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6210" tabRatio="755"/>
  </bookViews>
  <sheets>
    <sheet name="Sheet1" sheetId="1" r:id="rId1"/>
    <sheet name="Explanation" sheetId="2" r:id="rId2"/>
    <sheet name="ExperimentID" sheetId="10" r:id="rId3"/>
    <sheet name="Units convertion" sheetId="3" r:id="rId4"/>
    <sheet name="RsUnits" sheetId="4" r:id="rId5"/>
    <sheet name="SoilClassfication" sheetId="5" r:id="rId6"/>
    <sheet name="CoverCropGroup" sheetId="7" r:id="rId7"/>
    <sheet name="GrainCropGroup" sheetId="8" r:id="rId8"/>
    <sheet name="TillageGroup" sheetId="11" r:id="rId9"/>
    <sheet name="SD&amp;SE" sheetId="9" r:id="rId10"/>
    <sheet name="ReadMe" sheetId="6" r:id="rId11"/>
  </sheets>
  <definedNames>
    <definedName name="_xlnm._FilterDatabase" localSheetId="0" hidden="1">Sheet1!$A$1:$JD$1</definedName>
  </definedNames>
  <calcPr calcId="145621"/>
  <fileRecoveryPr autoRecover="0"/>
</workbook>
</file>

<file path=xl/calcChain.xml><?xml version="1.0" encoding="utf-8"?>
<calcChain xmlns="http://schemas.openxmlformats.org/spreadsheetml/2006/main">
  <c r="K4639" i="1" l="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l="1"/>
  <c r="J4621" i="1"/>
  <c r="K4620" i="1"/>
  <c r="J4620" i="1"/>
  <c r="K4619" i="1"/>
  <c r="J4619" i="1"/>
  <c r="K4618" i="1"/>
  <c r="J4618" i="1"/>
  <c r="K4617" i="1"/>
  <c r="J4617" i="1"/>
  <c r="K4616" i="1"/>
  <c r="J4616" i="1"/>
  <c r="K4615" i="1"/>
  <c r="J4615" i="1"/>
  <c r="K4614" i="1"/>
  <c r="J4614" i="1"/>
  <c r="BL4610" i="1"/>
  <c r="BK4610" i="1"/>
  <c r="BL4606" i="1"/>
  <c r="BK4606" i="1"/>
  <c r="J4611" i="1"/>
  <c r="K4611" i="1"/>
  <c r="J4612" i="1"/>
  <c r="K4612" i="1"/>
  <c r="J4613" i="1"/>
  <c r="K4613" i="1"/>
  <c r="K4610" i="1"/>
  <c r="J4610" i="1"/>
  <c r="J4607" i="1"/>
  <c r="K4607" i="1"/>
  <c r="J4608" i="1"/>
  <c r="K4608" i="1"/>
  <c r="J4609" i="1"/>
  <c r="K4609" i="1"/>
  <c r="K4606" i="1"/>
  <c r="J4606" i="1"/>
  <c r="K4605" i="1"/>
  <c r="J4605" i="1"/>
  <c r="K4604" i="1"/>
  <c r="J4604" i="1"/>
  <c r="K4603" i="1"/>
  <c r="J4603" i="1"/>
  <c r="K4602" i="1"/>
  <c r="J4602" i="1"/>
  <c r="GX4601" i="1"/>
  <c r="GW4601" i="1"/>
  <c r="HC4601" i="1"/>
  <c r="HB4601" i="1"/>
  <c r="CR4601" i="1"/>
  <c r="CQ4601" i="1"/>
  <c r="CM4601" i="1"/>
  <c r="CL4601" i="1"/>
  <c r="BW4601" i="1"/>
  <c r="BX4601" i="1"/>
  <c r="DL4601" i="1"/>
  <c r="DK4601" i="1"/>
  <c r="DB4601" i="1"/>
  <c r="DA4601" i="1"/>
  <c r="K4601" i="1"/>
  <c r="J4601" i="1"/>
  <c r="K2165" i="1" l="1"/>
  <c r="K2172" i="1"/>
  <c r="K2171" i="1"/>
  <c r="K2170" i="1"/>
  <c r="K2169" i="1"/>
  <c r="K2168" i="1"/>
  <c r="K2167" i="1"/>
  <c r="K2166" i="1"/>
  <c r="K2178" i="1" l="1"/>
  <c r="K2177" i="1"/>
  <c r="K2176" i="1"/>
  <c r="K2175" i="1"/>
  <c r="K2174" i="1"/>
  <c r="K2173" i="1"/>
  <c r="E125" i="2" l="1"/>
  <c r="DE1454" i="1" l="1"/>
  <c r="DD1454" i="1"/>
  <c r="DE1453" i="1"/>
  <c r="DD1453" i="1"/>
  <c r="DE1452" i="1"/>
  <c r="DD1452" i="1"/>
  <c r="DE1451" i="1"/>
  <c r="DD1451" i="1"/>
  <c r="DE902" i="1"/>
  <c r="DE901" i="1"/>
  <c r="DE900" i="1"/>
  <c r="DE899" i="1"/>
  <c r="DE898" i="1"/>
  <c r="DE897" i="1"/>
  <c r="DE896" i="1"/>
  <c r="DE895" i="1"/>
  <c r="DE894" i="1"/>
  <c r="DD901" i="1"/>
  <c r="DD902" i="1"/>
  <c r="DD900" i="1"/>
  <c r="DD898" i="1"/>
  <c r="DD899" i="1"/>
  <c r="DD897" i="1"/>
  <c r="DD895" i="1"/>
  <c r="DD896" i="1"/>
  <c r="DD894" i="1"/>
  <c r="DE793" i="1"/>
  <c r="DE794" i="1"/>
  <c r="DD794" i="1"/>
  <c r="DD793" i="1"/>
  <c r="BX2128" i="1" l="1"/>
  <c r="BX2129" i="1"/>
  <c r="BX2130" i="1"/>
  <c r="BX2131" i="1"/>
  <c r="BX2127" i="1"/>
  <c r="BW2128" i="1"/>
  <c r="BW2129" i="1"/>
  <c r="BW2130" i="1"/>
  <c r="BW2131" i="1"/>
  <c r="BW2127" i="1"/>
  <c r="BV2128" i="1"/>
  <c r="BV2129" i="1"/>
  <c r="BV2130" i="1"/>
  <c r="BV2131" i="1"/>
  <c r="BV2127" i="1"/>
  <c r="BU2128" i="1"/>
  <c r="BU2129" i="1"/>
  <c r="BU2130" i="1"/>
  <c r="BU2131" i="1"/>
  <c r="BU2127" i="1"/>
  <c r="BW1972" i="1" l="1"/>
  <c r="BX1972" i="1"/>
  <c r="BW1973" i="1"/>
  <c r="BX1973" i="1"/>
  <c r="BW1974" i="1"/>
  <c r="BX1974" i="1"/>
  <c r="BW1975" i="1"/>
  <c r="BX1975" i="1"/>
  <c r="BX1971" i="1"/>
  <c r="BW1971" i="1"/>
  <c r="BW1927" i="1"/>
  <c r="BX1927" i="1"/>
  <c r="BW1928" i="1"/>
  <c r="BX1928" i="1"/>
  <c r="BW1929" i="1"/>
  <c r="BX1929" i="1"/>
  <c r="BW1930" i="1"/>
  <c r="BX1930" i="1"/>
  <c r="BX1926" i="1"/>
  <c r="BW1926" i="1"/>
  <c r="BW1882" i="1"/>
  <c r="BX1882" i="1"/>
  <c r="BW1883" i="1"/>
  <c r="BX1883" i="1"/>
  <c r="BW1884" i="1"/>
  <c r="BX1884" i="1"/>
  <c r="BW1885" i="1"/>
  <c r="BX1885" i="1"/>
  <c r="BX1881" i="1"/>
  <c r="BW1881" i="1"/>
  <c r="BU2420" i="1"/>
  <c r="BV2420" i="1"/>
  <c r="BU2421" i="1"/>
  <c r="BV2421" i="1"/>
  <c r="BU2422" i="1"/>
  <c r="BV2422" i="1"/>
  <c r="BV2419" i="1"/>
  <c r="BU2419" i="1"/>
  <c r="BU2342" i="1"/>
  <c r="BV2342" i="1"/>
  <c r="BU2343" i="1"/>
  <c r="BV2343" i="1"/>
  <c r="BU2344" i="1"/>
  <c r="BV2344" i="1"/>
  <c r="BU2345" i="1"/>
  <c r="BV2345" i="1"/>
  <c r="BU2346" i="1"/>
  <c r="BV2346" i="1"/>
  <c r="BU2347" i="1"/>
  <c r="BV2347" i="1"/>
  <c r="BU2348" i="1"/>
  <c r="BV2348" i="1"/>
  <c r="BU2349" i="1"/>
  <c r="BV2349" i="1"/>
  <c r="BU2350" i="1"/>
  <c r="BV2350" i="1"/>
  <c r="BU2351" i="1"/>
  <c r="BV2351" i="1"/>
  <c r="BU2352" i="1"/>
  <c r="BV2352" i="1"/>
  <c r="BU2353" i="1"/>
  <c r="BV2353" i="1"/>
  <c r="BU2354" i="1"/>
  <c r="BV2354" i="1"/>
  <c r="BU2355" i="1"/>
  <c r="BV2355" i="1"/>
  <c r="BU2356" i="1"/>
  <c r="BV2356" i="1"/>
  <c r="BU2357" i="1"/>
  <c r="BV2357" i="1"/>
  <c r="BU2358" i="1"/>
  <c r="BV2358" i="1"/>
  <c r="BU2359" i="1"/>
  <c r="BV2359" i="1"/>
  <c r="BU2360" i="1"/>
  <c r="BV2360" i="1"/>
  <c r="BU2361" i="1"/>
  <c r="BV2361" i="1"/>
  <c r="BV2341" i="1"/>
  <c r="BU2341" i="1"/>
  <c r="BU2339" i="1"/>
  <c r="BV2339" i="1"/>
  <c r="BV2338" i="1"/>
  <c r="BU2338" i="1"/>
  <c r="BU2334" i="1"/>
  <c r="BV2334" i="1"/>
  <c r="BV2333" i="1"/>
  <c r="BU2333" i="1"/>
  <c r="BU2336" i="1"/>
  <c r="BV2336" i="1"/>
  <c r="BU2337" i="1"/>
  <c r="BV2337" i="1"/>
  <c r="BU2340" i="1"/>
  <c r="BV2340" i="1"/>
  <c r="BU2362" i="1"/>
  <c r="BV2362" i="1"/>
  <c r="BU2363" i="1"/>
  <c r="BV2363" i="1"/>
  <c r="BU2364" i="1"/>
  <c r="BV2364" i="1"/>
  <c r="BU2365" i="1"/>
  <c r="BV2365" i="1"/>
  <c r="BU2366" i="1"/>
  <c r="BV2366" i="1"/>
  <c r="BU2367" i="1"/>
  <c r="BV2367" i="1"/>
  <c r="BU2368" i="1"/>
  <c r="BV2368" i="1"/>
  <c r="BU2369" i="1"/>
  <c r="BV2369" i="1"/>
  <c r="BU2370" i="1"/>
  <c r="BV2370" i="1"/>
  <c r="BU2371" i="1"/>
  <c r="BV2371" i="1"/>
  <c r="BU2372" i="1"/>
  <c r="BV2372" i="1"/>
  <c r="BU2373" i="1"/>
  <c r="BV2373" i="1"/>
  <c r="BU2374" i="1"/>
  <c r="BV2374" i="1"/>
  <c r="BU2375" i="1"/>
  <c r="BV2375" i="1"/>
  <c r="BU2376" i="1"/>
  <c r="BV2376" i="1"/>
  <c r="BU2377" i="1"/>
  <c r="BV2377" i="1"/>
  <c r="BU2378" i="1"/>
  <c r="BV2378" i="1"/>
  <c r="BU2379" i="1"/>
  <c r="BV2379" i="1"/>
  <c r="BU2380" i="1"/>
  <c r="BV2380" i="1"/>
  <c r="BU2381" i="1"/>
  <c r="BV2381" i="1"/>
  <c r="BU2382" i="1"/>
  <c r="BV2382" i="1"/>
  <c r="BU2383" i="1"/>
  <c r="BV2383" i="1"/>
  <c r="BU2384" i="1"/>
  <c r="BV2384" i="1"/>
  <c r="BU2385" i="1"/>
  <c r="BV2385" i="1"/>
  <c r="BU2386" i="1"/>
  <c r="BV2386" i="1"/>
  <c r="BU2387" i="1"/>
  <c r="BV2387" i="1"/>
  <c r="BU2388" i="1"/>
  <c r="BV2388" i="1"/>
  <c r="BU2389" i="1"/>
  <c r="BV2389" i="1"/>
  <c r="BU2390" i="1"/>
  <c r="BV2390" i="1"/>
  <c r="BU2391" i="1"/>
  <c r="BV2391" i="1"/>
  <c r="BU2392" i="1"/>
  <c r="BV2392" i="1"/>
  <c r="BU2393" i="1"/>
  <c r="BV2393" i="1"/>
  <c r="BU2394" i="1"/>
  <c r="BV2394" i="1"/>
  <c r="BU2395" i="1"/>
  <c r="BV2395" i="1"/>
  <c r="BU2396" i="1"/>
  <c r="BV2396" i="1"/>
  <c r="BU2397" i="1"/>
  <c r="BV2397" i="1"/>
  <c r="BU2398" i="1"/>
  <c r="BV2398" i="1"/>
  <c r="BU2399" i="1"/>
  <c r="BV2399" i="1"/>
  <c r="BU2400" i="1"/>
  <c r="BV2400" i="1"/>
  <c r="BU2401" i="1"/>
  <c r="BV2401" i="1"/>
  <c r="BU2402" i="1"/>
  <c r="BV2402" i="1"/>
  <c r="BU2403" i="1"/>
  <c r="BV2403" i="1"/>
  <c r="BU2404" i="1"/>
  <c r="BV2404" i="1"/>
  <c r="BU2405" i="1"/>
  <c r="BV2405" i="1"/>
  <c r="BU2406" i="1"/>
  <c r="BV2406" i="1"/>
  <c r="BU2407" i="1"/>
  <c r="BV2407" i="1"/>
  <c r="BU2408" i="1"/>
  <c r="BV2408" i="1"/>
  <c r="BU2409" i="1"/>
  <c r="BV2409" i="1"/>
  <c r="BU2410" i="1"/>
  <c r="BV2410" i="1"/>
  <c r="BU2411" i="1"/>
  <c r="BV2411" i="1"/>
  <c r="BU2412" i="1"/>
  <c r="BV2412" i="1"/>
  <c r="BU2413" i="1"/>
  <c r="BV2413" i="1"/>
  <c r="BU2414" i="1"/>
  <c r="BV2414" i="1"/>
  <c r="BU2415" i="1"/>
  <c r="BV2415" i="1"/>
  <c r="BU2416" i="1"/>
  <c r="BV2416" i="1"/>
  <c r="BU2417" i="1"/>
  <c r="BV2417" i="1"/>
  <c r="BU2418" i="1"/>
  <c r="BV2418" i="1"/>
  <c r="BU2423" i="1"/>
  <c r="BV2423" i="1"/>
  <c r="BU2424" i="1"/>
  <c r="BV2424" i="1"/>
  <c r="BU2425" i="1"/>
  <c r="BV2425" i="1"/>
  <c r="BV2335" i="1"/>
  <c r="BU2335" i="1"/>
  <c r="BU2249" i="1"/>
  <c r="BU2429" i="1"/>
  <c r="BV2429" i="1"/>
  <c r="BU2466" i="1"/>
  <c r="BU2467" i="1"/>
  <c r="BV2250" i="1" l="1"/>
  <c r="BV2249" i="1"/>
  <c r="BV2248" i="1"/>
  <c r="BV2247" i="1"/>
  <c r="BV2246" i="1"/>
  <c r="BV2245" i="1"/>
  <c r="BV2244" i="1"/>
  <c r="BV2243" i="1"/>
  <c r="BV2242" i="1"/>
  <c r="BV2241" i="1"/>
  <c r="BV2240" i="1"/>
  <c r="BV2239" i="1"/>
  <c r="BV2238" i="1"/>
  <c r="BV2236" i="1"/>
  <c r="BV2235" i="1"/>
  <c r="BV2234" i="1"/>
  <c r="BV2233" i="1"/>
  <c r="BU2250" i="1"/>
  <c r="BU2248" i="1"/>
  <c r="BU2247" i="1"/>
  <c r="BU2246" i="1"/>
  <c r="BU2245" i="1"/>
  <c r="BU2244" i="1"/>
  <c r="BU2243" i="1"/>
  <c r="BU2242" i="1"/>
  <c r="BU2241" i="1"/>
  <c r="BU2240" i="1"/>
  <c r="BU2239" i="1"/>
  <c r="BU2238" i="1"/>
  <c r="BU2236" i="1"/>
  <c r="BU2235" i="1"/>
  <c r="BU2234" i="1"/>
  <c r="BU2233" i="1"/>
  <c r="BV2226" i="1"/>
  <c r="BV2227" i="1"/>
  <c r="BV2228" i="1"/>
  <c r="BV2229" i="1"/>
  <c r="BV2230" i="1"/>
  <c r="BV2225" i="1"/>
  <c r="BU2226" i="1"/>
  <c r="BU2227" i="1"/>
  <c r="BU2228" i="1"/>
  <c r="BU2229" i="1"/>
  <c r="BU2230" i="1"/>
  <c r="BU2225" i="1"/>
  <c r="BV2206" i="1"/>
  <c r="BV2205" i="1"/>
  <c r="BU2206" i="1"/>
  <c r="BU2205" i="1"/>
  <c r="BU2094" i="1"/>
  <c r="BU2148" i="1"/>
  <c r="BV2148" i="1"/>
  <c r="BU2149" i="1"/>
  <c r="BV2149" i="1"/>
  <c r="BU2150" i="1"/>
  <c r="BV2150" i="1"/>
  <c r="BU2151" i="1"/>
  <c r="BV2151" i="1"/>
  <c r="BU2152" i="1"/>
  <c r="BV2152" i="1"/>
  <c r="BU2153" i="1"/>
  <c r="BV2153" i="1"/>
  <c r="BU2154" i="1"/>
  <c r="BV2154" i="1"/>
  <c r="BU2155" i="1"/>
  <c r="BV2155" i="1"/>
  <c r="BU2156" i="1"/>
  <c r="BV2156" i="1"/>
  <c r="BU2157" i="1"/>
  <c r="BV2157" i="1"/>
  <c r="BU2158" i="1"/>
  <c r="BV2158" i="1"/>
  <c r="BU2159" i="1"/>
  <c r="BV2159" i="1"/>
  <c r="BU2160" i="1"/>
  <c r="BV2160" i="1"/>
  <c r="BU2161" i="1"/>
  <c r="BV2161" i="1"/>
  <c r="BU2162" i="1"/>
  <c r="BV2162" i="1"/>
  <c r="BU2163" i="1"/>
  <c r="BV2163" i="1"/>
  <c r="BU2164" i="1"/>
  <c r="BV2164" i="1"/>
  <c r="BU2165" i="1"/>
  <c r="BV2165" i="1"/>
  <c r="BU2166" i="1"/>
  <c r="BV2166" i="1"/>
  <c r="BU2167" i="1"/>
  <c r="BV2167" i="1"/>
  <c r="BU2168" i="1"/>
  <c r="BV2168" i="1"/>
  <c r="BU2169" i="1"/>
  <c r="BV2169" i="1"/>
  <c r="BU2170" i="1"/>
  <c r="BV2170" i="1"/>
  <c r="BU2171" i="1"/>
  <c r="BV2171" i="1"/>
  <c r="BU2172" i="1"/>
  <c r="BV2172" i="1"/>
  <c r="BU2173" i="1"/>
  <c r="BV2173" i="1"/>
  <c r="BU2174" i="1"/>
  <c r="BV2174" i="1"/>
  <c r="BU2175" i="1"/>
  <c r="BV2175" i="1"/>
  <c r="BU2176" i="1"/>
  <c r="BV2176" i="1"/>
  <c r="BU2177" i="1"/>
  <c r="BV2177" i="1"/>
  <c r="BU2178" i="1"/>
  <c r="BV2178" i="1"/>
  <c r="BU2179" i="1"/>
  <c r="BV2179" i="1"/>
  <c r="BU2180" i="1"/>
  <c r="BV2180" i="1"/>
  <c r="BU2181" i="1"/>
  <c r="BV2181" i="1"/>
  <c r="BU2182" i="1"/>
  <c r="BV2182" i="1"/>
  <c r="BU2183" i="1"/>
  <c r="BV2183" i="1"/>
  <c r="BU2184" i="1"/>
  <c r="BV2184" i="1"/>
  <c r="BV2147" i="1"/>
  <c r="BU2147" i="1"/>
  <c r="BU2017" i="1"/>
  <c r="BV2017" i="1"/>
  <c r="BU2018" i="1"/>
  <c r="BV2018" i="1"/>
  <c r="BU2019" i="1"/>
  <c r="BV2019" i="1"/>
  <c r="BU2020" i="1"/>
  <c r="BV2020" i="1"/>
  <c r="BU2021" i="1"/>
  <c r="BV2021" i="1"/>
  <c r="BU2025" i="1"/>
  <c r="BV2025" i="1"/>
  <c r="BU2026" i="1"/>
  <c r="BV2026" i="1"/>
  <c r="BU2027" i="1"/>
  <c r="BV2027" i="1"/>
  <c r="BU2028" i="1"/>
  <c r="BV2028" i="1"/>
  <c r="BU2029" i="1"/>
  <c r="BV2029" i="1"/>
  <c r="BU2030" i="1"/>
  <c r="BV2030" i="1"/>
  <c r="BU2031" i="1"/>
  <c r="BV2031" i="1"/>
  <c r="BU2032" i="1"/>
  <c r="BV2032" i="1"/>
  <c r="BU2033" i="1"/>
  <c r="BV2033" i="1"/>
  <c r="BU2034" i="1"/>
  <c r="BV2034" i="1"/>
  <c r="BU2035" i="1"/>
  <c r="BV2035" i="1"/>
  <c r="BU2036" i="1"/>
  <c r="BV2036" i="1"/>
  <c r="BU2041" i="1"/>
  <c r="BV2041" i="1"/>
  <c r="BU2042" i="1"/>
  <c r="BV2042" i="1"/>
  <c r="BU2043" i="1"/>
  <c r="BV2043" i="1"/>
  <c r="BU2044" i="1"/>
  <c r="BV2044" i="1"/>
  <c r="BU2045" i="1"/>
  <c r="BV2045" i="1"/>
  <c r="BU2046" i="1"/>
  <c r="BV2046" i="1"/>
  <c r="BU2047" i="1"/>
  <c r="BV2047" i="1"/>
  <c r="BU2048" i="1"/>
  <c r="BV2048" i="1"/>
  <c r="BU2049" i="1"/>
  <c r="BV2049" i="1"/>
  <c r="BU2050" i="1"/>
  <c r="BV2050" i="1"/>
  <c r="BU2051" i="1"/>
  <c r="BV2051" i="1"/>
  <c r="BU2052" i="1"/>
  <c r="BV2052" i="1"/>
  <c r="BU2053" i="1"/>
  <c r="BV2053" i="1"/>
  <c r="BU2054" i="1"/>
  <c r="BV2054" i="1"/>
  <c r="BU2055" i="1"/>
  <c r="BV2055" i="1"/>
  <c r="BU2056" i="1"/>
  <c r="BV2056" i="1"/>
  <c r="BU2057" i="1"/>
  <c r="BV2057" i="1"/>
  <c r="BU2058" i="1"/>
  <c r="BV2058" i="1"/>
  <c r="BU2059" i="1"/>
  <c r="BV2059" i="1"/>
  <c r="BU2060" i="1"/>
  <c r="BV2060" i="1"/>
  <c r="BU2061" i="1"/>
  <c r="BV2061" i="1"/>
  <c r="BU2062" i="1"/>
  <c r="BV2062" i="1"/>
  <c r="BU2063" i="1"/>
  <c r="BV2063" i="1"/>
  <c r="BU2064" i="1"/>
  <c r="BV2064" i="1"/>
  <c r="BU2065" i="1"/>
  <c r="BV2065" i="1"/>
  <c r="BU2066" i="1"/>
  <c r="BV2066" i="1"/>
  <c r="BU2067" i="1"/>
  <c r="BV2067" i="1"/>
  <c r="BU2068" i="1"/>
  <c r="BV2068" i="1"/>
  <c r="BU2069" i="1"/>
  <c r="BV2069" i="1"/>
  <c r="BU2070" i="1"/>
  <c r="BV2070" i="1"/>
  <c r="BU2071" i="1"/>
  <c r="BV2071" i="1"/>
  <c r="BU2072" i="1"/>
  <c r="BV2072" i="1"/>
  <c r="BU2073" i="1"/>
  <c r="BV2073" i="1"/>
  <c r="BU2074" i="1"/>
  <c r="BV2074" i="1"/>
  <c r="BU2075" i="1"/>
  <c r="BV2075" i="1"/>
  <c r="BU2076" i="1"/>
  <c r="BV2076" i="1"/>
  <c r="BU2077" i="1"/>
  <c r="BV2077" i="1"/>
  <c r="BU2078" i="1"/>
  <c r="BV2078" i="1"/>
  <c r="BU2079" i="1"/>
  <c r="BV2079" i="1"/>
  <c r="BU2080" i="1"/>
  <c r="BV2080" i="1"/>
  <c r="BU2081" i="1"/>
  <c r="BV2081" i="1"/>
  <c r="BU2082" i="1"/>
  <c r="BV2082" i="1"/>
  <c r="BU2083" i="1"/>
  <c r="BV2083" i="1"/>
  <c r="BU2084" i="1"/>
  <c r="BV2084" i="1"/>
  <c r="BU2085" i="1"/>
  <c r="BV2085" i="1"/>
  <c r="BU2086" i="1"/>
  <c r="BV2086" i="1"/>
  <c r="BU2087" i="1"/>
  <c r="BV2087" i="1"/>
  <c r="BU2088" i="1"/>
  <c r="BV2088" i="1"/>
  <c r="BU2089" i="1"/>
  <c r="BV2089" i="1"/>
  <c r="BU2090" i="1"/>
  <c r="BV2090" i="1"/>
  <c r="BU2091" i="1"/>
  <c r="BV2091" i="1"/>
  <c r="BU2092" i="1"/>
  <c r="BV2092" i="1"/>
  <c r="BU2093" i="1"/>
  <c r="BV2093" i="1"/>
  <c r="BV2094" i="1"/>
  <c r="BV2016" i="1"/>
  <c r="BU2016" i="1"/>
  <c r="BZ1318" i="1"/>
  <c r="N37" i="3"/>
  <c r="M37" i="3"/>
  <c r="M35" i="3"/>
  <c r="N35" i="3"/>
  <c r="CH3482" i="1" l="1"/>
  <c r="CG3482" i="1"/>
  <c r="CH3481" i="1"/>
  <c r="CG3481" i="1"/>
  <c r="CH3480" i="1"/>
  <c r="CG3480" i="1"/>
  <c r="CH3479" i="1"/>
  <c r="CG3479" i="1"/>
  <c r="BZ2119" i="1"/>
  <c r="CF1423" i="1"/>
  <c r="CE1423" i="1"/>
  <c r="CF1422" i="1"/>
  <c r="CE1422" i="1"/>
  <c r="CF1421" i="1"/>
  <c r="CE1421" i="1"/>
  <c r="CF1418" i="1"/>
  <c r="CE1418" i="1"/>
  <c r="CF1417" i="1"/>
  <c r="CE1417" i="1"/>
  <c r="CF1416" i="1"/>
  <c r="CE1416" i="1"/>
  <c r="CA1326" i="1"/>
  <c r="CA1327" i="1"/>
  <c r="CA1328" i="1"/>
  <c r="BZ1327" i="1"/>
  <c r="BZ1328" i="1"/>
  <c r="BZ1326" i="1"/>
  <c r="CA1318" i="1"/>
  <c r="CA1319" i="1"/>
  <c r="CA1320" i="1"/>
  <c r="CA1321" i="1"/>
  <c r="BZ1319" i="1"/>
  <c r="BZ1320" i="1"/>
  <c r="BZ1321" i="1"/>
  <c r="O4560" i="1" l="1"/>
  <c r="O4561" i="1"/>
  <c r="O4562" i="1"/>
  <c r="O4563" i="1"/>
  <c r="O4564" i="1"/>
  <c r="M4560" i="1"/>
  <c r="M4561" i="1"/>
  <c r="M4562" i="1"/>
  <c r="M4563" i="1"/>
  <c r="M4564" i="1"/>
  <c r="K4564" i="1"/>
  <c r="J4564" i="1"/>
  <c r="K4563" i="1"/>
  <c r="J4563" i="1"/>
  <c r="K4562" i="1"/>
  <c r="J4562" i="1"/>
  <c r="K4561" i="1"/>
  <c r="J4561" i="1"/>
  <c r="K4560" i="1"/>
  <c r="J4560" i="1"/>
  <c r="K4559" i="1"/>
  <c r="J4559" i="1"/>
  <c r="O4558" i="1"/>
  <c r="M4558" i="1"/>
  <c r="K4558" i="1"/>
  <c r="J4558" i="1"/>
  <c r="O4557" i="1"/>
  <c r="M4557" i="1"/>
  <c r="K4557" i="1"/>
  <c r="J4557" i="1"/>
  <c r="O4556" i="1"/>
  <c r="M4556" i="1"/>
  <c r="K4556" i="1"/>
  <c r="J4556" i="1"/>
  <c r="O4555" i="1"/>
  <c r="M4555" i="1"/>
  <c r="K4555" i="1"/>
  <c r="J4555" i="1"/>
  <c r="O4554" i="1"/>
  <c r="M4554" i="1"/>
  <c r="K4554" i="1"/>
  <c r="J4554" i="1"/>
  <c r="O4553" i="1"/>
  <c r="M4553" i="1"/>
  <c r="K4553" i="1"/>
  <c r="J4553" i="1"/>
  <c r="O4552" i="1"/>
  <c r="M4552" i="1"/>
  <c r="K4552" i="1"/>
  <c r="J4552" i="1"/>
  <c r="O4551" i="1"/>
  <c r="M4551" i="1"/>
  <c r="K4551" i="1"/>
  <c r="J4551" i="1"/>
  <c r="O4550" i="1"/>
  <c r="M4550" i="1"/>
  <c r="K4550" i="1"/>
  <c r="J4550" i="1"/>
  <c r="O4549" i="1"/>
  <c r="M4549" i="1"/>
  <c r="K4549" i="1"/>
  <c r="J4549" i="1"/>
  <c r="O4548" i="1"/>
  <c r="M4548" i="1"/>
  <c r="K4548" i="1"/>
  <c r="J4548" i="1"/>
  <c r="O4547" i="1"/>
  <c r="M4547" i="1"/>
  <c r="K4547" i="1"/>
  <c r="J4547" i="1"/>
  <c r="M4559" i="1"/>
  <c r="M4540" i="1"/>
  <c r="O4540" i="1"/>
  <c r="M4541" i="1"/>
  <c r="O4541" i="1"/>
  <c r="M4542" i="1"/>
  <c r="O4542" i="1"/>
  <c r="M4543" i="1"/>
  <c r="O4543" i="1"/>
  <c r="M4544" i="1"/>
  <c r="O4544" i="1"/>
  <c r="M4545" i="1"/>
  <c r="O4545" i="1"/>
  <c r="M4546" i="1"/>
  <c r="O4546" i="1"/>
  <c r="O4539" i="1"/>
  <c r="O4538" i="1"/>
  <c r="M4539" i="1"/>
  <c r="M4538" i="1"/>
  <c r="M4529" i="1"/>
  <c r="O4529" i="1"/>
  <c r="M4530" i="1"/>
  <c r="O4530" i="1"/>
  <c r="M4531" i="1"/>
  <c r="O4531" i="1"/>
  <c r="M4532" i="1"/>
  <c r="O4532" i="1"/>
  <c r="M4533" i="1"/>
  <c r="O4533" i="1"/>
  <c r="M4534" i="1"/>
  <c r="O4534" i="1"/>
  <c r="M4535" i="1"/>
  <c r="O4535" i="1"/>
  <c r="M4536" i="1"/>
  <c r="O4536" i="1"/>
  <c r="M4537" i="1"/>
  <c r="O4537" i="1"/>
  <c r="O4528" i="1"/>
  <c r="M4528" i="1"/>
  <c r="O4527" i="1"/>
  <c r="M4527" i="1"/>
  <c r="M4517" i="1"/>
  <c r="O4517" i="1"/>
  <c r="M4518" i="1"/>
  <c r="O4518" i="1"/>
  <c r="M4519" i="1"/>
  <c r="O4519" i="1"/>
  <c r="M4520" i="1"/>
  <c r="O4520" i="1"/>
  <c r="M4521" i="1"/>
  <c r="O4521" i="1"/>
  <c r="M4522" i="1"/>
  <c r="O4522" i="1"/>
  <c r="M4523" i="1"/>
  <c r="O4523" i="1"/>
  <c r="M4524" i="1"/>
  <c r="O4524" i="1"/>
  <c r="M4525" i="1"/>
  <c r="O4525" i="1"/>
  <c r="M4526" i="1"/>
  <c r="O4526" i="1"/>
  <c r="O4516" i="1"/>
  <c r="M4516" i="1"/>
  <c r="O4515" i="1"/>
  <c r="M4515" i="1"/>
  <c r="M4514" i="1"/>
  <c r="M4513" i="1"/>
  <c r="M4512" i="1"/>
  <c r="M4511" i="1"/>
  <c r="M4510" i="1"/>
  <c r="M4509" i="1"/>
  <c r="M4508" i="1"/>
  <c r="M4507" i="1"/>
  <c r="O4559" i="1"/>
  <c r="O4514" i="1"/>
  <c r="O4513" i="1"/>
  <c r="O4512" i="1"/>
  <c r="O4511" i="1"/>
  <c r="O4510" i="1"/>
  <c r="O4509" i="1"/>
  <c r="O4508" i="1"/>
  <c r="O4507" i="1"/>
  <c r="K4546" i="1" l="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BS4508" i="1"/>
  <c r="BS4507" i="1"/>
  <c r="BR4508" i="1"/>
  <c r="BR4507" i="1"/>
  <c r="K4514" i="1"/>
  <c r="J4514" i="1"/>
  <c r="K4513" i="1"/>
  <c r="J4513" i="1"/>
  <c r="K4512" i="1"/>
  <c r="J4512" i="1"/>
  <c r="K4511" i="1"/>
  <c r="J4511" i="1"/>
  <c r="K4510" i="1"/>
  <c r="J4510" i="1"/>
  <c r="K4509" i="1"/>
  <c r="J4509" i="1"/>
  <c r="K4508" i="1"/>
  <c r="J4508" i="1"/>
  <c r="K4507" i="1" l="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CM4470" i="1"/>
  <c r="CM4469" i="1"/>
  <c r="CM4468" i="1"/>
  <c r="CM4467" i="1"/>
  <c r="CM4466" i="1"/>
  <c r="CM4465" i="1"/>
  <c r="CM4464" i="1"/>
  <c r="CM4463" i="1"/>
  <c r="CM4462" i="1"/>
  <c r="CM4461" i="1"/>
  <c r="CM4451" i="1"/>
  <c r="CL4461" i="1"/>
  <c r="CM4450" i="1"/>
  <c r="CM4449" i="1"/>
  <c r="CM4448" i="1"/>
  <c r="CM4447" i="1"/>
  <c r="CM4446" i="1"/>
  <c r="CM4445" i="1"/>
  <c r="CM4444" i="1"/>
  <c r="CM4443" i="1"/>
  <c r="CM4442" i="1"/>
  <c r="CM4441" i="1"/>
  <c r="CL4441" i="1"/>
  <c r="CM4440" i="1"/>
  <c r="CM4439" i="1"/>
  <c r="CM4438" i="1"/>
  <c r="CM4437" i="1"/>
  <c r="CM4436" i="1"/>
  <c r="CM4435" i="1"/>
  <c r="CM4434" i="1"/>
  <c r="CM4433" i="1"/>
  <c r="CM4432" i="1"/>
  <c r="CM4431" i="1"/>
  <c r="CM4430" i="1"/>
  <c r="CM4429" i="1"/>
  <c r="CM4428" i="1"/>
  <c r="CM4427" i="1"/>
  <c r="CM4426" i="1"/>
  <c r="CM4425" i="1"/>
  <c r="CM4424" i="1"/>
  <c r="CM4423" i="1"/>
  <c r="CM4422" i="1"/>
  <c r="CM4421" i="1"/>
  <c r="CM4420" i="1"/>
  <c r="CM4419" i="1"/>
  <c r="CM4418" i="1"/>
  <c r="CM4417" i="1"/>
  <c r="CM4416" i="1"/>
  <c r="CM4415" i="1"/>
  <c r="CM4414" i="1"/>
  <c r="CM4413" i="1"/>
  <c r="CM4412" i="1"/>
  <c r="CM4411" i="1"/>
  <c r="CL4440" i="1"/>
  <c r="CL4439" i="1"/>
  <c r="CL4438" i="1"/>
  <c r="CL4437" i="1"/>
  <c r="CL4436" i="1"/>
  <c r="CL4435" i="1"/>
  <c r="CL4434" i="1"/>
  <c r="CL4433" i="1"/>
  <c r="CL4432" i="1"/>
  <c r="CL4431" i="1"/>
  <c r="CL4420" i="1"/>
  <c r="CL4419" i="1"/>
  <c r="CL4418" i="1"/>
  <c r="CL4417" i="1"/>
  <c r="CL4416" i="1"/>
  <c r="CL4415" i="1"/>
  <c r="CL4414" i="1"/>
  <c r="CL4413" i="1"/>
  <c r="CL4412" i="1"/>
  <c r="CL441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CM4410" i="1"/>
  <c r="CM4409" i="1"/>
  <c r="CM4408" i="1"/>
  <c r="CM4407" i="1"/>
  <c r="CM4406" i="1"/>
  <c r="CM4405" i="1"/>
  <c r="CM4404" i="1"/>
  <c r="CM4403" i="1"/>
  <c r="CM4402" i="1"/>
  <c r="CM4401" i="1"/>
  <c r="CM4392" i="1"/>
  <c r="CM4391" i="1"/>
  <c r="CM4390" i="1"/>
  <c r="CM4389" i="1"/>
  <c r="CM4388" i="1"/>
  <c r="CM4387" i="1"/>
  <c r="CM4386" i="1"/>
  <c r="CM4385" i="1"/>
  <c r="CM4384" i="1"/>
  <c r="CM4383" i="1"/>
  <c r="CM4382" i="1"/>
  <c r="CM4381" i="1"/>
  <c r="CL4410" i="1"/>
  <c r="CL4409" i="1"/>
  <c r="CL4408" i="1"/>
  <c r="CL4407" i="1"/>
  <c r="CL4406" i="1"/>
  <c r="CL4405" i="1"/>
  <c r="CL4404" i="1"/>
  <c r="CL4403" i="1"/>
  <c r="CL4402" i="1"/>
  <c r="CL4401" i="1"/>
  <c r="CL4390" i="1"/>
  <c r="CL4389" i="1"/>
  <c r="CL4388" i="1"/>
  <c r="CL4387" i="1"/>
  <c r="CL4386" i="1"/>
  <c r="CL4385" i="1"/>
  <c r="CL4384" i="1"/>
  <c r="CL4383" i="1"/>
  <c r="CL4382" i="1"/>
  <c r="CL438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l="1"/>
  <c r="J4369" i="1"/>
  <c r="HL4363" i="1"/>
  <c r="HL4364" i="1"/>
  <c r="HL4365" i="1"/>
  <c r="HL4366" i="1"/>
  <c r="HL4367" i="1"/>
  <c r="HL4368" i="1"/>
  <c r="HM4367" i="1"/>
  <c r="HM4366" i="1"/>
  <c r="HM4365" i="1"/>
  <c r="HM4364" i="1"/>
  <c r="HM4363" i="1"/>
  <c r="HM4368" i="1"/>
  <c r="HM4360" i="1"/>
  <c r="HM4358" i="1"/>
  <c r="HM4357" i="1"/>
  <c r="HL4360" i="1"/>
  <c r="HL4359" i="1"/>
  <c r="HL4358" i="1"/>
  <c r="HL4357" i="1"/>
  <c r="HL4344" i="1"/>
  <c r="HL4343" i="1"/>
  <c r="HL4342" i="1"/>
  <c r="HL4341" i="1"/>
  <c r="HL4340" i="1"/>
  <c r="HL4339" i="1"/>
  <c r="HM4341" i="1"/>
  <c r="HM4340" i="1"/>
  <c r="HM4339" i="1"/>
  <c r="HM4353" i="1"/>
  <c r="HM4352" i="1"/>
  <c r="HM4337" i="1" l="1"/>
  <c r="HM4338" i="1"/>
  <c r="HM4336" i="1"/>
  <c r="HM4335" i="1"/>
  <c r="HM4334" i="1"/>
  <c r="HM4333"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BN4332" i="1"/>
  <c r="BN4331" i="1"/>
  <c r="BN4330" i="1"/>
  <c r="BN4329" i="1"/>
  <c r="BM4332" i="1"/>
  <c r="BM4331" i="1"/>
  <c r="BM4330" i="1"/>
  <c r="BM4329" i="1"/>
  <c r="K4332" i="1"/>
  <c r="J4332" i="1"/>
  <c r="K4331" i="1"/>
  <c r="J4331" i="1"/>
  <c r="K4330" i="1"/>
  <c r="J4330" i="1"/>
  <c r="K4329" i="1"/>
  <c r="J4329" i="1"/>
  <c r="K4328" i="1" l="1"/>
  <c r="J4328" i="1"/>
  <c r="K4327" i="1"/>
  <c r="J4327" i="1"/>
  <c r="K4326" i="1"/>
  <c r="J4326" i="1"/>
  <c r="K4325" i="1"/>
  <c r="J4325" i="1"/>
  <c r="K4324" i="1"/>
  <c r="J4324" i="1"/>
  <c r="K4323" i="1"/>
  <c r="J4323" i="1"/>
  <c r="K4322" i="1"/>
  <c r="J4322" i="1"/>
  <c r="K4321" i="1"/>
  <c r="J4321" i="1"/>
  <c r="FE4314" i="1"/>
  <c r="FE4317" i="1"/>
  <c r="FD4314" i="1"/>
  <c r="FD4315" i="1"/>
  <c r="FD4316" i="1"/>
  <c r="FD4313" i="1"/>
  <c r="FD4318" i="1"/>
  <c r="FD4319" i="1"/>
  <c r="FD4320" i="1"/>
  <c r="FD4317" i="1"/>
  <c r="BN4316" i="1"/>
  <c r="BN4315" i="1"/>
  <c r="BN4314" i="1"/>
  <c r="BN4313" i="1"/>
  <c r="BM4314" i="1"/>
  <c r="BM4315" i="1"/>
  <c r="BM4316" i="1"/>
  <c r="BM4313" i="1"/>
  <c r="BN4320" i="1"/>
  <c r="BN4319" i="1"/>
  <c r="BN4318" i="1"/>
  <c r="BN4317" i="1"/>
  <c r="BM4318" i="1"/>
  <c r="BM4319" i="1"/>
  <c r="BM4320" i="1"/>
  <c r="BM4317" i="1"/>
  <c r="BN4311" i="1"/>
  <c r="BM4311" i="1"/>
  <c r="BL4311" i="1"/>
  <c r="BK4311" i="1"/>
  <c r="K4316" i="1"/>
  <c r="J4316" i="1"/>
  <c r="K4315" i="1"/>
  <c r="J4315" i="1"/>
  <c r="K4314" i="1"/>
  <c r="J4314" i="1"/>
  <c r="K4313" i="1"/>
  <c r="J4313" i="1"/>
  <c r="K4320" i="1"/>
  <c r="J4320" i="1"/>
  <c r="K4319" i="1"/>
  <c r="J4319" i="1"/>
  <c r="K4318" i="1"/>
  <c r="J4318" i="1"/>
  <c r="K4317" i="1"/>
  <c r="J4317" i="1"/>
  <c r="O4312" i="1"/>
  <c r="O4311" i="1"/>
  <c r="M4312" i="1"/>
  <c r="M4311" i="1"/>
  <c r="CM4312" i="1"/>
  <c r="CM4311" i="1"/>
  <c r="CL4312" i="1"/>
  <c r="CL4311" i="1"/>
  <c r="GX4312" i="1"/>
  <c r="GX4311" i="1"/>
  <c r="HR4311" i="1"/>
  <c r="HQ4311" i="1"/>
  <c r="GW4312" i="1"/>
  <c r="GW4311" i="1"/>
  <c r="K4312" i="1"/>
  <c r="J4312" i="1"/>
  <c r="K4311" i="1"/>
  <c r="J4311" i="1"/>
  <c r="BZ2123" i="1"/>
  <c r="CA2123" i="1"/>
  <c r="BZ2124" i="1"/>
  <c r="CA2124" i="1"/>
  <c r="BZ2125" i="1"/>
  <c r="CA2125" i="1"/>
  <c r="BZ2126" i="1"/>
  <c r="CA2126" i="1"/>
  <c r="CA2120" i="1"/>
  <c r="CA2121" i="1"/>
  <c r="CA2122" i="1"/>
  <c r="CA2119" i="1"/>
  <c r="BZ2120" i="1"/>
  <c r="BZ2121" i="1"/>
  <c r="BZ2122" i="1"/>
  <c r="CA1423" i="1" l="1"/>
  <c r="BV1423" i="1" s="1"/>
  <c r="CA1422" i="1"/>
  <c r="BV1422" i="1" s="1"/>
  <c r="CA1421" i="1"/>
  <c r="BV1421" i="1" s="1"/>
  <c r="CA1418" i="1"/>
  <c r="BV1418" i="1" s="1"/>
  <c r="CA1417" i="1"/>
  <c r="BV1417" i="1" s="1"/>
  <c r="CA1416" i="1"/>
  <c r="BV1416" i="1" s="1"/>
  <c r="BZ1423" i="1"/>
  <c r="BU1423" i="1" s="1"/>
  <c r="BZ1422" i="1"/>
  <c r="BU1422" i="1" s="1"/>
  <c r="BZ1421" i="1"/>
  <c r="BU1421" i="1" s="1"/>
  <c r="BZ1418" i="1"/>
  <c r="BU1418" i="1" s="1"/>
  <c r="BZ1417" i="1"/>
  <c r="BU1417" i="1" s="1"/>
  <c r="BZ1416" i="1"/>
  <c r="BU1416" i="1" s="1"/>
  <c r="BZ799" i="1"/>
  <c r="BZ798" i="1"/>
  <c r="BZ797" i="1"/>
  <c r="BZ796" i="1"/>
  <c r="BZ795" i="1"/>
  <c r="CA173" i="1"/>
  <c r="BV173" i="1" s="1"/>
  <c r="CA172" i="1"/>
  <c r="BV172" i="1" s="1"/>
  <c r="CA171" i="1"/>
  <c r="BV171" i="1" s="1"/>
  <c r="CA170" i="1"/>
  <c r="BV170" i="1" s="1"/>
  <c r="CA169" i="1"/>
  <c r="BV169" i="1" s="1"/>
  <c r="CA168" i="1"/>
  <c r="BV168" i="1" s="1"/>
  <c r="CA167" i="1"/>
  <c r="BV167" i="1" s="1"/>
  <c r="CA166" i="1"/>
  <c r="BV166" i="1" s="1"/>
  <c r="CA165" i="1"/>
  <c r="BV165" i="1" s="1"/>
  <c r="CA164" i="1"/>
  <c r="BV164" i="1" s="1"/>
  <c r="CA163" i="1"/>
  <c r="BV163" i="1" s="1"/>
  <c r="CA162" i="1"/>
  <c r="BV162" i="1" s="1"/>
  <c r="CA161" i="1"/>
  <c r="BV161" i="1" s="1"/>
  <c r="CA160" i="1"/>
  <c r="BV160" i="1" s="1"/>
  <c r="CA159" i="1"/>
  <c r="BV159" i="1" s="1"/>
  <c r="CA158" i="1"/>
  <c r="BV158" i="1" s="1"/>
  <c r="CA157" i="1"/>
  <c r="BV157" i="1" s="1"/>
  <c r="CA156" i="1"/>
  <c r="BV156" i="1" s="1"/>
  <c r="CA155" i="1"/>
  <c r="BV155" i="1" s="1"/>
  <c r="CA154" i="1"/>
  <c r="BV154" i="1" s="1"/>
  <c r="BZ173" i="1"/>
  <c r="BU173" i="1" s="1"/>
  <c r="BZ172" i="1"/>
  <c r="BU172" i="1" s="1"/>
  <c r="BZ171" i="1"/>
  <c r="BU171" i="1" s="1"/>
  <c r="BZ169" i="1"/>
  <c r="BU169" i="1" s="1"/>
  <c r="BZ170" i="1"/>
  <c r="BU170" i="1" s="1"/>
  <c r="BZ168" i="1"/>
  <c r="BU168" i="1" s="1"/>
  <c r="BZ167" i="1"/>
  <c r="BU167" i="1" s="1"/>
  <c r="BZ166" i="1"/>
  <c r="BU166" i="1" s="1"/>
  <c r="BZ165" i="1"/>
  <c r="BU165" i="1" s="1"/>
  <c r="BZ164" i="1"/>
  <c r="BU164" i="1" s="1"/>
  <c r="BZ163" i="1"/>
  <c r="BU163" i="1" s="1"/>
  <c r="BZ162" i="1"/>
  <c r="BU162" i="1" s="1"/>
  <c r="BZ161" i="1"/>
  <c r="BU161" i="1" s="1"/>
  <c r="BZ160" i="1"/>
  <c r="BU160" i="1" s="1"/>
  <c r="BZ159" i="1"/>
  <c r="BU159" i="1" s="1"/>
  <c r="BZ158" i="1"/>
  <c r="BU158" i="1" s="1"/>
  <c r="BZ157" i="1"/>
  <c r="BU157" i="1" s="1"/>
  <c r="BZ156" i="1"/>
  <c r="BU156" i="1" s="1"/>
  <c r="BZ155" i="1"/>
  <c r="BU155" i="1" s="1"/>
  <c r="BZ154" i="1"/>
  <c r="BU154" i="1" s="1"/>
  <c r="J2565" i="1"/>
  <c r="K2565" i="1"/>
  <c r="J2566" i="1"/>
  <c r="K2566" i="1"/>
  <c r="FL4310" i="1"/>
  <c r="FL4309" i="1"/>
  <c r="FL4308" i="1"/>
  <c r="FL4307" i="1"/>
  <c r="FL4306" i="1"/>
  <c r="FL4305" i="1"/>
  <c r="FL4304" i="1"/>
  <c r="FL4303" i="1"/>
  <c r="FL4302" i="1"/>
  <c r="FL4301" i="1"/>
  <c r="FL4300" i="1"/>
  <c r="FL4299" i="1"/>
  <c r="FL4298" i="1"/>
  <c r="FL4297" i="1"/>
  <c r="FL4296" i="1"/>
  <c r="FL4295" i="1"/>
  <c r="FL4294" i="1"/>
  <c r="FL4293" i="1"/>
  <c r="FL4292" i="1"/>
  <c r="FL4291" i="1"/>
  <c r="FL4290" i="1"/>
  <c r="FL4289" i="1"/>
  <c r="FL4288" i="1"/>
  <c r="FL4287" i="1"/>
  <c r="FL4286" i="1"/>
  <c r="FL4285" i="1"/>
  <c r="FL4284" i="1"/>
  <c r="FL4283" i="1"/>
  <c r="FL4282" i="1"/>
  <c r="FL4281" i="1"/>
  <c r="FL4280" i="1"/>
  <c r="FL4279" i="1"/>
  <c r="FL4278" i="1"/>
  <c r="FL4277" i="1"/>
  <c r="FL4276" i="1"/>
  <c r="FM4270" i="1"/>
  <c r="FM4269" i="1"/>
  <c r="FM4268" i="1"/>
  <c r="FM4267" i="1"/>
  <c r="FM4266" i="1"/>
  <c r="FM4310" i="1"/>
  <c r="FM4309" i="1"/>
  <c r="FM4308" i="1"/>
  <c r="FM4307" i="1"/>
  <c r="FM4306" i="1"/>
  <c r="FM4305" i="1"/>
  <c r="FM4304" i="1"/>
  <c r="FM4303" i="1"/>
  <c r="FM4302" i="1"/>
  <c r="FM4301" i="1"/>
  <c r="FM4300" i="1"/>
  <c r="FM4299" i="1"/>
  <c r="FM4298" i="1"/>
  <c r="FM4297" i="1"/>
  <c r="FM4296" i="1"/>
  <c r="FM4295" i="1"/>
  <c r="FM4294" i="1"/>
  <c r="FM4293" i="1"/>
  <c r="FM4292" i="1"/>
  <c r="FM4291" i="1"/>
  <c r="FM4290" i="1"/>
  <c r="FM4289" i="1"/>
  <c r="FM4288" i="1"/>
  <c r="FM4287" i="1"/>
  <c r="FM4286" i="1"/>
  <c r="FM4285" i="1"/>
  <c r="FM4284" i="1"/>
  <c r="FM4283" i="1"/>
  <c r="FM4282" i="1"/>
  <c r="FM4281" i="1"/>
  <c r="FM4280" i="1"/>
  <c r="FM4279" i="1"/>
  <c r="FM4278" i="1"/>
  <c r="FM4277" i="1"/>
  <c r="FM4276" i="1"/>
  <c r="FL4270" i="1"/>
  <c r="FL4269" i="1"/>
  <c r="FL4268" i="1"/>
  <c r="FL4267" i="1"/>
  <c r="FL4266" i="1"/>
  <c r="C7" i="3"/>
  <c r="Z4310" i="1"/>
  <c r="K4310" i="1"/>
  <c r="J4310" i="1"/>
  <c r="Z4309" i="1"/>
  <c r="K4309" i="1"/>
  <c r="J4309" i="1"/>
  <c r="Z4308" i="1"/>
  <c r="K4308" i="1"/>
  <c r="J4308" i="1"/>
  <c r="Z4307" i="1"/>
  <c r="K4307" i="1"/>
  <c r="J4307" i="1"/>
  <c r="Z4306" i="1"/>
  <c r="K4306" i="1"/>
  <c r="J4306" i="1"/>
  <c r="Z4295" i="1"/>
  <c r="K4295" i="1"/>
  <c r="J4295" i="1"/>
  <c r="Z4294" i="1"/>
  <c r="K4294" i="1"/>
  <c r="J4294" i="1"/>
  <c r="Z4293" i="1"/>
  <c r="K4293" i="1"/>
  <c r="J4293" i="1"/>
  <c r="Z4292" i="1"/>
  <c r="K4292" i="1"/>
  <c r="J4292" i="1"/>
  <c r="Z4291" i="1"/>
  <c r="K4291" i="1"/>
  <c r="J4291" i="1"/>
  <c r="Z4280" i="1"/>
  <c r="K4280" i="1"/>
  <c r="J4280" i="1"/>
  <c r="Z4279" i="1"/>
  <c r="K4279" i="1"/>
  <c r="J4279" i="1"/>
  <c r="Z4278" i="1"/>
  <c r="K4278" i="1"/>
  <c r="J4278" i="1"/>
  <c r="Z4277" i="1"/>
  <c r="K4277" i="1"/>
  <c r="J4277" i="1"/>
  <c r="Z4276" i="1"/>
  <c r="K4276" i="1"/>
  <c r="J4276" i="1"/>
  <c r="Z4305" i="1"/>
  <c r="K4305" i="1"/>
  <c r="J4305" i="1"/>
  <c r="Z4304" i="1"/>
  <c r="K4304" i="1"/>
  <c r="J4304" i="1"/>
  <c r="Z4303" i="1"/>
  <c r="K4303" i="1"/>
  <c r="J4303" i="1"/>
  <c r="Z4302" i="1"/>
  <c r="K4302" i="1"/>
  <c r="J4302" i="1"/>
  <c r="Z4301" i="1"/>
  <c r="K4301" i="1"/>
  <c r="J4301" i="1"/>
  <c r="Z4300" i="1"/>
  <c r="K4300" i="1"/>
  <c r="J4300" i="1"/>
  <c r="Z4299" i="1"/>
  <c r="K4299" i="1"/>
  <c r="J4299" i="1"/>
  <c r="Z4298" i="1"/>
  <c r="K4298" i="1"/>
  <c r="J4298" i="1"/>
  <c r="Z4297" i="1"/>
  <c r="K4297" i="1"/>
  <c r="J4297" i="1"/>
  <c r="Z4296" i="1"/>
  <c r="K4296" i="1"/>
  <c r="J4296" i="1"/>
  <c r="K4290" i="1"/>
  <c r="J4290" i="1"/>
  <c r="K4289" i="1"/>
  <c r="J4289" i="1"/>
  <c r="K4288" i="1"/>
  <c r="J4288" i="1"/>
  <c r="K4287" i="1"/>
  <c r="J4287" i="1"/>
  <c r="K4286" i="1"/>
  <c r="J4286" i="1"/>
  <c r="K4285" i="1"/>
  <c r="J4285" i="1"/>
  <c r="K4284" i="1"/>
  <c r="J4284" i="1"/>
  <c r="K4283" i="1"/>
  <c r="J4283" i="1"/>
  <c r="K4282" i="1"/>
  <c r="J4282" i="1"/>
  <c r="K4281" i="1"/>
  <c r="J4281" i="1"/>
  <c r="Z4275" i="1"/>
  <c r="K4275" i="1"/>
  <c r="J4275" i="1"/>
  <c r="Z4274" i="1"/>
  <c r="K4274" i="1"/>
  <c r="J4274" i="1"/>
  <c r="Z4273" i="1"/>
  <c r="K4273" i="1"/>
  <c r="J4273" i="1"/>
  <c r="Z4272" i="1"/>
  <c r="K4272" i="1"/>
  <c r="J4272" i="1"/>
  <c r="Z4271" i="1"/>
  <c r="K4271" i="1"/>
  <c r="J4271" i="1"/>
  <c r="Z4270" i="1"/>
  <c r="K4270" i="1"/>
  <c r="J4270" i="1"/>
  <c r="Z4269" i="1"/>
  <c r="K4269" i="1"/>
  <c r="J4269" i="1"/>
  <c r="Z4268" i="1"/>
  <c r="K4268" i="1"/>
  <c r="J4268" i="1"/>
  <c r="Z4267" i="1"/>
  <c r="K4267" i="1"/>
  <c r="J4267" i="1"/>
  <c r="Z4266" i="1"/>
  <c r="K4266" i="1"/>
  <c r="J4266" i="1"/>
  <c r="BM4223" i="1" l="1"/>
  <c r="BM4222" i="1"/>
  <c r="BM4219" i="1"/>
  <c r="BM4218" i="1"/>
  <c r="BL4223" i="1"/>
  <c r="BL4222" i="1"/>
  <c r="BL4219" i="1"/>
  <c r="BL4218" i="1"/>
  <c r="BN4223" i="1"/>
  <c r="BK4223" i="1"/>
  <c r="BN4222" i="1"/>
  <c r="BK4222" i="1"/>
  <c r="BN4219" i="1"/>
  <c r="BK4219" i="1"/>
  <c r="BN4218" i="1"/>
  <c r="BK4218" i="1"/>
  <c r="HR4225" i="1"/>
  <c r="HR4224" i="1"/>
  <c r="HR4223" i="1"/>
  <c r="HR4222" i="1"/>
  <c r="HR4221" i="1"/>
  <c r="HR4220" i="1"/>
  <c r="HR4219" i="1"/>
  <c r="HR4218" i="1"/>
  <c r="HQ4220" i="1"/>
  <c r="HQ4221" i="1"/>
  <c r="HP4225" i="1"/>
  <c r="HP4224" i="1"/>
  <c r="HP4223" i="1"/>
  <c r="HP4222" i="1"/>
  <c r="HP4221" i="1"/>
  <c r="HP4220" i="1"/>
  <c r="HP4219" i="1"/>
  <c r="HP4218" i="1"/>
  <c r="HQ4225" i="1"/>
  <c r="HO4225" i="1"/>
  <c r="HQ4224" i="1"/>
  <c r="HO4224" i="1"/>
  <c r="HQ4223" i="1"/>
  <c r="HO4223" i="1"/>
  <c r="HQ4222" i="1"/>
  <c r="HO4222" i="1"/>
  <c r="HO4221" i="1"/>
  <c r="HO4220" i="1"/>
  <c r="HQ4219" i="1"/>
  <c r="HO4219" i="1"/>
  <c r="HQ4218" i="1"/>
  <c r="HO4218" i="1"/>
  <c r="IJ4225" i="1"/>
  <c r="IJ4224" i="1"/>
  <c r="IJ4223" i="1"/>
  <c r="IJ4222" i="1"/>
  <c r="IL4225" i="1"/>
  <c r="IL4224" i="1"/>
  <c r="IL4223" i="1"/>
  <c r="IL4222" i="1"/>
  <c r="IL4221" i="1"/>
  <c r="IL4220" i="1"/>
  <c r="IL4219" i="1"/>
  <c r="IL4218" i="1"/>
  <c r="IJ4221" i="1"/>
  <c r="IJ4220" i="1"/>
  <c r="IJ4219" i="1"/>
  <c r="IJ4218" i="1"/>
  <c r="II4218" i="1"/>
  <c r="IK4218" i="1"/>
  <c r="II4219" i="1"/>
  <c r="IK4219" i="1"/>
  <c r="II4220" i="1"/>
  <c r="IK4220" i="1"/>
  <c r="II4221" i="1"/>
  <c r="IK4221" i="1"/>
  <c r="II4222" i="1"/>
  <c r="IK4222" i="1"/>
  <c r="II4223" i="1"/>
  <c r="IK4223" i="1"/>
  <c r="II4224" i="1"/>
  <c r="IK4224" i="1"/>
  <c r="II4225" i="1"/>
  <c r="IK4225" i="1"/>
  <c r="K4225" i="1"/>
  <c r="J4225" i="1"/>
  <c r="K4224" i="1"/>
  <c r="J4224" i="1"/>
  <c r="K4223" i="1"/>
  <c r="J4223" i="1"/>
  <c r="K4222" i="1"/>
  <c r="J4222" i="1"/>
  <c r="K4221" i="1"/>
  <c r="J4221" i="1"/>
  <c r="K4220" i="1"/>
  <c r="J4220" i="1"/>
  <c r="K4219" i="1"/>
  <c r="J4219" i="1"/>
  <c r="K4218" i="1"/>
  <c r="J4218" i="1"/>
  <c r="GX4217" i="1" l="1"/>
  <c r="GX4216" i="1"/>
  <c r="GX4215" i="1"/>
  <c r="GX4214" i="1"/>
  <c r="GX4213" i="1"/>
  <c r="GX4212" i="1"/>
  <c r="GX4211" i="1"/>
  <c r="GX4210" i="1"/>
  <c r="GX4209" i="1"/>
  <c r="GX4208" i="1"/>
  <c r="GX4207" i="1"/>
  <c r="GX4206" i="1"/>
  <c r="GX4205" i="1"/>
  <c r="GX4204" i="1"/>
  <c r="GX4203" i="1"/>
  <c r="GX4202" i="1"/>
  <c r="GX4201" i="1"/>
  <c r="GX4200" i="1"/>
  <c r="GX4199" i="1"/>
  <c r="GX4198" i="1"/>
  <c r="GX4197" i="1"/>
  <c r="GX4196" i="1"/>
  <c r="GX4195" i="1"/>
  <c r="GX4194" i="1"/>
  <c r="GW4217" i="1"/>
  <c r="GW4216" i="1"/>
  <c r="GW4215" i="1"/>
  <c r="GW4214" i="1"/>
  <c r="GW4213" i="1"/>
  <c r="GW4212" i="1"/>
  <c r="GW4211" i="1"/>
  <c r="GW4210" i="1"/>
  <c r="GW4209" i="1"/>
  <c r="GW4208" i="1"/>
  <c r="GW4207" i="1"/>
  <c r="GW4206" i="1"/>
  <c r="GW4205" i="1"/>
  <c r="GW4204" i="1"/>
  <c r="GW4203" i="1"/>
  <c r="GW4202" i="1"/>
  <c r="GW4201" i="1"/>
  <c r="GW4200" i="1"/>
  <c r="GW4199" i="1"/>
  <c r="GW4198" i="1"/>
  <c r="GW4197" i="1"/>
  <c r="GW4196" i="1"/>
  <c r="GW4195" i="1"/>
  <c r="GW4194" i="1"/>
  <c r="GS4217" i="1"/>
  <c r="GS4216" i="1"/>
  <c r="GS4215" i="1"/>
  <c r="GS4214" i="1"/>
  <c r="GS4213" i="1"/>
  <c r="GS4212" i="1"/>
  <c r="GS4211" i="1"/>
  <c r="GS4210" i="1"/>
  <c r="GS4209" i="1"/>
  <c r="GS4208" i="1"/>
  <c r="GS4207" i="1"/>
  <c r="GS4206" i="1"/>
  <c r="GS4205" i="1"/>
  <c r="GS4204" i="1"/>
  <c r="GS4203" i="1"/>
  <c r="GS4202" i="1"/>
  <c r="GS4201" i="1"/>
  <c r="GS4200" i="1"/>
  <c r="GS4199" i="1"/>
  <c r="GS4198" i="1"/>
  <c r="GS4197" i="1"/>
  <c r="GS4196" i="1"/>
  <c r="GS4195" i="1"/>
  <c r="GS4194" i="1"/>
  <c r="GR4217" i="1"/>
  <c r="GR4216" i="1"/>
  <c r="GR4215" i="1"/>
  <c r="GR4214" i="1"/>
  <c r="GR4213" i="1"/>
  <c r="GR4212" i="1"/>
  <c r="GR4211" i="1"/>
  <c r="GR4210" i="1"/>
  <c r="GR4209" i="1"/>
  <c r="GR4208" i="1"/>
  <c r="GR4207" i="1"/>
  <c r="GR4206" i="1"/>
  <c r="GR4205" i="1"/>
  <c r="GR4204" i="1"/>
  <c r="GR4203" i="1"/>
  <c r="GR4202" i="1"/>
  <c r="GR4201" i="1"/>
  <c r="GR4200" i="1"/>
  <c r="GR4199" i="1"/>
  <c r="GR4198" i="1"/>
  <c r="GR4197" i="1"/>
  <c r="GR4196" i="1"/>
  <c r="GR4195" i="1"/>
  <c r="GR4194" i="1"/>
  <c r="HC4217" i="1"/>
  <c r="HC4216" i="1"/>
  <c r="HC4215" i="1"/>
  <c r="HC4214" i="1"/>
  <c r="HC4213" i="1"/>
  <c r="HC4212" i="1"/>
  <c r="HC4211" i="1"/>
  <c r="HC4210" i="1"/>
  <c r="HC4209" i="1"/>
  <c r="HC4208" i="1"/>
  <c r="HC4207" i="1"/>
  <c r="HC4206" i="1"/>
  <c r="HC4205" i="1"/>
  <c r="HC4204" i="1"/>
  <c r="HC4203" i="1"/>
  <c r="HC4202" i="1"/>
  <c r="HC4201" i="1"/>
  <c r="HC4200" i="1"/>
  <c r="HC4199" i="1"/>
  <c r="HC4198" i="1"/>
  <c r="HC4197" i="1"/>
  <c r="HC4196" i="1"/>
  <c r="HC4195" i="1"/>
  <c r="HC4194" i="1"/>
  <c r="HB4217" i="1"/>
  <c r="HB4216" i="1"/>
  <c r="HB4215" i="1"/>
  <c r="HB4214" i="1"/>
  <c r="HB4213" i="1"/>
  <c r="HB4212" i="1"/>
  <c r="HB4211" i="1"/>
  <c r="HB4210" i="1"/>
  <c r="HB4209" i="1"/>
  <c r="HB4208" i="1"/>
  <c r="HB4207" i="1"/>
  <c r="HB4206" i="1"/>
  <c r="HB4205" i="1"/>
  <c r="HB4204" i="1"/>
  <c r="HB4203" i="1"/>
  <c r="HB4202" i="1"/>
  <c r="HB4201" i="1"/>
  <c r="HB4200" i="1"/>
  <c r="HB4199" i="1"/>
  <c r="HB4198" i="1"/>
  <c r="HB4197" i="1"/>
  <c r="HB4196" i="1"/>
  <c r="HB4195" i="1"/>
  <c r="HB4194"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BN4191" i="1"/>
  <c r="BN4190" i="1"/>
  <c r="BN4187" i="1"/>
  <c r="BN4186" i="1"/>
  <c r="BM4191" i="1"/>
  <c r="BM4190" i="1"/>
  <c r="BM4187" i="1"/>
  <c r="BM4186" i="1"/>
  <c r="BL4191" i="1"/>
  <c r="BL4190" i="1"/>
  <c r="BL4187" i="1"/>
  <c r="BL4186" i="1"/>
  <c r="BK4191" i="1"/>
  <c r="BK4190" i="1"/>
  <c r="BK4187" i="1"/>
  <c r="BK4186" i="1"/>
  <c r="HP4193" i="1"/>
  <c r="HP4192" i="1"/>
  <c r="HP4191" i="1"/>
  <c r="HP4190" i="1"/>
  <c r="HP4189" i="1"/>
  <c r="HP4188" i="1"/>
  <c r="HP4187" i="1"/>
  <c r="HP4186" i="1"/>
  <c r="HO4193" i="1"/>
  <c r="HO4192" i="1"/>
  <c r="HO4191" i="1"/>
  <c r="HO4190" i="1"/>
  <c r="HO4189" i="1"/>
  <c r="HO4188" i="1"/>
  <c r="HO4187" i="1"/>
  <c r="HO4186" i="1"/>
  <c r="HR4193" i="1"/>
  <c r="HR4192" i="1"/>
  <c r="HR4191" i="1"/>
  <c r="HR4190" i="1"/>
  <c r="HR4189" i="1"/>
  <c r="HR4188" i="1"/>
  <c r="HR4187" i="1"/>
  <c r="HR4186" i="1"/>
  <c r="HQ4193" i="1"/>
  <c r="HQ4192" i="1"/>
  <c r="HQ4191" i="1"/>
  <c r="HQ4190" i="1"/>
  <c r="HQ4189" i="1"/>
  <c r="HQ4188" i="1"/>
  <c r="HQ4187" i="1"/>
  <c r="HQ4186" i="1"/>
  <c r="IL4193" i="1"/>
  <c r="IL4192" i="1"/>
  <c r="IL4191" i="1"/>
  <c r="IL4190" i="1"/>
  <c r="IL4189" i="1"/>
  <c r="IL4188" i="1"/>
  <c r="IL4187" i="1"/>
  <c r="IL4186" i="1"/>
  <c r="IK4193" i="1"/>
  <c r="IK4192" i="1"/>
  <c r="IK4191" i="1"/>
  <c r="IK4190" i="1"/>
  <c r="IK4189" i="1"/>
  <c r="IK4188" i="1"/>
  <c r="IK4187" i="1"/>
  <c r="IK4186" i="1"/>
  <c r="IJ4193" i="1"/>
  <c r="IJ4192" i="1"/>
  <c r="IJ4191" i="1"/>
  <c r="IJ4190" i="1"/>
  <c r="IJ4189" i="1"/>
  <c r="IJ4188" i="1"/>
  <c r="IJ4187" i="1"/>
  <c r="IJ4186" i="1"/>
  <c r="II4193" i="1"/>
  <c r="II4192" i="1"/>
  <c r="II4191" i="1"/>
  <c r="II4190" i="1"/>
  <c r="II4189" i="1"/>
  <c r="II4188" i="1"/>
  <c r="II4187" i="1"/>
  <c r="II4186" i="1"/>
  <c r="C27" i="4"/>
  <c r="E27" i="4"/>
  <c r="K4193" i="1"/>
  <c r="J4193" i="1"/>
  <c r="K4192" i="1"/>
  <c r="J4192" i="1"/>
  <c r="K4191" i="1"/>
  <c r="J4191" i="1"/>
  <c r="K4190" i="1"/>
  <c r="J4190" i="1"/>
  <c r="K4189" i="1"/>
  <c r="J4189" i="1"/>
  <c r="K4188" i="1"/>
  <c r="J4188" i="1"/>
  <c r="K4187" i="1"/>
  <c r="J4187" i="1"/>
  <c r="K4186" i="1"/>
  <c r="J4186" i="1"/>
  <c r="BB4145" i="1"/>
  <c r="BB4144" i="1"/>
  <c r="BB4143" i="1"/>
  <c r="BB4142" i="1"/>
  <c r="BB4141" i="1"/>
  <c r="BC4183" i="1"/>
  <c r="BC4184" i="1"/>
  <c r="BC4185" i="1"/>
  <c r="BC4182" i="1"/>
  <c r="BC4179" i="1"/>
  <c r="BC4180" i="1"/>
  <c r="BC4181" i="1"/>
  <c r="BC4178" i="1"/>
  <c r="BC4145" i="1" s="1"/>
  <c r="BC4175" i="1"/>
  <c r="BC4176" i="1"/>
  <c r="BC4177" i="1"/>
  <c r="BC4174" i="1"/>
  <c r="BC4171" i="1"/>
  <c r="BC4172" i="1"/>
  <c r="BC4173" i="1"/>
  <c r="BC4170" i="1"/>
  <c r="BC4167" i="1"/>
  <c r="BC4168" i="1"/>
  <c r="BC4169" i="1"/>
  <c r="BC4166" i="1"/>
  <c r="BC4163" i="1"/>
  <c r="BC4164" i="1"/>
  <c r="BC4165" i="1"/>
  <c r="BC4162" i="1"/>
  <c r="BC4159" i="1"/>
  <c r="BC4160" i="1"/>
  <c r="BC4161" i="1"/>
  <c r="BC4158" i="1"/>
  <c r="BC4155" i="1"/>
  <c r="BC4156" i="1"/>
  <c r="BC4157" i="1"/>
  <c r="BC4154" i="1"/>
  <c r="BC4153" i="1"/>
  <c r="BC4150" i="1"/>
  <c r="BC4151" i="1"/>
  <c r="BC4152" i="1"/>
  <c r="BC4147" i="1"/>
  <c r="BC4148" i="1"/>
  <c r="BC4149" i="1"/>
  <c r="BC4146" i="1"/>
  <c r="BL4145" i="1"/>
  <c r="BN4145" i="1" s="1"/>
  <c r="BL4144" i="1"/>
  <c r="BN4144" i="1" s="1"/>
  <c r="BL4143" i="1"/>
  <c r="BN4143" i="1" s="1"/>
  <c r="BL4142" i="1"/>
  <c r="BN4142" i="1" s="1"/>
  <c r="BL4141" i="1"/>
  <c r="BN4141" i="1" s="1"/>
  <c r="BK4145" i="1"/>
  <c r="BM4145" i="1" s="1"/>
  <c r="BK4144" i="1"/>
  <c r="BM4144" i="1" s="1"/>
  <c r="BK4143" i="1"/>
  <c r="BM4143" i="1" s="1"/>
  <c r="BK4142" i="1"/>
  <c r="BM4142" i="1" s="1"/>
  <c r="BK4141" i="1"/>
  <c r="BM4141" i="1" s="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M4140" i="1"/>
  <c r="M4139" i="1"/>
  <c r="M4138" i="1"/>
  <c r="M4137" i="1"/>
  <c r="M4136" i="1"/>
  <c r="M4135" i="1"/>
  <c r="M4134" i="1"/>
  <c r="M4133" i="1"/>
  <c r="M4132" i="1"/>
  <c r="M4131" i="1"/>
  <c r="M4130" i="1"/>
  <c r="M4129" i="1"/>
  <c r="O4140" i="1"/>
  <c r="O4139" i="1"/>
  <c r="O4138" i="1"/>
  <c r="O4137" i="1"/>
  <c r="O4136" i="1"/>
  <c r="O4135" i="1"/>
  <c r="O4134" i="1"/>
  <c r="O4133" i="1"/>
  <c r="O4132" i="1"/>
  <c r="O4131" i="1"/>
  <c r="O4130" i="1"/>
  <c r="O4129" i="1"/>
  <c r="GX4139" i="1"/>
  <c r="GX4138" i="1"/>
  <c r="GX4137" i="1"/>
  <c r="GX4136" i="1"/>
  <c r="GX4135" i="1"/>
  <c r="GW4140" i="1"/>
  <c r="GW4139" i="1"/>
  <c r="GW4138" i="1"/>
  <c r="GW4137" i="1"/>
  <c r="GW4136" i="1"/>
  <c r="GW4135" i="1"/>
  <c r="GX4134" i="1"/>
  <c r="GX4133" i="1"/>
  <c r="GX4132" i="1"/>
  <c r="GX4131" i="1"/>
  <c r="GX4130" i="1"/>
  <c r="GX4129" i="1"/>
  <c r="GW4134" i="1"/>
  <c r="GW4133" i="1"/>
  <c r="GW4132" i="1"/>
  <c r="GW4131" i="1"/>
  <c r="GW4130" i="1"/>
  <c r="GW4129" i="1"/>
  <c r="N4140" i="1"/>
  <c r="K4140" i="1"/>
  <c r="J4140" i="1"/>
  <c r="N4139" i="1"/>
  <c r="K4139" i="1"/>
  <c r="J4139" i="1"/>
  <c r="N4138" i="1"/>
  <c r="K4138" i="1"/>
  <c r="J4138" i="1"/>
  <c r="N4137" i="1"/>
  <c r="K4137" i="1"/>
  <c r="J4137" i="1"/>
  <c r="N4136" i="1"/>
  <c r="K4136" i="1"/>
  <c r="J4136" i="1"/>
  <c r="N4135" i="1"/>
  <c r="K4135" i="1"/>
  <c r="J4135" i="1"/>
  <c r="N4134" i="1"/>
  <c r="K4134" i="1"/>
  <c r="J4134" i="1"/>
  <c r="N4133" i="1"/>
  <c r="K4133" i="1"/>
  <c r="J4133" i="1"/>
  <c r="N4132" i="1"/>
  <c r="K4132" i="1"/>
  <c r="J4132" i="1"/>
  <c r="N4131" i="1"/>
  <c r="K4131" i="1"/>
  <c r="J4131" i="1"/>
  <c r="N4130" i="1"/>
  <c r="K4130" i="1"/>
  <c r="J4130" i="1"/>
  <c r="N4129" i="1"/>
  <c r="K4129" i="1"/>
  <c r="J4129" i="1"/>
  <c r="IG4127" i="1"/>
  <c r="IG4128" i="1"/>
  <c r="IF4128" i="1"/>
  <c r="IF4127" i="1"/>
  <c r="IL4127" i="1"/>
  <c r="HR4127" i="1"/>
  <c r="HR4128" i="1"/>
  <c r="HQ4128" i="1"/>
  <c r="HQ4127" i="1"/>
  <c r="IL4128" i="1"/>
  <c r="IK4128" i="1"/>
  <c r="IK4127" i="1"/>
  <c r="DE4128" i="1"/>
  <c r="DE4127" i="1"/>
  <c r="DD4128" i="1"/>
  <c r="DD4127" i="1"/>
  <c r="K4128" i="1"/>
  <c r="J4128" i="1"/>
  <c r="K4127" i="1"/>
  <c r="J4127" i="1"/>
  <c r="BC4141" i="1" l="1"/>
  <c r="BC4143" i="1"/>
  <c r="BC4142" i="1"/>
  <c r="BC4144" i="1"/>
  <c r="BN4110" i="1"/>
  <c r="BN4109" i="1"/>
  <c r="BN4108" i="1"/>
  <c r="BN4107" i="1"/>
  <c r="BN4106" i="1"/>
  <c r="BN4105" i="1"/>
  <c r="BN4104" i="1"/>
  <c r="BN4103" i="1"/>
  <c r="BN4102" i="1"/>
  <c r="BN4101" i="1"/>
  <c r="BN4100" i="1"/>
  <c r="BN4099" i="1"/>
  <c r="BN4098" i="1"/>
  <c r="BN4097" i="1"/>
  <c r="BN4096" i="1"/>
  <c r="BN4095" i="1"/>
  <c r="BM4104" i="1"/>
  <c r="BM4105" i="1"/>
  <c r="BM4106" i="1"/>
  <c r="BM4107" i="1"/>
  <c r="BM4108" i="1"/>
  <c r="BM4109" i="1"/>
  <c r="BM4110" i="1"/>
  <c r="BM4103" i="1"/>
  <c r="BM4096" i="1"/>
  <c r="BM4097" i="1"/>
  <c r="BM4098" i="1"/>
  <c r="BM4099" i="1"/>
  <c r="BM4100" i="1"/>
  <c r="BM4101" i="1"/>
  <c r="BM4102" i="1"/>
  <c r="BM4095" i="1"/>
  <c r="K4094" i="1"/>
  <c r="J4094" i="1"/>
  <c r="K4093" i="1"/>
  <c r="J4093" i="1"/>
  <c r="K4092" i="1"/>
  <c r="J4092" i="1"/>
  <c r="K4091" i="1"/>
  <c r="J4091" i="1"/>
  <c r="AB4090" i="1"/>
  <c r="AA4090" i="1"/>
  <c r="K4090" i="1"/>
  <c r="J4090" i="1"/>
  <c r="AB4089" i="1"/>
  <c r="AA4089" i="1"/>
  <c r="K4089" i="1"/>
  <c r="J4089" i="1"/>
  <c r="AB4088" i="1"/>
  <c r="AA4088" i="1"/>
  <c r="K4088" i="1"/>
  <c r="J4088" i="1"/>
  <c r="AB4087" i="1"/>
  <c r="AA4087" i="1"/>
  <c r="K4087" i="1"/>
  <c r="J4087" i="1"/>
  <c r="AB4086" i="1"/>
  <c r="AA4086" i="1"/>
  <c r="K4086" i="1"/>
  <c r="J4086" i="1"/>
  <c r="AB4085" i="1"/>
  <c r="AA4085" i="1"/>
  <c r="K4085" i="1"/>
  <c r="J4085" i="1"/>
  <c r="AB4084" i="1"/>
  <c r="AA4084" i="1"/>
  <c r="K4084" i="1"/>
  <c r="J4084" i="1"/>
  <c r="AB4083" i="1"/>
  <c r="AA4083" i="1"/>
  <c r="K4083" i="1"/>
  <c r="J4083" i="1"/>
  <c r="AB4082" i="1"/>
  <c r="AA4082" i="1"/>
  <c r="K4082" i="1"/>
  <c r="J4082" i="1"/>
  <c r="AB4081" i="1"/>
  <c r="AA4081" i="1"/>
  <c r="K4081" i="1"/>
  <c r="J4081" i="1"/>
  <c r="AB4080" i="1"/>
  <c r="AA4080" i="1"/>
  <c r="K4080" i="1"/>
  <c r="J4080" i="1"/>
  <c r="AB4079" i="1"/>
  <c r="AA4079"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FM4059" i="1"/>
  <c r="FM4058" i="1"/>
  <c r="FM4057" i="1"/>
  <c r="FM4056" i="1"/>
  <c r="FM4055" i="1"/>
  <c r="FM4054" i="1"/>
  <c r="FM4053" i="1"/>
  <c r="FM4052" i="1"/>
  <c r="FM4051" i="1"/>
  <c r="FM4050" i="1"/>
  <c r="FM4049" i="1"/>
  <c r="FM4048" i="1"/>
  <c r="FM4047" i="1"/>
  <c r="FM4046" i="1"/>
  <c r="FM4045" i="1"/>
  <c r="FM4044" i="1"/>
  <c r="FM4043" i="1"/>
  <c r="FM4042" i="1"/>
  <c r="FM4041" i="1"/>
  <c r="FM4040" i="1"/>
  <c r="FM4039" i="1"/>
  <c r="FM4038" i="1"/>
  <c r="FM4037" i="1"/>
  <c r="FM4036" i="1"/>
  <c r="FM4035" i="1"/>
  <c r="FM4034" i="1"/>
  <c r="FM4033" i="1"/>
  <c r="FL4033" i="1"/>
  <c r="FL4049" i="1"/>
  <c r="FL4050" i="1"/>
  <c r="FL4048" i="1"/>
  <c r="FL4046" i="1"/>
  <c r="FL4047" i="1"/>
  <c r="FL4045" i="1"/>
  <c r="FL4043" i="1"/>
  <c r="FL4044" i="1"/>
  <c r="FL4042" i="1"/>
  <c r="FL4040" i="1"/>
  <c r="FL4041" i="1"/>
  <c r="FL4039" i="1"/>
  <c r="FL4037" i="1"/>
  <c r="FL4038" i="1"/>
  <c r="FL4036" i="1"/>
  <c r="FL4034" i="1"/>
  <c r="FL4035" i="1"/>
  <c r="FM4032" i="1"/>
  <c r="FM4031" i="1"/>
  <c r="FM4030" i="1"/>
  <c r="FM4029" i="1"/>
  <c r="FM4028" i="1"/>
  <c r="FM4027" i="1"/>
  <c r="FM4026" i="1"/>
  <c r="FM4025" i="1"/>
  <c r="FM4024" i="1"/>
  <c r="FL4031" i="1"/>
  <c r="FL4032" i="1"/>
  <c r="FL4030" i="1"/>
  <c r="FL4028" i="1"/>
  <c r="FL4029" i="1"/>
  <c r="FL4027" i="1"/>
  <c r="FL4025" i="1"/>
  <c r="FL4026" i="1"/>
  <c r="FL4024"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GS4022" i="1" l="1"/>
  <c r="GS4023" i="1"/>
  <c r="GR4023" i="1"/>
  <c r="GR4022" i="1"/>
  <c r="HC4023" i="1"/>
  <c r="HC4022" i="1"/>
  <c r="CR4023" i="1"/>
  <c r="CR4022" i="1"/>
  <c r="CQ4023" i="1"/>
  <c r="CQ4022" i="1"/>
  <c r="BX4023" i="1"/>
  <c r="BX4022" i="1"/>
  <c r="BW4023" i="1"/>
  <c r="BW4022" i="1"/>
  <c r="BV4022" i="1"/>
  <c r="BU4023" i="1"/>
  <c r="BU4022" i="1"/>
  <c r="DB4023" i="1"/>
  <c r="DB4022" i="1"/>
  <c r="DA4023" i="1"/>
  <c r="DA4022" i="1"/>
  <c r="K4023" i="1"/>
  <c r="J4023" i="1"/>
  <c r="K4022" i="1"/>
  <c r="J4022" i="1"/>
  <c r="GI4021" i="1"/>
  <c r="GI4020" i="1"/>
  <c r="GI4019" i="1"/>
  <c r="GH4020" i="1"/>
  <c r="GH4021" i="1"/>
  <c r="GH4019" i="1"/>
  <c r="GI4018" i="1"/>
  <c r="GH4017" i="1"/>
  <c r="GH4018" i="1"/>
  <c r="GH4016" i="1"/>
  <c r="GI4016" i="1"/>
  <c r="GI4017" i="1"/>
  <c r="K4021" i="1"/>
  <c r="J4021" i="1"/>
  <c r="K4020" i="1"/>
  <c r="J4020" i="1"/>
  <c r="K4019" i="1"/>
  <c r="J4019" i="1"/>
  <c r="K4018" i="1"/>
  <c r="J4018" i="1"/>
  <c r="K4017" i="1"/>
  <c r="J4017" i="1"/>
  <c r="K4016" i="1"/>
  <c r="J4016" i="1"/>
  <c r="K4007" i="1" l="1"/>
  <c r="J4007" i="1"/>
  <c r="K4004" i="1"/>
  <c r="J4004" i="1"/>
  <c r="K4015" i="1"/>
  <c r="J4015" i="1"/>
  <c r="K4014" i="1"/>
  <c r="J4014" i="1"/>
  <c r="K4013" i="1"/>
  <c r="J4013" i="1"/>
  <c r="K4012" i="1"/>
  <c r="J4012" i="1"/>
  <c r="K4011" i="1"/>
  <c r="J4011" i="1"/>
  <c r="K4010" i="1"/>
  <c r="J4010" i="1"/>
  <c r="K4009" i="1"/>
  <c r="J4009" i="1"/>
  <c r="K4008" i="1"/>
  <c r="J4008" i="1"/>
  <c r="K4006" i="1"/>
  <c r="J4006" i="1"/>
  <c r="K4005" i="1"/>
  <c r="J4005" i="1"/>
  <c r="K4003" i="1"/>
  <c r="J4003" i="1"/>
  <c r="K4002" i="1"/>
  <c r="J4002" i="1"/>
  <c r="DE3872" i="1"/>
  <c r="DE3871" i="1"/>
  <c r="DE3870" i="1"/>
  <c r="DD3871" i="1"/>
  <c r="DD3872" i="1"/>
  <c r="DD3870" i="1"/>
  <c r="DE3868" i="1"/>
  <c r="DE3867" i="1"/>
  <c r="DE3866" i="1"/>
  <c r="DD3867" i="1"/>
  <c r="DD3868" i="1"/>
  <c r="DD3866" i="1"/>
  <c r="DE3864" i="1"/>
  <c r="DE3863" i="1"/>
  <c r="DE3862" i="1"/>
  <c r="DD3863" i="1"/>
  <c r="DD3864" i="1"/>
  <c r="DD3862" i="1"/>
  <c r="DE3860" i="1"/>
  <c r="DE3859" i="1"/>
  <c r="DE3858" i="1"/>
  <c r="DD3859" i="1"/>
  <c r="DD3860" i="1"/>
  <c r="DD3858" i="1"/>
  <c r="DE3824" i="1"/>
  <c r="DE3823" i="1"/>
  <c r="DE3822" i="1"/>
  <c r="DD3823" i="1"/>
  <c r="DD3824" i="1"/>
  <c r="DD3822" i="1"/>
  <c r="DE3820" i="1"/>
  <c r="DE3819" i="1"/>
  <c r="DE3818" i="1"/>
  <c r="DD3819" i="1"/>
  <c r="DD3820" i="1"/>
  <c r="DD3818" i="1"/>
  <c r="DE3816" i="1"/>
  <c r="DE3815" i="1"/>
  <c r="DE3814" i="1"/>
  <c r="DD3815" i="1"/>
  <c r="DD3816" i="1"/>
  <c r="DD3814" i="1"/>
  <c r="DE3812" i="1"/>
  <c r="DE3811" i="1"/>
  <c r="DE3810" i="1"/>
  <c r="DD3811" i="1"/>
  <c r="DD3812" i="1"/>
  <c r="DD3810"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58" i="1"/>
  <c r="K3810" i="1"/>
  <c r="BC3809" i="1"/>
  <c r="BC3808" i="1"/>
  <c r="BC3807" i="1"/>
  <c r="BC3806" i="1"/>
  <c r="BC3805" i="1"/>
  <c r="BC3804" i="1"/>
  <c r="BC3803" i="1"/>
  <c r="BC3802" i="1"/>
  <c r="BC3801" i="1"/>
  <c r="BC3800" i="1"/>
  <c r="BC3799" i="1"/>
  <c r="BC3798" i="1"/>
  <c r="BC3797" i="1"/>
  <c r="BC3796" i="1"/>
  <c r="BC3795" i="1"/>
  <c r="BC3794" i="1"/>
  <c r="BC3793" i="1"/>
  <c r="BC3791" i="1"/>
  <c r="BC3792" i="1"/>
  <c r="BC3790" i="1"/>
  <c r="BC3789" i="1"/>
  <c r="BC3788" i="1"/>
  <c r="BC3787" i="1"/>
  <c r="J3800" i="1"/>
  <c r="K3800" i="1"/>
  <c r="J3801" i="1"/>
  <c r="K3801" i="1"/>
  <c r="J3802" i="1"/>
  <c r="K3802" i="1"/>
  <c r="J3803" i="1"/>
  <c r="K3803" i="1"/>
  <c r="J3804" i="1"/>
  <c r="K3804" i="1"/>
  <c r="J3805" i="1"/>
  <c r="K3805" i="1"/>
  <c r="J3806" i="1"/>
  <c r="K3806" i="1"/>
  <c r="J3807" i="1"/>
  <c r="K3807" i="1"/>
  <c r="J3808" i="1"/>
  <c r="K3808" i="1"/>
  <c r="J3809" i="1"/>
  <c r="K3809"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AD3786" i="1"/>
  <c r="K3786" i="1"/>
  <c r="J3786" i="1"/>
  <c r="AD3785" i="1"/>
  <c r="K3785" i="1"/>
  <c r="J3785" i="1"/>
  <c r="AD3784" i="1"/>
  <c r="K3784" i="1"/>
  <c r="J3784" i="1"/>
  <c r="AD3783" i="1"/>
  <c r="K3783" i="1"/>
  <c r="J3783" i="1"/>
  <c r="AD3782" i="1"/>
  <c r="K3782" i="1"/>
  <c r="J3782" i="1"/>
  <c r="AD3781" i="1"/>
  <c r="K3781" i="1"/>
  <c r="J3781" i="1"/>
  <c r="AD3780" i="1"/>
  <c r="K3780" i="1"/>
  <c r="J3780" i="1"/>
  <c r="AD3779" i="1"/>
  <c r="K3779" i="1"/>
  <c r="J3779" i="1"/>
  <c r="AD3778" i="1"/>
  <c r="K3778" i="1"/>
  <c r="J3778" i="1"/>
  <c r="AD3777" i="1"/>
  <c r="K3777" i="1"/>
  <c r="J3777" i="1"/>
  <c r="AD3776" i="1"/>
  <c r="K3776" i="1"/>
  <c r="J3776" i="1"/>
  <c r="AD3775" i="1"/>
  <c r="K3775" i="1"/>
  <c r="J3775" i="1"/>
  <c r="AD3774" i="1"/>
  <c r="K3774" i="1"/>
  <c r="J3774" i="1"/>
  <c r="AD3773" i="1"/>
  <c r="K3773" i="1"/>
  <c r="J3773" i="1"/>
  <c r="AD3772" i="1"/>
  <c r="K3772" i="1"/>
  <c r="J3772" i="1"/>
  <c r="AD3771" i="1"/>
  <c r="K3771" i="1"/>
  <c r="J3771" i="1"/>
  <c r="AD3770" i="1"/>
  <c r="K3770" i="1"/>
  <c r="J3770" i="1"/>
  <c r="AD3769" i="1"/>
  <c r="K3769" i="1"/>
  <c r="J3769" i="1"/>
  <c r="AD3768" i="1"/>
  <c r="K3768" i="1"/>
  <c r="J3768" i="1"/>
  <c r="AD3767" i="1"/>
  <c r="K3767" i="1"/>
  <c r="J3767" i="1"/>
  <c r="AD3766" i="1"/>
  <c r="K3766" i="1"/>
  <c r="J3766" i="1"/>
  <c r="AD3765" i="1"/>
  <c r="K3765" i="1"/>
  <c r="J3765" i="1"/>
  <c r="AD3764" i="1"/>
  <c r="K3764" i="1"/>
  <c r="J3764" i="1"/>
  <c r="AD3763" i="1"/>
  <c r="K3763" i="1"/>
  <c r="J3763" i="1"/>
  <c r="AD3762" i="1"/>
  <c r="K3762" i="1"/>
  <c r="J3762" i="1"/>
  <c r="AD3761" i="1"/>
  <c r="K3761" i="1"/>
  <c r="J3761" i="1"/>
  <c r="AD3760" i="1"/>
  <c r="K3760" i="1"/>
  <c r="J3760" i="1"/>
  <c r="AD3759" i="1"/>
  <c r="K3759" i="1"/>
  <c r="J3759" i="1"/>
  <c r="AD3758" i="1"/>
  <c r="K3758" i="1"/>
  <c r="J3758" i="1"/>
  <c r="AD3757" i="1"/>
  <c r="K3757" i="1"/>
  <c r="J3757" i="1"/>
  <c r="AD3756" i="1"/>
  <c r="K3756" i="1"/>
  <c r="J3756" i="1"/>
  <c r="AD3755" i="1"/>
  <c r="K3755" i="1"/>
  <c r="J3755" i="1"/>
  <c r="AD3754" i="1"/>
  <c r="K3754" i="1"/>
  <c r="J3754" i="1"/>
  <c r="AD3753" i="1"/>
  <c r="K3753" i="1"/>
  <c r="J3753" i="1"/>
  <c r="AD3752" i="1"/>
  <c r="K3752" i="1"/>
  <c r="J3752" i="1"/>
  <c r="AD3751" i="1"/>
  <c r="K3751" i="1"/>
  <c r="J3751" i="1"/>
  <c r="AD3750" i="1"/>
  <c r="K3750" i="1"/>
  <c r="J3750" i="1"/>
  <c r="AD3749" i="1"/>
  <c r="K3749" i="1"/>
  <c r="J3749" i="1"/>
  <c r="AD3748" i="1"/>
  <c r="K3748" i="1"/>
  <c r="J3748" i="1"/>
  <c r="AD3747" i="1"/>
  <c r="K3747" i="1"/>
  <c r="J3747" i="1"/>
  <c r="CM3743" i="1" l="1"/>
  <c r="CM3744" i="1"/>
  <c r="CM3745" i="1"/>
  <c r="CM3746" i="1"/>
  <c r="CL3744" i="1"/>
  <c r="CL3745" i="1"/>
  <c r="CL3746" i="1"/>
  <c r="CL3743" i="1"/>
  <c r="CQ3744" i="1"/>
  <c r="CR3744" i="1"/>
  <c r="CQ3745" i="1"/>
  <c r="CR3745" i="1"/>
  <c r="CQ3746" i="1"/>
  <c r="CR3746" i="1"/>
  <c r="CR3743" i="1"/>
  <c r="CQ3743" i="1"/>
  <c r="BX3743" i="1"/>
  <c r="BX3744" i="1"/>
  <c r="BX3745" i="1"/>
  <c r="BX3746" i="1"/>
  <c r="BW3744" i="1"/>
  <c r="BW3745" i="1"/>
  <c r="BW3746" i="1"/>
  <c r="BW3743" i="1"/>
  <c r="AB3746" i="1"/>
  <c r="K3746" i="1"/>
  <c r="J3746" i="1"/>
  <c r="AB3745" i="1"/>
  <c r="K3745" i="1"/>
  <c r="J3745" i="1"/>
  <c r="AB3744" i="1"/>
  <c r="K3744" i="1"/>
  <c r="J3744" i="1"/>
  <c r="AB3743" i="1"/>
  <c r="K3743" i="1"/>
  <c r="J3743" i="1"/>
  <c r="EI3638" i="1"/>
  <c r="EI3637" i="1"/>
  <c r="EI3636" i="1"/>
  <c r="EI3635" i="1"/>
  <c r="EH3636" i="1"/>
  <c r="EH3637" i="1"/>
  <c r="EH3638" i="1"/>
  <c r="EH3635" i="1"/>
  <c r="EI3626" i="1"/>
  <c r="EI3625" i="1"/>
  <c r="EI3624" i="1"/>
  <c r="EI3623" i="1"/>
  <c r="EH3624" i="1"/>
  <c r="EH3625" i="1"/>
  <c r="EH3626" i="1"/>
  <c r="EH3623" i="1"/>
  <c r="K3638" i="1"/>
  <c r="J3638" i="1"/>
  <c r="K3637" i="1"/>
  <c r="J3637" i="1"/>
  <c r="K3636" i="1"/>
  <c r="J3636" i="1"/>
  <c r="K3635" i="1"/>
  <c r="J3635" i="1"/>
  <c r="EI3599" i="1"/>
  <c r="EI3590" i="1"/>
  <c r="EH3590" i="1"/>
  <c r="C81" i="3"/>
  <c r="E81" i="3" s="1"/>
  <c r="BN3613" i="1"/>
  <c r="BN3612" i="1"/>
  <c r="BN3609" i="1"/>
  <c r="BN3608" i="1"/>
  <c r="BM3608" i="1"/>
  <c r="BM3609" i="1"/>
  <c r="BM3610" i="1"/>
  <c r="BM3611" i="1"/>
  <c r="BM3590" i="1"/>
  <c r="BN3607" i="1"/>
  <c r="BN3606" i="1"/>
  <c r="BN3605" i="1"/>
  <c r="BN3604" i="1"/>
  <c r="BN3603" i="1"/>
  <c r="BN3602" i="1"/>
  <c r="BN3601" i="1"/>
  <c r="BN3600" i="1"/>
  <c r="BN3599" i="1"/>
  <c r="BN3598" i="1"/>
  <c r="BN3597" i="1"/>
  <c r="BN3596" i="1"/>
  <c r="BN3595" i="1"/>
  <c r="BN3594" i="1"/>
  <c r="BN3593" i="1"/>
  <c r="BN3592" i="1"/>
  <c r="BN3591" i="1"/>
  <c r="BN3590" i="1"/>
  <c r="BM3596" i="1"/>
  <c r="BM3598" i="1"/>
  <c r="BM3592" i="1"/>
  <c r="BM3591" i="1"/>
  <c r="DD3581" i="1"/>
  <c r="DD3582" i="1"/>
  <c r="DD3583" i="1"/>
  <c r="DD3584" i="1"/>
  <c r="DD3585" i="1"/>
  <c r="DD3586" i="1"/>
  <c r="DD3587" i="1"/>
  <c r="DD3588" i="1"/>
  <c r="DD3589" i="1"/>
  <c r="DD3580" i="1"/>
  <c r="DD3571" i="1"/>
  <c r="DD3572" i="1"/>
  <c r="DD3573" i="1"/>
  <c r="DD3574" i="1"/>
  <c r="DD3575" i="1"/>
  <c r="DD3576" i="1"/>
  <c r="DD3577" i="1"/>
  <c r="DD3578" i="1"/>
  <c r="DD3579" i="1"/>
  <c r="DD357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P3542" i="1"/>
  <c r="P3541" i="1"/>
  <c r="P3540" i="1"/>
  <c r="P3539" i="1"/>
  <c r="P3538" i="1"/>
  <c r="P3537" i="1"/>
  <c r="P3536" i="1"/>
  <c r="P3535" i="1"/>
  <c r="P3534" i="1"/>
  <c r="P3533" i="1"/>
  <c r="P3532" i="1"/>
  <c r="P3531" i="1"/>
  <c r="P3530" i="1"/>
  <c r="P3529" i="1"/>
  <c r="P3528" i="1"/>
  <c r="P3527" i="1"/>
  <c r="P3526" i="1"/>
  <c r="P3525" i="1"/>
  <c r="K3519" i="1"/>
  <c r="J3519" i="1"/>
  <c r="P3518" i="1"/>
  <c r="K3518" i="1"/>
  <c r="J3518" i="1"/>
  <c r="P3517" i="1"/>
  <c r="K3517" i="1"/>
  <c r="J3517" i="1"/>
  <c r="P3516" i="1"/>
  <c r="K3516" i="1"/>
  <c r="J3516" i="1"/>
  <c r="P3515" i="1"/>
  <c r="K3515" i="1"/>
  <c r="J3515" i="1"/>
  <c r="BC3514" i="1"/>
  <c r="K3514" i="1"/>
  <c r="J3514" i="1"/>
  <c r="BC3513" i="1"/>
  <c r="P3513" i="1"/>
  <c r="K3513" i="1"/>
  <c r="J3513" i="1"/>
  <c r="BC3512" i="1"/>
  <c r="P3512" i="1"/>
  <c r="K3512" i="1"/>
  <c r="J3512" i="1"/>
  <c r="BC3511" i="1"/>
  <c r="P3511" i="1"/>
  <c r="K3511" i="1"/>
  <c r="J3511" i="1"/>
  <c r="BC3510" i="1"/>
  <c r="P3510" i="1"/>
  <c r="K3510" i="1"/>
  <c r="K3540" i="1" s="1"/>
  <c r="J3510" i="1"/>
  <c r="J3540" i="1" s="1"/>
  <c r="BC3504" i="1"/>
  <c r="K3504" i="1"/>
  <c r="J3504" i="1"/>
  <c r="BC3503" i="1"/>
  <c r="P3503" i="1"/>
  <c r="K3503" i="1"/>
  <c r="J3503" i="1"/>
  <c r="P3502" i="1"/>
  <c r="K3502" i="1"/>
  <c r="J3502" i="1"/>
  <c r="BC3501" i="1"/>
  <c r="P3501" i="1"/>
  <c r="K3501" i="1"/>
  <c r="J3501" i="1"/>
  <c r="BC3500" i="1"/>
  <c r="P3500" i="1"/>
  <c r="K3500" i="1"/>
  <c r="J3500" i="1"/>
  <c r="K3524" i="1"/>
  <c r="J3524" i="1"/>
  <c r="P3523" i="1"/>
  <c r="K3523" i="1"/>
  <c r="J3523" i="1"/>
  <c r="P3522" i="1"/>
  <c r="K3522" i="1"/>
  <c r="J3522" i="1"/>
  <c r="P3521" i="1"/>
  <c r="K3521" i="1"/>
  <c r="J3521" i="1"/>
  <c r="P3520" i="1"/>
  <c r="K3520" i="1"/>
  <c r="J3520" i="1"/>
  <c r="BC3506" i="1"/>
  <c r="BC3507" i="1"/>
  <c r="BC3508" i="1"/>
  <c r="BC3509" i="1"/>
  <c r="BC3505" i="1"/>
  <c r="BC3499" i="1"/>
  <c r="BC3498" i="1"/>
  <c r="BC3496" i="1"/>
  <c r="BC3495" i="1"/>
  <c r="K3509" i="1"/>
  <c r="J3509" i="1"/>
  <c r="P3508" i="1"/>
  <c r="K3508" i="1"/>
  <c r="J3508" i="1"/>
  <c r="P3507" i="1"/>
  <c r="K3507" i="1"/>
  <c r="J3507" i="1"/>
  <c r="P3506" i="1"/>
  <c r="K3506" i="1"/>
  <c r="J3506" i="1"/>
  <c r="P3505" i="1"/>
  <c r="K3505" i="1"/>
  <c r="J3505" i="1"/>
  <c r="P3498" i="1"/>
  <c r="P3497" i="1"/>
  <c r="P3496" i="1"/>
  <c r="P3495" i="1"/>
  <c r="K3499" i="1"/>
  <c r="K3498" i="1"/>
  <c r="K3497" i="1"/>
  <c r="K3496" i="1"/>
  <c r="K3495" i="1"/>
  <c r="J3499" i="1"/>
  <c r="J3498" i="1"/>
  <c r="J3497" i="1"/>
  <c r="J3496" i="1"/>
  <c r="J3495" i="1"/>
  <c r="K3539" i="1" l="1"/>
  <c r="J3542" i="1"/>
  <c r="K3526" i="1"/>
  <c r="J3535" i="1"/>
  <c r="K3536" i="1"/>
  <c r="J3539" i="1"/>
  <c r="J3541" i="1"/>
  <c r="J3527" i="1"/>
  <c r="J3528" i="1"/>
  <c r="K3527" i="1"/>
  <c r="K3535" i="1"/>
  <c r="J3538" i="1"/>
  <c r="K3528" i="1"/>
  <c r="K3531" i="1"/>
  <c r="K3532" i="1"/>
  <c r="J3533" i="1"/>
  <c r="J3534" i="1"/>
  <c r="K3541" i="1"/>
  <c r="K3542" i="1"/>
  <c r="J3531" i="1"/>
  <c r="J3532" i="1"/>
  <c r="K3533" i="1"/>
  <c r="K3534" i="1"/>
  <c r="J3537" i="1"/>
  <c r="K3538" i="1"/>
  <c r="J3530" i="1"/>
  <c r="J3536" i="1"/>
  <c r="K3537" i="1"/>
  <c r="J3525" i="1"/>
  <c r="J3529" i="1"/>
  <c r="K3530" i="1"/>
  <c r="J3526" i="1"/>
  <c r="K3525" i="1"/>
  <c r="K3529" i="1"/>
  <c r="BX3482" i="1"/>
  <c r="BX3481" i="1"/>
  <c r="BX3480" i="1"/>
  <c r="BX3479" i="1"/>
  <c r="BW3482" i="1"/>
  <c r="BW3481" i="1"/>
  <c r="BW3480" i="1"/>
  <c r="BW3479" i="1"/>
  <c r="CM3481" i="1"/>
  <c r="CM3482" i="1"/>
  <c r="CM3479" i="1"/>
  <c r="CM3480" i="1"/>
  <c r="CL3481" i="1"/>
  <c r="CL3482" i="1"/>
  <c r="CL3479" i="1"/>
  <c r="CL3480" i="1"/>
  <c r="O3490" i="1"/>
  <c r="O3489" i="1"/>
  <c r="O3487" i="1"/>
  <c r="O3486" i="1"/>
  <c r="O3485" i="1"/>
  <c r="O3484" i="1"/>
  <c r="O3483" i="1"/>
  <c r="O3482" i="1"/>
  <c r="O3481" i="1"/>
  <c r="O3480" i="1"/>
  <c r="O3479"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79" i="1"/>
  <c r="K3480" i="1"/>
  <c r="J3480" i="1"/>
  <c r="J3479" i="1"/>
  <c r="O3474" i="1"/>
  <c r="O3473" i="1"/>
  <c r="O3472" i="1"/>
  <c r="O3471" i="1"/>
  <c r="O3466" i="1"/>
  <c r="O3465" i="1"/>
  <c r="O3464" i="1"/>
  <c r="O3463" i="1"/>
  <c r="O3458" i="1"/>
  <c r="O3457" i="1"/>
  <c r="O3456" i="1"/>
  <c r="O3455" i="1"/>
  <c r="O3448" i="1"/>
  <c r="O3449" i="1"/>
  <c r="O3450" i="1"/>
  <c r="O3447" i="1"/>
  <c r="K3454" i="1"/>
  <c r="K3453" i="1"/>
  <c r="K3452" i="1"/>
  <c r="K3451" i="1"/>
  <c r="K3450" i="1"/>
  <c r="K3449" i="1"/>
  <c r="K3448" i="1"/>
  <c r="K3447" i="1"/>
  <c r="AF3446" i="1" l="1"/>
  <c r="K3446" i="1"/>
  <c r="J3446" i="1"/>
  <c r="AF3445" i="1"/>
  <c r="K3445" i="1"/>
  <c r="J3445" i="1"/>
  <c r="AF3444" i="1"/>
  <c r="K3444" i="1"/>
  <c r="J3444" i="1"/>
  <c r="AF3443" i="1"/>
  <c r="K3443" i="1"/>
  <c r="J3443" i="1"/>
  <c r="AF3442" i="1"/>
  <c r="K3442" i="1"/>
  <c r="J3442" i="1"/>
  <c r="AF3441" i="1"/>
  <c r="K3441" i="1"/>
  <c r="J3441" i="1"/>
  <c r="AF3440" i="1"/>
  <c r="K3440" i="1"/>
  <c r="J3440" i="1"/>
  <c r="AF3439" i="1"/>
  <c r="K3439" i="1"/>
  <c r="J3439" i="1"/>
  <c r="AF3438" i="1"/>
  <c r="K3438" i="1"/>
  <c r="J3438" i="1"/>
  <c r="AF3437" i="1"/>
  <c r="K3437" i="1"/>
  <c r="J3437" i="1"/>
  <c r="AF3436" i="1"/>
  <c r="K3436" i="1"/>
  <c r="J3436" i="1"/>
  <c r="AF3435" i="1"/>
  <c r="K3435" i="1"/>
  <c r="J3435" i="1"/>
  <c r="AF3434" i="1"/>
  <c r="K3434" i="1"/>
  <c r="J3434" i="1"/>
  <c r="AF3433" i="1"/>
  <c r="K3433" i="1"/>
  <c r="J3433" i="1"/>
  <c r="AF3432" i="1"/>
  <c r="K3432" i="1"/>
  <c r="J3432" i="1"/>
  <c r="AF3431" i="1"/>
  <c r="K3431" i="1"/>
  <c r="J3431" i="1"/>
  <c r="AF3430" i="1"/>
  <c r="K3430" i="1"/>
  <c r="J3430" i="1"/>
  <c r="AF3429" i="1"/>
  <c r="K3429" i="1"/>
  <c r="J3429" i="1"/>
  <c r="AF3428" i="1"/>
  <c r="K3428" i="1"/>
  <c r="J3428" i="1"/>
  <c r="AF3427" i="1"/>
  <c r="K3427" i="1"/>
  <c r="J3427" i="1"/>
  <c r="AF3426" i="1"/>
  <c r="K3426" i="1"/>
  <c r="J3426" i="1"/>
  <c r="AF3425" i="1"/>
  <c r="K3425" i="1"/>
  <c r="J3425" i="1"/>
  <c r="AF3424" i="1"/>
  <c r="K3424" i="1"/>
  <c r="J3424" i="1"/>
  <c r="AF3423" i="1"/>
  <c r="K3423" i="1"/>
  <c r="J3423" i="1"/>
  <c r="AF3422" i="1"/>
  <c r="K3422" i="1"/>
  <c r="J3422" i="1"/>
  <c r="AF3421" i="1"/>
  <c r="K3421" i="1"/>
  <c r="J3421" i="1"/>
  <c r="AF3420" i="1"/>
  <c r="K3420" i="1"/>
  <c r="J3420" i="1"/>
  <c r="AF3419" i="1"/>
  <c r="K3419" i="1"/>
  <c r="J3419" i="1"/>
  <c r="AF3418" i="1"/>
  <c r="K3418" i="1"/>
  <c r="J3418" i="1"/>
  <c r="AF3417" i="1"/>
  <c r="K3417" i="1"/>
  <c r="J3417" i="1"/>
  <c r="AF3416" i="1"/>
  <c r="K3416" i="1"/>
  <c r="J3416" i="1"/>
  <c r="AF3415" i="1"/>
  <c r="K3415" i="1"/>
  <c r="J3415" i="1"/>
  <c r="AF3414" i="1"/>
  <c r="K3414" i="1"/>
  <c r="J3414" i="1"/>
  <c r="AF3413" i="1"/>
  <c r="K3413" i="1"/>
  <c r="J3413" i="1"/>
  <c r="AF3412" i="1"/>
  <c r="K3412" i="1"/>
  <c r="J3412" i="1"/>
  <c r="AF3411" i="1"/>
  <c r="K3411" i="1"/>
  <c r="J3411" i="1"/>
  <c r="AF3410" i="1"/>
  <c r="K3410" i="1"/>
  <c r="J3410" i="1"/>
  <c r="AF3409" i="1"/>
  <c r="K3409" i="1"/>
  <c r="J3409" i="1"/>
  <c r="AF3408" i="1"/>
  <c r="K3408" i="1"/>
  <c r="J3408" i="1"/>
  <c r="AF3407" i="1"/>
  <c r="K3407" i="1"/>
  <c r="J3407" i="1"/>
  <c r="AF3406" i="1"/>
  <c r="K3406" i="1"/>
  <c r="J3406" i="1"/>
  <c r="EX3405" i="1"/>
  <c r="EW3405" i="1"/>
  <c r="EX3404" i="1"/>
  <c r="EW3404" i="1"/>
  <c r="AF3405" i="1"/>
  <c r="K3405" i="1"/>
  <c r="J3405" i="1"/>
  <c r="AF3404" i="1"/>
  <c r="E82" i="3"/>
  <c r="C82" i="3"/>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J3381" i="1"/>
  <c r="K3381" i="1"/>
  <c r="J3382" i="1"/>
  <c r="K3382" i="1"/>
  <c r="K3380" i="1"/>
  <c r="J3380" i="1"/>
  <c r="K3379" i="1"/>
  <c r="J3379" i="1"/>
  <c r="K3378" i="1"/>
  <c r="J3378" i="1"/>
  <c r="K3377" i="1"/>
  <c r="J3377" i="1"/>
  <c r="K3376" i="1"/>
  <c r="J3376" i="1"/>
  <c r="K3375" i="1"/>
  <c r="J3375" i="1"/>
  <c r="K3374" i="1"/>
  <c r="J3374" i="1"/>
  <c r="K3373" i="1"/>
  <c r="J3373" i="1"/>
  <c r="K3372" i="1"/>
  <c r="J3372" i="1"/>
  <c r="K3371" i="1"/>
  <c r="J3371" i="1"/>
  <c r="BV3364" i="1"/>
  <c r="BV3363" i="1"/>
  <c r="BV3362" i="1"/>
  <c r="BU3363" i="1"/>
  <c r="BU3364" i="1"/>
  <c r="BU3362" i="1"/>
  <c r="CL3360" i="1"/>
  <c r="CM3360" i="1"/>
  <c r="CL3361" i="1"/>
  <c r="CM3361" i="1"/>
  <c r="CM3359" i="1"/>
  <c r="CL3359" i="1"/>
  <c r="CL3357" i="1"/>
  <c r="CM3357" i="1"/>
  <c r="CL3358" i="1"/>
  <c r="CM3358" i="1"/>
  <c r="CM3356" i="1"/>
  <c r="CL3356" i="1"/>
  <c r="CL3354" i="1"/>
  <c r="CM3354" i="1"/>
  <c r="CL3355" i="1"/>
  <c r="CM3355" i="1"/>
  <c r="CM3353" i="1"/>
  <c r="CL3353" i="1"/>
  <c r="BM3360" i="1"/>
  <c r="BN3360" i="1"/>
  <c r="BM3361" i="1"/>
  <c r="BN3361" i="1"/>
  <c r="BN3359" i="1"/>
  <c r="BM3359" i="1"/>
  <c r="BM3357" i="1"/>
  <c r="BN3357" i="1"/>
  <c r="BM3358" i="1"/>
  <c r="BN3358" i="1"/>
  <c r="BN3356" i="1"/>
  <c r="BM3356" i="1"/>
  <c r="BN3353" i="1"/>
  <c r="BN3354" i="1"/>
  <c r="BN3355" i="1"/>
  <c r="BM3354" i="1"/>
  <c r="BM3355" i="1"/>
  <c r="BM3353" i="1"/>
  <c r="BN3350" i="1"/>
  <c r="BN3351" i="1"/>
  <c r="BN3352" i="1"/>
  <c r="BM3351" i="1"/>
  <c r="BM3352" i="1"/>
  <c r="BM3350" i="1"/>
  <c r="BN3347" i="1"/>
  <c r="BN3348" i="1"/>
  <c r="BN3349" i="1"/>
  <c r="BM3348" i="1"/>
  <c r="BM3349" i="1"/>
  <c r="BM3347" i="1"/>
  <c r="BM3345" i="1"/>
  <c r="BN3345" i="1"/>
  <c r="BM3346" i="1"/>
  <c r="BN3346" i="1"/>
  <c r="BN3344" i="1"/>
  <c r="BM3344" i="1"/>
  <c r="AD3361" i="1"/>
  <c r="AD3360" i="1"/>
  <c r="AD3359" i="1"/>
  <c r="AD3358" i="1"/>
  <c r="AD3357" i="1"/>
  <c r="AD3356" i="1"/>
  <c r="AD3355" i="1"/>
  <c r="AD3354" i="1"/>
  <c r="AD3353" i="1"/>
  <c r="AD3352" i="1"/>
  <c r="AD3351" i="1"/>
  <c r="AD3350" i="1"/>
  <c r="AD3349" i="1"/>
  <c r="AD3348" i="1"/>
  <c r="AD3347" i="1"/>
  <c r="AD3346" i="1"/>
  <c r="AD3345" i="1"/>
  <c r="BM3335" i="1" l="1"/>
  <c r="BN3335" i="1"/>
  <c r="BM3336" i="1"/>
  <c r="BN3336" i="1"/>
  <c r="BM3337" i="1"/>
  <c r="BN3337" i="1"/>
  <c r="BM3338" i="1"/>
  <c r="BN3338" i="1"/>
  <c r="BN3334" i="1"/>
  <c r="BM3334" i="1"/>
  <c r="BM3325" i="1"/>
  <c r="BN3325" i="1"/>
  <c r="BM3326" i="1"/>
  <c r="BN3326" i="1"/>
  <c r="BM3327" i="1"/>
  <c r="BN3327" i="1"/>
  <c r="BM3328" i="1"/>
  <c r="BN3328" i="1"/>
  <c r="BN3324" i="1"/>
  <c r="BM3324" i="1"/>
  <c r="BM3320" i="1"/>
  <c r="BN3320" i="1"/>
  <c r="BM3321" i="1"/>
  <c r="BN3321" i="1"/>
  <c r="BM3322" i="1"/>
  <c r="BN3322" i="1"/>
  <c r="BM3323" i="1"/>
  <c r="BN3323" i="1"/>
  <c r="BN3319" i="1"/>
  <c r="BM3319" i="1"/>
  <c r="AE3343" i="1"/>
  <c r="AD3343" i="1"/>
  <c r="AE3342" i="1"/>
  <c r="AD3342" i="1"/>
  <c r="AE3341" i="1"/>
  <c r="AD3341" i="1"/>
  <c r="AE3340" i="1"/>
  <c r="AD3340" i="1"/>
  <c r="AE3339" i="1"/>
  <c r="AD3339" i="1"/>
  <c r="AE3338" i="1"/>
  <c r="AD3338" i="1"/>
  <c r="AE3337" i="1"/>
  <c r="AD3337" i="1"/>
  <c r="AE3336" i="1"/>
  <c r="AD3336" i="1"/>
  <c r="AE3335" i="1"/>
  <c r="AD3335" i="1"/>
  <c r="AE3334" i="1"/>
  <c r="AD3334" i="1"/>
  <c r="AE3333" i="1"/>
  <c r="AD3333" i="1"/>
  <c r="AE3332" i="1"/>
  <c r="AD3332" i="1"/>
  <c r="AE3331" i="1"/>
  <c r="AD3331" i="1"/>
  <c r="AE3330" i="1"/>
  <c r="AD3330" i="1"/>
  <c r="AE3329" i="1"/>
  <c r="AD3329" i="1"/>
  <c r="AE3328" i="1"/>
  <c r="AD3328" i="1"/>
  <c r="AE3327" i="1"/>
  <c r="AD3327" i="1"/>
  <c r="AE3326" i="1"/>
  <c r="AD3326" i="1"/>
  <c r="AE3325" i="1"/>
  <c r="AD3325" i="1"/>
  <c r="AE3324" i="1"/>
  <c r="AD3324" i="1"/>
  <c r="AE3323" i="1"/>
  <c r="AD3323" i="1"/>
  <c r="AE3322" i="1"/>
  <c r="AD3322" i="1"/>
  <c r="AE3321" i="1"/>
  <c r="AD3321" i="1"/>
  <c r="AE3320" i="1"/>
  <c r="AD3320" i="1"/>
  <c r="AE3319" i="1"/>
  <c r="AD3344" i="1"/>
  <c r="AD3319" i="1"/>
  <c r="BM3310" i="1"/>
  <c r="BN3310" i="1"/>
  <c r="BM3311" i="1"/>
  <c r="BN3311" i="1"/>
  <c r="BM3312" i="1"/>
  <c r="BN3312" i="1"/>
  <c r="BM3313" i="1"/>
  <c r="BN3313" i="1"/>
  <c r="BN3309" i="1"/>
  <c r="BM3309" i="1"/>
  <c r="BC3272" i="1"/>
  <c r="BC3271" i="1"/>
  <c r="BC3270" i="1"/>
  <c r="BC3269" i="1"/>
  <c r="BC3268" i="1"/>
  <c r="BC3267" i="1"/>
  <c r="BC3290" i="1"/>
  <c r="BC3289" i="1"/>
  <c r="BC3288" i="1"/>
  <c r="BC3287" i="1"/>
  <c r="BC3286" i="1"/>
  <c r="BC3285" i="1"/>
  <c r="BC3284" i="1"/>
  <c r="BC3283" i="1"/>
  <c r="BC3282" i="1"/>
  <c r="BC3281" i="1"/>
  <c r="BC3280" i="1"/>
  <c r="BC3279" i="1"/>
  <c r="BC3300" i="1"/>
  <c r="BC3299" i="1"/>
  <c r="BC3298" i="1"/>
  <c r="BC3297" i="1"/>
  <c r="BC3296" i="1"/>
  <c r="BC3295" i="1"/>
  <c r="BC3294" i="1"/>
  <c r="BC3293" i="1"/>
  <c r="BC3292" i="1"/>
  <c r="BC329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l="1"/>
  <c r="P3266" i="1"/>
  <c r="K3266" i="1"/>
  <c r="P3265" i="1"/>
  <c r="K3265" i="1"/>
  <c r="P3264" i="1"/>
  <c r="K3264" i="1"/>
  <c r="P3263" i="1"/>
  <c r="K3263" i="1"/>
  <c r="P3262" i="1"/>
  <c r="K3262" i="1"/>
  <c r="P3261" i="1"/>
  <c r="K3261" i="1"/>
  <c r="P3260" i="1"/>
  <c r="K3260" i="1"/>
  <c r="P3259" i="1"/>
  <c r="K3259" i="1"/>
  <c r="P3258" i="1"/>
  <c r="K3258" i="1"/>
  <c r="P3257" i="1"/>
  <c r="K3257" i="1"/>
  <c r="P3256" i="1"/>
  <c r="K3256" i="1"/>
  <c r="P3255" i="1"/>
  <c r="K3255" i="1"/>
  <c r="P3254" i="1"/>
  <c r="K3254" i="1"/>
  <c r="P3253" i="1"/>
  <c r="K3253" i="1"/>
  <c r="P3252" i="1"/>
  <c r="K3252" i="1"/>
  <c r="P3251" i="1"/>
  <c r="K3251" i="1"/>
  <c r="P3250" i="1"/>
  <c r="K3250" i="1"/>
  <c r="P3249" i="1"/>
  <c r="K3249" i="1"/>
  <c r="P3248" i="1"/>
  <c r="K3248" i="1"/>
  <c r="P3247" i="1"/>
  <c r="K3247" i="1"/>
  <c r="P3246" i="1"/>
  <c r="K3246" i="1"/>
  <c r="P3245" i="1"/>
  <c r="K3245" i="1"/>
  <c r="P3244" i="1"/>
  <c r="K3244" i="1"/>
  <c r="P3243" i="1"/>
  <c r="K3243" i="1"/>
  <c r="P3242" i="1"/>
  <c r="K3242" i="1"/>
  <c r="P3241" i="1"/>
  <c r="K3241" i="1"/>
  <c r="P3240" i="1"/>
  <c r="K3240" i="1"/>
  <c r="P3239" i="1"/>
  <c r="K3239" i="1"/>
  <c r="P3238" i="1"/>
  <c r="K3238" i="1"/>
  <c r="P3237" i="1"/>
  <c r="K3237" i="1"/>
  <c r="P3236" i="1"/>
  <c r="K3236" i="1"/>
  <c r="P3235" i="1"/>
  <c r="K3235" i="1"/>
  <c r="P3234" i="1"/>
  <c r="K3234" i="1"/>
  <c r="P3233" i="1"/>
  <c r="K3233" i="1"/>
  <c r="P3232" i="1"/>
  <c r="K3232" i="1"/>
  <c r="P3231" i="1"/>
  <c r="K3231" i="1"/>
  <c r="P3230" i="1"/>
  <c r="K3230" i="1"/>
  <c r="P3229" i="1"/>
  <c r="K3229" i="1"/>
  <c r="P3228" i="1"/>
  <c r="K3228" i="1"/>
  <c r="P3227" i="1"/>
  <c r="K3227" i="1"/>
  <c r="P3226" i="1"/>
  <c r="K3226" i="1"/>
  <c r="P3225" i="1"/>
  <c r="K3225" i="1"/>
  <c r="P3224" i="1"/>
  <c r="K3224" i="1"/>
  <c r="P3223" i="1"/>
  <c r="K3223" i="1"/>
  <c r="P3222" i="1"/>
  <c r="K3222" i="1"/>
  <c r="P3221" i="1"/>
  <c r="K3221" i="1"/>
  <c r="P3220" i="1"/>
  <c r="K3220" i="1"/>
  <c r="P3219" i="1"/>
  <c r="K3219" i="1"/>
  <c r="P3218" i="1"/>
  <c r="K3218" i="1"/>
  <c r="P3217" i="1"/>
  <c r="K3217" i="1"/>
  <c r="P3216" i="1"/>
  <c r="K3216" i="1"/>
  <c r="P3215" i="1"/>
  <c r="K3215" i="1"/>
  <c r="P3214" i="1"/>
  <c r="K3214" i="1"/>
  <c r="P3213" i="1"/>
  <c r="K3213" i="1"/>
  <c r="P3212" i="1"/>
  <c r="K3212" i="1"/>
  <c r="P3211" i="1"/>
  <c r="K3211" i="1"/>
  <c r="P3210" i="1"/>
  <c r="K3210" i="1"/>
  <c r="P3209" i="1"/>
  <c r="K3209" i="1"/>
  <c r="P3208" i="1"/>
  <c r="K3208" i="1"/>
  <c r="P3207" i="1"/>
  <c r="K3207" i="1"/>
  <c r="P3206" i="1"/>
  <c r="K3206" i="1"/>
  <c r="P3205" i="1"/>
  <c r="K3205" i="1"/>
  <c r="P3204" i="1"/>
  <c r="K3204" i="1"/>
  <c r="P3203" i="1"/>
  <c r="K3203" i="1"/>
  <c r="P3202" i="1"/>
  <c r="K3202" i="1"/>
  <c r="P3201" i="1"/>
  <c r="K3201" i="1"/>
  <c r="AB3196" i="1"/>
  <c r="K3196" i="1"/>
  <c r="J3196" i="1"/>
  <c r="AB3195" i="1"/>
  <c r="AB3194" i="1"/>
  <c r="K3195" i="1"/>
  <c r="J3195" i="1"/>
  <c r="K3194" i="1"/>
  <c r="BN3171" i="1" l="1"/>
  <c r="BN3172" i="1"/>
  <c r="BN3173" i="1"/>
  <c r="BM3172" i="1"/>
  <c r="BM3173" i="1"/>
  <c r="BM3171" i="1"/>
  <c r="BN3168" i="1"/>
  <c r="BN3169" i="1"/>
  <c r="BN3170" i="1"/>
  <c r="BM3169" i="1"/>
  <c r="BM3170" i="1"/>
  <c r="BM3168" i="1"/>
  <c r="BN3156" i="1"/>
  <c r="BN3157" i="1"/>
  <c r="BN3158" i="1"/>
  <c r="BM3157" i="1"/>
  <c r="BM3158" i="1"/>
  <c r="BM3156" i="1"/>
  <c r="BN3153" i="1"/>
  <c r="BN3154" i="1"/>
  <c r="BN3155" i="1"/>
  <c r="BM3154" i="1"/>
  <c r="BM3155" i="1"/>
  <c r="BM3153" i="1"/>
  <c r="BN3150" i="1"/>
  <c r="BN3151" i="1"/>
  <c r="BN3152" i="1"/>
  <c r="BM3151" i="1"/>
  <c r="BM3152" i="1"/>
  <c r="BM3150" i="1"/>
  <c r="BN3179" i="1"/>
  <c r="BM3179" i="1"/>
  <c r="N3179" i="1"/>
  <c r="K3179" i="1"/>
  <c r="J3179" i="1"/>
  <c r="BN3178" i="1"/>
  <c r="BM3178" i="1"/>
  <c r="N3178" i="1"/>
  <c r="K3178" i="1"/>
  <c r="J3178" i="1"/>
  <c r="BN3177" i="1"/>
  <c r="BM3177" i="1"/>
  <c r="N3177" i="1"/>
  <c r="K3177" i="1"/>
  <c r="J3177" i="1"/>
  <c r="BN3176" i="1"/>
  <c r="BM3176" i="1"/>
  <c r="N3176" i="1"/>
  <c r="K3176" i="1"/>
  <c r="J3176" i="1"/>
  <c r="BN3175" i="1"/>
  <c r="BM3175" i="1"/>
  <c r="N3175" i="1"/>
  <c r="K3175" i="1"/>
  <c r="J3175" i="1"/>
  <c r="BN3174" i="1"/>
  <c r="BM3174" i="1"/>
  <c r="N3174" i="1"/>
  <c r="K3174" i="1"/>
  <c r="J3174" i="1"/>
  <c r="N3173" i="1"/>
  <c r="K3173" i="1"/>
  <c r="J3173" i="1"/>
  <c r="N3172" i="1"/>
  <c r="K3172" i="1"/>
  <c r="J3172" i="1"/>
  <c r="N3171" i="1"/>
  <c r="K3171" i="1"/>
  <c r="J3171" i="1"/>
  <c r="N3170" i="1"/>
  <c r="K3170" i="1"/>
  <c r="J3170" i="1"/>
  <c r="N3169" i="1"/>
  <c r="K3169" i="1"/>
  <c r="J3169" i="1"/>
  <c r="N3168" i="1"/>
  <c r="K3168" i="1"/>
  <c r="J3168" i="1"/>
  <c r="N3167" i="1"/>
  <c r="K3167" i="1"/>
  <c r="J3167" i="1"/>
  <c r="N3166" i="1"/>
  <c r="K3166" i="1"/>
  <c r="J3166" i="1"/>
  <c r="N3165" i="1"/>
  <c r="K3165" i="1"/>
  <c r="J3165" i="1"/>
  <c r="N3164" i="1"/>
  <c r="K3164" i="1"/>
  <c r="J3164" i="1"/>
  <c r="N3163" i="1"/>
  <c r="K3163" i="1"/>
  <c r="J3163" i="1"/>
  <c r="N3162" i="1"/>
  <c r="K3162" i="1"/>
  <c r="J3162" i="1"/>
  <c r="N3155" i="1"/>
  <c r="K3155" i="1"/>
  <c r="J3155" i="1"/>
  <c r="N3154" i="1"/>
  <c r="K3154" i="1"/>
  <c r="J3154" i="1"/>
  <c r="N3153" i="1"/>
  <c r="K3153" i="1"/>
  <c r="J3153" i="1"/>
  <c r="N3152" i="1"/>
  <c r="K3152" i="1"/>
  <c r="J3152" i="1"/>
  <c r="N3151" i="1"/>
  <c r="K3151" i="1"/>
  <c r="J3151" i="1"/>
  <c r="N3150" i="1"/>
  <c r="K3150" i="1"/>
  <c r="J3150" i="1"/>
  <c r="N3161" i="1"/>
  <c r="K3161" i="1"/>
  <c r="J3161" i="1"/>
  <c r="N3160" i="1"/>
  <c r="K3160" i="1"/>
  <c r="J3160" i="1"/>
  <c r="N3158" i="1"/>
  <c r="K3158" i="1"/>
  <c r="J3158" i="1"/>
  <c r="N3157" i="1"/>
  <c r="K3157" i="1"/>
  <c r="J3157" i="1"/>
  <c r="N3156" i="1"/>
  <c r="K3156" i="1"/>
  <c r="J3156" i="1"/>
  <c r="N3159" i="1"/>
  <c r="K3159" i="1"/>
  <c r="J3159" i="1"/>
  <c r="BK3149" i="1"/>
  <c r="BK3148" i="1"/>
  <c r="BK3147" i="1"/>
  <c r="BK3146" i="1"/>
  <c r="BK3145" i="1"/>
  <c r="BK3144" i="1"/>
  <c r="BK3143" i="1"/>
  <c r="BK3142" i="1"/>
  <c r="BK3141" i="1"/>
  <c r="BK3140" i="1"/>
  <c r="BK3139" i="1"/>
  <c r="BK3138" i="1"/>
  <c r="BK3137" i="1"/>
  <c r="BK3136" i="1"/>
  <c r="BK3135" i="1"/>
  <c r="BK3134" i="1"/>
  <c r="BK3133" i="1"/>
  <c r="BK3132" i="1"/>
  <c r="BK3131" i="1"/>
  <c r="BK3130" i="1"/>
  <c r="BK3129" i="1"/>
  <c r="BK3128" i="1"/>
  <c r="BK3127" i="1"/>
  <c r="BK3126" i="1"/>
  <c r="BK3125" i="1"/>
  <c r="BK3124" i="1"/>
  <c r="BK3123" i="1"/>
  <c r="AB3149" i="1"/>
  <c r="K3149" i="1"/>
  <c r="J3149" i="1"/>
  <c r="AB3148" i="1"/>
  <c r="K3148" i="1"/>
  <c r="J3148" i="1"/>
  <c r="AB3147" i="1"/>
  <c r="K3147" i="1"/>
  <c r="J3147" i="1"/>
  <c r="AB3146" i="1"/>
  <c r="K3146" i="1"/>
  <c r="J3146" i="1"/>
  <c r="AB3145" i="1"/>
  <c r="K3145" i="1"/>
  <c r="J3145" i="1"/>
  <c r="AB3144" i="1"/>
  <c r="K3144" i="1"/>
  <c r="J3144" i="1"/>
  <c r="AB3143" i="1"/>
  <c r="K3143" i="1"/>
  <c r="J3143" i="1"/>
  <c r="AB3142" i="1"/>
  <c r="K3142" i="1"/>
  <c r="J3142" i="1"/>
  <c r="AB3141" i="1"/>
  <c r="K3141" i="1"/>
  <c r="J3141" i="1"/>
  <c r="AB3140" i="1"/>
  <c r="K3140" i="1"/>
  <c r="J3140" i="1"/>
  <c r="AB3139" i="1"/>
  <c r="K3139" i="1"/>
  <c r="J3139" i="1"/>
  <c r="AB3138" i="1"/>
  <c r="K3138" i="1"/>
  <c r="J3138" i="1"/>
  <c r="AB3137" i="1"/>
  <c r="K3137" i="1"/>
  <c r="J3137" i="1"/>
  <c r="AB3136" i="1"/>
  <c r="K3136" i="1"/>
  <c r="J3136" i="1"/>
  <c r="AB3135" i="1"/>
  <c r="K3135" i="1"/>
  <c r="J3135" i="1"/>
  <c r="AB3134" i="1"/>
  <c r="K3134" i="1"/>
  <c r="J3134" i="1"/>
  <c r="AB3133" i="1"/>
  <c r="K3133" i="1"/>
  <c r="J3133" i="1"/>
  <c r="AB3132" i="1"/>
  <c r="K3132" i="1"/>
  <c r="J3132" i="1"/>
  <c r="AB3131" i="1"/>
  <c r="K3131" i="1"/>
  <c r="J3131" i="1"/>
  <c r="AB3130" i="1"/>
  <c r="K3130" i="1"/>
  <c r="J3130" i="1"/>
  <c r="AB3129" i="1"/>
  <c r="K3129" i="1"/>
  <c r="J3129" i="1"/>
  <c r="AB3128" i="1"/>
  <c r="K3128" i="1"/>
  <c r="J3128" i="1"/>
  <c r="AB3127" i="1"/>
  <c r="K3127" i="1"/>
  <c r="J3127" i="1"/>
  <c r="AB3126" i="1"/>
  <c r="K3126" i="1"/>
  <c r="J3126" i="1"/>
  <c r="AB3125" i="1"/>
  <c r="K3125" i="1"/>
  <c r="J3125" i="1"/>
  <c r="AB3124" i="1"/>
  <c r="K3124" i="1"/>
  <c r="J3124" i="1"/>
  <c r="AB3123"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2976" i="1" l="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EX2952" i="1"/>
  <c r="EX2951" i="1"/>
  <c r="ES2952" i="1"/>
  <c r="ES2951" i="1"/>
  <c r="K2952" i="1"/>
  <c r="J2952" i="1"/>
  <c r="K2951" i="1"/>
  <c r="J2951" i="1"/>
  <c r="AD2950" i="1"/>
  <c r="K2950" i="1"/>
  <c r="J2950" i="1"/>
  <c r="AD2949" i="1"/>
  <c r="K2949" i="1"/>
  <c r="J2949" i="1"/>
  <c r="AD2948" i="1"/>
  <c r="K2948" i="1"/>
  <c r="J2948" i="1"/>
  <c r="K2945" i="1"/>
  <c r="J2945" i="1"/>
  <c r="K2947" i="1"/>
  <c r="J2947" i="1"/>
  <c r="K2946" i="1"/>
  <c r="J2946" i="1"/>
  <c r="K2944" i="1"/>
  <c r="J2944" i="1"/>
  <c r="BN2936" i="1"/>
  <c r="BN2937" i="1"/>
  <c r="BN2938" i="1"/>
  <c r="BN2939" i="1"/>
  <c r="BM2939" i="1"/>
  <c r="BM2937" i="1"/>
  <c r="BM2938" i="1"/>
  <c r="BM2936" i="1"/>
  <c r="BN2928" i="1"/>
  <c r="BN2929" i="1"/>
  <c r="BN2930" i="1"/>
  <c r="BN2931" i="1"/>
  <c r="BM2929" i="1"/>
  <c r="BM2930" i="1"/>
  <c r="BM2931" i="1"/>
  <c r="BM2928" i="1"/>
  <c r="DQ2931" i="1"/>
  <c r="DP2931" i="1"/>
  <c r="CR2939" i="1"/>
  <c r="CR2943" i="1"/>
  <c r="CQ2943" i="1"/>
  <c r="CQ2939" i="1"/>
  <c r="BX2939" i="1"/>
  <c r="BW2939" i="1"/>
  <c r="BX2931" i="1"/>
  <c r="BW2931" i="1"/>
  <c r="AB2943" i="1"/>
  <c r="K2943" i="1"/>
  <c r="J2943" i="1"/>
  <c r="AB2942" i="1"/>
  <c r="K2942" i="1"/>
  <c r="J2942" i="1"/>
  <c r="AB2941" i="1"/>
  <c r="K2941" i="1"/>
  <c r="J2941" i="1"/>
  <c r="AB2940" i="1"/>
  <c r="K2940" i="1"/>
  <c r="J2940" i="1"/>
  <c r="AB2939" i="1"/>
  <c r="K2939" i="1"/>
  <c r="J2939" i="1"/>
  <c r="AB2938" i="1"/>
  <c r="K2938" i="1"/>
  <c r="J2938" i="1"/>
  <c r="AB2936" i="1"/>
  <c r="K2936" i="1"/>
  <c r="J2936" i="1"/>
  <c r="AB2935" i="1"/>
  <c r="K2935" i="1"/>
  <c r="J2935" i="1"/>
  <c r="AB2934" i="1"/>
  <c r="K2934" i="1"/>
  <c r="J2934" i="1"/>
  <c r="AB2933" i="1"/>
  <c r="K2933" i="1"/>
  <c r="J2933" i="1"/>
  <c r="AB2932" i="1"/>
  <c r="K2932" i="1"/>
  <c r="J2932" i="1"/>
  <c r="AB2931" i="1"/>
  <c r="K2931" i="1"/>
  <c r="J2931" i="1"/>
  <c r="AB2930" i="1"/>
  <c r="K2930" i="1"/>
  <c r="J2930" i="1"/>
  <c r="AB2929" i="1"/>
  <c r="K2929" i="1"/>
  <c r="J2929" i="1"/>
  <c r="AB2937" i="1"/>
  <c r="AB2928" i="1"/>
  <c r="K2937" i="1"/>
  <c r="J2937" i="1"/>
  <c r="K2928" i="1"/>
  <c r="J2928" i="1"/>
  <c r="BB2927" i="1"/>
  <c r="BC2927" i="1" s="1"/>
  <c r="BB2926" i="1"/>
  <c r="BC2926" i="1" s="1"/>
  <c r="BB2925" i="1"/>
  <c r="BC2925" i="1" s="1"/>
  <c r="BB2924" i="1"/>
  <c r="BC2924" i="1" s="1"/>
  <c r="BB2923" i="1"/>
  <c r="BC2923" i="1" s="1"/>
  <c r="BB2922" i="1"/>
  <c r="BC2922" i="1" s="1"/>
  <c r="AB2921" i="1" l="1"/>
  <c r="K2921" i="1"/>
  <c r="J2921" i="1"/>
  <c r="AB2920" i="1"/>
  <c r="K2920" i="1"/>
  <c r="J2920" i="1"/>
  <c r="AB2918" i="1"/>
  <c r="K2918" i="1"/>
  <c r="J2918" i="1"/>
  <c r="AB2917" i="1"/>
  <c r="K2917" i="1"/>
  <c r="J2917" i="1"/>
  <c r="AB2916" i="1"/>
  <c r="K2916" i="1"/>
  <c r="J2916" i="1"/>
  <c r="AB2919" i="1"/>
  <c r="AB2915" i="1"/>
  <c r="K2919" i="1"/>
  <c r="J2919" i="1"/>
  <c r="K2915" i="1"/>
  <c r="J2915" i="1"/>
  <c r="AB2914" i="1"/>
  <c r="AB2913" i="1"/>
  <c r="BC2911" i="1"/>
  <c r="BC2907" i="1"/>
  <c r="BC2906" i="1"/>
  <c r="BC2905" i="1"/>
  <c r="BC2902" i="1"/>
  <c r="BC2901" i="1"/>
  <c r="DE2912" i="1"/>
  <c r="DE2911" i="1"/>
  <c r="DE2910" i="1"/>
  <c r="DE2909" i="1"/>
  <c r="DE2908" i="1"/>
  <c r="DE2907" i="1"/>
  <c r="DD2912" i="1"/>
  <c r="DD2911" i="1"/>
  <c r="DD2910" i="1"/>
  <c r="DD2909" i="1"/>
  <c r="DD2908" i="1"/>
  <c r="DD2907" i="1"/>
  <c r="K2912" i="1"/>
  <c r="K2911" i="1"/>
  <c r="K2910" i="1"/>
  <c r="K2909" i="1"/>
  <c r="K2908" i="1"/>
  <c r="DE2906" i="1"/>
  <c r="DE2905" i="1"/>
  <c r="DD2906" i="1"/>
  <c r="DD2905" i="1"/>
  <c r="DE2904" i="1"/>
  <c r="DE2903" i="1"/>
  <c r="DD2904" i="1"/>
  <c r="DD2903" i="1"/>
  <c r="DE2902" i="1"/>
  <c r="DE2901" i="1"/>
  <c r="DD2902" i="1"/>
  <c r="DD2901" i="1"/>
  <c r="K2906" i="1"/>
  <c r="K2905" i="1"/>
  <c r="K2904" i="1"/>
  <c r="K2903" i="1"/>
  <c r="K2902" i="1"/>
  <c r="K2901" i="1"/>
  <c r="K2907" i="1"/>
  <c r="K2900" i="1"/>
  <c r="J2900" i="1"/>
  <c r="K2899" i="1"/>
  <c r="J2899" i="1"/>
  <c r="K2898" i="1"/>
  <c r="J2898" i="1"/>
  <c r="K2897" i="1"/>
  <c r="J2897" i="1"/>
  <c r="K2896" i="1"/>
  <c r="J2896" i="1"/>
  <c r="K2895" i="1"/>
  <c r="J2895" i="1"/>
  <c r="CM2883" i="1"/>
  <c r="CM2884" i="1"/>
  <c r="CM2885" i="1"/>
  <c r="CL2884" i="1"/>
  <c r="CL2885" i="1"/>
  <c r="CL2883" i="1"/>
  <c r="CM2880" i="1"/>
  <c r="CM2881" i="1"/>
  <c r="CM2882" i="1"/>
  <c r="CL2881" i="1"/>
  <c r="CL2882" i="1"/>
  <c r="CL2880" i="1"/>
  <c r="CM2877" i="1"/>
  <c r="CM2878" i="1"/>
  <c r="CM2879" i="1"/>
  <c r="CL2878" i="1"/>
  <c r="CL2879" i="1"/>
  <c r="CL2877" i="1"/>
  <c r="CM2892" i="1"/>
  <c r="CM2893" i="1"/>
  <c r="CM2894" i="1"/>
  <c r="CL2893" i="1"/>
  <c r="CL2894" i="1"/>
  <c r="CL2892" i="1"/>
  <c r="CM2889" i="1"/>
  <c r="CM2890" i="1"/>
  <c r="CM2891" i="1"/>
  <c r="CL2890" i="1"/>
  <c r="CL2891" i="1"/>
  <c r="CL2889" i="1"/>
  <c r="CM2886" i="1"/>
  <c r="CM2887" i="1"/>
  <c r="CM2888" i="1"/>
  <c r="CL2887" i="1"/>
  <c r="CL2888" i="1"/>
  <c r="CL2886" i="1"/>
  <c r="BM2877" i="1"/>
  <c r="BM2878" i="1"/>
  <c r="BM2879" i="1"/>
  <c r="BM2883" i="1"/>
  <c r="BM2884" i="1"/>
  <c r="BM2885" i="1"/>
  <c r="BN2878" i="1"/>
  <c r="BN2879" i="1"/>
  <c r="BN2884" i="1"/>
  <c r="BN2885" i="1"/>
  <c r="BN2883" i="1"/>
  <c r="BN2877" i="1"/>
  <c r="BM2892" i="1"/>
  <c r="BM2893" i="1"/>
  <c r="BM2894" i="1"/>
  <c r="BN2893" i="1"/>
  <c r="BN2894" i="1"/>
  <c r="BN2892"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DD2876" i="1" l="1"/>
  <c r="DD2875" i="1"/>
  <c r="DC2875" i="1"/>
  <c r="DD2874" i="1"/>
  <c r="DD2873" i="1"/>
  <c r="DC2876" i="1"/>
  <c r="DC2874" i="1"/>
  <c r="DC2873" i="1"/>
  <c r="K2876" i="1"/>
  <c r="J2876" i="1"/>
  <c r="K2875" i="1"/>
  <c r="J2875" i="1"/>
  <c r="K2874" i="1"/>
  <c r="J2874" i="1"/>
  <c r="K2873" i="1"/>
  <c r="J2873" i="1"/>
  <c r="BD2871" i="1"/>
  <c r="BD2872" i="1"/>
  <c r="BD2870" i="1"/>
  <c r="BD2868" i="1"/>
  <c r="BD2869" i="1"/>
  <c r="BD2867" i="1"/>
  <c r="BD2865" i="1"/>
  <c r="BD2866" i="1"/>
  <c r="BD2864" i="1"/>
  <c r="CK2872" i="1"/>
  <c r="CK2871" i="1"/>
  <c r="CK2870" i="1"/>
  <c r="CK2869" i="1"/>
  <c r="CK2868" i="1"/>
  <c r="CK2867" i="1"/>
  <c r="CK2866" i="1"/>
  <c r="CK2865" i="1"/>
  <c r="CK2864" i="1"/>
  <c r="CJ2865" i="1"/>
  <c r="CJ2866" i="1"/>
  <c r="CJ2867" i="1"/>
  <c r="CJ2868" i="1"/>
  <c r="CJ2869" i="1"/>
  <c r="CJ2870" i="1"/>
  <c r="CJ2871" i="1"/>
  <c r="CJ2872" i="1"/>
  <c r="CJ2864" i="1"/>
  <c r="K2872" i="1"/>
  <c r="K2871" i="1"/>
  <c r="K2870" i="1"/>
  <c r="K2869" i="1"/>
  <c r="K2868" i="1"/>
  <c r="K2867" i="1"/>
  <c r="K2866" i="1"/>
  <c r="K2865" i="1"/>
  <c r="BB2863" i="1"/>
  <c r="BD2863" i="1" s="1"/>
  <c r="BB2862" i="1"/>
  <c r="BD2862" i="1" s="1"/>
  <c r="BB2861" i="1"/>
  <c r="BD2861" i="1" s="1"/>
  <c r="BB2860" i="1"/>
  <c r="BD2860" i="1" s="1"/>
  <c r="BB2859" i="1"/>
  <c r="BD2859" i="1" s="1"/>
  <c r="BB2858" i="1"/>
  <c r="BD2858" i="1" s="1"/>
  <c r="BB2857" i="1"/>
  <c r="BD2857" i="1" s="1"/>
  <c r="BB2856" i="1"/>
  <c r="BD2856" i="1" s="1"/>
  <c r="BB2855" i="1"/>
  <c r="BD2855" i="1" s="1"/>
  <c r="CK2863" i="1"/>
  <c r="CK2862" i="1"/>
  <c r="CK2861" i="1"/>
  <c r="CK2860" i="1"/>
  <c r="CK2859" i="1"/>
  <c r="CK2858" i="1"/>
  <c r="CK2857" i="1"/>
  <c r="CK2856" i="1"/>
  <c r="CK2855" i="1"/>
  <c r="CJ2856" i="1"/>
  <c r="CJ2857" i="1"/>
  <c r="CJ2858" i="1"/>
  <c r="CJ2859" i="1"/>
  <c r="CJ2860" i="1"/>
  <c r="CJ2861" i="1"/>
  <c r="CJ2862" i="1"/>
  <c r="CJ2863" i="1"/>
  <c r="CJ2855" i="1"/>
  <c r="K2863" i="1"/>
  <c r="K2862" i="1"/>
  <c r="K2861" i="1"/>
  <c r="K2860" i="1"/>
  <c r="K2859" i="1"/>
  <c r="K2858" i="1"/>
  <c r="K2857" i="1"/>
  <c r="K2856" i="1"/>
  <c r="K2864" i="1"/>
  <c r="K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FX2780" i="1"/>
  <c r="FX2779" i="1"/>
  <c r="FX2778" i="1"/>
  <c r="FX2775" i="1"/>
  <c r="FX2774" i="1"/>
  <c r="FX277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BL2769" i="1"/>
  <c r="BK2769" i="1"/>
  <c r="K2769" i="1"/>
  <c r="J2769" i="1"/>
  <c r="HM2719" i="1"/>
  <c r="HM2720" i="1"/>
  <c r="HL2720" i="1"/>
  <c r="HL2719" i="1"/>
  <c r="FE2719" i="1"/>
  <c r="FE2720" i="1"/>
  <c r="FD2720" i="1"/>
  <c r="FD2719" i="1"/>
  <c r="FC2720" i="1"/>
  <c r="FC2719" i="1"/>
  <c r="FB2720" i="1"/>
  <c r="FB2719" i="1"/>
  <c r="HK2720" i="1"/>
  <c r="HJ2720" i="1"/>
  <c r="HK2719" i="1"/>
  <c r="HJ2719" i="1"/>
  <c r="P2718" i="1"/>
  <c r="K2718" i="1"/>
  <c r="J2718" i="1"/>
  <c r="P2717" i="1"/>
  <c r="K2717" i="1"/>
  <c r="J2717" i="1"/>
  <c r="P2716" i="1"/>
  <c r="K2716" i="1"/>
  <c r="J2716" i="1"/>
  <c r="P2715" i="1"/>
  <c r="K2715" i="1"/>
  <c r="J2715" i="1"/>
  <c r="P2714" i="1"/>
  <c r="K2714" i="1"/>
  <c r="J2714" i="1"/>
  <c r="P2713" i="1"/>
  <c r="K2713" i="1"/>
  <c r="J2713" i="1"/>
  <c r="P2712" i="1"/>
  <c r="K2712" i="1"/>
  <c r="J2712" i="1"/>
  <c r="P2711" i="1"/>
  <c r="K2711" i="1"/>
  <c r="J2711" i="1"/>
  <c r="P2710" i="1"/>
  <c r="K2710" i="1"/>
  <c r="J2710" i="1"/>
  <c r="P2709" i="1"/>
  <c r="K2709" i="1"/>
  <c r="J2709" i="1"/>
  <c r="P2708" i="1"/>
  <c r="K2708" i="1"/>
  <c r="J2708" i="1"/>
  <c r="P2707" i="1"/>
  <c r="K2707" i="1"/>
  <c r="J2707" i="1"/>
  <c r="P2706" i="1"/>
  <c r="K2706" i="1"/>
  <c r="J2706" i="1"/>
  <c r="P2705" i="1"/>
  <c r="K2705" i="1"/>
  <c r="J2705" i="1"/>
  <c r="P2704" i="1"/>
  <c r="K2704" i="1"/>
  <c r="J2704" i="1"/>
  <c r="P2703" i="1"/>
  <c r="K2703" i="1"/>
  <c r="J2703" i="1"/>
  <c r="P2702" i="1"/>
  <c r="K2702" i="1"/>
  <c r="J2702" i="1"/>
  <c r="P2701" i="1" l="1"/>
  <c r="K2701" i="1"/>
  <c r="J2701" i="1"/>
  <c r="EY2698" i="1" l="1"/>
  <c r="AB2676" i="1"/>
  <c r="J2676" i="1"/>
  <c r="AB2675" i="1"/>
  <c r="J2675" i="1"/>
  <c r="AB2674" i="1"/>
  <c r="J2674" i="1"/>
  <c r="AB2673" i="1"/>
  <c r="J2673" i="1"/>
  <c r="AB2672" i="1"/>
  <c r="J2672" i="1"/>
  <c r="AB2671" i="1"/>
  <c r="J2671" i="1"/>
  <c r="AB2670" i="1"/>
  <c r="J2670" i="1"/>
  <c r="AB2669" i="1"/>
  <c r="J2669" i="1"/>
  <c r="AB2668" i="1"/>
  <c r="J2668" i="1"/>
  <c r="AB2667" i="1"/>
  <c r="J2667" i="1"/>
  <c r="AB2666" i="1"/>
  <c r="J2666" i="1"/>
  <c r="AB2665" i="1"/>
  <c r="J2665" i="1"/>
  <c r="AB2664" i="1"/>
  <c r="J2664" i="1"/>
  <c r="AB2663" i="1"/>
  <c r="J2663" i="1"/>
  <c r="AB2662" i="1"/>
  <c r="J2662" i="1"/>
  <c r="AB2661" i="1"/>
  <c r="J2661" i="1"/>
  <c r="BC2625" i="1"/>
  <c r="BC2624" i="1"/>
  <c r="BC2623" i="1"/>
  <c r="BC2622" i="1"/>
  <c r="BC2621" i="1"/>
  <c r="BC2620" i="1"/>
  <c r="BC2611" i="1"/>
  <c r="BC2610" i="1"/>
  <c r="BC2609" i="1"/>
  <c r="BC2608" i="1"/>
  <c r="BC2607" i="1"/>
  <c r="BC2606" i="1"/>
  <c r="ED2605" i="1"/>
  <c r="ED2606" i="1"/>
  <c r="ED2607" i="1"/>
  <c r="ED2608" i="1"/>
  <c r="ED2609" i="1"/>
  <c r="ED2610" i="1"/>
  <c r="ED2611" i="1"/>
  <c r="EC2606" i="1"/>
  <c r="EC2607" i="1"/>
  <c r="EC2608" i="1"/>
  <c r="EC2609" i="1"/>
  <c r="EC2610" i="1"/>
  <c r="EC2611" i="1"/>
  <c r="EC2605" i="1"/>
  <c r="AB2660" i="1"/>
  <c r="J2660" i="1"/>
  <c r="AB2659" i="1"/>
  <c r="J2659" i="1"/>
  <c r="AB2658" i="1"/>
  <c r="J2658" i="1"/>
  <c r="AB2657" i="1"/>
  <c r="J2657" i="1"/>
  <c r="AB2656" i="1"/>
  <c r="J2656" i="1"/>
  <c r="AB2655" i="1"/>
  <c r="J2655" i="1"/>
  <c r="AB2654" i="1"/>
  <c r="J2654" i="1"/>
  <c r="AB2653" i="1"/>
  <c r="J2653" i="1"/>
  <c r="AB2652" i="1"/>
  <c r="J2652" i="1"/>
  <c r="AB2651" i="1"/>
  <c r="J2651" i="1"/>
  <c r="AB2650" i="1"/>
  <c r="J2650" i="1"/>
  <c r="AB2649" i="1"/>
  <c r="J2649" i="1"/>
  <c r="AB2648" i="1"/>
  <c r="J2648" i="1"/>
  <c r="AB2647" i="1"/>
  <c r="J2647" i="1"/>
  <c r="AB2646" i="1"/>
  <c r="J2646" i="1"/>
  <c r="AB2645" i="1"/>
  <c r="J2645" i="1"/>
  <c r="AB2644" i="1"/>
  <c r="J2644" i="1"/>
  <c r="AB2643" i="1"/>
  <c r="J2643" i="1"/>
  <c r="AB2642" i="1"/>
  <c r="J2642" i="1"/>
  <c r="AB2641" i="1"/>
  <c r="J2641" i="1"/>
  <c r="AB2640" i="1"/>
  <c r="J2640" i="1"/>
  <c r="AB2639" i="1"/>
  <c r="J2639" i="1"/>
  <c r="AB2638" i="1"/>
  <c r="J2638" i="1"/>
  <c r="AB2637" i="1"/>
  <c r="J2637" i="1"/>
  <c r="AB2636" i="1"/>
  <c r="J2636" i="1"/>
  <c r="AB2635" i="1"/>
  <c r="J2635" i="1"/>
  <c r="AB2634" i="1"/>
  <c r="J2634" i="1"/>
  <c r="AB2633" i="1"/>
  <c r="J2633" i="1"/>
  <c r="AB2632" i="1"/>
  <c r="J2632" i="1"/>
  <c r="AB2631" i="1"/>
  <c r="J2631" i="1"/>
  <c r="AB2630" i="1"/>
  <c r="J2630" i="1"/>
  <c r="AB2629" i="1"/>
  <c r="J2629" i="1"/>
  <c r="AB2628" i="1"/>
  <c r="J2628" i="1"/>
  <c r="AB2627" i="1"/>
  <c r="J2627" i="1"/>
  <c r="AB2626" i="1"/>
  <c r="J2626" i="1"/>
  <c r="AB2618" i="1"/>
  <c r="J2618" i="1"/>
  <c r="AB2617" i="1"/>
  <c r="J2617" i="1"/>
  <c r="AB2616" i="1"/>
  <c r="J2616" i="1"/>
  <c r="AB2615" i="1"/>
  <c r="J2615" i="1"/>
  <c r="AB2614" i="1"/>
  <c r="J2614" i="1"/>
  <c r="AB2613" i="1"/>
  <c r="J2613" i="1"/>
  <c r="AB2612" i="1"/>
  <c r="J2612" i="1"/>
  <c r="AB2625" i="1"/>
  <c r="J2625" i="1"/>
  <c r="AB2624" i="1"/>
  <c r="J2624" i="1"/>
  <c r="AB2623" i="1"/>
  <c r="J2623" i="1"/>
  <c r="AB2622" i="1"/>
  <c r="J2622" i="1"/>
  <c r="AB2621" i="1"/>
  <c r="J2621" i="1"/>
  <c r="AB2620" i="1"/>
  <c r="J2620" i="1"/>
  <c r="AB2619" i="1"/>
  <c r="J2619" i="1"/>
  <c r="AB2611" i="1"/>
  <c r="J2611" i="1"/>
  <c r="AB2610" i="1"/>
  <c r="J2610" i="1"/>
  <c r="AB2609" i="1"/>
  <c r="J2609" i="1"/>
  <c r="AB2608" i="1"/>
  <c r="J2608" i="1"/>
  <c r="AB2607" i="1"/>
  <c r="J2607" i="1"/>
  <c r="AB2606" i="1"/>
  <c r="J2606" i="1"/>
  <c r="AB2605" i="1"/>
  <c r="J2605" i="1"/>
  <c r="BC2603" i="1"/>
  <c r="BC2602" i="1"/>
  <c r="BC2601" i="1"/>
  <c r="BC2599" i="1"/>
  <c r="BC2598" i="1"/>
  <c r="BC2597" i="1"/>
  <c r="N2604" i="1"/>
  <c r="K2604" i="1"/>
  <c r="J2604" i="1"/>
  <c r="N2603" i="1"/>
  <c r="K2603" i="1"/>
  <c r="J2603" i="1"/>
  <c r="N2602" i="1"/>
  <c r="K2602" i="1"/>
  <c r="J2602" i="1"/>
  <c r="N2601" i="1"/>
  <c r="K2601" i="1"/>
  <c r="J2601" i="1"/>
  <c r="N2600" i="1"/>
  <c r="K2600" i="1"/>
  <c r="J2600" i="1"/>
  <c r="N2599" i="1"/>
  <c r="K2599" i="1"/>
  <c r="J2599" i="1"/>
  <c r="N2598" i="1"/>
  <c r="K2598" i="1"/>
  <c r="J2598" i="1"/>
  <c r="AB2596" i="1"/>
  <c r="N2597" i="1"/>
  <c r="K2597" i="1"/>
  <c r="J2597" i="1"/>
  <c r="AB2595" i="1"/>
  <c r="AB2594" i="1"/>
  <c r="AB2593" i="1"/>
  <c r="AB2592" i="1"/>
  <c r="AB2591" i="1"/>
  <c r="AB2590" i="1"/>
  <c r="AB2589" i="1"/>
  <c r="AB2588" i="1"/>
  <c r="AB2587" i="1"/>
  <c r="AB2586" i="1"/>
  <c r="AB2585" i="1"/>
  <c r="AB2584" i="1"/>
  <c r="K2584" i="1"/>
  <c r="J2584" i="1"/>
  <c r="AB2583" i="1"/>
  <c r="K2583" i="1"/>
  <c r="J2583" i="1"/>
  <c r="AB2582" i="1"/>
  <c r="K2582" i="1"/>
  <c r="J2582" i="1"/>
  <c r="AB2581" i="1"/>
  <c r="K2581" i="1"/>
  <c r="J2581" i="1"/>
  <c r="AB2580" i="1"/>
  <c r="K2580" i="1"/>
  <c r="J2580" i="1"/>
  <c r="AB2579" i="1"/>
  <c r="K2579" i="1"/>
  <c r="J2579" i="1"/>
  <c r="AB2578" i="1"/>
  <c r="K2578" i="1"/>
  <c r="J2578" i="1"/>
  <c r="AB2577" i="1"/>
  <c r="K2577" i="1"/>
  <c r="J2577" i="1"/>
  <c r="AB2576" i="1"/>
  <c r="K2576" i="1"/>
  <c r="J2576" i="1"/>
  <c r="AB2575" i="1"/>
  <c r="K2575" i="1"/>
  <c r="J2575" i="1"/>
  <c r="AB2574" i="1"/>
  <c r="K2574" i="1"/>
  <c r="J2574" i="1"/>
  <c r="AB2573" i="1"/>
  <c r="K2573" i="1"/>
  <c r="J2573" i="1"/>
  <c r="CJ2558" i="1"/>
  <c r="CJ2559" i="1"/>
  <c r="CJ2560" i="1"/>
  <c r="CJ2557" i="1"/>
  <c r="AB2572" i="1"/>
  <c r="K2572" i="1"/>
  <c r="J2572" i="1"/>
  <c r="AB2571" i="1"/>
  <c r="K2571" i="1"/>
  <c r="J2571" i="1"/>
  <c r="AB2570" i="1"/>
  <c r="K2570" i="1"/>
  <c r="J2570" i="1"/>
  <c r="AB2569" i="1"/>
  <c r="K2569" i="1"/>
  <c r="J2569" i="1"/>
  <c r="AB2564" i="1"/>
  <c r="K2564" i="1"/>
  <c r="J2564" i="1"/>
  <c r="AB2563" i="1"/>
  <c r="K2563" i="1"/>
  <c r="J2563" i="1"/>
  <c r="AB2562" i="1"/>
  <c r="K2562" i="1"/>
  <c r="J2562" i="1"/>
  <c r="AB2561" i="1"/>
  <c r="K2561" i="1"/>
  <c r="J2561" i="1"/>
  <c r="AB2568" i="1"/>
  <c r="K2568" i="1"/>
  <c r="J2568" i="1"/>
  <c r="AB2567" i="1"/>
  <c r="K2567" i="1"/>
  <c r="J2567" i="1"/>
  <c r="AB2566" i="1"/>
  <c r="AB2560" i="1"/>
  <c r="K2560" i="1"/>
  <c r="J2560" i="1"/>
  <c r="AB2559" i="1"/>
  <c r="K2559" i="1"/>
  <c r="J2559" i="1"/>
  <c r="AB2558" i="1"/>
  <c r="K2558" i="1"/>
  <c r="J2558" i="1"/>
  <c r="AB2565" i="1"/>
  <c r="AB2557" i="1"/>
  <c r="K2557" i="1"/>
  <c r="J2557" i="1"/>
  <c r="BB2556" i="1"/>
  <c r="BB2555" i="1"/>
  <c r="BB2554" i="1"/>
  <c r="BB2553" i="1"/>
  <c r="J2556" i="1"/>
  <c r="J2554" i="1"/>
  <c r="BK2553" i="1"/>
  <c r="J2555" i="1"/>
  <c r="J2553" i="1"/>
  <c r="DE2525" i="1"/>
  <c r="DE2524" i="1"/>
  <c r="DE2523" i="1"/>
  <c r="DE2521" i="1"/>
  <c r="DE2520" i="1"/>
  <c r="DE2518" i="1"/>
  <c r="DE2519" i="1"/>
  <c r="DE2522" i="1"/>
  <c r="DE2517" i="1"/>
  <c r="DD2525" i="1"/>
  <c r="DD2524" i="1"/>
  <c r="DD2523" i="1"/>
  <c r="DD2522" i="1"/>
  <c r="DD2521" i="1"/>
  <c r="DD2520" i="1"/>
  <c r="DD2519" i="1"/>
  <c r="DD2518" i="1"/>
  <c r="DD2517" i="1"/>
  <c r="BB2478" i="1"/>
  <c r="BB2477" i="1"/>
  <c r="BB2476" i="1"/>
  <c r="BB2475" i="1"/>
  <c r="BB2474" i="1"/>
  <c r="BC2474" i="1" s="1"/>
  <c r="BB2473" i="1"/>
  <c r="BC2473" i="1" s="1"/>
  <c r="BB2472" i="1"/>
  <c r="BB2471" i="1"/>
  <c r="BB2470" i="1"/>
  <c r="BB2469"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DE2468" i="1"/>
  <c r="DE2467" i="1"/>
  <c r="DE2466" i="1"/>
  <c r="DD2468" i="1"/>
  <c r="DD2467" i="1"/>
  <c r="DD2466" i="1"/>
  <c r="K2468" i="1"/>
  <c r="J2468" i="1"/>
  <c r="K2467" i="1"/>
  <c r="J2467" i="1"/>
  <c r="K2466" i="1"/>
  <c r="J2466" i="1"/>
  <c r="K2465" i="1"/>
  <c r="J2465" i="1"/>
  <c r="K2464" i="1"/>
  <c r="J2464" i="1"/>
  <c r="K2463" i="1"/>
  <c r="J2463" i="1"/>
  <c r="K2462" i="1"/>
  <c r="J2462" i="1"/>
  <c r="K2461" i="1"/>
  <c r="J2461" i="1"/>
  <c r="K2460" i="1"/>
  <c r="J2460" i="1"/>
  <c r="K2459" i="1"/>
  <c r="J2459" i="1"/>
  <c r="K2458" i="1"/>
  <c r="J2458" i="1"/>
  <c r="CJ2447" i="1" l="1"/>
  <c r="CJ2448" i="1"/>
  <c r="CJ2446" i="1"/>
  <c r="K2457" i="1"/>
  <c r="J2457" i="1"/>
  <c r="K2456" i="1"/>
  <c r="J2456" i="1"/>
  <c r="K2455" i="1"/>
  <c r="J2455" i="1"/>
  <c r="K2454" i="1"/>
  <c r="J2454" i="1"/>
  <c r="K2453" i="1"/>
  <c r="J2453" i="1"/>
  <c r="K2451" i="1"/>
  <c r="J2451" i="1"/>
  <c r="K2450" i="1"/>
  <c r="J2450" i="1"/>
  <c r="K2449" i="1"/>
  <c r="J2449" i="1"/>
  <c r="K2448" i="1"/>
  <c r="J2448" i="1"/>
  <c r="K2447" i="1"/>
  <c r="J2447" i="1"/>
  <c r="K2452" i="1"/>
  <c r="J2452" i="1"/>
  <c r="K2446" i="1"/>
  <c r="J2446" i="1"/>
  <c r="FR2445" i="1"/>
  <c r="FR2444" i="1"/>
  <c r="FR2443" i="1"/>
  <c r="FQ2444" i="1"/>
  <c r="FQ2445" i="1"/>
  <c r="FQ2443" i="1"/>
  <c r="BK2443" i="1"/>
  <c r="AX2445" i="1"/>
  <c r="AX2444" i="1"/>
  <c r="AX2443" i="1"/>
  <c r="AB2442" i="1" l="1"/>
  <c r="AB2441" i="1"/>
  <c r="K2442" i="1"/>
  <c r="J2442" i="1"/>
  <c r="K2440" i="1"/>
  <c r="J2440" i="1"/>
  <c r="K2441" i="1"/>
  <c r="J2441" i="1"/>
  <c r="K2439" i="1"/>
  <c r="J2439" i="1"/>
  <c r="AY2438" i="1"/>
  <c r="K2438" i="1"/>
  <c r="J2438" i="1"/>
  <c r="AY2437" i="1"/>
  <c r="K2437" i="1"/>
  <c r="J2437" i="1"/>
  <c r="AY2436" i="1"/>
  <c r="K2436" i="1"/>
  <c r="J2436" i="1"/>
  <c r="AY2435" i="1"/>
  <c r="K2435" i="1"/>
  <c r="J2435" i="1"/>
  <c r="AY2434" i="1"/>
  <c r="K2434" i="1"/>
  <c r="J2434" i="1"/>
  <c r="AY2433" i="1"/>
  <c r="K2433" i="1"/>
  <c r="J2433" i="1"/>
  <c r="IO2432" i="1"/>
  <c r="IN2432" i="1"/>
  <c r="AY2432" i="1"/>
  <c r="K2432" i="1"/>
  <c r="J2432" i="1"/>
  <c r="IO2431" i="1"/>
  <c r="IN2431" i="1"/>
  <c r="AY2431" i="1"/>
  <c r="K2431" i="1"/>
  <c r="J2431" i="1"/>
  <c r="CO2429" i="1"/>
  <c r="CU2430" i="1"/>
  <c r="CU2429" i="1"/>
  <c r="CT2430" i="1"/>
  <c r="CT2429" i="1"/>
  <c r="IO2430" i="1"/>
  <c r="IO2429" i="1"/>
  <c r="IN2430" i="1"/>
  <c r="IN2429" i="1"/>
  <c r="CK2430" i="1"/>
  <c r="CK2429" i="1"/>
  <c r="CJ2430" i="1"/>
  <c r="CJ2429" i="1"/>
  <c r="AY2430" i="1"/>
  <c r="K2430" i="1"/>
  <c r="J2430" i="1"/>
  <c r="AY2429" i="1"/>
  <c r="K2429" i="1"/>
  <c r="J2429" i="1"/>
  <c r="DV2428" i="1"/>
  <c r="DU2428" i="1"/>
  <c r="DV2427" i="1"/>
  <c r="DU2427" i="1"/>
  <c r="DV2426" i="1"/>
  <c r="DU2426" i="1"/>
  <c r="AY2428" i="1" l="1"/>
  <c r="K2428" i="1"/>
  <c r="J2428" i="1"/>
  <c r="AY2427" i="1"/>
  <c r="K2427" i="1"/>
  <c r="J2427" i="1"/>
  <c r="AY2426" i="1"/>
  <c r="K2426" i="1"/>
  <c r="J2426" i="1"/>
  <c r="BS2268" i="1" l="1"/>
  <c r="BS2267" i="1"/>
  <c r="BS2266" i="1"/>
  <c r="BS2265" i="1"/>
  <c r="BS2264" i="1"/>
  <c r="BS2263" i="1"/>
  <c r="BS2262" i="1"/>
  <c r="BS2261" i="1"/>
  <c r="BS2260" i="1"/>
  <c r="BS2259" i="1"/>
  <c r="BS2258" i="1"/>
  <c r="BS2257" i="1"/>
  <c r="BS2256" i="1"/>
  <c r="BS2255" i="1"/>
  <c r="BS2254" i="1"/>
  <c r="BS2253" i="1"/>
  <c r="BR2261" i="1"/>
  <c r="BR2262" i="1"/>
  <c r="BR2263" i="1"/>
  <c r="BR2264" i="1"/>
  <c r="BR2265" i="1"/>
  <c r="BR2266" i="1"/>
  <c r="BR2267" i="1"/>
  <c r="BR2268" i="1"/>
  <c r="BR2254" i="1"/>
  <c r="BR2255" i="1"/>
  <c r="BR2256" i="1"/>
  <c r="BR2257" i="1"/>
  <c r="BR2258" i="1"/>
  <c r="BR2259" i="1"/>
  <c r="BR2260" i="1"/>
  <c r="BR2253" i="1"/>
  <c r="DE2252" i="1"/>
  <c r="DE2251" i="1"/>
  <c r="DD2252" i="1"/>
  <c r="DD2251" i="1"/>
  <c r="J2234" i="1"/>
  <c r="K2234" i="1"/>
  <c r="J2235" i="1"/>
  <c r="K2235" i="1"/>
  <c r="J2236" i="1"/>
  <c r="K2236" i="1"/>
  <c r="J2237" i="1"/>
  <c r="K2237" i="1"/>
  <c r="K2233" i="1"/>
  <c r="J2233" i="1"/>
  <c r="BG2212" i="1"/>
  <c r="BG2211" i="1"/>
  <c r="BG2210" i="1"/>
  <c r="BF2212" i="1"/>
  <c r="BF2211" i="1"/>
  <c r="BF2210" i="1"/>
  <c r="BA2212" i="1"/>
  <c r="BA2211" i="1"/>
  <c r="BA2210" i="1"/>
  <c r="BQ2224" i="1"/>
  <c r="BQ2223" i="1"/>
  <c r="BQ2222" i="1"/>
  <c r="BQ2221" i="1"/>
  <c r="BQ2220" i="1"/>
  <c r="BQ2219" i="1"/>
  <c r="BQ2218" i="1"/>
  <c r="BQ2217" i="1"/>
  <c r="BQ2216" i="1"/>
  <c r="BP2217" i="1"/>
  <c r="BP2218" i="1"/>
  <c r="BP2219" i="1"/>
  <c r="BP2220" i="1"/>
  <c r="BP2221" i="1"/>
  <c r="BP2222" i="1"/>
  <c r="BP2223" i="1"/>
  <c r="BP2224" i="1"/>
  <c r="BP2216" i="1"/>
  <c r="BL2198" i="1" l="1"/>
  <c r="BL2197" i="1"/>
  <c r="BL2196" i="1"/>
  <c r="BL2195" i="1"/>
  <c r="BL2194" i="1"/>
  <c r="BL2193" i="1"/>
  <c r="BL2192" i="1"/>
  <c r="BL2191" i="1"/>
  <c r="BL2190" i="1"/>
  <c r="BL2189" i="1"/>
  <c r="BL2188" i="1"/>
  <c r="BL2187" i="1"/>
  <c r="BL2186" i="1"/>
  <c r="BL2185" i="1"/>
  <c r="BK2185" i="1"/>
  <c r="BK2198" i="1"/>
  <c r="BK2197" i="1"/>
  <c r="BK2196" i="1"/>
  <c r="BK2195" i="1"/>
  <c r="BK2194" i="1"/>
  <c r="BK2193" i="1"/>
  <c r="BK2192" i="1"/>
  <c r="BK2191" i="1"/>
  <c r="BK2190" i="1"/>
  <c r="BK2189" i="1"/>
  <c r="BK2188" i="1"/>
  <c r="BK2187" i="1"/>
  <c r="BK2186" i="1"/>
  <c r="BK2184" i="1"/>
  <c r="BL2184" i="1"/>
  <c r="BL2183" i="1"/>
  <c r="BL2182" i="1"/>
  <c r="BL2181" i="1"/>
  <c r="BK2183" i="1"/>
  <c r="BK2182" i="1"/>
  <c r="BK2181" i="1"/>
  <c r="BL2180" i="1"/>
  <c r="BL2179" i="1"/>
  <c r="BK2180" i="1"/>
  <c r="BK2179" i="1"/>
  <c r="K2198" i="1"/>
  <c r="K2197" i="1"/>
  <c r="K2196" i="1"/>
  <c r="K2195" i="1"/>
  <c r="K2194" i="1"/>
  <c r="K2193" i="1"/>
  <c r="K2192" i="1"/>
  <c r="J2192" i="1"/>
  <c r="K2191" i="1"/>
  <c r="J2191" i="1"/>
  <c r="K2190" i="1"/>
  <c r="J2190" i="1"/>
  <c r="K2189" i="1"/>
  <c r="J2189" i="1"/>
  <c r="K2188" i="1"/>
  <c r="J2188" i="1"/>
  <c r="K2187" i="1"/>
  <c r="J2187" i="1"/>
  <c r="K2186" i="1"/>
  <c r="J2186" i="1"/>
  <c r="K2185" i="1"/>
  <c r="J2185" i="1"/>
  <c r="CM2184" i="1"/>
  <c r="CM2183" i="1"/>
  <c r="CM2182" i="1"/>
  <c r="CM2181" i="1"/>
  <c r="CM2180" i="1"/>
  <c r="CM2179" i="1"/>
  <c r="CL2184" i="1"/>
  <c r="CL2183" i="1"/>
  <c r="CL2182" i="1"/>
  <c r="CL2181" i="1"/>
  <c r="CL2180" i="1"/>
  <c r="CL2179" i="1"/>
  <c r="CC2184" i="1"/>
  <c r="BX2184" i="1" s="1"/>
  <c r="CC2183" i="1"/>
  <c r="BX2183" i="1" s="1"/>
  <c r="CC2182" i="1"/>
  <c r="BX2182" i="1" s="1"/>
  <c r="CC2181" i="1"/>
  <c r="BX2181" i="1" s="1"/>
  <c r="CC2180" i="1"/>
  <c r="BX2180" i="1" s="1"/>
  <c r="CC2179" i="1"/>
  <c r="BX2179" i="1" s="1"/>
  <c r="CB2184" i="1"/>
  <c r="BW2184" i="1" s="1"/>
  <c r="CB2183" i="1"/>
  <c r="BW2183" i="1" s="1"/>
  <c r="CB2182" i="1"/>
  <c r="BW2182" i="1" s="1"/>
  <c r="CB2181" i="1"/>
  <c r="BW2181" i="1" s="1"/>
  <c r="CB2180" i="1"/>
  <c r="BW2180" i="1" s="1"/>
  <c r="CB2179" i="1"/>
  <c r="BW2179" i="1" s="1"/>
  <c r="K2183" i="1"/>
  <c r="K2184" i="1"/>
  <c r="K2182" i="1"/>
  <c r="K2181" i="1"/>
  <c r="J2181" i="1"/>
  <c r="J2180" i="1"/>
  <c r="K2180" i="1"/>
  <c r="K2179" i="1"/>
  <c r="J2179" i="1"/>
  <c r="AE2166" i="1"/>
  <c r="AE2165" i="1"/>
  <c r="J2178" i="1"/>
  <c r="J2177" i="1"/>
  <c r="J2176" i="1"/>
  <c r="J2175" i="1"/>
  <c r="J2174" i="1"/>
  <c r="J2173" i="1"/>
  <c r="J2172" i="1"/>
  <c r="J2171" i="1"/>
  <c r="J2170" i="1"/>
  <c r="J2169" i="1"/>
  <c r="J2168" i="1"/>
  <c r="J2167" i="1"/>
  <c r="J2166" i="1"/>
  <c r="J2165" i="1"/>
  <c r="AA2159" i="1"/>
  <c r="AB2160" i="1"/>
  <c r="AB2161" i="1"/>
  <c r="AB2162" i="1"/>
  <c r="AB2163" i="1"/>
  <c r="AB2164" i="1"/>
  <c r="AB2159" i="1"/>
  <c r="AA2160" i="1"/>
  <c r="AA2161" i="1"/>
  <c r="AA2162" i="1"/>
  <c r="AA2163" i="1"/>
  <c r="AA2164" i="1"/>
  <c r="K2158" i="1"/>
  <c r="J2158" i="1"/>
  <c r="K2157" i="1"/>
  <c r="J2157" i="1"/>
  <c r="K2156" i="1"/>
  <c r="J2156" i="1"/>
  <c r="K2154" i="1"/>
  <c r="J2154" i="1"/>
  <c r="K2150" i="1"/>
  <c r="J2150" i="1"/>
  <c r="K2153" i="1"/>
  <c r="J2153" i="1"/>
  <c r="K2152" i="1"/>
  <c r="J2152" i="1"/>
  <c r="K2148" i="1"/>
  <c r="J2148" i="1"/>
  <c r="K2149" i="1"/>
  <c r="J2149" i="1"/>
  <c r="K2155" i="1"/>
  <c r="J2155" i="1"/>
  <c r="K2151" i="1"/>
  <c r="J2151" i="1"/>
  <c r="K2147" i="1"/>
  <c r="J2147" i="1"/>
  <c r="BC2125" i="1" l="1"/>
  <c r="BC2124" i="1"/>
  <c r="BC2123" i="1"/>
  <c r="BC2122" i="1"/>
  <c r="BC2121" i="1"/>
  <c r="BC2120" i="1"/>
  <c r="BC2119" i="1"/>
  <c r="AE2118" i="1"/>
  <c r="K2118" i="1"/>
  <c r="J2118" i="1"/>
  <c r="AE2117" i="1"/>
  <c r="K2117" i="1"/>
  <c r="J2117" i="1"/>
  <c r="AE2116" i="1"/>
  <c r="K2116" i="1"/>
  <c r="J2116" i="1"/>
  <c r="AE2115" i="1"/>
  <c r="K2115" i="1"/>
  <c r="J2115" i="1"/>
  <c r="IO2113" i="1"/>
  <c r="IN2113" i="1"/>
  <c r="AE2114" i="1"/>
  <c r="K2114" i="1"/>
  <c r="J2114" i="1"/>
  <c r="AE2113" i="1"/>
  <c r="K2113" i="1"/>
  <c r="J2113" i="1"/>
  <c r="AE2112" i="1"/>
  <c r="K2112" i="1"/>
  <c r="J2112" i="1"/>
  <c r="AE2111" i="1"/>
  <c r="K2111" i="1"/>
  <c r="J2111" i="1"/>
  <c r="AE2110" i="1"/>
  <c r="K2110" i="1"/>
  <c r="J2110" i="1"/>
  <c r="AE2109" i="1"/>
  <c r="K2109" i="1"/>
  <c r="J2109" i="1"/>
  <c r="AE2108" i="1"/>
  <c r="K2108" i="1"/>
  <c r="J2108" i="1"/>
  <c r="AE2107" i="1"/>
  <c r="K2107" i="1" l="1"/>
  <c r="J2107" i="1"/>
  <c r="BQ2095" i="1" l="1"/>
  <c r="BP2095" i="1"/>
  <c r="M2100" i="1"/>
  <c r="M2099" i="1"/>
  <c r="M2098" i="1"/>
  <c r="M2097" i="1"/>
  <c r="M2096" i="1"/>
  <c r="M2095" i="1"/>
  <c r="M2102" i="1"/>
  <c r="M2103" i="1"/>
  <c r="M2101" i="1"/>
  <c r="N2097" i="1"/>
  <c r="N2096" i="1"/>
  <c r="N2095" i="1"/>
  <c r="N2102" i="1"/>
  <c r="N2103" i="1"/>
  <c r="N2101" i="1"/>
  <c r="BR2095" i="1"/>
  <c r="BS2095" i="1"/>
  <c r="BR2096" i="1"/>
  <c r="BS2096" i="1"/>
  <c r="BR2097" i="1"/>
  <c r="BS2097" i="1"/>
  <c r="AE2100" i="1"/>
  <c r="AE2099" i="1"/>
  <c r="AE2098" i="1"/>
  <c r="AE2097" i="1"/>
  <c r="AE2096" i="1"/>
  <c r="AE2095" i="1"/>
  <c r="AE2102" i="1"/>
  <c r="AE2103" i="1"/>
  <c r="AE2101" i="1"/>
  <c r="BQ2096" i="1"/>
  <c r="BQ2097" i="1"/>
  <c r="BP2096" i="1"/>
  <c r="BP2097" i="1"/>
  <c r="BZ2040" i="1" l="1"/>
  <c r="BU2040" i="1" s="1"/>
  <c r="BZ2039" i="1"/>
  <c r="BU2039" i="1" s="1"/>
  <c r="BZ2038" i="1"/>
  <c r="BU2038" i="1" s="1"/>
  <c r="BZ2037" i="1"/>
  <c r="BU2037" i="1" s="1"/>
  <c r="CK2037" i="1"/>
  <c r="CK2040" i="1"/>
  <c r="CJ2040" i="1"/>
  <c r="CK2039" i="1"/>
  <c r="CJ2039" i="1"/>
  <c r="CK2038" i="1"/>
  <c r="CJ2038" i="1"/>
  <c r="CJ2037" i="1"/>
  <c r="CA2037" i="1"/>
  <c r="BV2037" i="1" s="1"/>
  <c r="CA2038" i="1"/>
  <c r="BV2038" i="1" s="1"/>
  <c r="CA2039" i="1"/>
  <c r="BV2039" i="1" s="1"/>
  <c r="CA2040" i="1"/>
  <c r="BV2040" i="1" s="1"/>
  <c r="AE2094" i="1"/>
  <c r="AE2093" i="1"/>
  <c r="AE2092" i="1"/>
  <c r="AE2091" i="1"/>
  <c r="AE2090" i="1"/>
  <c r="AE2089" i="1"/>
  <c r="AE2088" i="1"/>
  <c r="AE2087" i="1"/>
  <c r="AE2086" i="1"/>
  <c r="AE2085" i="1"/>
  <c r="AE2084" i="1"/>
  <c r="AE2083" i="1"/>
  <c r="AE2082" i="1"/>
  <c r="AE2081" i="1"/>
  <c r="AE2080" i="1"/>
  <c r="AE2079" i="1"/>
  <c r="AE2078" i="1"/>
  <c r="AE2077" i="1"/>
  <c r="AE2076" i="1"/>
  <c r="AE2075" i="1"/>
  <c r="AE2074" i="1"/>
  <c r="AE2073" i="1"/>
  <c r="AE2072" i="1"/>
  <c r="AE2071" i="1"/>
  <c r="AE2070" i="1"/>
  <c r="AE2069" i="1"/>
  <c r="AE2068" i="1"/>
  <c r="AE2067" i="1"/>
  <c r="AE2066" i="1"/>
  <c r="AE2065" i="1"/>
  <c r="AE2064" i="1"/>
  <c r="AE2063" i="1"/>
  <c r="AE2062" i="1"/>
  <c r="AE2061" i="1"/>
  <c r="AE2060" i="1"/>
  <c r="AE2059" i="1"/>
  <c r="AE2058" i="1"/>
  <c r="AE2057" i="1"/>
  <c r="AE2056" i="1"/>
  <c r="AE2055" i="1"/>
  <c r="AE2054" i="1"/>
  <c r="AE2053" i="1"/>
  <c r="AE2052" i="1"/>
  <c r="AE2051" i="1"/>
  <c r="AE2050" i="1"/>
  <c r="AE2049" i="1"/>
  <c r="AE2048" i="1"/>
  <c r="AE2047" i="1"/>
  <c r="AE2046" i="1"/>
  <c r="AE2045" i="1"/>
  <c r="AE2044" i="1"/>
  <c r="AE2043" i="1"/>
  <c r="AE2042" i="1"/>
  <c r="AE2041" i="1"/>
  <c r="AE2040" i="1"/>
  <c r="BB1916" i="1"/>
  <c r="BB1911" i="1"/>
  <c r="BB1906" i="1"/>
  <c r="BB1901" i="1"/>
  <c r="BB1896" i="1"/>
  <c r="BB1891" i="1"/>
  <c r="BB1886" i="1"/>
  <c r="BB1881" i="1"/>
  <c r="Z2022" i="1" l="1"/>
  <c r="C36" i="3"/>
  <c r="BU2022" i="1" l="1"/>
  <c r="BV2022" i="1"/>
  <c r="BP1881" i="1"/>
  <c r="BP1882" i="1"/>
  <c r="BP1883" i="1"/>
  <c r="BP1884" i="1"/>
  <c r="BP1885" i="1"/>
  <c r="BP1886" i="1"/>
  <c r="BP1887" i="1"/>
  <c r="BP1888" i="1"/>
  <c r="BP1889" i="1"/>
  <c r="BP1890" i="1"/>
  <c r="BP1891" i="1"/>
  <c r="BP1892" i="1"/>
  <c r="BP1893" i="1"/>
  <c r="BP1894" i="1"/>
  <c r="BP1895" i="1"/>
  <c r="BP1896" i="1"/>
  <c r="BP1897" i="1"/>
  <c r="BP1898" i="1"/>
  <c r="BP1899" i="1"/>
  <c r="BP1900" i="1"/>
  <c r="BP1901" i="1"/>
  <c r="BP1902" i="1"/>
  <c r="BP1903" i="1"/>
  <c r="BP1904" i="1"/>
  <c r="BP1905" i="1"/>
  <c r="BP1906" i="1"/>
  <c r="BP1907" i="1"/>
  <c r="BP1908" i="1"/>
  <c r="BP1909" i="1"/>
  <c r="BP1910" i="1"/>
  <c r="BP1911" i="1"/>
  <c r="BP1912" i="1"/>
  <c r="BP1913" i="1"/>
  <c r="BP1914" i="1"/>
  <c r="BP1915" i="1"/>
  <c r="BP1916" i="1"/>
  <c r="BP1917" i="1"/>
  <c r="BP1918" i="1"/>
  <c r="BP1919" i="1"/>
  <c r="BP1920" i="1"/>
  <c r="BP1921" i="1"/>
  <c r="BP1922" i="1"/>
  <c r="BP1923" i="1"/>
  <c r="BP1924" i="1"/>
  <c r="BP1925" i="1"/>
  <c r="BP1926" i="1"/>
  <c r="BP1927" i="1"/>
  <c r="BP1928" i="1"/>
  <c r="BP1929" i="1"/>
  <c r="Z1929" i="1" s="1"/>
  <c r="BP1930" i="1"/>
  <c r="BP1931" i="1"/>
  <c r="BP1932" i="1"/>
  <c r="BP1933" i="1"/>
  <c r="BP1934" i="1"/>
  <c r="BP1935" i="1"/>
  <c r="BP1936" i="1"/>
  <c r="BP1937" i="1"/>
  <c r="BP1938" i="1"/>
  <c r="BP1939" i="1"/>
  <c r="BP1940" i="1"/>
  <c r="BP1941" i="1"/>
  <c r="BP1942" i="1"/>
  <c r="BP1943" i="1"/>
  <c r="BP1944" i="1"/>
  <c r="BP1945" i="1"/>
  <c r="BP1946" i="1"/>
  <c r="BP1947" i="1"/>
  <c r="BP1948" i="1"/>
  <c r="BP1949" i="1"/>
  <c r="BP1950" i="1"/>
  <c r="BP1951" i="1"/>
  <c r="BP1952" i="1"/>
  <c r="BP1953" i="1"/>
  <c r="BP1954" i="1"/>
  <c r="BP1955" i="1"/>
  <c r="BP1956" i="1"/>
  <c r="BP1957" i="1"/>
  <c r="BP1958" i="1"/>
  <c r="BP1959" i="1"/>
  <c r="BP1960" i="1"/>
  <c r="BP1961" i="1"/>
  <c r="Z1961" i="1" s="1"/>
  <c r="BP1962" i="1"/>
  <c r="BP1963" i="1"/>
  <c r="BP1964" i="1"/>
  <c r="BP1965" i="1"/>
  <c r="BP1966" i="1"/>
  <c r="BP1967" i="1"/>
  <c r="BP1968" i="1"/>
  <c r="BP1969" i="1"/>
  <c r="BP1970" i="1"/>
  <c r="BP1971" i="1"/>
  <c r="BP1972" i="1"/>
  <c r="BP1973" i="1"/>
  <c r="BP1974" i="1"/>
  <c r="BP1975" i="1"/>
  <c r="BP1976" i="1"/>
  <c r="BP1977" i="1"/>
  <c r="BP1978" i="1"/>
  <c r="BP1979" i="1"/>
  <c r="BP1980" i="1"/>
  <c r="BP1981" i="1"/>
  <c r="BP1982" i="1"/>
  <c r="BP1983" i="1"/>
  <c r="BP1984" i="1"/>
  <c r="BP1985" i="1"/>
  <c r="BP1986" i="1"/>
  <c r="BP1987" i="1"/>
  <c r="BP1988" i="1"/>
  <c r="BP1989" i="1"/>
  <c r="BP1990" i="1"/>
  <c r="BP1991" i="1"/>
  <c r="BP1992" i="1"/>
  <c r="BP1993" i="1"/>
  <c r="BP1994" i="1"/>
  <c r="BP1995" i="1"/>
  <c r="BP1996" i="1"/>
  <c r="BP1997" i="1"/>
  <c r="BP1998" i="1"/>
  <c r="BP1999" i="1"/>
  <c r="BP2000" i="1"/>
  <c r="BP2001" i="1"/>
  <c r="BP2002" i="1"/>
  <c r="BP2003" i="1"/>
  <c r="BP2004" i="1"/>
  <c r="BP2005" i="1"/>
  <c r="BP2006" i="1"/>
  <c r="BP2007" i="1"/>
  <c r="BP2008" i="1"/>
  <c r="BP2009" i="1"/>
  <c r="BP2010" i="1"/>
  <c r="BP2011" i="1"/>
  <c r="BP2012" i="1"/>
  <c r="BP2013" i="1"/>
  <c r="BP2014" i="1"/>
  <c r="BP2015" i="1"/>
  <c r="BK1880" i="1"/>
  <c r="Z1823" i="1"/>
  <c r="Z1824" i="1"/>
  <c r="Z1825" i="1"/>
  <c r="Z1826" i="1"/>
  <c r="Z1827" i="1"/>
  <c r="Z1828" i="1"/>
  <c r="Z1829" i="1"/>
  <c r="Z1830" i="1"/>
  <c r="Z1831" i="1"/>
  <c r="Z1832" i="1"/>
  <c r="Z1833" i="1"/>
  <c r="Z1834" i="1"/>
  <c r="Z1835" i="1"/>
  <c r="Z1836" i="1"/>
  <c r="Z1837" i="1"/>
  <c r="Z1838" i="1"/>
  <c r="Z1839" i="1"/>
  <c r="Z1840" i="1"/>
  <c r="Z1841" i="1"/>
  <c r="Z1842"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2023" i="1"/>
  <c r="Z2024" i="1"/>
  <c r="AE2037" i="1"/>
  <c r="AE2038" i="1"/>
  <c r="AE2039" i="1"/>
  <c r="Z2001" i="1"/>
  <c r="Z2119" i="1"/>
  <c r="Z2120" i="1"/>
  <c r="Z2121" i="1"/>
  <c r="Z2122" i="1"/>
  <c r="Z2123" i="1"/>
  <c r="Z2124" i="1"/>
  <c r="Z2125" i="1"/>
  <c r="Z2126" i="1"/>
  <c r="Z2014" i="1" l="1"/>
  <c r="Z2010" i="1"/>
  <c r="Z2006" i="1"/>
  <c r="Z2002" i="1"/>
  <c r="Z1998" i="1"/>
  <c r="Z1994" i="1"/>
  <c r="Z1990" i="1"/>
  <c r="Z1986" i="1"/>
  <c r="Z1982" i="1"/>
  <c r="Z1978" i="1"/>
  <c r="Z1974" i="1"/>
  <c r="Z1970" i="1"/>
  <c r="Z1966" i="1"/>
  <c r="Z1962" i="1"/>
  <c r="Z1958" i="1"/>
  <c r="Z1954" i="1"/>
  <c r="Z1950" i="1"/>
  <c r="Z1946" i="1"/>
  <c r="Z1942" i="1"/>
  <c r="Z1938" i="1"/>
  <c r="Z1934" i="1"/>
  <c r="Z1930" i="1"/>
  <c r="Z1926" i="1"/>
  <c r="Z1922" i="1"/>
  <c r="Z1918" i="1"/>
  <c r="Z1914" i="1"/>
  <c r="Z1910" i="1"/>
  <c r="Z1906" i="1"/>
  <c r="Z1902" i="1"/>
  <c r="Z1898" i="1"/>
  <c r="Z1894" i="1"/>
  <c r="Z1890" i="1"/>
  <c r="Z1886" i="1"/>
  <c r="Z1882" i="1"/>
  <c r="Z2013" i="1"/>
  <c r="Z2009" i="1"/>
  <c r="Z2005" i="1"/>
  <c r="Z1997" i="1"/>
  <c r="Z1993" i="1"/>
  <c r="Z1989" i="1"/>
  <c r="Z1985" i="1"/>
  <c r="Z1981" i="1"/>
  <c r="Z1977" i="1"/>
  <c r="Z1973" i="1"/>
  <c r="Z1969" i="1"/>
  <c r="Z1965" i="1"/>
  <c r="Z1957" i="1"/>
  <c r="Z1953" i="1"/>
  <c r="Z1949" i="1"/>
  <c r="Z1945" i="1"/>
  <c r="Z1941" i="1"/>
  <c r="Z1937" i="1"/>
  <c r="Z1933" i="1"/>
  <c r="Z1925" i="1"/>
  <c r="Z1921" i="1"/>
  <c r="Z1917" i="1"/>
  <c r="Z1913" i="1"/>
  <c r="Z1909" i="1"/>
  <c r="Z1905" i="1"/>
  <c r="Z1901" i="1"/>
  <c r="Z1897" i="1"/>
  <c r="Z1893" i="1"/>
  <c r="Z1889" i="1"/>
  <c r="Z1885" i="1"/>
  <c r="Z1881" i="1"/>
  <c r="Z2012" i="1"/>
  <c r="Z2008" i="1"/>
  <c r="Z2004" i="1"/>
  <c r="Z2000" i="1"/>
  <c r="Z1996" i="1"/>
  <c r="Z1992" i="1"/>
  <c r="Z1988" i="1"/>
  <c r="Z1984" i="1"/>
  <c r="Z1980" i="1"/>
  <c r="Z1976" i="1"/>
  <c r="Z1972" i="1"/>
  <c r="Z1968" i="1"/>
  <c r="Z1964" i="1"/>
  <c r="Z1960" i="1"/>
  <c r="Z1956" i="1"/>
  <c r="Z1952" i="1"/>
  <c r="Z1948" i="1"/>
  <c r="Z1944" i="1"/>
  <c r="Z1940" i="1"/>
  <c r="Z1936" i="1"/>
  <c r="Z1932" i="1"/>
  <c r="Z1928" i="1"/>
  <c r="Z1924" i="1"/>
  <c r="Z1920" i="1"/>
  <c r="Z1916" i="1"/>
  <c r="Z1912" i="1"/>
  <c r="Z1908" i="1"/>
  <c r="Z1904" i="1"/>
  <c r="Z1900" i="1"/>
  <c r="Z1896" i="1"/>
  <c r="Z1892" i="1"/>
  <c r="Z1888" i="1"/>
  <c r="Z1884" i="1"/>
  <c r="Z2015" i="1"/>
  <c r="Z2011" i="1"/>
  <c r="Z2007" i="1"/>
  <c r="Z2003" i="1"/>
  <c r="Z1999" i="1"/>
  <c r="Z1995" i="1"/>
  <c r="Z1991" i="1"/>
  <c r="Z1987" i="1"/>
  <c r="Z1983" i="1"/>
  <c r="Z1979" i="1"/>
  <c r="Z1975" i="1"/>
  <c r="Z1971" i="1"/>
  <c r="Z1967" i="1"/>
  <c r="Z1963" i="1"/>
  <c r="Z1959" i="1"/>
  <c r="Z1955" i="1"/>
  <c r="Z1951" i="1"/>
  <c r="Z1947" i="1"/>
  <c r="Z1943" i="1"/>
  <c r="Z1939" i="1"/>
  <c r="Z1935" i="1"/>
  <c r="Z1931" i="1"/>
  <c r="Z1927" i="1"/>
  <c r="Z1923" i="1"/>
  <c r="Z1919" i="1"/>
  <c r="Z1915" i="1"/>
  <c r="Z1911" i="1"/>
  <c r="Z1907" i="1"/>
  <c r="Z1903" i="1"/>
  <c r="Z1899" i="1"/>
  <c r="Z1895" i="1"/>
  <c r="Z1891" i="1"/>
  <c r="Z1887" i="1"/>
  <c r="Z1883" i="1"/>
  <c r="BU2023" i="1"/>
  <c r="BV2023" i="1"/>
  <c r="BU2024" i="1"/>
  <c r="BV2024" i="1"/>
  <c r="BX1676" i="1"/>
  <c r="BX1675" i="1" l="1"/>
  <c r="BW1676" i="1"/>
  <c r="BW1675" i="1"/>
  <c r="FX228" i="1" l="1"/>
  <c r="FY228" i="1"/>
  <c r="FX229" i="1"/>
  <c r="FY229" i="1"/>
  <c r="FX230" i="1"/>
  <c r="FY230" i="1"/>
  <c r="FX231" i="1"/>
  <c r="FY231" i="1"/>
  <c r="FX232" i="1"/>
  <c r="FY232" i="1"/>
  <c r="FX233" i="1"/>
  <c r="FY233" i="1"/>
  <c r="FX234" i="1"/>
  <c r="FY234" i="1"/>
  <c r="FX235" i="1"/>
  <c r="FY235" i="1"/>
  <c r="FX236" i="1"/>
  <c r="FY236" i="1"/>
  <c r="FX237" i="1"/>
  <c r="FY237" i="1"/>
  <c r="FX238" i="1"/>
  <c r="FY238" i="1"/>
  <c r="FX239" i="1"/>
  <c r="FY239" i="1"/>
  <c r="FX240" i="1"/>
  <c r="FY240" i="1"/>
  <c r="FX241" i="1"/>
  <c r="FY241" i="1"/>
  <c r="FX242" i="1"/>
  <c r="FY242" i="1"/>
  <c r="FX243" i="1"/>
  <c r="FY243" i="1"/>
  <c r="FX244" i="1"/>
  <c r="FY244" i="1"/>
  <c r="FX245" i="1"/>
  <c r="FY245" i="1"/>
  <c r="FX246" i="1"/>
  <c r="FY246" i="1"/>
  <c r="FX247" i="1"/>
  <c r="FY247" i="1"/>
  <c r="FX248" i="1"/>
  <c r="FY248" i="1"/>
  <c r="FX249" i="1"/>
  <c r="FY249" i="1"/>
  <c r="FX250" i="1"/>
  <c r="FY250" i="1"/>
  <c r="FX251" i="1"/>
  <c r="FY251" i="1"/>
  <c r="FX252" i="1"/>
  <c r="FY252" i="1"/>
  <c r="FX253" i="1"/>
  <c r="FY253" i="1"/>
  <c r="FX254" i="1"/>
  <c r="FY254" i="1"/>
  <c r="FX255" i="1"/>
  <c r="FY255" i="1"/>
  <c r="FX256" i="1"/>
  <c r="FY256" i="1"/>
  <c r="FX257" i="1"/>
  <c r="FY257" i="1"/>
  <c r="FX258" i="1"/>
  <c r="FY258" i="1"/>
  <c r="FX259" i="1"/>
  <c r="FY259" i="1"/>
  <c r="FX260" i="1"/>
  <c r="FY260" i="1"/>
  <c r="FX261" i="1"/>
  <c r="FY261" i="1"/>
  <c r="FE1381" i="1"/>
  <c r="FE1380" i="1"/>
  <c r="FD1381" i="1"/>
  <c r="FD1380" i="1"/>
  <c r="GG93" i="1" l="1"/>
  <c r="GG92" i="1"/>
  <c r="GF93" i="1"/>
  <c r="GF92" i="1"/>
  <c r="BB93" i="1"/>
  <c r="K93" i="1"/>
  <c r="J93" i="1"/>
  <c r="BB92" i="1"/>
  <c r="K92" i="1"/>
  <c r="J92" i="1"/>
  <c r="Z1782" i="1" l="1"/>
  <c r="K1782" i="1"/>
  <c r="J1782" i="1"/>
  <c r="Z1781" i="1"/>
  <c r="K1781" i="1"/>
  <c r="J1781" i="1"/>
  <c r="Z1780" i="1"/>
  <c r="K1780" i="1"/>
  <c r="J1780" i="1"/>
  <c r="Z1779" i="1"/>
  <c r="K1779" i="1"/>
  <c r="J1779" i="1"/>
  <c r="Z1778" i="1"/>
  <c r="K1778" i="1"/>
  <c r="J1778" i="1"/>
  <c r="Z1777" i="1"/>
  <c r="K1777" i="1"/>
  <c r="J1777" i="1"/>
  <c r="IO1506" i="1" l="1"/>
  <c r="IO1505" i="1"/>
  <c r="IO1504" i="1"/>
  <c r="IO1503" i="1"/>
  <c r="IN1506" i="1"/>
  <c r="IN1505" i="1"/>
  <c r="IN1504" i="1"/>
  <c r="IN1503" i="1"/>
  <c r="IN1502" i="1"/>
  <c r="EI60" i="1"/>
  <c r="EH60" i="1"/>
  <c r="EI58" i="1"/>
  <c r="EH58" i="1"/>
  <c r="FM64" i="1"/>
  <c r="FL64" i="1"/>
  <c r="FM63" i="1"/>
  <c r="FL63" i="1"/>
  <c r="FM62" i="1"/>
  <c r="FM61" i="1"/>
  <c r="FL62" i="1"/>
  <c r="FL61" i="1"/>
  <c r="FB736" i="1" l="1"/>
  <c r="FB737" i="1"/>
  <c r="FB738" i="1"/>
  <c r="CJ910" i="1" l="1"/>
  <c r="CT910" i="1"/>
  <c r="CU910" i="1"/>
  <c r="GG91" i="1"/>
  <c r="GF91" i="1"/>
  <c r="GG90" i="1"/>
  <c r="GF90" i="1"/>
  <c r="BL4" i="1" l="1"/>
  <c r="F57" i="1"/>
  <c r="BU57" i="1"/>
  <c r="BV57" i="1"/>
  <c r="EH57" i="1"/>
  <c r="EI57" i="1"/>
  <c r="F58" i="1"/>
  <c r="BU58" i="1"/>
  <c r="BV58" i="1"/>
  <c r="F59" i="1"/>
  <c r="BU59" i="1"/>
  <c r="BV59" i="1"/>
  <c r="EH59" i="1"/>
  <c r="EI59" i="1"/>
  <c r="F60" i="1"/>
  <c r="BU60" i="1"/>
  <c r="BV60" i="1"/>
  <c r="F61" i="1"/>
  <c r="BU61" i="1"/>
  <c r="BV61" i="1"/>
  <c r="F62" i="1"/>
  <c r="BU62" i="1"/>
  <c r="BV62" i="1"/>
  <c r="F63" i="1"/>
  <c r="BU63" i="1"/>
  <c r="BV63" i="1"/>
  <c r="F64" i="1"/>
  <c r="BU64" i="1"/>
  <c r="BV64" i="1"/>
  <c r="BU65" i="1"/>
  <c r="DS65" i="1"/>
  <c r="DT65" i="1"/>
  <c r="BU66" i="1"/>
  <c r="DS66" i="1"/>
  <c r="DT66" i="1"/>
  <c r="BU67" i="1"/>
  <c r="DS67" i="1"/>
  <c r="DT67" i="1"/>
  <c r="BU68" i="1"/>
  <c r="DS68" i="1"/>
  <c r="DT68" i="1"/>
  <c r="BU69" i="1"/>
  <c r="DS69" i="1"/>
  <c r="DT69" i="1"/>
  <c r="BU70" i="1"/>
  <c r="DS70" i="1"/>
  <c r="DT70" i="1"/>
  <c r="BU71" i="1"/>
  <c r="DS71" i="1"/>
  <c r="DT71" i="1"/>
  <c r="BU72" i="1"/>
  <c r="DS72" i="1"/>
  <c r="DT72" i="1"/>
  <c r="BU73" i="1"/>
  <c r="BU74" i="1"/>
  <c r="BU75" i="1"/>
  <c r="BU76" i="1"/>
  <c r="BU77" i="1"/>
  <c r="BU78" i="1"/>
  <c r="BU79" i="1"/>
  <c r="BU80" i="1"/>
  <c r="AA81" i="1"/>
  <c r="AB81" i="1"/>
  <c r="BB81" i="1"/>
  <c r="AA82" i="1"/>
  <c r="AB82" i="1"/>
  <c r="BB82" i="1"/>
  <c r="AA83" i="1"/>
  <c r="AB83" i="1"/>
  <c r="BB83" i="1"/>
  <c r="AA84" i="1"/>
  <c r="AB84" i="1"/>
  <c r="BB84" i="1"/>
  <c r="AA85" i="1"/>
  <c r="AB85" i="1"/>
  <c r="AE85" i="1"/>
  <c r="HY85" i="1"/>
  <c r="HZ85" i="1"/>
  <c r="IC85" i="1"/>
  <c r="AA86" i="1"/>
  <c r="AB86" i="1"/>
  <c r="AE86" i="1"/>
  <c r="HY86" i="1"/>
  <c r="HZ86" i="1"/>
  <c r="IC86" i="1"/>
  <c r="AA87" i="1"/>
  <c r="AB87" i="1"/>
  <c r="AE87" i="1"/>
  <c r="HY87" i="1"/>
  <c r="HZ87" i="1"/>
  <c r="IC87" i="1"/>
  <c r="AA88" i="1"/>
  <c r="AB88" i="1"/>
  <c r="AE88" i="1"/>
  <c r="HY88" i="1"/>
  <c r="HZ88" i="1"/>
  <c r="IC88" i="1"/>
  <c r="AA89" i="1"/>
  <c r="AB89" i="1"/>
  <c r="AE89" i="1"/>
  <c r="HY89" i="1"/>
  <c r="HZ89" i="1"/>
  <c r="IC89" i="1"/>
  <c r="J90" i="1"/>
  <c r="K90" i="1"/>
  <c r="BB90" i="1"/>
  <c r="BK90" i="1"/>
  <c r="BL90" i="1"/>
  <c r="FV90" i="1"/>
  <c r="FW90" i="1"/>
  <c r="J91" i="1"/>
  <c r="K91" i="1"/>
  <c r="BB91" i="1"/>
  <c r="BK91" i="1"/>
  <c r="BL91" i="1"/>
  <c r="FV91" i="1"/>
  <c r="FW91" i="1"/>
  <c r="J94" i="1"/>
  <c r="K94" i="1"/>
  <c r="AA94" i="1"/>
  <c r="AB94" i="1"/>
  <c r="DS94" i="1"/>
  <c r="DT94" i="1"/>
  <c r="EH94" i="1"/>
  <c r="EI94" i="1"/>
  <c r="J95" i="1"/>
  <c r="K95" i="1"/>
  <c r="AA95" i="1"/>
  <c r="AB95" i="1"/>
  <c r="DS95" i="1"/>
  <c r="DT95" i="1"/>
  <c r="EH95" i="1"/>
  <c r="EI95" i="1"/>
  <c r="J96" i="1"/>
  <c r="K96" i="1"/>
  <c r="AA96" i="1"/>
  <c r="AB96" i="1"/>
  <c r="DS96" i="1"/>
  <c r="DT96" i="1"/>
  <c r="EH96" i="1"/>
  <c r="EI96" i="1"/>
  <c r="J97" i="1"/>
  <c r="K97" i="1"/>
  <c r="AA97" i="1"/>
  <c r="AB97" i="1"/>
  <c r="DS97" i="1"/>
  <c r="DT97" i="1"/>
  <c r="EH97" i="1"/>
  <c r="EI97" i="1"/>
  <c r="J98" i="1"/>
  <c r="K98" i="1"/>
  <c r="AA98" i="1"/>
  <c r="AB98" i="1"/>
  <c r="DS98" i="1"/>
  <c r="DT98" i="1"/>
  <c r="EH98" i="1"/>
  <c r="EI98" i="1"/>
  <c r="J99" i="1"/>
  <c r="K99" i="1"/>
  <c r="AA99" i="1"/>
  <c r="AB99" i="1"/>
  <c r="DS99" i="1"/>
  <c r="DT99" i="1"/>
  <c r="EH99" i="1"/>
  <c r="EI99" i="1"/>
  <c r="BK100" i="1"/>
  <c r="BL100" i="1"/>
  <c r="BK103" i="1"/>
  <c r="BL103" i="1"/>
  <c r="BK106" i="1"/>
  <c r="BL106" i="1"/>
  <c r="BK109" i="1"/>
  <c r="BL109" i="1"/>
  <c r="AA112" i="1"/>
  <c r="AB112" i="1"/>
  <c r="GU112" i="1"/>
  <c r="GV112" i="1"/>
  <c r="AA113" i="1"/>
  <c r="AB113" i="1"/>
  <c r="GU113" i="1"/>
  <c r="GV113" i="1"/>
  <c r="AA114" i="1"/>
  <c r="AB114" i="1"/>
  <c r="GU114" i="1"/>
  <c r="GV114" i="1"/>
  <c r="AA115" i="1"/>
  <c r="AB115" i="1"/>
  <c r="GU115" i="1"/>
  <c r="GV115" i="1"/>
  <c r="AA116" i="1"/>
  <c r="AB116" i="1"/>
  <c r="GU116" i="1"/>
  <c r="GV116" i="1"/>
  <c r="AA117" i="1"/>
  <c r="AB117" i="1"/>
  <c r="GU117" i="1"/>
  <c r="GV117" i="1"/>
  <c r="AA118" i="1"/>
  <c r="AB118" i="1"/>
  <c r="AA119" i="1"/>
  <c r="AB119" i="1"/>
  <c r="AA120" i="1"/>
  <c r="AB120" i="1"/>
  <c r="AA121" i="1"/>
  <c r="AB121" i="1"/>
  <c r="AA122" i="1"/>
  <c r="AB122" i="1"/>
  <c r="AA123" i="1"/>
  <c r="AB123" i="1"/>
  <c r="AA124" i="1"/>
  <c r="AB124" i="1"/>
  <c r="AA125" i="1"/>
  <c r="AB125" i="1"/>
  <c r="AA126" i="1"/>
  <c r="AB126" i="1"/>
  <c r="AA127" i="1"/>
  <c r="AB127" i="1"/>
  <c r="AA128" i="1"/>
  <c r="AB128" i="1"/>
  <c r="AA129" i="1"/>
  <c r="AB129" i="1"/>
  <c r="BK130" i="1"/>
  <c r="BL130" i="1"/>
  <c r="FL130" i="1"/>
  <c r="FM130" i="1"/>
  <c r="BK131" i="1"/>
  <c r="BL131" i="1"/>
  <c r="BK132" i="1"/>
  <c r="BL132" i="1"/>
  <c r="BK133" i="1"/>
  <c r="BL133" i="1"/>
  <c r="BK134" i="1"/>
  <c r="BL134" i="1"/>
  <c r="BK135" i="1"/>
  <c r="BL135" i="1"/>
  <c r="BK136" i="1"/>
  <c r="BL136" i="1"/>
  <c r="BK137" i="1"/>
  <c r="BL137" i="1"/>
  <c r="BK138" i="1"/>
  <c r="BL138" i="1"/>
  <c r="BK139" i="1"/>
  <c r="BL139" i="1"/>
  <c r="BK140" i="1"/>
  <c r="BL140" i="1"/>
  <c r="BK141" i="1"/>
  <c r="BL141" i="1"/>
  <c r="BK142" i="1"/>
  <c r="BL142" i="1"/>
  <c r="BK144" i="1"/>
  <c r="BL144" i="1"/>
  <c r="BK145" i="1"/>
  <c r="BL145" i="1"/>
  <c r="BK146" i="1"/>
  <c r="BL146" i="1"/>
  <c r="BK147" i="1"/>
  <c r="BL147" i="1"/>
  <c r="BK148" i="1"/>
  <c r="BL148" i="1"/>
  <c r="BK149" i="1"/>
  <c r="BL149" i="1"/>
  <c r="BK150" i="1"/>
  <c r="BL150" i="1"/>
  <c r="BK151" i="1"/>
  <c r="BL151" i="1"/>
  <c r="BK152" i="1"/>
  <c r="BL152" i="1"/>
  <c r="BK153" i="1"/>
  <c r="BL153" i="1"/>
  <c r="K154" i="1"/>
  <c r="Z154" i="1"/>
  <c r="BA154" i="1"/>
  <c r="BC154" i="1"/>
  <c r="CJ154" i="1"/>
  <c r="CK154" i="1"/>
  <c r="HY154" i="1"/>
  <c r="HZ154" i="1"/>
  <c r="IN154" i="1"/>
  <c r="IO154" i="1"/>
  <c r="IS154" i="1"/>
  <c r="IT154" i="1"/>
  <c r="K155" i="1"/>
  <c r="Z155" i="1"/>
  <c r="BA155" i="1"/>
  <c r="BC155" i="1"/>
  <c r="CJ155" i="1"/>
  <c r="CK155" i="1"/>
  <c r="HY155" i="1"/>
  <c r="HZ155" i="1"/>
  <c r="IN155" i="1"/>
  <c r="IO155" i="1"/>
  <c r="IS155" i="1"/>
  <c r="IT155" i="1"/>
  <c r="K156" i="1"/>
  <c r="Z156" i="1"/>
  <c r="BA156" i="1"/>
  <c r="BC156" i="1"/>
  <c r="CJ156" i="1"/>
  <c r="CK156" i="1"/>
  <c r="HY156" i="1"/>
  <c r="HZ156" i="1"/>
  <c r="IN156" i="1"/>
  <c r="IO156" i="1"/>
  <c r="IS156" i="1"/>
  <c r="IT156" i="1"/>
  <c r="K157" i="1"/>
  <c r="Z157" i="1"/>
  <c r="BA157" i="1"/>
  <c r="BC157" i="1"/>
  <c r="CJ157" i="1"/>
  <c r="CK157" i="1"/>
  <c r="HY157" i="1"/>
  <c r="HZ157" i="1"/>
  <c r="IN157" i="1"/>
  <c r="IO157" i="1"/>
  <c r="IS157" i="1"/>
  <c r="IT157" i="1"/>
  <c r="K158" i="1"/>
  <c r="Z158" i="1"/>
  <c r="BA158" i="1"/>
  <c r="BC158" i="1"/>
  <c r="CJ158" i="1"/>
  <c r="CK158" i="1"/>
  <c r="HY158" i="1"/>
  <c r="HZ158" i="1"/>
  <c r="IN158" i="1"/>
  <c r="IO158" i="1"/>
  <c r="IS158" i="1"/>
  <c r="IT158" i="1"/>
  <c r="K159" i="1"/>
  <c r="Z159" i="1"/>
  <c r="BA159" i="1"/>
  <c r="BC159" i="1"/>
  <c r="CJ159" i="1"/>
  <c r="CK159" i="1"/>
  <c r="HY159" i="1"/>
  <c r="HZ159" i="1"/>
  <c r="IN159" i="1"/>
  <c r="IO159" i="1"/>
  <c r="IT159" i="1"/>
  <c r="K160" i="1"/>
  <c r="Z160" i="1"/>
  <c r="BA160" i="1"/>
  <c r="BC160" i="1"/>
  <c r="CJ160" i="1"/>
  <c r="CK160" i="1"/>
  <c r="HY160" i="1"/>
  <c r="HZ160" i="1"/>
  <c r="IN160" i="1"/>
  <c r="IO160" i="1"/>
  <c r="IT160" i="1"/>
  <c r="K161" i="1"/>
  <c r="Z161" i="1"/>
  <c r="BA161" i="1"/>
  <c r="BC161" i="1"/>
  <c r="CJ161" i="1"/>
  <c r="CK161" i="1"/>
  <c r="HY161" i="1"/>
  <c r="HZ161" i="1"/>
  <c r="IN161" i="1"/>
  <c r="IO161" i="1"/>
  <c r="IT161" i="1"/>
  <c r="K162" i="1"/>
  <c r="Z162" i="1"/>
  <c r="BA162" i="1"/>
  <c r="BC162" i="1"/>
  <c r="CJ162" i="1"/>
  <c r="CK162" i="1"/>
  <c r="HY162" i="1"/>
  <c r="HZ162" i="1"/>
  <c r="IN162" i="1"/>
  <c r="IO162" i="1"/>
  <c r="IT162" i="1"/>
  <c r="K163" i="1"/>
  <c r="Z163" i="1"/>
  <c r="BA163" i="1"/>
  <c r="BC163" i="1"/>
  <c r="CJ163" i="1"/>
  <c r="CK163" i="1"/>
  <c r="HY163" i="1"/>
  <c r="HZ163" i="1"/>
  <c r="IN163" i="1"/>
  <c r="IO163" i="1"/>
  <c r="IT163" i="1"/>
  <c r="K164" i="1"/>
  <c r="Z164" i="1"/>
  <c r="BA164" i="1"/>
  <c r="BC164" i="1"/>
  <c r="CJ164" i="1"/>
  <c r="CK164" i="1"/>
  <c r="HY164" i="1"/>
  <c r="HZ164" i="1"/>
  <c r="IN164" i="1"/>
  <c r="IO164" i="1"/>
  <c r="IT164" i="1"/>
  <c r="K165" i="1"/>
  <c r="Z165" i="1"/>
  <c r="BA165" i="1"/>
  <c r="BC165" i="1"/>
  <c r="CJ165" i="1"/>
  <c r="CK165" i="1"/>
  <c r="HY165" i="1"/>
  <c r="HZ165" i="1"/>
  <c r="IN165" i="1"/>
  <c r="IO165" i="1"/>
  <c r="IT165" i="1"/>
  <c r="K166" i="1"/>
  <c r="Z166" i="1"/>
  <c r="BA166" i="1"/>
  <c r="BC166" i="1"/>
  <c r="CJ166" i="1"/>
  <c r="CK166" i="1"/>
  <c r="HY166" i="1"/>
  <c r="HZ166" i="1"/>
  <c r="IN166" i="1"/>
  <c r="IO166" i="1"/>
  <c r="IT166" i="1"/>
  <c r="K167" i="1"/>
  <c r="Z167" i="1"/>
  <c r="BA167" i="1"/>
  <c r="BC167" i="1"/>
  <c r="CJ167" i="1"/>
  <c r="CK167" i="1"/>
  <c r="HY167" i="1"/>
  <c r="HZ167" i="1"/>
  <c r="IN167" i="1"/>
  <c r="IO167" i="1"/>
  <c r="IT167" i="1"/>
  <c r="K168" i="1"/>
  <c r="Z168" i="1"/>
  <c r="BA168" i="1"/>
  <c r="BC168" i="1"/>
  <c r="CJ168" i="1"/>
  <c r="CK168" i="1"/>
  <c r="HY168" i="1"/>
  <c r="HZ168" i="1"/>
  <c r="IN168" i="1"/>
  <c r="IO168" i="1"/>
  <c r="IT168" i="1"/>
  <c r="K169" i="1"/>
  <c r="Z169" i="1"/>
  <c r="BA169" i="1"/>
  <c r="BC169" i="1"/>
  <c r="CJ169" i="1"/>
  <c r="CK169" i="1"/>
  <c r="HY169" i="1"/>
  <c r="HZ169" i="1"/>
  <c r="IN169" i="1"/>
  <c r="IO169" i="1"/>
  <c r="IT169" i="1"/>
  <c r="K170" i="1"/>
  <c r="Z170" i="1"/>
  <c r="BA170" i="1"/>
  <c r="BC170" i="1"/>
  <c r="CJ170" i="1"/>
  <c r="CK170" i="1"/>
  <c r="HY170" i="1"/>
  <c r="HZ170" i="1"/>
  <c r="IN170" i="1"/>
  <c r="IO170" i="1"/>
  <c r="IT170" i="1"/>
  <c r="K171" i="1"/>
  <c r="Z171" i="1"/>
  <c r="BA171" i="1"/>
  <c r="BC171" i="1"/>
  <c r="CJ171" i="1"/>
  <c r="CK171" i="1"/>
  <c r="HY171" i="1"/>
  <c r="HZ171" i="1"/>
  <c r="IN171" i="1"/>
  <c r="IO171" i="1"/>
  <c r="IT171" i="1"/>
  <c r="K172" i="1"/>
  <c r="Z172" i="1"/>
  <c r="BA172" i="1"/>
  <c r="BC172" i="1"/>
  <c r="CJ172" i="1"/>
  <c r="CK172" i="1"/>
  <c r="HY172" i="1"/>
  <c r="HZ172" i="1"/>
  <c r="IN172" i="1"/>
  <c r="IO172" i="1"/>
  <c r="IT172" i="1"/>
  <c r="K173" i="1"/>
  <c r="Z173" i="1"/>
  <c r="BA173" i="1"/>
  <c r="BC173" i="1"/>
  <c r="CJ173" i="1"/>
  <c r="CK173" i="1"/>
  <c r="HY173" i="1"/>
  <c r="HZ173" i="1"/>
  <c r="IN173" i="1"/>
  <c r="IO173" i="1"/>
  <c r="IT173" i="1"/>
  <c r="J219" i="1"/>
  <c r="K219" i="1"/>
  <c r="BB219" i="1"/>
  <c r="BK219" i="1"/>
  <c r="BL219" i="1"/>
  <c r="FV219" i="1"/>
  <c r="FW219" i="1"/>
  <c r="J220" i="1"/>
  <c r="K220" i="1"/>
  <c r="BK220" i="1"/>
  <c r="BL220" i="1"/>
  <c r="FV220" i="1"/>
  <c r="FW220" i="1"/>
  <c r="BK221" i="1"/>
  <c r="BL221" i="1"/>
  <c r="FV221" i="1"/>
  <c r="FW221" i="1"/>
  <c r="BK222" i="1"/>
  <c r="BL222" i="1"/>
  <c r="FV222" i="1"/>
  <c r="FW222" i="1"/>
  <c r="J223" i="1"/>
  <c r="K223" i="1"/>
  <c r="BK223" i="1"/>
  <c r="BL223" i="1"/>
  <c r="FV223" i="1"/>
  <c r="FW223" i="1"/>
  <c r="J224" i="1"/>
  <c r="K224" i="1"/>
  <c r="BK224" i="1"/>
  <c r="BL224" i="1"/>
  <c r="FV224" i="1"/>
  <c r="FW224" i="1"/>
  <c r="Z225" i="1"/>
  <c r="BP225" i="1"/>
  <c r="BQ225" i="1"/>
  <c r="DX225" i="1"/>
  <c r="DY225" i="1"/>
  <c r="EM225" i="1"/>
  <c r="EN225" i="1"/>
  <c r="FL225" i="1"/>
  <c r="FM225" i="1"/>
  <c r="Z226" i="1"/>
  <c r="BP226" i="1"/>
  <c r="BQ226" i="1"/>
  <c r="DX226" i="1"/>
  <c r="DY226" i="1"/>
  <c r="EM226" i="1"/>
  <c r="EN226" i="1"/>
  <c r="FL226" i="1"/>
  <c r="FM226" i="1"/>
  <c r="Z227" i="1"/>
  <c r="BP227" i="1"/>
  <c r="BQ227" i="1"/>
  <c r="DX227" i="1"/>
  <c r="DY227" i="1"/>
  <c r="EM227" i="1"/>
  <c r="EN227" i="1"/>
  <c r="FL227" i="1"/>
  <c r="FM227" i="1"/>
  <c r="J228" i="1"/>
  <c r="K228" i="1"/>
  <c r="CJ228" i="1"/>
  <c r="J229" i="1"/>
  <c r="K229" i="1"/>
  <c r="CJ229" i="1"/>
  <c r="J230" i="1"/>
  <c r="K230" i="1"/>
  <c r="CJ230" i="1"/>
  <c r="J231" i="1"/>
  <c r="K231" i="1"/>
  <c r="CJ231" i="1"/>
  <c r="J232" i="1"/>
  <c r="K232" i="1"/>
  <c r="CJ232" i="1"/>
  <c r="J233" i="1"/>
  <c r="K233" i="1"/>
  <c r="CJ233" i="1"/>
  <c r="J234" i="1"/>
  <c r="K234" i="1"/>
  <c r="CJ234" i="1"/>
  <c r="J235" i="1"/>
  <c r="K235" i="1"/>
  <c r="CJ235" i="1"/>
  <c r="J236" i="1"/>
  <c r="K236" i="1"/>
  <c r="CJ236" i="1"/>
  <c r="J237" i="1"/>
  <c r="K237" i="1"/>
  <c r="CJ237" i="1"/>
  <c r="J238" i="1"/>
  <c r="K238" i="1"/>
  <c r="CJ238" i="1"/>
  <c r="J239" i="1"/>
  <c r="K239" i="1"/>
  <c r="CJ239" i="1"/>
  <c r="J240" i="1"/>
  <c r="K240" i="1"/>
  <c r="CJ240" i="1"/>
  <c r="J241" i="1"/>
  <c r="K241" i="1"/>
  <c r="CJ241" i="1"/>
  <c r="J242" i="1"/>
  <c r="K242" i="1"/>
  <c r="CJ242" i="1"/>
  <c r="J243" i="1"/>
  <c r="K243" i="1"/>
  <c r="CJ243" i="1"/>
  <c r="J244" i="1"/>
  <c r="K244" i="1"/>
  <c r="J245" i="1"/>
  <c r="K245" i="1"/>
  <c r="CJ245" i="1"/>
  <c r="J246" i="1"/>
  <c r="K246" i="1"/>
  <c r="CJ246" i="1"/>
  <c r="J247" i="1"/>
  <c r="K247" i="1"/>
  <c r="CJ247" i="1"/>
  <c r="J248" i="1"/>
  <c r="K248" i="1"/>
  <c r="CJ248" i="1"/>
  <c r="J249" i="1"/>
  <c r="K249" i="1"/>
  <c r="CJ249" i="1"/>
  <c r="J250" i="1"/>
  <c r="K250" i="1"/>
  <c r="CJ250" i="1"/>
  <c r="J251" i="1"/>
  <c r="K251" i="1"/>
  <c r="CJ251" i="1"/>
  <c r="J252" i="1"/>
  <c r="K252" i="1"/>
  <c r="CJ252" i="1"/>
  <c r="J253" i="1"/>
  <c r="K253" i="1"/>
  <c r="CJ253" i="1"/>
  <c r="J254" i="1"/>
  <c r="K254" i="1"/>
  <c r="CJ254" i="1"/>
  <c r="J255" i="1"/>
  <c r="K255" i="1"/>
  <c r="CJ255" i="1"/>
  <c r="J256" i="1"/>
  <c r="K256" i="1"/>
  <c r="CJ256" i="1"/>
  <c r="J257" i="1"/>
  <c r="K257" i="1"/>
  <c r="CJ257" i="1"/>
  <c r="J258" i="1"/>
  <c r="K258" i="1"/>
  <c r="CJ258" i="1"/>
  <c r="J259" i="1"/>
  <c r="K259" i="1"/>
  <c r="CJ259" i="1"/>
  <c r="J260" i="1"/>
  <c r="K260" i="1"/>
  <c r="CJ260" i="1"/>
  <c r="J261" i="1"/>
  <c r="K261" i="1"/>
  <c r="CJ261" i="1"/>
  <c r="BB290" i="1"/>
  <c r="BC290" i="1"/>
  <c r="BK290" i="1"/>
  <c r="BL290" i="1"/>
  <c r="BU290" i="1"/>
  <c r="CJ290" i="1"/>
  <c r="BB291" i="1"/>
  <c r="BC291" i="1"/>
  <c r="BK291" i="1"/>
  <c r="BL291" i="1"/>
  <c r="BU291" i="1"/>
  <c r="CJ291" i="1"/>
  <c r="BB292" i="1"/>
  <c r="BC292" i="1"/>
  <c r="BK292" i="1"/>
  <c r="BL292" i="1"/>
  <c r="BU292" i="1"/>
  <c r="CJ292" i="1"/>
  <c r="BB293" i="1"/>
  <c r="BC293" i="1"/>
  <c r="BK293" i="1"/>
  <c r="BL293" i="1"/>
  <c r="BU293" i="1"/>
  <c r="CJ293" i="1"/>
  <c r="BB294" i="1"/>
  <c r="BC294" i="1"/>
  <c r="BK294" i="1"/>
  <c r="BL294" i="1"/>
  <c r="BU294" i="1"/>
  <c r="CJ294" i="1"/>
  <c r="BB295" i="1"/>
  <c r="BC295" i="1"/>
  <c r="BK295" i="1"/>
  <c r="BL295" i="1"/>
  <c r="CJ295" i="1"/>
  <c r="BK296" i="1"/>
  <c r="BL296" i="1"/>
  <c r="CJ296" i="1"/>
  <c r="BB297" i="1"/>
  <c r="BC297" i="1"/>
  <c r="BK297" i="1"/>
  <c r="BL297" i="1"/>
  <c r="CJ297" i="1"/>
  <c r="BB298" i="1"/>
  <c r="BC298" i="1"/>
  <c r="BK298" i="1"/>
  <c r="BL298" i="1"/>
  <c r="CJ298" i="1"/>
  <c r="BB299" i="1"/>
  <c r="BC299" i="1"/>
  <c r="BK299" i="1"/>
  <c r="BL299" i="1"/>
  <c r="CJ299" i="1"/>
  <c r="BB300" i="1"/>
  <c r="BC300" i="1"/>
  <c r="BK300" i="1"/>
  <c r="BL300" i="1"/>
  <c r="CJ300" i="1"/>
  <c r="BK301" i="1"/>
  <c r="BL301" i="1"/>
  <c r="CJ301" i="1"/>
  <c r="BB302" i="1"/>
  <c r="BC302" i="1"/>
  <c r="BK302" i="1"/>
  <c r="BL302" i="1"/>
  <c r="CJ302" i="1"/>
  <c r="BB303" i="1"/>
  <c r="BC303" i="1"/>
  <c r="BK303" i="1"/>
  <c r="BL303" i="1"/>
  <c r="CJ303" i="1"/>
  <c r="BB304" i="1"/>
  <c r="BC304" i="1"/>
  <c r="BK304" i="1"/>
  <c r="BL304" i="1"/>
  <c r="CJ304" i="1"/>
  <c r="BB305" i="1"/>
  <c r="BC305" i="1"/>
  <c r="BK305" i="1"/>
  <c r="BL305" i="1"/>
  <c r="BB306" i="1"/>
  <c r="BC306" i="1"/>
  <c r="BK306" i="1"/>
  <c r="BL306" i="1"/>
  <c r="BB307" i="1"/>
  <c r="BC307" i="1"/>
  <c r="BK307" i="1"/>
  <c r="BL307" i="1"/>
  <c r="BB308" i="1"/>
  <c r="BC308" i="1"/>
  <c r="BK308" i="1"/>
  <c r="BL308" i="1"/>
  <c r="BB309" i="1"/>
  <c r="BC309" i="1"/>
  <c r="BK309" i="1"/>
  <c r="BL309" i="1"/>
  <c r="BB310" i="1"/>
  <c r="BC310" i="1"/>
  <c r="BK310" i="1"/>
  <c r="BL310" i="1"/>
  <c r="BK311" i="1"/>
  <c r="BL311" i="1"/>
  <c r="BB312" i="1"/>
  <c r="BC312" i="1"/>
  <c r="BK312" i="1"/>
  <c r="BL312" i="1"/>
  <c r="BB313" i="1"/>
  <c r="BC313" i="1"/>
  <c r="BK313" i="1"/>
  <c r="BL313" i="1"/>
  <c r="BB314" i="1"/>
  <c r="BC314" i="1"/>
  <c r="BK314" i="1"/>
  <c r="BL314" i="1"/>
  <c r="BB315" i="1"/>
  <c r="BC315" i="1"/>
  <c r="BK315" i="1"/>
  <c r="BL315" i="1"/>
  <c r="BK316" i="1"/>
  <c r="BL316" i="1"/>
  <c r="BB317" i="1"/>
  <c r="BC317" i="1"/>
  <c r="BK317" i="1"/>
  <c r="BL317" i="1"/>
  <c r="BB318" i="1"/>
  <c r="BC318" i="1"/>
  <c r="BK318" i="1"/>
  <c r="BL318" i="1"/>
  <c r="BB319" i="1"/>
  <c r="BC319" i="1"/>
  <c r="BK319" i="1"/>
  <c r="BL319" i="1"/>
  <c r="J320" i="1"/>
  <c r="K320" i="1"/>
  <c r="J321" i="1"/>
  <c r="K321" i="1"/>
  <c r="J322" i="1"/>
  <c r="K322" i="1"/>
  <c r="J323" i="1"/>
  <c r="K323" i="1"/>
  <c r="J324" i="1"/>
  <c r="K324" i="1"/>
  <c r="J325" i="1"/>
  <c r="K325" i="1"/>
  <c r="J326" i="1"/>
  <c r="K326" i="1"/>
  <c r="J327" i="1"/>
  <c r="K327" i="1"/>
  <c r="J328" i="1"/>
  <c r="K328" i="1"/>
  <c r="J329" i="1"/>
  <c r="K329" i="1"/>
  <c r="J330" i="1"/>
  <c r="K330" i="1"/>
  <c r="J331" i="1"/>
  <c r="K331" i="1"/>
  <c r="J332" i="1"/>
  <c r="K332" i="1"/>
  <c r="J333" i="1"/>
  <c r="K333" i="1"/>
  <c r="Z426" i="1"/>
  <c r="BB426" i="1"/>
  <c r="BK426" i="1"/>
  <c r="BL426" i="1"/>
  <c r="BP426" i="1"/>
  <c r="BQ426" i="1"/>
  <c r="BU426" i="1"/>
  <c r="EM426" i="1"/>
  <c r="EN426" i="1"/>
  <c r="Z427" i="1"/>
  <c r="BB427" i="1"/>
  <c r="BK427" i="1"/>
  <c r="BL427" i="1"/>
  <c r="BU427" i="1"/>
  <c r="Z428" i="1"/>
  <c r="BB428" i="1"/>
  <c r="BK428" i="1"/>
  <c r="BL428" i="1"/>
  <c r="BU428" i="1"/>
  <c r="Z429" i="1"/>
  <c r="BB429" i="1"/>
  <c r="BK429" i="1"/>
  <c r="BL429" i="1"/>
  <c r="EM429" i="1"/>
  <c r="EN429" i="1"/>
  <c r="Z430" i="1"/>
  <c r="BB430" i="1"/>
  <c r="BK430" i="1"/>
  <c r="BL430" i="1"/>
  <c r="Z431" i="1"/>
  <c r="BB431" i="1"/>
  <c r="BK431" i="1"/>
  <c r="BL431" i="1"/>
  <c r="Z432" i="1"/>
  <c r="BB432" i="1"/>
  <c r="BK432" i="1"/>
  <c r="BL432" i="1"/>
  <c r="EM432" i="1"/>
  <c r="EN432" i="1"/>
  <c r="Z433" i="1"/>
  <c r="BB433" i="1"/>
  <c r="BK433" i="1"/>
  <c r="BL433" i="1"/>
  <c r="Z434" i="1"/>
  <c r="BB434" i="1"/>
  <c r="BK434" i="1"/>
  <c r="BL434" i="1"/>
  <c r="J435" i="1"/>
  <c r="K435" i="1"/>
  <c r="AA435" i="1"/>
  <c r="AB435" i="1"/>
  <c r="BU435" i="1"/>
  <c r="DS435" i="1"/>
  <c r="J436" i="1"/>
  <c r="K436" i="1"/>
  <c r="AA436" i="1"/>
  <c r="AB436" i="1"/>
  <c r="DS436" i="1"/>
  <c r="J437" i="1"/>
  <c r="K437" i="1"/>
  <c r="AA437" i="1"/>
  <c r="AB437" i="1"/>
  <c r="DS437" i="1"/>
  <c r="J438" i="1"/>
  <c r="K438" i="1"/>
  <c r="AA438" i="1"/>
  <c r="AB438" i="1"/>
  <c r="DS438" i="1"/>
  <c r="J439" i="1"/>
  <c r="K439" i="1"/>
  <c r="BB439" i="1"/>
  <c r="BC439" i="1" s="1"/>
  <c r="J440" i="1"/>
  <c r="K440" i="1"/>
  <c r="BB440" i="1"/>
  <c r="BC440" i="1" s="1"/>
  <c r="J441" i="1"/>
  <c r="K441" i="1"/>
  <c r="BB441" i="1"/>
  <c r="BC441" i="1" s="1"/>
  <c r="J442" i="1"/>
  <c r="K442" i="1"/>
  <c r="BB442" i="1"/>
  <c r="BC442" i="1" s="1"/>
  <c r="J443" i="1"/>
  <c r="K443" i="1"/>
  <c r="BB443" i="1"/>
  <c r="BC443" i="1" s="1"/>
  <c r="J444" i="1"/>
  <c r="K444" i="1"/>
  <c r="BB444" i="1"/>
  <c r="BC444" i="1" s="1"/>
  <c r="J445" i="1"/>
  <c r="K445" i="1"/>
  <c r="BB445" i="1"/>
  <c r="BC445" i="1" s="1"/>
  <c r="J446" i="1"/>
  <c r="K446" i="1"/>
  <c r="BB446" i="1"/>
  <c r="BC446" i="1" s="1"/>
  <c r="J447" i="1"/>
  <c r="K447" i="1"/>
  <c r="BB447" i="1"/>
  <c r="BC447" i="1" s="1"/>
  <c r="J448" i="1"/>
  <c r="K448" i="1"/>
  <c r="BB448" i="1"/>
  <c r="BC448" i="1" s="1"/>
  <c r="J449" i="1"/>
  <c r="K449" i="1"/>
  <c r="BB449" i="1"/>
  <c r="BC449" i="1" s="1"/>
  <c r="J450" i="1"/>
  <c r="K450" i="1"/>
  <c r="BB450" i="1"/>
  <c r="BC450" i="1" s="1"/>
  <c r="J451" i="1"/>
  <c r="K451" i="1"/>
  <c r="BB451" i="1"/>
  <c r="BC451" i="1" s="1"/>
  <c r="J452" i="1"/>
  <c r="K452" i="1"/>
  <c r="BB452" i="1"/>
  <c r="BC452" i="1" s="1"/>
  <c r="J453" i="1"/>
  <c r="K453" i="1"/>
  <c r="BB453" i="1"/>
  <c r="BC453" i="1" s="1"/>
  <c r="J454" i="1"/>
  <c r="K454" i="1"/>
  <c r="BB454" i="1"/>
  <c r="BC454" i="1" s="1"/>
  <c r="J455" i="1"/>
  <c r="K455" i="1"/>
  <c r="BB455" i="1"/>
  <c r="BC455" i="1" s="1"/>
  <c r="J456" i="1"/>
  <c r="K456" i="1"/>
  <c r="BB456" i="1"/>
  <c r="BC456" i="1" s="1"/>
  <c r="J457" i="1"/>
  <c r="K457" i="1"/>
  <c r="BB457" i="1"/>
  <c r="BC457" i="1" s="1"/>
  <c r="J458" i="1"/>
  <c r="K458" i="1"/>
  <c r="BB458" i="1"/>
  <c r="BC458" i="1" s="1"/>
  <c r="J459" i="1"/>
  <c r="K459" i="1"/>
  <c r="BB459" i="1"/>
  <c r="BC459" i="1" s="1"/>
  <c r="J460" i="1"/>
  <c r="K460" i="1"/>
  <c r="BB460" i="1"/>
  <c r="BC460" i="1" s="1"/>
  <c r="J461" i="1"/>
  <c r="K461" i="1"/>
  <c r="BB461" i="1"/>
  <c r="BC461" i="1" s="1"/>
  <c r="J462" i="1"/>
  <c r="K462" i="1"/>
  <c r="BB462" i="1"/>
  <c r="BC462" i="1" s="1"/>
  <c r="J463" i="1"/>
  <c r="K463" i="1"/>
  <c r="BB463" i="1"/>
  <c r="BC463" i="1" s="1"/>
  <c r="J464" i="1"/>
  <c r="K464" i="1"/>
  <c r="BB464" i="1"/>
  <c r="BC464" i="1" s="1"/>
  <c r="J465" i="1"/>
  <c r="K465" i="1"/>
  <c r="BB465" i="1"/>
  <c r="BC465" i="1" s="1"/>
  <c r="J466" i="1"/>
  <c r="K466" i="1"/>
  <c r="BB466" i="1"/>
  <c r="BC466" i="1" s="1"/>
  <c r="J467" i="1"/>
  <c r="K467" i="1"/>
  <c r="BB467" i="1"/>
  <c r="BC467" i="1" s="1"/>
  <c r="J468" i="1"/>
  <c r="K468" i="1"/>
  <c r="BB468" i="1"/>
  <c r="BC468" i="1" s="1"/>
  <c r="J469" i="1"/>
  <c r="K469" i="1"/>
  <c r="BB469" i="1"/>
  <c r="BC469" i="1" s="1"/>
  <c r="J470" i="1"/>
  <c r="K470" i="1"/>
  <c r="BB470" i="1"/>
  <c r="BC470" i="1" s="1"/>
  <c r="J471" i="1"/>
  <c r="K471" i="1"/>
  <c r="BB471" i="1"/>
  <c r="BC471" i="1" s="1"/>
  <c r="J472" i="1"/>
  <c r="K472" i="1"/>
  <c r="BB472" i="1"/>
  <c r="BC472" i="1" s="1"/>
  <c r="J473" i="1"/>
  <c r="K473" i="1"/>
  <c r="BB473" i="1"/>
  <c r="BC473" i="1" s="1"/>
  <c r="J474" i="1"/>
  <c r="K474" i="1"/>
  <c r="BB474" i="1"/>
  <c r="BC474" i="1" s="1"/>
  <c r="J475" i="1"/>
  <c r="K475" i="1"/>
  <c r="BB475" i="1"/>
  <c r="BC475" i="1" s="1"/>
  <c r="J476" i="1"/>
  <c r="K476" i="1"/>
  <c r="BB476" i="1"/>
  <c r="BC476" i="1" s="1"/>
  <c r="J477" i="1"/>
  <c r="K477" i="1"/>
  <c r="BB477" i="1"/>
  <c r="BC477" i="1" s="1"/>
  <c r="J478" i="1"/>
  <c r="K478" i="1"/>
  <c r="BB478" i="1"/>
  <c r="BC478" i="1" s="1"/>
  <c r="J479" i="1"/>
  <c r="K479" i="1"/>
  <c r="BB479" i="1"/>
  <c r="BC479" i="1" s="1"/>
  <c r="J480" i="1"/>
  <c r="K480" i="1"/>
  <c r="BB480" i="1"/>
  <c r="BC480" i="1" s="1"/>
  <c r="J481" i="1"/>
  <c r="K481" i="1"/>
  <c r="BB481" i="1"/>
  <c r="BC481" i="1" s="1"/>
  <c r="J482" i="1"/>
  <c r="K482" i="1"/>
  <c r="BB482" i="1"/>
  <c r="BC482" i="1" s="1"/>
  <c r="J483" i="1"/>
  <c r="K483" i="1"/>
  <c r="BB483" i="1"/>
  <c r="BC483" i="1" s="1"/>
  <c r="J484" i="1"/>
  <c r="K484" i="1"/>
  <c r="BB484" i="1"/>
  <c r="BC484" i="1" s="1"/>
  <c r="J485" i="1"/>
  <c r="K485" i="1"/>
  <c r="BB485" i="1"/>
  <c r="BC485" i="1" s="1"/>
  <c r="J486" i="1"/>
  <c r="K486" i="1"/>
  <c r="BB486" i="1"/>
  <c r="BC486" i="1" s="1"/>
  <c r="J487" i="1"/>
  <c r="K487" i="1"/>
  <c r="BB487" i="1"/>
  <c r="BC487" i="1" s="1"/>
  <c r="J488" i="1"/>
  <c r="K488" i="1"/>
  <c r="BB488" i="1"/>
  <c r="BC488" i="1" s="1"/>
  <c r="J489" i="1"/>
  <c r="K489" i="1"/>
  <c r="BB489" i="1"/>
  <c r="BC489" i="1" s="1"/>
  <c r="J490" i="1"/>
  <c r="K490" i="1"/>
  <c r="BB490" i="1"/>
  <c r="BC490" i="1" s="1"/>
  <c r="J491" i="1"/>
  <c r="K491" i="1"/>
  <c r="BB491" i="1"/>
  <c r="BC491" i="1" s="1"/>
  <c r="J492" i="1"/>
  <c r="K492" i="1"/>
  <c r="BB492" i="1"/>
  <c r="BC492" i="1" s="1"/>
  <c r="J493" i="1"/>
  <c r="K493" i="1"/>
  <c r="BB493" i="1"/>
  <c r="BC493" i="1" s="1"/>
  <c r="J494" i="1"/>
  <c r="K494" i="1"/>
  <c r="BB494" i="1"/>
  <c r="BC494" i="1" s="1"/>
  <c r="J495" i="1"/>
  <c r="K495" i="1"/>
  <c r="BB495" i="1"/>
  <c r="BC495" i="1" s="1"/>
  <c r="J496" i="1"/>
  <c r="K496" i="1"/>
  <c r="BB496" i="1"/>
  <c r="BC496" i="1" s="1"/>
  <c r="J497" i="1"/>
  <c r="K497" i="1"/>
  <c r="BB497" i="1"/>
  <c r="BC497" i="1" s="1"/>
  <c r="J498" i="1"/>
  <c r="K498" i="1"/>
  <c r="BB498" i="1"/>
  <c r="BC498" i="1" s="1"/>
  <c r="J499" i="1"/>
  <c r="K499" i="1"/>
  <c r="BB499" i="1"/>
  <c r="BC499" i="1" s="1"/>
  <c r="J500" i="1"/>
  <c r="K500" i="1"/>
  <c r="BB500" i="1"/>
  <c r="BC500" i="1" s="1"/>
  <c r="J501" i="1"/>
  <c r="K501" i="1"/>
  <c r="BB501" i="1"/>
  <c r="BC501" i="1" s="1"/>
  <c r="J502" i="1"/>
  <c r="K502" i="1"/>
  <c r="BB502" i="1"/>
  <c r="BC502" i="1" s="1"/>
  <c r="J503" i="1"/>
  <c r="K503" i="1"/>
  <c r="BB503" i="1"/>
  <c r="BC503" i="1" s="1"/>
  <c r="J504" i="1"/>
  <c r="K504" i="1"/>
  <c r="BB504" i="1"/>
  <c r="BC504" i="1" s="1"/>
  <c r="J505" i="1"/>
  <c r="K505" i="1"/>
  <c r="BB505" i="1"/>
  <c r="BC505" i="1" s="1"/>
  <c r="J506" i="1"/>
  <c r="K506" i="1"/>
  <c r="BB506" i="1"/>
  <c r="BC506" i="1" s="1"/>
  <c r="J507" i="1"/>
  <c r="K507" i="1"/>
  <c r="BB507" i="1"/>
  <c r="BC507" i="1" s="1"/>
  <c r="J508" i="1"/>
  <c r="K508" i="1"/>
  <c r="BB508" i="1"/>
  <c r="BC508" i="1" s="1"/>
  <c r="J509" i="1"/>
  <c r="K509" i="1"/>
  <c r="BB509" i="1"/>
  <c r="BC509" i="1" s="1"/>
  <c r="J510" i="1"/>
  <c r="K510" i="1"/>
  <c r="BB510" i="1"/>
  <c r="BC510" i="1" s="1"/>
  <c r="J511" i="1"/>
  <c r="K511" i="1"/>
  <c r="BB511" i="1"/>
  <c r="BC511" i="1" s="1"/>
  <c r="J512" i="1"/>
  <c r="K512" i="1"/>
  <c r="BB512" i="1"/>
  <c r="BC512" i="1" s="1"/>
  <c r="J513" i="1"/>
  <c r="K513" i="1"/>
  <c r="BB513" i="1"/>
  <c r="BC513" i="1" s="1"/>
  <c r="J514" i="1"/>
  <c r="K514" i="1"/>
  <c r="BB514" i="1"/>
  <c r="BC514" i="1" s="1"/>
  <c r="J515" i="1"/>
  <c r="K515" i="1"/>
  <c r="BB515" i="1"/>
  <c r="BC515" i="1" s="1"/>
  <c r="J516" i="1"/>
  <c r="K516" i="1"/>
  <c r="BB516" i="1"/>
  <c r="BC516" i="1" s="1"/>
  <c r="J517" i="1"/>
  <c r="K517" i="1"/>
  <c r="BB517" i="1"/>
  <c r="BC517" i="1" s="1"/>
  <c r="J518" i="1"/>
  <c r="K518" i="1"/>
  <c r="BB518" i="1"/>
  <c r="BC518" i="1" s="1"/>
  <c r="J519" i="1"/>
  <c r="K519" i="1"/>
  <c r="BB519" i="1"/>
  <c r="BC519" i="1" s="1"/>
  <c r="J520" i="1"/>
  <c r="K520" i="1"/>
  <c r="BB520" i="1"/>
  <c r="BC520" i="1" s="1"/>
  <c r="J521" i="1"/>
  <c r="K521" i="1"/>
  <c r="BB521" i="1"/>
  <c r="BC521" i="1" s="1"/>
  <c r="J522" i="1"/>
  <c r="K522" i="1"/>
  <c r="BB522" i="1"/>
  <c r="BC522" i="1" s="1"/>
  <c r="J523" i="1"/>
  <c r="K523" i="1"/>
  <c r="FV523" i="1"/>
  <c r="J524" i="1"/>
  <c r="K524" i="1"/>
  <c r="FV524" i="1"/>
  <c r="J525" i="1"/>
  <c r="K525" i="1"/>
  <c r="FV525" i="1"/>
  <c r="J526" i="1"/>
  <c r="K526" i="1"/>
  <c r="J527" i="1"/>
  <c r="K527" i="1"/>
  <c r="J528" i="1"/>
  <c r="K528" i="1"/>
  <c r="J529" i="1"/>
  <c r="K529" i="1"/>
  <c r="AB529" i="1"/>
  <c r="AA529" i="1" s="1"/>
  <c r="AD529" i="1"/>
  <c r="AE529" i="1"/>
  <c r="EM529" i="1"/>
  <c r="EN529" i="1"/>
  <c r="J530" i="1"/>
  <c r="K530" i="1"/>
  <c r="AB530" i="1"/>
  <c r="AA530" i="1" s="1"/>
  <c r="AD530" i="1"/>
  <c r="AE530" i="1"/>
  <c r="EM530" i="1"/>
  <c r="EN530" i="1"/>
  <c r="J531" i="1"/>
  <c r="K531" i="1"/>
  <c r="AB531" i="1"/>
  <c r="AA531" i="1" s="1"/>
  <c r="AD531" i="1"/>
  <c r="AE531" i="1"/>
  <c r="EM531" i="1"/>
  <c r="EN531" i="1"/>
  <c r="J532" i="1"/>
  <c r="K532" i="1"/>
  <c r="Z532" i="1"/>
  <c r="AD532" i="1"/>
  <c r="IN532" i="1"/>
  <c r="IO532" i="1"/>
  <c r="J533" i="1"/>
  <c r="K533" i="1"/>
  <c r="Z533" i="1"/>
  <c r="AD533" i="1"/>
  <c r="IN533" i="1"/>
  <c r="IO533" i="1"/>
  <c r="J534" i="1"/>
  <c r="K534" i="1"/>
  <c r="Z534" i="1"/>
  <c r="AD534" i="1"/>
  <c r="IN534" i="1"/>
  <c r="IO534" i="1"/>
  <c r="J535" i="1"/>
  <c r="K535" i="1"/>
  <c r="Z535" i="1"/>
  <c r="AD535" i="1"/>
  <c r="IN535" i="1"/>
  <c r="IO535" i="1"/>
  <c r="J536" i="1"/>
  <c r="K536" i="1"/>
  <c r="Z536" i="1"/>
  <c r="AD536" i="1"/>
  <c r="IN536" i="1"/>
  <c r="IO536" i="1"/>
  <c r="J537" i="1"/>
  <c r="K537" i="1"/>
  <c r="Z537" i="1"/>
  <c r="AD537" i="1"/>
  <c r="IN537" i="1"/>
  <c r="IO537" i="1"/>
  <c r="J538" i="1"/>
  <c r="K538" i="1"/>
  <c r="Z538" i="1"/>
  <c r="AD538" i="1"/>
  <c r="IN538" i="1"/>
  <c r="IO538" i="1"/>
  <c r="J539" i="1"/>
  <c r="K539" i="1"/>
  <c r="Z539" i="1"/>
  <c r="AD539" i="1"/>
  <c r="IN539" i="1"/>
  <c r="IO539" i="1"/>
  <c r="J540" i="1"/>
  <c r="K540" i="1"/>
  <c r="Z540" i="1"/>
  <c r="AD540" i="1"/>
  <c r="IN540" i="1"/>
  <c r="IO540" i="1"/>
  <c r="J541" i="1"/>
  <c r="K541" i="1"/>
  <c r="Z541" i="1"/>
  <c r="AD541" i="1"/>
  <c r="IN541" i="1"/>
  <c r="IO541" i="1"/>
  <c r="J542" i="1"/>
  <c r="K542" i="1"/>
  <c r="Z542" i="1"/>
  <c r="AD542" i="1"/>
  <c r="IN542" i="1"/>
  <c r="IO542" i="1"/>
  <c r="J543" i="1"/>
  <c r="K543" i="1"/>
  <c r="Z543" i="1"/>
  <c r="AD543" i="1"/>
  <c r="IN543" i="1"/>
  <c r="IO543" i="1"/>
  <c r="J544" i="1"/>
  <c r="K544" i="1"/>
  <c r="Z544" i="1"/>
  <c r="AD544" i="1"/>
  <c r="IN544" i="1"/>
  <c r="IO544" i="1"/>
  <c r="J545" i="1"/>
  <c r="K545" i="1"/>
  <c r="Z545" i="1"/>
  <c r="AD545" i="1"/>
  <c r="IN545" i="1"/>
  <c r="IO545" i="1"/>
  <c r="J546" i="1"/>
  <c r="K546" i="1"/>
  <c r="Z546" i="1"/>
  <c r="AD546" i="1"/>
  <c r="IN546" i="1"/>
  <c r="IO546" i="1"/>
  <c r="J547" i="1"/>
  <c r="K547" i="1"/>
  <c r="Z547" i="1"/>
  <c r="AD547" i="1"/>
  <c r="IN547" i="1"/>
  <c r="IO547" i="1"/>
  <c r="J548" i="1"/>
  <c r="K548" i="1"/>
  <c r="Z548" i="1"/>
  <c r="AD548" i="1"/>
  <c r="IN548" i="1"/>
  <c r="IO548" i="1"/>
  <c r="J549" i="1"/>
  <c r="K549" i="1"/>
  <c r="Z549" i="1"/>
  <c r="AD549" i="1"/>
  <c r="IN549" i="1"/>
  <c r="IO549" i="1"/>
  <c r="J550" i="1"/>
  <c r="K550" i="1"/>
  <c r="Z550" i="1"/>
  <c r="AD550" i="1"/>
  <c r="IN550" i="1"/>
  <c r="IO550" i="1"/>
  <c r="J551" i="1"/>
  <c r="K551" i="1"/>
  <c r="Z551" i="1"/>
  <c r="AD551" i="1"/>
  <c r="IN551" i="1"/>
  <c r="IO551" i="1"/>
  <c r="J552" i="1"/>
  <c r="K552" i="1"/>
  <c r="Z552" i="1"/>
  <c r="AD552" i="1"/>
  <c r="IN552" i="1"/>
  <c r="IO552" i="1"/>
  <c r="J553" i="1"/>
  <c r="K553" i="1"/>
  <c r="Z553" i="1"/>
  <c r="AD553" i="1"/>
  <c r="IN553" i="1"/>
  <c r="IO553" i="1"/>
  <c r="J554" i="1"/>
  <c r="K554" i="1"/>
  <c r="Z554" i="1"/>
  <c r="AD554" i="1"/>
  <c r="IN554" i="1"/>
  <c r="IO554" i="1"/>
  <c r="J555" i="1"/>
  <c r="K555" i="1"/>
  <c r="Z555" i="1"/>
  <c r="AD555" i="1"/>
  <c r="IN555" i="1"/>
  <c r="IO555" i="1"/>
  <c r="J556" i="1"/>
  <c r="K556" i="1"/>
  <c r="Z556" i="1"/>
  <c r="AD556" i="1"/>
  <c r="J557" i="1"/>
  <c r="K557" i="1"/>
  <c r="Z557" i="1"/>
  <c r="AD557" i="1"/>
  <c r="J558" i="1"/>
  <c r="K558" i="1"/>
  <c r="Z558" i="1"/>
  <c r="AD558" i="1"/>
  <c r="J559" i="1"/>
  <c r="K559" i="1"/>
  <c r="Z559" i="1"/>
  <c r="AD559" i="1"/>
  <c r="J560" i="1"/>
  <c r="K560" i="1"/>
  <c r="Z560" i="1"/>
  <c r="AD560" i="1"/>
  <c r="J561" i="1"/>
  <c r="K561" i="1"/>
  <c r="Z561" i="1"/>
  <c r="AD561" i="1"/>
  <c r="J562" i="1"/>
  <c r="K562" i="1"/>
  <c r="Z562" i="1"/>
  <c r="AD562" i="1"/>
  <c r="J563" i="1"/>
  <c r="K563" i="1"/>
  <c r="Z563" i="1"/>
  <c r="AD563" i="1"/>
  <c r="J564" i="1"/>
  <c r="K564" i="1"/>
  <c r="Z564" i="1"/>
  <c r="AD564" i="1"/>
  <c r="J565" i="1"/>
  <c r="K565" i="1"/>
  <c r="Z565" i="1"/>
  <c r="AD565" i="1"/>
  <c r="J566" i="1"/>
  <c r="K566" i="1"/>
  <c r="Z566" i="1"/>
  <c r="AD566" i="1"/>
  <c r="J567" i="1"/>
  <c r="K567" i="1"/>
  <c r="Z567" i="1"/>
  <c r="AD567" i="1"/>
  <c r="J568" i="1"/>
  <c r="K568" i="1"/>
  <c r="EW568" i="1"/>
  <c r="EX568" i="1"/>
  <c r="J569" i="1"/>
  <c r="K569" i="1"/>
  <c r="EW569" i="1"/>
  <c r="EX569" i="1"/>
  <c r="J570" i="1"/>
  <c r="K570" i="1"/>
  <c r="EW570" i="1"/>
  <c r="EX570" i="1"/>
  <c r="J571" i="1"/>
  <c r="K571" i="1"/>
  <c r="EW571" i="1"/>
  <c r="EX571" i="1"/>
  <c r="J572" i="1"/>
  <c r="K572" i="1"/>
  <c r="EX572" i="1"/>
  <c r="J573" i="1"/>
  <c r="K573" i="1"/>
  <c r="EX573" i="1"/>
  <c r="J574" i="1"/>
  <c r="K574" i="1"/>
  <c r="EW574" i="1"/>
  <c r="EX574" i="1"/>
  <c r="J575" i="1"/>
  <c r="K575" i="1"/>
  <c r="EW575" i="1"/>
  <c r="EX575" i="1"/>
  <c r="J576" i="1"/>
  <c r="K576" i="1"/>
  <c r="EW576" i="1"/>
  <c r="EX576" i="1"/>
  <c r="J577" i="1"/>
  <c r="K577" i="1"/>
  <c r="EW577" i="1"/>
  <c r="EX577" i="1"/>
  <c r="J578" i="1"/>
  <c r="K578" i="1"/>
  <c r="J579" i="1"/>
  <c r="K579" i="1"/>
  <c r="J580" i="1"/>
  <c r="K580" i="1"/>
  <c r="EW580" i="1"/>
  <c r="EX580" i="1"/>
  <c r="J581" i="1"/>
  <c r="K581" i="1"/>
  <c r="EW581" i="1"/>
  <c r="EX581" i="1"/>
  <c r="J582" i="1"/>
  <c r="K582" i="1"/>
  <c r="EW582" i="1"/>
  <c r="EX582" i="1"/>
  <c r="J583" i="1"/>
  <c r="K583" i="1"/>
  <c r="EW583" i="1"/>
  <c r="EX583" i="1"/>
  <c r="J584" i="1"/>
  <c r="K584" i="1"/>
  <c r="EW584" i="1"/>
  <c r="EX584" i="1"/>
  <c r="J585" i="1"/>
  <c r="K585" i="1"/>
  <c r="EW585" i="1"/>
  <c r="EX585" i="1"/>
  <c r="J586" i="1"/>
  <c r="K586" i="1"/>
  <c r="EW586" i="1"/>
  <c r="EX586" i="1"/>
  <c r="J587" i="1"/>
  <c r="K587" i="1"/>
  <c r="EW587" i="1"/>
  <c r="EX587" i="1"/>
  <c r="J588" i="1"/>
  <c r="K588" i="1"/>
  <c r="EW588" i="1"/>
  <c r="EX588" i="1"/>
  <c r="J589" i="1"/>
  <c r="K589" i="1"/>
  <c r="EW589" i="1"/>
  <c r="EX589" i="1"/>
  <c r="J590" i="1"/>
  <c r="K590" i="1"/>
  <c r="EW590" i="1"/>
  <c r="EX590" i="1"/>
  <c r="J591" i="1"/>
  <c r="K591" i="1"/>
  <c r="EW591" i="1"/>
  <c r="EX591" i="1"/>
  <c r="J592" i="1"/>
  <c r="K592" i="1"/>
  <c r="EW592" i="1"/>
  <c r="EX592" i="1"/>
  <c r="J593" i="1"/>
  <c r="K593" i="1"/>
  <c r="EW593" i="1"/>
  <c r="EX593" i="1"/>
  <c r="J594" i="1"/>
  <c r="K594" i="1"/>
  <c r="EW594" i="1"/>
  <c r="EX594" i="1"/>
  <c r="J595" i="1"/>
  <c r="K595" i="1"/>
  <c r="EW595" i="1"/>
  <c r="EX595" i="1"/>
  <c r="J596" i="1"/>
  <c r="K596" i="1"/>
  <c r="EW596" i="1"/>
  <c r="EX596" i="1"/>
  <c r="J597" i="1"/>
  <c r="K597" i="1"/>
  <c r="EW597" i="1"/>
  <c r="EX597" i="1"/>
  <c r="J598" i="1"/>
  <c r="K598" i="1"/>
  <c r="EW598" i="1"/>
  <c r="EX598" i="1"/>
  <c r="J599" i="1"/>
  <c r="K599" i="1"/>
  <c r="EW599" i="1"/>
  <c r="EX599" i="1"/>
  <c r="J600" i="1"/>
  <c r="K600" i="1"/>
  <c r="EW600" i="1"/>
  <c r="EX600" i="1"/>
  <c r="J601" i="1"/>
  <c r="K601" i="1"/>
  <c r="EW601" i="1"/>
  <c r="EX601" i="1"/>
  <c r="J602" i="1"/>
  <c r="K602" i="1"/>
  <c r="EW602" i="1"/>
  <c r="EX602" i="1"/>
  <c r="J603" i="1"/>
  <c r="K603" i="1"/>
  <c r="EW603" i="1"/>
  <c r="EX603" i="1"/>
  <c r="J604" i="1"/>
  <c r="K604" i="1"/>
  <c r="EW604" i="1"/>
  <c r="EX604" i="1"/>
  <c r="J605" i="1"/>
  <c r="K605" i="1"/>
  <c r="EW605" i="1"/>
  <c r="EX605" i="1"/>
  <c r="J606" i="1"/>
  <c r="K606" i="1"/>
  <c r="EW606" i="1"/>
  <c r="EX606" i="1"/>
  <c r="J607" i="1"/>
  <c r="K607" i="1"/>
  <c r="EW607" i="1"/>
  <c r="EX607" i="1"/>
  <c r="J608" i="1"/>
  <c r="K608" i="1"/>
  <c r="EW608" i="1"/>
  <c r="EX608" i="1"/>
  <c r="J609" i="1"/>
  <c r="K609" i="1"/>
  <c r="EW609" i="1"/>
  <c r="EX609" i="1"/>
  <c r="J610" i="1"/>
  <c r="K610" i="1"/>
  <c r="J611" i="1"/>
  <c r="K611" i="1"/>
  <c r="J612" i="1"/>
  <c r="K612" i="1"/>
  <c r="J613" i="1"/>
  <c r="K613" i="1"/>
  <c r="J614" i="1"/>
  <c r="K614" i="1"/>
  <c r="J615" i="1"/>
  <c r="K615" i="1"/>
  <c r="J616" i="1"/>
  <c r="K616" i="1"/>
  <c r="J617" i="1"/>
  <c r="K617" i="1"/>
  <c r="J618" i="1"/>
  <c r="K618" i="1"/>
  <c r="J619" i="1"/>
  <c r="K619" i="1"/>
  <c r="J620" i="1"/>
  <c r="K620" i="1"/>
  <c r="J621" i="1"/>
  <c r="K621" i="1"/>
  <c r="J622" i="1"/>
  <c r="K622" i="1"/>
  <c r="J623" i="1"/>
  <c r="K623" i="1"/>
  <c r="J624" i="1"/>
  <c r="K624" i="1"/>
  <c r="J625" i="1"/>
  <c r="K625" i="1"/>
  <c r="J626" i="1"/>
  <c r="K626" i="1"/>
  <c r="J627" i="1"/>
  <c r="K627" i="1"/>
  <c r="J628" i="1"/>
  <c r="K628" i="1"/>
  <c r="J629" i="1"/>
  <c r="K629" i="1"/>
  <c r="J630" i="1"/>
  <c r="K630" i="1"/>
  <c r="J631" i="1"/>
  <c r="K631" i="1"/>
  <c r="J632" i="1"/>
  <c r="K632" i="1"/>
  <c r="J633" i="1"/>
  <c r="K633" i="1"/>
  <c r="J634" i="1"/>
  <c r="K634" i="1"/>
  <c r="J635" i="1"/>
  <c r="K635" i="1"/>
  <c r="J636" i="1"/>
  <c r="K636" i="1"/>
  <c r="J637" i="1"/>
  <c r="K637" i="1"/>
  <c r="J638" i="1"/>
  <c r="K638" i="1"/>
  <c r="J639" i="1"/>
  <c r="K639" i="1"/>
  <c r="J640" i="1"/>
  <c r="K640" i="1"/>
  <c r="J641" i="1"/>
  <c r="K641" i="1"/>
  <c r="J642" i="1"/>
  <c r="K642" i="1"/>
  <c r="J643" i="1"/>
  <c r="K643" i="1"/>
  <c r="J644" i="1"/>
  <c r="K644" i="1"/>
  <c r="J645" i="1"/>
  <c r="K645" i="1"/>
  <c r="J646" i="1"/>
  <c r="K646" i="1"/>
  <c r="J647" i="1"/>
  <c r="K647" i="1"/>
  <c r="J648" i="1"/>
  <c r="K648" i="1"/>
  <c r="J649" i="1"/>
  <c r="K649" i="1"/>
  <c r="J650" i="1"/>
  <c r="K650" i="1"/>
  <c r="J651" i="1"/>
  <c r="K651" i="1"/>
  <c r="J652" i="1"/>
  <c r="K652" i="1"/>
  <c r="J653" i="1"/>
  <c r="K653" i="1"/>
  <c r="J654" i="1"/>
  <c r="K654" i="1"/>
  <c r="J655" i="1"/>
  <c r="K655" i="1"/>
  <c r="J656" i="1"/>
  <c r="K656" i="1"/>
  <c r="J657" i="1"/>
  <c r="K657" i="1"/>
  <c r="J658" i="1"/>
  <c r="K658" i="1"/>
  <c r="J659" i="1"/>
  <c r="K659" i="1"/>
  <c r="J660" i="1"/>
  <c r="K660" i="1"/>
  <c r="J661" i="1"/>
  <c r="K661" i="1"/>
  <c r="J662" i="1"/>
  <c r="K662" i="1"/>
  <c r="J663" i="1"/>
  <c r="K663" i="1"/>
  <c r="J664" i="1"/>
  <c r="K664" i="1"/>
  <c r="J665" i="1"/>
  <c r="K665" i="1"/>
  <c r="J666" i="1"/>
  <c r="K666" i="1"/>
  <c r="J667" i="1"/>
  <c r="K667" i="1"/>
  <c r="J668" i="1"/>
  <c r="K668" i="1"/>
  <c r="J669" i="1"/>
  <c r="K669" i="1"/>
  <c r="J670" i="1"/>
  <c r="K670" i="1"/>
  <c r="J671" i="1"/>
  <c r="K671" i="1"/>
  <c r="J672" i="1"/>
  <c r="K672" i="1"/>
  <c r="J673" i="1"/>
  <c r="K673" i="1"/>
  <c r="J674" i="1"/>
  <c r="K674" i="1"/>
  <c r="J675" i="1"/>
  <c r="K675" i="1"/>
  <c r="J676" i="1"/>
  <c r="K676" i="1"/>
  <c r="J677" i="1"/>
  <c r="K677" i="1"/>
  <c r="J678" i="1"/>
  <c r="K678" i="1"/>
  <c r="J679" i="1"/>
  <c r="K679" i="1"/>
  <c r="J680" i="1"/>
  <c r="K680" i="1"/>
  <c r="J681" i="1"/>
  <c r="K681" i="1"/>
  <c r="J682" i="1"/>
  <c r="K682" i="1"/>
  <c r="J683" i="1"/>
  <c r="K683" i="1"/>
  <c r="J684" i="1"/>
  <c r="K684" i="1"/>
  <c r="J685" i="1"/>
  <c r="K685" i="1"/>
  <c r="J686" i="1"/>
  <c r="K686" i="1"/>
  <c r="J687" i="1"/>
  <c r="K687" i="1"/>
  <c r="J688" i="1"/>
  <c r="K688" i="1"/>
  <c r="J689" i="1"/>
  <c r="K689" i="1"/>
  <c r="J690" i="1"/>
  <c r="K690" i="1"/>
  <c r="J691" i="1"/>
  <c r="K691" i="1"/>
  <c r="J692" i="1"/>
  <c r="K692" i="1"/>
  <c r="J693" i="1"/>
  <c r="K693" i="1"/>
  <c r="J694" i="1"/>
  <c r="K694" i="1"/>
  <c r="J695" i="1"/>
  <c r="K695" i="1"/>
  <c r="BK696" i="1"/>
  <c r="BL696" i="1"/>
  <c r="BK697" i="1"/>
  <c r="BL697" i="1"/>
  <c r="J702" i="1"/>
  <c r="K702" i="1"/>
  <c r="CJ702" i="1"/>
  <c r="CK702" i="1"/>
  <c r="J703" i="1"/>
  <c r="K703" i="1"/>
  <c r="CJ703" i="1"/>
  <c r="CK703" i="1"/>
  <c r="J704" i="1"/>
  <c r="K704" i="1"/>
  <c r="BK704" i="1"/>
  <c r="BL704" i="1"/>
  <c r="CJ704" i="1"/>
  <c r="CK704" i="1"/>
  <c r="J705" i="1"/>
  <c r="K705" i="1"/>
  <c r="BB705" i="1"/>
  <c r="BC705" i="1" s="1"/>
  <c r="BK705" i="1"/>
  <c r="BL705" i="1"/>
  <c r="CJ705" i="1"/>
  <c r="CK705" i="1"/>
  <c r="J706" i="1"/>
  <c r="K706" i="1"/>
  <c r="BB706" i="1"/>
  <c r="BC706" i="1" s="1"/>
  <c r="BK706" i="1"/>
  <c r="BL706" i="1"/>
  <c r="CJ706" i="1"/>
  <c r="CK706" i="1"/>
  <c r="J707" i="1"/>
  <c r="K707" i="1"/>
  <c r="BB707" i="1"/>
  <c r="BC707" i="1" s="1"/>
  <c r="BK707" i="1"/>
  <c r="BL707" i="1"/>
  <c r="CJ707" i="1"/>
  <c r="CK707" i="1"/>
  <c r="J708" i="1"/>
  <c r="K708" i="1"/>
  <c r="BB708" i="1"/>
  <c r="BC708" i="1" s="1"/>
  <c r="BK708" i="1"/>
  <c r="BL708" i="1"/>
  <c r="CJ708" i="1"/>
  <c r="CK708" i="1"/>
  <c r="J709" i="1"/>
  <c r="K709" i="1"/>
  <c r="BB709" i="1"/>
  <c r="BC709" i="1" s="1"/>
  <c r="BK709" i="1"/>
  <c r="BL709" i="1"/>
  <c r="CJ709" i="1"/>
  <c r="CK709" i="1"/>
  <c r="J710" i="1"/>
  <c r="K710" i="1"/>
  <c r="BB710" i="1"/>
  <c r="BC710" i="1" s="1"/>
  <c r="BK710" i="1"/>
  <c r="BL710" i="1"/>
  <c r="CJ710" i="1"/>
  <c r="CK710" i="1"/>
  <c r="J711" i="1"/>
  <c r="K711" i="1"/>
  <c r="BB711" i="1"/>
  <c r="BC711" i="1" s="1"/>
  <c r="BK711" i="1"/>
  <c r="BL711" i="1"/>
  <c r="CJ711" i="1"/>
  <c r="CK711" i="1"/>
  <c r="BK712" i="1"/>
  <c r="BL712" i="1"/>
  <c r="BK713" i="1"/>
  <c r="BL713" i="1"/>
  <c r="BK714" i="1"/>
  <c r="BL714" i="1"/>
  <c r="BK715" i="1"/>
  <c r="BL715" i="1"/>
  <c r="BK716" i="1"/>
  <c r="BL716" i="1"/>
  <c r="BK717" i="1"/>
  <c r="BL717" i="1"/>
  <c r="BK718" i="1"/>
  <c r="BL718" i="1"/>
  <c r="BK719" i="1"/>
  <c r="BL719" i="1"/>
  <c r="BK720" i="1"/>
  <c r="BL720" i="1"/>
  <c r="BK721" i="1"/>
  <c r="BL721" i="1"/>
  <c r="BK722" i="1"/>
  <c r="BL722" i="1"/>
  <c r="BK723" i="1"/>
  <c r="BL723" i="1"/>
  <c r="BK724" i="1"/>
  <c r="BL724" i="1"/>
  <c r="BK725" i="1"/>
  <c r="BL725" i="1"/>
  <c r="BK726" i="1"/>
  <c r="BL726" i="1"/>
  <c r="BK727" i="1"/>
  <c r="BL727" i="1"/>
  <c r="BK728" i="1"/>
  <c r="BL728" i="1"/>
  <c r="BK729" i="1"/>
  <c r="BL729" i="1"/>
  <c r="BK731" i="1"/>
  <c r="BL731" i="1"/>
  <c r="J736" i="1"/>
  <c r="K736" i="1"/>
  <c r="BK736" i="1"/>
  <c r="BL736" i="1"/>
  <c r="FC736" i="1"/>
  <c r="J737" i="1"/>
  <c r="K737" i="1"/>
  <c r="BK737" i="1"/>
  <c r="BL737" i="1"/>
  <c r="FC737" i="1"/>
  <c r="J738" i="1"/>
  <c r="K738" i="1"/>
  <c r="BK738" i="1"/>
  <c r="BL738" i="1"/>
  <c r="FC738" i="1"/>
  <c r="J739" i="1"/>
  <c r="K739" i="1"/>
  <c r="GU739" i="1"/>
  <c r="GV739" i="1"/>
  <c r="HY739" i="1"/>
  <c r="HZ739" i="1"/>
  <c r="J740" i="1"/>
  <c r="K740" i="1"/>
  <c r="GU740" i="1"/>
  <c r="GV740" i="1"/>
  <c r="HY740" i="1"/>
  <c r="HZ740" i="1"/>
  <c r="J741" i="1"/>
  <c r="K741" i="1"/>
  <c r="GU741" i="1"/>
  <c r="GV741" i="1"/>
  <c r="HY741" i="1"/>
  <c r="HZ741" i="1"/>
  <c r="J742" i="1"/>
  <c r="K742" i="1"/>
  <c r="GU742" i="1"/>
  <c r="GV742" i="1"/>
  <c r="HY742" i="1"/>
  <c r="HZ742" i="1"/>
  <c r="J743" i="1"/>
  <c r="K743" i="1"/>
  <c r="HY743" i="1"/>
  <c r="HZ743" i="1"/>
  <c r="J744" i="1"/>
  <c r="K744" i="1"/>
  <c r="HY744" i="1"/>
  <c r="HZ744" i="1"/>
  <c r="J745" i="1"/>
  <c r="K745" i="1"/>
  <c r="J746" i="1"/>
  <c r="K746" i="1"/>
  <c r="HY746" i="1"/>
  <c r="HZ746" i="1"/>
  <c r="J747" i="1"/>
  <c r="K747" i="1"/>
  <c r="BK747" i="1"/>
  <c r="BL747" i="1"/>
  <c r="CJ747" i="1"/>
  <c r="DS747" i="1"/>
  <c r="DT747" i="1"/>
  <c r="J748" i="1"/>
  <c r="K748" i="1"/>
  <c r="BK748" i="1"/>
  <c r="BL748" i="1"/>
  <c r="DS748" i="1"/>
  <c r="DT748" i="1"/>
  <c r="J749" i="1"/>
  <c r="K749" i="1"/>
  <c r="BK749" i="1"/>
  <c r="BL749" i="1"/>
  <c r="DS749" i="1"/>
  <c r="DT749" i="1"/>
  <c r="J750" i="1"/>
  <c r="K750" i="1"/>
  <c r="BK750" i="1"/>
  <c r="BL750" i="1"/>
  <c r="CJ750" i="1"/>
  <c r="DS750" i="1"/>
  <c r="DT750" i="1"/>
  <c r="J751" i="1"/>
  <c r="K751" i="1"/>
  <c r="BK751" i="1"/>
  <c r="BL751" i="1"/>
  <c r="DS751" i="1"/>
  <c r="J752" i="1"/>
  <c r="K752" i="1"/>
  <c r="BK752" i="1"/>
  <c r="BL752" i="1"/>
  <c r="DS752" i="1"/>
  <c r="J753" i="1"/>
  <c r="K753" i="1"/>
  <c r="AB753" i="1"/>
  <c r="J754" i="1"/>
  <c r="K754" i="1"/>
  <c r="AB754" i="1"/>
  <c r="J755" i="1"/>
  <c r="K755" i="1"/>
  <c r="AB755" i="1"/>
  <c r="J756" i="1"/>
  <c r="K756" i="1"/>
  <c r="AB756" i="1"/>
  <c r="J757" i="1"/>
  <c r="K757" i="1"/>
  <c r="AB757" i="1"/>
  <c r="J758" i="1"/>
  <c r="K758" i="1"/>
  <c r="AB758" i="1"/>
  <c r="J759" i="1"/>
  <c r="K759" i="1"/>
  <c r="AB759" i="1"/>
  <c r="J760" i="1"/>
  <c r="K760" i="1"/>
  <c r="AB760" i="1"/>
  <c r="J761" i="1"/>
  <c r="K761" i="1"/>
  <c r="AB761" i="1"/>
  <c r="J762" i="1"/>
  <c r="K762" i="1"/>
  <c r="AB762" i="1"/>
  <c r="J763" i="1"/>
  <c r="K763" i="1"/>
  <c r="AB763" i="1"/>
  <c r="J764" i="1"/>
  <c r="K764" i="1"/>
  <c r="AB764" i="1"/>
  <c r="J765" i="1"/>
  <c r="K765" i="1"/>
  <c r="AB765" i="1"/>
  <c r="J766" i="1"/>
  <c r="K766" i="1"/>
  <c r="AB766" i="1"/>
  <c r="HY767" i="1"/>
  <c r="IN767" i="1"/>
  <c r="IO767" i="1"/>
  <c r="IS767" i="1"/>
  <c r="IT767" i="1"/>
  <c r="HY768" i="1"/>
  <c r="IN768" i="1"/>
  <c r="IO768" i="1"/>
  <c r="IS768" i="1"/>
  <c r="IT768" i="1"/>
  <c r="HY769" i="1"/>
  <c r="IN769" i="1"/>
  <c r="IO769" i="1"/>
  <c r="IS769" i="1"/>
  <c r="IT769" i="1"/>
  <c r="HY770" i="1"/>
  <c r="IN770" i="1"/>
  <c r="IO770" i="1"/>
  <c r="IS770" i="1"/>
  <c r="IT770" i="1"/>
  <c r="HY771" i="1"/>
  <c r="IN771" i="1"/>
  <c r="IO771" i="1"/>
  <c r="IS771" i="1"/>
  <c r="IT771" i="1"/>
  <c r="IN772" i="1"/>
  <c r="IO772" i="1"/>
  <c r="IS772" i="1"/>
  <c r="IT772" i="1"/>
  <c r="IN773" i="1"/>
  <c r="IO773" i="1"/>
  <c r="IS773" i="1"/>
  <c r="IT773" i="1"/>
  <c r="IN774" i="1"/>
  <c r="IO774" i="1"/>
  <c r="IS774" i="1"/>
  <c r="IT774" i="1"/>
  <c r="IN775" i="1"/>
  <c r="IO775" i="1"/>
  <c r="IS775" i="1"/>
  <c r="IT775" i="1"/>
  <c r="IN776" i="1"/>
  <c r="IO776" i="1"/>
  <c r="IS776" i="1"/>
  <c r="IT776" i="1"/>
  <c r="IN777" i="1"/>
  <c r="IO777" i="1"/>
  <c r="IS777" i="1"/>
  <c r="IT777" i="1"/>
  <c r="IN778" i="1"/>
  <c r="IO778" i="1"/>
  <c r="IS778" i="1"/>
  <c r="IT778" i="1"/>
  <c r="IN779" i="1"/>
  <c r="IO779" i="1"/>
  <c r="IS779" i="1"/>
  <c r="IT779" i="1"/>
  <c r="IN780" i="1"/>
  <c r="IO780" i="1"/>
  <c r="IS780" i="1"/>
  <c r="IT780" i="1"/>
  <c r="IN781" i="1"/>
  <c r="IO781" i="1"/>
  <c r="IS781" i="1"/>
  <c r="IT781" i="1"/>
  <c r="IN782" i="1"/>
  <c r="IO782" i="1"/>
  <c r="IS782" i="1"/>
  <c r="IT782" i="1"/>
  <c r="IN783" i="1"/>
  <c r="IO783" i="1"/>
  <c r="IS783" i="1"/>
  <c r="IT783" i="1"/>
  <c r="IN784" i="1"/>
  <c r="IO784" i="1"/>
  <c r="IS784" i="1"/>
  <c r="IT784" i="1"/>
  <c r="IS785" i="1"/>
  <c r="IT785" i="1"/>
  <c r="IN786" i="1"/>
  <c r="IO786" i="1"/>
  <c r="IS786" i="1"/>
  <c r="IT786" i="1"/>
  <c r="IN787" i="1"/>
  <c r="IO787" i="1"/>
  <c r="IS787" i="1"/>
  <c r="IT787" i="1"/>
  <c r="IN788" i="1"/>
  <c r="IO788" i="1"/>
  <c r="IS788" i="1"/>
  <c r="IT788" i="1"/>
  <c r="IN789" i="1"/>
  <c r="IO789" i="1"/>
  <c r="IS789" i="1"/>
  <c r="IT789" i="1"/>
  <c r="IN790" i="1"/>
  <c r="IO790" i="1"/>
  <c r="IS790" i="1"/>
  <c r="IT790" i="1"/>
  <c r="J791" i="1"/>
  <c r="K791" i="1"/>
  <c r="J792" i="1"/>
  <c r="K792" i="1"/>
  <c r="Z793" i="1"/>
  <c r="HY793" i="1"/>
  <c r="HZ793" i="1"/>
  <c r="Z794" i="1"/>
  <c r="HY794" i="1"/>
  <c r="HZ794" i="1"/>
  <c r="Z795" i="1"/>
  <c r="Z796" i="1"/>
  <c r="Z797" i="1"/>
  <c r="Z798" i="1"/>
  <c r="Z799" i="1"/>
  <c r="Z800" i="1"/>
  <c r="Z801" i="1"/>
  <c r="Z802" i="1"/>
  <c r="Z803" i="1"/>
  <c r="Z804" i="1"/>
  <c r="Z805" i="1"/>
  <c r="Z806" i="1"/>
  <c r="Z807" i="1"/>
  <c r="Z808" i="1"/>
  <c r="Z809" i="1"/>
  <c r="Z810" i="1"/>
  <c r="AE885" i="1"/>
  <c r="BC885" i="1"/>
  <c r="AE886" i="1"/>
  <c r="BC886" i="1"/>
  <c r="AE887" i="1"/>
  <c r="BC887" i="1"/>
  <c r="AE888" i="1"/>
  <c r="BC888" i="1"/>
  <c r="AE889" i="1"/>
  <c r="BC889" i="1"/>
  <c r="AE890" i="1"/>
  <c r="BC890" i="1"/>
  <c r="AE891" i="1"/>
  <c r="BC891" i="1"/>
  <c r="AE892" i="1"/>
  <c r="BC892" i="1"/>
  <c r="AE893" i="1"/>
  <c r="BC893" i="1"/>
  <c r="BU894" i="1"/>
  <c r="CJ894" i="1"/>
  <c r="CK894" i="1"/>
  <c r="BU895" i="1"/>
  <c r="CJ895" i="1"/>
  <c r="BU896" i="1"/>
  <c r="CJ896" i="1"/>
  <c r="BU897" i="1"/>
  <c r="BU898" i="1"/>
  <c r="BU899" i="1"/>
  <c r="BU903" i="1"/>
  <c r="BU904" i="1"/>
  <c r="CJ909" i="1"/>
  <c r="CT909" i="1"/>
  <c r="CU909" i="1"/>
  <c r="CT913" i="1"/>
  <c r="CU913" i="1"/>
  <c r="CT914" i="1"/>
  <c r="CU914" i="1"/>
  <c r="CJ943" i="1"/>
  <c r="CK943" i="1"/>
  <c r="CJ944" i="1"/>
  <c r="CK944" i="1"/>
  <c r="CJ945" i="1"/>
  <c r="CK945" i="1"/>
  <c r="CJ947" i="1"/>
  <c r="CK947" i="1"/>
  <c r="CJ948" i="1"/>
  <c r="CK948" i="1"/>
  <c r="CJ949" i="1"/>
  <c r="CK949" i="1"/>
  <c r="CJ951" i="1"/>
  <c r="CK951" i="1"/>
  <c r="CJ952" i="1"/>
  <c r="CK952" i="1"/>
  <c r="CJ953" i="1"/>
  <c r="CK953" i="1"/>
  <c r="CJ955" i="1"/>
  <c r="CK955" i="1"/>
  <c r="CJ956" i="1"/>
  <c r="CK956" i="1"/>
  <c r="CJ958" i="1"/>
  <c r="CK958" i="1"/>
  <c r="CJ959" i="1"/>
  <c r="CK959" i="1"/>
  <c r="CJ960" i="1"/>
  <c r="CK960" i="1"/>
  <c r="CJ962" i="1"/>
  <c r="CK962" i="1"/>
  <c r="CJ963" i="1"/>
  <c r="CK963" i="1"/>
  <c r="CJ964" i="1"/>
  <c r="CK964" i="1"/>
  <c r="CJ966" i="1"/>
  <c r="CK966" i="1"/>
  <c r="J967" i="1"/>
  <c r="K967" i="1"/>
  <c r="BB967" i="1"/>
  <c r="BC967" i="1" s="1"/>
  <c r="CJ967" i="1"/>
  <c r="CK967" i="1"/>
  <c r="FL967" i="1"/>
  <c r="FM967" i="1"/>
  <c r="J968" i="1"/>
  <c r="K968" i="1"/>
  <c r="BC968" i="1"/>
  <c r="CJ968" i="1"/>
  <c r="CK968" i="1"/>
  <c r="FL968" i="1"/>
  <c r="FM968" i="1"/>
  <c r="J969" i="1"/>
  <c r="K969" i="1"/>
  <c r="BB969" i="1"/>
  <c r="BC969" i="1" s="1"/>
  <c r="CJ969" i="1"/>
  <c r="CK969" i="1"/>
  <c r="FL969" i="1"/>
  <c r="FM969" i="1"/>
  <c r="J970" i="1"/>
  <c r="K970" i="1"/>
  <c r="BC970" i="1"/>
  <c r="CJ970" i="1"/>
  <c r="CK970" i="1"/>
  <c r="FL970" i="1"/>
  <c r="FM970" i="1"/>
  <c r="J971" i="1"/>
  <c r="K971" i="1"/>
  <c r="BC971" i="1"/>
  <c r="CJ971" i="1"/>
  <c r="CK971" i="1"/>
  <c r="FL971" i="1"/>
  <c r="FM971" i="1"/>
  <c r="J972" i="1"/>
  <c r="K972" i="1"/>
  <c r="BB972" i="1"/>
  <c r="BC972" i="1" s="1"/>
  <c r="CJ972" i="1"/>
  <c r="CK972" i="1"/>
  <c r="FL972" i="1"/>
  <c r="FM972" i="1"/>
  <c r="J973" i="1"/>
  <c r="K973" i="1"/>
  <c r="BC973" i="1"/>
  <c r="CJ973" i="1"/>
  <c r="CK973" i="1"/>
  <c r="FL973" i="1"/>
  <c r="FM973" i="1"/>
  <c r="J974" i="1"/>
  <c r="K974" i="1"/>
  <c r="BB974" i="1"/>
  <c r="BC974" i="1" s="1"/>
  <c r="CJ974" i="1"/>
  <c r="CK974" i="1"/>
  <c r="FL974" i="1"/>
  <c r="FM974" i="1"/>
  <c r="J975" i="1"/>
  <c r="K975" i="1"/>
  <c r="BC975" i="1"/>
  <c r="CJ975" i="1"/>
  <c r="CK975" i="1"/>
  <c r="FL975" i="1"/>
  <c r="FM975" i="1"/>
  <c r="J976" i="1"/>
  <c r="K976" i="1"/>
  <c r="BC976" i="1"/>
  <c r="CJ976" i="1"/>
  <c r="FL976" i="1"/>
  <c r="FM976" i="1"/>
  <c r="J977" i="1"/>
  <c r="K977" i="1"/>
  <c r="BB977" i="1"/>
  <c r="BC977" i="1" s="1"/>
  <c r="FL977" i="1"/>
  <c r="FM977" i="1"/>
  <c r="J978" i="1"/>
  <c r="K978" i="1"/>
  <c r="BC978" i="1"/>
  <c r="FL978" i="1"/>
  <c r="FM978" i="1"/>
  <c r="J979" i="1"/>
  <c r="K979" i="1"/>
  <c r="BB979" i="1"/>
  <c r="BC979" i="1" s="1"/>
  <c r="FL979" i="1"/>
  <c r="FM979" i="1"/>
  <c r="J980" i="1"/>
  <c r="K980" i="1"/>
  <c r="BC980" i="1"/>
  <c r="FL980" i="1"/>
  <c r="FM980" i="1"/>
  <c r="J981" i="1"/>
  <c r="K981" i="1"/>
  <c r="BC981" i="1"/>
  <c r="FL981" i="1"/>
  <c r="FM981" i="1"/>
  <c r="J982" i="1"/>
  <c r="K982" i="1"/>
  <c r="BB982" i="1"/>
  <c r="BC982" i="1" s="1"/>
  <c r="FL982" i="1"/>
  <c r="FM982" i="1"/>
  <c r="J983" i="1"/>
  <c r="K983" i="1"/>
  <c r="BC983" i="1"/>
  <c r="FL983" i="1"/>
  <c r="FM983" i="1"/>
  <c r="J984" i="1"/>
  <c r="K984" i="1"/>
  <c r="BB984" i="1"/>
  <c r="BC984" i="1" s="1"/>
  <c r="FL984" i="1"/>
  <c r="FM984" i="1"/>
  <c r="J985" i="1"/>
  <c r="K985" i="1"/>
  <c r="BC985" i="1"/>
  <c r="FL985" i="1"/>
  <c r="FM985" i="1"/>
  <c r="J986" i="1"/>
  <c r="K986" i="1"/>
  <c r="BC986" i="1"/>
  <c r="FL986" i="1"/>
  <c r="FM986" i="1"/>
  <c r="J987" i="1"/>
  <c r="K987" i="1"/>
  <c r="BB987" i="1"/>
  <c r="BC987" i="1" s="1"/>
  <c r="FL987" i="1"/>
  <c r="FM987" i="1"/>
  <c r="J988" i="1"/>
  <c r="K988" i="1"/>
  <c r="BC988" i="1"/>
  <c r="FL988" i="1"/>
  <c r="FM988" i="1"/>
  <c r="J989" i="1"/>
  <c r="K989" i="1"/>
  <c r="BB989" i="1"/>
  <c r="BC989" i="1" s="1"/>
  <c r="FL989" i="1"/>
  <c r="FM989" i="1"/>
  <c r="J990" i="1"/>
  <c r="K990" i="1"/>
  <c r="BC990" i="1"/>
  <c r="FL990" i="1"/>
  <c r="FM990" i="1"/>
  <c r="J991" i="1"/>
  <c r="K991" i="1"/>
  <c r="BC991" i="1"/>
  <c r="FL991" i="1"/>
  <c r="FM991" i="1"/>
  <c r="J992" i="1"/>
  <c r="K992" i="1"/>
  <c r="BB992" i="1"/>
  <c r="BC992" i="1" s="1"/>
  <c r="FL992" i="1"/>
  <c r="FM992" i="1"/>
  <c r="J993" i="1"/>
  <c r="K993" i="1"/>
  <c r="BC993" i="1"/>
  <c r="FL993" i="1"/>
  <c r="FM993" i="1"/>
  <c r="J994" i="1"/>
  <c r="K994" i="1"/>
  <c r="BB994" i="1"/>
  <c r="BC994" i="1" s="1"/>
  <c r="FL994" i="1"/>
  <c r="FM994" i="1"/>
  <c r="J995" i="1"/>
  <c r="K995" i="1"/>
  <c r="BC995" i="1"/>
  <c r="FL995" i="1"/>
  <c r="FM995" i="1"/>
  <c r="J996" i="1"/>
  <c r="K996" i="1"/>
  <c r="BC996" i="1"/>
  <c r="FL996" i="1"/>
  <c r="FM996" i="1"/>
  <c r="BU997" i="1"/>
  <c r="BV997" i="1"/>
  <c r="DS997" i="1"/>
  <c r="DT997" i="1"/>
  <c r="ER997" i="1"/>
  <c r="ES997" i="1"/>
  <c r="BU998" i="1"/>
  <c r="BV998" i="1"/>
  <c r="DS998" i="1"/>
  <c r="DT998" i="1"/>
  <c r="ER998" i="1"/>
  <c r="ES998" i="1"/>
  <c r="BU999" i="1"/>
  <c r="BV999" i="1"/>
  <c r="DS999" i="1"/>
  <c r="DT999" i="1"/>
  <c r="ER999" i="1"/>
  <c r="ES999" i="1"/>
  <c r="J1000" i="1"/>
  <c r="K1000" i="1"/>
  <c r="GK1000" i="1"/>
  <c r="GL1000" i="1"/>
  <c r="J1001" i="1"/>
  <c r="K1001" i="1"/>
  <c r="GK1001" i="1"/>
  <c r="GL1001" i="1"/>
  <c r="J1002" i="1"/>
  <c r="K1002" i="1"/>
  <c r="GK1002" i="1"/>
  <c r="GL1002" i="1"/>
  <c r="J1003" i="1"/>
  <c r="K1003" i="1"/>
  <c r="GK1003" i="1"/>
  <c r="GL1003" i="1"/>
  <c r="J1004" i="1"/>
  <c r="K1004" i="1"/>
  <c r="GK1004" i="1"/>
  <c r="GL1004" i="1"/>
  <c r="J1005" i="1"/>
  <c r="K1005" i="1"/>
  <c r="GK1005" i="1"/>
  <c r="GL1005" i="1"/>
  <c r="J1006" i="1"/>
  <c r="K1006" i="1"/>
  <c r="GK1006" i="1"/>
  <c r="GL1006" i="1"/>
  <c r="J1007" i="1"/>
  <c r="K1007" i="1"/>
  <c r="GK1007" i="1"/>
  <c r="GL1007" i="1"/>
  <c r="J1008" i="1"/>
  <c r="K1008" i="1"/>
  <c r="GK1008" i="1"/>
  <c r="GL1008" i="1"/>
  <c r="J1009" i="1"/>
  <c r="K1009" i="1"/>
  <c r="GK1009" i="1"/>
  <c r="GL1009" i="1"/>
  <c r="J1010" i="1"/>
  <c r="K1010" i="1"/>
  <c r="GK1010" i="1"/>
  <c r="GL1010" i="1"/>
  <c r="J1011" i="1"/>
  <c r="K1011" i="1"/>
  <c r="GK1011" i="1"/>
  <c r="GL1011" i="1"/>
  <c r="J1012" i="1"/>
  <c r="K1012" i="1"/>
  <c r="GK1012" i="1"/>
  <c r="GL1012" i="1"/>
  <c r="J1013" i="1"/>
  <c r="K1013" i="1"/>
  <c r="GK1013" i="1"/>
  <c r="GL1013" i="1"/>
  <c r="J1014" i="1"/>
  <c r="K1014" i="1"/>
  <c r="GK1014" i="1"/>
  <c r="GL1014" i="1"/>
  <c r="J1015" i="1"/>
  <c r="K1015" i="1"/>
  <c r="GK1015" i="1"/>
  <c r="GL1015" i="1"/>
  <c r="BC1042" i="1"/>
  <c r="BC1043" i="1"/>
  <c r="BC1044" i="1"/>
  <c r="BC1045" i="1"/>
  <c r="BC1048" i="1"/>
  <c r="BC1049" i="1"/>
  <c r="BC1050" i="1"/>
  <c r="BC1051" i="1"/>
  <c r="BC1054" i="1"/>
  <c r="BC1055" i="1"/>
  <c r="BC1056" i="1"/>
  <c r="BC1057" i="1"/>
  <c r="BC1060" i="1"/>
  <c r="BC1061" i="1"/>
  <c r="BC1062" i="1"/>
  <c r="BC1063" i="1"/>
  <c r="CJ1066" i="1"/>
  <c r="CK1066" i="1"/>
  <c r="CJ1067" i="1"/>
  <c r="CK1067" i="1"/>
  <c r="CJ1070" i="1"/>
  <c r="CK1070" i="1"/>
  <c r="CJ1071" i="1"/>
  <c r="CK1071" i="1"/>
  <c r="CJ1074" i="1"/>
  <c r="CK1074" i="1"/>
  <c r="CJ1078" i="1"/>
  <c r="CK1078" i="1"/>
  <c r="CJ1082" i="1"/>
  <c r="CK1082" i="1"/>
  <c r="CJ1085" i="1"/>
  <c r="CK1085" i="1"/>
  <c r="O1088" i="1"/>
  <c r="P1088" i="1"/>
  <c r="AA1088" i="1"/>
  <c r="AB1088" i="1"/>
  <c r="BB1088" i="1"/>
  <c r="CJ1088" i="1"/>
  <c r="CK1088" i="1"/>
  <c r="O1089" i="1"/>
  <c r="P1089" i="1"/>
  <c r="AA1089" i="1"/>
  <c r="AB1089" i="1"/>
  <c r="BB1089" i="1"/>
  <c r="CJ1089" i="1"/>
  <c r="CK1089" i="1"/>
  <c r="O1090" i="1"/>
  <c r="P1090" i="1"/>
  <c r="AA1090" i="1"/>
  <c r="AB1090" i="1"/>
  <c r="BB1090" i="1"/>
  <c r="CJ1090" i="1"/>
  <c r="CK1090" i="1"/>
  <c r="O1091" i="1"/>
  <c r="P1091" i="1"/>
  <c r="AA1091" i="1"/>
  <c r="AB1091" i="1"/>
  <c r="BB1091" i="1"/>
  <c r="CK1091" i="1"/>
  <c r="O1092" i="1"/>
  <c r="P1092" i="1"/>
  <c r="AA1092" i="1"/>
  <c r="AB1092" i="1"/>
  <c r="BB1092" i="1"/>
  <c r="CK1092" i="1"/>
  <c r="O1093" i="1"/>
  <c r="P1093" i="1"/>
  <c r="AA1093" i="1"/>
  <c r="AB1093" i="1"/>
  <c r="BB1093" i="1"/>
  <c r="CK1093" i="1"/>
  <c r="O1094" i="1"/>
  <c r="P1094" i="1"/>
  <c r="AA1094" i="1"/>
  <c r="AB1094" i="1"/>
  <c r="BB1094" i="1"/>
  <c r="CJ1094" i="1"/>
  <c r="CK1094" i="1"/>
  <c r="O1095" i="1"/>
  <c r="P1095" i="1"/>
  <c r="AA1095" i="1"/>
  <c r="AB1095" i="1"/>
  <c r="BB1095" i="1"/>
  <c r="CJ1095" i="1"/>
  <c r="CK1095" i="1"/>
  <c r="O1096" i="1"/>
  <c r="P1096" i="1"/>
  <c r="AA1096" i="1"/>
  <c r="AB1096" i="1"/>
  <c r="BB1096" i="1"/>
  <c r="CJ1096" i="1"/>
  <c r="CK1096" i="1"/>
  <c r="O1097" i="1"/>
  <c r="P1097" i="1"/>
  <c r="AA1097" i="1"/>
  <c r="AB1097" i="1"/>
  <c r="BB1097" i="1"/>
  <c r="CJ1097" i="1"/>
  <c r="CK1097" i="1"/>
  <c r="O1098" i="1"/>
  <c r="P1098" i="1"/>
  <c r="AA1098" i="1"/>
  <c r="AB1098" i="1"/>
  <c r="BB1098" i="1"/>
  <c r="O1099" i="1"/>
  <c r="P1099" i="1"/>
  <c r="AA1099" i="1"/>
  <c r="AB1099" i="1"/>
  <c r="BB1099" i="1"/>
  <c r="O1100" i="1"/>
  <c r="P1100" i="1"/>
  <c r="AA1100" i="1"/>
  <c r="AB1100" i="1"/>
  <c r="BB1100" i="1"/>
  <c r="CJ1100" i="1"/>
  <c r="CK1100" i="1"/>
  <c r="O1101" i="1"/>
  <c r="P1101" i="1"/>
  <c r="AA1101" i="1"/>
  <c r="AB1101" i="1"/>
  <c r="BB1101" i="1"/>
  <c r="O1102" i="1"/>
  <c r="P1102" i="1"/>
  <c r="AA1102" i="1"/>
  <c r="AB1102" i="1"/>
  <c r="BB1102" i="1"/>
  <c r="O1103" i="1"/>
  <c r="P1103" i="1"/>
  <c r="AA1103" i="1"/>
  <c r="AB1103" i="1"/>
  <c r="O1104" i="1"/>
  <c r="P1104" i="1"/>
  <c r="AA1104" i="1"/>
  <c r="AB1104" i="1"/>
  <c r="O1105" i="1"/>
  <c r="P1105" i="1"/>
  <c r="AA1105" i="1"/>
  <c r="AB1105" i="1"/>
  <c r="O1106" i="1"/>
  <c r="P1106" i="1"/>
  <c r="AA1106" i="1"/>
  <c r="AB1106" i="1"/>
  <c r="O1107" i="1"/>
  <c r="P1107" i="1"/>
  <c r="AA1107" i="1"/>
  <c r="AB1107" i="1"/>
  <c r="O1108" i="1"/>
  <c r="P1108" i="1"/>
  <c r="AA1108" i="1"/>
  <c r="AB1108" i="1"/>
  <c r="O1109" i="1"/>
  <c r="P1109" i="1"/>
  <c r="AA1109" i="1"/>
  <c r="AB1109" i="1"/>
  <c r="O1110" i="1"/>
  <c r="P1110" i="1"/>
  <c r="AA1110" i="1"/>
  <c r="AB1110" i="1"/>
  <c r="O1111" i="1"/>
  <c r="P1111" i="1"/>
  <c r="AA1111" i="1"/>
  <c r="AB1111" i="1"/>
  <c r="P1112" i="1"/>
  <c r="AA1112" i="1"/>
  <c r="AB1112" i="1"/>
  <c r="P1113" i="1"/>
  <c r="AA1113" i="1"/>
  <c r="AB1113" i="1"/>
  <c r="P1114" i="1"/>
  <c r="AA1114" i="1"/>
  <c r="AB1114" i="1"/>
  <c r="P1115" i="1"/>
  <c r="AA1115" i="1"/>
  <c r="AB1115" i="1"/>
  <c r="P1116" i="1"/>
  <c r="AA1116" i="1"/>
  <c r="AB1116" i="1"/>
  <c r="P1117" i="1"/>
  <c r="AA1117" i="1"/>
  <c r="AB1117" i="1"/>
  <c r="P1118" i="1"/>
  <c r="AA1118" i="1"/>
  <c r="AB1118" i="1"/>
  <c r="P1119" i="1"/>
  <c r="AA1119" i="1"/>
  <c r="AB1119" i="1"/>
  <c r="P1120" i="1"/>
  <c r="AA1120" i="1"/>
  <c r="AB1120" i="1"/>
  <c r="O1121" i="1"/>
  <c r="P1121" i="1"/>
  <c r="AA1121" i="1"/>
  <c r="AB1121" i="1"/>
  <c r="BB1121" i="1"/>
  <c r="O1122" i="1"/>
  <c r="P1122" i="1"/>
  <c r="AA1122" i="1"/>
  <c r="AB1122" i="1"/>
  <c r="O1123" i="1"/>
  <c r="P1123" i="1"/>
  <c r="AA1123" i="1"/>
  <c r="AB1123" i="1"/>
  <c r="O1124" i="1"/>
  <c r="P1124" i="1"/>
  <c r="AA1124" i="1"/>
  <c r="AB1124" i="1"/>
  <c r="O1125" i="1"/>
  <c r="P1125" i="1"/>
  <c r="AA1125" i="1"/>
  <c r="AB1125" i="1"/>
  <c r="O1126" i="1"/>
  <c r="P1126" i="1"/>
  <c r="AA1126" i="1"/>
  <c r="AB1126" i="1"/>
  <c r="P1127" i="1"/>
  <c r="AA1127" i="1"/>
  <c r="AB1127" i="1"/>
  <c r="P1128" i="1"/>
  <c r="AA1128" i="1"/>
  <c r="AB1128" i="1"/>
  <c r="P1129" i="1"/>
  <c r="AA1129" i="1"/>
  <c r="AB1129" i="1"/>
  <c r="P1130" i="1"/>
  <c r="AA1130" i="1"/>
  <c r="AB1130" i="1"/>
  <c r="P1131" i="1"/>
  <c r="AA1131" i="1"/>
  <c r="AB1131" i="1"/>
  <c r="P1132" i="1"/>
  <c r="AA1132" i="1"/>
  <c r="AB1132" i="1"/>
  <c r="P1133" i="1"/>
  <c r="AA1133" i="1"/>
  <c r="AB1133" i="1"/>
  <c r="P1134" i="1"/>
  <c r="AA1134" i="1"/>
  <c r="AB1134" i="1"/>
  <c r="P1135" i="1"/>
  <c r="AA1135" i="1"/>
  <c r="AB1135" i="1"/>
  <c r="P1136" i="1"/>
  <c r="AA1136" i="1"/>
  <c r="AB1136" i="1"/>
  <c r="P1137" i="1"/>
  <c r="AA1137" i="1"/>
  <c r="AB1137" i="1"/>
  <c r="P1138" i="1"/>
  <c r="AA1138" i="1"/>
  <c r="AB1138" i="1"/>
  <c r="O1139" i="1"/>
  <c r="P1139" i="1"/>
  <c r="AA1139" i="1"/>
  <c r="AB1139" i="1"/>
  <c r="BB1139" i="1"/>
  <c r="O1140" i="1"/>
  <c r="P1140" i="1"/>
  <c r="AA1140" i="1"/>
  <c r="AB1140" i="1"/>
  <c r="O1141" i="1"/>
  <c r="P1141" i="1"/>
  <c r="AA1141" i="1"/>
  <c r="AB1141" i="1"/>
  <c r="O1142" i="1"/>
  <c r="P1142" i="1"/>
  <c r="AA1142" i="1"/>
  <c r="AB1142" i="1"/>
  <c r="O1143" i="1"/>
  <c r="P1143" i="1"/>
  <c r="AA1143" i="1"/>
  <c r="AB1143" i="1"/>
  <c r="O1144" i="1"/>
  <c r="P1144" i="1"/>
  <c r="AA1144" i="1"/>
  <c r="AB1144" i="1"/>
  <c r="P1145" i="1"/>
  <c r="AA1145" i="1"/>
  <c r="AB1145" i="1"/>
  <c r="P1146" i="1"/>
  <c r="AA1146" i="1"/>
  <c r="AB1146" i="1"/>
  <c r="P1147" i="1"/>
  <c r="AA1147" i="1"/>
  <c r="AB1147" i="1"/>
  <c r="P1148" i="1"/>
  <c r="AA1148" i="1"/>
  <c r="AB1148" i="1"/>
  <c r="P1149" i="1"/>
  <c r="AA1149" i="1"/>
  <c r="AB1149" i="1"/>
  <c r="P1150" i="1"/>
  <c r="AA1150" i="1"/>
  <c r="AB1150" i="1"/>
  <c r="P1151" i="1"/>
  <c r="AA1151" i="1"/>
  <c r="AB1151" i="1"/>
  <c r="P1152" i="1"/>
  <c r="AA1152" i="1"/>
  <c r="AB1152" i="1"/>
  <c r="P1153" i="1"/>
  <c r="AA1153" i="1"/>
  <c r="AB1153" i="1"/>
  <c r="P1154" i="1"/>
  <c r="AA1154" i="1"/>
  <c r="AB1154" i="1"/>
  <c r="P1155" i="1"/>
  <c r="AA1155" i="1"/>
  <c r="AB1155" i="1"/>
  <c r="P1156" i="1"/>
  <c r="AA1156" i="1"/>
  <c r="AB1156" i="1"/>
  <c r="HJ1186" i="1"/>
  <c r="HK1186" i="1"/>
  <c r="HY1186" i="1"/>
  <c r="HJ1187" i="1"/>
  <c r="HK1187" i="1"/>
  <c r="HJ1188" i="1"/>
  <c r="HK1188" i="1"/>
  <c r="HJ1189" i="1"/>
  <c r="HK1189" i="1"/>
  <c r="FQ1206" i="1"/>
  <c r="FR1206" i="1"/>
  <c r="FQ1209" i="1"/>
  <c r="FR1209" i="1"/>
  <c r="FQ1212" i="1"/>
  <c r="FR1212" i="1"/>
  <c r="BC1247" i="1"/>
  <c r="BC1248" i="1"/>
  <c r="BC1249" i="1"/>
  <c r="BC1250" i="1"/>
  <c r="BC1251" i="1"/>
  <c r="BC1296" i="1"/>
  <c r="BC1297" i="1"/>
  <c r="BC1298" i="1"/>
  <c r="BC1299" i="1"/>
  <c r="BC1300" i="1"/>
  <c r="BC1301" i="1"/>
  <c r="BC1302" i="1"/>
  <c r="BC1303" i="1"/>
  <c r="BC1304" i="1"/>
  <c r="BC1305" i="1"/>
  <c r="BC1308" i="1"/>
  <c r="BC1309" i="1"/>
  <c r="BC1310" i="1"/>
  <c r="BC1311" i="1"/>
  <c r="BC1312" i="1"/>
  <c r="BC1313" i="1"/>
  <c r="BC1314" i="1"/>
  <c r="BC1315" i="1"/>
  <c r="BC1316" i="1"/>
  <c r="BC1317" i="1"/>
  <c r="J1318" i="1"/>
  <c r="K1318" i="1"/>
  <c r="EH1318" i="1"/>
  <c r="EI1318" i="1"/>
  <c r="EM1318" i="1"/>
  <c r="EN1318" i="1"/>
  <c r="J1319" i="1"/>
  <c r="K1319" i="1"/>
  <c r="EH1319" i="1"/>
  <c r="EI1319" i="1"/>
  <c r="EM1319" i="1"/>
  <c r="EN1319" i="1"/>
  <c r="J1320" i="1"/>
  <c r="K1320" i="1"/>
  <c r="EH1320" i="1"/>
  <c r="EI1320" i="1"/>
  <c r="EM1320" i="1"/>
  <c r="EN1320" i="1"/>
  <c r="J1321" i="1"/>
  <c r="K1321" i="1"/>
  <c r="J1322" i="1"/>
  <c r="K1322" i="1"/>
  <c r="EI1322" i="1"/>
  <c r="EM1322" i="1"/>
  <c r="EN1322" i="1"/>
  <c r="J1323" i="1"/>
  <c r="K1323" i="1"/>
  <c r="EH1323" i="1"/>
  <c r="EI1323" i="1"/>
  <c r="EM1323" i="1"/>
  <c r="EN1323" i="1"/>
  <c r="J1324" i="1"/>
  <c r="K1324" i="1"/>
  <c r="EH1324" i="1"/>
  <c r="EI1324" i="1"/>
  <c r="EM1324" i="1"/>
  <c r="EN1324" i="1"/>
  <c r="J1325" i="1"/>
  <c r="K1325" i="1"/>
  <c r="J1326" i="1"/>
  <c r="K1326" i="1"/>
  <c r="EH1326" i="1"/>
  <c r="EI1326" i="1"/>
  <c r="EM1326" i="1"/>
  <c r="EN1326" i="1"/>
  <c r="J1327" i="1"/>
  <c r="K1327" i="1"/>
  <c r="EH1327" i="1"/>
  <c r="EI1327" i="1"/>
  <c r="EM1327" i="1"/>
  <c r="EN1327" i="1"/>
  <c r="J1328" i="1"/>
  <c r="K1328" i="1"/>
  <c r="J1329" i="1"/>
  <c r="K1329" i="1"/>
  <c r="J1330" i="1"/>
  <c r="K1330" i="1"/>
  <c r="J1331" i="1"/>
  <c r="K1331" i="1"/>
  <c r="FL1332" i="1"/>
  <c r="FM1332" i="1"/>
  <c r="FL1333" i="1"/>
  <c r="FM1333" i="1"/>
  <c r="FL1334" i="1"/>
  <c r="FM1334" i="1"/>
  <c r="FL1335" i="1"/>
  <c r="FM1335" i="1"/>
  <c r="FL1336" i="1"/>
  <c r="FM1336" i="1"/>
  <c r="FL1337" i="1"/>
  <c r="FM1337" i="1"/>
  <c r="FL1338" i="1"/>
  <c r="FM1338" i="1"/>
  <c r="FL1339" i="1"/>
  <c r="FM1339" i="1"/>
  <c r="FL1340" i="1"/>
  <c r="FM1340" i="1"/>
  <c r="FL1341" i="1"/>
  <c r="FM1341" i="1"/>
  <c r="FL1342" i="1"/>
  <c r="FM1342" i="1"/>
  <c r="FL1343" i="1"/>
  <c r="FM1343" i="1"/>
  <c r="FL1344" i="1"/>
  <c r="FM1344" i="1"/>
  <c r="FL1345" i="1"/>
  <c r="FM1345" i="1"/>
  <c r="FL1346" i="1"/>
  <c r="FM1346" i="1"/>
  <c r="FL1347" i="1"/>
  <c r="FM1347" i="1"/>
  <c r="FL1352" i="1"/>
  <c r="FM1352" i="1"/>
  <c r="FL1353" i="1"/>
  <c r="FM1353" i="1"/>
  <c r="FL1354" i="1"/>
  <c r="FM1354" i="1"/>
  <c r="FL1355" i="1"/>
  <c r="FM1355" i="1"/>
  <c r="FL1356" i="1"/>
  <c r="FM1356" i="1"/>
  <c r="FL1357" i="1"/>
  <c r="FM1357" i="1"/>
  <c r="FL1358" i="1"/>
  <c r="FM1358" i="1"/>
  <c r="FL1359" i="1"/>
  <c r="FM1359" i="1"/>
  <c r="FL1360" i="1"/>
  <c r="FM1360" i="1"/>
  <c r="FL1361" i="1"/>
  <c r="FM1361" i="1"/>
  <c r="FL1362" i="1"/>
  <c r="FM1362" i="1"/>
  <c r="FL1363" i="1"/>
  <c r="FM1363" i="1"/>
  <c r="FL1364" i="1"/>
  <c r="FM1364" i="1"/>
  <c r="FL1365" i="1"/>
  <c r="FM1365" i="1"/>
  <c r="FL1366" i="1"/>
  <c r="FM1366" i="1"/>
  <c r="FL1367" i="1"/>
  <c r="FM1367" i="1"/>
  <c r="FL1368" i="1"/>
  <c r="FM1368" i="1"/>
  <c r="FL1369" i="1"/>
  <c r="FM1369" i="1"/>
  <c r="FL1370" i="1"/>
  <c r="FM1370" i="1"/>
  <c r="FL1371" i="1"/>
  <c r="FM1371" i="1"/>
  <c r="FL1372" i="1"/>
  <c r="FM1372" i="1"/>
  <c r="FL1373" i="1"/>
  <c r="FM1373" i="1"/>
  <c r="FL1374" i="1"/>
  <c r="FM1374" i="1"/>
  <c r="FL1375" i="1"/>
  <c r="FM1375" i="1"/>
  <c r="FL1376" i="1"/>
  <c r="FM1376" i="1"/>
  <c r="FL1377" i="1"/>
  <c r="FM1377" i="1"/>
  <c r="FL1378" i="1"/>
  <c r="FM1378" i="1"/>
  <c r="FL1379" i="1"/>
  <c r="FM1379" i="1"/>
  <c r="BC1380" i="1"/>
  <c r="BC1381" i="1"/>
  <c r="BC1382" i="1"/>
  <c r="BC1383" i="1"/>
  <c r="BC1384" i="1"/>
  <c r="BC1385" i="1"/>
  <c r="BC1386" i="1"/>
  <c r="BC1387" i="1"/>
  <c r="FG1388" i="1"/>
  <c r="FH1388" i="1"/>
  <c r="FG1389" i="1"/>
  <c r="FH1389" i="1"/>
  <c r="FG1390" i="1"/>
  <c r="FH1390" i="1"/>
  <c r="FG1391" i="1"/>
  <c r="FH1391" i="1"/>
  <c r="J1414" i="1"/>
  <c r="K1414" i="1"/>
  <c r="L1414" i="1"/>
  <c r="AA1414" i="1"/>
  <c r="AB1414" i="1" s="1"/>
  <c r="AE1414" i="1"/>
  <c r="J1415" i="1"/>
  <c r="K1415" i="1"/>
  <c r="L1415" i="1"/>
  <c r="AA1415" i="1"/>
  <c r="AB1415" i="1" s="1"/>
  <c r="AE1415" i="1"/>
  <c r="J1416" i="1"/>
  <c r="K1416" i="1"/>
  <c r="L1416" i="1"/>
  <c r="AA1416" i="1"/>
  <c r="AB1416" i="1" s="1"/>
  <c r="AE1416" i="1"/>
  <c r="J1417" i="1"/>
  <c r="K1417" i="1"/>
  <c r="L1417" i="1"/>
  <c r="AA1417" i="1"/>
  <c r="AB1417" i="1" s="1"/>
  <c r="AE1417" i="1"/>
  <c r="J1418" i="1"/>
  <c r="K1418" i="1"/>
  <c r="L1418" i="1"/>
  <c r="AA1418" i="1"/>
  <c r="AB1418" i="1" s="1"/>
  <c r="AE1418" i="1"/>
  <c r="J1419" i="1"/>
  <c r="K1419" i="1"/>
  <c r="J1420" i="1"/>
  <c r="K1420" i="1"/>
  <c r="J1421" i="1"/>
  <c r="K1421" i="1"/>
  <c r="J1422" i="1"/>
  <c r="K1422" i="1"/>
  <c r="J1423" i="1"/>
  <c r="K1423" i="1"/>
  <c r="CJ1451" i="1"/>
  <c r="CK1451" i="1"/>
  <c r="HE1451" i="1"/>
  <c r="HF1451" i="1"/>
  <c r="Z1453" i="1"/>
  <c r="BU1453" i="1"/>
  <c r="BV1453" i="1"/>
  <c r="Z1454" i="1"/>
  <c r="J1479" i="1"/>
  <c r="K1479" i="1"/>
  <c r="IN1479" i="1"/>
  <c r="IO1479" i="1"/>
  <c r="J1480" i="1"/>
  <c r="K1480" i="1"/>
  <c r="IN1480" i="1"/>
  <c r="IO1480" i="1"/>
  <c r="J1481" i="1"/>
  <c r="K1481" i="1"/>
  <c r="IN1481" i="1"/>
  <c r="IO1481" i="1"/>
  <c r="J1482" i="1"/>
  <c r="K1482" i="1"/>
  <c r="IN1482" i="1"/>
  <c r="IO1482" i="1"/>
  <c r="J1483" i="1"/>
  <c r="K1483" i="1"/>
  <c r="IN1483" i="1"/>
  <c r="IO1483" i="1"/>
  <c r="J1484" i="1"/>
  <c r="K1484" i="1"/>
  <c r="IN1484" i="1"/>
  <c r="IO1484" i="1"/>
  <c r="J1485" i="1"/>
  <c r="K1485" i="1"/>
  <c r="IN1485" i="1"/>
  <c r="IO1485" i="1"/>
  <c r="J1486" i="1"/>
  <c r="K1486" i="1"/>
  <c r="IN1486" i="1"/>
  <c r="IO1486" i="1"/>
  <c r="J1487" i="1"/>
  <c r="K1487" i="1"/>
  <c r="IN1487" i="1"/>
  <c r="IO1487" i="1"/>
  <c r="J1488" i="1"/>
  <c r="K1488" i="1"/>
  <c r="IN1488" i="1"/>
  <c r="IO1488" i="1"/>
  <c r="J1489" i="1"/>
  <c r="K1489" i="1"/>
  <c r="IN1489" i="1"/>
  <c r="IO1489" i="1"/>
  <c r="J1490" i="1"/>
  <c r="K1490" i="1"/>
  <c r="IN1490" i="1"/>
  <c r="IO1490" i="1"/>
  <c r="J1491" i="1"/>
  <c r="K1491" i="1"/>
  <c r="IN1491" i="1"/>
  <c r="IO1491" i="1"/>
  <c r="J1492" i="1"/>
  <c r="K1492" i="1"/>
  <c r="IN1492" i="1"/>
  <c r="IO1492" i="1"/>
  <c r="J1493" i="1"/>
  <c r="K1493" i="1"/>
  <c r="IN1493" i="1"/>
  <c r="IO1493" i="1"/>
  <c r="J1494" i="1"/>
  <c r="K1494" i="1"/>
  <c r="IN1494" i="1"/>
  <c r="IO1494" i="1"/>
  <c r="J1495" i="1"/>
  <c r="K1495" i="1"/>
  <c r="IN1495" i="1"/>
  <c r="IO1495" i="1"/>
  <c r="J1496" i="1"/>
  <c r="K1496" i="1"/>
  <c r="IN1496" i="1"/>
  <c r="IO1496" i="1"/>
  <c r="J1497" i="1"/>
  <c r="K1497" i="1"/>
  <c r="IN1497" i="1"/>
  <c r="J1498" i="1"/>
  <c r="K1498" i="1"/>
  <c r="IN1498" i="1"/>
  <c r="J1499" i="1"/>
  <c r="K1499" i="1"/>
  <c r="IN1499" i="1"/>
  <c r="J1500" i="1"/>
  <c r="K1500" i="1"/>
  <c r="IN1500" i="1"/>
  <c r="J1501" i="1"/>
  <c r="K1501" i="1"/>
  <c r="IN1501" i="1"/>
  <c r="J1502" i="1"/>
  <c r="K1502" i="1"/>
  <c r="FL1507" i="1"/>
  <c r="FM1507" i="1"/>
  <c r="FL1508" i="1"/>
  <c r="FM1508" i="1"/>
  <c r="FL1509" i="1"/>
  <c r="FM1509" i="1"/>
  <c r="FL1510" i="1"/>
  <c r="FM1510" i="1"/>
  <c r="FL1511" i="1"/>
  <c r="FM1511" i="1"/>
  <c r="FL1512" i="1"/>
  <c r="FM1512" i="1"/>
  <c r="FL1513" i="1"/>
  <c r="FM1513" i="1"/>
  <c r="FL1514" i="1"/>
  <c r="FM1514" i="1"/>
  <c r="FL1515" i="1"/>
  <c r="FM1515" i="1"/>
  <c r="FL1516" i="1"/>
  <c r="FM1516" i="1"/>
  <c r="FL1517" i="1"/>
  <c r="FM1517" i="1"/>
  <c r="FL1518" i="1"/>
  <c r="FM1518" i="1"/>
  <c r="FL1519" i="1"/>
  <c r="FM1519" i="1"/>
  <c r="BC1520" i="1"/>
  <c r="BC1521" i="1"/>
  <c r="BC1522" i="1"/>
  <c r="BC1523" i="1"/>
  <c r="BC1524" i="1"/>
  <c r="BC1525" i="1"/>
  <c r="BC1526" i="1"/>
  <c r="BC1527" i="1"/>
  <c r="BC1528" i="1"/>
  <c r="BC1529" i="1"/>
  <c r="BC1530" i="1"/>
  <c r="BC1531" i="1"/>
  <c r="BC1532" i="1"/>
  <c r="BC1533" i="1"/>
  <c r="BC1534" i="1"/>
  <c r="BC1535" i="1"/>
  <c r="BC1536" i="1"/>
  <c r="BC1537" i="1"/>
  <c r="BC1538" i="1"/>
  <c r="BC1539" i="1"/>
  <c r="AA1544" i="1"/>
  <c r="AA1545" i="1"/>
  <c r="Z1546" i="1"/>
  <c r="CJ1546" i="1"/>
  <c r="CK1546" i="1"/>
  <c r="Z1547" i="1"/>
  <c r="CJ1547" i="1"/>
  <c r="CK1547" i="1"/>
  <c r="Z1548" i="1"/>
  <c r="CJ1548" i="1"/>
  <c r="CK1548" i="1"/>
  <c r="Z1549" i="1"/>
  <c r="CJ1549" i="1"/>
  <c r="CK1549" i="1"/>
  <c r="Z1550" i="1"/>
  <c r="CJ1550" i="1"/>
  <c r="CK1550" i="1"/>
  <c r="Z1551" i="1"/>
  <c r="CJ1551" i="1"/>
  <c r="CK1551" i="1"/>
  <c r="Z1552" i="1"/>
  <c r="CJ1552" i="1"/>
  <c r="CK1552" i="1"/>
  <c r="Z1553" i="1"/>
  <c r="CJ1553" i="1"/>
  <c r="CK1553" i="1"/>
  <c r="Z1554" i="1"/>
  <c r="CJ1554" i="1"/>
  <c r="CK1554" i="1"/>
  <c r="Z1555" i="1"/>
  <c r="CJ1555" i="1"/>
  <c r="CK1555" i="1"/>
  <c r="Z1556" i="1"/>
  <c r="CJ1556" i="1"/>
  <c r="CK1556" i="1"/>
  <c r="Z1557" i="1"/>
  <c r="CJ1557" i="1"/>
  <c r="CK1557" i="1"/>
  <c r="CJ1570" i="1"/>
  <c r="CK1570" i="1"/>
  <c r="CJ1571" i="1"/>
  <c r="CK1571" i="1"/>
  <c r="CJ1572" i="1"/>
  <c r="CK1572" i="1"/>
  <c r="CJ1573" i="1"/>
  <c r="CK1573" i="1"/>
  <c r="CJ1574" i="1"/>
  <c r="CK1574" i="1"/>
  <c r="CJ1575" i="1"/>
  <c r="CK1575" i="1"/>
  <c r="CJ1576" i="1"/>
  <c r="CK1576" i="1"/>
  <c r="CJ1577" i="1"/>
  <c r="CK1577" i="1"/>
  <c r="CJ1578" i="1"/>
  <c r="CK1578" i="1"/>
  <c r="CJ1579" i="1"/>
  <c r="CK1579" i="1"/>
  <c r="CJ1580" i="1"/>
  <c r="CK1580" i="1"/>
  <c r="CJ1581" i="1"/>
  <c r="CK1581" i="1"/>
  <c r="CJ1582" i="1"/>
  <c r="CK1582" i="1"/>
  <c r="CJ1583" i="1"/>
  <c r="CK1583" i="1"/>
  <c r="CJ1584" i="1"/>
  <c r="CK1584" i="1"/>
  <c r="CJ1585" i="1"/>
  <c r="CK1585" i="1"/>
  <c r="CJ1586" i="1"/>
  <c r="CK1586" i="1"/>
  <c r="CJ1587" i="1"/>
  <c r="CK1587" i="1"/>
  <c r="CJ1588" i="1"/>
  <c r="CK1588" i="1"/>
  <c r="CJ1589" i="1"/>
  <c r="CK1589" i="1"/>
  <c r="CJ1590" i="1"/>
  <c r="CK1590" i="1"/>
  <c r="CJ1591" i="1"/>
  <c r="CK1591" i="1"/>
  <c r="CJ1592" i="1"/>
  <c r="CK1592" i="1"/>
  <c r="CJ1593" i="1"/>
  <c r="CK1593" i="1"/>
  <c r="CJ1594" i="1"/>
  <c r="CK1594" i="1"/>
  <c r="CJ1595" i="1"/>
  <c r="CK1595" i="1"/>
  <c r="CJ1596" i="1"/>
  <c r="CK1596" i="1"/>
  <c r="CJ1597" i="1"/>
  <c r="CK1597" i="1"/>
  <c r="CJ1598" i="1"/>
  <c r="CK1598" i="1"/>
  <c r="CJ1599" i="1"/>
  <c r="CK1599" i="1"/>
  <c r="CJ1600" i="1"/>
  <c r="CK1600" i="1"/>
  <c r="CJ1601" i="1"/>
  <c r="CK1601" i="1"/>
  <c r="CJ1602" i="1"/>
  <c r="CK1602" i="1"/>
  <c r="CJ1603" i="1"/>
  <c r="CK1603" i="1"/>
  <c r="CJ1604" i="1"/>
  <c r="CK1604" i="1"/>
  <c r="CJ1605" i="1"/>
  <c r="CK1605" i="1"/>
  <c r="CJ1606" i="1"/>
  <c r="CK1606" i="1"/>
  <c r="CJ1607" i="1"/>
  <c r="CK1607" i="1"/>
  <c r="CJ1608" i="1"/>
  <c r="CK1608" i="1"/>
  <c r="CJ1609" i="1"/>
  <c r="CK1609" i="1"/>
  <c r="CJ1610" i="1"/>
  <c r="CK1610" i="1"/>
  <c r="CJ1611" i="1"/>
  <c r="CK1611" i="1"/>
  <c r="CJ1612" i="1"/>
  <c r="CK1612" i="1"/>
  <c r="CJ1613" i="1"/>
  <c r="CK1613" i="1"/>
  <c r="CJ1614" i="1"/>
  <c r="CK1614" i="1"/>
  <c r="CJ1615" i="1"/>
  <c r="CK1615" i="1"/>
  <c r="CJ1616" i="1"/>
  <c r="CK1616" i="1"/>
  <c r="CJ1617" i="1"/>
  <c r="CK1617" i="1"/>
  <c r="HE1668" i="1"/>
  <c r="HF1668" i="1"/>
  <c r="IN1668" i="1"/>
  <c r="IO1668" i="1"/>
  <c r="HE1669" i="1"/>
  <c r="HF1669" i="1"/>
  <c r="IN1669" i="1"/>
  <c r="IO1669" i="1"/>
  <c r="J1670" i="1"/>
  <c r="K1670" i="1"/>
  <c r="AB1670" i="1"/>
  <c r="AA1670" i="1" s="1"/>
  <c r="AE1670" i="1"/>
  <c r="BU1670" i="1"/>
  <c r="BV1670" i="1"/>
  <c r="DS1670" i="1"/>
  <c r="DT1670" i="1"/>
  <c r="EH1670" i="1"/>
  <c r="J1671" i="1"/>
  <c r="AB1671" i="1"/>
  <c r="J1672" i="1"/>
  <c r="AB1672" i="1"/>
  <c r="J1673" i="1"/>
  <c r="AB1673" i="1"/>
  <c r="J1674" i="1"/>
  <c r="AB1674" i="1"/>
  <c r="ED58" i="1"/>
  <c r="CJ1503" i="1"/>
  <c r="CK1503" i="1"/>
  <c r="CJ1504" i="1"/>
  <c r="CK1504" i="1"/>
  <c r="J1783" i="1"/>
  <c r="K1783" i="1"/>
  <c r="J1784" i="1"/>
  <c r="K1784" i="1"/>
  <c r="J1785" i="1"/>
  <c r="K1785" i="1"/>
  <c r="J1786" i="1"/>
  <c r="K1786" i="1"/>
  <c r="J1787" i="1"/>
  <c r="K1787" i="1"/>
  <c r="J1788" i="1"/>
  <c r="K1788" i="1"/>
  <c r="J1789" i="1"/>
  <c r="K1789" i="1"/>
  <c r="J1790" i="1"/>
  <c r="K1790" i="1"/>
  <c r="J1791" i="1"/>
  <c r="K1791" i="1"/>
  <c r="J1792" i="1"/>
  <c r="K1792" i="1"/>
  <c r="J1793" i="1"/>
  <c r="K1793" i="1"/>
  <c r="J1794" i="1"/>
  <c r="K1794" i="1"/>
  <c r="BK1795" i="1"/>
  <c r="BL1795" i="1"/>
  <c r="BK1796" i="1"/>
  <c r="BL1796" i="1"/>
  <c r="BK1797" i="1"/>
  <c r="BL1797" i="1"/>
  <c r="BK1798" i="1"/>
  <c r="BL1798" i="1"/>
  <c r="Z1799" i="1"/>
  <c r="CJ1799" i="1"/>
  <c r="CK1799" i="1"/>
  <c r="Z1800" i="1"/>
  <c r="CJ1800" i="1"/>
  <c r="CK1800" i="1"/>
  <c r="Z1801" i="1"/>
  <c r="CJ1801" i="1"/>
  <c r="CK1801" i="1"/>
  <c r="Z1802" i="1"/>
  <c r="CJ1802" i="1"/>
  <c r="CK1802" i="1"/>
  <c r="Z1803" i="1"/>
  <c r="CJ1803" i="1"/>
  <c r="CK1803" i="1"/>
  <c r="Z1804" i="1"/>
  <c r="CJ1804" i="1"/>
  <c r="CK1804" i="1"/>
  <c r="Z1805" i="1"/>
  <c r="CJ1805" i="1"/>
  <c r="CK1805" i="1"/>
  <c r="Z1806" i="1"/>
  <c r="CJ1806" i="1"/>
  <c r="CK1806" i="1"/>
  <c r="Z1807" i="1"/>
  <c r="CJ1807" i="1"/>
  <c r="CK1807" i="1"/>
  <c r="Z1808" i="1"/>
  <c r="CJ1808" i="1"/>
  <c r="CK1808" i="1"/>
  <c r="Z1809" i="1"/>
  <c r="CJ1809" i="1"/>
  <c r="CK1809" i="1"/>
  <c r="Z1810" i="1"/>
  <c r="CJ1810" i="1"/>
  <c r="CK1810" i="1"/>
  <c r="Z1811" i="1"/>
  <c r="CJ1811" i="1"/>
  <c r="CK1811" i="1"/>
  <c r="Z1812" i="1"/>
  <c r="CJ1812" i="1"/>
  <c r="CK1812" i="1"/>
  <c r="Z1813" i="1"/>
  <c r="CJ1813" i="1"/>
  <c r="CK1813" i="1"/>
  <c r="Z1814" i="1"/>
  <c r="CJ1814" i="1"/>
  <c r="CK1814" i="1"/>
  <c r="Z1815" i="1"/>
  <c r="CJ1815" i="1"/>
  <c r="CK1815" i="1"/>
  <c r="Z1816" i="1"/>
  <c r="CJ1816" i="1"/>
  <c r="CK1816" i="1"/>
  <c r="Z1817" i="1"/>
  <c r="CJ1817" i="1"/>
  <c r="CK1817" i="1"/>
  <c r="Z1818" i="1"/>
  <c r="CJ1818" i="1"/>
  <c r="CK1818" i="1"/>
  <c r="Z1819" i="1"/>
  <c r="CJ1819" i="1"/>
  <c r="CK1819" i="1"/>
  <c r="Z1820" i="1"/>
  <c r="CJ1820" i="1"/>
  <c r="CK1820" i="1"/>
  <c r="Z1821" i="1"/>
  <c r="CJ1821" i="1"/>
  <c r="CK1821" i="1"/>
  <c r="Z1822" i="1"/>
  <c r="CJ1822" i="1"/>
  <c r="CK1822" i="1"/>
  <c r="BV808" i="1" l="1"/>
  <c r="BU808" i="1"/>
  <c r="BV804" i="1"/>
  <c r="BU804" i="1"/>
  <c r="BU800" i="1"/>
  <c r="BV800" i="1"/>
  <c r="BV796" i="1"/>
  <c r="BU796" i="1"/>
  <c r="BU807" i="1"/>
  <c r="BV807" i="1"/>
  <c r="BU803" i="1"/>
  <c r="BV803" i="1"/>
  <c r="BV799" i="1"/>
  <c r="BU799" i="1"/>
  <c r="BV795" i="1"/>
  <c r="BU795" i="1"/>
  <c r="BU810" i="1"/>
  <c r="BV810" i="1"/>
  <c r="BU806" i="1"/>
  <c r="BV806" i="1"/>
  <c r="BV802" i="1"/>
  <c r="BU802" i="1"/>
  <c r="BV798" i="1"/>
  <c r="BU798" i="1"/>
  <c r="BU809" i="1"/>
  <c r="BV809" i="1"/>
  <c r="BU805" i="1"/>
  <c r="BV805" i="1"/>
  <c r="BU801" i="1"/>
  <c r="BV801" i="1"/>
  <c r="BV797" i="1"/>
  <c r="BU797" i="1"/>
  <c r="K43" i="3"/>
  <c r="C43" i="3" s="1"/>
  <c r="C26" i="3"/>
  <c r="E34" i="3"/>
  <c r="C35" i="3"/>
  <c r="E35" i="3" s="1"/>
  <c r="C65" i="3" l="1"/>
  <c r="E65" i="3" s="1"/>
  <c r="F125" i="2" l="1"/>
  <c r="C64" i="3" l="1"/>
  <c r="C37" i="3" l="1"/>
  <c r="E37" i="3" s="1"/>
  <c r="G48" i="3"/>
  <c r="C48" i="3" s="1"/>
  <c r="E48" i="3" s="1"/>
  <c r="E38" i="3" l="1"/>
  <c r="C62" i="3" l="1"/>
  <c r="O38" i="3"/>
  <c r="N38" i="3"/>
  <c r="M38" i="3"/>
  <c r="O37" i="3"/>
  <c r="C80" i="3" l="1"/>
  <c r="E80" i="3" s="1"/>
  <c r="E36" i="3"/>
  <c r="I43" i="3"/>
  <c r="J43" i="3" l="1"/>
  <c r="C71" i="3" l="1"/>
  <c r="C72" i="3" s="1"/>
  <c r="G71" i="3"/>
  <c r="C56" i="3"/>
  <c r="E56" i="3" s="1"/>
  <c r="E54" i="3"/>
  <c r="I54" i="3"/>
  <c r="C53" i="3"/>
  <c r="I53" i="3"/>
  <c r="H64" i="3"/>
  <c r="C63" i="3"/>
  <c r="E63" i="3" s="1"/>
  <c r="E62" i="3"/>
  <c r="H15" i="4"/>
  <c r="E71" i="3" l="1"/>
  <c r="T10" i="4" l="1"/>
  <c r="T11" i="4"/>
  <c r="T12" i="4"/>
  <c r="T13" i="4"/>
  <c r="T9" i="4"/>
  <c r="E47" i="3" l="1"/>
  <c r="E46" i="3" l="1"/>
  <c r="E44" i="3"/>
  <c r="E45" i="3"/>
  <c r="E64" i="3"/>
  <c r="L55" i="3"/>
  <c r="C55" i="3" s="1"/>
  <c r="E55" i="3" s="1"/>
  <c r="E43" i="3" l="1"/>
  <c r="E20" i="4" l="1"/>
  <c r="C19" i="4"/>
  <c r="E19" i="4" s="1"/>
  <c r="C18" i="4"/>
  <c r="E18" i="4" s="1"/>
  <c r="C17" i="4"/>
  <c r="E17" i="4" s="1"/>
  <c r="C16" i="4"/>
  <c r="E16" i="4" s="1"/>
  <c r="C15" i="4"/>
  <c r="E15" i="4" s="1"/>
  <c r="C14" i="4"/>
  <c r="E14" i="4" s="1"/>
  <c r="C13" i="4"/>
  <c r="E13" i="4" s="1"/>
  <c r="C12" i="4"/>
  <c r="E12" i="4" s="1"/>
  <c r="C11" i="4"/>
  <c r="E11" i="4" s="1"/>
  <c r="C10" i="4"/>
  <c r="E10" i="4" s="1"/>
  <c r="C9" i="4"/>
  <c r="E9" i="4" s="1"/>
  <c r="C8" i="4"/>
  <c r="E8" i="4" s="1"/>
  <c r="C7" i="4"/>
  <c r="E7" i="4" s="1"/>
  <c r="C6" i="4"/>
  <c r="E6" i="4" s="1"/>
  <c r="E25" i="3" l="1"/>
  <c r="E53" i="3" l="1"/>
  <c r="E24" i="3" l="1"/>
  <c r="E23" i="3"/>
</calcChain>
</file>

<file path=xl/sharedStrings.xml><?xml version="1.0" encoding="utf-8"?>
<sst xmlns="http://schemas.openxmlformats.org/spreadsheetml/2006/main" count="118706" uniqueCount="4682">
  <si>
    <t>CoverCrop</t>
  </si>
  <si>
    <t>GrainCrop</t>
  </si>
  <si>
    <t>Longitude</t>
  </si>
  <si>
    <t>Latitude</t>
  </si>
  <si>
    <t>SiteInfor</t>
  </si>
  <si>
    <t>Meta information</t>
  </si>
  <si>
    <t>YearPublication</t>
  </si>
  <si>
    <t>SoilDepthOfSample</t>
  </si>
  <si>
    <t>YearsAfterCoverCrop</t>
  </si>
  <si>
    <t>OC_T</t>
  </si>
  <si>
    <t>OC_C</t>
  </si>
  <si>
    <t>pH_T</t>
  </si>
  <si>
    <t>pH_C</t>
  </si>
  <si>
    <t>yield_T</t>
  </si>
  <si>
    <t>yield_C</t>
  </si>
  <si>
    <t>Texture</t>
  </si>
  <si>
    <t>MAT</t>
  </si>
  <si>
    <t>MAP</t>
  </si>
  <si>
    <t>ClimateType</t>
  </si>
  <si>
    <t>P_T</t>
  </si>
  <si>
    <t>P_C</t>
  </si>
  <si>
    <t>K_T</t>
  </si>
  <si>
    <t>K_C</t>
  </si>
  <si>
    <t>BD_T</t>
  </si>
  <si>
    <t>BD_C</t>
  </si>
  <si>
    <t>Aggre_T</t>
  </si>
  <si>
    <t>Aggre_C</t>
  </si>
  <si>
    <t>Penetration_T</t>
  </si>
  <si>
    <t>Penetration_C</t>
  </si>
  <si>
    <t>CEC_T</t>
  </si>
  <si>
    <t>CEC_C</t>
  </si>
  <si>
    <t>EC_T</t>
  </si>
  <si>
    <t>EC_C</t>
  </si>
  <si>
    <t>BS_T</t>
  </si>
  <si>
    <t>BS_C</t>
  </si>
  <si>
    <t>Tannual</t>
  </si>
  <si>
    <t>Pannual</t>
  </si>
  <si>
    <t>AWHC_T</t>
  </si>
  <si>
    <t>AWHC_C</t>
  </si>
  <si>
    <t>Infiltration_T</t>
  </si>
  <si>
    <t>Infiltration_C</t>
  </si>
  <si>
    <t>Notes</t>
  </si>
  <si>
    <t>Target data</t>
  </si>
  <si>
    <t>Author_F</t>
  </si>
  <si>
    <t>Author_G</t>
  </si>
  <si>
    <t>First author's Given name</t>
  </si>
  <si>
    <t>Paper publication year</t>
  </si>
  <si>
    <t>Site information</t>
  </si>
  <si>
    <t>Annual average precipitation</t>
  </si>
  <si>
    <t>Soil texture</t>
  </si>
  <si>
    <t>Phosphorus of treatment (mean value)</t>
  </si>
  <si>
    <t>Phosphorus of control (mean value)</t>
  </si>
  <si>
    <t>Potassium of treatment (mean value)</t>
  </si>
  <si>
    <t>Potassium of control (mean value)</t>
  </si>
  <si>
    <t>pH of treatment (mean value)</t>
  </si>
  <si>
    <t>pH of control (mean value)</t>
  </si>
  <si>
    <t>CEC of treatment (mean value)</t>
  </si>
  <si>
    <t>CEC of control (mean value)</t>
  </si>
  <si>
    <t>Available water hold capacity of treatment (mean value)</t>
  </si>
  <si>
    <t>ST_C</t>
  </si>
  <si>
    <t>ST_T</t>
  </si>
  <si>
    <t>SWC_C</t>
  </si>
  <si>
    <t>SWC_T</t>
  </si>
  <si>
    <t>Soil temperature of control (mean value)</t>
  </si>
  <si>
    <t>Soil temperature of treatment (mean value)</t>
  </si>
  <si>
    <t>ControlDescription</t>
  </si>
  <si>
    <t>Units: %</t>
  </si>
  <si>
    <t>CCDryBiomass</t>
  </si>
  <si>
    <t>CCFreshBiomass</t>
  </si>
  <si>
    <t xml:space="preserve">Fresh biomass (and to be manure) of cover crop </t>
  </si>
  <si>
    <t xml:space="preserve">Dry biomass (and to be manure) of cover crop </t>
  </si>
  <si>
    <t>Conversion_factor</t>
  </si>
  <si>
    <t>Sample_土壤含水量</t>
  </si>
  <si>
    <t>cm3/cm3</t>
  </si>
  <si>
    <t>g/cm3</t>
  </si>
  <si>
    <t>BD</t>
  </si>
  <si>
    <t>1*BD</t>
  </si>
  <si>
    <t>g/g</t>
  </si>
  <si>
    <t>Sample_土壤容重</t>
  </si>
  <si>
    <t>Unit</t>
    <phoneticPr fontId="0" type="noConversion"/>
  </si>
  <si>
    <t>Mg/m3</t>
  </si>
  <si>
    <t>1 Mg/m3 = 1 g/cm3 (1Mg = 1 million g = 10^6 g)</t>
  </si>
  <si>
    <t>Soil water content (SWC) units conversion</t>
  </si>
  <si>
    <t>Soil bulk density units conversion</t>
  </si>
  <si>
    <t>VWC=GWC*BD</t>
  </si>
  <si>
    <t>need update</t>
  </si>
  <si>
    <t>Elevation</t>
  </si>
  <si>
    <t>Journal</t>
  </si>
  <si>
    <t>Journal name of paper</t>
  </si>
  <si>
    <t>Base Satuation of treatment (mean value)</t>
  </si>
  <si>
    <t>g/g=cm3/cm3 * BD</t>
  </si>
  <si>
    <t>Family author's Family name</t>
  </si>
  <si>
    <t>Cmina_T</t>
  </si>
  <si>
    <t>Cmina_C</t>
  </si>
  <si>
    <t>Nmina_T</t>
  </si>
  <si>
    <t>Nmina_C</t>
  </si>
  <si>
    <t>SIR_T</t>
  </si>
  <si>
    <t>SIR_C</t>
  </si>
  <si>
    <t>CO2BTest_T</t>
  </si>
  <si>
    <t>CO2BTest_C</t>
  </si>
  <si>
    <t>MBC_T</t>
  </si>
  <si>
    <t>Substract induced respiration of treatment (mean value)</t>
  </si>
  <si>
    <t>Substract induced respiration of control (mean value)</t>
  </si>
  <si>
    <t>CO2 burst test respiration of treatment (mean value)</t>
  </si>
  <si>
    <t>CO2 burst test respiration respiration of control (mean value)</t>
  </si>
  <si>
    <t>Microbe Biomass Carbon of treatment (mean value)</t>
  </si>
  <si>
    <t>Microbe Biomass Carbon of control (mean value)</t>
  </si>
  <si>
    <t>Field satuted hydrolic conductivity of treatment (mean value)</t>
  </si>
  <si>
    <t>Field satuted hydrolic conductivity of control (mean value)</t>
  </si>
  <si>
    <t>StudyID</t>
  </si>
  <si>
    <t>Abawi</t>
  </si>
  <si>
    <t>G.S.</t>
  </si>
  <si>
    <t>Applied Soil Ecology</t>
  </si>
  <si>
    <t>New York</t>
  </si>
  <si>
    <t>Alfalfa</t>
  </si>
  <si>
    <t>Ryegrass</t>
  </si>
  <si>
    <t>Wheat</t>
  </si>
  <si>
    <t>Rapeseed</t>
  </si>
  <si>
    <t>TimeAfterCoverCrop</t>
  </si>
  <si>
    <t>Fallow</t>
  </si>
  <si>
    <t>Root diseases determined by root rot, ranged from 1(no root rot observed) to 9 (80% roots infected)</t>
  </si>
  <si>
    <t>SandPerc</t>
  </si>
  <si>
    <t>SiltPerc</t>
  </si>
  <si>
    <t>Percentage of sand</t>
  </si>
  <si>
    <t>Percentage of silt</t>
  </si>
  <si>
    <t>Bandic</t>
  </si>
  <si>
    <t>Anna</t>
  </si>
  <si>
    <t>Soil Biology and Biochemistry</t>
  </si>
  <si>
    <t xml:space="preserve">North  Willamette  Research  and Extension  Center,  Aurora,  Oregon </t>
  </si>
  <si>
    <t>Units: m</t>
  </si>
  <si>
    <t>Vegetable crop rotation</t>
  </si>
  <si>
    <t>Rye</t>
  </si>
  <si>
    <t>Corn</t>
  </si>
  <si>
    <t xml:space="preserve"> Mediterranean</t>
  </si>
  <si>
    <t>Units: mm</t>
  </si>
  <si>
    <t>Blackshaw</t>
  </si>
  <si>
    <t>R.E.</t>
  </si>
  <si>
    <t xml:space="preserve">Crop Protection </t>
  </si>
  <si>
    <t>Lethbridge, AB, Canada</t>
  </si>
  <si>
    <t>Loam</t>
  </si>
  <si>
    <t>ExperimentDesign</t>
  </si>
  <si>
    <t>RCBD</t>
  </si>
  <si>
    <t>Others</t>
  </si>
  <si>
    <t>No herbicide</t>
  </si>
  <si>
    <t>With herbicide</t>
  </si>
  <si>
    <t>Weed_T</t>
  </si>
  <si>
    <t>Weed_C</t>
  </si>
  <si>
    <t>Weed of treatment (mean value)</t>
  </si>
  <si>
    <t>Weed of control (mean value)</t>
  </si>
  <si>
    <t>Blanco-Canqui</t>
  </si>
  <si>
    <t>Humberto</t>
  </si>
  <si>
    <t>Soil and Water Management and Conservation</t>
  </si>
  <si>
    <t>Hesston,  KS</t>
  </si>
  <si>
    <t>MBC_C</t>
  </si>
  <si>
    <t>Organic Matter</t>
  </si>
  <si>
    <t>cm</t>
  </si>
  <si>
    <t>No tillage</t>
  </si>
  <si>
    <t>Wheat-grain sorghum rotation</t>
  </si>
  <si>
    <t>Soybean</t>
  </si>
  <si>
    <t>Hemp</t>
  </si>
  <si>
    <t>No cover crop</t>
  </si>
  <si>
    <t>0 kg N per ha</t>
  </si>
  <si>
    <t>66 kg N per ha</t>
  </si>
  <si>
    <t>SOC</t>
  </si>
  <si>
    <t>%</t>
  </si>
  <si>
    <t>g/kg</t>
  </si>
  <si>
    <t xml:space="preserve"> Garden City, KS</t>
  </si>
  <si>
    <t>Subplot, Cover</t>
  </si>
  <si>
    <t>Subplot, Hayed</t>
  </si>
  <si>
    <t>1 g/kg = 0.1 %</t>
  </si>
  <si>
    <t>Sediment loess</t>
  </si>
  <si>
    <t>Bloszies</t>
  </si>
  <si>
    <t>Sean Alaric</t>
  </si>
  <si>
    <t>PhD Dissertation</t>
  </si>
  <si>
    <t xml:space="preserve"> Split-split-plot RCBD</t>
  </si>
  <si>
    <t>Loamy sand</t>
  </si>
  <si>
    <t>Conventional disk tillage</t>
  </si>
  <si>
    <t>No</t>
  </si>
  <si>
    <t>g/m2</t>
  </si>
  <si>
    <t>kg/ha</t>
  </si>
  <si>
    <t>1 g/m² x 1 kg/1000 g x 10000 m²/ha = 10 kg/ha = 10 kg/hm2</t>
  </si>
  <si>
    <t>Mg / ha</t>
  </si>
  <si>
    <t>1 Mg = 1000000 g = 1000 kg/ha</t>
  </si>
  <si>
    <t>more</t>
  </si>
  <si>
    <t>Aggregate mean weight diameter (mm)</t>
  </si>
  <si>
    <t>SamplingYear</t>
  </si>
  <si>
    <t>Bottomley</t>
  </si>
  <si>
    <t>P.J.</t>
  </si>
  <si>
    <t>Aurora, OR</t>
  </si>
  <si>
    <t>SoilpH</t>
  </si>
  <si>
    <t>SoilTC</t>
  </si>
  <si>
    <t>SoilKsat</t>
  </si>
  <si>
    <t>Soil pH</t>
  </si>
  <si>
    <t>Soil Ksat</t>
  </si>
  <si>
    <t>Unit</t>
  </si>
  <si>
    <t>mg CO2 kg−1 soil d−1</t>
  </si>
  <si>
    <t>1 mg = 22.7273 mu mol</t>
  </si>
  <si>
    <t>Brainard</t>
  </si>
  <si>
    <t>D.C.</t>
  </si>
  <si>
    <t>Agriculture, Ecosystems and Environment</t>
  </si>
  <si>
    <t>Benton Harbor MI USA</t>
  </si>
  <si>
    <t>May</t>
  </si>
  <si>
    <t>Sand</t>
  </si>
  <si>
    <t>Sweet corn ratation with broccoli</t>
  </si>
  <si>
    <t>NPK fertilization</t>
  </si>
  <si>
    <t>Hiniker1 Model 6000 two-row strip-tiller tillage</t>
  </si>
  <si>
    <t>Rotation with sweet corn</t>
  </si>
  <si>
    <t>t/ha</t>
  </si>
  <si>
    <t>Bruce</t>
  </si>
  <si>
    <t>R.R.</t>
  </si>
  <si>
    <t>Watkinsville, GA</t>
  </si>
  <si>
    <r>
      <t>Soil Science Society of America Journal</t>
    </r>
    <r>
      <rPr>
        <sz val="10"/>
        <color rgb="FFFF0000"/>
        <rFont val="Arial"/>
        <family val="2"/>
      </rPr>
      <t> </t>
    </r>
  </si>
  <si>
    <t>March</t>
  </si>
  <si>
    <t>E1, slightly erosion</t>
  </si>
  <si>
    <t>E2, Moderately erosion</t>
  </si>
  <si>
    <t>E3, Severely erosion</t>
  </si>
  <si>
    <t>Fertilization_T</t>
  </si>
  <si>
    <t>Fertilization_C</t>
  </si>
  <si>
    <t>No-tillage</t>
  </si>
  <si>
    <t xml:space="preserve"> Disk-harrowed seedbed</t>
  </si>
  <si>
    <t>Sorghum</t>
  </si>
  <si>
    <t>Bulan</t>
  </si>
  <si>
    <t>Mary T. Saunders</t>
  </si>
  <si>
    <t>Weed Science</t>
  </si>
  <si>
    <t xml:space="preserve"> University of Wisconsin West Madison Agricultural Research Station</t>
  </si>
  <si>
    <t xml:space="preserve"> University of Wisconsin Arlington Agricultural Research Station</t>
  </si>
  <si>
    <t>July</t>
  </si>
  <si>
    <t>August</t>
  </si>
  <si>
    <t>September</t>
  </si>
  <si>
    <t>Vegetable</t>
  </si>
  <si>
    <t>Buckwheat</t>
  </si>
  <si>
    <t>Conventional tillage</t>
  </si>
  <si>
    <t>N_C</t>
  </si>
  <si>
    <t>N_T</t>
  </si>
  <si>
    <t>TN</t>
  </si>
  <si>
    <t>Weed-free and weedy aggregated</t>
  </si>
  <si>
    <t>Buyer</t>
  </si>
  <si>
    <t>Jeffrey S.</t>
  </si>
  <si>
    <t>Bare</t>
  </si>
  <si>
    <t xml:space="preserve"> Beltsville, Maryland</t>
  </si>
  <si>
    <t>Sandy loam</t>
  </si>
  <si>
    <t>Lime and nutrients were applied</t>
  </si>
  <si>
    <t>Tomato</t>
  </si>
  <si>
    <t>Vetch</t>
  </si>
  <si>
    <t>n mol / g</t>
  </si>
  <si>
    <t xml:space="preserve">SIR or CO2 Burst Test </t>
  </si>
  <si>
    <t>mg kg-1 soil</t>
  </si>
  <si>
    <t>Conversions from these units to umol CO2/m2/s:</t>
  </si>
  <si>
    <t>Conversion_factor</t>
    <phoneticPr fontId="0" type="noConversion"/>
  </si>
  <si>
    <t>Sample_flux</t>
    <phoneticPr fontId="0" type="noConversion"/>
  </si>
  <si>
    <t>Flux_umol CO2/m2/s</t>
  </si>
  <si>
    <t>g C/m2/day</t>
    <phoneticPr fontId="0" type="noConversion"/>
  </si>
  <si>
    <t>g C/m2/hr</t>
    <phoneticPr fontId="0" type="noConversion"/>
  </si>
  <si>
    <t>g C/m2/yr</t>
    <phoneticPr fontId="0" type="noConversion"/>
  </si>
  <si>
    <t>g CO2/m2/day</t>
    <phoneticPr fontId="0" type="noConversion"/>
  </si>
  <si>
    <t>g CO2/m2/hr</t>
    <phoneticPr fontId="0" type="noConversion"/>
  </si>
  <si>
    <t>mg C/m2/day</t>
    <phoneticPr fontId="0" type="noConversion"/>
  </si>
  <si>
    <t>mg C/m2/hr</t>
    <phoneticPr fontId="0" type="noConversion"/>
  </si>
  <si>
    <t>mg CO2/m2/day</t>
    <phoneticPr fontId="0" type="noConversion"/>
  </si>
  <si>
    <t>mg CO2/m2/hr</t>
    <phoneticPr fontId="0" type="noConversion"/>
  </si>
  <si>
    <t>mmol CO2/m2/day</t>
    <phoneticPr fontId="0" type="noConversion"/>
  </si>
  <si>
    <t>mmol CO2/m2/hr</t>
    <phoneticPr fontId="0" type="noConversion"/>
  </si>
  <si>
    <t>mmol CO2/m2/s</t>
    <phoneticPr fontId="0" type="noConversion"/>
  </si>
  <si>
    <t>mol C/m2/yr</t>
    <phoneticPr fontId="0" type="noConversion"/>
  </si>
  <si>
    <t>umol CO2/m2/s</t>
    <phoneticPr fontId="0" type="noConversion"/>
  </si>
  <si>
    <t>Campbell</t>
  </si>
  <si>
    <t>R.B.</t>
  </si>
  <si>
    <t>Soil and tillage research</t>
  </si>
  <si>
    <t xml:space="preserve">Standing residues </t>
  </si>
  <si>
    <t>76-cm row spacing</t>
  </si>
  <si>
    <t>97-cm row spacing</t>
  </si>
  <si>
    <t>DE vs HE</t>
  </si>
  <si>
    <t>DL vs HL</t>
  </si>
  <si>
    <t>Darlington  County  South  Carolina</t>
  </si>
  <si>
    <t>Florence  of  South  Carolina</t>
  </si>
  <si>
    <t>C.A.</t>
  </si>
  <si>
    <t>Canadian  Journal Of Soil Science</t>
  </si>
  <si>
    <t>Indian Head,  Saskatchewan</t>
  </si>
  <si>
    <t>Sweetclover</t>
  </si>
  <si>
    <t>6 kg N per ha</t>
  </si>
  <si>
    <t>Fallow-Wheat at spring</t>
  </si>
  <si>
    <t>24 kg N per ha</t>
  </si>
  <si>
    <t>kg/ha/day</t>
  </si>
  <si>
    <t>SoilBD</t>
  </si>
  <si>
    <t>Bulk density</t>
  </si>
  <si>
    <t>1 kg=10^6 mg</t>
  </si>
  <si>
    <t>1627500 Kg when BD = 1.085 (Study No. 13)</t>
  </si>
  <si>
    <t>GM-(W)-W</t>
  </si>
  <si>
    <t>(GM)-W-W</t>
  </si>
  <si>
    <t>(F)-W-W-H-H-H</t>
  </si>
  <si>
    <t>F-W-W-(H)-H-H</t>
  </si>
  <si>
    <t>1 ha = 100*100*0.15*BD*1000 kg</t>
  </si>
  <si>
    <t>Microbial biomass N available</t>
  </si>
  <si>
    <t>Carr</t>
  </si>
  <si>
    <t>Patrick M.</t>
  </si>
  <si>
    <t>Dickinson, North Dakota</t>
  </si>
  <si>
    <t>Renewable Agriculture and Food Systems</t>
  </si>
  <si>
    <t>Disk</t>
  </si>
  <si>
    <t>Sweep</t>
  </si>
  <si>
    <t>Roller</t>
  </si>
  <si>
    <t>Duiker</t>
  </si>
  <si>
    <t>Sjoerd</t>
  </si>
  <si>
    <t>Agronomy Journal</t>
  </si>
  <si>
    <t>Rock Springs, Center County, PA</t>
  </si>
  <si>
    <t>71 kg N per ha</t>
  </si>
  <si>
    <t>Early plant</t>
  </si>
  <si>
    <t>Late plant</t>
  </si>
  <si>
    <t>Ess</t>
  </si>
  <si>
    <t>D.R.</t>
  </si>
  <si>
    <t>American Society of Agricultural Engineers</t>
  </si>
  <si>
    <t xml:space="preserve">Virginia Tech Whitethorne Research Farm </t>
  </si>
  <si>
    <t>Tilled to 0.3m</t>
  </si>
  <si>
    <t>Fertilized</t>
  </si>
  <si>
    <t>Fallow with herbicide</t>
  </si>
  <si>
    <t>Noncapillary porosity (%)</t>
  </si>
  <si>
    <t>Maximum dry density</t>
  </si>
  <si>
    <t>Finney</t>
  </si>
  <si>
    <t>Denise M.</t>
  </si>
  <si>
    <t>Larson Agricultural Research Center, Rock Springs, PA</t>
  </si>
  <si>
    <t>Oat–corn</t>
  </si>
  <si>
    <t xml:space="preserve"> 150 kg N per ha</t>
  </si>
  <si>
    <t>8CCa</t>
  </si>
  <si>
    <t>8CCb</t>
  </si>
  <si>
    <t>Potential leachable nitrate: kg No3-n per ha</t>
  </si>
  <si>
    <t>1 ha = Mg</t>
  </si>
  <si>
    <t>1 ha = Kg</t>
  </si>
  <si>
    <t>Chloroform fumigation±extraction method</t>
  </si>
  <si>
    <t>Sno.13</t>
  </si>
  <si>
    <t>Potentially mineralizable C</t>
  </si>
  <si>
    <t>Journal Of Soil And Water Conservation</t>
  </si>
  <si>
    <t>Other 6 microbial indicators available, fungal to bacterial available</t>
  </si>
  <si>
    <t>mu g C per g per day</t>
  </si>
  <si>
    <t>Hargrove</t>
  </si>
  <si>
    <t>W.L.</t>
  </si>
  <si>
    <t>Bledsoe Research Farm near Griffin, GA</t>
  </si>
  <si>
    <t>Split-split-plot RCBD</t>
  </si>
  <si>
    <t>0 N fertilization</t>
  </si>
  <si>
    <t>112 N fertilization</t>
  </si>
  <si>
    <t>0 Kg N per ha</t>
  </si>
  <si>
    <t>112 Kg N per ha</t>
  </si>
  <si>
    <t>Year and soil depth interaction not valid</t>
  </si>
  <si>
    <t>1 dag = 0.1 g</t>
  </si>
  <si>
    <t>%=0.01g/g</t>
  </si>
  <si>
    <t>10mg/g</t>
  </si>
  <si>
    <t>10000 mg / kg</t>
  </si>
  <si>
    <t>Nitrate-nitrogen in ppm</t>
  </si>
  <si>
    <t>PPM</t>
  </si>
  <si>
    <t>ppm=0.0001%</t>
  </si>
  <si>
    <t>Soil inorganic N</t>
  </si>
  <si>
    <t>Units of N need check</t>
  </si>
  <si>
    <t>Inorganic N available</t>
  </si>
  <si>
    <t>Michigan State University Horticulture Teaching and Research Center in Holt, MI</t>
  </si>
  <si>
    <t>Hayden</t>
  </si>
  <si>
    <t>Zachary</t>
  </si>
  <si>
    <t>Crop Ecology and Physiology</t>
  </si>
  <si>
    <t>Control set as 100, no units</t>
  </si>
  <si>
    <t>Hinds</t>
  </si>
  <si>
    <t>Jermaine</t>
  </si>
  <si>
    <t>Crop Protection</t>
  </si>
  <si>
    <t>5-10-10(N-P-K)</t>
  </si>
  <si>
    <t>UM, Research and Education Center in Upper Marlboro, MD</t>
  </si>
  <si>
    <t>QT, Research and Education Center in Upper Marlboro, MD</t>
  </si>
  <si>
    <t>Diseases_T</t>
  </si>
  <si>
    <t>Diseases_C</t>
  </si>
  <si>
    <t>Beetles per plant</t>
  </si>
  <si>
    <t>Spots cucumber beetles, spider number available</t>
  </si>
  <si>
    <t>Zucchini</t>
  </si>
  <si>
    <t>Organic fertilizer</t>
  </si>
  <si>
    <t>Synthetic fertilizer</t>
  </si>
  <si>
    <t>Nematode enrichment</t>
  </si>
  <si>
    <t>Other nematode indicators available</t>
  </si>
  <si>
    <t>Biological Agriculture and Horticulture</t>
  </si>
  <si>
    <t>29 days</t>
  </si>
  <si>
    <t>Journal of Nematology</t>
  </si>
  <si>
    <t>Hubbard</t>
  </si>
  <si>
    <t>Robert K.</t>
  </si>
  <si>
    <t>Tifton, GA</t>
  </si>
  <si>
    <t>Conservation tillage</t>
  </si>
  <si>
    <t>Rotation with cover crop</t>
  </si>
  <si>
    <t>133 Kg N per ha</t>
  </si>
  <si>
    <t>67 Kg N per ha</t>
  </si>
  <si>
    <t>mg/g</t>
  </si>
  <si>
    <t>Idowu</t>
  </si>
  <si>
    <t>Q.J.</t>
  </si>
  <si>
    <t>Bean–beet–sweet corn–cabbage–bean</t>
  </si>
  <si>
    <t>Bean–ﬁeld corn–clover/grain–sweet corn–bean</t>
  </si>
  <si>
    <t>Four sites averaged</t>
  </si>
  <si>
    <t>No tillage, plow-till, and zone tillage</t>
  </si>
  <si>
    <t>AWC</t>
  </si>
  <si>
    <t>Active carbon</t>
  </si>
  <si>
    <t>Mg, Fe, Zn, CSHI available</t>
  </si>
  <si>
    <t>Jani</t>
  </si>
  <si>
    <t>Arun D.</t>
  </si>
  <si>
    <t>Goldsboro</t>
  </si>
  <si>
    <t xml:space="preserve">Kinston </t>
  </si>
  <si>
    <t>Conventional tillage,Disked</t>
  </si>
  <si>
    <t>Pea</t>
  </si>
  <si>
    <t>Clover</t>
  </si>
  <si>
    <t>0 week</t>
  </si>
  <si>
    <t>2 week</t>
  </si>
  <si>
    <t>4 week</t>
  </si>
  <si>
    <t>6 week</t>
  </si>
  <si>
    <t>8 week</t>
  </si>
  <si>
    <t>12 week</t>
  </si>
  <si>
    <t>16 week</t>
  </si>
  <si>
    <t>Conventional tillage,Roller Crimped</t>
  </si>
  <si>
    <t>NH4-NO3</t>
  </si>
  <si>
    <t>Disked</t>
  </si>
  <si>
    <t>Roller Crimping</t>
  </si>
  <si>
    <t>N release dynamic indicator available</t>
  </si>
  <si>
    <t>Jernigan</t>
  </si>
  <si>
    <t>Ashley B.</t>
  </si>
  <si>
    <t>Weed Science Society of America</t>
  </si>
  <si>
    <t>Freeville, NY</t>
  </si>
  <si>
    <t>Rotated with 6 cash crops</t>
  </si>
  <si>
    <t>Compost</t>
  </si>
  <si>
    <t>Jiang</t>
  </si>
  <si>
    <t>P.</t>
  </si>
  <si>
    <t>SSSA</t>
  </si>
  <si>
    <t>Centrralia in Missouri</t>
  </si>
  <si>
    <t>Silt</t>
  </si>
  <si>
    <t>Corn-soybean-wheat rotation</t>
  </si>
  <si>
    <t>multch tillage</t>
  </si>
  <si>
    <t>150 kg N per ha</t>
  </si>
  <si>
    <t>190 kg N per ha</t>
  </si>
  <si>
    <t>0.01  Kpa</t>
  </si>
  <si>
    <t>Macro porse</t>
  </si>
  <si>
    <t>William E.</t>
  </si>
  <si>
    <t>Prairie du Sac, WI</t>
  </si>
  <si>
    <t>Forage</t>
  </si>
  <si>
    <t>No-cover, manured</t>
  </si>
  <si>
    <t>No-cover, N ferterlized</t>
  </si>
  <si>
    <t>Active C</t>
  </si>
  <si>
    <t>Water-stable macroaggregates</t>
  </si>
  <si>
    <t>SQI available</t>
  </si>
  <si>
    <t>Total microbial Biomass</t>
  </si>
  <si>
    <t>Diff</t>
  </si>
  <si>
    <t>Joyce</t>
  </si>
  <si>
    <t>B.A.</t>
  </si>
  <si>
    <t xml:space="preserve">American Society of Agricultural Engineers </t>
  </si>
  <si>
    <t>Agronomy Farm at the University of California</t>
  </si>
  <si>
    <t>Tomato-Safflower-Corn-Bean Rotation</t>
  </si>
  <si>
    <t>Low input</t>
  </si>
  <si>
    <t>Organic</t>
  </si>
  <si>
    <t>VMW</t>
  </si>
  <si>
    <t>Runoff of precipitation (%)</t>
  </si>
  <si>
    <t>Hydrolic conductivity</t>
  </si>
  <si>
    <t>Kabir</t>
  </si>
  <si>
    <t>Z.</t>
  </si>
  <si>
    <t xml:space="preserve">Agriculture, Ecosystems and Environment </t>
  </si>
  <si>
    <t>Silty loam</t>
  </si>
  <si>
    <t>Dandelion</t>
  </si>
  <si>
    <t>8 days</t>
  </si>
  <si>
    <t>25 days</t>
  </si>
  <si>
    <t>54 days</t>
  </si>
  <si>
    <t>% root affected by Mycorrhizal</t>
  </si>
  <si>
    <t>Shoot biomass:g per plant</t>
  </si>
  <si>
    <t>450 kg N per ha</t>
  </si>
  <si>
    <t>Kaspar</t>
  </si>
  <si>
    <t>T.C.</t>
  </si>
  <si>
    <t>Boone County, IA</t>
  </si>
  <si>
    <t>Corn, Soy bean Rotation</t>
  </si>
  <si>
    <t>Light tillage</t>
  </si>
  <si>
    <t>Gamagrass</t>
  </si>
  <si>
    <t>Plant N indicator available</t>
  </si>
  <si>
    <t>Inorganic N</t>
  </si>
  <si>
    <t>N concentration in runoff (mg N per L)</t>
  </si>
  <si>
    <t>Keene</t>
  </si>
  <si>
    <t>C.L.</t>
  </si>
  <si>
    <t>Crop Economics, Production and Management</t>
  </si>
  <si>
    <t>Reduced or no tillage</t>
  </si>
  <si>
    <t>Kladivko</t>
  </si>
  <si>
    <t>E.J.</t>
  </si>
  <si>
    <t>Journal of environmental quality</t>
  </si>
  <si>
    <t>SouthEastern Purdue Agricultural, Indiana</t>
  </si>
  <si>
    <t>285 kg N per ha</t>
  </si>
  <si>
    <t>177 kg N per ha</t>
  </si>
  <si>
    <t>Chisel</t>
  </si>
  <si>
    <t>5 m drain space</t>
  </si>
  <si>
    <t>10 m drain space</t>
  </si>
  <si>
    <t>20 m drain space</t>
  </si>
  <si>
    <t>Kong</t>
  </si>
  <si>
    <t xml:space="preserve">Angela Y.Y. </t>
  </si>
  <si>
    <t>Long-term Research on Agricultural Systems</t>
  </si>
  <si>
    <t>Mediterranean</t>
  </si>
  <si>
    <t>CRD</t>
  </si>
  <si>
    <t>170 kg N, 51 kg N-P-K per ha</t>
  </si>
  <si>
    <t>Conventional</t>
  </si>
  <si>
    <t>Root C release</t>
  </si>
  <si>
    <t>373 kg composed N per ha</t>
  </si>
  <si>
    <t>69 days</t>
  </si>
  <si>
    <t>100 days</t>
  </si>
  <si>
    <t>154 days</t>
  </si>
  <si>
    <t>Langdale</t>
  </si>
  <si>
    <t>G.W.</t>
  </si>
  <si>
    <t>Soil Technology</t>
  </si>
  <si>
    <t xml:space="preserve"> Watkinsville, Georgia</t>
  </si>
  <si>
    <t>No-tilling</t>
  </si>
  <si>
    <t>70 Kg N per ha</t>
  </si>
  <si>
    <t>115 Kg N per ha</t>
  </si>
  <si>
    <t>45 Kg N per ha</t>
  </si>
  <si>
    <t>Fert_Diff</t>
  </si>
  <si>
    <t>Yes</t>
  </si>
  <si>
    <t>Rainfed, sligh erosion level</t>
  </si>
  <si>
    <t>Rainfed, moderate erosion level</t>
  </si>
  <si>
    <t>Rainfed, severe erosion level</t>
  </si>
  <si>
    <t>Irrigated, sligh erosion level</t>
  </si>
  <si>
    <t>Irrigated, moderate erosion level</t>
  </si>
  <si>
    <t>Irrigated, severe erosion level</t>
  </si>
  <si>
    <t>Sligh erosion level</t>
  </si>
  <si>
    <t>Moderate erosion level</t>
  </si>
  <si>
    <t>Severe erosion level</t>
  </si>
  <si>
    <t>Total Kjeldahl Nitrogen</t>
  </si>
  <si>
    <t>Air dry soil pass sieve</t>
  </si>
  <si>
    <t>Runoff(%)</t>
  </si>
  <si>
    <t>Lehman</t>
  </si>
  <si>
    <t>R.Michael</t>
  </si>
  <si>
    <t>Brookings, South Dakota</t>
  </si>
  <si>
    <t>Sandy clay loam</t>
  </si>
  <si>
    <t>November</t>
  </si>
  <si>
    <t>Oat</t>
  </si>
  <si>
    <t>Slit tillage</t>
  </si>
  <si>
    <t>Arbuscular mycorrrhizal fungi (AMF)</t>
  </si>
  <si>
    <t>Canola</t>
  </si>
  <si>
    <t>Liebig</t>
  </si>
  <si>
    <t>M.</t>
  </si>
  <si>
    <t>Akron, CO</t>
  </si>
  <si>
    <t>Millet</t>
  </si>
  <si>
    <t>Varied N</t>
  </si>
  <si>
    <t>Brookings, SD</t>
  </si>
  <si>
    <t>Chisel plow and disk</t>
  </si>
  <si>
    <t>Rotation_T</t>
  </si>
  <si>
    <t>Rotation_C</t>
  </si>
  <si>
    <t>Rotation_Diff</t>
  </si>
  <si>
    <t>Tillage_T</t>
  </si>
  <si>
    <t>Tillage_C</t>
  </si>
  <si>
    <t>Tillage_Diff</t>
  </si>
  <si>
    <t>Type of tillage for cover crop</t>
  </si>
  <si>
    <t>Type of tillage for control</t>
  </si>
  <si>
    <t>High N</t>
  </si>
  <si>
    <t>Bushland, TX</t>
  </si>
  <si>
    <t>WW-C-M</t>
  </si>
  <si>
    <t>C-SB-SW</t>
  </si>
  <si>
    <t>C-C</t>
  </si>
  <si>
    <t>WW-SO-F</t>
  </si>
  <si>
    <t>WW-WW</t>
  </si>
  <si>
    <t>Fargo, ND</t>
  </si>
  <si>
    <t>Silty clay</t>
  </si>
  <si>
    <t>DW-P</t>
  </si>
  <si>
    <t>Fall plow</t>
  </si>
  <si>
    <t>Mandan, ND</t>
  </si>
  <si>
    <t>Sunflower</t>
  </si>
  <si>
    <t>SW-F</t>
  </si>
  <si>
    <t>SW-WW-SU</t>
  </si>
  <si>
    <t>Medium</t>
  </si>
  <si>
    <t>Mead, NE</t>
  </si>
  <si>
    <t>C-SB-SO-OCL</t>
  </si>
  <si>
    <t>High</t>
  </si>
  <si>
    <t>Sidney, MT</t>
  </si>
  <si>
    <t>SW-SW</t>
  </si>
  <si>
    <t>Tandem disk</t>
  </si>
  <si>
    <t>Swift Current, SK</t>
  </si>
  <si>
    <t>Lentil</t>
  </si>
  <si>
    <t>SW-L</t>
  </si>
  <si>
    <t>Chisel plow and harrow</t>
  </si>
  <si>
    <t>Type of rotation/crop sequence for cover crop treatment</t>
  </si>
  <si>
    <t>Type of rotation/crop sequence for control</t>
  </si>
  <si>
    <t>WW-F</t>
  </si>
  <si>
    <t>qCO2,mg CO2 per mg MBC</t>
  </si>
  <si>
    <t>kg per ha</t>
  </si>
  <si>
    <t>Marriott</t>
  </si>
  <si>
    <t xml:space="preserve">Emily E. </t>
  </si>
  <si>
    <t>Composed mannure 4480 kg per ha</t>
  </si>
  <si>
    <t>170 Kg N per ha</t>
  </si>
  <si>
    <t>Chisel plow</t>
  </si>
  <si>
    <t>C-CC-C-AR-SB-W-RC</t>
  </si>
  <si>
    <t>CC-SB-W</t>
  </si>
  <si>
    <t>Legume</t>
  </si>
  <si>
    <t>Control vs M</t>
  </si>
  <si>
    <t>Control vs L</t>
  </si>
  <si>
    <t>Paper's ID number</t>
  </si>
  <si>
    <t>Mbuthia</t>
  </si>
  <si>
    <t>Lilian Wanjiru</t>
  </si>
  <si>
    <t>Everage of 31 years data</t>
  </si>
  <si>
    <t>Cotton</t>
  </si>
  <si>
    <t>Total bacterial</t>
  </si>
  <si>
    <t>Tillage</t>
  </si>
  <si>
    <t>1 ha = 100*100*0.075*1.4Mg</t>
  </si>
  <si>
    <t>No40</t>
  </si>
  <si>
    <t>MG</t>
  </si>
  <si>
    <t>kg</t>
  </si>
  <si>
    <t>McCracken</t>
  </si>
  <si>
    <t xml:space="preserve">Daniel V.  </t>
  </si>
  <si>
    <t xml:space="preserve">West Tennessee Research and Education Center </t>
  </si>
  <si>
    <t>Kentucky Agricultural Experiment  Station  Farm near Lexington</t>
  </si>
  <si>
    <t>NH4-N discharge (%)</t>
  </si>
  <si>
    <t>June</t>
  </si>
  <si>
    <t>Augest</t>
  </si>
  <si>
    <t>October</t>
  </si>
  <si>
    <t>December</t>
  </si>
  <si>
    <t xml:space="preserve">April </t>
  </si>
  <si>
    <t>Suptember</t>
  </si>
  <si>
    <t>January</t>
  </si>
  <si>
    <t>February</t>
  </si>
  <si>
    <t>McVay</t>
  </si>
  <si>
    <t xml:space="preserve">K. A. </t>
  </si>
  <si>
    <t>Clay Loam</t>
  </si>
  <si>
    <t>Valley  location, Georgia</t>
  </si>
  <si>
    <t>Coastal  Plain, Altamaha, upper Coastal  Plain of Georgia</t>
  </si>
  <si>
    <t>&gt;250 mum (%)</t>
  </si>
  <si>
    <t>SQI, Ca, Mg, MBN and MBC/N indicators available</t>
  </si>
  <si>
    <t>Ca,Mg,Al,Mn available</t>
  </si>
  <si>
    <t>Varied</t>
  </si>
  <si>
    <t>CCTermination</t>
  </si>
  <si>
    <t>Mendes</t>
  </si>
  <si>
    <t xml:space="preserve">I. C. </t>
  </si>
  <si>
    <t>Sweet corn and broccoli</t>
  </si>
  <si>
    <t>Cereal</t>
  </si>
  <si>
    <t>TC</t>
  </si>
  <si>
    <t>Kjeldahl N (TKN)</t>
  </si>
  <si>
    <t>SMBC</t>
  </si>
  <si>
    <t>mu g n gdw soil per week?</t>
  </si>
  <si>
    <t>beta-Glucoside activity</t>
  </si>
  <si>
    <t>Fluorescein diacetate hydrolysis (FDA),distribution of TOC,TNC,and emzyme activity indicator available</t>
  </si>
  <si>
    <t>Ndiaye</t>
  </si>
  <si>
    <t xml:space="preserve">E.L. </t>
  </si>
  <si>
    <t>American Journal of Alternative Agriculture</t>
  </si>
  <si>
    <t>Silverton(OF), Oregon</t>
  </si>
  <si>
    <t>Salem(OF), Oregon</t>
  </si>
  <si>
    <t>Gervais(OF), Oregon</t>
  </si>
  <si>
    <t>Molalla(OF), Oregon-122.577</t>
  </si>
  <si>
    <t>NWREC(R), Oregon</t>
  </si>
  <si>
    <t>Southern Willamette Valley, VF(R), Oregon</t>
  </si>
  <si>
    <t>Cauliflower</t>
  </si>
  <si>
    <t>Broccoli</t>
  </si>
  <si>
    <t>Mixed</t>
  </si>
  <si>
    <t>Corn-Cauliflower</t>
  </si>
  <si>
    <t>Corn-corn</t>
  </si>
  <si>
    <t>Corn-grass</t>
  </si>
  <si>
    <t>Broccoli-Corn</t>
  </si>
  <si>
    <t>Corn-Bean</t>
  </si>
  <si>
    <t>Ca</t>
  </si>
  <si>
    <t>c mol / kg</t>
  </si>
  <si>
    <t>mg CO2/m2/s</t>
  </si>
  <si>
    <t>1mg=0.001 g</t>
  </si>
  <si>
    <t>1 mu mol = 1/1000000 mol</t>
  </si>
  <si>
    <t>K need *39</t>
  </si>
  <si>
    <t>1 nmol = 1/1000000000 mol</t>
  </si>
  <si>
    <t>1mol=12g</t>
  </si>
  <si>
    <t>1 cmol = 0.01 mol</t>
  </si>
  <si>
    <t>No29</t>
  </si>
  <si>
    <t>1 ha = 1627.5Mg</t>
  </si>
  <si>
    <t>mu mol CO2 /kg soil/ d</t>
  </si>
  <si>
    <t>1 mu mol=1/1000000 mol</t>
  </si>
  <si>
    <t>1 nmol=1/1000000000 mol * 44 g/mol</t>
  </si>
  <si>
    <t>Canopy closure</t>
  </si>
  <si>
    <t>Spring</t>
  </si>
  <si>
    <t>Harvest</t>
  </si>
  <si>
    <t>mu g g-1 soil</t>
  </si>
  <si>
    <t>Cotton stip decomposition indicator available</t>
  </si>
  <si>
    <t>Nielsen</t>
  </si>
  <si>
    <t>David C.</t>
  </si>
  <si>
    <t>Sweep tillage</t>
  </si>
  <si>
    <t>1.1 Kg N-P per ha</t>
  </si>
  <si>
    <t>mm</t>
  </si>
  <si>
    <t>J.K.</t>
  </si>
  <si>
    <t>ODea</t>
  </si>
  <si>
    <t>Big Sandy site, north-central Montan</t>
  </si>
  <si>
    <t>Box elder site, north-central Montan</t>
  </si>
  <si>
    <t>Joplin, north-central Montan</t>
  </si>
  <si>
    <t>Sunburst site, north-central Montan</t>
  </si>
  <si>
    <t>Oilmont site, north-central Montan</t>
  </si>
  <si>
    <t>Clay loam</t>
  </si>
  <si>
    <t>Herbicide, June_18</t>
  </si>
  <si>
    <t>Herbicide, June_23</t>
  </si>
  <si>
    <t>Herbicide, June_26</t>
  </si>
  <si>
    <t>Herbicide, June_27</t>
  </si>
  <si>
    <t>Herbicide, July_9</t>
  </si>
  <si>
    <t>NO3-N+NH4-N, kg/ha</t>
  </si>
  <si>
    <t>NO3-N, kg/ha</t>
  </si>
  <si>
    <t>1/(Available Nitrogen Use Efficiency)</t>
  </si>
  <si>
    <t>Residue C, N returned available</t>
  </si>
  <si>
    <t>Osborne</t>
  </si>
  <si>
    <t xml:space="preserve">Shannon L. </t>
  </si>
  <si>
    <t>Bioenerg. Res.</t>
  </si>
  <si>
    <t>Corn-soybean</t>
  </si>
  <si>
    <t>Low residue romoval</t>
  </si>
  <si>
    <t>Medium residue romoval</t>
  </si>
  <si>
    <t>High residue romoval</t>
  </si>
  <si>
    <t>Quinn</t>
  </si>
  <si>
    <t>N.F.</t>
  </si>
  <si>
    <t>Environmental Entomology</t>
  </si>
  <si>
    <t>Harbor, MI</t>
  </si>
  <si>
    <t xml:space="preserve"> 86.25 N-P-K- kg per ha</t>
  </si>
  <si>
    <t>Herbicide, Glyphosate, clomazone etc</t>
  </si>
  <si>
    <t>Strip-tilled</t>
  </si>
  <si>
    <t>full-tilled</t>
  </si>
  <si>
    <t>a</t>
  </si>
  <si>
    <t>b</t>
  </si>
  <si>
    <t>c</t>
  </si>
  <si>
    <t>d</t>
  </si>
  <si>
    <t>e</t>
  </si>
  <si>
    <t>f</t>
  </si>
  <si>
    <t>g</t>
  </si>
  <si>
    <t>h</t>
  </si>
  <si>
    <t>Number of arthropods (density activity)</t>
  </si>
  <si>
    <t>No. 46</t>
  </si>
  <si>
    <t>mm to VMW</t>
  </si>
  <si>
    <t>Notes2</t>
  </si>
  <si>
    <t>Microbe activity/Enzyme/nematode/earthwarm</t>
  </si>
  <si>
    <t>Termination</t>
  </si>
  <si>
    <t>Beetles as diseases</t>
  </si>
  <si>
    <t>Multiple rotation, tillage and fertilization</t>
  </si>
  <si>
    <t>Root infected by rot</t>
  </si>
  <si>
    <t>Disk vs crimping</t>
  </si>
  <si>
    <t>Runoff to erosion, hydrolic conductivity to Ks</t>
  </si>
  <si>
    <t>Other notes, comments 2</t>
  </si>
  <si>
    <t>Earthwarm, 4.75-2 mm water stable aggregates, percentage of soil remaining in sieves, other 5 indicator available</t>
  </si>
  <si>
    <t>Geometric mean Diameter of dry aggregates, water-stable, available</t>
  </si>
  <si>
    <t>Weed density, averaged from 5</t>
  </si>
  <si>
    <t>pests</t>
  </si>
  <si>
    <t>Active C to Cmin, root health to microAnimal, units for Nmin need check</t>
  </si>
  <si>
    <t>Root C release to CO2BTest</t>
  </si>
  <si>
    <t>Runoff (%)</t>
  </si>
  <si>
    <t>AMF as total microAnimal indicator</t>
  </si>
  <si>
    <t>MBN and MBC/SOC available, qCO2 as CO2 burst test indicator</t>
  </si>
  <si>
    <t>CF,OPOM,FPOM,CHF methods for Nmin, Cmin</t>
  </si>
  <si>
    <t>NH4-N discharg as erosion indicator</t>
  </si>
  <si>
    <t>mm for AWHC</t>
  </si>
  <si>
    <t xml:space="preserve">Authopods number to MicroAnimal </t>
  </si>
  <si>
    <t>Raper</t>
  </si>
  <si>
    <t>R.L.</t>
  </si>
  <si>
    <t>Applied Engineering in Agriculture</t>
  </si>
  <si>
    <t>Spring shallow</t>
  </si>
  <si>
    <t>Spring deep</t>
  </si>
  <si>
    <t>Autumn shallow</t>
  </si>
  <si>
    <t>Autumn deep</t>
  </si>
  <si>
    <t>Cone index for root penetration</t>
  </si>
  <si>
    <t>Rasse</t>
  </si>
  <si>
    <t>Daniel P.</t>
  </si>
  <si>
    <t>Environmental Quality</t>
  </si>
  <si>
    <t>Tennessee Valley Substation in Belle Mina, Alabama</t>
  </si>
  <si>
    <t>101 Kg N per ha</t>
  </si>
  <si>
    <t>202 Kg N per ha</t>
  </si>
  <si>
    <t>Ap</t>
  </si>
  <si>
    <t>Ap, Bt, C1 and C2</t>
  </si>
  <si>
    <t>Inorganic N, NH4-N</t>
  </si>
  <si>
    <t>Bt</t>
  </si>
  <si>
    <t>C1</t>
  </si>
  <si>
    <t>C2</t>
  </si>
  <si>
    <t>Total NO3-N leaching (kg per ha)</t>
  </si>
  <si>
    <t>Rivers</t>
  </si>
  <si>
    <t xml:space="preserve">Ariel </t>
  </si>
  <si>
    <t>Carabidae community species richness</t>
  </si>
  <si>
    <t>Ritter</t>
  </si>
  <si>
    <t xml:space="preserve">W.F. </t>
  </si>
  <si>
    <t>Journal of Contaminant Hydrology</t>
  </si>
  <si>
    <t>Poultry manure</t>
  </si>
  <si>
    <t>Composted poultry manure</t>
  </si>
  <si>
    <t>Commercial fertilizer</t>
  </si>
  <si>
    <t>OC_Comments</t>
  </si>
  <si>
    <t>N_Comments</t>
  </si>
  <si>
    <t>P_Comments</t>
  </si>
  <si>
    <t>Aggre_Comments</t>
  </si>
  <si>
    <t>EC_Comments</t>
  </si>
  <si>
    <t>Infiltration_Comments</t>
  </si>
  <si>
    <t>Mass of N leached on lage plots (kg per ha)</t>
  </si>
  <si>
    <t>N concentration in drainage as prevent_erosion due to multiple erosion indicator available</t>
  </si>
  <si>
    <t>Sainju</t>
  </si>
  <si>
    <t>Upendra M.</t>
  </si>
  <si>
    <t>Europ. J. Agronomy</t>
  </si>
  <si>
    <t>Agricultural Research Station Farm, Georgia</t>
  </si>
  <si>
    <t>Strip tillage</t>
  </si>
  <si>
    <t>Chisel tillage</t>
  </si>
  <si>
    <t>60 Kg N per ha</t>
  </si>
  <si>
    <t>120 Kg N per ha</t>
  </si>
  <si>
    <t>65 Kg N per ha</t>
  </si>
  <si>
    <t>130 Kg N per ha</t>
  </si>
  <si>
    <t>Cotton-Sorghum</t>
  </si>
  <si>
    <t>Fallow and winter weeds</t>
  </si>
  <si>
    <t>Apr</t>
  </si>
  <si>
    <t>Nov</t>
  </si>
  <si>
    <t>Schipanski</t>
  </si>
  <si>
    <t>Meagan E.</t>
  </si>
  <si>
    <t>Agricultural Systems</t>
  </si>
  <si>
    <t>Soybean-wheat-corn</t>
  </si>
  <si>
    <t>Simulated 30-year period</t>
  </si>
  <si>
    <t>Ecosystem services, Simulated 30-year period</t>
  </si>
  <si>
    <t>Schutter</t>
  </si>
  <si>
    <t xml:space="preserve">M.E. </t>
  </si>
  <si>
    <t>NWREC</t>
  </si>
  <si>
    <t>Triticale</t>
  </si>
  <si>
    <t>Salem</t>
  </si>
  <si>
    <t>Silverton</t>
  </si>
  <si>
    <t>Biol Fertil Soils</t>
  </si>
  <si>
    <t>VRS, Vegetable Research Station, Corvallis,  Oregon</t>
  </si>
  <si>
    <t>Clay</t>
  </si>
  <si>
    <t>Sweetcorn</t>
  </si>
  <si>
    <t>Broccoli-Sweetcorn-Green bean</t>
  </si>
  <si>
    <t>Oat-common vetch-Green bean-Green bean</t>
  </si>
  <si>
    <t>Sweet corn and CC</t>
  </si>
  <si>
    <t>Cauliflower-Sweetcorn</t>
  </si>
  <si>
    <t>Nematodes biomass (mu g per g soil)</t>
  </si>
  <si>
    <t>Bacterial, fungal biomass available</t>
  </si>
  <si>
    <t>Greenbean</t>
  </si>
  <si>
    <t>Microbial fatty acid methyl esters (FAMEs)</t>
  </si>
  <si>
    <t>mg C per kg soil per 10 day</t>
  </si>
  <si>
    <t>Incubation in tube for 10 days at 25 C</t>
  </si>
  <si>
    <t>BiomassCashCrop_C</t>
  </si>
  <si>
    <t>BiomassCashCrop_T</t>
  </si>
  <si>
    <t>Yield_C</t>
  </si>
  <si>
    <t>Yield_T</t>
  </si>
  <si>
    <t>BD_Comments</t>
  </si>
  <si>
    <t>From CN ratio, t per ha of 15 cm soil</t>
  </si>
  <si>
    <t>pH_Comments</t>
  </si>
  <si>
    <t>Units (%), &lt; 0.84 mm aggregates</t>
  </si>
  <si>
    <t>Penetration_Comments</t>
  </si>
  <si>
    <t>CEC_Comments</t>
  </si>
  <si>
    <t>BS_Comments</t>
  </si>
  <si>
    <t>AWHC_Comments</t>
  </si>
  <si>
    <t>ST_Comments</t>
  </si>
  <si>
    <t>SWC_Comments</t>
  </si>
  <si>
    <t>Weed_Comments</t>
  </si>
  <si>
    <t>Diseases_Comments</t>
  </si>
  <si>
    <t>Cmina_Comments</t>
  </si>
  <si>
    <t>SIR_Comments</t>
  </si>
  <si>
    <t>CO2BTest_Comments</t>
  </si>
  <si>
    <t>MBC_Comments</t>
  </si>
  <si>
    <t>Nmina_Comments</t>
  </si>
  <si>
    <t>yield_Comments</t>
  </si>
  <si>
    <t>K_Coments</t>
  </si>
  <si>
    <t>Notes1</t>
  </si>
  <si>
    <t>Other notes, comments 1</t>
  </si>
  <si>
    <t>BiomassCashCrop_Comments</t>
  </si>
  <si>
    <t>Shoot dry weight (g)</t>
  </si>
  <si>
    <t>Scott</t>
  </si>
  <si>
    <t>H.D.</t>
  </si>
  <si>
    <t>Delta branch experiment station clarkedale</t>
  </si>
  <si>
    <t>Dubba-Dundee soil</t>
  </si>
  <si>
    <t>Lupine</t>
  </si>
  <si>
    <t>Arkansas agriculture experiment station bulletin</t>
  </si>
  <si>
    <t>448 (13-13-13)+112 NH4NO3 Kg per ha</t>
  </si>
  <si>
    <t>112 (13-13-13) Kg per ha</t>
  </si>
  <si>
    <t>336 (13-13-13) Kg per ha</t>
  </si>
  <si>
    <t>280 NH4NO3 Kg per ha</t>
  </si>
  <si>
    <t>280 (13-13-13)+112 NH4NO3 Kg per ha</t>
  </si>
  <si>
    <t>308 (13-13-13) Kg per ha</t>
  </si>
  <si>
    <t>140 NH4NO3+4 urea Kg per ha</t>
  </si>
  <si>
    <t>336 (13-13-13)+112 NH4NO3 Kg per ha</t>
  </si>
  <si>
    <t>190 (0-0-60)+112 NH4NO3 Kg per ha</t>
  </si>
  <si>
    <t>Soil properties indicator were 16 years average (set as 8)</t>
  </si>
  <si>
    <t>SWC(33)-SWC(1500)</t>
  </si>
  <si>
    <t>SWC(30)-SWC(1500)</t>
  </si>
  <si>
    <t>Infiltration rate of control (mean value), water</t>
  </si>
  <si>
    <t>Infiltration rate of treatment (mean value), water</t>
  </si>
  <si>
    <t>Penetration resistance of treatment (mean value), root</t>
  </si>
  <si>
    <t>Active C as Cmin, MBC to small, units convert?, We determined penetration resistance using a constant rate recording cone penetrometer with a cone base of 129 mm2 and a penetration rate of 8 mm s–1 (Lowery, 1986).</t>
  </si>
  <si>
    <t>Penetrometer resisteance (Fig 2)</t>
  </si>
  <si>
    <t>Cone index (Mpa), similar as studyID 29</t>
  </si>
  <si>
    <t>Capillary porosity as root penetration indicator</t>
  </si>
  <si>
    <t>Micro and macro porse, Macro porse as penetration indicator</t>
  </si>
  <si>
    <t>Staver</t>
  </si>
  <si>
    <t>K.W.</t>
  </si>
  <si>
    <t>Journal of  Soil  and Water  Conservation</t>
  </si>
  <si>
    <t>Winter CC</t>
  </si>
  <si>
    <t>TimeCC</t>
  </si>
  <si>
    <t>Time_CC</t>
  </si>
  <si>
    <t>OCT-10, Winter CC</t>
  </si>
  <si>
    <t>Time_Comments</t>
  </si>
  <si>
    <t>OCT-22, Winter CC</t>
  </si>
  <si>
    <t>Time of cover crop planted, winter or summer CC</t>
  </si>
  <si>
    <t>OCT-28, Winter CC</t>
  </si>
  <si>
    <t>OCT-6, Winter CC</t>
  </si>
  <si>
    <t>Sep-22, Winter CC</t>
  </si>
  <si>
    <t>Sep-28, Winter CC</t>
  </si>
  <si>
    <t>OCT-8, Winter CC</t>
  </si>
  <si>
    <t>OCT-7, Winter CC</t>
  </si>
  <si>
    <t>OCT-13, Winter CC</t>
  </si>
  <si>
    <t>OCT-1, Winter CC</t>
  </si>
  <si>
    <t>OCT-2, Winter CC</t>
  </si>
  <si>
    <t>OCT-27, Winter CC</t>
  </si>
  <si>
    <t>OCT</t>
  </si>
  <si>
    <t>DEC</t>
  </si>
  <si>
    <t>Jan</t>
  </si>
  <si>
    <t>Jun</t>
  </si>
  <si>
    <t>Sep</t>
  </si>
  <si>
    <t>Oct</t>
  </si>
  <si>
    <t>Aug</t>
  </si>
  <si>
    <t>Soil-nitrate-N</t>
  </si>
  <si>
    <t>Queen Annes County, Maryland</t>
  </si>
  <si>
    <t>Stover (kg per ha)</t>
  </si>
  <si>
    <t>156 kg N per ha</t>
  </si>
  <si>
    <t>Units varied</t>
  </si>
  <si>
    <t>Leachate Nitrate-N (mg per l)</t>
  </si>
  <si>
    <t>Steele</t>
  </si>
  <si>
    <t>M.K.</t>
  </si>
  <si>
    <t>Coastal  Plain, Maryland (Site 2)</t>
  </si>
  <si>
    <t>Piedmont, Maryland (Site 3)</t>
  </si>
  <si>
    <t>According to University of Maryland extension recommendation</t>
  </si>
  <si>
    <t>Season</t>
  </si>
  <si>
    <t>Off-season</t>
  </si>
  <si>
    <t>Water stable aggregates (WSA) &lt; 2 but &gt; 0.5</t>
  </si>
  <si>
    <t>Water stable aggregates (WSA) &gt; 2 ( g per g to %)</t>
  </si>
  <si>
    <t>Mg/ha</t>
  </si>
  <si>
    <t>Units for OC need double check</t>
  </si>
  <si>
    <t>TOC, Mg per ha = 0.073 %</t>
  </si>
  <si>
    <t>Labile C</t>
  </si>
  <si>
    <t>Site1, mm/s = mm/h*3600</t>
  </si>
  <si>
    <t>Site2, mm/s = mm/h*3600</t>
  </si>
  <si>
    <t>Site3, mm/s = mm/h*3600</t>
  </si>
  <si>
    <t>Ks, Hydrulic conductivity</t>
  </si>
  <si>
    <t>mm / s</t>
  </si>
  <si>
    <t>mm/s=360cm/h</t>
  </si>
  <si>
    <t>Air permeability (mu m2)</t>
  </si>
  <si>
    <t>Porosity_C</t>
  </si>
  <si>
    <t>Porosity_T</t>
  </si>
  <si>
    <t>Porosity_Comments</t>
  </si>
  <si>
    <t>Porosity, air permeability of control (mean value)</t>
  </si>
  <si>
    <t>Porosity, air permeability of treatment (mean value)</t>
  </si>
  <si>
    <t>Stipesevic</t>
  </si>
  <si>
    <t>Bojan</t>
  </si>
  <si>
    <t>Purdue University PhD dissertation</t>
  </si>
  <si>
    <t>Southeast Purdue Agricultural Center (SEPAC)</t>
  </si>
  <si>
    <t xml:space="preserve">Throckmorton Purdue Agricultural Center (TPAC) </t>
  </si>
  <si>
    <t>Early desccation</t>
  </si>
  <si>
    <t>Regular desiccation</t>
  </si>
  <si>
    <t>Before corn plant</t>
  </si>
  <si>
    <t>After corn plant</t>
  </si>
  <si>
    <t>% vol/vol (total)</t>
  </si>
  <si>
    <t>Air fill porosity</t>
  </si>
  <si>
    <t>Mean weight diameter (mm)</t>
  </si>
  <si>
    <t>cm/h to mm per h</t>
  </si>
  <si>
    <t>cm/h</t>
  </si>
  <si>
    <t>5-31 VMW to GMW</t>
  </si>
  <si>
    <t>6-5 VWM to GMW</t>
  </si>
  <si>
    <t>4-26 VMW</t>
  </si>
  <si>
    <t>5-15 VMW</t>
  </si>
  <si>
    <t>6-20 VMW</t>
  </si>
  <si>
    <t>5-10 VMW</t>
  </si>
  <si>
    <t>5-14 VMW</t>
  </si>
  <si>
    <t>5-24 VMW</t>
  </si>
  <si>
    <t>Other indicators in fig</t>
  </si>
  <si>
    <t>Soybean-corn</t>
  </si>
  <si>
    <t>Vane shear strength measurement of soil compaction (Mpa)</t>
  </si>
  <si>
    <t>Strock</t>
  </si>
  <si>
    <t>J.S.</t>
  </si>
  <si>
    <t>Journal of Environmental Quality</t>
  </si>
  <si>
    <t>Southwest research and outreach center</t>
  </si>
  <si>
    <t>Urea, P and K</t>
  </si>
  <si>
    <t>Disk cultivation</t>
  </si>
  <si>
    <t>Teasdale</t>
  </si>
  <si>
    <t xml:space="preserve">J.R.  </t>
  </si>
  <si>
    <t>Beltsville, MD</t>
  </si>
  <si>
    <t>Bare soil</t>
  </si>
  <si>
    <t>DOY 220</t>
  </si>
  <si>
    <t>DOY 224</t>
  </si>
  <si>
    <t>DOY 228</t>
  </si>
  <si>
    <t>DOY 232</t>
  </si>
  <si>
    <t>DOY 236</t>
  </si>
  <si>
    <t>DOY 240</t>
  </si>
  <si>
    <t>DOY 244</t>
  </si>
  <si>
    <t>DOY 248</t>
  </si>
  <si>
    <t>DOY 252</t>
  </si>
  <si>
    <t>DOY 256</t>
  </si>
  <si>
    <t>DOY 260</t>
  </si>
  <si>
    <t>Transmittance, hotosynthetically active radiation at indicators available</t>
  </si>
  <si>
    <t>Terra</t>
  </si>
  <si>
    <t>J.A.</t>
  </si>
  <si>
    <t>Ithaca, NY</t>
  </si>
  <si>
    <t>Agricultural Experiment Station, Alabama</t>
  </si>
  <si>
    <t>No manure</t>
  </si>
  <si>
    <t>Conservation</t>
  </si>
  <si>
    <t>With manure</t>
  </si>
  <si>
    <t>CNOfCoverCrop</t>
  </si>
  <si>
    <t>Corn-cotton</t>
  </si>
  <si>
    <t>Dairy manure</t>
  </si>
  <si>
    <t>Coton</t>
  </si>
  <si>
    <t>Total microbial Biomass, measurement of phospholipid fatty acids</t>
  </si>
  <si>
    <t>Using Cover Crops In Oregon</t>
  </si>
  <si>
    <t xml:space="preserve">Richard </t>
  </si>
  <si>
    <t>Dick</t>
  </si>
  <si>
    <t>North Willamette Research and Extension Center</t>
  </si>
  <si>
    <t>NOV</t>
  </si>
  <si>
    <t>Feb</t>
  </si>
  <si>
    <t>Mar</t>
  </si>
  <si>
    <t>Dec</t>
  </si>
  <si>
    <t>Veum</t>
  </si>
  <si>
    <t xml:space="preserve">K.S. </t>
  </si>
  <si>
    <t>Salt River Basin Central Claypan Region,Missouri</t>
  </si>
  <si>
    <t>Corn–soybean</t>
  </si>
  <si>
    <t>Corn–soybean–wheat</t>
  </si>
  <si>
    <t xml:space="preserve">Water stable aggregates (%) </t>
  </si>
  <si>
    <t>OC</t>
  </si>
  <si>
    <t>β-glucosidase (mg PNP kg–1 h–1)</t>
  </si>
  <si>
    <t>mg/kg</t>
  </si>
  <si>
    <t>dS m–1</t>
  </si>
  <si>
    <t xml:space="preserve">Extractable P (mg kg–1) </t>
  </si>
  <si>
    <t xml:space="preserve">Extractable K (mg kg–1) </t>
  </si>
  <si>
    <t>Ca,Mg,Cu,Fe,Mg,Zn,SQI or SMAF available</t>
  </si>
  <si>
    <t>NTCS-17 vs NTCSW14</t>
  </si>
  <si>
    <t>NTCS-4 vs NTCSWM5</t>
  </si>
  <si>
    <t>Mulch tillage</t>
  </si>
  <si>
    <t>Beef livestock manure of 11 Mg N per ha</t>
  </si>
  <si>
    <t>Villamil</t>
  </si>
  <si>
    <t>M.B.</t>
  </si>
  <si>
    <t>Urbana, IL, USA</t>
  </si>
  <si>
    <t>135 kg N per ha</t>
  </si>
  <si>
    <t>SOM</t>
  </si>
  <si>
    <t>Kg/Mg</t>
  </si>
  <si>
    <t>NO3-N</t>
  </si>
  <si>
    <t>Increase PR (MPa) means closer contact between particles</t>
  </si>
  <si>
    <t>Erosion_C</t>
  </si>
  <si>
    <t>Erosion_T</t>
  </si>
  <si>
    <t>Erosion_Comments</t>
  </si>
  <si>
    <t xml:space="preserve">Water erosion, wind erosion of control </t>
  </si>
  <si>
    <t>Water erosion, wind erosion of cover crop</t>
  </si>
  <si>
    <t>Comments on water erosion, wind erosion</t>
  </si>
  <si>
    <t>Total porosity</t>
  </si>
  <si>
    <t>Plant available water (PAW, %)</t>
  </si>
  <si>
    <t>Jokela</t>
  </si>
  <si>
    <t>William</t>
  </si>
  <si>
    <t>1990 to 2008</t>
  </si>
  <si>
    <t xml:space="preserve"> Wisconsin Integrated Cropping Systems Trial</t>
  </si>
  <si>
    <t>CS3-C vs CS1-C</t>
  </si>
  <si>
    <t>CS4-C vs CS1-C</t>
  </si>
  <si>
    <t>CS4-A vs CS1-C</t>
  </si>
  <si>
    <t>CS5-C vs CS1-C</t>
  </si>
  <si>
    <t>CS5-A vs CS1-C</t>
  </si>
  <si>
    <t>CS6-P vs CS1-C</t>
  </si>
  <si>
    <t>Chisel and none</t>
  </si>
  <si>
    <t>145-5-20 kg N per ha</t>
  </si>
  <si>
    <t>146 kg N per ha</t>
  </si>
  <si>
    <t>241-23-160 kg N per ha</t>
  </si>
  <si>
    <t>240-24-160 kg N per ha</t>
  </si>
  <si>
    <t>182-17-120 kg N per ha</t>
  </si>
  <si>
    <t>176-16-117 kg N per ha</t>
  </si>
  <si>
    <t>52-5-31 kg N per ha</t>
  </si>
  <si>
    <t>n mol / kg</t>
  </si>
  <si>
    <t xml:space="preserve">nmol per kg to mgkg-1 </t>
  </si>
  <si>
    <t>CS3-C vs CS2-C</t>
  </si>
  <si>
    <t>CS4-C vs CS2-C</t>
  </si>
  <si>
    <t>CS4-A vs CS2-C</t>
  </si>
  <si>
    <t>CS5-C vs CS2-C</t>
  </si>
  <si>
    <t>CS5-A vs CS2-C</t>
  </si>
  <si>
    <t>CS6-P vs CS2-C</t>
  </si>
  <si>
    <t>136-4-19 kg N per ha</t>
  </si>
  <si>
    <t>no tillage</t>
  </si>
  <si>
    <t>nmol per kg to mgkg-1</t>
  </si>
  <si>
    <t>Water-stable aggregates (g/kg)</t>
  </si>
  <si>
    <t>Williams</t>
  </si>
  <si>
    <t>M.M.</t>
  </si>
  <si>
    <t>Agricultural Research Development Center, Ithaca</t>
  </si>
  <si>
    <t>Silty clay loam</t>
  </si>
  <si>
    <t>Barley</t>
  </si>
  <si>
    <t>Irrigated</t>
  </si>
  <si>
    <t>Rainfed</t>
  </si>
  <si>
    <t>Spray at June 6</t>
  </si>
  <si>
    <t>Spray at May 23</t>
  </si>
  <si>
    <t>Spray at May 13</t>
  </si>
  <si>
    <t>Canopy volume available</t>
  </si>
  <si>
    <t>Wyland</t>
  </si>
  <si>
    <t xml:space="preserve">L.J. </t>
  </si>
  <si>
    <t xml:space="preserve"> Agriculture,  Ecosystems and Environment </t>
  </si>
  <si>
    <t>Salinas Valley of California</t>
  </si>
  <si>
    <t>Phacelia</t>
  </si>
  <si>
    <t>5-17-1993</t>
  </si>
  <si>
    <t>6-1-1993</t>
  </si>
  <si>
    <t>6-24-1993</t>
  </si>
  <si>
    <t>7-13-1993</t>
  </si>
  <si>
    <t>7-27-1993</t>
  </si>
  <si>
    <t>No.70</t>
  </si>
  <si>
    <t>NO3-N (g/m2 to mg/kg)</t>
  </si>
  <si>
    <t>1m2=657kg</t>
  </si>
  <si>
    <t>Jul</t>
  </si>
  <si>
    <t>MBN available</t>
  </si>
  <si>
    <t>VMW to GMW</t>
  </si>
  <si>
    <t>Springtails(No. Per sample)</t>
  </si>
  <si>
    <t>Mites (No. per sample)</t>
  </si>
  <si>
    <t>Yoo</t>
  </si>
  <si>
    <t>K.H.</t>
  </si>
  <si>
    <t>Soil and Tillage Research</t>
  </si>
  <si>
    <t>101 kg N per ha</t>
  </si>
  <si>
    <t>Belle Mina,  Alabama</t>
  </si>
  <si>
    <t>Soil N (TN, Inorganic N, NO3-N, NH4-N, Nox, NHx, Nox+NHx)</t>
  </si>
  <si>
    <t>Electric Conductivity of control (mean value)</t>
  </si>
  <si>
    <t>Electric Conductivity of treatment (mean value)</t>
  </si>
  <si>
    <t>Base Satuation of control (mean value)</t>
  </si>
  <si>
    <t>MBN_C</t>
  </si>
  <si>
    <t>MBN_T</t>
  </si>
  <si>
    <t>MBN_Comments</t>
  </si>
  <si>
    <t>Microbe Biomass Nitrogen of control (mean value)</t>
  </si>
  <si>
    <t>Microbe Biomass Nitrogen of treatment (mean value)</t>
  </si>
  <si>
    <t>sediment loss (kg per ha)</t>
  </si>
  <si>
    <t>% of rainoff</t>
  </si>
  <si>
    <t>Zelles</t>
  </si>
  <si>
    <t>L.</t>
  </si>
  <si>
    <t>Potatoes</t>
  </si>
  <si>
    <t>No rotation</t>
  </si>
  <si>
    <t>Winter wheat-oats-potatoes-barley-red clover</t>
  </si>
  <si>
    <t>110-105-140 N/P/K</t>
  </si>
  <si>
    <t>130-130-185 N/P/K</t>
  </si>
  <si>
    <t>150-130-215 N/P/K</t>
  </si>
  <si>
    <t>Lipid phosphate (mu g g-1)</t>
  </si>
  <si>
    <t>beta-glucosidase</t>
  </si>
  <si>
    <t>Several  enzymatic indicators</t>
  </si>
  <si>
    <t>Summer CC</t>
  </si>
  <si>
    <t>Zentner</t>
  </si>
  <si>
    <t xml:space="preserve">R.P. </t>
  </si>
  <si>
    <t>Canadian Journal Of Plant Science</t>
  </si>
  <si>
    <t>Germany</t>
  </si>
  <si>
    <t>Summer fallow</t>
  </si>
  <si>
    <t>28 kg N per ha</t>
  </si>
  <si>
    <t>389 kg N per ha</t>
  </si>
  <si>
    <t>1987-1998</t>
  </si>
  <si>
    <t>F-(W)-W vs Leg-(W)-W</t>
  </si>
  <si>
    <t>Straw</t>
  </si>
  <si>
    <t>BiomassCash_C</t>
  </si>
  <si>
    <t>BiomassCash_T</t>
  </si>
  <si>
    <t>N yield and N concentration available</t>
  </si>
  <si>
    <t>Available spring soil water (AvSpSW) = SpSW minus lower limit of available water (mm/120 cm).</t>
  </si>
  <si>
    <t>spSW(mm/120 cm)</t>
  </si>
  <si>
    <t>F-W-(W) vs Leg-W-(W)</t>
  </si>
  <si>
    <t>No.17,D=1.2, BS=1.25</t>
  </si>
  <si>
    <t>No.73</t>
  </si>
  <si>
    <t>Zhou</t>
  </si>
  <si>
    <t>X.G.</t>
  </si>
  <si>
    <t>Plant Disease Management Reports</t>
  </si>
  <si>
    <t>Texas A&amp;M University System’s Agrilife Research and Extension Center, Beaumont, TX.</t>
  </si>
  <si>
    <t>Rice</t>
  </si>
  <si>
    <t>Brassica</t>
  </si>
  <si>
    <t>Sheath blight severity (0-9)</t>
  </si>
  <si>
    <t>Unsprayed control</t>
  </si>
  <si>
    <t>MBI-600 (108 cfu/ml)</t>
  </si>
  <si>
    <t>MBI-600 (108 cfu/ml) plus Quadris (4.5 fl oz/A)</t>
  </si>
  <si>
    <t>Quadris (9 fl oz/A)</t>
  </si>
  <si>
    <t>Quadris (4.5 fl oz/A)</t>
  </si>
  <si>
    <t>Swift  Current,  Saskatchewan, Canada</t>
  </si>
  <si>
    <t>Zhu</t>
  </si>
  <si>
    <t>J.C.</t>
  </si>
  <si>
    <t>Kingdom City, MO</t>
  </si>
  <si>
    <t>Estblishment period</t>
  </si>
  <si>
    <t>Maturing crop period</t>
  </si>
  <si>
    <t>Residue or stubble period</t>
  </si>
  <si>
    <t>Annual</t>
  </si>
  <si>
    <t>Seed bed</t>
  </si>
  <si>
    <t xml:space="preserve"> 6-10-20 N-P-K</t>
  </si>
  <si>
    <t>Run off (mm)</t>
  </si>
  <si>
    <t>Soil losses (kg/ha)</t>
  </si>
  <si>
    <t>Microelement</t>
  </si>
  <si>
    <t>MBC/K/MBN</t>
  </si>
  <si>
    <t>&gt; 19.2 mm aggregates</t>
  </si>
  <si>
    <t>Labile C, g per ha to 100 g per ha</t>
  </si>
  <si>
    <t>soybean</t>
  </si>
  <si>
    <t>ItalianRyegrass</t>
  </si>
  <si>
    <t>WinterRye</t>
  </si>
  <si>
    <t>Summer</t>
  </si>
  <si>
    <t>Maize-tomato</t>
  </si>
  <si>
    <t>Harrowed</t>
  </si>
  <si>
    <t>Cut with disk</t>
  </si>
  <si>
    <t>CaMg</t>
  </si>
  <si>
    <t>SOIL ORDER</t>
  </si>
  <si>
    <t>SOIL</t>
  </si>
  <si>
    <t>DESCRIPTION</t>
  </si>
  <si>
    <t>SOIL FAMILY</t>
  </si>
  <si>
    <t>ALFISOLS</t>
  </si>
  <si>
    <t>Soil 1</t>
  </si>
  <si>
    <t>Fine_loamy, mixed</t>
  </si>
  <si>
    <t>Typic Cryoboralfs</t>
  </si>
  <si>
    <t>Soil 2 (Santa Series)</t>
  </si>
  <si>
    <t>Coarse-silty, mixed, frigid</t>
  </si>
  <si>
    <t>Ochreptic Fragixeralfs</t>
  </si>
  <si>
    <t>Soil 3 (Porthill Series)</t>
  </si>
  <si>
    <t>Fine, mixed, frigid Typic</t>
  </si>
  <si>
    <t>Hapioxeralfs</t>
  </si>
  <si>
    <t>ARIDISOLS</t>
  </si>
  <si>
    <t>Soil 4 (Chilcott Series)</t>
  </si>
  <si>
    <t>Fine, montmorillonitic, mesic</t>
  </si>
  <si>
    <t>Abruptic Xerollic Durargids</t>
  </si>
  <si>
    <t>Soil 5 (Colthorp Series)</t>
  </si>
  <si>
    <t>Loamy, mixed, mesic, shallow</t>
  </si>
  <si>
    <t>Xerollic Durargids</t>
  </si>
  <si>
    <t>Soil 6 (Sebree Series)</t>
  </si>
  <si>
    <t>Fine-silty, mixed, mesic</t>
  </si>
  <si>
    <t>Xerollic Nadurargids</t>
  </si>
  <si>
    <t>Soil 7 (Gooding Series)</t>
  </si>
  <si>
    <t>Xerollic Paleargids</t>
  </si>
  <si>
    <t>Soil 8 (Portneuf Series)</t>
  </si>
  <si>
    <t>Coarse-silty, mixed, mesic</t>
  </si>
  <si>
    <t>Durixerollic Calciorthids</t>
  </si>
  <si>
    <t>Soil 9 (Trevino Series</t>
  </si>
  <si>
    <t>Loamy, mixed, mesic Lithic</t>
  </si>
  <si>
    <t>Xerollic Camborthids</t>
  </si>
  <si>
    <t>Soil IO (Owhyee Series)</t>
  </si>
  <si>
    <t>Soil 11 (Minidoka Series)</t>
  </si>
  <si>
    <t>Xerollic Durorthids</t>
  </si>
  <si>
    <t>Soil 12</t>
  </si>
  <si>
    <t>Loamy, mixed, frigid</t>
  </si>
  <si>
    <t>ENTISOLS</t>
  </si>
  <si>
    <t>Soil 13 (Garbutt Series)</t>
  </si>
  <si>
    <t>Coarse-silty, mixed (calcareous), mesic</t>
  </si>
  <si>
    <t>Typic Torriorthents</t>
  </si>
  <si>
    <t>Soil 14 (Flybow Series)</t>
  </si>
  <si>
    <t>Loamy-skeletal, mixed, monacid, mesic</t>
  </si>
  <si>
    <t>Lithic Xerorthents</t>
  </si>
  <si>
    <t>Soil 15 (Pyle Series)</t>
  </si>
  <si>
    <t>Alfic Cryopsamments</t>
  </si>
  <si>
    <t>Soil 16 (Gruincy Series)</t>
  </si>
  <si>
    <t>Mixed, mesic</t>
  </si>
  <si>
    <t>Xeric Torripsamments</t>
  </si>
  <si>
    <t>Soil 17 (Shollrock Series)</t>
  </si>
  <si>
    <t>Mixed, frigid</t>
  </si>
  <si>
    <t>Typic Xeropsamments</t>
  </si>
  <si>
    <t>HISTISOLS</t>
  </si>
  <si>
    <t>Soil 18 (Pywell Series)</t>
  </si>
  <si>
    <t>Euic Typic Borosaprists</t>
  </si>
  <si>
    <t>INCEPTISOLS</t>
  </si>
  <si>
    <t>Soil 19 (Vay Series)</t>
  </si>
  <si>
    <t>Medial over loamy-skeletal, mixed</t>
  </si>
  <si>
    <t>Entic Cryandepts</t>
  </si>
  <si>
    <t>Soil 20 (Bluehill Series)</t>
  </si>
  <si>
    <t>Ashy, mesic</t>
  </si>
  <si>
    <t>Typic Vitrandepts</t>
  </si>
  <si>
    <t>Soil 21</t>
  </si>
  <si>
    <t>Medial over loamy, mixed, frigid</t>
  </si>
  <si>
    <t>Soil 22 (Moonville Series)</t>
  </si>
  <si>
    <t>Cindery, frigid</t>
  </si>
  <si>
    <t>Mollic Vitrandepts</t>
  </si>
  <si>
    <t>Soil 23 (Roseberry Series)</t>
  </si>
  <si>
    <t>Sandy, mixed</t>
  </si>
  <si>
    <t>Humic Cryaquepts</t>
  </si>
  <si>
    <t>Soil 24</t>
  </si>
  <si>
    <t>Loamy-skeletal, mixed</t>
  </si>
  <si>
    <t>Andic Cryochrepts</t>
  </si>
  <si>
    <t>Soil 25</t>
  </si>
  <si>
    <t>Dystric Cryochrepts</t>
  </si>
  <si>
    <t>Soil 26</t>
  </si>
  <si>
    <t>Fine-loamy, mixed</t>
  </si>
  <si>
    <t>Soil 27</t>
  </si>
  <si>
    <t>Coarse-loamy, mixed, frigid</t>
  </si>
  <si>
    <t>Andic Dystrochrepts</t>
  </si>
  <si>
    <t>Soil 28 (Moonville Variant)</t>
  </si>
  <si>
    <t>Andic Xerochrepts</t>
  </si>
  <si>
    <t>Soil 29 (Bonner Series)</t>
  </si>
  <si>
    <t>Coarse-loamy over sandy or sandy skeletal, mixed, frigid</t>
  </si>
  <si>
    <t>Soil 30 (Oxford Series)</t>
  </si>
  <si>
    <t>Fine, montmorillonitic, frigid</t>
  </si>
  <si>
    <t>Vertic Xerochrepts</t>
  </si>
  <si>
    <t>Soil 31 (McCall Series)</t>
  </si>
  <si>
    <t>Typic Cryumbrepts</t>
  </si>
  <si>
    <t>Soil 32</t>
  </si>
  <si>
    <t>Coarse-loamy, mixed</t>
  </si>
  <si>
    <t>Andic Cryumbrepts</t>
  </si>
  <si>
    <t>MOLLISOLS</t>
  </si>
  <si>
    <t>Soil 33 (Southwick Series)</t>
  </si>
  <si>
    <t>Argiaquic Xeric Argialbolls</t>
  </si>
  <si>
    <t>Soil 34 (Houk Series)</t>
  </si>
  <si>
    <t>Soil 35 (Nez Perce Series)</t>
  </si>
  <si>
    <t>Xeric Argialbolls</t>
  </si>
  <si>
    <t>Soil 36 (Drigge Variant)</t>
  </si>
  <si>
    <t>Argic Cryoborrolls</t>
  </si>
  <si>
    <t>Soil 37</t>
  </si>
  <si>
    <t>Argic Pachic Cryoborolls</t>
  </si>
  <si>
    <t>Soil 38 (Greys Series)</t>
  </si>
  <si>
    <t>Fine-silty, mixed</t>
  </si>
  <si>
    <t>Boralfic Cryoboroils</t>
  </si>
  <si>
    <t>Soil 39</t>
  </si>
  <si>
    <t>Very fine, mixed</t>
  </si>
  <si>
    <t>Duric Cryoborolls</t>
  </si>
  <si>
    <t>Soil 40 (Pavohroo Series)</t>
  </si>
  <si>
    <t>Pacfic Cryoborolls</t>
  </si>
  <si>
    <t>Soil 41 (Tannehill Series)</t>
  </si>
  <si>
    <t>Loamy-skeletal, mixed mesic</t>
  </si>
  <si>
    <t>Calcic Argixerolis</t>
  </si>
  <si>
    <t>Soil 42 (Gem Series)</t>
  </si>
  <si>
    <t>Calcic Argixerolls</t>
  </si>
  <si>
    <t>Soil 43 (Gwin Series)</t>
  </si>
  <si>
    <t>Loamy-skeletal, mixed, mesic</t>
  </si>
  <si>
    <t>Lithic Argixerolls</t>
  </si>
  <si>
    <t>Soil 44 (Kilckson Series)</t>
  </si>
  <si>
    <t>Loamy-skeletal, mixed, frigid</t>
  </si>
  <si>
    <t>Ultic Argixerolis</t>
  </si>
  <si>
    <t>Soil 45 (Little Wood Series)</t>
  </si>
  <si>
    <t>Soil 46 (Rexburg Series)</t>
  </si>
  <si>
    <t>Calcic Haploxerolls</t>
  </si>
  <si>
    <t>Soil 47 (Westlake Series)</t>
  </si>
  <si>
    <t>Fine-silty, mixed, frigid</t>
  </si>
  <si>
    <t>Cumulic Ultic Haploxerolls</t>
  </si>
  <si>
    <t>Soil 48 (Hymas Series)</t>
  </si>
  <si>
    <t>Loamy-skeletal, carbonantic, frigid</t>
  </si>
  <si>
    <t>Lithic Haploxerolls</t>
  </si>
  <si>
    <t>Soil 49 (Ola Series)</t>
  </si>
  <si>
    <t>Pachic Haploxerolls</t>
  </si>
  <si>
    <t>Soil 50 (Palouse Series)</t>
  </si>
  <si>
    <t>Pachic Ultic Haploxerolls</t>
  </si>
  <si>
    <t>SPODOSOLS</t>
  </si>
  <si>
    <t>Soil 51</t>
  </si>
  <si>
    <t>Entic Cryorthods</t>
  </si>
  <si>
    <t>VERTISOLS</t>
  </si>
  <si>
    <t>Soil 52 (Magic Series)</t>
  </si>
  <si>
    <t>Entic Chromoxererts</t>
  </si>
  <si>
    <t>Soil 53 (Agar Series)</t>
  </si>
  <si>
    <t>Very fine, montmorillonitic, mesic</t>
  </si>
  <si>
    <t>Soil 54 (Boulder Lake Series)</t>
  </si>
  <si>
    <t>Very fine, montmorillonitic, frigid</t>
  </si>
  <si>
    <t>Chromic Pelloxererts</t>
  </si>
  <si>
    <t>Pachic Ultic Argixeroll</t>
  </si>
  <si>
    <t>SoilFamily</t>
  </si>
  <si>
    <t>Haplustoll</t>
  </si>
  <si>
    <t>Udic Argiustoll</t>
  </si>
  <si>
    <t>Aridic  Haplustolls</t>
  </si>
  <si>
    <t>Wickham</t>
  </si>
  <si>
    <t>Udipsamment</t>
  </si>
  <si>
    <t>Kanhapludults</t>
  </si>
  <si>
    <t>Kegonsa</t>
  </si>
  <si>
    <t xml:space="preserve">Hapludults and Endoaquults </t>
  </si>
  <si>
    <t>Typic Paleudults</t>
  </si>
  <si>
    <t>Chernozem</t>
  </si>
  <si>
    <t>Hagerstown</t>
  </si>
  <si>
    <t>Aquic Argiudolls</t>
  </si>
  <si>
    <t>Typic Hapludalf</t>
  </si>
  <si>
    <t>Typic Hapludults</t>
  </si>
  <si>
    <t>Mesic Lamellic Hapludalf</t>
  </si>
  <si>
    <t>Kandiudult</t>
  </si>
  <si>
    <t>Kingsbury</t>
  </si>
  <si>
    <t>Typic Hapludult</t>
  </si>
  <si>
    <t>Mesic Glossic Hapludulfs</t>
  </si>
  <si>
    <t>Mesic vertic albaqualfs</t>
  </si>
  <si>
    <t>Mesic Typic Hapludalfs</t>
  </si>
  <si>
    <t>Mollic Xerofluvents</t>
  </si>
  <si>
    <t>Mesic Typic Endoaquolls</t>
  </si>
  <si>
    <t>Mesic Typic Hapludalf</t>
  </si>
  <si>
    <t>Thermic Typic Xerorthent</t>
  </si>
  <si>
    <t>Typic Kandhapludults</t>
  </si>
  <si>
    <t>Mesic Typic Glossaquaf</t>
  </si>
  <si>
    <t>Calcic Hapludoll</t>
  </si>
  <si>
    <t>Ultic Hapludalf</t>
  </si>
  <si>
    <t>Mesic Typic Paleudalf</t>
  </si>
  <si>
    <t>Pachic Ultic Argixerolls</t>
  </si>
  <si>
    <t>Mesic Aridic Argiustols</t>
  </si>
  <si>
    <t>Aridic Argiborolls</t>
  </si>
  <si>
    <t>Mesic Typic Udipsamments</t>
  </si>
  <si>
    <t>Thermic  Rhodic  Paleudult</t>
  </si>
  <si>
    <t>Mesic Typic Argiudolls</t>
  </si>
  <si>
    <t>Typic quartzipssaments</t>
  </si>
  <si>
    <t>Plinthic Paleudults</t>
  </si>
  <si>
    <t>Mesic Pachic Ultic Argixeroll</t>
  </si>
  <si>
    <t>Typic Hapludulfs</t>
  </si>
  <si>
    <t>Aquic Hapludults</t>
  </si>
  <si>
    <t>Agriudolls</t>
  </si>
  <si>
    <t>Typic Fragiochrepts</t>
  </si>
  <si>
    <t>Aquic Paleudults</t>
  </si>
  <si>
    <t>Mesic Vertic Albaqualfs</t>
  </si>
  <si>
    <t>Typic Argiudoll</t>
  </si>
  <si>
    <t>Thermic Typic Argixeroll</t>
  </si>
  <si>
    <t>Rhodic Paleudults</t>
  </si>
  <si>
    <t>Loess</t>
  </si>
  <si>
    <t>Orthic Brown Chernozem</t>
  </si>
  <si>
    <t>League-type soil</t>
  </si>
  <si>
    <t>Typic Hapludolls</t>
  </si>
  <si>
    <t>NxO_C</t>
  </si>
  <si>
    <t>NxO_T</t>
  </si>
  <si>
    <t>CO2_C</t>
  </si>
  <si>
    <t>CO2_T</t>
  </si>
  <si>
    <t>CH4_C</t>
  </si>
  <si>
    <t>CH4_T</t>
  </si>
  <si>
    <t>ESS</t>
  </si>
  <si>
    <t>SQI</t>
  </si>
  <si>
    <t>Greenhouse gas N2O of control</t>
  </si>
  <si>
    <t>Greenhouse gas N2O of treatment</t>
  </si>
  <si>
    <t>NxO_Comments</t>
  </si>
  <si>
    <t>Greenhouse gas N2O of comments</t>
  </si>
  <si>
    <t>CO2_Comments</t>
  </si>
  <si>
    <t>Comments on soil respiration</t>
  </si>
  <si>
    <t>CH4 emission of control</t>
  </si>
  <si>
    <t>CH4 emission of treatment</t>
  </si>
  <si>
    <t>CH4_Comments</t>
  </si>
  <si>
    <t>Comments on CH4 emission</t>
  </si>
  <si>
    <t>Not-available</t>
  </si>
  <si>
    <t>Fallow-Wheat at spring-Wheat at spring</t>
  </si>
  <si>
    <t>0-to-20</t>
  </si>
  <si>
    <t>0-to-7.5</t>
  </si>
  <si>
    <t>7.5-to-15</t>
  </si>
  <si>
    <t>0-to-15</t>
  </si>
  <si>
    <t>20-to-40</t>
  </si>
  <si>
    <t>40-to-60</t>
  </si>
  <si>
    <t>60-to-80</t>
  </si>
  <si>
    <t>80-to-100</t>
  </si>
  <si>
    <t>0-to-1.5</t>
  </si>
  <si>
    <t>0-to-10</t>
  </si>
  <si>
    <t>0-to-30</t>
  </si>
  <si>
    <t>15-to-30</t>
  </si>
  <si>
    <t>0-to-18</t>
  </si>
  <si>
    <t>10-to-20</t>
  </si>
  <si>
    <t>20-to-30</t>
  </si>
  <si>
    <t>0-to-5</t>
  </si>
  <si>
    <t>0-to-45</t>
  </si>
  <si>
    <t>45-to-105</t>
  </si>
  <si>
    <t>105-to-195</t>
  </si>
  <si>
    <t>195-to-285</t>
  </si>
  <si>
    <t>0-to-120</t>
  </si>
  <si>
    <t>0-to-25</t>
  </si>
  <si>
    <t>5-to-10</t>
  </si>
  <si>
    <t>30-to-60</t>
  </si>
  <si>
    <t>60-to-90</t>
  </si>
  <si>
    <t>0-to-3</t>
  </si>
  <si>
    <t>25-to-50</t>
  </si>
  <si>
    <t>50-to-80</t>
  </si>
  <si>
    <t>80-to-125</t>
  </si>
  <si>
    <t>10-to-30</t>
  </si>
  <si>
    <t>10-to-15</t>
  </si>
  <si>
    <t>30-to-90</t>
  </si>
  <si>
    <t>0-to-150</t>
  </si>
  <si>
    <t>5-to-15</t>
  </si>
  <si>
    <t>0-to-122</t>
  </si>
  <si>
    <t>5-to-20</t>
  </si>
  <si>
    <t>90-to-120</t>
  </si>
  <si>
    <t>TopLayer</t>
  </si>
  <si>
    <t>0-to-60</t>
  </si>
  <si>
    <t>ID</t>
  </si>
  <si>
    <t>Description</t>
  </si>
  <si>
    <t>Sign</t>
  </si>
  <si>
    <t>Angers</t>
  </si>
  <si>
    <t>D.A.</t>
  </si>
  <si>
    <t>Agron. Sustain</t>
  </si>
  <si>
    <t xml:space="preserve">La PocatiEre, Quebec </t>
  </si>
  <si>
    <t>Orthic Humic Gleysol</t>
  </si>
  <si>
    <t>Barley-Red Clover</t>
  </si>
  <si>
    <t>Water soluble  carbohydrates</t>
  </si>
  <si>
    <t>Acid-hydrolyzable carbohydratis available</t>
  </si>
  <si>
    <t>Beare</t>
  </si>
  <si>
    <t>Michael H.</t>
  </si>
  <si>
    <t>Geoderma</t>
  </si>
  <si>
    <t>Athens, GA, USA</t>
  </si>
  <si>
    <t>Cecil</t>
  </si>
  <si>
    <t xml:space="preserve">No </t>
  </si>
  <si>
    <t>Benjamin</t>
  </si>
  <si>
    <t>J.G.</t>
  </si>
  <si>
    <t>30-to-40</t>
  </si>
  <si>
    <t>0-to-40</t>
  </si>
  <si>
    <t>Mesic Aridic Paleustolls</t>
  </si>
  <si>
    <t>Macro-aggregates</t>
  </si>
  <si>
    <t>Not use</t>
  </si>
  <si>
    <t>Winter CC (planed in the fall)</t>
  </si>
  <si>
    <t>Penetration resistance</t>
  </si>
  <si>
    <t>0.5-0.25 mm agg</t>
  </si>
  <si>
    <t>Brill</t>
  </si>
  <si>
    <t>G.D.</t>
  </si>
  <si>
    <t>New jersey agriculture experiment station</t>
  </si>
  <si>
    <t>Yield/weed/biomass/erosion</t>
  </si>
  <si>
    <t>pounds/acre</t>
  </si>
  <si>
    <t>1 acre = 0.4047 ha</t>
  </si>
  <si>
    <t>1pound=0.4536kg</t>
  </si>
  <si>
    <t>Inches to cm</t>
  </si>
  <si>
    <t>Chu</t>
  </si>
  <si>
    <t>Bei</t>
  </si>
  <si>
    <t>Communications in Soil Science and Plant Analysis</t>
  </si>
  <si>
    <t>Timothy</t>
  </si>
  <si>
    <t>W-C-RC as treatment</t>
  </si>
  <si>
    <t>Enzyme activity-Phenol oxidase</t>
  </si>
  <si>
    <t>Jewett</t>
  </si>
  <si>
    <t xml:space="preserve">M.R. </t>
  </si>
  <si>
    <t>Journal of Sustainable Agriculture</t>
  </si>
  <si>
    <t>East Lansing, MI</t>
  </si>
  <si>
    <t>Arlington, WI</t>
  </si>
  <si>
    <t>ALL</t>
  </si>
  <si>
    <t>Average</t>
  </si>
  <si>
    <t>Yield is measured but not reported, use average represent</t>
  </si>
  <si>
    <t>Lupwayi</t>
  </si>
  <si>
    <t>N.Z.</t>
  </si>
  <si>
    <t>SBB</t>
  </si>
  <si>
    <t>Fort Vermilion</t>
  </si>
  <si>
    <t>Shannon index</t>
  </si>
  <si>
    <t>Substrate richness</t>
  </si>
  <si>
    <t>Substrate eveness</t>
  </si>
  <si>
    <t>Many other microbial activity index available</t>
  </si>
  <si>
    <t>Robb</t>
  </si>
  <si>
    <t>David</t>
  </si>
  <si>
    <t>Clemson University Student Organic Farm</t>
  </si>
  <si>
    <t>Plant available N</t>
  </si>
  <si>
    <t>Yield per unit of effort</t>
  </si>
  <si>
    <t>Squash</t>
  </si>
  <si>
    <t>TN(kg per ha)</t>
  </si>
  <si>
    <t>58 kg per ha</t>
  </si>
  <si>
    <t xml:space="preserve"> Urbana, IL</t>
  </si>
  <si>
    <t>Smectitic, mesic, Aquic Argiudolls</t>
  </si>
  <si>
    <t>Corn-Soybean</t>
  </si>
  <si>
    <t>Corn-Rye-Soybean-Rye</t>
  </si>
  <si>
    <t>Corn-Rye-Soybean-Vetch</t>
  </si>
  <si>
    <t>Corn-Rye-Soybean-Vetch-Rye</t>
  </si>
  <si>
    <t>Affect on soil texture available</t>
  </si>
  <si>
    <t>NO3-N, NH4-N == Nmin?</t>
  </si>
  <si>
    <t>plant availabel watre</t>
  </si>
  <si>
    <t>water retained at low tension</t>
  </si>
  <si>
    <t>Texture_C</t>
  </si>
  <si>
    <t>Runof_T</t>
  </si>
  <si>
    <t>Runoff_C</t>
  </si>
  <si>
    <t>Leaching_Comments</t>
  </si>
  <si>
    <t>Runoff_Comments</t>
  </si>
  <si>
    <t>Leaching_C</t>
  </si>
  <si>
    <t>Leaching_T</t>
  </si>
  <si>
    <t>GrainCropGroup</t>
  </si>
  <si>
    <t>CoverCropGroup</t>
  </si>
  <si>
    <t>FR/OA/FM/SS</t>
  </si>
  <si>
    <t>CA/CR/BA/RG</t>
  </si>
  <si>
    <t>FR/OA/CA/CR</t>
  </si>
  <si>
    <t>SH/SB/FR/OA</t>
  </si>
  <si>
    <t>RC/HV/CA/CR</t>
  </si>
  <si>
    <t>SH/SB/CA/CR</t>
  </si>
  <si>
    <t>RC/HV/FR/OA</t>
  </si>
  <si>
    <t>Rye/Rye</t>
  </si>
  <si>
    <t>White_clover</t>
  </si>
  <si>
    <t>White_mustard</t>
  </si>
  <si>
    <t>Trudan_8</t>
  </si>
  <si>
    <t>Rye_grain</t>
  </si>
  <si>
    <t>Crown_Vetch</t>
  </si>
  <si>
    <t>Red_clover</t>
  </si>
  <si>
    <t>Rye/Desiccated</t>
  </si>
  <si>
    <t>Oat/clover</t>
  </si>
  <si>
    <t>Rye/Vetch</t>
  </si>
  <si>
    <t>Rye/Clover</t>
  </si>
  <si>
    <t>Continus_wheat</t>
  </si>
  <si>
    <t>Crimson_clover</t>
  </si>
  <si>
    <t>Tartary_Buckwheat</t>
  </si>
  <si>
    <t>Rye_roots</t>
  </si>
  <si>
    <t>Rye_shoots</t>
  </si>
  <si>
    <t>Vetch_roots</t>
  </si>
  <si>
    <t>Vetch_shoots</t>
  </si>
  <si>
    <t>Winter_wheat</t>
  </si>
  <si>
    <t>Rye/Live_crop</t>
  </si>
  <si>
    <t>Rye/Residue_removed</t>
  </si>
  <si>
    <t>Sunn_hemp</t>
  </si>
  <si>
    <t>red_clover</t>
  </si>
  <si>
    <t>Subterranean_clover</t>
  </si>
  <si>
    <t>Common_Vetch</t>
  </si>
  <si>
    <t>Red_colver</t>
  </si>
  <si>
    <t>Kura_clover</t>
  </si>
  <si>
    <t>Spring_wheat</t>
  </si>
  <si>
    <t>Austrian_winter_pea</t>
  </si>
  <si>
    <t>Field_pea</t>
  </si>
  <si>
    <t>Semileafless_pea</t>
  </si>
  <si>
    <t>Forage_pea</t>
  </si>
  <si>
    <t>Common_chickweed</t>
  </si>
  <si>
    <t>Canada_bluegrass</t>
  </si>
  <si>
    <t>Downy_brome</t>
  </si>
  <si>
    <t>Hairy_vetch</t>
  </si>
  <si>
    <t>Rye_forage</t>
  </si>
  <si>
    <t>Wheat_early_forage</t>
  </si>
  <si>
    <t>Wheat_late_forage</t>
  </si>
  <si>
    <t>Wheat_early_grain</t>
  </si>
  <si>
    <t>Wheat_late_grain</t>
  </si>
  <si>
    <t>Sunn_hemp/Crimson_clover</t>
  </si>
  <si>
    <t>HV83/Rye17</t>
  </si>
  <si>
    <t>HV67/Rye33</t>
  </si>
  <si>
    <t>HV50/Rye50</t>
  </si>
  <si>
    <t>HV33/Rye67</t>
  </si>
  <si>
    <t>HV17/Rye83</t>
  </si>
  <si>
    <t>Oat/Canola/Vetch</t>
  </si>
  <si>
    <t>Oat/canola</t>
  </si>
  <si>
    <t>Canola/Vetch</t>
  </si>
  <si>
    <t>Oat/Vetch</t>
  </si>
  <si>
    <t>Rye_Spring_seeded_spring</t>
  </si>
  <si>
    <t>Rye_Fall_seeded_winter</t>
  </si>
  <si>
    <t>Rye_Fall_seeded_spring</t>
  </si>
  <si>
    <t>Rye_Winter</t>
  </si>
  <si>
    <t>Lentil_Winter</t>
  </si>
  <si>
    <t>Triticale_Winter</t>
  </si>
  <si>
    <t>Barley_Spring_seeded</t>
  </si>
  <si>
    <t>Oat_Spring_seeded</t>
  </si>
  <si>
    <t>Pea_Spring</t>
  </si>
  <si>
    <t>Lentil_Spring</t>
  </si>
  <si>
    <t>Barley_Fall_seeded</t>
  </si>
  <si>
    <t>Oat_Fall_seeded</t>
  </si>
  <si>
    <t>Triticale_Spring</t>
  </si>
  <si>
    <t>Alfalfa/bromegrass</t>
  </si>
  <si>
    <t>Vetch/Rye</t>
  </si>
  <si>
    <t>Triticale/Austrian_winter_pea</t>
  </si>
  <si>
    <t>Barley/Vetch</t>
  </si>
  <si>
    <t>Forage_radish</t>
  </si>
  <si>
    <t>Triticale/Winter_pea</t>
  </si>
  <si>
    <t>Rye/Vetch/Rye</t>
  </si>
  <si>
    <t>CerealRye/CrimsonClover</t>
  </si>
  <si>
    <t>Grass</t>
  </si>
  <si>
    <t>LG</t>
  </si>
  <si>
    <t>LL</t>
  </si>
  <si>
    <t>Weeds</t>
  </si>
  <si>
    <t>LB</t>
  </si>
  <si>
    <t>Broadleaf</t>
  </si>
  <si>
    <t>Corn/soybean/wheat</t>
  </si>
  <si>
    <t>Tomato/Safflower/Corn/Bean</t>
  </si>
  <si>
    <t>Corn/soybean</t>
  </si>
  <si>
    <t>Winter_wheat/Sorghum</t>
  </si>
  <si>
    <t>Pea/Bean/Tomatto/SweetCorn</t>
  </si>
  <si>
    <t>Conventional_Dairy_Corn</t>
  </si>
  <si>
    <t>Organic_Dairy_Corn</t>
  </si>
  <si>
    <t>Corn/Soybean</t>
  </si>
  <si>
    <t>Dry_bean</t>
  </si>
  <si>
    <t>Soybean_Coker</t>
  </si>
  <si>
    <t>Soybean_Bragg</t>
  </si>
  <si>
    <t>Soybean_Ransom</t>
  </si>
  <si>
    <t>Summer_wheat</t>
  </si>
  <si>
    <t>Acorn_Squash</t>
  </si>
  <si>
    <t>Not_available</t>
  </si>
  <si>
    <t>Continuous_Wheat</t>
  </si>
  <si>
    <t>Sweetcorn/broccoli</t>
  </si>
  <si>
    <t>NSF-Living Field Lab, Hickory Corners, MI chosed, Mixed of nine</t>
  </si>
  <si>
    <t>Mixed of four OF sites and two commertial sites</t>
  </si>
  <si>
    <t>Mixed of four OF sites</t>
  </si>
  <si>
    <t>Mixed pasture</t>
  </si>
  <si>
    <t>NotAvailable</t>
  </si>
  <si>
    <t>Corn/Wheat/Broccoli</t>
  </si>
  <si>
    <t>Bean/Beet/Corn/Bean</t>
  </si>
  <si>
    <t>CS</t>
  </si>
  <si>
    <t>CW</t>
  </si>
  <si>
    <t>MTT</t>
  </si>
  <si>
    <t>Winter_wheat/Crop</t>
  </si>
  <si>
    <t>Wheat-Crop-Fallow</t>
  </si>
  <si>
    <t>CV</t>
  </si>
  <si>
    <t>Snap_bean/Sweetcorn</t>
  </si>
  <si>
    <t>Crop-Rotations</t>
  </si>
  <si>
    <t>WO</t>
  </si>
  <si>
    <t>CO</t>
  </si>
  <si>
    <t>CSW</t>
  </si>
  <si>
    <t>small grains–corn–soybean</t>
  </si>
  <si>
    <t>CWO</t>
  </si>
  <si>
    <t>CSO</t>
  </si>
  <si>
    <t>CVO</t>
  </si>
  <si>
    <t>Legume-wheat rotation</t>
  </si>
  <si>
    <t>OO</t>
  </si>
  <si>
    <t>WV</t>
  </si>
  <si>
    <t>Corn-wheat-millet</t>
  </si>
  <si>
    <t>SurfaceLayer</t>
  </si>
  <si>
    <t>TopGroup</t>
  </si>
  <si>
    <t>MiddleGroup</t>
  </si>
  <si>
    <t>Comments</t>
  </si>
  <si>
    <t>Single cover crop</t>
  </si>
  <si>
    <t>Trudan</t>
  </si>
  <si>
    <t>Italian_Rye_grass</t>
  </si>
  <si>
    <t>Rye_grass</t>
  </si>
  <si>
    <t>Mixed of legume and brassica</t>
  </si>
  <si>
    <t>Mixed of legume and grass</t>
  </si>
  <si>
    <t>Mixed of legume and legume</t>
  </si>
  <si>
    <t>MMT</t>
  </si>
  <si>
    <t>Mixed of more than three</t>
  </si>
  <si>
    <t>GrainrCrop</t>
  </si>
  <si>
    <t>Monoculture</t>
  </si>
  <si>
    <t>Maize</t>
  </si>
  <si>
    <t>Other</t>
  </si>
  <si>
    <t>Rotation of two</t>
  </si>
  <si>
    <t>Rotation of two or more</t>
  </si>
  <si>
    <t>Corn-wheat</t>
  </si>
  <si>
    <t>Wheat_soybean</t>
  </si>
  <si>
    <t>Rotation of other two</t>
  </si>
  <si>
    <t>Corn-soybean-wheat</t>
  </si>
  <si>
    <t>Rotation of three or more</t>
  </si>
  <si>
    <t>Rotation of other three</t>
  </si>
  <si>
    <t>Rotation of more than three</t>
  </si>
  <si>
    <t>Number of earthwarm</t>
  </si>
  <si>
    <t>PFLA, Average of four, microaggregate treatment</t>
  </si>
  <si>
    <t>PFLA, Average of four, Silt and clay treatment</t>
  </si>
  <si>
    <t>Microbial functional diversity evaluated by Shannon's diversity index (H)</t>
  </si>
  <si>
    <t>Microbial functional diversity evaluated by Substrate richness (S)</t>
  </si>
  <si>
    <t>Microbial functional diversity evaluated by Substrate evenness (E)</t>
  </si>
  <si>
    <t>Carbon minierazation of control (mean value), also inlcude active C</t>
  </si>
  <si>
    <t>Carbon minierazation of treatment (mean value), also inlcude active C</t>
  </si>
  <si>
    <t>Nitrogen minierazation of control (mean value), also inlcudeplant available N</t>
  </si>
  <si>
    <t>Nitrogen minierazation of treatment (mean value), also inlcudeplant available N</t>
  </si>
  <si>
    <t>Stems + leaves, Units: kg per ha</t>
  </si>
  <si>
    <t>Organic carbon of control (mean value), SOC if without comments</t>
  </si>
  <si>
    <t>Organic carbon of treatment (mean value), SOC if without comments</t>
  </si>
  <si>
    <t>SOC, Units in Mg per Ha available</t>
  </si>
  <si>
    <t>OM</t>
  </si>
  <si>
    <t>SOM, g per kg = 0.1%</t>
  </si>
  <si>
    <t>TC, g per kg = 0.1%</t>
  </si>
  <si>
    <t>OM, Number of year is 8</t>
  </si>
  <si>
    <t>Nitrate-N</t>
  </si>
  <si>
    <t>Nitrate-N, kg/ha to mg/kg</t>
  </si>
  <si>
    <t>Nitrate-N, kg per ha = 0.11 mg per kg</t>
  </si>
  <si>
    <t>Total Nitragen (g/kg to mg/kg)</t>
  </si>
  <si>
    <t>Total nitrogen, kg/ha</t>
  </si>
  <si>
    <t>Inorganic-N</t>
  </si>
  <si>
    <t>Aggregate of Field moist treatment</t>
  </si>
  <si>
    <t>infiltration defined as Rate (%) of rainfull</t>
  </si>
  <si>
    <t>Wind erosion defined as &lt; 0.84 mm aggregates</t>
  </si>
  <si>
    <t>N Concentration in drainage</t>
  </si>
  <si>
    <t>NO3 loss in drainage (mg per L)</t>
  </si>
  <si>
    <t>NO3-N loss in drainage</t>
  </si>
  <si>
    <t>se = sd / sqrt(N)</t>
  </si>
  <si>
    <t>sd = se * sqrt(N)</t>
  </si>
  <si>
    <t>Equation</t>
  </si>
  <si>
    <t>N = replication if without explaination</t>
  </si>
  <si>
    <t>Weeds dry biomass, Post</t>
  </si>
  <si>
    <t>Pests_C</t>
  </si>
  <si>
    <t>Pests_T</t>
  </si>
  <si>
    <t>Pests_Comments</t>
  </si>
  <si>
    <t>Fungal_C</t>
  </si>
  <si>
    <t>Fungal_T</t>
  </si>
  <si>
    <t>Fungal_Comments</t>
  </si>
  <si>
    <t>Pest , natural enemies as pests control</t>
  </si>
  <si>
    <t>Palnt available N defined as cotton lint N uptake (kg per ha)</t>
  </si>
  <si>
    <t>See CoverCropGroup for more information</t>
  </si>
  <si>
    <t>See GrainCropGroup for more information</t>
  </si>
  <si>
    <t>Enzyme activity (b-glucosidase, b-glucosaminidase, and Phosphodiesterase)</t>
  </si>
  <si>
    <t>PLFA was used as a measure of microbial biomass.</t>
  </si>
  <si>
    <t>Microbial activity defined as Alkaline phosphatase activity</t>
  </si>
  <si>
    <t>Fungi</t>
  </si>
  <si>
    <t>Mycorrhiza</t>
  </si>
  <si>
    <t>Fungi to bacterial ratio</t>
  </si>
  <si>
    <t>Root disease potential defined as root health index (range from 1-9)</t>
  </si>
  <si>
    <t>SoilFauna_C</t>
  </si>
  <si>
    <t>SoilFauna_T</t>
  </si>
  <si>
    <t>SoilFauna_Comments</t>
  </si>
  <si>
    <t>OtherMicrobial_C</t>
  </si>
  <si>
    <t>OtherMicrobial_T</t>
  </si>
  <si>
    <t>OtherMicrobial_Comments</t>
  </si>
  <si>
    <t>SamplingDepth</t>
  </si>
  <si>
    <t>20</t>
  </si>
  <si>
    <t>7.5</t>
  </si>
  <si>
    <t>15</t>
  </si>
  <si>
    <t>1.5</t>
  </si>
  <si>
    <t>10</t>
  </si>
  <si>
    <t>30</t>
  </si>
  <si>
    <t>18</t>
  </si>
  <si>
    <t>5</t>
  </si>
  <si>
    <t>45</t>
  </si>
  <si>
    <t>60</t>
  </si>
  <si>
    <t>90</t>
  </si>
  <si>
    <t>120</t>
  </si>
  <si>
    <t>25</t>
  </si>
  <si>
    <t>3</t>
  </si>
  <si>
    <t>150</t>
  </si>
  <si>
    <t>122</t>
  </si>
  <si>
    <t>Enzyme_C</t>
  </si>
  <si>
    <t>Enzyme_T</t>
  </si>
  <si>
    <t>Enzyme_Comments</t>
  </si>
  <si>
    <t>7</t>
  </si>
  <si>
    <t>Cummulative water infiltration (cm) Figure 7 panel A</t>
  </si>
  <si>
    <t>Cummulative water infiltration (cm) Figure 7 panel B</t>
  </si>
  <si>
    <t>4.75-2 mm</t>
  </si>
  <si>
    <t>1991 to 2008</t>
  </si>
  <si>
    <t>1992 to 2008</t>
  </si>
  <si>
    <t>1993 to 2008</t>
  </si>
  <si>
    <t>nmol per kg to mgkg-2</t>
  </si>
  <si>
    <t>nmol per kg to mgkg-3</t>
  </si>
  <si>
    <t>nmol per kg to mgkg-4</t>
  </si>
  <si>
    <t>Drinkwater</t>
  </si>
  <si>
    <t>Nature</t>
  </si>
  <si>
    <t>Pennsylvania?</t>
  </si>
  <si>
    <t>NPP</t>
  </si>
  <si>
    <t>Kg N per ha of 15 years</t>
  </si>
  <si>
    <t>Soil &amp; Tillage Research</t>
  </si>
  <si>
    <t>Nyakatawa</t>
  </si>
  <si>
    <t>Alabama Agricultural  Experiment Station, Belle Mina, AL</t>
  </si>
  <si>
    <t>Dicatur silt loam (clayey, kaolinitic, thermic, Typic Paleudults)</t>
  </si>
  <si>
    <t>rye (Secale cereale L.)</t>
  </si>
  <si>
    <t>67,2 kg P/ha; 67,2 kg K/ha</t>
  </si>
  <si>
    <t>E. Z.</t>
  </si>
  <si>
    <t>0-15</t>
  </si>
  <si>
    <t>NH4 panel 1997</t>
  </si>
  <si>
    <t>Duration</t>
  </si>
  <si>
    <t>How many years the whole experiment last for, e.g., experiement started at 1990 and end at 2000, duration is 11 years</t>
  </si>
  <si>
    <t>1/Natural enimies (average of 5)</t>
  </si>
  <si>
    <t>Yield_C_SD</t>
  </si>
  <si>
    <t>Yield_T_SD</t>
  </si>
  <si>
    <t>BiomCash_C_SD</t>
  </si>
  <si>
    <t>BiomCash_T_SD</t>
  </si>
  <si>
    <t>BD_C_SD</t>
  </si>
  <si>
    <t>BD_T_SD</t>
  </si>
  <si>
    <t>OC_C_SD</t>
  </si>
  <si>
    <t>OC_T_SD</t>
  </si>
  <si>
    <t>N_C_SD</t>
  </si>
  <si>
    <t>N_T_SD</t>
  </si>
  <si>
    <t>P_C_SD</t>
  </si>
  <si>
    <t>P_T_SD</t>
  </si>
  <si>
    <t>K_C_SD</t>
  </si>
  <si>
    <t>K_T_SD</t>
  </si>
  <si>
    <t>pH_C_SD</t>
  </si>
  <si>
    <t>pH_T_SD</t>
  </si>
  <si>
    <t>CEC_C_SD</t>
  </si>
  <si>
    <t>CEC_T_SD</t>
  </si>
  <si>
    <t>EC_C_SD</t>
  </si>
  <si>
    <t>EC_T_SD</t>
  </si>
  <si>
    <t>BS_C_SD</t>
  </si>
  <si>
    <t>BS_T_SD</t>
  </si>
  <si>
    <t>Aggre_C_SD</t>
  </si>
  <si>
    <t>Aggre_T_SD</t>
  </si>
  <si>
    <t>Porosity_C_SD</t>
  </si>
  <si>
    <t>Porosity_T_SD</t>
  </si>
  <si>
    <t>Penetration_C_SD</t>
  </si>
  <si>
    <t>Penetration_T_SD</t>
  </si>
  <si>
    <t>Infiltration_C_SD</t>
  </si>
  <si>
    <t>Infiltration_T_SD</t>
  </si>
  <si>
    <t>Ksat_C</t>
  </si>
  <si>
    <t>Ksat_T</t>
  </si>
  <si>
    <t>Ksat_C_SD</t>
  </si>
  <si>
    <t>Ksat_T_SD</t>
  </si>
  <si>
    <t>Ksat_Comments</t>
  </si>
  <si>
    <t>Erosion_C_SD</t>
  </si>
  <si>
    <t>Erosion_T_SD</t>
  </si>
  <si>
    <t>Runoff_C_SD</t>
  </si>
  <si>
    <t>Runof_T_SD</t>
  </si>
  <si>
    <t>Leaching_C_SD</t>
  </si>
  <si>
    <t>Leaching_T_SD</t>
  </si>
  <si>
    <t>ST_C_SD</t>
  </si>
  <si>
    <t>ST_T_SD</t>
  </si>
  <si>
    <t>SWC_C_SD</t>
  </si>
  <si>
    <t>SWC_T_SD</t>
  </si>
  <si>
    <t>AWHC_C_SD</t>
  </si>
  <si>
    <t>AWHC_T_SD</t>
  </si>
  <si>
    <t>Weed_C_SD</t>
  </si>
  <si>
    <t>Weed_T_SD</t>
  </si>
  <si>
    <t>Diseases_C_SD</t>
  </si>
  <si>
    <t>Diseases_T_SD</t>
  </si>
  <si>
    <t>Pests_C_SD</t>
  </si>
  <si>
    <t>Pests_T_SD</t>
  </si>
  <si>
    <t>SoilFauna_C_SD</t>
  </si>
  <si>
    <t>SoilFauna_T_SD</t>
  </si>
  <si>
    <t>Fungal_C_SD</t>
  </si>
  <si>
    <t>Fungal_T_SD</t>
  </si>
  <si>
    <t>OtherMicrobial_C_SD</t>
  </si>
  <si>
    <t>OtherMicrobial_T_SD</t>
  </si>
  <si>
    <t>Enzyme_C_SD</t>
  </si>
  <si>
    <t>Enzyme_T_SD</t>
  </si>
  <si>
    <t>Cmina_C_SD</t>
  </si>
  <si>
    <t>Cmina_T_SD</t>
  </si>
  <si>
    <t>Nmina_C_SD</t>
  </si>
  <si>
    <t>Nmina_T_SD</t>
  </si>
  <si>
    <t>NxO_C_SD</t>
  </si>
  <si>
    <t>NxO_T_SD</t>
  </si>
  <si>
    <t>SIR_C_SD</t>
  </si>
  <si>
    <t>SIR_T_SD</t>
  </si>
  <si>
    <t>CO2BTest_C_SD</t>
  </si>
  <si>
    <t>CO2BTest_T_SD</t>
  </si>
  <si>
    <t>CO2_C_SD</t>
  </si>
  <si>
    <t>CO2_T_SD</t>
  </si>
  <si>
    <t>CH4_C_SD</t>
  </si>
  <si>
    <t>CH4_T_SD</t>
  </si>
  <si>
    <t>MBC_C_SD</t>
  </si>
  <si>
    <t>MBC_T_SD</t>
  </si>
  <si>
    <t>MBN_C_SD</t>
  </si>
  <si>
    <t>MBN_T_SD</t>
  </si>
  <si>
    <t>fill with 9999 if reported, do not need record the actual data</t>
  </si>
  <si>
    <t>Cover crop effect on soil texture compare with control</t>
  </si>
  <si>
    <t>SD available</t>
  </si>
  <si>
    <t>6</t>
  </si>
  <si>
    <t>1989-1994, Fall, before planting of cover crop</t>
  </si>
  <si>
    <t>2003-2005</t>
  </si>
  <si>
    <t>2007-2012</t>
  </si>
  <si>
    <t>2</t>
  </si>
  <si>
    <t>1995-2009</t>
  </si>
  <si>
    <t>2012-2013</t>
  </si>
  <si>
    <t>1989-1995</t>
  </si>
  <si>
    <t>2009-2011, May</t>
  </si>
  <si>
    <t>1983-1987, March</t>
  </si>
  <si>
    <t>2010-2011, July</t>
  </si>
  <si>
    <t>2010-2011, August</t>
  </si>
  <si>
    <t>2010-2011, September</t>
  </si>
  <si>
    <t>2005-2007, August</t>
  </si>
  <si>
    <t>1978-1981</t>
  </si>
  <si>
    <t>4</t>
  </si>
  <si>
    <t>1977-1987</t>
  </si>
  <si>
    <t>11</t>
  </si>
  <si>
    <t>1985-2010</t>
  </si>
  <si>
    <t>26</t>
  </si>
  <si>
    <t>24</t>
  </si>
  <si>
    <t>2001-2003</t>
  </si>
  <si>
    <t>2011-2012</t>
  </si>
  <si>
    <t>2011-2013, Fall, two months after cover crop</t>
  </si>
  <si>
    <t>1981-1983</t>
  </si>
  <si>
    <t>2009-2010</t>
  </si>
  <si>
    <t>2009-2011, 14 Days</t>
  </si>
  <si>
    <t>2009-2011, 21 Days</t>
  </si>
  <si>
    <t>2009-2011, 28 Days</t>
  </si>
  <si>
    <t>2009-2011, 35 Days</t>
  </si>
  <si>
    <t>2009-2011, 42 Days</t>
  </si>
  <si>
    <t>2009-2011, 49 Days</t>
  </si>
  <si>
    <t>2009-2011, September</t>
  </si>
  <si>
    <t>2009-2011, August</t>
  </si>
  <si>
    <t>2009-2011, September 1ST</t>
  </si>
  <si>
    <t>2009-2011, September 21ST</t>
  </si>
  <si>
    <t>2009-2011, 26 days</t>
  </si>
  <si>
    <t>2009-2011, 28 days</t>
  </si>
  <si>
    <t>2009-2011, 30 days</t>
  </si>
  <si>
    <t>2009-2011, 31 days</t>
  </si>
  <si>
    <t>2009-2011, 33 days</t>
  </si>
  <si>
    <t>2009-2011, 35 days</t>
  </si>
  <si>
    <t>2009-2011, 37 days</t>
  </si>
  <si>
    <t>2009-2011, 39 days</t>
  </si>
  <si>
    <t>2009-2011, 41 days</t>
  </si>
  <si>
    <t>2009-2011, 43 days</t>
  </si>
  <si>
    <t>2009-2011, 45 days</t>
  </si>
  <si>
    <t>2009-2011, 46 days</t>
  </si>
  <si>
    <t>2009-2011, 34 days</t>
  </si>
  <si>
    <t>2009-2011, 36 days</t>
  </si>
  <si>
    <t>2009-2011, 48 days</t>
  </si>
  <si>
    <t>2009-2011, 51 days</t>
  </si>
  <si>
    <t>2009-2011, 29 days</t>
  </si>
  <si>
    <t>2009-2011, 32 days</t>
  </si>
  <si>
    <t>2009-2011, 38 days</t>
  </si>
  <si>
    <t>2009-2011, 40 days</t>
  </si>
  <si>
    <t>2009-2011, 42 days</t>
  </si>
  <si>
    <t>2009-2011, 44 days</t>
  </si>
  <si>
    <t>2009-2011, 49 days</t>
  </si>
  <si>
    <t>2009-2011, 50 days</t>
  </si>
  <si>
    <t>2009-2011, 47 days</t>
  </si>
  <si>
    <t>2002-2005</t>
  </si>
  <si>
    <t>2004-2007</t>
  </si>
  <si>
    <t>2004-2013, April</t>
  </si>
  <si>
    <t>1991-2005, May</t>
  </si>
  <si>
    <t>2003-2006</t>
  </si>
  <si>
    <t>1999-2005</t>
  </si>
  <si>
    <t>2010-2013, 4 wap</t>
  </si>
  <si>
    <t>2010-2013, 5 wap</t>
  </si>
  <si>
    <t>2010-2013, 6 wap</t>
  </si>
  <si>
    <t>2010-2013, 4+5+6 wap</t>
  </si>
  <si>
    <t>1986-1999</t>
  </si>
  <si>
    <t>1979-1982</t>
  </si>
  <si>
    <t>2009-2010, November</t>
  </si>
  <si>
    <t>13</t>
  </si>
  <si>
    <t>19</t>
  </si>
  <si>
    <t>32</t>
  </si>
  <si>
    <t>1990-2000</t>
  </si>
  <si>
    <t>1983-2000</t>
  </si>
  <si>
    <t>1977-2000</t>
  </si>
  <si>
    <t>1984-2000</t>
  </si>
  <si>
    <t>1982-2000</t>
  </si>
  <si>
    <t>1967-2000</t>
  </si>
  <si>
    <t>23</t>
  </si>
  <si>
    <t>17</t>
  </si>
  <si>
    <t>22</t>
  </si>
  <si>
    <t>16</t>
  </si>
  <si>
    <t>31</t>
  </si>
  <si>
    <t>12</t>
  </si>
  <si>
    <t>1993-2002</t>
  </si>
  <si>
    <t>1983-2013</t>
  </si>
  <si>
    <t>1985-1989, May</t>
  </si>
  <si>
    <t>1985-1989, June</t>
  </si>
  <si>
    <t>1985-1989, July</t>
  </si>
  <si>
    <t>1985-1989, Augest</t>
  </si>
  <si>
    <t>1985-1989, October</t>
  </si>
  <si>
    <t>1985-1989, November</t>
  </si>
  <si>
    <t>1985-1989, January</t>
  </si>
  <si>
    <t>1985-1989, February</t>
  </si>
  <si>
    <t>1985-1989, March</t>
  </si>
  <si>
    <t xml:space="preserve">1985-1989, April </t>
  </si>
  <si>
    <t>1985-1989, Suptember</t>
  </si>
  <si>
    <t>1985-1989, December</t>
  </si>
  <si>
    <t>1985-1987</t>
  </si>
  <si>
    <t>1983-1998</t>
  </si>
  <si>
    <t>1989-1998, Canopy closure</t>
  </si>
  <si>
    <t>1989-1998,Spring</t>
  </si>
  <si>
    <t>1989-1998,Canopy closure</t>
  </si>
  <si>
    <t>1989-1998,Harvest</t>
  </si>
  <si>
    <t>1989-1998</t>
  </si>
  <si>
    <t>1995-1996</t>
  </si>
  <si>
    <t>14</t>
  </si>
  <si>
    <t>1993-1998, Canopy closure</t>
  </si>
  <si>
    <t>1993-1998, Spring</t>
  </si>
  <si>
    <t>1993-1998, Harvest</t>
  </si>
  <si>
    <t>1994-1999</t>
  </si>
  <si>
    <t>2009-2010, At GLM termination</t>
  </si>
  <si>
    <t>2000-2012, July</t>
  </si>
  <si>
    <t>2014-2015</t>
  </si>
  <si>
    <t>1995-1998</t>
  </si>
  <si>
    <t>2011-2013</t>
  </si>
  <si>
    <t>1989-1991</t>
  </si>
  <si>
    <t>1999-2001</t>
  </si>
  <si>
    <t>2010-2012</t>
  </si>
  <si>
    <t>1993-1999</t>
  </si>
  <si>
    <t>1993-1999, Spring</t>
  </si>
  <si>
    <t>1993-1999, Canopy closure</t>
  </si>
  <si>
    <t>1993-1999, Harvest</t>
  </si>
  <si>
    <t>1989-1999</t>
  </si>
  <si>
    <t>1989-1999, Spring</t>
  </si>
  <si>
    <t>1989-1999, Canopy closure</t>
  </si>
  <si>
    <t>1989-1999, Harvest</t>
  </si>
  <si>
    <t>9</t>
  </si>
  <si>
    <t>1997</t>
  </si>
  <si>
    <t>1</t>
  </si>
  <si>
    <t>1993-1999, March</t>
  </si>
  <si>
    <t>1993-1999, July</t>
  </si>
  <si>
    <t>1993-1999, Auguest</t>
  </si>
  <si>
    <t>1972-1988</t>
  </si>
  <si>
    <t>8</t>
  </si>
  <si>
    <t>1986-1996</t>
  </si>
  <si>
    <t>1986-1996, Post-plant</t>
  </si>
  <si>
    <t>1986-1996, Pre-plant</t>
  </si>
  <si>
    <t>1994-2006, OCT-8</t>
  </si>
  <si>
    <t>1994-2006,OCT-8</t>
  </si>
  <si>
    <t>1994-2006,NOV-7</t>
  </si>
  <si>
    <t>1998-2002</t>
  </si>
  <si>
    <t>Winter CC, Rye plant at Oct-1</t>
  </si>
  <si>
    <t>1988-1990</t>
  </si>
  <si>
    <t>Winter CC, Vtech plant at Suptember</t>
  </si>
  <si>
    <t>Winter CC, Rye plant at Suptember</t>
  </si>
  <si>
    <t>2000-2003</t>
  </si>
  <si>
    <t>1993-2008</t>
  </si>
  <si>
    <t>2002-2003</t>
  </si>
  <si>
    <t>Winter CC, Period 1 Corn</t>
  </si>
  <si>
    <t>Winter CC, Period 2 Soybean</t>
  </si>
  <si>
    <t>1994-1996</t>
  </si>
  <si>
    <t>1992-1993</t>
  </si>
  <si>
    <t>Winter CC, Before June 21</t>
  </si>
  <si>
    <t>Winter CC, After June 21</t>
  </si>
  <si>
    <t>1984</t>
  </si>
  <si>
    <t>1953-1991</t>
  </si>
  <si>
    <t>39</t>
  </si>
  <si>
    <t>1984-1987</t>
  </si>
  <si>
    <t>1987-1990</t>
  </si>
  <si>
    <t>1990-2005</t>
  </si>
  <si>
    <t>1981-1995</t>
  </si>
  <si>
    <t>1938-1948</t>
  </si>
  <si>
    <t>1950-1998</t>
  </si>
  <si>
    <t>49</t>
  </si>
  <si>
    <t>1996-1998</t>
  </si>
  <si>
    <t>1992-1996</t>
  </si>
  <si>
    <t>2013-2015</t>
  </si>
  <si>
    <t>1998-2003</t>
  </si>
  <si>
    <t>170 kg N/ha as (prilled) NH4NO3 (33% N)</t>
  </si>
  <si>
    <t>conventional tillage</t>
  </si>
  <si>
    <t>continuous corn (Zea mays L.)</t>
  </si>
  <si>
    <t>Maury silt loam, dep, well-drained</t>
  </si>
  <si>
    <t>Kentucky Agricultural Experiment Station research farm at Lexington, Kentucky</t>
  </si>
  <si>
    <t>Utomo</t>
  </si>
  <si>
    <t>0 kg N/ha</t>
  </si>
  <si>
    <t>hairy vetch (Vicia villosa Roth.)</t>
  </si>
  <si>
    <t>appropriate' rates N, P and K fertiliser</t>
  </si>
  <si>
    <t>120-130  kg N per ha</t>
  </si>
  <si>
    <t>continuous cotton (G. hirsutum L.)</t>
  </si>
  <si>
    <t>Rye/Vtech</t>
  </si>
  <si>
    <t>Dothan sandy loam (fine-loamy, siliceous, thermic, Plinthic, Kandiudults)</t>
  </si>
  <si>
    <t>Williams, Evans and Harrison farms, Bartow, Central Georgia, USA</t>
  </si>
  <si>
    <t>60-65  kg N per ha</t>
  </si>
  <si>
    <t>Agricultural Research Station farm, Fort Valley State University, Fort Valley, Georgia</t>
  </si>
  <si>
    <t>hairy vetch (Vicia villosa Roth)</t>
  </si>
  <si>
    <t>180 kg N/ha; [tomato only: 56 kg P/ha as superphosphate, 56 kg K/ha as KCl]; [corn only: 67 kg P/ha as superphosphate, 84 kg K/ha as KCl]</t>
  </si>
  <si>
    <t>continuous tomato (Lycopersicum esculentum Mill) [3 years]; continuous silage corn (Zea mays L.) [2 years]</t>
  </si>
  <si>
    <t>Norfolk sandy loam (fine-loamy, siliceous, thermic, Typic Kandiudults)(FAO classification: Orthic Luvisols)</t>
  </si>
  <si>
    <t>90 kg N/ha; [tomato only: 56 kg P/ha as superphosphate, 56 kg K/ha as KCl]; [corn only: 67 kg P/ha as superphosphate, 84 kg K/ha as KCl]</t>
  </si>
  <si>
    <t>0 kg N/ha; [tomato only: 56 kg P/ha as superphosphate, 56 kg K/ha as KCl]; [corn only: 67 kg P/ha as superphosphate, 84 kg K/ha as KCl]</t>
  </si>
  <si>
    <t>chisel plowing</t>
  </si>
  <si>
    <t>last 2 years only: 56 kg P/ha as superphosphate, 56 kg K/ha as KCl, no N</t>
  </si>
  <si>
    <t>continuous tomato (Lycopersicum esculentum Mill)</t>
  </si>
  <si>
    <t>crimson clover (Trifolium incarnatum L.)</t>
  </si>
  <si>
    <t>Greenville fine sandy loam (fine-loamy, kaolinitc, thermic, Rhodic Kandiupults)</t>
  </si>
  <si>
    <t>Fort Valley, Georgia</t>
  </si>
  <si>
    <t>Canadian Journal of Soil Sciences</t>
  </si>
  <si>
    <t>38,8 kg P/ha as P2O5; 55,8 kg K/ha as K2O</t>
  </si>
  <si>
    <t>continuous cotton</t>
  </si>
  <si>
    <t>vetch; crimson clover</t>
  </si>
  <si>
    <t>Pacolet fine sandy loam (clayay, kaolinitic, thermic Typic Hapludult)</t>
  </si>
  <si>
    <t>Juncture of the southern Piedmont Plateau and the Gulf Coastal Plain, Alabama</t>
  </si>
  <si>
    <t>1996 Proceedings Beltwide Cotton Conferences</t>
  </si>
  <si>
    <t>Mitchell</t>
  </si>
  <si>
    <t>Sultan silt loam soil (fine-silty, mesic Aquic Xerofluvent)</t>
  </si>
  <si>
    <t>Sultan, Washington, USA</t>
  </si>
  <si>
    <t>Soil Science Society of America Journal</t>
  </si>
  <si>
    <t>Kuo</t>
  </si>
  <si>
    <t>30 kg/ha K as KCl, 18 kg/ha P as triple superphosphate in 1991 and 1992; 223 kg/ha K as KCl in 1993; no N fertiliser</t>
  </si>
  <si>
    <t>continuous shepherd's-purse (Captella bursa pastoris (L.) Medikus)</t>
  </si>
  <si>
    <t>canola (Brassica napus L.)</t>
  </si>
  <si>
    <t>ryegrass (Lolium mulitflorum Lam.)</t>
  </si>
  <si>
    <t>Austrian winter pea (Lathyrus hirsutus L.)</t>
  </si>
  <si>
    <t>no fertilisation</t>
  </si>
  <si>
    <t>spring tillage</t>
  </si>
  <si>
    <t>Annual crop</t>
  </si>
  <si>
    <t>silty clay loam Westham soil (Rego Humic Gleysol)</t>
  </si>
  <si>
    <t>a lowland soil, Fraser River Delta, British Columbia, Canada</t>
  </si>
  <si>
    <t>Hermawan</t>
  </si>
  <si>
    <t>fall rye (Secale cereale L.)</t>
  </si>
  <si>
    <t>barley (Hordeum vulgare L.)</t>
  </si>
  <si>
    <t>Canfield silt loam (fine-loamy, mixed mesic Aquic Fragiudalf)</t>
  </si>
  <si>
    <t>Wooster, Ohio</t>
  </si>
  <si>
    <t>Eckert</t>
  </si>
  <si>
    <t>[corn only: 224 kg N/ha as either UAN (urea-ammonium nitrate solution) at 224 kg N/ha or UAN at 196 kg N/ha and AA (anhydrous ammonia) at 28 kg N/ha]; 26 kg P/ha; 48 kg K/ha</t>
  </si>
  <si>
    <t>rotation corn (Zea Mays L.) - soybean (Glycine max L. Merr.)</t>
  </si>
  <si>
    <t>Hoytville silty clay (fine, illitic, mesic Mollic Ochraqualf)</t>
  </si>
  <si>
    <t>15-to-20</t>
  </si>
  <si>
    <t>Hoytville, Ohio</t>
  </si>
  <si>
    <t>[corn only: 224 kg N/ha as either UAN (urea-ammonium nitrate solution) at 224 kg N/ha or UAN at 196 kg N/ha and AA (anhydrous ammonia) at 28 kg N/ha]; 38 kg P/ha; 72 kg K/ha; 4500 kg dolomitic limestone/ha one-time prior to study inception</t>
  </si>
  <si>
    <t>38 kg P/ha; 72 kg K/ha; 4500 kg dolomitic limestone/ha one-time prior to study inception</t>
  </si>
  <si>
    <t>continuous soybean (Glycine max L. Merr.)</t>
  </si>
  <si>
    <t>224 kg N/ha as either UAN (urea-ammonium nitrate solution) at 224 kg N/ha or UAN at 196 kg N/ha and AA (anhydrous ammonia) at 28 kg N/ha; 38 kg P/ha; 72 kg K/ha; 4500 kg dolomitic limestone/ha one-time prior to study inception</t>
  </si>
  <si>
    <t>elevation, temperature and precipitation taken from weatherbase.com -Lexington, Kentucky; soil C values averaged over two sampling dates (18.05.1985, 30.09.1985); grain yield averaged over two harvest years (1984, 1985)</t>
  </si>
  <si>
    <t>elevation taken fromhttp://www.autospur.de/Staumeldungen/wie-hoch.html -Bartow</t>
  </si>
  <si>
    <t>elevation, temperature and precipitation taken from weatherbase.com -Fort Valley, Georgia, USA</t>
  </si>
  <si>
    <t>elevation taken from weatherbase.com -Auburn, Alabama, USA; SOC calculated from SOM with factor 1:1,9 (taken from reference); texture calculated as mean of both plots (no CC and CC); P and K rates converted from lbs/acre to kg/ha</t>
  </si>
  <si>
    <t>elevation, temperature and precipitation taken from weatherbase.com -Startup, Washington, USA - near Sultan, Washington, USA</t>
  </si>
  <si>
    <t>elevation, temperature and precipitation taken from weatherbase.com -Wooster, Ohio</t>
  </si>
  <si>
    <t>1982-1985</t>
  </si>
  <si>
    <t>1993</t>
  </si>
  <si>
    <t>38</t>
  </si>
  <si>
    <t>1987-1994</t>
  </si>
  <si>
    <t>No till June 1994</t>
  </si>
  <si>
    <t>No till August 1994</t>
  </si>
  <si>
    <t>Eggplant</t>
  </si>
  <si>
    <t>Mg c per ha</t>
  </si>
  <si>
    <t>Kg per ha</t>
  </si>
  <si>
    <t>Mean-weight diameter (mm)</t>
  </si>
  <si>
    <t>Othre Aggregation indicator available</t>
  </si>
  <si>
    <t>Potential Cmin</t>
  </si>
  <si>
    <t>Potential Nmin</t>
  </si>
  <si>
    <t>1994-2001</t>
  </si>
  <si>
    <t>1995-2003</t>
  </si>
  <si>
    <t>NoPlot</t>
  </si>
  <si>
    <t>NoSupsample</t>
  </si>
  <si>
    <t>NoSubsample</t>
  </si>
  <si>
    <t>Corn (Zea mays L.) [2 years]</t>
  </si>
  <si>
    <t>continuous tomato (Lycopersicum esculentum Mill) [3 years]</t>
  </si>
  <si>
    <t>Only cover crop vs no cover crop data used</t>
  </si>
  <si>
    <t>Second site is same as study 92</t>
  </si>
  <si>
    <t>CCDryBiomass from Study 93</t>
  </si>
  <si>
    <t>no tillage/chisel plowing/moldboard plowing mixed</t>
  </si>
  <si>
    <t>moldboard plowing mixed</t>
  </si>
  <si>
    <t>1994-2000</t>
  </si>
  <si>
    <t>Mg c per ha, from table 6 study ID 93</t>
  </si>
  <si>
    <t>NO</t>
  </si>
  <si>
    <t>Rye/Blend</t>
  </si>
  <si>
    <t>Mixture of legume cover crops containing balansa clover, crimson clover, and hairy vetch</t>
  </si>
  <si>
    <t>U. M.</t>
  </si>
  <si>
    <t>Havre, MT, USA</t>
  </si>
  <si>
    <t>1998-2004</t>
  </si>
  <si>
    <t>Split-plot design</t>
  </si>
  <si>
    <t>Crop residue production (Mg per ha)</t>
  </si>
  <si>
    <t>Fig 1, kg/ha to mg per kg</t>
  </si>
  <si>
    <t>mg per ha</t>
  </si>
  <si>
    <t>CT</t>
  </si>
  <si>
    <t>NT</t>
  </si>
  <si>
    <t>1 kg N/ha</t>
  </si>
  <si>
    <t>171 kg N/ha as (prilled) NH4NO3 (33% N)</t>
  </si>
  <si>
    <t>1984-1985</t>
  </si>
  <si>
    <t>Abdallahi</t>
  </si>
  <si>
    <t>ferme expérimentale du Ministère de l'Agriculture, des Pêcheries et de l'Alimentation du Québec (MAPAQ), Saint-Lambert de Lévis, Québec, Canada</t>
  </si>
  <si>
    <t>humic Gleysol</t>
  </si>
  <si>
    <t>clover (Trifolium pratense L.)</t>
  </si>
  <si>
    <t>continuous wheat (Triticum aestivum L.)</t>
  </si>
  <si>
    <t>no data</t>
  </si>
  <si>
    <t>millet (Sorghum sudanensis L.)</t>
  </si>
  <si>
    <t>buckwheat (Fagapyrum esculentum L.)</t>
  </si>
  <si>
    <t>mustard (Brassica hirta Moench)</t>
  </si>
  <si>
    <t>colza (Brassica campestris L.)</t>
  </si>
  <si>
    <t>Amado</t>
  </si>
  <si>
    <t>Santa Maria, Brasil</t>
  </si>
  <si>
    <t>Paleudulf</t>
  </si>
  <si>
    <t>maize</t>
  </si>
  <si>
    <t>144 kg N</t>
  </si>
  <si>
    <t>Paleudalf, sandy clay loam</t>
  </si>
  <si>
    <t>Baumecker</t>
  </si>
  <si>
    <t>Schriftenreihe des Landesamtes für Verbraucherschutz, Landwirtschaft und Flurneuordnung</t>
  </si>
  <si>
    <t>Thyrow, Brandenburg, Germany</t>
  </si>
  <si>
    <t>Su2 / Fahlerde-Braunerde</t>
  </si>
  <si>
    <t>60 kg N/ha</t>
  </si>
  <si>
    <t>120 kg N/ha</t>
  </si>
  <si>
    <t>Bayer</t>
  </si>
  <si>
    <t>Experimental Station of the Federal University of Rio Grande do Sul, Eldorado do Sul, Rio Grande do Sul State, Brazil</t>
  </si>
  <si>
    <t>sand clay loam Acrisol</t>
  </si>
  <si>
    <t>common vetch and cowpea</t>
  </si>
  <si>
    <t>rotation Oat (Avena strigosa)+common vetch (Vicia sativa L.) cover crop / Maize (Zea mays L.)+cowpea (Vigna unguiculata) cover crop</t>
  </si>
  <si>
    <t>Constantin</t>
  </si>
  <si>
    <t>Agriculture, Ecosystems &amp; Environment</t>
  </si>
  <si>
    <t>Boigneville, Île-de-France</t>
  </si>
  <si>
    <t>Haplic luvisol on calcareous bedrock</t>
  </si>
  <si>
    <t>white mustard</t>
  </si>
  <si>
    <t>rotation winter wheat - spring barley - spring pea</t>
  </si>
  <si>
    <t>103 kg solid ammonium-nitrate</t>
  </si>
  <si>
    <t>0-to-28</t>
  </si>
  <si>
    <t>Kerlavic, Bretagne, France</t>
  </si>
  <si>
    <t>Dystric cambisol on granite bedrock</t>
  </si>
  <si>
    <t>Italian Ryegrass</t>
  </si>
  <si>
    <t>125 kg solid ammonium-nitrate</t>
  </si>
  <si>
    <t>Thibie, Champagne-Ardenne, France</t>
  </si>
  <si>
    <t xml:space="preserve">Rendzina with a loam texture lying on chalk </t>
  </si>
  <si>
    <t>radish or winter cereal</t>
  </si>
  <si>
    <t>rotation spring pea - winter wheat - sugar beet; last 4 years winter wheat - spring barley - sugar beet</t>
  </si>
  <si>
    <t>123 kg liquid urea ammonium-nitrate</t>
  </si>
  <si>
    <t>0-to-23.5</t>
  </si>
  <si>
    <t>rotation spring pea - winter wheat - sugar beet</t>
  </si>
  <si>
    <t>84 kg liquid urea ammonium-nitrate</t>
  </si>
  <si>
    <t>Curtin</t>
  </si>
  <si>
    <t>Semiarid Prairie Agricultural Research Centre, Swift Current, Saskatchewan, Canada</t>
  </si>
  <si>
    <t>Swinton loam (Orthic Brown Chernozem)</t>
  </si>
  <si>
    <t>Indianhead black lentil (Lens culinaris Medikus)</t>
  </si>
  <si>
    <t>continuous wheat (Triticum aestivum L.) * 2 each year</t>
  </si>
  <si>
    <t>17-63 kg N/ha ; 9,5 kg P/ha as monoammonium phophate</t>
  </si>
  <si>
    <t>Mazzoncini</t>
  </si>
  <si>
    <t>Interdepartmental Centre for Agro-Environmental Research (CIRAA) 'Enrico Avanci', University of Pisa, Central Italy</t>
  </si>
  <si>
    <t xml:space="preserve">Typic Xerofluvent loam soil </t>
  </si>
  <si>
    <t xml:space="preserve">continuous maize </t>
  </si>
  <si>
    <t>CT / NT (not clear which one, influence found to be not significant)</t>
  </si>
  <si>
    <t>20 kg P/ha as superphosphate; 42 kg K/ha as potassium sulphate</t>
  </si>
  <si>
    <t>rye (Secale cereale L.) (11 years); brown mustard (Brassica luncea L.) (4 years)</t>
  </si>
  <si>
    <t>continuous maize (5 years);  rotation wheat - maize (6 years); rotation wheat - maize - wheat - sunflower (4 years)</t>
  </si>
  <si>
    <t>subterranean clover (Trifolium subterraneum L.)</t>
  </si>
  <si>
    <t>Metay</t>
  </si>
  <si>
    <t>Goiania, Brasil</t>
  </si>
  <si>
    <t>Clayey Oxisol</t>
  </si>
  <si>
    <t>111 Kg N</t>
  </si>
  <si>
    <t>Nascente</t>
  </si>
  <si>
    <t>Sadat-Dastegheibi</t>
  </si>
  <si>
    <t>Dissertation</t>
  </si>
  <si>
    <t>Sandgrenzweg, Versuchsgut Rauisch-Holzhausen, Institut für Pflanzenbau und Pflanzenzüchtung, Justus-Liebig Universität Gießen, Germany</t>
  </si>
  <si>
    <t>Parabraunerde mit deutlicher Tonverlagerung und ausgeprägtem B-Horizont</t>
  </si>
  <si>
    <t>oilseed radish (Raphanus sativus oleiferus)</t>
  </si>
  <si>
    <t>0 kg N/ha; [apparently only last year: 130 kg K2O/ha; 70 kg P2O5/ha]</t>
  </si>
  <si>
    <t>20 kg N/ha; [apparently only last year: 130 kg K2O/ha; 70 kg P2O5/ha]</t>
  </si>
  <si>
    <t>40 kg N/ha; [apparently only last year: 130 kg K2O/ha; 70 kg P2O5/ha]</t>
  </si>
  <si>
    <t>60 kg N/ha; [apparently only last year: 130 kg K2O/ha; 70 kg P2O5/ha]</t>
  </si>
  <si>
    <t>0 kg N/ha; 5000 kg straw/ha; [apparently only last year: 130 kg K2O/ha; 70 kg P2O5/ha]</t>
  </si>
  <si>
    <t>20 kg N/ha; 5000 kg straw/ha; [apparently only last year: 130 kg K2O/ha; 70 kg P2O5/ha]</t>
  </si>
  <si>
    <t>40 kg N/ha; 5000 kg straw/ha; [apparently only last year: 130 kg K2O/ha; 70 kg P2O5/ha]</t>
  </si>
  <si>
    <t>60 kg N/ha; 5000 kg straw/ha; [apparently only last year: 130 kg K2O/ha; 70 kg P2O5/ha]</t>
  </si>
  <si>
    <t>Thomsen</t>
  </si>
  <si>
    <t>Soil Use and Management</t>
  </si>
  <si>
    <t>Askov Experimental Station, Denmark</t>
  </si>
  <si>
    <t>light sandy loam (Alfisol (Typic Hapludalf))</t>
  </si>
  <si>
    <t>perennial ryegrass (Lolium perenne L.)</t>
  </si>
  <si>
    <t>continuous spring barley (Hordeum vulgare L.)</t>
  </si>
  <si>
    <t>mouldboard ploughing</t>
  </si>
  <si>
    <t>14 kg P/ha as mineral fertiliser; 48 kg K/ha as mineral fertiliser</t>
  </si>
  <si>
    <t>Wilson</t>
  </si>
  <si>
    <t>Witter</t>
  </si>
  <si>
    <t>Biology and Fertility of Soils</t>
  </si>
  <si>
    <t>Ultuna, Uppsala, Sweden</t>
  </si>
  <si>
    <t>clay loam</t>
  </si>
  <si>
    <t>20 kg P/ha; 35-38 kg K/ha</t>
  </si>
  <si>
    <t>Zimmer</t>
  </si>
  <si>
    <t>Dauerfeldversuche in Brandenburg und Berlin</t>
  </si>
  <si>
    <t>Gemeinde Groß Kreutz, Brandenburg, Deutschland, Germany</t>
  </si>
  <si>
    <t>Tieflehm-Fahlerde/Bändersand-Braunerde; FAO: Albic Luvisol/ Luvic Arenosol; anlehmiger Sand (Sl, AZ 33/31)</t>
  </si>
  <si>
    <t>rotation silage maize - autumn-sown rye - autumn-sown rye</t>
  </si>
  <si>
    <t>120 - 90 - 90 kg N/ha (in rotation); 5000 kg straw;15-50 kg P/ha; 40-160 kg K/ha</t>
  </si>
  <si>
    <t>Colza</t>
  </si>
  <si>
    <t>1991-2001</t>
  </si>
  <si>
    <t>1985-2001</t>
  </si>
  <si>
    <t>Eldorado sul, Brasil</t>
  </si>
  <si>
    <t>Cruz Alta, Brasil</t>
  </si>
  <si>
    <t>1985-2004</t>
  </si>
  <si>
    <t>Velvet beans</t>
  </si>
  <si>
    <t>Tropical legume</t>
  </si>
  <si>
    <t>Common vetch or Cowpea</t>
  </si>
  <si>
    <t>Black oat-maize</t>
  </si>
  <si>
    <t>Soybean_Maize</t>
  </si>
  <si>
    <t>Black oat or vetch or radish</t>
  </si>
  <si>
    <t>130 kg N</t>
  </si>
  <si>
    <t>73 kg N</t>
  </si>
  <si>
    <t>48 kg N</t>
  </si>
  <si>
    <t>Winter turnips every 2nd year after culmination</t>
  </si>
  <si>
    <t>Rotation Potatoes - Winter rye - Silo maize - Winter rye</t>
  </si>
  <si>
    <t>C.</t>
  </si>
  <si>
    <t>Rotation Oat (Avena strigosa)+common vetch (Vicia sativa L.) cover crop / Maize (Zea mays L.)+cowpea (Vigna unguiculata) cover crop</t>
  </si>
  <si>
    <t>Oat (Avena strigosa)+Maize (Zea mays L.)</t>
  </si>
  <si>
    <t>1985-1994</t>
  </si>
  <si>
    <t>ka per ha</t>
  </si>
  <si>
    <t>0-to-2.5</t>
  </si>
  <si>
    <t>2.5-to-5</t>
  </si>
  <si>
    <t>5-to-7.5</t>
  </si>
  <si>
    <t>7.5-to-10</t>
  </si>
  <si>
    <t>kg c per m3</t>
  </si>
  <si>
    <t>1990-2006</t>
  </si>
  <si>
    <t>1987-2005</t>
  </si>
  <si>
    <t>t per ha</t>
  </si>
  <si>
    <t>rotation winter wheat - silage maize</t>
  </si>
  <si>
    <t>Winter wheat - silage maize</t>
  </si>
  <si>
    <t>BG</t>
  </si>
  <si>
    <t>Mixed of  brassica and grass</t>
  </si>
  <si>
    <t>Winter wheat - spring pea - barly</t>
  </si>
  <si>
    <t>Winter wheat - sugar beet - pea</t>
  </si>
  <si>
    <t>Winter wheat</t>
  </si>
  <si>
    <t>Spring barley</t>
  </si>
  <si>
    <t>Spring pea</t>
  </si>
  <si>
    <t>Silage maize</t>
  </si>
  <si>
    <t>Sugar beet</t>
  </si>
  <si>
    <t>t dry matter / ha to kg per ha</t>
  </si>
  <si>
    <t>Drainage</t>
  </si>
  <si>
    <t>kg per ha per yr</t>
  </si>
  <si>
    <t>1993-1995</t>
  </si>
  <si>
    <t>30 kg N/ha</t>
  </si>
  <si>
    <t>90 kg N/ha</t>
  </si>
  <si>
    <t>Total mineralized nitrogen, mg NO3 per kg soil</t>
  </si>
  <si>
    <t>Potential mineralized nitrogen, mg NO3 per kg soil</t>
  </si>
  <si>
    <t>DMP</t>
  </si>
  <si>
    <t>mu g PNP per g soil</t>
  </si>
  <si>
    <t>mg c per kg soil to %</t>
  </si>
  <si>
    <t>mg NH4 per h</t>
  </si>
  <si>
    <t>1987-1996</t>
  </si>
  <si>
    <t>g/kg to %</t>
  </si>
  <si>
    <t>g per kg to mg per kg</t>
  </si>
  <si>
    <t>mg per kg</t>
  </si>
  <si>
    <t>1995, kg per ha</t>
  </si>
  <si>
    <t>1996, kg per ha</t>
  </si>
  <si>
    <t>rotation wheat - maize (6 years); rotation wheat - maize - wheat - sunflower (4 years)</t>
  </si>
  <si>
    <t>Main crop residues, Mg per ha to kg per ha per yr</t>
  </si>
  <si>
    <t>Brachiaria (grass) and Crotalaria (leguminous plant)</t>
  </si>
  <si>
    <t>Disc till</t>
  </si>
  <si>
    <t>No till</t>
  </si>
  <si>
    <t>2001-2010</t>
  </si>
  <si>
    <t>A. S.</t>
  </si>
  <si>
    <t>Crop Science</t>
  </si>
  <si>
    <t>Cerrado Region, Brazil</t>
  </si>
  <si>
    <t xml:space="preserve">Kaolinitic, thermic Typic Haplorthox </t>
  </si>
  <si>
    <t>Guinea grass</t>
  </si>
  <si>
    <t>Weedy fallow</t>
  </si>
  <si>
    <t>Signal grass</t>
  </si>
  <si>
    <t>Palisade grass</t>
  </si>
  <si>
    <t>Wheat -summer wheat - summer barley</t>
  </si>
  <si>
    <t>Rotation winter wheat -summer wheat - summer barley</t>
  </si>
  <si>
    <t>Harrowing</t>
  </si>
  <si>
    <t>I. K.</t>
  </si>
  <si>
    <t>1981-2002</t>
  </si>
  <si>
    <t>G. F.</t>
  </si>
  <si>
    <t>Ibadan,  Nigeria</t>
  </si>
  <si>
    <t>1975-1978</t>
  </si>
  <si>
    <t>Clayey, skeletal, kaolinitic, isohyperthermic oxic paleustalf</t>
  </si>
  <si>
    <t>Grasses</t>
  </si>
  <si>
    <t>Legumes</t>
  </si>
  <si>
    <t>Ca and Mg</t>
  </si>
  <si>
    <t>Brachiaria</t>
  </si>
  <si>
    <t xml:space="preserve">Paspalum </t>
  </si>
  <si>
    <t>Cynodon</t>
  </si>
  <si>
    <t>Pueraria</t>
  </si>
  <si>
    <t>Stylosanthes</t>
  </si>
  <si>
    <t>Stizolobium</t>
  </si>
  <si>
    <t>Psophocarpus</t>
  </si>
  <si>
    <t>Centrosema</t>
  </si>
  <si>
    <t>Sprayed</t>
  </si>
  <si>
    <t>Mowed</t>
  </si>
  <si>
    <t>Maize stove</t>
  </si>
  <si>
    <t>Cowpea</t>
  </si>
  <si>
    <t>Cassava</t>
  </si>
  <si>
    <t>Table VIII</t>
  </si>
  <si>
    <t>Table VII</t>
  </si>
  <si>
    <t>Buenos Aires</t>
  </si>
  <si>
    <t>TA</t>
  </si>
  <si>
    <t>Triticosecale/Common_vetch</t>
  </si>
  <si>
    <t>Flowering of triticosecale</t>
  </si>
  <si>
    <t>Soybean-soybean</t>
  </si>
  <si>
    <t>TH</t>
  </si>
  <si>
    <t>Triticosecale</t>
  </si>
  <si>
    <t>Tillering</t>
  </si>
  <si>
    <t>Stem elongation</t>
  </si>
  <si>
    <t>Maturity</t>
  </si>
  <si>
    <t>EH</t>
  </si>
  <si>
    <t>Oat/Raygrass</t>
  </si>
  <si>
    <t>TU</t>
  </si>
  <si>
    <t>Centeno</t>
  </si>
  <si>
    <t>Early september</t>
  </si>
  <si>
    <t>No application</t>
  </si>
  <si>
    <t>P and S to soybean</t>
  </si>
  <si>
    <t>Sepetember</t>
  </si>
  <si>
    <t>Raigrass</t>
  </si>
  <si>
    <t>Corn-wheat/soybean-soybean</t>
  </si>
  <si>
    <t>End september to early november</t>
  </si>
  <si>
    <t>Cordoba</t>
  </si>
  <si>
    <t>Wheat-soybean</t>
  </si>
  <si>
    <t>Early August</t>
  </si>
  <si>
    <t>Cover crop deciccation</t>
  </si>
  <si>
    <t>Corn harvest</t>
  </si>
  <si>
    <t>Middle August</t>
  </si>
  <si>
    <t>Soybean harvest</t>
  </si>
  <si>
    <t>Oat/Common_vetch</t>
  </si>
  <si>
    <t>Wheat-corn-soybean</t>
  </si>
  <si>
    <t>Cebadilla</t>
  </si>
  <si>
    <t>Common_vetch</t>
  </si>
  <si>
    <t>EHI</t>
  </si>
  <si>
    <t>La Pampa</t>
  </si>
  <si>
    <t>Trigo</t>
  </si>
  <si>
    <t>Corn-Soybean/Wheat-soybean</t>
  </si>
  <si>
    <t>Beginning of heading</t>
  </si>
  <si>
    <t>Sepiga embuchada</t>
  </si>
  <si>
    <t xml:space="preserve">Alessandria  </t>
  </si>
  <si>
    <t xml:space="preserve">Alvarez  </t>
  </si>
  <si>
    <t xml:space="preserve">Barraco  </t>
  </si>
  <si>
    <t xml:space="preserve">Beltran  </t>
  </si>
  <si>
    <t xml:space="preserve">Brambilla  </t>
  </si>
  <si>
    <t xml:space="preserve">Cazorla  </t>
  </si>
  <si>
    <t xml:space="preserve">Giron  </t>
  </si>
  <si>
    <t xml:space="preserve">Lardone  </t>
  </si>
  <si>
    <t xml:space="preserve">Restovich  </t>
  </si>
  <si>
    <t xml:space="preserve">Rillo  </t>
  </si>
  <si>
    <t xml:space="preserve">Salvagiotti  </t>
  </si>
  <si>
    <t xml:space="preserve">Scianca  </t>
  </si>
  <si>
    <t>GG</t>
  </si>
  <si>
    <t>5,29</t>
  </si>
  <si>
    <t>3,10</t>
  </si>
  <si>
    <t>14,16,17</t>
  </si>
  <si>
    <t>18,27</t>
  </si>
  <si>
    <t>26,30,56,60</t>
  </si>
  <si>
    <t>40,41</t>
  </si>
  <si>
    <t>Typic Hapludoll</t>
  </si>
  <si>
    <t>Entic Haplustoll</t>
  </si>
  <si>
    <t>Typic Ustisament</t>
  </si>
  <si>
    <t>Thapto Argic Hapludoll</t>
  </si>
  <si>
    <t>Entic Hapludoll</t>
  </si>
  <si>
    <t>Author_G represent experiment ID</t>
  </si>
  <si>
    <t>Journal represent Journal ID</t>
  </si>
  <si>
    <t>Abdollahi</t>
  </si>
  <si>
    <t>Lotfollah</t>
  </si>
  <si>
    <t>Research  Centre  Foulum,  Denmark</t>
  </si>
  <si>
    <t xml:space="preserve">Hapludalf </t>
  </si>
  <si>
    <t>Split plot</t>
  </si>
  <si>
    <t>Direct drilling</t>
  </si>
  <si>
    <t>Moldboard plowing</t>
  </si>
  <si>
    <t>Biomass of cach crop (biomass of grain crop such as stem, leave, root, but not include yield) of control</t>
  </si>
  <si>
    <t>Biomass of cach crop (biomass of grain crop such as stem, leave, root, but not include yield) of cover crop</t>
  </si>
  <si>
    <t>Fodder radish</t>
  </si>
  <si>
    <t>Visual evaluation of soil structire available</t>
  </si>
  <si>
    <t>Average of direct, harrowing, and moldboard tillage</t>
  </si>
  <si>
    <t>Always add comments, units, whether have units convert, etc.</t>
  </si>
  <si>
    <t>SOC, g/kg to %</t>
  </si>
  <si>
    <t>Do not mix up control and treatment</t>
  </si>
  <si>
    <t>Backgroud information and response data should always match</t>
  </si>
  <si>
    <t>TN, g/kg to mg/kg</t>
  </si>
  <si>
    <t>g/kg to mg/kg</t>
  </si>
  <si>
    <t>Mpa</t>
  </si>
  <si>
    <t>MPa</t>
  </si>
  <si>
    <t>Soil depth, top layer, surface layer, need see soil sampling description</t>
  </si>
  <si>
    <t>15-to-25</t>
  </si>
  <si>
    <t>cm per day, at 4 cm surface</t>
  </si>
  <si>
    <t>4-to-8</t>
  </si>
  <si>
    <t>12-to-16</t>
  </si>
  <si>
    <t>18-to-27</t>
  </si>
  <si>
    <t>Air permeability at -3 kPa, mu m2</t>
  </si>
  <si>
    <t>Air permeability at -3 kPa, mu m3</t>
  </si>
  <si>
    <t>Air permeability at -3 kPa, mu m4</t>
  </si>
  <si>
    <t>Units for OC is % or Mg per ha</t>
  </si>
  <si>
    <t>Ward</t>
  </si>
  <si>
    <t>P. R.</t>
  </si>
  <si>
    <t>Field Crops Research</t>
  </si>
  <si>
    <t>2007-2009</t>
  </si>
  <si>
    <t>Sandy</t>
  </si>
  <si>
    <t>Cunderdin, Australia</t>
  </si>
  <si>
    <t>Mingenew, Perth, Australia</t>
  </si>
  <si>
    <t>Saia</t>
  </si>
  <si>
    <t>Oilseed</t>
  </si>
  <si>
    <t>Oat/ Saia oat</t>
  </si>
  <si>
    <t>Saia CC/Wheat</t>
  </si>
  <si>
    <t>Oilseed/Wheat</t>
  </si>
  <si>
    <t>Annual drainage (mm)</t>
  </si>
  <si>
    <t>1.BiomassCash_Comments</t>
  </si>
  <si>
    <t>2.Yield_Comments</t>
  </si>
  <si>
    <t>3.BD_Comments</t>
  </si>
  <si>
    <t>4.OC_Comments</t>
  </si>
  <si>
    <t>5.N_Comments</t>
  </si>
  <si>
    <t>6.P_Comments</t>
  </si>
  <si>
    <t>7.K_Comments</t>
  </si>
  <si>
    <t>8.pH_Comments</t>
  </si>
  <si>
    <t>9.CEC_Comments</t>
  </si>
  <si>
    <t>10.EC_Comments</t>
  </si>
  <si>
    <t>11.BS_Comments</t>
  </si>
  <si>
    <t>12.Aggre_Comments</t>
  </si>
  <si>
    <t>13.Porosity_Comments</t>
  </si>
  <si>
    <t>14.Penetration_Comments</t>
  </si>
  <si>
    <t>15.Infiltration_Comments</t>
  </si>
  <si>
    <t>16.Ksat_Comments</t>
  </si>
  <si>
    <t>17.Erosion_Comments</t>
  </si>
  <si>
    <t>18.Runoff_Comments</t>
  </si>
  <si>
    <t>19.Leaching_Comments</t>
  </si>
  <si>
    <t>20.ST_Comments</t>
  </si>
  <si>
    <t>21.SWC_Comments</t>
  </si>
  <si>
    <t>22.AWHC_Comments</t>
  </si>
  <si>
    <t>23.Weed_Comments</t>
  </si>
  <si>
    <t>24.Diseases_Comments</t>
  </si>
  <si>
    <t>25.Pests_Comments</t>
  </si>
  <si>
    <t>26.SoilFauna_Comments</t>
  </si>
  <si>
    <t>27.Fungal_Comments</t>
  </si>
  <si>
    <t>28.OtherMicrobial_Comments</t>
  </si>
  <si>
    <t>29.Enzyme_Comments</t>
  </si>
  <si>
    <t>30.Cmina_Comments</t>
  </si>
  <si>
    <t>31.Nmina_Comments</t>
  </si>
  <si>
    <t>32.NxO_Comm</t>
  </si>
  <si>
    <t>33.SIR_Comments</t>
  </si>
  <si>
    <t>34.CO2BTest_Comments</t>
  </si>
  <si>
    <t>35.CO2_Comm</t>
  </si>
  <si>
    <t>36.CH4_Comm</t>
  </si>
  <si>
    <t>37.MBC_Comments</t>
  </si>
  <si>
    <t>38.MBN_Comments</t>
  </si>
  <si>
    <t>Sampling year, should be earlier than publication year</t>
  </si>
  <si>
    <t>Latitude of site</t>
  </si>
  <si>
    <t>Longitude of site</t>
  </si>
  <si>
    <t>Elevation of site</t>
  </si>
  <si>
    <t>Annual average air temperature</t>
  </si>
  <si>
    <t>Mean annual air temperature within study period (1960-2017?)</t>
  </si>
  <si>
    <t>Mean annual precipitation within study period (1960-2017?)</t>
  </si>
  <si>
    <t>Study site's climate type, can be obtain from climate koeppon</t>
  </si>
  <si>
    <t>How many years cover crop applied before samples taken , e.g., experiment initiated at 1991, sample take at 1995, then fill with 5</t>
  </si>
  <si>
    <t>Detail as possible</t>
  </si>
  <si>
    <t>℃</t>
  </si>
  <si>
    <t>A, B, C, D, E five first climate classification, 18? Second classification</t>
  </si>
  <si>
    <t>Cover crop experiment period, also record comments about sampling time and others</t>
  </si>
  <si>
    <t>Difference between bottom and top, e.g., 10-to-20, fill with 10, and so on</t>
  </si>
  <si>
    <t>Soil sampling depth from top to bottom, formated as: top-to-botton, e.g., 10-to-20, and so on</t>
  </si>
  <si>
    <t>Within a study, what is the top-layer of their soil sampling method, e.g., one study take soil samples from 0-to-10, 10-to-30, and 30-to-60 cm, then toplayer will be 0-to-10</t>
  </si>
  <si>
    <t>Within a study, to define the surface-laye: if soil sampling depth less than 60cm then fill as 0-to-the-very-bottom, if soil sampling deeper than 60cm, set as 0-to-60, e.g., one study take soil sample, 0-to-10, 10-to-30, and 30-to-50 cm, then surface-layer will be 0-to-50, one study take soil sample, 0-to-10, 10-to-30, and 30-to-120 cm, then surface-layer will be 0-to-60</t>
  </si>
  <si>
    <t>Soil total C, this is the background soil carbon information, discriminate this column and OC_C, OC_T in the response</t>
  </si>
  <si>
    <t>Soil family or soil group information, should be note that there are may soil classification system in the word</t>
  </si>
  <si>
    <t>Cover crop grouped by function or family, please see more details in the CoverCropGroup sheet</t>
  </si>
  <si>
    <t>Grain crop grouped by function or family, please see more details in the GrainCropGroup sheet</t>
  </si>
  <si>
    <t>Grain crop type, also called cash crop</t>
  </si>
  <si>
    <t>Cover crop type, some literature called catch crop, green manure</t>
  </si>
  <si>
    <t>Applied fertilization information for control</t>
  </si>
  <si>
    <t>Applied fertilization information for cover crop</t>
  </si>
  <si>
    <t>Whether control and cover crop applied fifferent fertilizer level, yes or no</t>
  </si>
  <si>
    <t>Whether type of tillage differ between control and cover crop, yes or no</t>
  </si>
  <si>
    <t>Whether type of rotation/crop sequence differ between control and cover crop, yes or no</t>
  </si>
  <si>
    <t>Control description, winter fallow, summer fallow, no cover crop</t>
  </si>
  <si>
    <t>Number of plot</t>
  </si>
  <si>
    <t>Number of replication or subsamples</t>
  </si>
  <si>
    <t>CRD,RCBD, split-design etc.</t>
  </si>
  <si>
    <t>Carbon to nitrogen ratio from the dry biomass of cover crop (determine manure quality)</t>
  </si>
  <si>
    <t>Method of killing cover crop</t>
  </si>
  <si>
    <t>Other meta information need to make comments</t>
  </si>
  <si>
    <t xml:space="preserve">Comments on biomass of cach crop (note that this biomass not include yield) </t>
  </si>
  <si>
    <t xml:space="preserve">Yield of grain(cash) crop from control </t>
  </si>
  <si>
    <t>Yield of grain(cash) crop from treatment</t>
  </si>
  <si>
    <t>Comments on Yield of control</t>
  </si>
  <si>
    <t>° (degree)</t>
  </si>
  <si>
    <t>Bulk density of control</t>
  </si>
  <si>
    <t>Bulk density of treatment</t>
  </si>
  <si>
    <t>Comments on bulk density of treatment</t>
  </si>
  <si>
    <t>Units: %, if without explaination in the comments</t>
  </si>
  <si>
    <t>Nitrogen of treatment (mean value), total nitrogen if without comments</t>
  </si>
  <si>
    <t>Nitrogen of control (mean value), total nitrogen if without comments</t>
  </si>
  <si>
    <t>Comments on nitrogen of treatment</t>
  </si>
  <si>
    <t>Comments on phosphorus of treatment</t>
  </si>
  <si>
    <t>Comments on potassium of treatment</t>
  </si>
  <si>
    <t xml:space="preserve">Comments on pH of treatment </t>
  </si>
  <si>
    <t xml:space="preserve">Comments on CEC of treatment </t>
  </si>
  <si>
    <t xml:space="preserve">Comments on EC of treatment </t>
  </si>
  <si>
    <t>Comments on Base Satuatio of treatment</t>
  </si>
  <si>
    <t>Soil aggregation of treatment (mean value), there are multiple indicators of soil aggregation, always make notes</t>
  </si>
  <si>
    <t>Comments on Soil aggregation of treatment, there are multiple indicators of soil aggregation, always make notes</t>
  </si>
  <si>
    <t xml:space="preserve">Comments on Porosity, air permeability of treatment </t>
  </si>
  <si>
    <t>Comments on Penetration resistance of treatment, root</t>
  </si>
  <si>
    <t>Infiltration rate of treatment, water</t>
  </si>
  <si>
    <t>Comments on Field satuted hydrolic conductivity of treatment</t>
  </si>
  <si>
    <t>Runoff_T</t>
  </si>
  <si>
    <t>Runoff, drainage of control</t>
  </si>
  <si>
    <t>Runoff, drainage of treatment (mean value)</t>
  </si>
  <si>
    <t>Comments on runoff, drainage</t>
  </si>
  <si>
    <t xml:space="preserve">Nitrogen loss, nitrate concentration in the runoff, in the drainage of control </t>
  </si>
  <si>
    <t>Nitrogen loss, nitrate concentration in the runoff, in the drainage of ccover crop</t>
  </si>
  <si>
    <t>Comments on Nitrogen loss, nitrate concentration in the runoff, in the drainage</t>
  </si>
  <si>
    <t>Comments on Soil temperature of treatment</t>
  </si>
  <si>
    <t>Soil water content of treatment (mean value), Field capacity, Permanent wilting point of cover crop treatment</t>
  </si>
  <si>
    <t>Soil water content of control (mean value), Field capacity, Permanent wilting point of control</t>
  </si>
  <si>
    <t>Comments on Soil water content of treatment</t>
  </si>
  <si>
    <t>Comments on Available water hold capacity of treatment</t>
  </si>
  <si>
    <t>Comments on Weed of treatment</t>
  </si>
  <si>
    <t>Diseases of grain(cash) crop from control</t>
  </si>
  <si>
    <t>Diseases of grain(cash) crop from cover crop treatment</t>
  </si>
  <si>
    <t>Comments on Diseases</t>
  </si>
  <si>
    <t>Comments on pests</t>
  </si>
  <si>
    <t>Pests of grain(cash) crop from control</t>
  </si>
  <si>
    <t>Pests of grain(cash) crop from cover crop treatment</t>
  </si>
  <si>
    <t>Earthwarm, authpods, nematode (soil should benefit from their exists) of soil from control</t>
  </si>
  <si>
    <t>Earthwarm, authpods, nematode (soil should benefit from their exists) of soil from cover crop</t>
  </si>
  <si>
    <t>Comments on soil fauna</t>
  </si>
  <si>
    <t>bacterial, fungual, microrrizal of soil from control</t>
  </si>
  <si>
    <t>bacterial, fungual, microrrizal of soil from cover crop</t>
  </si>
  <si>
    <t>Comments on soil fungual</t>
  </si>
  <si>
    <t>PLFA, Microbial fatty acid methyl esters (FAMEs), other Microbial functional diversity evaluated by Shannon's diversity index etc of soil from control</t>
  </si>
  <si>
    <t>PLFA, Microbial fatty acid methyl esters (FAMEs), other Microbial functional diversity evaluated by Shannon's diversity index etc of soil from cover crop</t>
  </si>
  <si>
    <t>Comments of other microbial indicator</t>
  </si>
  <si>
    <t>Enzyme activity such as Phenol oxidase, beta-glucosidase, b-glucosaminidase, and Phosphodiesterase of soil from control</t>
  </si>
  <si>
    <t>Enzyme activity such as Phenol oxidase, beta-glucosidase, b-glucosaminidase, and Phosphodiesterase of soil from cover crop</t>
  </si>
  <si>
    <t>Comments on enzyme indicator</t>
  </si>
  <si>
    <t>Comments on Carbon minierazation of treatment</t>
  </si>
  <si>
    <t>Comments on Nitrogen minierazation of treatment</t>
  </si>
  <si>
    <t xml:space="preserve">Substract induced respiration of treatment </t>
  </si>
  <si>
    <t>Comments on CO2 burst test respiration respiration of treatment</t>
  </si>
  <si>
    <t>Soil respiration (some literature called CO2 efflux, CO2 flux) of control</t>
  </si>
  <si>
    <t>Soil respiration (some literature called CO2 efflux, CO2 flux) of treatment</t>
  </si>
  <si>
    <t>Comments on Microbe Biomass Carbon of treatment</t>
  </si>
  <si>
    <t>Comments on Microbe Biomass Nitrogen of treatment</t>
  </si>
  <si>
    <t>Whether reported microelement (Mn, Zn, Cu etc.)</t>
  </si>
  <si>
    <t>Soil quality indicator, soil health indicator</t>
  </si>
  <si>
    <t xml:space="preserve">Ecosystem services indicator </t>
  </si>
  <si>
    <t>Units varied,unit is kg/hm2 if without explaination in the comments</t>
  </si>
  <si>
    <t>Units: kg/hm2 if without explaination in the comments</t>
  </si>
  <si>
    <t>Always make comments</t>
  </si>
  <si>
    <t>Always g/cm3</t>
  </si>
  <si>
    <t>Make comments if necessary</t>
  </si>
  <si>
    <t>No unit</t>
  </si>
  <si>
    <t>Unites varied</t>
  </si>
  <si>
    <t>Units: mg kg-1 soil if without explaination in the comments</t>
  </si>
  <si>
    <t>Units: cmolc kg-1 if without explaination in the comments</t>
  </si>
  <si>
    <t>Units: dS m–1 if without explaination in the comments</t>
  </si>
  <si>
    <t>Units varied: g/kg if without explaination in the comments</t>
  </si>
  <si>
    <t>% if without explaination in the comments</t>
  </si>
  <si>
    <t>Units:Mpa if without explaination in the comments</t>
  </si>
  <si>
    <t>Units: mm/h if without explaination in the comments</t>
  </si>
  <si>
    <t>Units: cm/h if without explaination in the comments</t>
  </si>
  <si>
    <t>kg/ha if without explaination in the comments</t>
  </si>
  <si>
    <t>Units: Mg per ha if without explaination in the comments</t>
  </si>
  <si>
    <t>Unites: kg per kg (gravimetric water content) if without explaination in the comments</t>
  </si>
  <si>
    <t>Units: g/g if without explaination in the comments</t>
  </si>
  <si>
    <t>Units varied: kg per ha if without explaination in the comments</t>
  </si>
  <si>
    <t>Units: mu_g per g soil if without explaination in the comments</t>
  </si>
  <si>
    <t>Unit varied</t>
  </si>
  <si>
    <t>Units: mg/kg if without explaination in the comments</t>
  </si>
  <si>
    <t>mg NO3-N / kg soil if without explaination in the comments</t>
  </si>
  <si>
    <t>mu g g-1 if without explaination in the comments</t>
  </si>
  <si>
    <t>Units:  mg CO2 kg−1 soil d−1 if without explaination in the comments</t>
  </si>
  <si>
    <t>kg per ha if without explaination in the comments</t>
  </si>
  <si>
    <t>FAO soil classification</t>
  </si>
  <si>
    <t xml:space="preserve">J. P. M. </t>
  </si>
  <si>
    <t>Whish</t>
  </si>
  <si>
    <t>2004-2006</t>
  </si>
  <si>
    <t>Queensland, New South Wales, Australia</t>
  </si>
  <si>
    <t>Crop and Pasture Science</t>
  </si>
  <si>
    <t>Spray out 1</t>
  </si>
  <si>
    <t>Spray out 2</t>
  </si>
  <si>
    <t>Spray out 3</t>
  </si>
  <si>
    <t>Average from 5 points from figure 3 (mm)</t>
  </si>
  <si>
    <t>Abunyewa</t>
  </si>
  <si>
    <t>A. A.</t>
  </si>
  <si>
    <t>Land Degredation and Development</t>
  </si>
  <si>
    <t>Nyankpala,  near  Tamale,  northern  Ghana</t>
  </si>
  <si>
    <t>1997-2000</t>
  </si>
  <si>
    <t>SET #1</t>
  </si>
  <si>
    <t>Organic soils</t>
  </si>
  <si>
    <t>HISTOSOLS</t>
  </si>
  <si>
    <t>SET #2</t>
  </si>
  <si>
    <r>
      <t>Mineral soils whose formation was conditioned by </t>
    </r>
    <r>
      <rPr>
        <i/>
        <sz val="12"/>
        <color theme="1"/>
        <rFont val="Garamond"/>
        <family val="1"/>
      </rPr>
      <t>human influences</t>
    </r>
    <r>
      <rPr>
        <sz val="12"/>
        <color theme="1"/>
        <rFont val="Garamond"/>
        <family val="1"/>
      </rPr>
      <t> (not confined to any particular region)</t>
    </r>
  </si>
  <si>
    <t>ANTHROSOLS</t>
  </si>
  <si>
    <t>SET #3</t>
  </si>
  <si>
    <r>
      <t>Mineral soils whose formation was conditioned by their </t>
    </r>
    <r>
      <rPr>
        <i/>
        <sz val="12"/>
        <color theme="1"/>
        <rFont val="Garamond"/>
        <family val="1"/>
      </rPr>
      <t>parent material</t>
    </r>
  </si>
  <si>
    <r>
      <t>- Soils developed in </t>
    </r>
    <r>
      <rPr>
        <i/>
        <sz val="12"/>
        <color theme="1"/>
        <rFont val="Garamond"/>
        <family val="1"/>
      </rPr>
      <t>volcanic material</t>
    </r>
  </si>
  <si>
    <r>
      <t>- Soils developed in </t>
    </r>
    <r>
      <rPr>
        <i/>
        <sz val="12"/>
        <color theme="1"/>
        <rFont val="Garamond"/>
        <family val="1"/>
      </rPr>
      <t>residual and shifting sands</t>
    </r>
  </si>
  <si>
    <r>
      <t>- Soils developed in </t>
    </r>
    <r>
      <rPr>
        <i/>
        <sz val="12"/>
        <color theme="1"/>
        <rFont val="Garamond"/>
        <family val="1"/>
      </rPr>
      <t>expanding clays</t>
    </r>
  </si>
  <si>
    <t>Andosols</t>
  </si>
  <si>
    <t>ARENOSOLS</t>
  </si>
  <si>
    <t>SET #4</t>
  </si>
  <si>
    <r>
      <t>Mineral soils whose formation was conditioned by the </t>
    </r>
    <r>
      <rPr>
        <i/>
        <sz val="12"/>
        <color theme="1"/>
        <rFont val="Garamond"/>
        <family val="1"/>
      </rPr>
      <t>topography/physiography</t>
    </r>
    <r>
      <rPr>
        <sz val="12"/>
        <color theme="1"/>
        <rFont val="Garamond"/>
        <family val="1"/>
      </rPr>
      <t> of the terrain</t>
    </r>
  </si>
  <si>
    <r>
      <t>- Soils in </t>
    </r>
    <r>
      <rPr>
        <i/>
        <sz val="12"/>
        <color theme="1"/>
        <rFont val="Garamond"/>
        <family val="1"/>
      </rPr>
      <t>lowlands (wetlands) with level topography</t>
    </r>
  </si>
  <si>
    <r>
      <t>- Soils in </t>
    </r>
    <r>
      <rPr>
        <i/>
        <sz val="12"/>
        <color theme="1"/>
        <rFont val="Garamond"/>
        <family val="1"/>
      </rPr>
      <t>elevated regions with non-level topography</t>
    </r>
  </si>
  <si>
    <t>FLUVISOLS</t>
  </si>
  <si>
    <t>GLEYSOLS</t>
  </si>
  <si>
    <t>LEPTOSOLS</t>
  </si>
  <si>
    <t>REGOSOLS</t>
  </si>
  <si>
    <t>SET #5</t>
  </si>
  <si>
    <r>
      <t>Mineral soils whose formation is conditioned by their</t>
    </r>
    <r>
      <rPr>
        <i/>
        <sz val="12"/>
        <color theme="1"/>
        <rFont val="Garamond"/>
        <family val="1"/>
      </rPr>
      <t> limited age</t>
    </r>
    <r>
      <rPr>
        <sz val="12"/>
        <color theme="1"/>
        <rFont val="Garamond"/>
        <family val="1"/>
      </rPr>
      <t> (not confined to any particular region)</t>
    </r>
  </si>
  <si>
    <t>CAMBISOLS</t>
  </si>
  <si>
    <t>SET #6</t>
  </si>
  <si>
    <r>
      <t>Mineral soils whose formation was conditioned by </t>
    </r>
    <r>
      <rPr>
        <i/>
        <sz val="12"/>
        <color theme="1"/>
        <rFont val="Garamond"/>
        <family val="1"/>
      </rPr>
      <t>climate:</t>
    </r>
    <r>
      <rPr>
        <sz val="12"/>
        <color theme="1"/>
        <rFont val="Garamond"/>
        <family val="1"/>
      </rPr>
      <t> </t>
    </r>
    <r>
      <rPr>
        <i/>
        <sz val="12"/>
        <color theme="1"/>
        <rFont val="Garamond"/>
        <family val="1"/>
      </rPr>
      <t>(sub-)humid tropics</t>
    </r>
  </si>
  <si>
    <t>PLINTHOSOLS</t>
  </si>
  <si>
    <t>FERRALSOLS</t>
  </si>
  <si>
    <t>NITISOLS</t>
  </si>
  <si>
    <t>ACRISOLS</t>
  </si>
  <si>
    <t>ALISOLS</t>
  </si>
  <si>
    <t>LIXISOLS</t>
  </si>
  <si>
    <t>SET #7</t>
  </si>
  <si>
    <r>
      <t>Mineral soils whose formation was conditioned by </t>
    </r>
    <r>
      <rPr>
        <i/>
        <sz val="12"/>
        <color theme="1"/>
        <rFont val="Garamond"/>
        <family val="1"/>
      </rPr>
      <t>climate: arid and semi-arid regions</t>
    </r>
  </si>
  <si>
    <t>SOLONCHAKS</t>
  </si>
  <si>
    <t>SOLONETZ</t>
  </si>
  <si>
    <t>GYPSISOLS</t>
  </si>
  <si>
    <t>DURISOLS</t>
  </si>
  <si>
    <t>CALCISOLS</t>
  </si>
  <si>
    <t>SET #8</t>
  </si>
  <si>
    <r>
      <t>Mineral soils whose formation was conditioned by </t>
    </r>
    <r>
      <rPr>
        <i/>
        <sz val="12"/>
        <color theme="1"/>
        <rFont val="Garamond"/>
        <family val="1"/>
      </rPr>
      <t>climate: steppes and steppic regions</t>
    </r>
  </si>
  <si>
    <t>KASTANOZEMS</t>
  </si>
  <si>
    <t>CHERNOZEMS</t>
  </si>
  <si>
    <t>PHAEOZEMS</t>
  </si>
  <si>
    <t>SET #9</t>
  </si>
  <si>
    <r>
      <t>Mineral soils whose formation was conditioned by </t>
    </r>
    <r>
      <rPr>
        <i/>
        <sz val="12"/>
        <color theme="1"/>
        <rFont val="Garamond"/>
        <family val="1"/>
      </rPr>
      <t>climate: (sub-)humid temperate regions</t>
    </r>
  </si>
  <si>
    <t>PODZOLS</t>
  </si>
  <si>
    <t>PLANOSOLS</t>
  </si>
  <si>
    <t>ALBELUVISOLS</t>
  </si>
  <si>
    <t>LUVISOLS</t>
  </si>
  <si>
    <t>UMBRISOLS</t>
  </si>
  <si>
    <t>SET #10</t>
  </si>
  <si>
    <r>
      <t>Mineral soils whose formation was conditioned by </t>
    </r>
    <r>
      <rPr>
        <i/>
        <sz val="12"/>
        <color theme="1"/>
        <rFont val="Garamond"/>
        <family val="1"/>
      </rPr>
      <t>climate: permafrost regions</t>
    </r>
  </si>
  <si>
    <t>http://www.fao.org/docrep/003/y1899e/y1899e02.htm</t>
  </si>
  <si>
    <t>Trail 1</t>
  </si>
  <si>
    <t>Trail 2</t>
  </si>
  <si>
    <t>Tingoli, Haplic Lixisol (FAO/UNESCO)</t>
  </si>
  <si>
    <t>Kumayili, Haplic Luvisol (FAO/UNESCO)</t>
  </si>
  <si>
    <t>Pigeon pea</t>
  </si>
  <si>
    <t>T4 vs T1</t>
  </si>
  <si>
    <t>T4 vs T2</t>
  </si>
  <si>
    <t>T4 vs T3</t>
  </si>
  <si>
    <t>% to mg/kg</t>
  </si>
  <si>
    <t>Cmol per kg</t>
  </si>
  <si>
    <t>Livestock manure</t>
  </si>
  <si>
    <t>Pigeon pea no pruning</t>
  </si>
  <si>
    <t>Pigeon pea pruned at 30 cm</t>
  </si>
  <si>
    <t>Pigeon pea pruned at 60 cm</t>
  </si>
  <si>
    <t>Pigeon pea pruned at 90 cm</t>
  </si>
  <si>
    <t>Organic carbon units correction, from 55g/kg to 5.5g/kg, see study 116</t>
  </si>
  <si>
    <t>g/kg to mg/kg, unit correction based on study 116</t>
  </si>
  <si>
    <t>Akinnifesi</t>
  </si>
  <si>
    <t>F. K.</t>
  </si>
  <si>
    <t>1991-2002</t>
  </si>
  <si>
    <t>Factorial design</t>
  </si>
  <si>
    <t>Southern Malawi</t>
  </si>
  <si>
    <t>Oxic Hapleustalf</t>
  </si>
  <si>
    <t>Sandy clay</t>
  </si>
  <si>
    <t>Experimental Agriculture</t>
  </si>
  <si>
    <t>Gliricidia</t>
  </si>
  <si>
    <t>Legume tree</t>
  </si>
  <si>
    <t>23 kg N per ha</t>
  </si>
  <si>
    <t>46 kg N per ha</t>
  </si>
  <si>
    <t>Ca + Mg + K</t>
  </si>
  <si>
    <t>0 kg N 0 kg P per ha</t>
  </si>
  <si>
    <t>0 kg N 20 kg P per ha</t>
  </si>
  <si>
    <t>0 kg N 40 kg P per ha</t>
  </si>
  <si>
    <t>24 kg N 0 kg P per ha</t>
  </si>
  <si>
    <t>48 kg N 0 kg P per ha</t>
  </si>
  <si>
    <t>24 kg N 20 kg P per ha</t>
  </si>
  <si>
    <t>24 kg N 40 kg P per ha</t>
  </si>
  <si>
    <t>48 kg N 20 kg P per ha</t>
  </si>
  <si>
    <t>48 kg N 40 kg P per ha</t>
  </si>
  <si>
    <t xml:space="preserve">Akinnifesi </t>
  </si>
  <si>
    <t>Festus Kehinde</t>
  </si>
  <si>
    <t>Plant Soil</t>
  </si>
  <si>
    <t>0 kg N 50 kg N per ha</t>
  </si>
  <si>
    <t>0 kg N 100 kg N per ha</t>
  </si>
  <si>
    <t>50 kg N 0 kg P per ha</t>
  </si>
  <si>
    <t>50 kg N 50 kg N per ha</t>
  </si>
  <si>
    <t>50 kg N 100 kg N per ha</t>
  </si>
  <si>
    <t>100 kg N 0 kg P per ha</t>
  </si>
  <si>
    <t>100 kg N 50 kg N per ha</t>
  </si>
  <si>
    <t>100 kg N 100 kg N per ha</t>
  </si>
  <si>
    <t>Mg+Ca+K</t>
  </si>
  <si>
    <t>Olsen P</t>
  </si>
  <si>
    <t>Stove</t>
  </si>
  <si>
    <t>1991-2006</t>
  </si>
  <si>
    <t>P uptake availabe</t>
  </si>
  <si>
    <t>1991-1993</t>
  </si>
  <si>
    <t>Bohringer</t>
  </si>
  <si>
    <t>A.</t>
  </si>
  <si>
    <t>Houeto, Southern BeÂnin</t>
  </si>
  <si>
    <t>Attotinga, Southern BeÂnin</t>
  </si>
  <si>
    <t>Ferrali-Haplic Acrisols</t>
  </si>
  <si>
    <t>Ferric  Lixisol</t>
  </si>
  <si>
    <t>Pigeonpea</t>
  </si>
  <si>
    <t>g/m2 to Mg/ha</t>
  </si>
  <si>
    <t>R.J.</t>
  </si>
  <si>
    <t>Carsky</t>
  </si>
  <si>
    <t>Nutrient Cycling in Agroecosystems</t>
  </si>
  <si>
    <t>Central Kaduna</t>
  </si>
  <si>
    <t>Bauchi</t>
  </si>
  <si>
    <t>Natural grass</t>
  </si>
  <si>
    <t>Mucuna</t>
  </si>
  <si>
    <t>Lablab</t>
  </si>
  <si>
    <t>Crotalaria</t>
  </si>
  <si>
    <t>91 DAP</t>
  </si>
  <si>
    <t>112 DAP</t>
  </si>
  <si>
    <t>70 DAP</t>
  </si>
  <si>
    <t>g per pot</t>
  </si>
  <si>
    <t>30 kg N per ha</t>
  </si>
  <si>
    <t>60 kg N per ha</t>
  </si>
  <si>
    <t>Table 6, kg per ha</t>
  </si>
  <si>
    <t>Chintu</t>
  </si>
  <si>
    <t>R.</t>
  </si>
  <si>
    <t>Msekera Research Station, Chipata, in eastern Zambia</t>
  </si>
  <si>
    <t>Ferric Luvisol (FAO)</t>
  </si>
  <si>
    <t>mg N per kg</t>
  </si>
  <si>
    <t>May cut trees, mg N per kg</t>
  </si>
  <si>
    <t>Nov cut trees, mg N per kg</t>
  </si>
  <si>
    <t>Potted</t>
  </si>
  <si>
    <t>Bare root</t>
  </si>
  <si>
    <t>Direct</t>
  </si>
  <si>
    <t>Cutting</t>
  </si>
  <si>
    <t>Gliricidia-Broadleaf</t>
  </si>
  <si>
    <t>T. S.</t>
  </si>
  <si>
    <t>Chirwa</t>
  </si>
  <si>
    <t>Agroforestry Systems</t>
  </si>
  <si>
    <t>Kagoro, Zambia</t>
  </si>
  <si>
    <t>1997-2002</t>
  </si>
  <si>
    <t>Chromi-haplic Acrisols  (FAO/UNESCO) OR kanhaplic  Haplustalfs (Soil Taxonomy)</t>
  </si>
  <si>
    <t>Sesbania</t>
  </si>
  <si>
    <t>Leucaena</t>
  </si>
  <si>
    <t>Leucaena/Sesbania</t>
  </si>
  <si>
    <t>Gliricidia/Sesbania</t>
  </si>
  <si>
    <t>Acacia</t>
  </si>
  <si>
    <t>Acacia/Sesbania</t>
  </si>
  <si>
    <t>Preseason</t>
  </si>
  <si>
    <t>Wet season</t>
  </si>
  <si>
    <t>No fertilizer</t>
  </si>
  <si>
    <t>Green manure</t>
  </si>
  <si>
    <t>Natural fallow</t>
  </si>
  <si>
    <t>Mg ha to Kg per ha</t>
  </si>
  <si>
    <t>Cajanus</t>
  </si>
  <si>
    <t>Total inorganic N</t>
  </si>
  <si>
    <t xml:space="preserve">P. J. M.  </t>
  </si>
  <si>
    <t>Cooper</t>
  </si>
  <si>
    <t>Senna spectabilis hedg</t>
  </si>
  <si>
    <t>100 Kg N per ha</t>
  </si>
  <si>
    <t>Gliricidia sepium hedg</t>
  </si>
  <si>
    <t>Yaounde, Cameroon</t>
  </si>
  <si>
    <t>Yurimaguas, Peru</t>
  </si>
  <si>
    <t>Citayan, Indonesia</t>
  </si>
  <si>
    <t>Los Banos, Philippines</t>
  </si>
  <si>
    <t>Ibadan, Nigeria</t>
  </si>
  <si>
    <t>Butare, Rwanda</t>
  </si>
  <si>
    <t>Ntcheu, Malawi</t>
  </si>
  <si>
    <t>Machakos, Kenya</t>
  </si>
  <si>
    <t>Flemingia congesta</t>
  </si>
  <si>
    <t xml:space="preserve">Inga edulis </t>
  </si>
  <si>
    <t xml:space="preserve">Desmanthus virgatus </t>
  </si>
  <si>
    <t>Leucaena leucocephala</t>
  </si>
  <si>
    <t>Calliandra calothyrsus/Leucaena leucocephala</t>
  </si>
  <si>
    <t>Senna siamea/Leucaena leucocephala</t>
  </si>
  <si>
    <t>Paleudult</t>
  </si>
  <si>
    <t>Hapludox</t>
  </si>
  <si>
    <t>Trapudult</t>
  </si>
  <si>
    <t>Paleustalf</t>
  </si>
  <si>
    <t>Ustropept</t>
  </si>
  <si>
    <t>Rhodustalf</t>
  </si>
  <si>
    <t>4.5</t>
  </si>
  <si>
    <t>4.6</t>
  </si>
  <si>
    <t>t per ha per year</t>
  </si>
  <si>
    <t>mm per year</t>
  </si>
  <si>
    <t>Country</t>
  </si>
  <si>
    <t>Country name</t>
  </si>
  <si>
    <t>USA</t>
  </si>
  <si>
    <t>Canada</t>
  </si>
  <si>
    <t>Columbia,  Missouri,  USA</t>
  </si>
  <si>
    <t>Brasil</t>
  </si>
  <si>
    <t>France</t>
  </si>
  <si>
    <t>Italy</t>
  </si>
  <si>
    <t>Sweden</t>
  </si>
  <si>
    <t>Denmark</t>
  </si>
  <si>
    <t>Nigeria</t>
  </si>
  <si>
    <t>Argentina</t>
  </si>
  <si>
    <t>Australia</t>
  </si>
  <si>
    <t>Ghana</t>
  </si>
  <si>
    <t>Malawi</t>
  </si>
  <si>
    <t>Benin</t>
  </si>
  <si>
    <t>Zambia</t>
  </si>
  <si>
    <t>Chitedze Research Station, Malawi</t>
  </si>
  <si>
    <t>Cameroon</t>
  </si>
  <si>
    <t>Peru</t>
  </si>
  <si>
    <t>Indonesia</t>
  </si>
  <si>
    <t>Philippines</t>
  </si>
  <si>
    <t>Rwanda</t>
  </si>
  <si>
    <t>Kenya</t>
  </si>
  <si>
    <t>As the textural composition of soils was not reported,  We grouped them into: ﬁne-textured (Argiudolls, Paleustolls, Peluderts) and coarse-textured (Hapludolls, Haplustolls, Ustisaments).</t>
  </si>
  <si>
    <r>
      <t>26,</t>
    </r>
    <r>
      <rPr>
        <sz val="11"/>
        <color rgb="FFFF0000"/>
        <rFont val="Calibri"/>
        <family val="2"/>
        <scheme val="minor"/>
      </rPr>
      <t>30</t>
    </r>
    <r>
      <rPr>
        <sz val="11"/>
        <rFont val="Calibri"/>
        <family val="2"/>
        <scheme val="minor"/>
      </rPr>
      <t>,56,60</t>
    </r>
  </si>
  <si>
    <t>2005-2009</t>
  </si>
  <si>
    <t>2005-2010</t>
  </si>
  <si>
    <t>Banda</t>
  </si>
  <si>
    <t>A. Z.</t>
  </si>
  <si>
    <t>Nkhande, 3 km west of Ntcheu, Malawi</t>
  </si>
  <si>
    <t>Cambisols (FAO/UNESCO)</t>
  </si>
  <si>
    <t>1984-1991</t>
  </si>
  <si>
    <t>Peru Leucaena  leucocephala</t>
  </si>
  <si>
    <t>Hawaiian giant Leucaena  leucocephala</t>
  </si>
  <si>
    <t>Cunningham Leucaena  leucocephala</t>
  </si>
  <si>
    <t>Drechsel</t>
  </si>
  <si>
    <t>Rubona, Rwanda</t>
  </si>
  <si>
    <t>1988-1994</t>
  </si>
  <si>
    <t>Average of 4 (kg/ha)</t>
  </si>
  <si>
    <t>Tephrosia</t>
  </si>
  <si>
    <t>Sorghum straw</t>
  </si>
  <si>
    <t>Esilaba</t>
  </si>
  <si>
    <t xml:space="preserve">A.O. </t>
  </si>
  <si>
    <t>Uganda</t>
  </si>
  <si>
    <t>Orthic Ferralsols (FAO)</t>
  </si>
  <si>
    <t>2000-2001</t>
  </si>
  <si>
    <t>Mayuge, Imanyiro sub-county of Bunya County</t>
  </si>
  <si>
    <t>Buyemba, Imanyiro sub-county of Bunya County</t>
  </si>
  <si>
    <t>Magada, Imanyiro sub-county of Bunya County</t>
  </si>
  <si>
    <t>Feb-Jul</t>
  </si>
  <si>
    <t>Aug-Dec</t>
  </si>
  <si>
    <t>Canavalia</t>
  </si>
  <si>
    <t>Fischler</t>
  </si>
  <si>
    <t>Iganga District of eastern Uganda</t>
  </si>
  <si>
    <t>Bean</t>
  </si>
  <si>
    <t>1997-1998</t>
  </si>
  <si>
    <t>Table2</t>
  </si>
  <si>
    <t>Table3</t>
  </si>
  <si>
    <t>Weed incidence score</t>
  </si>
  <si>
    <t>Kawanda Agriculture Research Institute</t>
  </si>
  <si>
    <t>Isohyperthermic  kandiudal®c  eutrodox</t>
  </si>
  <si>
    <t>Early sowing</t>
  </si>
  <si>
    <t>Late sowing</t>
  </si>
  <si>
    <t>Table 3</t>
  </si>
  <si>
    <t>Table 6</t>
  </si>
  <si>
    <t>kg per ha, Fig 1</t>
  </si>
  <si>
    <t>Table 7</t>
  </si>
  <si>
    <t>1993-1996</t>
  </si>
  <si>
    <t>Early/mulched</t>
  </si>
  <si>
    <t>Late/incorporated</t>
  </si>
  <si>
    <t>Flowing of maize</t>
  </si>
  <si>
    <t>Harvest matureity of beans</t>
  </si>
  <si>
    <t>2-to-7</t>
  </si>
  <si>
    <t>Tbale 8</t>
  </si>
  <si>
    <t>mm per min</t>
  </si>
  <si>
    <t>Fofana</t>
  </si>
  <si>
    <t xml:space="preserve">B. </t>
  </si>
  <si>
    <t>Djaka Kopé</t>
  </si>
  <si>
    <t>Togo</t>
  </si>
  <si>
    <t>Rhodic Ferralsol</t>
  </si>
  <si>
    <t>N0P0</t>
  </si>
  <si>
    <t>N0P20</t>
  </si>
  <si>
    <t>N50P0</t>
  </si>
  <si>
    <t>N100P0</t>
  </si>
  <si>
    <t>N50P20</t>
  </si>
  <si>
    <t>N100P20</t>
  </si>
  <si>
    <t>N0P40</t>
  </si>
  <si>
    <t>N50P40</t>
  </si>
  <si>
    <t>N100P40</t>
  </si>
  <si>
    <t>1999-2000</t>
  </si>
  <si>
    <t>P uptake by plant available</t>
  </si>
  <si>
    <t xml:space="preserve">A. C. </t>
  </si>
  <si>
    <t>Franke</t>
  </si>
  <si>
    <t>Kasuwan Magani village</t>
  </si>
  <si>
    <t>Cowpea/Rice_Millet_Waste</t>
  </si>
  <si>
    <t>Gacheru</t>
  </si>
  <si>
    <t xml:space="preserve">E. </t>
  </si>
  <si>
    <t>International Journal of Pest Management</t>
  </si>
  <si>
    <t>Ondele, Striga-in-fested farm</t>
  </si>
  <si>
    <t>Etole Striga-in-fested farm</t>
  </si>
  <si>
    <t>Senna didymobotrya</t>
  </si>
  <si>
    <t>Senna occidentalis</t>
  </si>
  <si>
    <t>Tithonia diversifolia</t>
  </si>
  <si>
    <t>Cajanus cajan</t>
  </si>
  <si>
    <t>Sesbania sesban</t>
  </si>
  <si>
    <t>Sesbania cinerascens</t>
  </si>
  <si>
    <t>Tephrosia vogelii</t>
  </si>
  <si>
    <t>Crotalaria grahamiana</t>
  </si>
  <si>
    <t>Desmodium distortum</t>
  </si>
  <si>
    <t>Broadleaf/Brassica</t>
  </si>
  <si>
    <t>Striga shoots emerged on maize (no. per m2)</t>
  </si>
  <si>
    <t>Inorganic N, average of 3, kg N per ha</t>
  </si>
  <si>
    <t>Senna spectabilis</t>
  </si>
  <si>
    <t>1998</t>
  </si>
  <si>
    <t>Inorganic N, average of 4, kg N per ha</t>
  </si>
  <si>
    <t>Roots</t>
  </si>
  <si>
    <t>Foliage</t>
  </si>
  <si>
    <t>Foliage/Roods</t>
  </si>
  <si>
    <t>Mwenja</t>
  </si>
  <si>
    <t>Plant and Soil</t>
  </si>
  <si>
    <t xml:space="preserve">International Institute of Tropical Agriculture (IITA) </t>
  </si>
  <si>
    <t>1986-1988</t>
  </si>
  <si>
    <t>Isohyperthermic  Typic Paleudult</t>
  </si>
  <si>
    <t>Natural bush</t>
  </si>
  <si>
    <t xml:space="preserve">Cajanus cajan </t>
  </si>
  <si>
    <t xml:space="preserve">Tephrosia candida </t>
  </si>
  <si>
    <t>TN(%)</t>
  </si>
  <si>
    <t>Stover</t>
  </si>
  <si>
    <t>Sole maize</t>
  </si>
  <si>
    <t>Cassava/maize</t>
  </si>
  <si>
    <t>Harawa</t>
  </si>
  <si>
    <t xml:space="preserve">Rebbie </t>
  </si>
  <si>
    <t>2002-2004</t>
  </si>
  <si>
    <t>Domasi valley, Malawi</t>
  </si>
  <si>
    <t>Alﬁsols and Ultisols</t>
  </si>
  <si>
    <t>Bottom slope</t>
  </si>
  <si>
    <t>Mid-slope</t>
  </si>
  <si>
    <t>Upper slope</t>
  </si>
  <si>
    <t>Inorganic N kg per ha</t>
  </si>
  <si>
    <t>F.N.</t>
  </si>
  <si>
    <t>Ikpe</t>
  </si>
  <si>
    <t>Split plot design</t>
  </si>
  <si>
    <t>Kpite, southeastern Nigeria</t>
  </si>
  <si>
    <t>TN (%)</t>
  </si>
  <si>
    <t>OC (%)</t>
  </si>
  <si>
    <t>ppm</t>
  </si>
  <si>
    <t>c mol per kg</t>
  </si>
  <si>
    <t>ECEC c mol per kg</t>
  </si>
  <si>
    <t>1993-1994</t>
  </si>
  <si>
    <t>Cassava tuber yield</t>
  </si>
  <si>
    <t>Maize yield</t>
  </si>
  <si>
    <t>Weeds biomass</t>
  </si>
  <si>
    <t>Egbe</t>
  </si>
  <si>
    <t xml:space="preserve">E. A. </t>
  </si>
  <si>
    <t>Mbalmayo, Cameroon</t>
  </si>
  <si>
    <t>Kaolinitic clay isohyperthermic Typic kandiudult</t>
  </si>
  <si>
    <t>Ibadan</t>
  </si>
  <si>
    <t>Alfisol</t>
  </si>
  <si>
    <t>P. santalinoides.</t>
  </si>
  <si>
    <t>M. thonningii(Tree)</t>
  </si>
  <si>
    <t>Ca+Mg+K</t>
  </si>
  <si>
    <t>Maize grain yield</t>
  </si>
  <si>
    <t>Jama</t>
  </si>
  <si>
    <t xml:space="preserve">Bashir </t>
  </si>
  <si>
    <t>Agron. J.</t>
  </si>
  <si>
    <t>Kaolinitic, isohyperthermic Kandiudalf</t>
  </si>
  <si>
    <t>Julius, western Kenya</t>
  </si>
  <si>
    <t>Aduol, western Kenya</t>
  </si>
  <si>
    <t>Calliandra</t>
  </si>
  <si>
    <t>0 P 0 N</t>
  </si>
  <si>
    <t>10 kg / ha P + 230 kg / ha N</t>
  </si>
  <si>
    <t>1994</t>
  </si>
  <si>
    <t>Ochinga Kenya</t>
  </si>
  <si>
    <t>Muange Kenya</t>
  </si>
  <si>
    <t>Kandiudalfic Eutrudox</t>
  </si>
  <si>
    <t xml:space="preserve">Kandic Paleustalf </t>
  </si>
  <si>
    <t>Long rainy</t>
  </si>
  <si>
    <t>Short rainy</t>
  </si>
  <si>
    <t>Jeranyama</t>
  </si>
  <si>
    <t>Peter</t>
  </si>
  <si>
    <t>Typic Kandiustalf</t>
  </si>
  <si>
    <t>Domboshava</t>
  </si>
  <si>
    <t>Zimbabwe</t>
  </si>
  <si>
    <t>120 kg N per ha</t>
  </si>
  <si>
    <t>Cowpea/Sunnhemp</t>
  </si>
  <si>
    <t>Kaho</t>
  </si>
  <si>
    <t>F.</t>
  </si>
  <si>
    <t>Tropicultura</t>
  </si>
  <si>
    <t>Ntui</t>
  </si>
  <si>
    <t>Ultisols</t>
  </si>
  <si>
    <t>1995-1999</t>
  </si>
  <si>
    <t>Minkoameyos</t>
  </si>
  <si>
    <t>Desmodium</t>
  </si>
  <si>
    <t>Kaizzi</t>
  </si>
  <si>
    <t xml:space="preserve">Crammer K. </t>
  </si>
  <si>
    <t>Kibale Technology Veriﬁcation Centre  (TVC)</t>
  </si>
  <si>
    <t>Bulegeni Agricultural Research and Development Centre (ARDC)</t>
  </si>
  <si>
    <t>Ferralsols</t>
  </si>
  <si>
    <t>No fertilizer input</t>
  </si>
  <si>
    <t>Stover biomass</t>
  </si>
  <si>
    <t>Kamanga</t>
  </si>
  <si>
    <t>B.C.G.</t>
  </si>
  <si>
    <t>Africa Crop Science Journal</t>
  </si>
  <si>
    <t>Songani watershed Malosa extension planning area</t>
  </si>
  <si>
    <t>Ultisol and Alfisols</t>
  </si>
  <si>
    <t>Maize stover</t>
  </si>
  <si>
    <t>Yield used, Maize production available</t>
  </si>
  <si>
    <t>Konig</t>
  </si>
  <si>
    <t>D.</t>
  </si>
  <si>
    <t>Southern part of the Rwandian Plateau Central</t>
  </si>
  <si>
    <t>Plot A</t>
  </si>
  <si>
    <t>Plot B</t>
  </si>
  <si>
    <t>Bare fallow</t>
  </si>
  <si>
    <t>Traditional cropped cassava</t>
  </si>
  <si>
    <t>t/ha/yr</t>
  </si>
  <si>
    <t>Kwesiga</t>
  </si>
  <si>
    <t xml:space="preserve">F. </t>
  </si>
  <si>
    <t>Forest Ecology and Management</t>
  </si>
  <si>
    <t>Msekera Chipata</t>
  </si>
  <si>
    <t>Mixed cropping of beans or soybeans, maize or sorghum, sweet potatoes and cassava</t>
  </si>
  <si>
    <t>Grevillea robusta</t>
  </si>
  <si>
    <t>BroadleafTree</t>
  </si>
  <si>
    <t>1988-1991</t>
  </si>
  <si>
    <t>Ferric luviso!s</t>
  </si>
  <si>
    <t>0 Kg pre ha</t>
  </si>
  <si>
    <t>37 Kg pre ha</t>
  </si>
  <si>
    <t>74 Kg pre ha</t>
  </si>
  <si>
    <t>112 Kg pre ha</t>
  </si>
  <si>
    <t>F. R.</t>
  </si>
  <si>
    <t>Farmer trail</t>
  </si>
  <si>
    <t>1988-1993</t>
  </si>
  <si>
    <t>Calliandra calothyrsus</t>
  </si>
  <si>
    <t>Flemingia macrophylla</t>
  </si>
  <si>
    <t>Gliricidia sepium</t>
  </si>
  <si>
    <t>Senna siamea</t>
  </si>
  <si>
    <t>Farmer trail, experiment 1</t>
  </si>
  <si>
    <t>Farmer trail, experiment 2</t>
  </si>
  <si>
    <t>Striga population (no. per 100 m2)</t>
  </si>
  <si>
    <t>LAL</t>
  </si>
  <si>
    <t xml:space="preserve">R. </t>
  </si>
  <si>
    <t>International Institute  of  Tropical  Agriculture  (IITA),  Ibadan,  Nigeria</t>
  </si>
  <si>
    <t>1982-1987</t>
  </si>
  <si>
    <t>Plow-till</t>
  </si>
  <si>
    <t>Leucaena 4 m spacing</t>
  </si>
  <si>
    <t>Leucaena 2 m spacing</t>
  </si>
  <si>
    <t>Gliricidia 4 m spacing</t>
  </si>
  <si>
    <t>Gliricidia 2 m spacing</t>
  </si>
  <si>
    <t>% of runoff</t>
  </si>
  <si>
    <t>No3-N (kg/ha)</t>
  </si>
  <si>
    <t xml:space="preserve"> D. </t>
  </si>
  <si>
    <t>Maccoll</t>
  </si>
  <si>
    <t>Bunda, Malawi</t>
  </si>
  <si>
    <t>1981-1988</t>
  </si>
  <si>
    <t>Silverleaf</t>
  </si>
  <si>
    <t>Stylo</t>
  </si>
  <si>
    <t>Silverleaf/Rhodes grass</t>
  </si>
  <si>
    <t>Stylo/Rhodes grass</t>
  </si>
  <si>
    <t>80 kg N per ha</t>
  </si>
  <si>
    <t>Legume health score available</t>
  </si>
  <si>
    <t>Centro</t>
  </si>
  <si>
    <t>Velvet bean</t>
  </si>
  <si>
    <t>Glycine</t>
  </si>
  <si>
    <t>Greenleaf</t>
  </si>
  <si>
    <t>Siratro</t>
  </si>
  <si>
    <t>Clitoria</t>
  </si>
  <si>
    <t>Archer</t>
  </si>
  <si>
    <t>Annual stylo</t>
  </si>
  <si>
    <t>Phasey</t>
  </si>
  <si>
    <t>Napier grass</t>
  </si>
  <si>
    <t>40 kg N per ha</t>
  </si>
  <si>
    <t>Mafongoya</t>
  </si>
  <si>
    <t>P. L.</t>
  </si>
  <si>
    <t>International Centre for Research in Agroforestry  (ICRAF) located at Domboshawa</t>
  </si>
  <si>
    <t>1991-1996</t>
  </si>
  <si>
    <t>Acacia angustissima</t>
  </si>
  <si>
    <t>Year 1 Acacia 1</t>
  </si>
  <si>
    <t>Year 1 Acacia 2</t>
  </si>
  <si>
    <t>Year 1 Acacia 3</t>
  </si>
  <si>
    <t>Year 2 Acacia 2</t>
  </si>
  <si>
    <t>Year 3 Acacia 3</t>
  </si>
  <si>
    <t>Year 2 Acacia 1</t>
  </si>
  <si>
    <t>Year 2 Acacia 3</t>
  </si>
  <si>
    <t>Year 3 Acacia 1</t>
  </si>
  <si>
    <t>Year 3 Acacia 2</t>
  </si>
  <si>
    <t>Cajanus cajan (pigeonpea)</t>
  </si>
  <si>
    <t>Year 2 Acacia 4</t>
  </si>
  <si>
    <t>Year 2 Acacia 5</t>
  </si>
  <si>
    <t>Year 2 Acacia 6</t>
  </si>
  <si>
    <t>Year 2 Acacia 7</t>
  </si>
  <si>
    <t>Year 2 Acacia 8</t>
  </si>
  <si>
    <t>Year 2 Acacia 9</t>
  </si>
  <si>
    <t>Year 3 Acacia 4</t>
  </si>
  <si>
    <t>Year 3 Acacia 5</t>
  </si>
  <si>
    <t>Year 3 Acacia 6</t>
  </si>
  <si>
    <t>Year 3 Acacia 7</t>
  </si>
  <si>
    <t>Year 3 Acacia 8</t>
  </si>
  <si>
    <t>Year 3 Acacia 9</t>
  </si>
  <si>
    <t>1995-2004</t>
  </si>
  <si>
    <t>1997-1999</t>
  </si>
  <si>
    <t>Magoye soybean</t>
  </si>
  <si>
    <t>Local Promiscuous soybean</t>
  </si>
  <si>
    <t>Nyala specific soybean</t>
  </si>
  <si>
    <t>Roan specific soybean</t>
  </si>
  <si>
    <t>1998-2000</t>
  </si>
  <si>
    <t>Hurungwe Zimbabwe</t>
  </si>
  <si>
    <t>Eastern Zambia</t>
  </si>
  <si>
    <t>OCPerc</t>
  </si>
  <si>
    <t>TCPerc</t>
  </si>
  <si>
    <t>NeedCheck</t>
  </si>
  <si>
    <t>ExperimentID</t>
  </si>
  <si>
    <t>OC_Con_C</t>
  </si>
  <si>
    <t>OC_Con_T</t>
  </si>
  <si>
    <t>Organic carbon of control (mean value) in units of concentration (Mg/ha)</t>
  </si>
  <si>
    <t>Organic carbon of treatment (mean value) in units of concentration (Mg/ha)</t>
  </si>
  <si>
    <t>Maroko</t>
  </si>
  <si>
    <t>Jeremiah  B.</t>
  </si>
  <si>
    <t>Ochinga</t>
  </si>
  <si>
    <t>Muange</t>
  </si>
  <si>
    <t>Oxisol</t>
  </si>
  <si>
    <t>P in macroorganic matter (mg/kg)</t>
  </si>
  <si>
    <t>17 mo</t>
  </si>
  <si>
    <t>18 mo</t>
  </si>
  <si>
    <t>Igalaland</t>
  </si>
  <si>
    <t>1987-1999</t>
  </si>
  <si>
    <t>Morse</t>
  </si>
  <si>
    <t>S.</t>
  </si>
  <si>
    <t>LLC</t>
  </si>
  <si>
    <t xml:space="preserve">N. </t>
  </si>
  <si>
    <t>Muleba</t>
  </si>
  <si>
    <t>1983-1986</t>
  </si>
  <si>
    <t>Farako-Ba in Burkina Faso</t>
  </si>
  <si>
    <t>Journal of Agriculture Science</t>
  </si>
  <si>
    <t>Guinea</t>
  </si>
  <si>
    <t>Ustorthent</t>
  </si>
  <si>
    <t>Sorghum (SSP)</t>
  </si>
  <si>
    <t>0 N 0 P 0 K</t>
  </si>
  <si>
    <t>36.5 N 10.9 P 11.6 K</t>
  </si>
  <si>
    <t>73 N 21.8 P 23.2 K</t>
  </si>
  <si>
    <t>Sorghum (SRP)</t>
  </si>
  <si>
    <t>mu g per g</t>
  </si>
  <si>
    <t>60 N 0 P 0 K</t>
  </si>
  <si>
    <t>60 N 26 P 0 K</t>
  </si>
  <si>
    <t>120 N 0 P 0 K</t>
  </si>
  <si>
    <t>120 N 26 P 0 K</t>
  </si>
  <si>
    <t>Niang</t>
  </si>
  <si>
    <t>A. I.</t>
  </si>
  <si>
    <t xml:space="preserve"> Ebukanga  primary school farm</t>
  </si>
  <si>
    <t>Eutrudox</t>
  </si>
  <si>
    <t>Experiment 1</t>
  </si>
  <si>
    <t>Experiment 2</t>
  </si>
  <si>
    <t>Experiment 3</t>
  </si>
  <si>
    <t>Tephrosia candida</t>
  </si>
  <si>
    <t>Dodonea viscosa</t>
  </si>
  <si>
    <t>Crotalaria agatiﬂora</t>
  </si>
  <si>
    <t>Desmodium discolor</t>
  </si>
  <si>
    <t>Calopogonium mucunoides</t>
  </si>
  <si>
    <t>Centrosema pubescens</t>
  </si>
  <si>
    <t>Desmodium uncinatum</t>
  </si>
  <si>
    <t>Glycine wightii</t>
  </si>
  <si>
    <t>Macroptilium atropurpureum</t>
  </si>
  <si>
    <t>Njunie</t>
  </si>
  <si>
    <t>M. N.</t>
  </si>
  <si>
    <t>Agriculture and Forestry Journal</t>
  </si>
  <si>
    <t xml:space="preserve">Mtwapa </t>
  </si>
  <si>
    <t>Dolichos</t>
  </si>
  <si>
    <t>Maize/Cassava</t>
  </si>
  <si>
    <t>No fertilizer applied</t>
  </si>
  <si>
    <t>155-1</t>
  </si>
  <si>
    <t>155-2</t>
  </si>
  <si>
    <t>155-3</t>
  </si>
  <si>
    <t>155-4</t>
  </si>
  <si>
    <t>Long rain season</t>
  </si>
  <si>
    <t>Short rain season</t>
  </si>
  <si>
    <t>Nyadzi</t>
  </si>
  <si>
    <t>G. I.</t>
  </si>
  <si>
    <t>Tanzania</t>
  </si>
  <si>
    <t>Tabora</t>
  </si>
  <si>
    <t>Shinyanga</t>
  </si>
  <si>
    <t>Vertisols</t>
  </si>
  <si>
    <t>Haplustalfs</t>
  </si>
  <si>
    <t>No woodlot</t>
  </si>
  <si>
    <t>1996-2001</t>
  </si>
  <si>
    <t>Acacia crassicarpa</t>
  </si>
  <si>
    <t>A. Julifera</t>
  </si>
  <si>
    <t>A. Leptocarpa</t>
  </si>
  <si>
    <t>Senna Siamea</t>
  </si>
  <si>
    <t>Leucaena Pallida</t>
  </si>
  <si>
    <t>156-1</t>
  </si>
  <si>
    <t>156-2</t>
  </si>
  <si>
    <t>156-3</t>
  </si>
  <si>
    <t>156-4</t>
  </si>
  <si>
    <t>156-5</t>
  </si>
  <si>
    <t>Acacia polyacantha</t>
  </si>
  <si>
    <t>Leuceana leucocephala</t>
  </si>
  <si>
    <t>Acacia nilotica</t>
  </si>
  <si>
    <t>156-6</t>
  </si>
  <si>
    <t>Site 1</t>
  </si>
  <si>
    <t>Site 2</t>
  </si>
  <si>
    <t>Inorganic N (kg N per ha)</t>
  </si>
  <si>
    <t>Onim</t>
  </si>
  <si>
    <t xml:space="preserve">J. F. M. </t>
  </si>
  <si>
    <t>Maseno Research Station</t>
  </si>
  <si>
    <t>Beans</t>
  </si>
  <si>
    <t>MOT</t>
  </si>
  <si>
    <t>Beans/Maize</t>
  </si>
  <si>
    <t>First season</t>
  </si>
  <si>
    <t>Second season</t>
  </si>
  <si>
    <t>Haulms (table 6)</t>
  </si>
  <si>
    <t>157-1</t>
  </si>
  <si>
    <t>1 + increase% (table 2)</t>
  </si>
  <si>
    <t xml:space="preserve">Southern Malawi </t>
  </si>
  <si>
    <t xml:space="preserve">Malawi </t>
  </si>
  <si>
    <t>Phiri</t>
  </si>
  <si>
    <t>A. D. K.</t>
  </si>
  <si>
    <t>1995-1997</t>
  </si>
  <si>
    <t xml:space="preserve">cm/h if without explaination </t>
  </si>
  <si>
    <t>158-1</t>
  </si>
  <si>
    <t>158-2</t>
  </si>
  <si>
    <t>Valley</t>
  </si>
  <si>
    <t>Margin</t>
  </si>
  <si>
    <t>Slope</t>
  </si>
  <si>
    <t>10 days</t>
  </si>
  <si>
    <t>50 days</t>
  </si>
  <si>
    <t>85 days</t>
  </si>
  <si>
    <t>130 days</t>
  </si>
  <si>
    <t>Nitrate-N (kg N per ha)</t>
  </si>
  <si>
    <t>Continuous maize without fertilizer</t>
  </si>
  <si>
    <t xml:space="preserve"> Msekera Research Station</t>
  </si>
  <si>
    <t>160-1</t>
  </si>
  <si>
    <t>Kandiustalf</t>
  </si>
  <si>
    <t>m / day</t>
  </si>
  <si>
    <t>Grain</t>
  </si>
  <si>
    <t>Water use efficiency available</t>
  </si>
  <si>
    <t>rainfall - drainage</t>
  </si>
  <si>
    <t>Soil water storage (mm)</t>
  </si>
  <si>
    <t>Continuous maize</t>
  </si>
  <si>
    <t>Without P fertilizer</t>
  </si>
  <si>
    <t>133-1</t>
  </si>
  <si>
    <t>133-2</t>
  </si>
  <si>
    <t>133-3</t>
  </si>
  <si>
    <t>Rao</t>
  </si>
  <si>
    <t>M. R.</t>
  </si>
  <si>
    <t>161-1</t>
  </si>
  <si>
    <t>Without P fertilizer, No N fertilizer</t>
  </si>
  <si>
    <t>With P fertilizer</t>
  </si>
  <si>
    <t>With P fertilizer, No N fertilizer</t>
  </si>
  <si>
    <t>Without P fertilizer,with N fertilizer</t>
  </si>
  <si>
    <t>With P fertilizer, with N fertilizer</t>
  </si>
  <si>
    <t>1996 long rains season</t>
  </si>
  <si>
    <t>1996 short rains season</t>
  </si>
  <si>
    <t>1996</t>
  </si>
  <si>
    <t>161-2</t>
  </si>
  <si>
    <t>1997 long rains season</t>
  </si>
  <si>
    <t>1997 short rains season</t>
  </si>
  <si>
    <t>1998 short rains season</t>
  </si>
  <si>
    <t>1998 long rains season</t>
  </si>
  <si>
    <t>1999 long rains season</t>
  </si>
  <si>
    <t>161-3</t>
  </si>
  <si>
    <t>157-2</t>
  </si>
  <si>
    <t>157-3</t>
  </si>
  <si>
    <t>Myaka</t>
  </si>
  <si>
    <t>Fidelis M.</t>
  </si>
  <si>
    <t>Nyambi</t>
  </si>
  <si>
    <t>Ntonda</t>
  </si>
  <si>
    <t>Gairo,  Kilosa District of the Morogoro Region</t>
  </si>
  <si>
    <t>Babati,  Manyara Region</t>
  </si>
  <si>
    <t>Ferrasols (FAO)</t>
  </si>
  <si>
    <t>Ferralic cambisols (FAO)</t>
  </si>
  <si>
    <t>Cambisols (FAO)</t>
  </si>
  <si>
    <t>2001-2005</t>
  </si>
  <si>
    <t>162-1</t>
  </si>
  <si>
    <t>162-2</t>
  </si>
  <si>
    <t>162-3</t>
  </si>
  <si>
    <t>162-4</t>
  </si>
  <si>
    <t>TN (g/kg)</t>
  </si>
  <si>
    <t>TC (%)</t>
  </si>
  <si>
    <t>Sakala</t>
  </si>
  <si>
    <t>W. D.</t>
  </si>
  <si>
    <t>1996-1999</t>
  </si>
  <si>
    <t>Continous maize</t>
  </si>
  <si>
    <t>Bembeke</t>
  </si>
  <si>
    <t>Mathambi</t>
  </si>
  <si>
    <t>Mbawa</t>
  </si>
  <si>
    <t>Chitedze</t>
  </si>
  <si>
    <t>Kamwendo</t>
  </si>
  <si>
    <t>Ferallitic Latosols</t>
  </si>
  <si>
    <t>Weakly Ferallitic Latosols</t>
  </si>
  <si>
    <t>Ferruginous Latosols</t>
  </si>
  <si>
    <t>Late planted cover crop</t>
  </si>
  <si>
    <t>Early planted cover crop</t>
  </si>
  <si>
    <t>Lablab Purpureus</t>
  </si>
  <si>
    <t>163-1</t>
  </si>
  <si>
    <t>163-2</t>
  </si>
  <si>
    <t>163-3</t>
  </si>
  <si>
    <t>163-4</t>
  </si>
  <si>
    <t>163-5</t>
  </si>
  <si>
    <t>35 N 10 P 2 S</t>
  </si>
  <si>
    <t>69 N 21 P 4 S</t>
  </si>
  <si>
    <t>Average of five sites</t>
  </si>
  <si>
    <t>163-6</t>
  </si>
  <si>
    <t>Shirima</t>
  </si>
  <si>
    <t>D. S.</t>
  </si>
  <si>
    <t>International Journal of Nematology</t>
  </si>
  <si>
    <t>Tobaco</t>
  </si>
  <si>
    <t>Nematode infection (0-10; 0 means no nematodes, healthy root system; 10 means root completely galled, no healthy root)</t>
  </si>
  <si>
    <t>Tobaco-Tobaco</t>
  </si>
  <si>
    <t>Maize/Tobaco</t>
  </si>
  <si>
    <t>Tobaco dry leaf biomass</t>
  </si>
  <si>
    <t>164-1</t>
  </si>
  <si>
    <t>Sileshi</t>
  </si>
  <si>
    <t xml:space="preserve">G. </t>
  </si>
  <si>
    <t>Tumbi Agriculture Research Institude, Tabora</t>
  </si>
  <si>
    <t>Msekera Research Station, Chipata</t>
  </si>
  <si>
    <t xml:space="preserve">Sesbania and crotalaria </t>
  </si>
  <si>
    <t>Sesbania and pigeon pea</t>
  </si>
  <si>
    <t>Sesbania and tephrosia</t>
  </si>
  <si>
    <t>Tephrosia and pigeon pea</t>
  </si>
  <si>
    <t xml:space="preserve">Pigeon pea and crotalaria </t>
  </si>
  <si>
    <t>Tephrosia and crotalaria</t>
  </si>
  <si>
    <t>Continous monoculture maize</t>
  </si>
  <si>
    <t>Surface litter</t>
  </si>
  <si>
    <t>Inorganic C</t>
  </si>
  <si>
    <t>c molc per kg</t>
  </si>
  <si>
    <t>Ca + Mg</t>
  </si>
  <si>
    <t>Number of Diaecoderus (snout beetles) adults per plant</t>
  </si>
  <si>
    <t>Termite damaged plants available</t>
  </si>
  <si>
    <t>165-1</t>
  </si>
  <si>
    <t>165-2</t>
  </si>
  <si>
    <t>1992-2004</t>
  </si>
  <si>
    <t>Agriculture, Ecosystem and Environment</t>
  </si>
  <si>
    <t>166-1</t>
  </si>
  <si>
    <t>Unferlilized maize</t>
  </si>
  <si>
    <t>166-2</t>
  </si>
  <si>
    <t>mm / min</t>
  </si>
  <si>
    <t>Accumulated infiltration (mm/min to cm/h)</t>
  </si>
  <si>
    <t>Total fauna</t>
  </si>
  <si>
    <t>166-3</t>
  </si>
  <si>
    <t>Diversifolia + Sesbania</t>
  </si>
  <si>
    <t>Pure Gliricidia</t>
  </si>
  <si>
    <t>Gliricidia + Sesbania</t>
  </si>
  <si>
    <t>Acacia + Sesbania</t>
  </si>
  <si>
    <t>Pure L. diversifolia</t>
  </si>
  <si>
    <t>Pure Sesbania</t>
  </si>
  <si>
    <t>Pure Acacia</t>
  </si>
  <si>
    <t>G.</t>
  </si>
  <si>
    <t>167-1</t>
  </si>
  <si>
    <t>167-2</t>
  </si>
  <si>
    <t>Kalunga Farmer's Training Center, Chipata</t>
  </si>
  <si>
    <t>Februry</t>
  </si>
  <si>
    <t>Caliandra</t>
  </si>
  <si>
    <t>0-to-26</t>
  </si>
  <si>
    <t>Earthworms</t>
  </si>
  <si>
    <t>Richness</t>
  </si>
  <si>
    <t>Agriculture and Forest Entomology</t>
  </si>
  <si>
    <t>Kalichero, Zambia</t>
  </si>
  <si>
    <t>Kalunga, Zambia</t>
  </si>
  <si>
    <t>Mangwe, Zambia</t>
  </si>
  <si>
    <t>Msekera experiment site 1 Zambia</t>
  </si>
  <si>
    <t>Msekera experiment site 2 Zambia</t>
  </si>
  <si>
    <t>Acrisols</t>
  </si>
  <si>
    <t>2001</t>
  </si>
  <si>
    <t>Traditional fallow</t>
  </si>
  <si>
    <t>Monoculture maize without fertilizer</t>
  </si>
  <si>
    <t>Crotalaria pawlonia</t>
  </si>
  <si>
    <t>Tephrosia candida 02972</t>
  </si>
  <si>
    <t>Tephrosia vogeli ex Misamfu</t>
  </si>
  <si>
    <t>Tephrosia vogeli ex Chambeshi</t>
  </si>
  <si>
    <t>Tephrosia candida 02970</t>
  </si>
  <si>
    <t>Tephrosia candida 02971</t>
  </si>
  <si>
    <t>168-1</t>
  </si>
  <si>
    <t>168-2</t>
  </si>
  <si>
    <t>168-3</t>
  </si>
  <si>
    <t>168-4</t>
  </si>
  <si>
    <t>Termite damage (% lodged plants)</t>
  </si>
  <si>
    <t>168-5</t>
  </si>
  <si>
    <t>168-6</t>
  </si>
  <si>
    <t>Pure Acacia anguistissima</t>
  </si>
  <si>
    <t>Pure Leucaena diversifolia</t>
  </si>
  <si>
    <t>Pure Tephrosia vogelii</t>
  </si>
  <si>
    <t>Pure Sesbania sesban</t>
  </si>
  <si>
    <t>Pure Gliricidia sepium</t>
  </si>
  <si>
    <t>Gliricidia sepium + Tephrosia vogelii</t>
  </si>
  <si>
    <t>Gliricidia sepium + Sesbania sesban</t>
  </si>
  <si>
    <t>Sesbania sesban + Tephrosia vogelii</t>
  </si>
  <si>
    <t>Acacia anguistissima + Sesbania sesban</t>
  </si>
  <si>
    <t xml:space="preserve">Leucaena diversifolia + Sesbania sesban </t>
  </si>
  <si>
    <t>Gravimetric water</t>
  </si>
  <si>
    <t>Smestad</t>
  </si>
  <si>
    <t>B. Thor</t>
  </si>
  <si>
    <t xml:space="preserve"> West Bunyore, Vihiga District, western Kenya</t>
  </si>
  <si>
    <t>Kandiudalﬁc  Eutrudox</t>
  </si>
  <si>
    <t>Tithonia</t>
  </si>
  <si>
    <t>Weed fallow</t>
  </si>
  <si>
    <t>TP</t>
  </si>
  <si>
    <t>169-1</t>
  </si>
  <si>
    <t>Sogbedji</t>
  </si>
  <si>
    <t>J. M.</t>
  </si>
  <si>
    <t>Lome reseach farm</t>
  </si>
  <si>
    <t>Pigonpea</t>
  </si>
  <si>
    <t>Mucuna + Pigonpea</t>
  </si>
  <si>
    <t>170-1</t>
  </si>
  <si>
    <t>170-2</t>
  </si>
  <si>
    <t>Year 1</t>
  </si>
  <si>
    <t>Year 2</t>
  </si>
  <si>
    <t>Tian</t>
  </si>
  <si>
    <t>Alabata village near Ibadan, southwestern Nigeria</t>
  </si>
  <si>
    <t>Series 1</t>
  </si>
  <si>
    <t>Series 2</t>
  </si>
  <si>
    <t xml:space="preserve">C. brasilianum </t>
  </si>
  <si>
    <t>C. pascuorum</t>
  </si>
  <si>
    <t>C. rotundifolia</t>
  </si>
  <si>
    <t>L. purpureus</t>
  </si>
  <si>
    <t>S. hamata</t>
  </si>
  <si>
    <t>P. palustris</t>
  </si>
  <si>
    <t>P. argentea</t>
  </si>
  <si>
    <t>M. pruriens</t>
  </si>
  <si>
    <t>C. verrucosa</t>
  </si>
  <si>
    <t>C. ochroleuca</t>
  </si>
  <si>
    <t>C. cajan</t>
  </si>
  <si>
    <t>A. histrix</t>
  </si>
  <si>
    <t>P. phaseoloides</t>
  </si>
  <si>
    <t>Akinyele Local Government area</t>
  </si>
  <si>
    <t>Alﬁsols</t>
  </si>
  <si>
    <t>Pueraria phaseoloides</t>
  </si>
  <si>
    <t>1989-2000</t>
  </si>
  <si>
    <t>172-1</t>
  </si>
  <si>
    <t>172-2</t>
  </si>
  <si>
    <t>172-3</t>
  </si>
  <si>
    <t>172-4</t>
  </si>
  <si>
    <t>Bray-P (mg/ kg)</t>
  </si>
  <si>
    <t>cmol per kg</t>
  </si>
  <si>
    <t>Torquebiau</t>
  </si>
  <si>
    <t>E. E</t>
  </si>
  <si>
    <t>1990-1994</t>
  </si>
  <si>
    <t>Chipata</t>
  </si>
  <si>
    <t>Hulplustalfs</t>
  </si>
  <si>
    <t>Before crop sowing</t>
  </si>
  <si>
    <t>43 DAS</t>
  </si>
  <si>
    <t>50-to-75</t>
  </si>
  <si>
    <t>173-1</t>
  </si>
  <si>
    <t>ExperimentID added</t>
  </si>
  <si>
    <t>Please see details in ExperimentID sheet</t>
  </si>
  <si>
    <t>Double check Soil_OC base line</t>
  </si>
  <si>
    <t>Chen</t>
  </si>
  <si>
    <t>Lilin</t>
  </si>
  <si>
    <t>Biological Control</t>
  </si>
  <si>
    <t>Xingchun, Wuyi Mountain, Fujian</t>
  </si>
  <si>
    <t>China</t>
  </si>
  <si>
    <t>2006-2008</t>
  </si>
  <si>
    <t>Tea</t>
  </si>
  <si>
    <t>Natural groud cover</t>
  </si>
  <si>
    <t>Paspalum notatum</t>
  </si>
  <si>
    <t>Cassia rotundifolia</t>
  </si>
  <si>
    <t>174-1</t>
  </si>
  <si>
    <t>Bare ground</t>
  </si>
  <si>
    <t>Tea canopy</t>
  </si>
  <si>
    <t>1/ Spider richness *100</t>
  </si>
  <si>
    <t>Cui</t>
  </si>
  <si>
    <t>Hang</t>
  </si>
  <si>
    <t xml:space="preserve"> Heshan Hilly Land Interdisciplinary Experimental Station, Guangdong</t>
  </si>
  <si>
    <t>Paspalum natatu</t>
  </si>
  <si>
    <t>Stylosanthes guianensis</t>
  </si>
  <si>
    <t>Guava orchard</t>
  </si>
  <si>
    <t>175-1</t>
  </si>
  <si>
    <t>175-2</t>
  </si>
  <si>
    <t>TP (mg/kg)</t>
  </si>
  <si>
    <t>Shannon-Weaver diversity index</t>
  </si>
  <si>
    <t>Species richness</t>
  </si>
  <si>
    <t>Du</t>
  </si>
  <si>
    <t>Sheli</t>
  </si>
  <si>
    <t>Xianrenqiao Village, Ansai, Shannxi</t>
  </si>
  <si>
    <t>Apricot</t>
  </si>
  <si>
    <t>Erect milk vetch</t>
  </si>
  <si>
    <t>2005-2012</t>
  </si>
  <si>
    <t>61-to160</t>
  </si>
  <si>
    <t>161-to-300</t>
  </si>
  <si>
    <t>Bearing stage</t>
  </si>
  <si>
    <t>Maturiity stage</t>
  </si>
  <si>
    <t>Rainy season</t>
  </si>
  <si>
    <t>Defoloation stage</t>
  </si>
  <si>
    <t>Intercrop-mulching (IMA)</t>
  </si>
  <si>
    <t>Intercroping treatment (ICA)</t>
  </si>
  <si>
    <t>Mulching treatment (MA)</t>
  </si>
  <si>
    <t>g per kg to cm3 per cm3</t>
  </si>
  <si>
    <t>100</t>
  </si>
  <si>
    <t>140</t>
  </si>
  <si>
    <t>81-to-300</t>
  </si>
  <si>
    <t>220</t>
  </si>
  <si>
    <t>SOM (g/kg to %)</t>
  </si>
  <si>
    <t>TN (g/kg to mg/kg)</t>
  </si>
  <si>
    <t>TP (g/kg to mg/kg)</t>
  </si>
  <si>
    <t>kg per tree to kg per ha</t>
  </si>
  <si>
    <t>176-1</t>
  </si>
  <si>
    <t>176-2</t>
  </si>
  <si>
    <t>176-3</t>
  </si>
  <si>
    <t>176-4</t>
  </si>
  <si>
    <t>176-5</t>
  </si>
  <si>
    <t>176-6</t>
  </si>
  <si>
    <t>176-7</t>
  </si>
  <si>
    <t>176-8</t>
  </si>
  <si>
    <t>176-9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</si>
  <si>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</si>
  <si>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</si>
  <si>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</si>
  <si>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</si>
  <si>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</si>
  <si>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</si>
  <si>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</si>
  <si>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</si>
  <si>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</si>
  <si>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</si>
  <si>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</si>
  <si>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</si>
  <si>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</si>
  <si>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</si>
  <si>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</si>
  <si>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</si>
  <si>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</si>
  <si>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</si>
  <si>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</si>
  <si>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</si>
  <si>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</si>
  <si>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</si>
  <si>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</si>
  <si>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</si>
  <si>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</si>
  <si>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</si>
  <si>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</si>
  <si>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</si>
  <si>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</si>
  <si>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</si>
  <si>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</si>
  <si>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</si>
  <si>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</si>
  <si>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</si>
  <si>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</si>
  <si>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</si>
  <si>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Gao</t>
  </si>
  <si>
    <t>Danmei</t>
  </si>
  <si>
    <t>Cucumber</t>
  </si>
  <si>
    <t>Guava</t>
  </si>
  <si>
    <t>Orchard</t>
  </si>
  <si>
    <t>Fruit</t>
  </si>
  <si>
    <t>Drybean</t>
  </si>
  <si>
    <t>Continuous cotton (Gossypium hirsutum L.)</t>
  </si>
  <si>
    <t>Shepherd's-purse</t>
  </si>
  <si>
    <t>Beet</t>
  </si>
  <si>
    <t>Beens</t>
  </si>
  <si>
    <t>Hedgerow  intercroppi/species Not_available</t>
  </si>
  <si>
    <t>Experimental station of Northeast Agricultural University, Harbin</t>
  </si>
  <si>
    <t>10-day</t>
  </si>
  <si>
    <t>20-day</t>
  </si>
  <si>
    <t>g/plant</t>
  </si>
  <si>
    <t>No wheat + Active carbon (UW+AC)</t>
  </si>
  <si>
    <t>No wheat</t>
  </si>
  <si>
    <t>OC_C_SD%</t>
  </si>
  <si>
    <t>OC_T_SD%</t>
  </si>
  <si>
    <t>SOC %</t>
  </si>
  <si>
    <t>Nitrate (mg/kg)</t>
  </si>
  <si>
    <t>177-1</t>
  </si>
  <si>
    <t>177-2</t>
  </si>
  <si>
    <t>Ammonia Nitrogen (mg/kg)</t>
  </si>
  <si>
    <t>Available P (mg/kg)</t>
  </si>
  <si>
    <t>Available K (mg/kg)</t>
  </si>
  <si>
    <t>177-3</t>
  </si>
  <si>
    <t>177-4</t>
  </si>
  <si>
    <t>Soil Microbial communities, Manganese, Ca, Boron, Molybdenum available</t>
  </si>
  <si>
    <t>La Woestyne, northern France</t>
  </si>
  <si>
    <t>Egyptian clover/faba bean/ vetch/ﬂax/phacelia/oats</t>
  </si>
  <si>
    <t>Agronomy</t>
  </si>
  <si>
    <t>Habbib</t>
  </si>
  <si>
    <t>Hazzar</t>
  </si>
  <si>
    <t>161 kg N per ha</t>
  </si>
  <si>
    <t>215 kg N per ha</t>
  </si>
  <si>
    <t>178-1</t>
  </si>
  <si>
    <t>178-2</t>
  </si>
  <si>
    <t>178-3</t>
  </si>
  <si>
    <t>178-4</t>
  </si>
  <si>
    <t>178-5</t>
  </si>
  <si>
    <t>178-6</t>
  </si>
  <si>
    <t>Nitrogen use efficiency (NUE) available</t>
  </si>
  <si>
    <t>Haque</t>
  </si>
  <si>
    <t>Md. Mozammel</t>
  </si>
  <si>
    <t>75% Barley and 25% vetch</t>
  </si>
  <si>
    <t>Gyeongsang National University Experimental Farm Jinju</t>
  </si>
  <si>
    <t>South Korea</t>
  </si>
  <si>
    <t>Haplaquents</t>
  </si>
  <si>
    <t>2010-2011</t>
  </si>
  <si>
    <t>179-1</t>
  </si>
  <si>
    <t>179-2</t>
  </si>
  <si>
    <t>179-3</t>
  </si>
  <si>
    <t>179-4</t>
  </si>
  <si>
    <t>9 Mg / ha manure</t>
  </si>
  <si>
    <t>18 Mg / ha manure</t>
  </si>
  <si>
    <t>27 Mg / ha manure</t>
  </si>
  <si>
    <t>36 Mg / ha manure</t>
  </si>
  <si>
    <t>0 Mg per ha manure</t>
  </si>
  <si>
    <t>TC (g/kg to %)</t>
  </si>
  <si>
    <t>Total flux (kg/ha)</t>
  </si>
  <si>
    <t>Available P2O5 (mg/kg)</t>
  </si>
  <si>
    <t>Isik</t>
  </si>
  <si>
    <t xml:space="preserve">D. </t>
  </si>
  <si>
    <t>Pepper</t>
  </si>
  <si>
    <t xml:space="preserve"> Samsun, Turkey</t>
  </si>
  <si>
    <t>Turkey</t>
  </si>
  <si>
    <t>Avena sativa</t>
  </si>
  <si>
    <t>Lolium multiﬂorum</t>
  </si>
  <si>
    <t>Secale cereale</t>
  </si>
  <si>
    <t xml:space="preserve">Triticum aestivum </t>
  </si>
  <si>
    <t>Trifolium meneghinianum</t>
  </si>
  <si>
    <t>Trifolium alexsandrinum</t>
  </si>
  <si>
    <t>Vicia sativa</t>
  </si>
  <si>
    <t>Vicia villosa</t>
  </si>
  <si>
    <t>0 days after incorporation</t>
  </si>
  <si>
    <t>14 days after incorporation</t>
  </si>
  <si>
    <t>28 days after incorporation</t>
  </si>
  <si>
    <t>56 days after incorporation</t>
  </si>
  <si>
    <t>180-1</t>
  </si>
  <si>
    <t>180-2</t>
  </si>
  <si>
    <t>180-3</t>
  </si>
  <si>
    <t>180-4</t>
  </si>
  <si>
    <t>180-5</t>
  </si>
  <si>
    <t>180-6</t>
  </si>
  <si>
    <t>180-7</t>
  </si>
  <si>
    <t>180-8</t>
  </si>
  <si>
    <t>Weed density (plant per m2)</t>
  </si>
  <si>
    <t xml:space="preserve">Kim </t>
  </si>
  <si>
    <t>Sang Yoon</t>
  </si>
  <si>
    <t>Jinju</t>
  </si>
  <si>
    <t>TC (g*kg to %)</t>
  </si>
  <si>
    <t>K+Ca+Mg(cmol per kg)</t>
  </si>
  <si>
    <t>PLFA</t>
  </si>
  <si>
    <t>Straw yield</t>
  </si>
  <si>
    <t>CO2 flux (kg/ha)</t>
  </si>
  <si>
    <t>181-1</t>
  </si>
  <si>
    <t>181-2</t>
  </si>
  <si>
    <t>Liu</t>
  </si>
  <si>
    <t>Jingna</t>
  </si>
  <si>
    <t>Institute of Soil and Fertilizer, Hunan Academy of Agricultural Science</t>
  </si>
  <si>
    <t>Journal of Integrative Agriculture</t>
  </si>
  <si>
    <t>Purple calcareous clayey paddy soil</t>
  </si>
  <si>
    <t>182-1</t>
  </si>
  <si>
    <t>182-2</t>
  </si>
  <si>
    <t>Chinese milk vetch</t>
  </si>
  <si>
    <t>late-rice tillering stage</t>
  </si>
  <si>
    <t>late-rice flowering stag</t>
  </si>
  <si>
    <t>late-rice mature stage</t>
  </si>
  <si>
    <t>Early rice season</t>
  </si>
  <si>
    <t>Late rice season</t>
  </si>
  <si>
    <t>Methanotrophic bacterial pmoA (Million per g soil)</t>
  </si>
  <si>
    <t>182-3</t>
  </si>
  <si>
    <t>182-4</t>
  </si>
  <si>
    <t>Min</t>
  </si>
  <si>
    <t>Ju</t>
  </si>
  <si>
    <t>2008-2009</t>
  </si>
  <si>
    <t>Yixing, Jiangsu Province</t>
  </si>
  <si>
    <t>Anthrosols</t>
  </si>
  <si>
    <t>Summer Catch crop</t>
  </si>
  <si>
    <t>183-1</t>
  </si>
  <si>
    <t>183-2</t>
  </si>
  <si>
    <t>183-3</t>
  </si>
  <si>
    <t>183-4</t>
  </si>
  <si>
    <t>183-5</t>
  </si>
  <si>
    <t>0 N</t>
  </si>
  <si>
    <t>N 348</t>
  </si>
  <si>
    <t>N 525</t>
  </si>
  <si>
    <t>N525</t>
  </si>
  <si>
    <t>N 696</t>
  </si>
  <si>
    <t>N 870</t>
  </si>
  <si>
    <t>40-to-50</t>
  </si>
  <si>
    <t>183-6</t>
  </si>
  <si>
    <t>183-7</t>
  </si>
  <si>
    <t>183-8</t>
  </si>
  <si>
    <t>183-9</t>
  </si>
  <si>
    <t>183-10</t>
  </si>
  <si>
    <t>183-11</t>
  </si>
  <si>
    <t>183-12</t>
  </si>
  <si>
    <t>183-13</t>
  </si>
  <si>
    <t>183-14</t>
  </si>
  <si>
    <t>183-15</t>
  </si>
  <si>
    <t>183-16</t>
  </si>
  <si>
    <t>183-17</t>
  </si>
  <si>
    <t>183-18</t>
  </si>
  <si>
    <t>183-19</t>
  </si>
  <si>
    <t>183-20</t>
  </si>
  <si>
    <t>183-21</t>
  </si>
  <si>
    <t>183-22</t>
  </si>
  <si>
    <t>183-23</t>
  </si>
  <si>
    <t>183-24</t>
  </si>
  <si>
    <t>183-25</t>
  </si>
  <si>
    <t>Nitrate N (mg/kg)</t>
  </si>
  <si>
    <t>After fallow</t>
  </si>
  <si>
    <t>N background information available</t>
  </si>
  <si>
    <t>N leached (k/ha)</t>
  </si>
  <si>
    <t>N captured by plant available</t>
  </si>
  <si>
    <t>Tang</t>
  </si>
  <si>
    <t>Haiming</t>
  </si>
  <si>
    <t>PlosONE</t>
  </si>
  <si>
    <t>Hunan</t>
  </si>
  <si>
    <t>2004-2013</t>
  </si>
  <si>
    <t>Early rice</t>
  </si>
  <si>
    <t>Late rice</t>
  </si>
  <si>
    <t>184-1</t>
  </si>
  <si>
    <t>184-2</t>
  </si>
  <si>
    <t>CH4 &amp; N2O</t>
  </si>
  <si>
    <t>Flux_umol kg/ha</t>
  </si>
  <si>
    <t>g /m2</t>
  </si>
  <si>
    <t>g/m2 to kg/ha</t>
  </si>
  <si>
    <t>184-3</t>
  </si>
  <si>
    <t>184-4</t>
  </si>
  <si>
    <t>kg/ha if not noted, unites may varied</t>
  </si>
  <si>
    <t>Double rice grain yield/2</t>
  </si>
  <si>
    <t>Fungi (10000 CFUs / g dry soil)</t>
  </si>
  <si>
    <t>Anaerobic bacteria</t>
  </si>
  <si>
    <t>Actinomycetes</t>
  </si>
  <si>
    <t>Rape</t>
  </si>
  <si>
    <t>Tillering stage</t>
  </si>
  <si>
    <t>Booting stage</t>
  </si>
  <si>
    <t>Full head stage</t>
  </si>
  <si>
    <t>Maturity stage</t>
  </si>
  <si>
    <t>Potato</t>
  </si>
  <si>
    <t>184-5</t>
  </si>
  <si>
    <t>184-6</t>
  </si>
  <si>
    <t>184-7</t>
  </si>
  <si>
    <t>184-8</t>
  </si>
  <si>
    <t>2005-2008</t>
  </si>
  <si>
    <t>Yongqiang</t>
  </si>
  <si>
    <t>Changping county, Beijing</t>
  </si>
  <si>
    <t>Sweetcorn (SR)</t>
  </si>
  <si>
    <t>Sweetcorn (SI)</t>
  </si>
  <si>
    <t>Common bean (CR)</t>
  </si>
  <si>
    <t>Common bean (CI)</t>
  </si>
  <si>
    <t>Chrysanthemum/Edible</t>
  </si>
  <si>
    <t>187-1</t>
  </si>
  <si>
    <t>187-2</t>
  </si>
  <si>
    <t>187-3</t>
  </si>
  <si>
    <t>187-4</t>
  </si>
  <si>
    <t>187-5</t>
  </si>
  <si>
    <t>Catch crop stover and residue removed</t>
  </si>
  <si>
    <t>Catch crop stover and residue removed hoed/shattered/incorporated into soil</t>
  </si>
  <si>
    <t>Catch crop stover and residue removed, root left in soil</t>
  </si>
  <si>
    <t>Olsen-P (mg/kg)</t>
  </si>
  <si>
    <t>Bacteria (log 10)</t>
  </si>
  <si>
    <t>Actinomycetes (log 10)</t>
  </si>
  <si>
    <t>log 10</t>
  </si>
  <si>
    <t>Many other microbial indicator available</t>
  </si>
  <si>
    <t>Greenhouse experiment</t>
  </si>
  <si>
    <t>okra</t>
  </si>
  <si>
    <t>Zheng</t>
  </si>
  <si>
    <t>Wei</t>
  </si>
  <si>
    <t>2011-2014</t>
  </si>
  <si>
    <t>Dryland Experimental Station, Loess Plateau</t>
  </si>
  <si>
    <t>Spanish Journal of Agricultural Research</t>
  </si>
  <si>
    <t>40</t>
  </si>
  <si>
    <t>Apple</t>
  </si>
  <si>
    <t>Crown vetch</t>
  </si>
  <si>
    <t>Later March</t>
  </si>
  <si>
    <t>Early July</t>
  </si>
  <si>
    <t>Later September</t>
  </si>
  <si>
    <t>115 N 64.8 P 0 K</t>
  </si>
  <si>
    <t>191.88 N 111.24 P 168.12 K</t>
  </si>
  <si>
    <t>115.2 N 64.8 P 100.8 K</t>
  </si>
  <si>
    <t>57.6 N 32.4 P 50.4 K</t>
  </si>
  <si>
    <t>188-1</t>
  </si>
  <si>
    <t>188-2</t>
  </si>
  <si>
    <t>188-3</t>
  </si>
  <si>
    <t>188-4</t>
  </si>
  <si>
    <t>188-5</t>
  </si>
  <si>
    <t>mm to cm3/cm3 (soil depth set as 2000 mm)</t>
  </si>
  <si>
    <t>1-1</t>
  </si>
  <si>
    <t>1-2</t>
  </si>
  <si>
    <t>1-4</t>
  </si>
  <si>
    <t>2-1</t>
  </si>
  <si>
    <t>2-2</t>
  </si>
  <si>
    <t>3-1</t>
  </si>
  <si>
    <t>3-2</t>
  </si>
  <si>
    <t>4-1</t>
  </si>
  <si>
    <t>4-2</t>
  </si>
  <si>
    <t>4-3</t>
  </si>
  <si>
    <t>4-4</t>
  </si>
  <si>
    <t>5-1</t>
  </si>
  <si>
    <t>5-2</t>
  </si>
  <si>
    <t>6-1</t>
  </si>
  <si>
    <t>6-2</t>
  </si>
  <si>
    <t>7-1</t>
  </si>
  <si>
    <t>7-2</t>
  </si>
  <si>
    <t>7-3</t>
  </si>
  <si>
    <t>7-4</t>
  </si>
  <si>
    <t>7-5</t>
  </si>
  <si>
    <t>8-1</t>
  </si>
  <si>
    <t>8-2</t>
  </si>
  <si>
    <t>9-1</t>
  </si>
  <si>
    <t>9-2</t>
  </si>
  <si>
    <t>9-3</t>
  </si>
  <si>
    <t>10-1</t>
  </si>
  <si>
    <t>10-2</t>
  </si>
  <si>
    <t>11-1</t>
  </si>
  <si>
    <t>11-2</t>
  </si>
  <si>
    <t>12-1</t>
  </si>
  <si>
    <t>12-2</t>
  </si>
  <si>
    <t>13-1</t>
  </si>
  <si>
    <t>13-2</t>
  </si>
  <si>
    <t>13-3</t>
  </si>
  <si>
    <t>13-4</t>
  </si>
  <si>
    <t>13-5</t>
  </si>
  <si>
    <t>13-6</t>
  </si>
  <si>
    <t>14-1</t>
  </si>
  <si>
    <t>14-2</t>
  </si>
  <si>
    <t>14-3</t>
  </si>
  <si>
    <t>14-4</t>
  </si>
  <si>
    <t>14-5</t>
  </si>
  <si>
    <t>14-6</t>
  </si>
  <si>
    <t>14-7</t>
  </si>
  <si>
    <t>14-8</t>
  </si>
  <si>
    <t>14-9</t>
  </si>
  <si>
    <t>14-10</t>
  </si>
  <si>
    <t>14-11</t>
  </si>
  <si>
    <t>14-12</t>
  </si>
  <si>
    <t>15-1</t>
  </si>
  <si>
    <t>16-1</t>
  </si>
  <si>
    <t>17-1</t>
  </si>
  <si>
    <t>17-2</t>
  </si>
  <si>
    <t>17-3</t>
  </si>
  <si>
    <t>17-4</t>
  </si>
  <si>
    <t>19-1</t>
  </si>
  <si>
    <t>19-2</t>
  </si>
  <si>
    <t>19-3</t>
  </si>
  <si>
    <t>19-4</t>
  </si>
  <si>
    <t>19-5</t>
  </si>
  <si>
    <t>19-6</t>
  </si>
  <si>
    <t>19-7</t>
  </si>
  <si>
    <t>19-8</t>
  </si>
  <si>
    <t>19-9</t>
  </si>
  <si>
    <t>19-10</t>
  </si>
  <si>
    <t>19-11</t>
  </si>
  <si>
    <t>19-12</t>
  </si>
  <si>
    <t>20-1</t>
  </si>
  <si>
    <t>20-2</t>
  </si>
  <si>
    <t>20-3</t>
  </si>
  <si>
    <t>21-1</t>
  </si>
  <si>
    <t>21-2</t>
  </si>
  <si>
    <t>21-3</t>
  </si>
  <si>
    <t>21-4</t>
  </si>
  <si>
    <t>21-5</t>
  </si>
  <si>
    <t>24-1</t>
  </si>
  <si>
    <t>24-2</t>
  </si>
  <si>
    <t>24-3</t>
  </si>
  <si>
    <t>24-4</t>
  </si>
  <si>
    <t>24-5</t>
  </si>
  <si>
    <t>24-6</t>
  </si>
  <si>
    <t>25-1</t>
  </si>
  <si>
    <t>26-1</t>
  </si>
  <si>
    <t>26-2</t>
  </si>
  <si>
    <t>26-3</t>
  </si>
  <si>
    <t>26-4</t>
  </si>
  <si>
    <t>27-1</t>
  </si>
  <si>
    <t>28-1</t>
  </si>
  <si>
    <t>28-2</t>
  </si>
  <si>
    <t>28-3</t>
  </si>
  <si>
    <t>29-1</t>
  </si>
  <si>
    <t>29-2</t>
  </si>
  <si>
    <t>29-3</t>
  </si>
  <si>
    <t>29-4</t>
  </si>
  <si>
    <t>29-5</t>
  </si>
  <si>
    <t>29-6</t>
  </si>
  <si>
    <t>29-7</t>
  </si>
  <si>
    <t>29-8</t>
  </si>
  <si>
    <t>29-9</t>
  </si>
  <si>
    <t>29-10</t>
  </si>
  <si>
    <t>29-11</t>
  </si>
  <si>
    <t>29-12</t>
  </si>
  <si>
    <t>30-1</t>
  </si>
  <si>
    <t>30-2</t>
  </si>
  <si>
    <t>30-3</t>
  </si>
  <si>
    <t>30-4</t>
  </si>
  <si>
    <t>31-1</t>
  </si>
  <si>
    <t>31-2</t>
  </si>
  <si>
    <t>32-1</t>
  </si>
  <si>
    <t>32-2</t>
  </si>
  <si>
    <t>33-1</t>
  </si>
  <si>
    <t>33-2</t>
  </si>
  <si>
    <t>34-1</t>
  </si>
  <si>
    <t>35-1</t>
  </si>
  <si>
    <t>36-1</t>
  </si>
  <si>
    <t>36-2</t>
  </si>
  <si>
    <t>37-1</t>
  </si>
  <si>
    <t>37-2</t>
  </si>
  <si>
    <t>37-3</t>
  </si>
  <si>
    <t>37-4</t>
  </si>
  <si>
    <t>37-5</t>
  </si>
  <si>
    <t>37-6</t>
  </si>
  <si>
    <t>37-7</t>
  </si>
  <si>
    <t>38-1</t>
  </si>
  <si>
    <t>38-2</t>
  </si>
  <si>
    <t>38-3</t>
  </si>
  <si>
    <t>38-4</t>
  </si>
  <si>
    <t>38-5</t>
  </si>
  <si>
    <t>38-6</t>
  </si>
  <si>
    <t>38-7</t>
  </si>
  <si>
    <t>38-8</t>
  </si>
  <si>
    <t>38-9</t>
  </si>
  <si>
    <t>38-10</t>
  </si>
  <si>
    <t>38-11</t>
  </si>
  <si>
    <t>38-12</t>
  </si>
  <si>
    <t>38-13</t>
  </si>
  <si>
    <t>38-14</t>
  </si>
  <si>
    <t>38-15</t>
  </si>
  <si>
    <t>38-16</t>
  </si>
  <si>
    <t>38-17</t>
  </si>
  <si>
    <t>38-18</t>
  </si>
  <si>
    <t>38-19</t>
  </si>
  <si>
    <t>38-20</t>
  </si>
  <si>
    <t>38-21</t>
  </si>
  <si>
    <t>38-22</t>
  </si>
  <si>
    <t>38-23</t>
  </si>
  <si>
    <t>38-24</t>
  </si>
  <si>
    <t>39-1</t>
  </si>
  <si>
    <t>39-2</t>
  </si>
  <si>
    <t>40-1</t>
  </si>
  <si>
    <t>40-2</t>
  </si>
  <si>
    <t>40-3</t>
  </si>
  <si>
    <t>40-4</t>
  </si>
  <si>
    <t>40-5</t>
  </si>
  <si>
    <t>40-6</t>
  </si>
  <si>
    <t>40-7</t>
  </si>
  <si>
    <t>40-8</t>
  </si>
  <si>
    <t>40-9</t>
  </si>
  <si>
    <t>40-10</t>
  </si>
  <si>
    <t>40-11</t>
  </si>
  <si>
    <t>40-12</t>
  </si>
  <si>
    <t>40-13</t>
  </si>
  <si>
    <t>40-14</t>
  </si>
  <si>
    <t>40-15</t>
  </si>
  <si>
    <t>40-16</t>
  </si>
  <si>
    <t>40-17</t>
  </si>
  <si>
    <t>41-1</t>
  </si>
  <si>
    <t>41-2</t>
  </si>
  <si>
    <t>42-1</t>
  </si>
  <si>
    <t>42-2</t>
  </si>
  <si>
    <t>42-3</t>
  </si>
  <si>
    <t>42-4</t>
  </si>
  <si>
    <t>42-5</t>
  </si>
  <si>
    <t>42-6</t>
  </si>
  <si>
    <t>42-7</t>
  </si>
  <si>
    <t>42-8</t>
  </si>
  <si>
    <t>42-9</t>
  </si>
  <si>
    <t>42-10</t>
  </si>
  <si>
    <t>42-11</t>
  </si>
  <si>
    <t>42-12</t>
  </si>
  <si>
    <t>43-1</t>
  </si>
  <si>
    <t>43-2</t>
  </si>
  <si>
    <t>44-1</t>
  </si>
  <si>
    <t>44-2</t>
  </si>
  <si>
    <t>44-3</t>
  </si>
  <si>
    <t>44-4</t>
  </si>
  <si>
    <t>44-5</t>
  </si>
  <si>
    <t>44-6</t>
  </si>
  <si>
    <t>44-7</t>
  </si>
  <si>
    <t>44-8</t>
  </si>
  <si>
    <t>44-9</t>
  </si>
  <si>
    <t>44-10</t>
  </si>
  <si>
    <t>45-1</t>
  </si>
  <si>
    <t>46-1</t>
  </si>
  <si>
    <t>46-2</t>
  </si>
  <si>
    <t>46-3</t>
  </si>
  <si>
    <t>46-4</t>
  </si>
  <si>
    <t>46-5</t>
  </si>
  <si>
    <t>47-1</t>
  </si>
  <si>
    <t>47-2</t>
  </si>
  <si>
    <t>47-3</t>
  </si>
  <si>
    <t>48-1</t>
  </si>
  <si>
    <t>48-2</t>
  </si>
  <si>
    <t>49-1</t>
  </si>
  <si>
    <t>49-2</t>
  </si>
  <si>
    <t>49-3</t>
  </si>
  <si>
    <t>49-4</t>
  </si>
  <si>
    <t>49-5</t>
  </si>
  <si>
    <t>49-6</t>
  </si>
  <si>
    <t>50-1</t>
  </si>
  <si>
    <t>50-2</t>
  </si>
  <si>
    <t>50-3</t>
  </si>
  <si>
    <t>50-4</t>
  </si>
  <si>
    <t>51-1</t>
  </si>
  <si>
    <t>51-2</t>
  </si>
  <si>
    <t>52-1</t>
  </si>
  <si>
    <t>52-2</t>
  </si>
  <si>
    <t>53-1</t>
  </si>
  <si>
    <t>53-2</t>
  </si>
  <si>
    <t>53-3</t>
  </si>
  <si>
    <t>53-4</t>
  </si>
  <si>
    <t>53-5</t>
  </si>
  <si>
    <t>53-6</t>
  </si>
  <si>
    <t>53-7</t>
  </si>
  <si>
    <t>53-8</t>
  </si>
  <si>
    <t>54-1</t>
  </si>
  <si>
    <t>54-2</t>
  </si>
  <si>
    <t>54-3</t>
  </si>
  <si>
    <t>55-1</t>
  </si>
  <si>
    <t>55-2</t>
  </si>
  <si>
    <t>55-3</t>
  </si>
  <si>
    <t>55-4</t>
  </si>
  <si>
    <t>55-5</t>
  </si>
  <si>
    <t>55-6</t>
  </si>
  <si>
    <t>55-7</t>
  </si>
  <si>
    <t>56-1</t>
  </si>
  <si>
    <t>57-1</t>
  </si>
  <si>
    <t>57-2</t>
  </si>
  <si>
    <t>57-3</t>
  </si>
  <si>
    <t>57-4</t>
  </si>
  <si>
    <t>57-5</t>
  </si>
  <si>
    <t>57-6</t>
  </si>
  <si>
    <t>58-1</t>
  </si>
  <si>
    <t>58-2</t>
  </si>
  <si>
    <t>59-1</t>
  </si>
  <si>
    <t>59-2</t>
  </si>
  <si>
    <t>60-1</t>
  </si>
  <si>
    <t>60-2</t>
  </si>
  <si>
    <t>61-1</t>
  </si>
  <si>
    <t>61-2</t>
  </si>
  <si>
    <t>61-3</t>
  </si>
  <si>
    <t>61-4</t>
  </si>
  <si>
    <t>61-5</t>
  </si>
  <si>
    <t>61-6</t>
  </si>
  <si>
    <t>61-7</t>
  </si>
  <si>
    <t>61-8</t>
  </si>
  <si>
    <t>62-1</t>
  </si>
  <si>
    <t>62-2</t>
  </si>
  <si>
    <t>63-1</t>
  </si>
  <si>
    <t>63-2</t>
  </si>
  <si>
    <t>63-3</t>
  </si>
  <si>
    <t>64-1</t>
  </si>
  <si>
    <t>64-2</t>
  </si>
  <si>
    <t>64-3</t>
  </si>
  <si>
    <t>64-4</t>
  </si>
  <si>
    <t>64-5</t>
  </si>
  <si>
    <t>65-1</t>
  </si>
  <si>
    <t>66-1</t>
  </si>
  <si>
    <t>66-2</t>
  </si>
  <si>
    <t>66-3</t>
  </si>
  <si>
    <t>66-4</t>
  </si>
  <si>
    <t>67-1</t>
  </si>
  <si>
    <t>67-2</t>
  </si>
  <si>
    <t>67-3</t>
  </si>
  <si>
    <t>67-4</t>
  </si>
  <si>
    <t>67-5</t>
  </si>
  <si>
    <t>67-6</t>
  </si>
  <si>
    <t>67-7</t>
  </si>
  <si>
    <t>67-8</t>
  </si>
  <si>
    <t>67-9</t>
  </si>
  <si>
    <t>67-10</t>
  </si>
  <si>
    <t>67-11</t>
  </si>
  <si>
    <t>67-12</t>
  </si>
  <si>
    <t>67-13</t>
  </si>
  <si>
    <t>67-14</t>
  </si>
  <si>
    <t>67-15</t>
  </si>
  <si>
    <t>67-16</t>
  </si>
  <si>
    <t>67-17</t>
  </si>
  <si>
    <t>67-18</t>
  </si>
  <si>
    <t>67-19</t>
  </si>
  <si>
    <t>67-20</t>
  </si>
  <si>
    <t>67-21</t>
  </si>
  <si>
    <t>67-22</t>
  </si>
  <si>
    <t>67-23</t>
  </si>
  <si>
    <t>67-24</t>
  </si>
  <si>
    <t>68-1</t>
  </si>
  <si>
    <t>68-2</t>
  </si>
  <si>
    <t>69-1</t>
  </si>
  <si>
    <t>69-2</t>
  </si>
  <si>
    <t>70-1</t>
  </si>
  <si>
    <t>70-2</t>
  </si>
  <si>
    <t>71-1</t>
  </si>
  <si>
    <t>72-1</t>
  </si>
  <si>
    <t>72-2</t>
  </si>
  <si>
    <t>73-1</t>
  </si>
  <si>
    <t>73-2</t>
  </si>
  <si>
    <t>73-3</t>
  </si>
  <si>
    <t>74-1</t>
  </si>
  <si>
    <t>75-1</t>
  </si>
  <si>
    <t>75-2</t>
  </si>
  <si>
    <t>75-3</t>
  </si>
  <si>
    <t>76-1</t>
  </si>
  <si>
    <t>76-2</t>
  </si>
  <si>
    <t>77-1</t>
  </si>
  <si>
    <t>78-1</t>
  </si>
  <si>
    <t>79-1</t>
  </si>
  <si>
    <t>79-2</t>
  </si>
  <si>
    <t>79-3</t>
  </si>
  <si>
    <t>80-1</t>
  </si>
  <si>
    <t>81-1</t>
  </si>
  <si>
    <t>81-2</t>
  </si>
  <si>
    <t>81-3</t>
  </si>
  <si>
    <t>82-1</t>
  </si>
  <si>
    <t>82-2</t>
  </si>
  <si>
    <t>82-3</t>
  </si>
  <si>
    <t>82-4</t>
  </si>
  <si>
    <t>82-5</t>
  </si>
  <si>
    <t>82-6</t>
  </si>
  <si>
    <t>82-7</t>
  </si>
  <si>
    <t>82-8</t>
  </si>
  <si>
    <t>82-9</t>
  </si>
  <si>
    <t>87-1</t>
  </si>
  <si>
    <t>87-2</t>
  </si>
  <si>
    <t>87-3</t>
  </si>
  <si>
    <t>87-4</t>
  </si>
  <si>
    <t>87-5</t>
  </si>
  <si>
    <t>87-6</t>
  </si>
  <si>
    <t>84-1</t>
  </si>
  <si>
    <t>85-1</t>
  </si>
  <si>
    <t>86-1</t>
  </si>
  <si>
    <t>86-2</t>
  </si>
  <si>
    <t>86-3</t>
  </si>
  <si>
    <t>86-4</t>
  </si>
  <si>
    <t>87-7</t>
  </si>
  <si>
    <t>87-8</t>
  </si>
  <si>
    <t>87-9</t>
  </si>
  <si>
    <t>87-10</t>
  </si>
  <si>
    <t>87-11</t>
  </si>
  <si>
    <t>87-12</t>
  </si>
  <si>
    <t>87-13</t>
  </si>
  <si>
    <t>87-14</t>
  </si>
  <si>
    <t>87-15</t>
  </si>
  <si>
    <t>87-16</t>
  </si>
  <si>
    <t>87-17</t>
  </si>
  <si>
    <t>87-18</t>
  </si>
  <si>
    <t>87-19</t>
  </si>
  <si>
    <t>87-20</t>
  </si>
  <si>
    <t>87-21</t>
  </si>
  <si>
    <t>88-1</t>
  </si>
  <si>
    <t>88-2</t>
  </si>
  <si>
    <t>88-3</t>
  </si>
  <si>
    <t>88-4</t>
  </si>
  <si>
    <t>88-5</t>
  </si>
  <si>
    <t>88-6</t>
  </si>
  <si>
    <t>89-1</t>
  </si>
  <si>
    <t>89-2</t>
  </si>
  <si>
    <t>89-3</t>
  </si>
  <si>
    <t>89-4</t>
  </si>
  <si>
    <t>89-5</t>
  </si>
  <si>
    <t>89-6</t>
  </si>
  <si>
    <t>89-7</t>
  </si>
  <si>
    <t>89-8</t>
  </si>
  <si>
    <t>89-9</t>
  </si>
  <si>
    <t>90-1</t>
  </si>
  <si>
    <t>91-1</t>
  </si>
  <si>
    <t>91-2</t>
  </si>
  <si>
    <t>91-3</t>
  </si>
  <si>
    <t>91-4</t>
  </si>
  <si>
    <t>91-5</t>
  </si>
  <si>
    <t>91-6</t>
  </si>
  <si>
    <t>91-7</t>
  </si>
  <si>
    <t>91-8</t>
  </si>
  <si>
    <t>91-9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</si>
  <si>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</si>
  <si>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</si>
  <si>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</si>
  <si>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</si>
  <si>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</si>
  <si>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</si>
  <si>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</si>
  <si>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</si>
  <si>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</si>
  <si>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</si>
  <si>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</si>
  <si>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</si>
  <si>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</si>
  <si>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</si>
  <si>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</si>
  <si>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</si>
  <si>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</si>
  <si>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</si>
  <si>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</si>
  <si>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</si>
  <si>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</si>
  <si>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</si>
  <si>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</si>
  <si>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</si>
  <si>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</si>
  <si>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</si>
  <si>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</si>
  <si>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</si>
  <si>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</si>
  <si>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</si>
  <si>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</si>
  <si>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</si>
  <si>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</si>
  <si>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</si>
  <si>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</si>
  <si>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</si>
  <si>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93-1</t>
  </si>
  <si>
    <t>93-2</t>
  </si>
  <si>
    <t>93-3</t>
  </si>
  <si>
    <t>93-4</t>
  </si>
  <si>
    <t>94-1</t>
  </si>
  <si>
    <t>94-2</t>
  </si>
  <si>
    <t>94-3</t>
  </si>
  <si>
    <t>94-4</t>
  </si>
  <si>
    <t>94-5</t>
  </si>
  <si>
    <t>94-6</t>
  </si>
  <si>
    <t>94-7</t>
  </si>
  <si>
    <t>94-8</t>
  </si>
  <si>
    <t>94-9</t>
  </si>
  <si>
    <t>94-10</t>
  </si>
  <si>
    <t>94-11</t>
  </si>
  <si>
    <t>94-12</t>
  </si>
  <si>
    <t>95-1</t>
  </si>
  <si>
    <t>95-2</t>
  </si>
  <si>
    <t>95-3</t>
  </si>
  <si>
    <t>96-1</t>
  </si>
  <si>
    <t>96-2</t>
  </si>
  <si>
    <t>97-1</t>
  </si>
  <si>
    <t>97-2</t>
  </si>
  <si>
    <t>97-3</t>
  </si>
  <si>
    <t>98-1</t>
  </si>
  <si>
    <t>98-2</t>
  </si>
  <si>
    <t>98-3</t>
  </si>
  <si>
    <t>98-4</t>
  </si>
  <si>
    <t>98-5</t>
  </si>
  <si>
    <t>98-6</t>
  </si>
  <si>
    <t>99-1</t>
  </si>
  <si>
    <t>99-2</t>
  </si>
  <si>
    <t>99-3</t>
  </si>
  <si>
    <t>100-1</t>
  </si>
  <si>
    <t>100-2</t>
  </si>
  <si>
    <t>100-3</t>
  </si>
  <si>
    <t>100-4</t>
  </si>
  <si>
    <t>100-5</t>
  </si>
  <si>
    <t>100-6</t>
  </si>
  <si>
    <t>100-7</t>
  </si>
  <si>
    <t>100-8</t>
  </si>
  <si>
    <t>100-9</t>
  </si>
  <si>
    <t>100-10</t>
  </si>
  <si>
    <t>100-11</t>
  </si>
  <si>
    <t>100-12</t>
  </si>
  <si>
    <t>100-13</t>
  </si>
  <si>
    <t>101-1</t>
  </si>
  <si>
    <t>101-2</t>
  </si>
  <si>
    <t>101-3</t>
  </si>
  <si>
    <t>101-4</t>
  </si>
  <si>
    <t>101-5</t>
  </si>
  <si>
    <t>101-6</t>
  </si>
  <si>
    <t>101-7</t>
  </si>
  <si>
    <t>101-8</t>
  </si>
  <si>
    <t>101-9</t>
  </si>
  <si>
    <t>101-10</t>
  </si>
  <si>
    <t>101-11</t>
  </si>
  <si>
    <t>101-12</t>
  </si>
  <si>
    <t>101-13</t>
  </si>
  <si>
    <t>101-14</t>
  </si>
  <si>
    <t>101-15</t>
  </si>
  <si>
    <t>102-1</t>
  </si>
  <si>
    <t>102-2</t>
  </si>
  <si>
    <t>103-1</t>
  </si>
  <si>
    <t>104-1</t>
  </si>
  <si>
    <t>104-2</t>
  </si>
  <si>
    <t>104-3</t>
  </si>
  <si>
    <t>104-4</t>
  </si>
  <si>
    <t>104-5</t>
  </si>
  <si>
    <t>104-6</t>
  </si>
  <si>
    <t>104-7</t>
  </si>
  <si>
    <t>104-8</t>
  </si>
  <si>
    <t>105-1</t>
  </si>
  <si>
    <t>106-1</t>
  </si>
  <si>
    <t>107-1</t>
  </si>
  <si>
    <t>107-2</t>
  </si>
  <si>
    <t>107-3</t>
  </si>
  <si>
    <t>107-4</t>
  </si>
  <si>
    <t>108-1</t>
  </si>
  <si>
    <t>109-1</t>
  </si>
  <si>
    <t>110-1</t>
  </si>
  <si>
    <t>110-2</t>
  </si>
  <si>
    <t>110-3</t>
  </si>
  <si>
    <t>110-4</t>
  </si>
  <si>
    <t>110-5</t>
  </si>
  <si>
    <t>111-2</t>
  </si>
  <si>
    <t>111-7</t>
  </si>
  <si>
    <t>111-3</t>
  </si>
  <si>
    <t>111-8</t>
  </si>
  <si>
    <t>111-9</t>
  </si>
  <si>
    <t>111-11</t>
  </si>
  <si>
    <t>111-12</t>
  </si>
  <si>
    <t>111-15</t>
  </si>
  <si>
    <t>111-22</t>
  </si>
  <si>
    <t>111-28</t>
  </si>
  <si>
    <t>111-41</t>
  </si>
  <si>
    <t>111-43</t>
  </si>
  <si>
    <t>111-55</t>
  </si>
  <si>
    <t>112-1</t>
  </si>
  <si>
    <t>112-2</t>
  </si>
  <si>
    <t>112-3</t>
  </si>
  <si>
    <t>112-4</t>
  </si>
  <si>
    <t>112-5</t>
  </si>
  <si>
    <t>113-1</t>
  </si>
  <si>
    <t>113-2</t>
  </si>
  <si>
    <t>113-3</t>
  </si>
  <si>
    <t>113-4</t>
  </si>
  <si>
    <t>113-5</t>
  </si>
  <si>
    <t>113-6</t>
  </si>
  <si>
    <t>114-1</t>
  </si>
  <si>
    <t>114-2</t>
  </si>
  <si>
    <t>115-1</t>
  </si>
  <si>
    <t>116-1</t>
  </si>
  <si>
    <t>116-2</t>
  </si>
  <si>
    <t>116-3</t>
  </si>
  <si>
    <t>116-4</t>
  </si>
  <si>
    <t>116-5</t>
  </si>
  <si>
    <t>116-6</t>
  </si>
  <si>
    <t>117-1</t>
  </si>
  <si>
    <t>Legume_Tree</t>
  </si>
  <si>
    <t>118-1</t>
  </si>
  <si>
    <t>118-2</t>
  </si>
  <si>
    <t>118-3</t>
  </si>
  <si>
    <t>118-4</t>
  </si>
  <si>
    <t>118-5</t>
  </si>
  <si>
    <t>118-6</t>
  </si>
  <si>
    <t>119-1</t>
  </si>
  <si>
    <t>119-2</t>
  </si>
  <si>
    <t>119-3</t>
  </si>
  <si>
    <t>120-1</t>
  </si>
  <si>
    <t>120-2</t>
  </si>
  <si>
    <t>121-1</t>
  </si>
  <si>
    <t>121-2</t>
  </si>
  <si>
    <t>121-3</t>
  </si>
  <si>
    <t>121-4</t>
  </si>
  <si>
    <t>121-5</t>
  </si>
  <si>
    <t>122-1</t>
  </si>
  <si>
    <t>123-1</t>
  </si>
  <si>
    <t>123-2</t>
  </si>
  <si>
    <t>123-3</t>
  </si>
  <si>
    <t>123-4</t>
  </si>
  <si>
    <t>123-5</t>
  </si>
  <si>
    <t>123-6</t>
  </si>
  <si>
    <t>124-1</t>
  </si>
  <si>
    <t>124-2</t>
  </si>
  <si>
    <t>124-3</t>
  </si>
  <si>
    <t>124-4</t>
  </si>
  <si>
    <t>125-1</t>
  </si>
  <si>
    <t>125-2</t>
  </si>
  <si>
    <t>125-3</t>
  </si>
  <si>
    <t>125-4</t>
  </si>
  <si>
    <t>125-5</t>
  </si>
  <si>
    <t>125-6</t>
  </si>
  <si>
    <t>125-7</t>
  </si>
  <si>
    <t>125-8</t>
  </si>
  <si>
    <t>125-9</t>
  </si>
  <si>
    <t>125-10</t>
  </si>
  <si>
    <t>126-1</t>
  </si>
  <si>
    <t>127-1</t>
  </si>
  <si>
    <t>127-2</t>
  </si>
  <si>
    <t>128-1</t>
  </si>
  <si>
    <t>128-2</t>
  </si>
  <si>
    <t>128-3</t>
  </si>
  <si>
    <t>129-1</t>
  </si>
  <si>
    <t>129-2</t>
  </si>
  <si>
    <t>130-1</t>
  </si>
  <si>
    <t>130-2</t>
  </si>
  <si>
    <t>130-3</t>
  </si>
  <si>
    <t>130-4</t>
  </si>
  <si>
    <t>130-5</t>
  </si>
  <si>
    <t>130-6</t>
  </si>
  <si>
    <t>131-1</t>
  </si>
  <si>
    <t>132-1</t>
  </si>
  <si>
    <t>134-1</t>
  </si>
  <si>
    <t>134-2</t>
  </si>
  <si>
    <t>135-1</t>
  </si>
  <si>
    <t>136-1</t>
  </si>
  <si>
    <t>136-2</t>
  </si>
  <si>
    <t>136-3</t>
  </si>
  <si>
    <t>137-1</t>
  </si>
  <si>
    <t>137-2</t>
  </si>
  <si>
    <t>137-3</t>
  </si>
  <si>
    <t>137-4</t>
  </si>
  <si>
    <t>137-5</t>
  </si>
  <si>
    <t>137-6</t>
  </si>
  <si>
    <t>138-1</t>
  </si>
  <si>
    <t>138-2</t>
  </si>
  <si>
    <t>133-4</t>
  </si>
  <si>
    <t>140-1</t>
  </si>
  <si>
    <t>141-1</t>
  </si>
  <si>
    <t>141-2</t>
  </si>
  <si>
    <t>142-3</t>
  </si>
  <si>
    <t>143-1</t>
  </si>
  <si>
    <t>144-1</t>
  </si>
  <si>
    <t>145-1</t>
  </si>
  <si>
    <t>145-2</t>
  </si>
  <si>
    <t>145-3</t>
  </si>
  <si>
    <t>145-4</t>
  </si>
  <si>
    <t>146-1</t>
  </si>
  <si>
    <t>146-2</t>
  </si>
  <si>
    <t>147-1</t>
  </si>
  <si>
    <t>147-2</t>
  </si>
  <si>
    <t>148-1</t>
  </si>
  <si>
    <t>148-2</t>
  </si>
  <si>
    <t>148-3</t>
  </si>
  <si>
    <t>149-1</t>
  </si>
  <si>
    <t>150-1</t>
  </si>
  <si>
    <t>150-2</t>
  </si>
  <si>
    <t>150-3</t>
  </si>
  <si>
    <t>150-4</t>
  </si>
  <si>
    <t>151-1</t>
  </si>
  <si>
    <t>151-2</t>
  </si>
  <si>
    <t>152-1</t>
  </si>
  <si>
    <t>152-2</t>
  </si>
  <si>
    <t>153-1</t>
  </si>
  <si>
    <t>153-2</t>
  </si>
  <si>
    <t>153-3</t>
  </si>
  <si>
    <t>153-4</t>
  </si>
  <si>
    <t>153-5</t>
  </si>
  <si>
    <t>TOC (*0.00061*100 to %)</t>
  </si>
  <si>
    <t>TC, kg per ha to, should be Mg per ha, otherwise data not in the right magnitude after unit convertion</t>
  </si>
  <si>
    <t>60-3</t>
  </si>
  <si>
    <t>60-4</t>
  </si>
  <si>
    <t>SOC, Units Mg/ha to % (*(1/(100*100*0.05*1.35))*100)</t>
  </si>
  <si>
    <t>TC (g/kg) to %</t>
  </si>
  <si>
    <t>SOC (g/kg) to %</t>
  </si>
  <si>
    <t>4.2OC_Comments</t>
  </si>
  <si>
    <t>Xie</t>
  </si>
  <si>
    <t>Zhijian</t>
  </si>
  <si>
    <t>Fengcheng, Jianxi</t>
  </si>
  <si>
    <t>Kg N2O-N per ha</t>
  </si>
  <si>
    <t>Mg per ha to Kg per ha</t>
  </si>
  <si>
    <t>Kg CO2 per ha</t>
  </si>
  <si>
    <t>NH4 (mg/kg)</t>
  </si>
  <si>
    <t>NO3 (mg/kg)</t>
  </si>
  <si>
    <t>Nitrifying bacterial</t>
  </si>
  <si>
    <t>De nitrifying bacterial</t>
  </si>
  <si>
    <t>189-1</t>
  </si>
  <si>
    <t>189-2</t>
  </si>
  <si>
    <t>2014</t>
  </si>
  <si>
    <t>Yu</t>
  </si>
  <si>
    <t>Yingliang</t>
  </si>
  <si>
    <t>Agronomy Sustainable Development</t>
  </si>
  <si>
    <t>2009-2012</t>
  </si>
  <si>
    <t>Longyan Village, Hudai Town, Wuxi, Jiangsu</t>
  </si>
  <si>
    <t>190-1</t>
  </si>
  <si>
    <t>190-2</t>
  </si>
  <si>
    <t>190-3</t>
  </si>
  <si>
    <t>190-4</t>
  </si>
  <si>
    <t>N-loss (kg per ha per yr)</t>
  </si>
  <si>
    <t>SOM (%)</t>
  </si>
  <si>
    <t>Mineral N (mg per kg)</t>
  </si>
  <si>
    <t>Yuan</t>
  </si>
  <si>
    <t>Huimin</t>
  </si>
  <si>
    <t>Pedosphere</t>
  </si>
  <si>
    <t>Winter-spring season</t>
  </si>
  <si>
    <t>Autumn-winter season</t>
  </si>
  <si>
    <t>191-1</t>
  </si>
  <si>
    <t>191-2</t>
  </si>
  <si>
    <t>Jun 29 2008</t>
  </si>
  <si>
    <t>120-to-150</t>
  </si>
  <si>
    <t>150-to-180</t>
  </si>
  <si>
    <t>2008-20010</t>
  </si>
  <si>
    <t>191-3</t>
  </si>
  <si>
    <t>191-4</t>
  </si>
  <si>
    <t>191-5</t>
  </si>
  <si>
    <t>191-6</t>
  </si>
  <si>
    <t>Sep 3 2008</t>
  </si>
  <si>
    <t>Jan 15 2009</t>
  </si>
  <si>
    <t>Jun 23 2009</t>
  </si>
  <si>
    <t>Sep 7 2009</t>
  </si>
  <si>
    <t>Jan 25 2009</t>
  </si>
  <si>
    <t>Fuvo-aquic soil</t>
  </si>
  <si>
    <t>Zhang</t>
  </si>
  <si>
    <t>Dabing</t>
  </si>
  <si>
    <t>Changwu County, Shannxi</t>
  </si>
  <si>
    <t>2008-2012</t>
  </si>
  <si>
    <t>192-1</t>
  </si>
  <si>
    <t>Huai bean</t>
  </si>
  <si>
    <t>Mung bean</t>
  </si>
  <si>
    <t>European Journal of Agronomy</t>
  </si>
  <si>
    <t>120-to-140</t>
  </si>
  <si>
    <t>140-to-160</t>
  </si>
  <si>
    <t>160-to-180</t>
  </si>
  <si>
    <t>180-to-200</t>
  </si>
  <si>
    <t>100-to-120</t>
  </si>
  <si>
    <t>Nitrate_N (kg N per ha)</t>
  </si>
  <si>
    <t>Bloom stage</t>
  </si>
  <si>
    <t>Sowing stage</t>
  </si>
  <si>
    <t>Harvest stage</t>
  </si>
  <si>
    <t>193-1</t>
  </si>
  <si>
    <t>193-2</t>
  </si>
  <si>
    <t>193-3</t>
  </si>
  <si>
    <t>193-4</t>
  </si>
  <si>
    <t>193-5</t>
  </si>
  <si>
    <t>193-6</t>
  </si>
  <si>
    <t>193-7</t>
  </si>
  <si>
    <t>193-8</t>
  </si>
  <si>
    <t>193-9</t>
  </si>
  <si>
    <t>193-10</t>
  </si>
  <si>
    <t>194-1</t>
  </si>
  <si>
    <t>Scientific Report</t>
  </si>
  <si>
    <t>0-to-100</t>
  </si>
  <si>
    <t>Dry years</t>
  </si>
  <si>
    <t>Normal years</t>
  </si>
  <si>
    <t>Wet years</t>
  </si>
  <si>
    <t>194-2</t>
  </si>
  <si>
    <t>100-to-200</t>
  </si>
  <si>
    <t>During the summer follow season</t>
  </si>
  <si>
    <t>During the wheat growing season</t>
  </si>
  <si>
    <t>Bo</t>
  </si>
  <si>
    <t>2008-2010</t>
  </si>
  <si>
    <t>Huarong county, Hunan</t>
  </si>
  <si>
    <t>195-1</t>
  </si>
  <si>
    <t>195-2</t>
  </si>
  <si>
    <t>195-3</t>
  </si>
  <si>
    <t>195-4</t>
  </si>
  <si>
    <t>NH4-N</t>
  </si>
  <si>
    <t>195-5</t>
  </si>
  <si>
    <t>195-6</t>
  </si>
  <si>
    <t>195-7</t>
  </si>
  <si>
    <t>195-8</t>
  </si>
  <si>
    <t>195-9</t>
  </si>
  <si>
    <t>195-10</t>
  </si>
  <si>
    <t>195-11</t>
  </si>
  <si>
    <t>195-12</t>
  </si>
  <si>
    <t>195-13</t>
  </si>
  <si>
    <t>195-14</t>
  </si>
  <si>
    <t>2008-2011</t>
  </si>
  <si>
    <t>0 kg per ha</t>
  </si>
  <si>
    <t>100 kg per ha</t>
  </si>
  <si>
    <t>200 kg per ha</t>
  </si>
  <si>
    <t>Early Rice</t>
  </si>
  <si>
    <t>Late Rice</t>
  </si>
  <si>
    <t>N use efficiency and fertilizer recover efficiency available</t>
  </si>
  <si>
    <t>196-1</t>
  </si>
  <si>
    <t>196-2</t>
  </si>
  <si>
    <t>196-3</t>
  </si>
  <si>
    <t>SOC (Mg per Ha)</t>
  </si>
  <si>
    <t>OM (Percentage)</t>
  </si>
  <si>
    <t>SOC (Percentage)</t>
  </si>
  <si>
    <t>TOC (Mg per Ha)</t>
  </si>
  <si>
    <t>TC (Percentage)</t>
  </si>
  <si>
    <t>SOM (Percentage)</t>
  </si>
  <si>
    <t>OC (Percentage)</t>
  </si>
  <si>
    <t>TC (Kg per ha)</t>
  </si>
  <si>
    <t>TOC (Mg per ha)</t>
  </si>
  <si>
    <t>Labile C (100 g per ha)</t>
  </si>
  <si>
    <t>SOC (Mg per ha)</t>
  </si>
  <si>
    <t>OC (Mg per ha)</t>
  </si>
  <si>
    <t>21-to-80</t>
  </si>
  <si>
    <t>Cebada/Barley</t>
  </si>
  <si>
    <t>Nabo forrajero/Turnip fodder</t>
  </si>
  <si>
    <t>Mg (mg/kg)</t>
  </si>
  <si>
    <t>Ca+Mg+K (mg/kg)</t>
  </si>
  <si>
    <t>CaMgAl (mg/kg)</t>
  </si>
  <si>
    <t>Available water hold capacity of control (mean value), reflects the quantity o f water that a disturbed sample o f soil can store for 
plant use. It is the difference between water stored at field capacity and at the wilting point, and is 
measured using pressure chambers.</t>
  </si>
  <si>
    <t>Penetration resistance of control (mean value), root. Is a measure of  the maximum soil surface (0 to 6 inch depth) penetration resistance (psi), or compaction, determined using a field penetrometer.</t>
  </si>
  <si>
    <t>Soil aggregation of control (mean value), there are multiple indicators of soil aggregation, always make notes. Agg is a measure of  how well soil aggregates resist disintegration when hit by rain drops. It is measured using a standardized simulated rainfall event on a sieve containing soil aggregates between 0.25 and 2.0 mm. The fraction of  soil that remains on the sieve determines the percent aggregate stability.</t>
  </si>
  <si>
    <t>Active C is a measure of  the small portion of  the organic matter that can serve as an easily available food source for soil microbes, thus helping fuel and maintain a healthy soil food web. It is measured by quantifying potassium permanganate oxidation with a spectrophotometer.</t>
  </si>
  <si>
    <t>PMN:  is a combined measure of  soil biological activity and substrate available to mineralize nitrogen to make it available to the plant. It is measured as the change in mineralized plantavailable nitrogen present after a seven day anaerobic incubation.</t>
  </si>
  <si>
    <t>Heavy material</t>
  </si>
  <si>
    <t xml:space="preserve"> Heavy metals such as arsenic, barium, cadmium, chromium, copper, lead, nickel, zinc are measured. </t>
  </si>
  <si>
    <t>Can be added</t>
  </si>
  <si>
    <t>Notes 1</t>
  </si>
  <si>
    <t>Notes 2</t>
  </si>
  <si>
    <t>Tillage_Top_C</t>
  </si>
  <si>
    <t>Tillage_Top_T</t>
  </si>
  <si>
    <t>Tillage details</t>
  </si>
  <si>
    <t>Disk tillage</t>
  </si>
  <si>
    <t>Strip-tiller tillage</t>
  </si>
  <si>
    <t>Multch tillage</t>
  </si>
  <si>
    <t>Reduced tillage</t>
  </si>
  <si>
    <t>Full-tilled</t>
  </si>
  <si>
    <t>Mouldboard ploughing</t>
  </si>
  <si>
    <t>Clark</t>
  </si>
  <si>
    <t>Kerry M.</t>
  </si>
  <si>
    <t xml:space="preserve">Organic agriculture and agroecology  </t>
  </si>
  <si>
    <t>2012-2014</t>
  </si>
  <si>
    <t>Boone County, east of Columbia, MO</t>
  </si>
  <si>
    <t xml:space="preserve">Silty loam </t>
  </si>
  <si>
    <t>Mesic Vertic Epiaqualf</t>
  </si>
  <si>
    <t>1×</t>
  </si>
  <si>
    <t>1.5×</t>
  </si>
  <si>
    <t>0×</t>
  </si>
  <si>
    <t>0.5×</t>
  </si>
  <si>
    <t>RT</t>
  </si>
  <si>
    <t>197-1</t>
  </si>
  <si>
    <t>197-2</t>
  </si>
  <si>
    <t>197-3</t>
  </si>
  <si>
    <t>197-4</t>
  </si>
  <si>
    <t>197-5</t>
  </si>
  <si>
    <t>197-6</t>
  </si>
  <si>
    <t>197-7</t>
  </si>
  <si>
    <t>197-8</t>
  </si>
  <si>
    <t>197-9</t>
  </si>
  <si>
    <t>197-10</t>
  </si>
  <si>
    <t>197-11</t>
  </si>
  <si>
    <t>197-12</t>
  </si>
  <si>
    <t>Fuensanta</t>
  </si>
  <si>
    <t>Garcia-Orenes</t>
  </si>
  <si>
    <t>Land Degradation and Development</t>
  </si>
  <si>
    <t>Mogente municipality, Valencia Province Southeast Spain</t>
  </si>
  <si>
    <t>Spain</t>
  </si>
  <si>
    <t>Typic Xeroﬂuvent</t>
  </si>
  <si>
    <t>2005-2014</t>
  </si>
  <si>
    <t>Grapevine</t>
  </si>
  <si>
    <t>GRAPEVINE</t>
  </si>
  <si>
    <t>Inorganic fertilizer</t>
  </si>
  <si>
    <t>Organic pruning</t>
  </si>
  <si>
    <t>198-1</t>
  </si>
  <si>
    <t>Beta-glucosidase</t>
  </si>
  <si>
    <t>Funti, Fungi/bacteria and many other available</t>
  </si>
  <si>
    <t>MARQUES</t>
  </si>
  <si>
    <t xml:space="preserve">M. J. </t>
  </si>
  <si>
    <t xml:space="preserve"> Campo Real, Madrid</t>
  </si>
  <si>
    <t>Calcic Haploxeralf</t>
  </si>
  <si>
    <t>Traditional tillage</t>
  </si>
  <si>
    <t>Brachypodium</t>
  </si>
  <si>
    <t>Vineyard</t>
  </si>
  <si>
    <t>g/m2/yr</t>
  </si>
  <si>
    <t>mm/yr</t>
  </si>
  <si>
    <t>0-to-35</t>
  </si>
  <si>
    <t>35</t>
  </si>
  <si>
    <t>m3/m3</t>
  </si>
  <si>
    <t>N/m2</t>
  </si>
  <si>
    <t>g/kg to %, LOI</t>
  </si>
  <si>
    <t xml:space="preserve">kg per vine </t>
  </si>
  <si>
    <t>199-1</t>
  </si>
  <si>
    <t>199-2</t>
  </si>
  <si>
    <t>199-3</t>
  </si>
  <si>
    <t>199-4</t>
  </si>
  <si>
    <t>Kiwifruit</t>
  </si>
  <si>
    <t>0-to-16</t>
  </si>
  <si>
    <t>15-to-31</t>
  </si>
  <si>
    <t>30-to-61</t>
  </si>
  <si>
    <t>60-to-91</t>
  </si>
  <si>
    <t>Compost and pruning residue</t>
  </si>
  <si>
    <t>Pruning residue removed</t>
  </si>
  <si>
    <t>200-1</t>
  </si>
  <si>
    <t>200-2</t>
  </si>
  <si>
    <t>200-3</t>
  </si>
  <si>
    <t>200-4</t>
  </si>
  <si>
    <t>200-5</t>
  </si>
  <si>
    <t>200-6</t>
  </si>
  <si>
    <t>200-7</t>
  </si>
  <si>
    <t>200-8</t>
  </si>
  <si>
    <t>MONTANARO</t>
  </si>
  <si>
    <t>Haplic Luvisols</t>
  </si>
  <si>
    <t>Haplic Revosols</t>
  </si>
  <si>
    <t xml:space="preserve"> South Italy</t>
  </si>
  <si>
    <t>Moore</t>
  </si>
  <si>
    <t>E.B.</t>
  </si>
  <si>
    <t>2009-2011</t>
  </si>
  <si>
    <t>Mesic Typic Hapludoll</t>
  </si>
  <si>
    <t>208-117-74 kg N-P-K per ha</t>
  </si>
  <si>
    <t>201-1</t>
  </si>
  <si>
    <t>201-2</t>
  </si>
  <si>
    <t>201-3</t>
  </si>
  <si>
    <t>201-4</t>
  </si>
  <si>
    <t>Mg per ha to kg per ha</t>
  </si>
  <si>
    <t>Particale organic matter (POM) available</t>
  </si>
  <si>
    <t>PMN (mg N per kg soil)</t>
  </si>
  <si>
    <t>Olson</t>
  </si>
  <si>
    <t>Open Journal of Soil Science</t>
  </si>
  <si>
    <t>K.</t>
  </si>
  <si>
    <t>2001-2012</t>
  </si>
  <si>
    <t>Dixon Springs Agricultural Research Center in southern Illinois</t>
  </si>
  <si>
    <t>Silt loam</t>
  </si>
  <si>
    <t>OC_C_Change</t>
  </si>
  <si>
    <t>OC_T_Change</t>
  </si>
  <si>
    <t>OC_C_SD_Change</t>
  </si>
  <si>
    <t>OC_T_SD_Change</t>
  </si>
  <si>
    <t>4.3OC_Change_Comments</t>
  </si>
  <si>
    <t>OC_Change_C</t>
  </si>
  <si>
    <t>OC_Change_T</t>
  </si>
  <si>
    <t>OC_Change_Comments</t>
  </si>
  <si>
    <t>Soil organic carbon sequestration rate compare with beginning of experiments</t>
  </si>
  <si>
    <t>Comments on soil organic carbon sequestration rate compare with beginning of experiments</t>
  </si>
  <si>
    <t>Seq. rate (kg/ha x yr), Always make comments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</si>
</sst>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
    <numFmt numFmtId="165" formatCode="0.00000"/>
    <numFmt numFmtId="166" formatCode="0.0000000"/>
    <numFmt numFmtId="167" formatCode="0.000"/>
  </numFmts>
  <fonts count="33" x14ac:knownFonts="1">
    <font>
      <sz val="11"/>
      <color theme="1"/>
      <name val="Calibri"/>
      <family val="2"/>
      <scheme val="minor"/>
    </font>
    <font>
      <b/>
      <sz val="11"/>
      <color theme="1"/>
      <name val="Calibri"/>
      <family val="2"/>
      <scheme val="minor"/>
    </font>
    <font>
      <u/>
      <sz val="10"/>
      <name val="Verdana"/>
      <family val="2"/>
    </font>
    <font>
      <sz val="11"/>
      <color rgb="FFFF0000"/>
      <name val="Calibri"/>
      <family val="2"/>
      <scheme val="minor"/>
    </font>
    <font>
      <sz val="11"/>
      <name val="Calibri"/>
      <family val="2"/>
      <scheme val="minor"/>
    </font>
    <font>
      <i/>
      <sz val="10"/>
      <color rgb="FF252C2F"/>
      <name val="Arial"/>
      <family val="2"/>
    </font>
    <font>
      <sz val="10"/>
      <color rgb="FF222222"/>
      <name val="Arial"/>
      <family val="2"/>
    </font>
    <font>
      <sz val="10"/>
      <color rgb="FFFF0000"/>
      <name val="Arial"/>
      <family val="2"/>
    </font>
    <font>
      <sz val="9"/>
      <color rgb="FF000000"/>
      <name val="Arial"/>
      <family val="2"/>
    </font>
    <font>
      <sz val="11"/>
      <color theme="1" tint="0.499984740745262"/>
      <name val="Calibri"/>
      <family val="2"/>
      <scheme val="minor"/>
    </font>
    <font>
      <sz val="9"/>
      <color rgb="FFFF0000"/>
      <name val="Arial"/>
      <family val="2"/>
    </font>
    <font>
      <sz val="11"/>
      <color rgb="FF00B050"/>
      <name val="Calibri"/>
      <family val="2"/>
      <scheme val="minor"/>
    </font>
    <font>
      <b/>
      <sz val="11"/>
      <color rgb="FFFF0000"/>
      <name val="Calibri"/>
      <family val="2"/>
      <scheme val="minor"/>
    </font>
    <font>
      <sz val="11"/>
      <color theme="5" tint="-0.249977111117893"/>
      <name val="Calibri"/>
      <family val="2"/>
      <scheme val="minor"/>
    </font>
    <font>
      <sz val="11"/>
      <color theme="9" tint="-0.249977111117893"/>
      <name val="Calibri"/>
      <family val="2"/>
      <scheme val="minor"/>
    </font>
    <font>
      <sz val="11"/>
      <color rgb="FF00B0F0"/>
      <name val="Calibri"/>
      <family val="2"/>
      <scheme val="minor"/>
    </font>
    <font>
      <sz val="11"/>
      <color rgb="FF0070C0"/>
      <name val="Calibri"/>
      <family val="2"/>
      <scheme val="minor"/>
    </font>
    <font>
      <sz val="11"/>
      <color theme="1"/>
      <name val="Times New Roman"/>
      <family val="1"/>
    </font>
    <font>
      <b/>
      <i/>
      <sz val="12"/>
      <color rgb="FF800000"/>
      <name val="Times New Roman"/>
      <family val="1"/>
    </font>
    <font>
      <sz val="12"/>
      <color theme="1"/>
      <name val="Times New Roman"/>
      <family val="1"/>
    </font>
    <font>
      <b/>
      <sz val="12"/>
      <color theme="1"/>
      <name val="Times New Roman"/>
      <family val="1"/>
    </font>
    <font>
      <sz val="11"/>
      <color theme="5"/>
      <name val="Calibri"/>
      <family val="2"/>
      <scheme val="minor"/>
    </font>
    <font>
      <b/>
      <sz val="11"/>
      <name val="Calibri"/>
      <family val="2"/>
      <scheme val="minor"/>
    </font>
    <font>
      <sz val="11"/>
      <color rgb="FF9C0006"/>
      <name val="Calibri"/>
      <family val="2"/>
      <scheme val="minor"/>
    </font>
    <font>
      <sz val="11"/>
      <color rgb="FF9C6500"/>
      <name val="Calibri"/>
      <family val="2"/>
      <scheme val="minor"/>
    </font>
    <font>
      <b/>
      <sz val="11"/>
      <color rgb="FFFA7D00"/>
      <name val="Calibri"/>
      <family val="2"/>
      <scheme val="minor"/>
    </font>
    <font>
      <sz val="11"/>
      <color theme="3" tint="0.39997558519241921"/>
      <name val="Calibri"/>
      <family val="2"/>
      <scheme val="minor"/>
    </font>
    <font>
      <sz val="11"/>
      <color theme="8" tint="-0.249977111117893"/>
      <name val="Calibri"/>
      <family val="2"/>
      <scheme val="minor"/>
    </font>
    <font>
      <sz val="11"/>
      <color theme="1"/>
      <name val="Garamond"/>
      <family val="1"/>
    </font>
    <font>
      <sz val="12"/>
      <color theme="1"/>
      <name val="Garamond"/>
      <family val="1"/>
    </font>
    <font>
      <b/>
      <sz val="12"/>
      <color theme="1"/>
      <name val="Garamond"/>
      <family val="1"/>
    </font>
    <font>
      <i/>
      <sz val="12"/>
      <color theme="1"/>
      <name val="Garamond"/>
      <family val="1"/>
    </font>
    <font>
      <u/>
      <sz val="11"/>
      <color theme="10"/>
      <name val="Calibri"/>
      <family val="2"/>
      <scheme val="minor"/>
    </font>
  </fonts>
  <fills count="31">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0" tint="-4.9989318521683403E-2"/>
        <bgColor indexed="64"/>
      </patternFill>
    </fill>
    <fill>
      <patternFill patternType="solid">
        <fgColor theme="2"/>
        <bgColor indexed="64"/>
      </patternFill>
    </fill>
    <fill>
      <patternFill patternType="solid">
        <fgColor theme="5" tint="0.39997558519241921"/>
        <bgColor indexed="64"/>
      </patternFill>
    </fill>
    <fill>
      <patternFill patternType="solid">
        <fgColor theme="2" tint="-0.749992370372631"/>
        <bgColor indexed="64"/>
      </patternFill>
    </fill>
    <fill>
      <patternFill patternType="solid">
        <fgColor theme="4" tint="0.59999389629810485"/>
        <bgColor indexed="64"/>
      </patternFill>
    </fill>
    <fill>
      <patternFill patternType="solid">
        <fgColor rgb="FFFFFFFF"/>
        <bgColor indexed="64"/>
      </patternFill>
    </fill>
    <fill>
      <patternFill patternType="solid">
        <fgColor rgb="FFC0C0C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3" tint="0.39997558519241921"/>
        <bgColor indexed="64"/>
      </patternFill>
    </fill>
    <fill>
      <patternFill patternType="solid">
        <fgColor theme="0" tint="-0.34998626667073579"/>
        <bgColor indexed="64"/>
      </patternFill>
    </fill>
    <fill>
      <patternFill patternType="solid">
        <fgColor rgb="FFFFC7CE"/>
      </patternFill>
    </fill>
    <fill>
      <patternFill patternType="solid">
        <fgColor rgb="FFFFEB9C"/>
      </patternFill>
    </fill>
    <fill>
      <patternFill patternType="solid">
        <fgColor rgb="FFF2F2F2"/>
      </patternFill>
    </fill>
    <fill>
      <patternFill patternType="solid">
        <fgColor theme="7"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rgb="FF00B0F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double">
        <color rgb="FF008080"/>
      </left>
      <right/>
      <top style="double">
        <color rgb="FF008080"/>
      </top>
      <bottom/>
      <diagonal/>
    </border>
    <border>
      <left/>
      <right/>
      <top style="double">
        <color rgb="FF008080"/>
      </top>
      <bottom/>
      <diagonal/>
    </border>
    <border>
      <left/>
      <right style="double">
        <color rgb="FF008080"/>
      </right>
      <top style="double">
        <color rgb="FF008080"/>
      </top>
      <bottom/>
      <diagonal/>
    </border>
    <border>
      <left style="double">
        <color rgb="FF008080"/>
      </left>
      <right/>
      <top/>
      <bottom/>
      <diagonal/>
    </border>
    <border>
      <left/>
      <right style="double">
        <color rgb="FF008080"/>
      </right>
      <top/>
      <bottom/>
      <diagonal/>
    </border>
    <border>
      <left style="double">
        <color rgb="FF008080"/>
      </left>
      <right/>
      <top/>
      <bottom style="double">
        <color rgb="FF008080"/>
      </bottom>
      <diagonal/>
    </border>
    <border>
      <left/>
      <right/>
      <top/>
      <bottom style="double">
        <color rgb="FF008080"/>
      </bottom>
      <diagonal/>
    </border>
    <border>
      <left/>
      <right style="double">
        <color rgb="FF008080"/>
      </right>
      <top/>
      <bottom style="double">
        <color rgb="FF008080"/>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5">
    <xf numFmtId="0" fontId="0" fillId="0" borderId="0"/>
    <xf numFmtId="0" fontId="23" fillId="22" borderId="0" applyNumberFormat="0" applyBorder="0" applyAlignment="0" applyProtection="0"/>
    <xf numFmtId="0" fontId="24" fillId="23" borderId="0" applyNumberFormat="0" applyBorder="0" applyAlignment="0" applyProtection="0"/>
    <xf numFmtId="0" fontId="25" fillId="24" borderId="10" applyNumberFormat="0" applyAlignment="0" applyProtection="0"/>
    <xf numFmtId="0" fontId="32" fillId="0" borderId="0" applyNumberFormat="0" applyFill="0" applyBorder="0" applyAlignment="0" applyProtection="0"/>
  </cellStyleXfs>
  <cellXfs count="633">
    <xf numFmtId="0" fontId="0" fillId="0" borderId="0" xfId="0"/>
    <xf numFmtId="0" fontId="1" fillId="0" borderId="0" xfId="0" applyFont="1"/>
    <xf numFmtId="0" fontId="0" fillId="2" borderId="0" xfId="0" applyFill="1"/>
    <xf numFmtId="0" fontId="0" fillId="3" borderId="0" xfId="0" applyFill="1"/>
    <xf numFmtId="0" fontId="0" fillId="0" borderId="0" xfId="0" applyFont="1"/>
    <xf numFmtId="0" fontId="0" fillId="0" borderId="0" xfId="0" applyAlignment="1">
      <alignment horizontal="left"/>
    </xf>
    <xf numFmtId="0" fontId="1" fillId="0" borderId="0" xfId="0" applyFont="1" applyAlignment="1">
      <alignment horizontal="left"/>
    </xf>
    <xf numFmtId="0" fontId="1" fillId="2" borderId="0" xfId="0" applyFont="1" applyFill="1" applyAlignment="1">
      <alignment horizontal="left"/>
    </xf>
    <xf numFmtId="0" fontId="2" fillId="0" borderId="0" xfId="0" applyFont="1" applyAlignment="1">
      <alignment horizontal="left"/>
    </xf>
    <xf numFmtId="0" fontId="0" fillId="0" borderId="1" xfId="0" applyBorder="1" applyAlignment="1">
      <alignment horizontal="left"/>
    </xf>
    <xf numFmtId="2" fontId="0" fillId="0" borderId="1" xfId="0" applyNumberFormat="1" applyBorder="1" applyAlignment="1">
      <alignment horizontal="left"/>
    </xf>
    <xf numFmtId="164" fontId="0" fillId="0" borderId="1" xfId="0" applyNumberFormat="1" applyBorder="1" applyAlignment="1">
      <alignment horizontal="left"/>
    </xf>
    <xf numFmtId="0" fontId="1" fillId="0" borderId="0" xfId="0" applyFont="1" applyFill="1" applyAlignment="1">
      <alignment horizontal="left"/>
    </xf>
    <xf numFmtId="0" fontId="0" fillId="4" borderId="0" xfId="0" applyFill="1"/>
    <xf numFmtId="0" fontId="0" fillId="0" borderId="0" xfId="0" applyFill="1"/>
    <xf numFmtId="0" fontId="1" fillId="0" borderId="0" xfId="0" applyFont="1" applyFill="1"/>
    <xf numFmtId="0" fontId="1" fillId="2" borderId="0" xfId="0" applyFont="1" applyFill="1"/>
    <xf numFmtId="0" fontId="0" fillId="5" borderId="0" xfId="0" applyFill="1"/>
    <xf numFmtId="11" fontId="0" fillId="0" borderId="0" xfId="0" applyNumberFormat="1"/>
    <xf numFmtId="0" fontId="5" fillId="0" borderId="0" xfId="0" applyFont="1"/>
    <xf numFmtId="0" fontId="0" fillId="6" borderId="0" xfId="0" applyFill="1" applyAlignment="1">
      <alignment horizontal="left"/>
    </xf>
    <xf numFmtId="0" fontId="0" fillId="7" borderId="0" xfId="0" applyFill="1" applyAlignment="1">
      <alignment horizontal="left"/>
    </xf>
    <xf numFmtId="0" fontId="4" fillId="7" borderId="0" xfId="0" applyFont="1" applyFill="1" applyAlignment="1">
      <alignment horizontal="left"/>
    </xf>
    <xf numFmtId="0" fontId="3" fillId="7" borderId="0" xfId="0" applyFont="1" applyFill="1" applyAlignment="1">
      <alignment horizontal="left"/>
    </xf>
    <xf numFmtId="0" fontId="3" fillId="6" borderId="0" xfId="0" applyFont="1" applyFill="1" applyAlignment="1">
      <alignment horizontal="left"/>
    </xf>
    <xf numFmtId="165" fontId="0" fillId="0" borderId="1" xfId="0" applyNumberFormat="1" applyBorder="1" applyAlignment="1">
      <alignment horizontal="left"/>
    </xf>
    <xf numFmtId="0" fontId="2" fillId="0" borderId="0" xfId="0" applyFont="1"/>
    <xf numFmtId="0" fontId="0" fillId="0" borderId="1" xfId="0" applyBorder="1"/>
    <xf numFmtId="0" fontId="0" fillId="8" borderId="0" xfId="0" applyFill="1" applyAlignment="1">
      <alignment horizontal="left"/>
    </xf>
    <xf numFmtId="165" fontId="0" fillId="0" borderId="0" xfId="0" applyNumberFormat="1" applyAlignment="1">
      <alignment horizontal="left"/>
    </xf>
    <xf numFmtId="165" fontId="2" fillId="0" borderId="0" xfId="0" applyNumberFormat="1" applyFont="1" applyAlignment="1">
      <alignment horizontal="left"/>
    </xf>
    <xf numFmtId="165" fontId="0" fillId="0" borderId="0" xfId="0" applyNumberFormat="1"/>
    <xf numFmtId="0" fontId="3" fillId="9" borderId="0" xfId="0" applyFont="1" applyFill="1" applyAlignment="1">
      <alignment horizontal="left"/>
    </xf>
    <xf numFmtId="0" fontId="0" fillId="10" borderId="0" xfId="0" applyFill="1" applyAlignment="1">
      <alignment horizontal="left"/>
    </xf>
    <xf numFmtId="0" fontId="3" fillId="11" borderId="0" xfId="0" applyFont="1" applyFill="1" applyAlignment="1">
      <alignment horizontal="left"/>
    </xf>
    <xf numFmtId="0" fontId="3" fillId="0" borderId="0" xfId="0" applyFont="1" applyAlignment="1">
      <alignment horizontal="left"/>
    </xf>
    <xf numFmtId="0" fontId="4" fillId="8" borderId="0" xfId="0" applyFont="1" applyFill="1" applyAlignment="1">
      <alignment horizontal="left"/>
    </xf>
    <xf numFmtId="0" fontId="4" fillId="0" borderId="0" xfId="0" applyFont="1" applyFill="1" applyAlignment="1">
      <alignment horizontal="left"/>
    </xf>
    <xf numFmtId="165" fontId="0" fillId="0" borderId="1" xfId="0" applyNumberFormat="1" applyBorder="1"/>
    <xf numFmtId="0" fontId="0" fillId="0" borderId="0" xfId="0" applyFill="1" applyAlignment="1">
      <alignment horizontal="left"/>
    </xf>
    <xf numFmtId="0" fontId="3" fillId="0" borderId="0" xfId="0" applyFont="1" applyFill="1" applyAlignment="1">
      <alignment horizontal="left"/>
    </xf>
    <xf numFmtId="166" fontId="0" fillId="0" borderId="1" xfId="0" applyNumberFormat="1" applyBorder="1" applyAlignment="1">
      <alignment horizontal="left"/>
    </xf>
    <xf numFmtId="49" fontId="3" fillId="6" borderId="0" xfId="0" applyNumberFormat="1" applyFont="1" applyFill="1" applyAlignment="1">
      <alignment horizontal="left"/>
    </xf>
    <xf numFmtId="49" fontId="0" fillId="7" borderId="0" xfId="0" applyNumberFormat="1" applyFill="1" applyAlignment="1">
      <alignment horizontal="left"/>
    </xf>
    <xf numFmtId="49" fontId="3" fillId="9" borderId="0" xfId="0" applyNumberFormat="1" applyFont="1" applyFill="1" applyAlignment="1">
      <alignment horizontal="left"/>
    </xf>
    <xf numFmtId="49" fontId="4" fillId="7" borderId="0" xfId="0" applyNumberFormat="1" applyFont="1" applyFill="1" applyAlignment="1">
      <alignment horizontal="left"/>
    </xf>
    <xf numFmtId="49" fontId="0" fillId="8" borderId="0" xfId="0" applyNumberFormat="1" applyFill="1" applyAlignment="1">
      <alignment horizontal="left"/>
    </xf>
    <xf numFmtId="49" fontId="0" fillId="10" borderId="0" xfId="0" applyNumberFormat="1" applyFill="1" applyAlignment="1">
      <alignment horizontal="left"/>
    </xf>
    <xf numFmtId="49" fontId="3" fillId="11" borderId="0" xfId="0" applyNumberFormat="1" applyFont="1" applyFill="1" applyAlignment="1">
      <alignment horizontal="left"/>
    </xf>
    <xf numFmtId="49" fontId="3" fillId="0" borderId="0" xfId="0" applyNumberFormat="1" applyFont="1" applyAlignment="1">
      <alignment horizontal="left"/>
    </xf>
    <xf numFmtId="49" fontId="4" fillId="0" borderId="0" xfId="0" applyNumberFormat="1" applyFont="1" applyFill="1" applyAlignment="1">
      <alignment horizontal="left"/>
    </xf>
    <xf numFmtId="49" fontId="4" fillId="8" borderId="0" xfId="0" applyNumberFormat="1" applyFont="1" applyFill="1" applyAlignment="1">
      <alignment horizontal="left"/>
    </xf>
    <xf numFmtId="49" fontId="0" fillId="0" borderId="0" xfId="0" applyNumberFormat="1" applyAlignment="1">
      <alignment horizontal="left"/>
    </xf>
    <xf numFmtId="0" fontId="3" fillId="12" borderId="0" xfId="0" applyFont="1" applyFill="1" applyAlignment="1">
      <alignment horizontal="left"/>
    </xf>
    <xf numFmtId="0" fontId="0" fillId="12" borderId="0" xfId="0" applyFill="1" applyAlignment="1">
      <alignment horizontal="left"/>
    </xf>
    <xf numFmtId="0" fontId="4" fillId="12" borderId="0" xfId="0" applyFont="1" applyFill="1" applyAlignment="1">
      <alignment horizontal="left"/>
    </xf>
    <xf numFmtId="17" fontId="0" fillId="0" borderId="0" xfId="0" applyNumberFormat="1"/>
    <xf numFmtId="16" fontId="0" fillId="10" borderId="0" xfId="0" applyNumberFormat="1" applyFill="1" applyAlignment="1">
      <alignment horizontal="left"/>
    </xf>
    <xf numFmtId="16" fontId="0" fillId="8" borderId="0" xfId="0" applyNumberFormat="1" applyFill="1" applyAlignment="1">
      <alignment horizontal="left"/>
    </xf>
    <xf numFmtId="0" fontId="9" fillId="10" borderId="0" xfId="0" applyFont="1" applyFill="1" applyAlignment="1">
      <alignment horizontal="left"/>
    </xf>
    <xf numFmtId="49" fontId="9" fillId="10" borderId="0" xfId="0" applyNumberFormat="1" applyFont="1" applyFill="1" applyAlignment="1">
      <alignment horizontal="left"/>
    </xf>
    <xf numFmtId="16" fontId="9" fillId="10" borderId="0" xfId="0" applyNumberFormat="1" applyFont="1" applyFill="1" applyAlignment="1">
      <alignment horizontal="left"/>
    </xf>
    <xf numFmtId="0" fontId="9" fillId="8" borderId="0" xfId="0" applyFont="1" applyFill="1" applyAlignment="1">
      <alignment horizontal="left"/>
    </xf>
    <xf numFmtId="49" fontId="9" fillId="8" borderId="0" xfId="0" applyNumberFormat="1" applyFont="1" applyFill="1" applyAlignment="1">
      <alignment horizontal="left"/>
    </xf>
    <xf numFmtId="16" fontId="9" fillId="8" borderId="0" xfId="0" applyNumberFormat="1" applyFont="1" applyFill="1" applyAlignment="1">
      <alignment horizontal="left"/>
    </xf>
    <xf numFmtId="0" fontId="10" fillId="6" borderId="0" xfId="0" applyFont="1" applyFill="1" applyAlignment="1">
      <alignment horizontal="left"/>
    </xf>
    <xf numFmtId="0" fontId="11" fillId="8" borderId="0" xfId="0" applyFont="1" applyFill="1" applyAlignment="1">
      <alignment horizontal="left"/>
    </xf>
    <xf numFmtId="49" fontId="11" fillId="8" borderId="0" xfId="0" applyNumberFormat="1" applyFont="1" applyFill="1" applyAlignment="1">
      <alignment horizontal="left"/>
    </xf>
    <xf numFmtId="0" fontId="11" fillId="10" borderId="0" xfId="0" applyFont="1" applyFill="1" applyAlignment="1">
      <alignment horizontal="left"/>
    </xf>
    <xf numFmtId="49" fontId="11" fillId="10" borderId="0" xfId="0" applyNumberFormat="1" applyFont="1" applyFill="1" applyAlignment="1">
      <alignment horizontal="left"/>
    </xf>
    <xf numFmtId="49" fontId="0" fillId="0" borderId="0" xfId="0" applyNumberFormat="1" applyFill="1" applyAlignment="1">
      <alignment horizontal="left"/>
    </xf>
    <xf numFmtId="49" fontId="3" fillId="0" borderId="0" xfId="0" applyNumberFormat="1" applyFont="1" applyFill="1" applyAlignment="1">
      <alignment horizontal="left"/>
    </xf>
    <xf numFmtId="0" fontId="13" fillId="6" borderId="0" xfId="0" applyFont="1" applyFill="1" applyAlignment="1">
      <alignment horizontal="left"/>
    </xf>
    <xf numFmtId="49" fontId="13" fillId="6" borderId="0" xfId="0" applyNumberFormat="1" applyFont="1" applyFill="1" applyAlignment="1">
      <alignment horizontal="left"/>
    </xf>
    <xf numFmtId="0" fontId="14" fillId="6" borderId="0" xfId="0" applyFont="1" applyFill="1" applyAlignment="1">
      <alignment horizontal="left"/>
    </xf>
    <xf numFmtId="49" fontId="14" fillId="6" borderId="0" xfId="0" applyNumberFormat="1" applyFont="1" applyFill="1" applyAlignment="1">
      <alignment horizontal="left"/>
    </xf>
    <xf numFmtId="0" fontId="14" fillId="9" borderId="0" xfId="0" applyFont="1" applyFill="1" applyAlignment="1">
      <alignment horizontal="left"/>
    </xf>
    <xf numFmtId="49" fontId="14" fillId="9" borderId="0" xfId="0" applyNumberFormat="1" applyFont="1" applyFill="1" applyAlignment="1">
      <alignment horizontal="left"/>
    </xf>
    <xf numFmtId="0" fontId="1" fillId="4" borderId="0" xfId="0" applyFont="1" applyFill="1" applyAlignment="1">
      <alignment horizontal="left"/>
    </xf>
    <xf numFmtId="0" fontId="13" fillId="0" borderId="0" xfId="0" applyFont="1" applyFill="1" applyAlignment="1">
      <alignment horizontal="left"/>
    </xf>
    <xf numFmtId="49" fontId="13" fillId="0" borderId="0" xfId="0" applyNumberFormat="1" applyFont="1" applyFill="1" applyAlignment="1">
      <alignment horizontal="left"/>
    </xf>
    <xf numFmtId="0" fontId="13" fillId="9" borderId="0" xfId="0" applyFont="1" applyFill="1" applyAlignment="1">
      <alignment horizontal="left"/>
    </xf>
    <xf numFmtId="49" fontId="13" fillId="9" borderId="0" xfId="0" applyNumberFormat="1" applyFont="1" applyFill="1" applyAlignment="1">
      <alignment horizontal="left"/>
    </xf>
    <xf numFmtId="0" fontId="3" fillId="13" borderId="0" xfId="0" applyFont="1" applyFill="1" applyAlignment="1">
      <alignment horizontal="left"/>
    </xf>
    <xf numFmtId="49" fontId="3" fillId="13" borderId="0" xfId="0" applyNumberFormat="1" applyFont="1" applyFill="1" applyAlignment="1">
      <alignment horizontal="left"/>
    </xf>
    <xf numFmtId="0" fontId="3" fillId="8" borderId="0" xfId="0" applyFont="1" applyFill="1" applyAlignment="1">
      <alignment horizontal="left"/>
    </xf>
    <xf numFmtId="49" fontId="3" fillId="8" borderId="0" xfId="0" applyNumberFormat="1" applyFont="1" applyFill="1" applyAlignment="1">
      <alignment horizontal="left"/>
    </xf>
    <xf numFmtId="0" fontId="3" fillId="10" borderId="0" xfId="0" applyFont="1" applyFill="1" applyAlignment="1">
      <alignment horizontal="left"/>
    </xf>
    <xf numFmtId="49" fontId="3" fillId="10" borderId="0" xfId="0" applyNumberFormat="1" applyFont="1" applyFill="1" applyAlignment="1">
      <alignment horizontal="left"/>
    </xf>
    <xf numFmtId="49" fontId="3" fillId="7" borderId="0" xfId="0" applyNumberFormat="1" applyFont="1" applyFill="1" applyAlignment="1">
      <alignment horizontal="left"/>
    </xf>
    <xf numFmtId="0" fontId="15" fillId="0" borderId="0" xfId="0" applyFont="1" applyFill="1" applyAlignment="1">
      <alignment horizontal="left"/>
    </xf>
    <xf numFmtId="49" fontId="15" fillId="0" borderId="0" xfId="0" applyNumberFormat="1" applyFont="1" applyFill="1" applyAlignment="1">
      <alignment horizontal="left"/>
    </xf>
    <xf numFmtId="0" fontId="15" fillId="8" borderId="0" xfId="0" applyFont="1" applyFill="1" applyAlignment="1">
      <alignment horizontal="left"/>
    </xf>
    <xf numFmtId="49" fontId="15" fillId="8" borderId="0" xfId="0" applyNumberFormat="1" applyFont="1" applyFill="1" applyAlignment="1">
      <alignment horizontal="left"/>
    </xf>
    <xf numFmtId="0" fontId="1" fillId="5" borderId="0" xfId="0" applyFont="1" applyFill="1" applyAlignment="1">
      <alignment horizontal="left"/>
    </xf>
    <xf numFmtId="16" fontId="3" fillId="6" borderId="0" xfId="0" applyNumberFormat="1" applyFont="1" applyFill="1" applyAlignment="1">
      <alignment horizontal="left"/>
    </xf>
    <xf numFmtId="0" fontId="12" fillId="0" borderId="0" xfId="0" applyFont="1"/>
    <xf numFmtId="0" fontId="16" fillId="8" borderId="0" xfId="0" applyFont="1" applyFill="1" applyAlignment="1">
      <alignment horizontal="left"/>
    </xf>
    <xf numFmtId="49" fontId="16" fillId="8" borderId="0" xfId="0" applyNumberFormat="1" applyFont="1" applyFill="1" applyAlignment="1">
      <alignment horizontal="left"/>
    </xf>
    <xf numFmtId="0" fontId="16" fillId="10" borderId="0" xfId="0" applyFont="1" applyFill="1" applyAlignment="1">
      <alignment horizontal="left"/>
    </xf>
    <xf numFmtId="49" fontId="16" fillId="10" borderId="0" xfId="0" applyNumberFormat="1" applyFont="1" applyFill="1" applyAlignment="1">
      <alignment horizontal="left"/>
    </xf>
    <xf numFmtId="0" fontId="16" fillId="6" borderId="0" xfId="0" applyFont="1" applyFill="1" applyAlignment="1">
      <alignment horizontal="left"/>
    </xf>
    <xf numFmtId="49" fontId="16" fillId="6" borderId="0" xfId="0" applyNumberFormat="1" applyFont="1" applyFill="1" applyAlignment="1">
      <alignment horizontal="left"/>
    </xf>
    <xf numFmtId="0" fontId="16" fillId="14" borderId="0" xfId="0" applyFont="1" applyFill="1" applyAlignment="1">
      <alignment horizontal="left"/>
    </xf>
    <xf numFmtId="49" fontId="16" fillId="14" borderId="0" xfId="0" applyNumberFormat="1" applyFont="1" applyFill="1" applyAlignment="1">
      <alignment horizontal="left"/>
    </xf>
    <xf numFmtId="0" fontId="16" fillId="9" borderId="0" xfId="0" applyFont="1" applyFill="1" applyAlignment="1">
      <alignment horizontal="left"/>
    </xf>
    <xf numFmtId="49" fontId="16" fillId="9" borderId="0" xfId="0" applyNumberFormat="1" applyFont="1" applyFill="1" applyAlignment="1">
      <alignment horizontal="left"/>
    </xf>
    <xf numFmtId="0" fontId="1" fillId="8" borderId="0" xfId="0" applyFont="1" applyFill="1" applyAlignment="1">
      <alignment horizontal="left"/>
    </xf>
    <xf numFmtId="0" fontId="17" fillId="15" borderId="0" xfId="0" applyFont="1" applyFill="1" applyAlignment="1">
      <alignment vertical="center" wrapText="1"/>
    </xf>
    <xf numFmtId="0" fontId="19" fillId="15" borderId="0" xfId="0" applyFont="1" applyFill="1" applyAlignment="1">
      <alignment horizontal="left" vertical="center" wrapText="1"/>
    </xf>
    <xf numFmtId="0" fontId="19" fillId="15" borderId="0" xfId="0" applyFont="1" applyFill="1" applyAlignment="1">
      <alignment vertical="center" wrapText="1"/>
    </xf>
    <xf numFmtId="0" fontId="18" fillId="16" borderId="2" xfId="0" applyFont="1" applyFill="1" applyBorder="1" applyAlignment="1">
      <alignment horizontal="left" vertical="center" wrapText="1"/>
    </xf>
    <xf numFmtId="0" fontId="18" fillId="16" borderId="3" xfId="0" applyFont="1" applyFill="1" applyBorder="1" applyAlignment="1">
      <alignment horizontal="left" vertical="center" wrapText="1"/>
    </xf>
    <xf numFmtId="0" fontId="18" fillId="16" borderId="3" xfId="0" applyFont="1" applyFill="1" applyBorder="1" applyAlignment="1">
      <alignment vertical="center" wrapText="1"/>
    </xf>
    <xf numFmtId="0" fontId="18" fillId="16" borderId="4" xfId="0" applyFont="1" applyFill="1" applyBorder="1" applyAlignment="1">
      <alignment horizontal="left" vertical="center" wrapText="1"/>
    </xf>
    <xf numFmtId="0" fontId="20" fillId="15" borderId="5" xfId="0" applyFont="1" applyFill="1" applyBorder="1" applyAlignment="1">
      <alignment horizontal="left" vertical="center" wrapText="1"/>
    </xf>
    <xf numFmtId="0" fontId="17" fillId="15" borderId="6" xfId="0" applyFont="1" applyFill="1" applyBorder="1" applyAlignment="1">
      <alignment vertical="center" wrapText="1"/>
    </xf>
    <xf numFmtId="0" fontId="17" fillId="15" borderId="5" xfId="0" applyFont="1" applyFill="1" applyBorder="1" applyAlignment="1">
      <alignment vertical="center" wrapText="1"/>
    </xf>
    <xf numFmtId="0" fontId="19" fillId="15" borderId="6" xfId="0" applyFont="1" applyFill="1" applyBorder="1" applyAlignment="1">
      <alignment horizontal="left" vertical="center" wrapText="1"/>
    </xf>
    <xf numFmtId="0" fontId="19" fillId="15" borderId="6" xfId="0" applyFont="1" applyFill="1" applyBorder="1" applyAlignment="1">
      <alignment vertical="center" wrapText="1"/>
    </xf>
    <xf numFmtId="0" fontId="17" fillId="15" borderId="7" xfId="0" applyFont="1" applyFill="1" applyBorder="1" applyAlignment="1">
      <alignment vertical="center" wrapText="1"/>
    </xf>
    <xf numFmtId="0" fontId="19" fillId="15" borderId="8" xfId="0" applyFont="1" applyFill="1" applyBorder="1" applyAlignment="1">
      <alignment horizontal="left" vertical="center" wrapText="1"/>
    </xf>
    <xf numFmtId="0" fontId="19" fillId="15" borderId="9" xfId="0" applyFont="1" applyFill="1" applyBorder="1" applyAlignment="1">
      <alignment horizontal="left" vertical="center" wrapText="1"/>
    </xf>
    <xf numFmtId="0" fontId="21" fillId="9" borderId="0" xfId="0" applyFont="1" applyFill="1" applyAlignment="1">
      <alignment horizontal="left"/>
    </xf>
    <xf numFmtId="49" fontId="21" fillId="9" borderId="0" xfId="0" applyNumberFormat="1" applyFont="1" applyFill="1" applyAlignment="1">
      <alignment horizontal="left"/>
    </xf>
    <xf numFmtId="0" fontId="0" fillId="9" borderId="0" xfId="0" applyFill="1" applyAlignment="1">
      <alignment horizontal="left"/>
    </xf>
    <xf numFmtId="0" fontId="4" fillId="10" borderId="0" xfId="0" applyFont="1" applyFill="1" applyAlignment="1">
      <alignment horizontal="left"/>
    </xf>
    <xf numFmtId="0" fontId="0" fillId="0" borderId="0" xfId="0" applyBorder="1" applyAlignment="1">
      <alignment horizontal="left"/>
    </xf>
    <xf numFmtId="165" fontId="0" fillId="0" borderId="0" xfId="0" applyNumberFormat="1" applyBorder="1"/>
    <xf numFmtId="0" fontId="1" fillId="0" borderId="0" xfId="0" applyFont="1" applyBorder="1"/>
    <xf numFmtId="0" fontId="0" fillId="0" borderId="0" xfId="0" applyBorder="1"/>
    <xf numFmtId="0" fontId="2" fillId="0" borderId="0" xfId="0" applyFont="1" applyBorder="1" applyAlignment="1">
      <alignment horizontal="left"/>
    </xf>
    <xf numFmtId="165" fontId="2" fillId="0" borderId="0" xfId="0" applyNumberFormat="1" applyFont="1" applyBorder="1" applyAlignment="1">
      <alignment horizontal="left"/>
    </xf>
    <xf numFmtId="165" fontId="0" fillId="0" borderId="0" xfId="0" applyNumberFormat="1" applyBorder="1" applyAlignment="1">
      <alignment horizontal="left"/>
    </xf>
    <xf numFmtId="0" fontId="15" fillId="9" borderId="0" xfId="0" applyFont="1" applyFill="1" applyAlignment="1">
      <alignment horizontal="left"/>
    </xf>
    <xf numFmtId="49" fontId="15" fillId="9" borderId="0" xfId="0" applyNumberFormat="1" applyFont="1" applyFill="1" applyAlignment="1">
      <alignment horizontal="left"/>
    </xf>
    <xf numFmtId="0" fontId="15" fillId="6" borderId="0" xfId="0" applyFont="1" applyFill="1" applyAlignment="1">
      <alignment horizontal="left"/>
    </xf>
    <xf numFmtId="49" fontId="15" fillId="6" borderId="0" xfId="0" applyNumberFormat="1" applyFont="1" applyFill="1" applyAlignment="1">
      <alignment horizontal="left"/>
    </xf>
    <xf numFmtId="0" fontId="4" fillId="17" borderId="0" xfId="0" applyFont="1" applyFill="1" applyAlignment="1">
      <alignment horizontal="left"/>
    </xf>
    <xf numFmtId="0" fontId="1" fillId="18" borderId="0" xfId="0" applyFont="1" applyFill="1"/>
    <xf numFmtId="0" fontId="3" fillId="18" borderId="0" xfId="0" applyFont="1" applyFill="1" applyAlignment="1">
      <alignment horizontal="left"/>
    </xf>
    <xf numFmtId="0" fontId="0" fillId="18" borderId="0" xfId="0" applyFill="1" applyAlignment="1">
      <alignment horizontal="left"/>
    </xf>
    <xf numFmtId="0" fontId="4" fillId="18" borderId="0" xfId="0" applyFont="1" applyFill="1" applyAlignment="1">
      <alignment horizontal="left"/>
    </xf>
    <xf numFmtId="0" fontId="11" fillId="18" borderId="0" xfId="0" applyFont="1" applyFill="1" applyAlignment="1">
      <alignment horizontal="left"/>
    </xf>
    <xf numFmtId="0" fontId="15" fillId="18" borderId="0" xfId="0" applyFont="1" applyFill="1" applyAlignment="1">
      <alignment horizontal="left"/>
    </xf>
    <xf numFmtId="0" fontId="16" fillId="18" borderId="0" xfId="0" applyFont="1" applyFill="1" applyAlignment="1">
      <alignment horizontal="left"/>
    </xf>
    <xf numFmtId="49" fontId="1" fillId="2" borderId="0" xfId="0" applyNumberFormat="1" applyFont="1" applyFill="1" applyAlignment="1">
      <alignment horizontal="left"/>
    </xf>
    <xf numFmtId="0" fontId="0" fillId="7" borderId="0" xfId="0" applyFill="1" applyAlignment="1">
      <alignment horizontal="center" vertical="top"/>
    </xf>
    <xf numFmtId="0" fontId="0" fillId="14" borderId="0" xfId="0" applyFill="1" applyAlignment="1">
      <alignment horizontal="left"/>
    </xf>
    <xf numFmtId="0" fontId="0" fillId="14" borderId="0" xfId="0" applyFill="1" applyAlignment="1">
      <alignment horizontal="center" vertical="top"/>
    </xf>
    <xf numFmtId="0" fontId="0" fillId="20" borderId="0" xfId="0" applyFill="1" applyAlignment="1">
      <alignment horizontal="left"/>
    </xf>
    <xf numFmtId="0" fontId="4" fillId="21" borderId="0" xfId="0" applyFont="1" applyFill="1" applyAlignment="1">
      <alignment horizontal="left"/>
    </xf>
    <xf numFmtId="49" fontId="4" fillId="21" borderId="0" xfId="0" applyNumberFormat="1" applyFont="1" applyFill="1" applyAlignment="1">
      <alignment horizontal="left"/>
    </xf>
    <xf numFmtId="0" fontId="3" fillId="21" borderId="0" xfId="0" applyFont="1" applyFill="1" applyAlignment="1">
      <alignment horizontal="left"/>
    </xf>
    <xf numFmtId="0" fontId="0" fillId="21" borderId="0" xfId="0" applyFill="1" applyAlignment="1">
      <alignment horizontal="left"/>
    </xf>
    <xf numFmtId="0" fontId="3" fillId="0" borderId="0" xfId="0" applyNumberFormat="1" applyFont="1" applyFill="1" applyBorder="1" applyAlignment="1">
      <alignment horizontal="left"/>
    </xf>
    <xf numFmtId="0" fontId="3" fillId="0" borderId="0" xfId="0" applyFont="1" applyFill="1" applyBorder="1" applyAlignment="1">
      <alignment horizontal="left"/>
    </xf>
    <xf numFmtId="0" fontId="3" fillId="12" borderId="0" xfId="0" applyFont="1" applyFill="1" applyBorder="1" applyAlignment="1">
      <alignment horizontal="left"/>
    </xf>
    <xf numFmtId="49" fontId="3" fillId="0" borderId="0" xfId="0" applyNumberFormat="1" applyFont="1" applyFill="1" applyBorder="1" applyAlignment="1">
      <alignment horizontal="left"/>
    </xf>
    <xf numFmtId="0" fontId="3" fillId="17" borderId="0" xfId="0" applyFont="1" applyFill="1" applyBorder="1" applyAlignment="1">
      <alignment horizontal="left"/>
    </xf>
    <xf numFmtId="0" fontId="3" fillId="0" borderId="0" xfId="1" applyNumberFormat="1" applyFont="1" applyFill="1" applyBorder="1" applyAlignment="1">
      <alignment horizontal="left"/>
    </xf>
    <xf numFmtId="0" fontId="3" fillId="12" borderId="0" xfId="1" applyNumberFormat="1" applyFont="1" applyFill="1" applyBorder="1" applyAlignment="1">
      <alignment horizontal="left"/>
    </xf>
    <xf numFmtId="0" fontId="3" fillId="12" borderId="0" xfId="0" applyNumberFormat="1" applyFont="1" applyFill="1" applyBorder="1" applyAlignment="1">
      <alignment horizontal="left"/>
    </xf>
    <xf numFmtId="165" fontId="3" fillId="0" borderId="0" xfId="0" applyNumberFormat="1" applyFont="1" applyFill="1" applyBorder="1" applyAlignment="1">
      <alignment horizontal="left"/>
    </xf>
    <xf numFmtId="0" fontId="4" fillId="0" borderId="0" xfId="0" applyFont="1" applyFill="1" applyBorder="1" applyAlignment="1">
      <alignment horizontal="left"/>
    </xf>
    <xf numFmtId="49" fontId="4" fillId="0" borderId="0" xfId="0" applyNumberFormat="1" applyFont="1" applyFill="1" applyBorder="1" applyAlignment="1">
      <alignment horizontal="left"/>
    </xf>
    <xf numFmtId="165" fontId="4" fillId="0" borderId="0" xfId="0" applyNumberFormat="1" applyFont="1" applyFill="1" applyBorder="1" applyAlignment="1">
      <alignment horizontal="left"/>
    </xf>
    <xf numFmtId="14" fontId="4" fillId="0" borderId="0" xfId="0" applyNumberFormat="1" applyFont="1" applyFill="1" applyAlignment="1">
      <alignment horizontal="left"/>
    </xf>
    <xf numFmtId="0" fontId="4" fillId="0" borderId="0" xfId="0" applyNumberFormat="1" applyFont="1" applyFill="1" applyBorder="1" applyAlignment="1">
      <alignment horizontal="left"/>
    </xf>
    <xf numFmtId="0" fontId="4" fillId="0" borderId="0" xfId="2" applyFont="1" applyFill="1" applyBorder="1" applyAlignment="1">
      <alignment horizontal="left"/>
    </xf>
    <xf numFmtId="0" fontId="22" fillId="0" borderId="0" xfId="3" applyFont="1" applyFill="1" applyBorder="1" applyAlignment="1">
      <alignment horizontal="left"/>
    </xf>
    <xf numFmtId="49" fontId="1" fillId="4" borderId="0" xfId="0" applyNumberFormat="1" applyFont="1" applyFill="1" applyAlignment="1">
      <alignment horizontal="left"/>
    </xf>
    <xf numFmtId="0" fontId="0" fillId="21" borderId="0" xfId="0" applyFont="1" applyFill="1" applyAlignment="1">
      <alignment horizontal="left"/>
    </xf>
    <xf numFmtId="0" fontId="0" fillId="18" borderId="0" xfId="0" applyFill="1"/>
    <xf numFmtId="0" fontId="1" fillId="6" borderId="0" xfId="0" applyFont="1" applyFill="1"/>
    <xf numFmtId="0" fontId="4" fillId="6" borderId="0" xfId="0" applyFont="1" applyFill="1" applyAlignment="1">
      <alignment horizontal="left"/>
    </xf>
    <xf numFmtId="0" fontId="0" fillId="6" borderId="0" xfId="0" applyFill="1"/>
    <xf numFmtId="0" fontId="16" fillId="6" borderId="0" xfId="0" applyFont="1" applyFill="1"/>
    <xf numFmtId="0" fontId="1" fillId="25" borderId="0" xfId="0" applyFont="1" applyFill="1"/>
    <xf numFmtId="0" fontId="0" fillId="25" borderId="0" xfId="0" applyFill="1"/>
    <xf numFmtId="0" fontId="1" fillId="26" borderId="0" xfId="0" applyFont="1" applyFill="1"/>
    <xf numFmtId="0" fontId="0" fillId="26" borderId="0" xfId="0" applyFill="1"/>
    <xf numFmtId="0" fontId="0" fillId="18" borderId="0" xfId="0" applyFill="1" applyAlignment="1">
      <alignment horizontal="center"/>
    </xf>
    <xf numFmtId="0" fontId="16" fillId="18" borderId="0" xfId="0" applyFont="1" applyFill="1" applyAlignment="1">
      <alignment horizontal="center"/>
    </xf>
    <xf numFmtId="0" fontId="0" fillId="4" borderId="0" xfId="0" applyFill="1" applyAlignment="1">
      <alignment horizontal="left"/>
    </xf>
    <xf numFmtId="0" fontId="4" fillId="0" borderId="0" xfId="1" applyFont="1" applyFill="1" applyBorder="1" applyAlignment="1">
      <alignment horizontal="left"/>
    </xf>
    <xf numFmtId="0" fontId="4" fillId="0" borderId="0" xfId="0" applyFont="1" applyFill="1"/>
    <xf numFmtId="0" fontId="3" fillId="27" borderId="0" xfId="0" applyFont="1" applyFill="1" applyBorder="1" applyAlignment="1">
      <alignment horizontal="left"/>
    </xf>
    <xf numFmtId="49" fontId="3" fillId="27" borderId="0" xfId="0" applyNumberFormat="1" applyFont="1" applyFill="1" applyBorder="1" applyAlignment="1">
      <alignment horizontal="left"/>
    </xf>
    <xf numFmtId="0" fontId="3" fillId="27" borderId="0" xfId="0" applyNumberFormat="1" applyFont="1" applyFill="1" applyBorder="1" applyAlignment="1">
      <alignment horizontal="left"/>
    </xf>
    <xf numFmtId="165" fontId="3" fillId="27" borderId="0" xfId="0" applyNumberFormat="1" applyFont="1" applyFill="1" applyBorder="1" applyAlignment="1">
      <alignment horizontal="left"/>
    </xf>
    <xf numFmtId="0" fontId="3" fillId="27" borderId="0" xfId="0" applyFont="1" applyFill="1" applyAlignment="1">
      <alignment horizontal="left"/>
    </xf>
    <xf numFmtId="0" fontId="3" fillId="27" borderId="0" xfId="0" applyFont="1" applyFill="1"/>
    <xf numFmtId="2" fontId="22" fillId="2" borderId="0" xfId="0" applyNumberFormat="1" applyFont="1" applyFill="1" applyBorder="1" applyAlignment="1">
      <alignment horizontal="left"/>
    </xf>
    <xf numFmtId="0" fontId="22" fillId="17" borderId="0" xfId="0" applyFont="1" applyFill="1" applyAlignment="1">
      <alignment horizontal="left"/>
    </xf>
    <xf numFmtId="0" fontId="1" fillId="18" borderId="0" xfId="0" applyFont="1" applyFill="1" applyAlignment="1">
      <alignment horizontal="left"/>
    </xf>
    <xf numFmtId="0" fontId="1" fillId="3" borderId="0" xfId="0" applyFont="1" applyFill="1" applyAlignment="1">
      <alignment horizontal="left"/>
    </xf>
    <xf numFmtId="0" fontId="1" fillId="19" borderId="0" xfId="0" applyFont="1" applyFill="1" applyAlignment="1">
      <alignment horizontal="left"/>
    </xf>
    <xf numFmtId="0" fontId="12" fillId="3" borderId="0" xfId="0" applyFont="1" applyFill="1" applyAlignment="1">
      <alignment horizontal="left"/>
    </xf>
    <xf numFmtId="0" fontId="22" fillId="19" borderId="0" xfId="0" applyFont="1" applyFill="1" applyAlignment="1">
      <alignment horizontal="left"/>
    </xf>
    <xf numFmtId="0" fontId="1" fillId="21" borderId="0" xfId="0" applyFont="1" applyFill="1" applyAlignment="1">
      <alignment horizontal="left"/>
    </xf>
    <xf numFmtId="0" fontId="6" fillId="7" borderId="0" xfId="0" applyFont="1" applyFill="1" applyAlignment="1">
      <alignment horizontal="left"/>
    </xf>
    <xf numFmtId="0" fontId="3" fillId="6" borderId="0" xfId="0" applyFont="1" applyFill="1" applyAlignment="1">
      <alignment horizontal="left" vertical="center"/>
    </xf>
    <xf numFmtId="0" fontId="3" fillId="9" borderId="0" xfId="0" applyFont="1" applyFill="1" applyAlignment="1">
      <alignment horizontal="left" vertical="center"/>
    </xf>
    <xf numFmtId="0" fontId="0" fillId="10" borderId="0" xfId="0" applyFill="1" applyAlignment="1">
      <alignment horizontal="left" vertical="center"/>
    </xf>
    <xf numFmtId="0" fontId="0" fillId="8" borderId="0" xfId="0" applyFill="1" applyAlignment="1">
      <alignment horizontal="left" vertical="center"/>
    </xf>
    <xf numFmtId="0" fontId="8" fillId="0" borderId="0" xfId="0" applyFont="1" applyAlignment="1">
      <alignment horizontal="left"/>
    </xf>
    <xf numFmtId="0" fontId="8" fillId="8" borderId="0" xfId="0" applyFont="1" applyFill="1" applyAlignment="1">
      <alignment horizontal="left"/>
    </xf>
    <xf numFmtId="0" fontId="26" fillId="0" borderId="0" xfId="0" applyFont="1" applyFill="1" applyBorder="1" applyAlignment="1">
      <alignment horizontal="left"/>
    </xf>
    <xf numFmtId="0" fontId="26" fillId="0" borderId="0" xfId="2" applyFont="1" applyFill="1" applyBorder="1" applyAlignment="1">
      <alignment horizontal="left"/>
    </xf>
    <xf numFmtId="49" fontId="26" fillId="0" borderId="0" xfId="0" applyNumberFormat="1" applyFont="1" applyFill="1" applyBorder="1" applyAlignment="1">
      <alignment horizontal="left"/>
    </xf>
    <xf numFmtId="0" fontId="26" fillId="0" borderId="0" xfId="0" applyNumberFormat="1" applyFont="1" applyFill="1" applyBorder="1" applyAlignment="1">
      <alignment horizontal="left"/>
    </xf>
    <xf numFmtId="165" fontId="26" fillId="0" borderId="0" xfId="0" applyNumberFormat="1" applyFont="1" applyFill="1" applyBorder="1" applyAlignment="1">
      <alignment horizontal="left"/>
    </xf>
    <xf numFmtId="0" fontId="26" fillId="0" borderId="0" xfId="0" applyFont="1" applyFill="1" applyAlignment="1">
      <alignment horizontal="left"/>
    </xf>
    <xf numFmtId="0" fontId="26" fillId="0" borderId="0" xfId="0" applyFont="1" applyFill="1"/>
    <xf numFmtId="0" fontId="26" fillId="0" borderId="0" xfId="1" applyFont="1" applyFill="1" applyBorder="1" applyAlignment="1">
      <alignment horizontal="left"/>
    </xf>
    <xf numFmtId="0" fontId="16" fillId="0" borderId="0" xfId="0" applyFont="1" applyFill="1" applyBorder="1" applyAlignment="1">
      <alignment horizontal="left"/>
    </xf>
    <xf numFmtId="49" fontId="16" fillId="0" borderId="0" xfId="0" applyNumberFormat="1" applyFont="1" applyFill="1" applyBorder="1" applyAlignment="1">
      <alignment horizontal="left"/>
    </xf>
    <xf numFmtId="0" fontId="16" fillId="0" borderId="0" xfId="0" applyNumberFormat="1" applyFont="1" applyFill="1" applyBorder="1" applyAlignment="1">
      <alignment horizontal="left"/>
    </xf>
    <xf numFmtId="165" fontId="16" fillId="0" borderId="0" xfId="0" applyNumberFormat="1" applyFont="1" applyFill="1" applyBorder="1" applyAlignment="1">
      <alignment horizontal="left"/>
    </xf>
    <xf numFmtId="0" fontId="16" fillId="0" borderId="0" xfId="1" applyFont="1" applyFill="1" applyBorder="1" applyAlignment="1">
      <alignment horizontal="left"/>
    </xf>
    <xf numFmtId="0" fontId="16" fillId="0" borderId="0" xfId="0" applyFont="1" applyFill="1" applyAlignment="1">
      <alignment horizontal="left"/>
    </xf>
    <xf numFmtId="0" fontId="16" fillId="0" borderId="0" xfId="0" applyFont="1" applyFill="1"/>
    <xf numFmtId="0" fontId="4" fillId="8" borderId="0" xfId="1" applyFont="1" applyFill="1" applyBorder="1" applyAlignment="1">
      <alignment horizontal="left"/>
    </xf>
    <xf numFmtId="0" fontId="4" fillId="8" borderId="0" xfId="0" applyFont="1" applyFill="1" applyBorder="1" applyAlignment="1">
      <alignment horizontal="left"/>
    </xf>
    <xf numFmtId="0" fontId="4" fillId="8" borderId="0" xfId="1" applyNumberFormat="1" applyFont="1" applyFill="1" applyBorder="1" applyAlignment="1">
      <alignment horizontal="left"/>
    </xf>
    <xf numFmtId="49" fontId="4" fillId="8" borderId="0" xfId="0" applyNumberFormat="1" applyFont="1" applyFill="1" applyBorder="1" applyAlignment="1">
      <alignment horizontal="left"/>
    </xf>
    <xf numFmtId="0" fontId="4" fillId="8" borderId="0" xfId="0" applyNumberFormat="1" applyFont="1" applyFill="1" applyBorder="1" applyAlignment="1">
      <alignment horizontal="left"/>
    </xf>
    <xf numFmtId="165" fontId="4" fillId="8" borderId="0" xfId="0" applyNumberFormat="1" applyFont="1" applyFill="1" applyBorder="1" applyAlignment="1">
      <alignment horizontal="left"/>
    </xf>
    <xf numFmtId="0" fontId="4" fillId="8" borderId="0" xfId="1" quotePrefix="1" applyNumberFormat="1" applyFont="1" applyFill="1" applyBorder="1" applyAlignment="1">
      <alignment horizontal="left"/>
    </xf>
    <xf numFmtId="0" fontId="4" fillId="8" borderId="0" xfId="0" applyFont="1" applyFill="1"/>
    <xf numFmtId="0" fontId="4" fillId="6" borderId="0" xfId="0" applyFont="1" applyFill="1" applyBorder="1" applyAlignment="1">
      <alignment horizontal="left"/>
    </xf>
    <xf numFmtId="165" fontId="4" fillId="6" borderId="0" xfId="0" applyNumberFormat="1" applyFont="1" applyFill="1" applyBorder="1" applyAlignment="1">
      <alignment horizontal="left"/>
    </xf>
    <xf numFmtId="0" fontId="16" fillId="6" borderId="0" xfId="1" applyFont="1" applyFill="1" applyBorder="1" applyAlignment="1">
      <alignment horizontal="left"/>
    </xf>
    <xf numFmtId="0" fontId="16" fillId="6" borderId="0" xfId="0" applyFont="1" applyFill="1" applyBorder="1" applyAlignment="1">
      <alignment horizontal="left"/>
    </xf>
    <xf numFmtId="49" fontId="16" fillId="6" borderId="0" xfId="0" applyNumberFormat="1" applyFont="1" applyFill="1" applyBorder="1" applyAlignment="1">
      <alignment horizontal="left"/>
    </xf>
    <xf numFmtId="0" fontId="16" fillId="6" borderId="0" xfId="0" applyNumberFormat="1" applyFont="1" applyFill="1" applyBorder="1" applyAlignment="1">
      <alignment horizontal="left"/>
    </xf>
    <xf numFmtId="165" fontId="16" fillId="6" borderId="0" xfId="0" applyNumberFormat="1" applyFont="1" applyFill="1" applyBorder="1" applyAlignment="1">
      <alignment horizontal="left"/>
    </xf>
    <xf numFmtId="0" fontId="3" fillId="9" borderId="0" xfId="1" applyFont="1" applyFill="1" applyBorder="1" applyAlignment="1">
      <alignment horizontal="left"/>
    </xf>
    <xf numFmtId="0" fontId="3" fillId="9" borderId="0" xfId="0" applyFont="1" applyFill="1" applyBorder="1" applyAlignment="1">
      <alignment horizontal="left"/>
    </xf>
    <xf numFmtId="49" fontId="3" fillId="9" borderId="0" xfId="0" applyNumberFormat="1" applyFont="1" applyFill="1" applyBorder="1" applyAlignment="1">
      <alignment horizontal="left"/>
    </xf>
    <xf numFmtId="0" fontId="3" fillId="9" borderId="0" xfId="0" applyNumberFormat="1" applyFont="1" applyFill="1" applyBorder="1" applyAlignment="1">
      <alignment horizontal="left"/>
    </xf>
    <xf numFmtId="165" fontId="3" fillId="9" borderId="0" xfId="0" applyNumberFormat="1" applyFont="1" applyFill="1" applyBorder="1" applyAlignment="1">
      <alignment horizontal="left"/>
    </xf>
    <xf numFmtId="0" fontId="3" fillId="9" borderId="0" xfId="0" applyFont="1" applyFill="1"/>
    <xf numFmtId="0" fontId="3" fillId="6" borderId="0" xfId="1" applyFont="1" applyFill="1" applyBorder="1" applyAlignment="1">
      <alignment horizontal="left"/>
    </xf>
    <xf numFmtId="0" fontId="3" fillId="6" borderId="0" xfId="0" applyFont="1" applyFill="1" applyBorder="1" applyAlignment="1">
      <alignment horizontal="left"/>
    </xf>
    <xf numFmtId="49" fontId="3" fillId="6" borderId="0" xfId="0" applyNumberFormat="1" applyFont="1" applyFill="1" applyBorder="1" applyAlignment="1">
      <alignment horizontal="left"/>
    </xf>
    <xf numFmtId="0" fontId="3" fillId="6" borderId="0" xfId="0" applyNumberFormat="1" applyFont="1" applyFill="1" applyBorder="1" applyAlignment="1">
      <alignment horizontal="left"/>
    </xf>
    <xf numFmtId="165" fontId="3" fillId="6" borderId="0" xfId="0" applyNumberFormat="1" applyFont="1" applyFill="1" applyBorder="1" applyAlignment="1">
      <alignment horizontal="left"/>
    </xf>
    <xf numFmtId="0" fontId="3" fillId="6" borderId="0" xfId="0" applyFont="1" applyFill="1"/>
    <xf numFmtId="0" fontId="3" fillId="6" borderId="0" xfId="2" applyFont="1" applyFill="1" applyBorder="1" applyAlignment="1">
      <alignment horizontal="left"/>
    </xf>
    <xf numFmtId="0" fontId="12" fillId="6" borderId="0" xfId="3" applyFont="1" applyFill="1" applyBorder="1" applyAlignment="1">
      <alignment horizontal="left"/>
    </xf>
    <xf numFmtId="0" fontId="15" fillId="8" borderId="0" xfId="1" applyFont="1" applyFill="1" applyBorder="1" applyAlignment="1">
      <alignment horizontal="left"/>
    </xf>
    <xf numFmtId="0" fontId="15" fillId="8" borderId="0" xfId="0" applyFont="1" applyFill="1" applyBorder="1" applyAlignment="1">
      <alignment horizontal="left"/>
    </xf>
    <xf numFmtId="0" fontId="15" fillId="8" borderId="0" xfId="1" applyNumberFormat="1" applyFont="1" applyFill="1" applyBorder="1" applyAlignment="1">
      <alignment horizontal="left"/>
    </xf>
    <xf numFmtId="49" fontId="15" fillId="8" borderId="0" xfId="0" applyNumberFormat="1" applyFont="1" applyFill="1" applyBorder="1" applyAlignment="1">
      <alignment horizontal="left"/>
    </xf>
    <xf numFmtId="0" fontId="15" fillId="8" borderId="0" xfId="0" applyNumberFormat="1" applyFont="1" applyFill="1" applyBorder="1" applyAlignment="1">
      <alignment horizontal="left"/>
    </xf>
    <xf numFmtId="165" fontId="15" fillId="8" borderId="0" xfId="0" applyNumberFormat="1" applyFont="1" applyFill="1" applyBorder="1" applyAlignment="1">
      <alignment horizontal="left"/>
    </xf>
    <xf numFmtId="0" fontId="15" fillId="8" borderId="0" xfId="1" quotePrefix="1" applyNumberFormat="1" applyFont="1" applyFill="1" applyBorder="1" applyAlignment="1">
      <alignment horizontal="left"/>
    </xf>
    <xf numFmtId="0" fontId="15" fillId="8" borderId="0" xfId="0" applyFont="1" applyFill="1"/>
    <xf numFmtId="0" fontId="4" fillId="9" borderId="0" xfId="1" applyFont="1" applyFill="1" applyBorder="1" applyAlignment="1">
      <alignment horizontal="left"/>
    </xf>
    <xf numFmtId="0" fontId="4" fillId="9" borderId="0" xfId="0" applyFont="1" applyFill="1" applyBorder="1" applyAlignment="1">
      <alignment horizontal="left"/>
    </xf>
    <xf numFmtId="0" fontId="4" fillId="9" borderId="0" xfId="1" applyNumberFormat="1" applyFont="1" applyFill="1" applyBorder="1" applyAlignment="1">
      <alignment horizontal="left"/>
    </xf>
    <xf numFmtId="49" fontId="4" fillId="9" borderId="0" xfId="0" applyNumberFormat="1" applyFont="1" applyFill="1" applyBorder="1" applyAlignment="1">
      <alignment horizontal="left"/>
    </xf>
    <xf numFmtId="0" fontId="4" fillId="9" borderId="0" xfId="0" applyNumberFormat="1" applyFont="1" applyFill="1" applyBorder="1" applyAlignment="1">
      <alignment horizontal="left"/>
    </xf>
    <xf numFmtId="165" fontId="4" fillId="9" borderId="0" xfId="0" applyNumberFormat="1" applyFont="1" applyFill="1" applyBorder="1" applyAlignment="1">
      <alignment horizontal="left"/>
    </xf>
    <xf numFmtId="0" fontId="4" fillId="9" borderId="0" xfId="1" quotePrefix="1" applyNumberFormat="1" applyFont="1" applyFill="1" applyBorder="1" applyAlignment="1">
      <alignment horizontal="left"/>
    </xf>
    <xf numFmtId="0" fontId="4" fillId="9" borderId="0" xfId="0" applyFont="1" applyFill="1" applyAlignment="1">
      <alignment horizontal="left"/>
    </xf>
    <xf numFmtId="0" fontId="4" fillId="9" borderId="0" xfId="0" applyFont="1" applyFill="1"/>
    <xf numFmtId="0" fontId="4" fillId="7" borderId="0" xfId="1" applyFont="1" applyFill="1" applyBorder="1" applyAlignment="1">
      <alignment horizontal="left"/>
    </xf>
    <xf numFmtId="0" fontId="4" fillId="7" borderId="0" xfId="0" applyFont="1" applyFill="1" applyBorder="1" applyAlignment="1">
      <alignment horizontal="left"/>
    </xf>
    <xf numFmtId="0" fontId="4" fillId="7" borderId="0" xfId="1" applyNumberFormat="1" applyFont="1" applyFill="1" applyBorder="1" applyAlignment="1">
      <alignment horizontal="left"/>
    </xf>
    <xf numFmtId="49" fontId="4" fillId="7" borderId="0" xfId="0" applyNumberFormat="1" applyFont="1" applyFill="1" applyBorder="1" applyAlignment="1">
      <alignment horizontal="left"/>
    </xf>
    <xf numFmtId="0" fontId="4" fillId="7" borderId="0" xfId="0" applyNumberFormat="1" applyFont="1" applyFill="1" applyBorder="1" applyAlignment="1">
      <alignment horizontal="left"/>
    </xf>
    <xf numFmtId="165" fontId="4" fillId="7" borderId="0" xfId="0" applyNumberFormat="1" applyFont="1" applyFill="1" applyBorder="1" applyAlignment="1">
      <alignment horizontal="left"/>
    </xf>
    <xf numFmtId="0" fontId="4" fillId="7" borderId="0" xfId="1" quotePrefix="1" applyNumberFormat="1" applyFont="1" applyFill="1" applyBorder="1" applyAlignment="1">
      <alignment horizontal="left"/>
    </xf>
    <xf numFmtId="0" fontId="4" fillId="7" borderId="0" xfId="0" applyFont="1" applyFill="1"/>
    <xf numFmtId="0" fontId="15" fillId="7" borderId="0" xfId="1" applyFont="1" applyFill="1" applyBorder="1" applyAlignment="1">
      <alignment horizontal="left"/>
    </xf>
    <xf numFmtId="0" fontId="15" fillId="7" borderId="0" xfId="0" applyFont="1" applyFill="1" applyBorder="1" applyAlignment="1">
      <alignment horizontal="left"/>
    </xf>
    <xf numFmtId="0" fontId="15" fillId="7" borderId="0" xfId="1" applyNumberFormat="1" applyFont="1" applyFill="1" applyBorder="1" applyAlignment="1">
      <alignment horizontal="left"/>
    </xf>
    <xf numFmtId="49" fontId="15" fillId="7" borderId="0" xfId="0" applyNumberFormat="1" applyFont="1" applyFill="1" applyBorder="1" applyAlignment="1">
      <alignment horizontal="left"/>
    </xf>
    <xf numFmtId="0" fontId="15" fillId="7" borderId="0" xfId="0" applyNumberFormat="1" applyFont="1" applyFill="1" applyBorder="1" applyAlignment="1">
      <alignment horizontal="left"/>
    </xf>
    <xf numFmtId="165" fontId="15" fillId="7" borderId="0" xfId="0" applyNumberFormat="1" applyFont="1" applyFill="1" applyBorder="1" applyAlignment="1">
      <alignment horizontal="left"/>
    </xf>
    <xf numFmtId="0" fontId="15" fillId="7" borderId="0" xfId="1" quotePrefix="1" applyNumberFormat="1" applyFont="1" applyFill="1" applyBorder="1" applyAlignment="1">
      <alignment horizontal="left"/>
    </xf>
    <xf numFmtId="0" fontId="15" fillId="7" borderId="0" xfId="0" applyFont="1" applyFill="1" applyAlignment="1">
      <alignment horizontal="left"/>
    </xf>
    <xf numFmtId="0" fontId="15" fillId="7" borderId="0" xfId="0" applyFont="1" applyFill="1"/>
    <xf numFmtId="0" fontId="27" fillId="8" borderId="0" xfId="1" applyFont="1" applyFill="1" applyBorder="1" applyAlignment="1">
      <alignment horizontal="left"/>
    </xf>
    <xf numFmtId="0" fontId="27" fillId="8" borderId="0" xfId="0" applyFont="1" applyFill="1" applyBorder="1" applyAlignment="1">
      <alignment horizontal="left"/>
    </xf>
    <xf numFmtId="49" fontId="27" fillId="8" borderId="0" xfId="0" applyNumberFormat="1" applyFont="1" applyFill="1" applyBorder="1" applyAlignment="1">
      <alignment horizontal="left"/>
    </xf>
    <xf numFmtId="0" fontId="27" fillId="8" borderId="0" xfId="0" applyNumberFormat="1" applyFont="1" applyFill="1" applyBorder="1" applyAlignment="1">
      <alignment horizontal="left"/>
    </xf>
    <xf numFmtId="165" fontId="27" fillId="8" borderId="0" xfId="0" applyNumberFormat="1" applyFont="1" applyFill="1" applyBorder="1" applyAlignment="1">
      <alignment horizontal="left"/>
    </xf>
    <xf numFmtId="0" fontId="27" fillId="8" borderId="0" xfId="0" applyFont="1" applyFill="1" applyAlignment="1">
      <alignment horizontal="left"/>
    </xf>
    <xf numFmtId="0" fontId="27" fillId="8" borderId="0" xfId="0" applyFont="1" applyFill="1"/>
    <xf numFmtId="0" fontId="27" fillId="7" borderId="0" xfId="0" applyFont="1" applyFill="1" applyBorder="1" applyAlignment="1">
      <alignment horizontal="left"/>
    </xf>
    <xf numFmtId="0" fontId="27" fillId="7" borderId="0" xfId="1" applyFont="1" applyFill="1" applyBorder="1" applyAlignment="1">
      <alignment horizontal="left"/>
    </xf>
    <xf numFmtId="49" fontId="27" fillId="7" borderId="0" xfId="0" applyNumberFormat="1" applyFont="1" applyFill="1" applyBorder="1" applyAlignment="1">
      <alignment horizontal="left"/>
    </xf>
    <xf numFmtId="0" fontId="27" fillId="7" borderId="0" xfId="0" applyNumberFormat="1" applyFont="1" applyFill="1" applyBorder="1" applyAlignment="1">
      <alignment horizontal="left"/>
    </xf>
    <xf numFmtId="165" fontId="27" fillId="7" borderId="0" xfId="0" applyNumberFormat="1" applyFont="1" applyFill="1" applyBorder="1" applyAlignment="1">
      <alignment horizontal="left"/>
    </xf>
    <xf numFmtId="0" fontId="27" fillId="7" borderId="0" xfId="0" applyFont="1" applyFill="1" applyAlignment="1">
      <alignment horizontal="left"/>
    </xf>
    <xf numFmtId="0" fontId="27" fillId="7" borderId="0" xfId="0" applyFont="1" applyFill="1"/>
    <xf numFmtId="0" fontId="4" fillId="6" borderId="0" xfId="1" applyFont="1" applyFill="1" applyBorder="1" applyAlignment="1">
      <alignment horizontal="left"/>
    </xf>
    <xf numFmtId="49" fontId="4" fillId="6" borderId="0" xfId="0" applyNumberFormat="1" applyFont="1" applyFill="1" applyBorder="1" applyAlignment="1">
      <alignment horizontal="left"/>
    </xf>
    <xf numFmtId="0" fontId="4" fillId="6" borderId="0" xfId="0" applyNumberFormat="1" applyFont="1" applyFill="1" applyBorder="1" applyAlignment="1">
      <alignment horizontal="left"/>
    </xf>
    <xf numFmtId="0" fontId="4" fillId="6" borderId="0" xfId="0" applyFont="1" applyFill="1"/>
    <xf numFmtId="0" fontId="3" fillId="9" borderId="0" xfId="1" applyNumberFormat="1" applyFont="1" applyFill="1" applyBorder="1" applyAlignment="1">
      <alignment horizontal="left"/>
    </xf>
    <xf numFmtId="0" fontId="3" fillId="9" borderId="0" xfId="1" quotePrefix="1" applyNumberFormat="1" applyFont="1" applyFill="1" applyBorder="1" applyAlignment="1">
      <alignment horizontal="left"/>
    </xf>
    <xf numFmtId="165" fontId="3" fillId="9" borderId="0" xfId="1" applyNumberFormat="1" applyFont="1" applyFill="1" applyBorder="1" applyAlignment="1">
      <alignment horizontal="left"/>
    </xf>
    <xf numFmtId="0" fontId="3" fillId="6" borderId="0" xfId="1" applyNumberFormat="1" applyFont="1" applyFill="1" applyBorder="1" applyAlignment="1">
      <alignment horizontal="left"/>
    </xf>
    <xf numFmtId="0" fontId="3" fillId="6" borderId="0" xfId="1" quotePrefix="1" applyNumberFormat="1" applyFont="1" applyFill="1" applyBorder="1" applyAlignment="1">
      <alignment horizontal="left"/>
    </xf>
    <xf numFmtId="0" fontId="0" fillId="18" borderId="0" xfId="0" applyFill="1" applyAlignment="1">
      <alignment horizontal="center" vertical="center"/>
    </xf>
    <xf numFmtId="0" fontId="3" fillId="0" borderId="0" xfId="2" applyFont="1" applyFill="1" applyBorder="1" applyAlignment="1">
      <alignment horizontal="left"/>
    </xf>
    <xf numFmtId="0" fontId="3" fillId="0" borderId="0" xfId="0" applyFont="1" applyFill="1"/>
    <xf numFmtId="0" fontId="0" fillId="18" borderId="0" xfId="0" applyFill="1" applyAlignment="1">
      <alignment horizontal="center" vertical="center"/>
    </xf>
    <xf numFmtId="0" fontId="0" fillId="25" borderId="0" xfId="0" applyFill="1" applyAlignment="1">
      <alignment horizontal="center" vertical="center"/>
    </xf>
    <xf numFmtId="0" fontId="0" fillId="0" borderId="0" xfId="0" applyFill="1" applyBorder="1" applyAlignment="1">
      <alignment horizontal="left"/>
    </xf>
    <xf numFmtId="165" fontId="0" fillId="0" borderId="0" xfId="0" applyNumberFormat="1" applyFill="1" applyBorder="1" applyAlignment="1">
      <alignment horizontal="left"/>
    </xf>
    <xf numFmtId="49" fontId="0" fillId="0" borderId="0" xfId="0" applyNumberFormat="1" applyFill="1" applyBorder="1" applyAlignment="1">
      <alignment horizontal="left"/>
    </xf>
    <xf numFmtId="2" fontId="4" fillId="0" borderId="0" xfId="0" applyNumberFormat="1" applyFont="1" applyFill="1" applyBorder="1" applyAlignment="1">
      <alignment horizontal="left"/>
    </xf>
    <xf numFmtId="0" fontId="4" fillId="0" borderId="0" xfId="1" applyNumberFormat="1" applyFont="1" applyFill="1" applyBorder="1" applyAlignment="1">
      <alignment horizontal="left"/>
    </xf>
    <xf numFmtId="2" fontId="3" fillId="6" borderId="0" xfId="0" applyNumberFormat="1" applyFont="1" applyFill="1" applyBorder="1" applyAlignment="1">
      <alignment horizontal="left"/>
    </xf>
    <xf numFmtId="1" fontId="1" fillId="2" borderId="0" xfId="0" applyNumberFormat="1" applyFont="1" applyFill="1" applyAlignment="1">
      <alignment horizontal="left"/>
    </xf>
    <xf numFmtId="1" fontId="3" fillId="6" borderId="0" xfId="0" applyNumberFormat="1" applyFont="1" applyFill="1" applyAlignment="1">
      <alignment horizontal="left"/>
    </xf>
    <xf numFmtId="1" fontId="0" fillId="7" borderId="0" xfId="0" applyNumberFormat="1" applyFill="1" applyAlignment="1">
      <alignment horizontal="left"/>
    </xf>
    <xf numFmtId="1" fontId="3" fillId="9" borderId="0" xfId="0" applyNumberFormat="1" applyFont="1" applyFill="1" applyAlignment="1">
      <alignment horizontal="left"/>
    </xf>
    <xf numFmtId="1" fontId="4" fillId="21" borderId="0" xfId="0" applyNumberFormat="1" applyFont="1" applyFill="1" applyAlignment="1">
      <alignment horizontal="left"/>
    </xf>
    <xf numFmtId="1" fontId="4" fillId="7" borderId="0" xfId="0" applyNumberFormat="1" applyFont="1" applyFill="1" applyAlignment="1">
      <alignment horizontal="left"/>
    </xf>
    <xf numFmtId="1" fontId="0" fillId="8" borderId="0" xfId="0" applyNumberFormat="1" applyFill="1" applyAlignment="1">
      <alignment horizontal="left"/>
    </xf>
    <xf numFmtId="1" fontId="0" fillId="10" borderId="0" xfId="0" applyNumberFormat="1" applyFill="1" applyAlignment="1">
      <alignment horizontal="left"/>
    </xf>
    <xf numFmtId="1" fontId="3" fillId="11" borderId="0" xfId="0" applyNumberFormat="1" applyFont="1" applyFill="1" applyAlignment="1">
      <alignment horizontal="left"/>
    </xf>
    <xf numFmtId="1" fontId="3" fillId="0" borderId="0" xfId="0" applyNumberFormat="1" applyFont="1" applyAlignment="1">
      <alignment horizontal="left"/>
    </xf>
    <xf numFmtId="1" fontId="4" fillId="0" borderId="0" xfId="0" applyNumberFormat="1" applyFont="1" applyFill="1" applyAlignment="1">
      <alignment horizontal="left"/>
    </xf>
    <xf numFmtId="1" fontId="4" fillId="8" borderId="0" xfId="0" applyNumberFormat="1" applyFont="1" applyFill="1" applyAlignment="1">
      <alignment horizontal="left"/>
    </xf>
    <xf numFmtId="1" fontId="0" fillId="0" borderId="0" xfId="0" applyNumberFormat="1" applyAlignment="1">
      <alignment horizontal="left"/>
    </xf>
    <xf numFmtId="1" fontId="9" fillId="10" borderId="0" xfId="0" applyNumberFormat="1" applyFont="1" applyFill="1" applyAlignment="1">
      <alignment horizontal="left"/>
    </xf>
    <xf numFmtId="1" fontId="9" fillId="8" borderId="0" xfId="0" applyNumberFormat="1" applyFont="1" applyFill="1" applyAlignment="1">
      <alignment horizontal="left"/>
    </xf>
    <xf numFmtId="1" fontId="11" fillId="8" borderId="0" xfId="0" applyNumberFormat="1" applyFont="1" applyFill="1" applyAlignment="1">
      <alignment horizontal="left"/>
    </xf>
    <xf numFmtId="1" fontId="11" fillId="10" borderId="0" xfId="0" applyNumberFormat="1" applyFont="1" applyFill="1" applyAlignment="1">
      <alignment horizontal="left"/>
    </xf>
    <xf numFmtId="1" fontId="14" fillId="6" borderId="0" xfId="0" applyNumberFormat="1" applyFont="1" applyFill="1" applyAlignment="1">
      <alignment horizontal="left"/>
    </xf>
    <xf numFmtId="1" fontId="13" fillId="6" borderId="0" xfId="0" applyNumberFormat="1" applyFont="1" applyFill="1" applyAlignment="1">
      <alignment horizontal="left"/>
    </xf>
    <xf numFmtId="1" fontId="14" fillId="9" borderId="0" xfId="0" applyNumberFormat="1" applyFont="1" applyFill="1" applyAlignment="1">
      <alignment horizontal="left"/>
    </xf>
    <xf numFmtId="1" fontId="0" fillId="0" borderId="0" xfId="0" applyNumberFormat="1" applyFill="1" applyAlignment="1">
      <alignment horizontal="left"/>
    </xf>
    <xf numFmtId="1" fontId="3" fillId="0" borderId="0" xfId="0" applyNumberFormat="1" applyFont="1" applyFill="1" applyAlignment="1">
      <alignment horizontal="left"/>
    </xf>
    <xf numFmtId="1" fontId="13" fillId="0" borderId="0" xfId="0" applyNumberFormat="1" applyFont="1" applyFill="1" applyAlignment="1">
      <alignment horizontal="left"/>
    </xf>
    <xf numFmtId="1" fontId="3" fillId="13" borderId="0" xfId="0" applyNumberFormat="1" applyFont="1" applyFill="1" applyAlignment="1">
      <alignment horizontal="left"/>
    </xf>
    <xf numFmtId="1" fontId="13" fillId="9" borderId="0" xfId="0" applyNumberFormat="1" applyFont="1" applyFill="1" applyAlignment="1">
      <alignment horizontal="left"/>
    </xf>
    <xf numFmtId="1" fontId="3" fillId="10" borderId="0" xfId="0" applyNumberFormat="1" applyFont="1" applyFill="1" applyAlignment="1">
      <alignment horizontal="left"/>
    </xf>
    <xf numFmtId="1" fontId="3" fillId="7" borderId="0" xfId="0" applyNumberFormat="1" applyFont="1" applyFill="1" applyAlignment="1">
      <alignment horizontal="left"/>
    </xf>
    <xf numFmtId="1" fontId="3" fillId="8" borderId="0" xfId="0" applyNumberFormat="1" applyFont="1" applyFill="1" applyAlignment="1">
      <alignment horizontal="left"/>
    </xf>
    <xf numFmtId="1" fontId="15" fillId="0" borderId="0" xfId="0" applyNumberFormat="1" applyFont="1" applyFill="1" applyAlignment="1">
      <alignment horizontal="left"/>
    </xf>
    <xf numFmtId="1" fontId="15" fillId="8" borderId="0" xfId="0" applyNumberFormat="1" applyFont="1" applyFill="1" applyAlignment="1">
      <alignment horizontal="left"/>
    </xf>
    <xf numFmtId="1" fontId="16" fillId="8" borderId="0" xfId="0" applyNumberFormat="1" applyFont="1" applyFill="1" applyAlignment="1">
      <alignment horizontal="left"/>
    </xf>
    <xf numFmtId="1" fontId="16" fillId="10" borderId="0" xfId="0" applyNumberFormat="1" applyFont="1" applyFill="1" applyAlignment="1">
      <alignment horizontal="left"/>
    </xf>
    <xf numFmtId="1" fontId="16" fillId="6" borderId="0" xfId="0" applyNumberFormat="1" applyFont="1" applyFill="1" applyAlignment="1">
      <alignment horizontal="left"/>
    </xf>
    <xf numFmtId="1" fontId="16" fillId="14" borderId="0" xfId="0" applyNumberFormat="1" applyFont="1" applyFill="1" applyAlignment="1">
      <alignment horizontal="left"/>
    </xf>
    <xf numFmtId="1" fontId="16" fillId="9" borderId="0" xfId="0" applyNumberFormat="1" applyFont="1" applyFill="1" applyAlignment="1">
      <alignment horizontal="left"/>
    </xf>
    <xf numFmtId="1" fontId="3" fillId="12" borderId="0" xfId="0" applyNumberFormat="1" applyFont="1" applyFill="1" applyBorder="1" applyAlignment="1">
      <alignment horizontal="left"/>
    </xf>
    <xf numFmtId="1" fontId="15" fillId="9" borderId="0" xfId="0" applyNumberFormat="1" applyFont="1" applyFill="1" applyAlignment="1">
      <alignment horizontal="left"/>
    </xf>
    <xf numFmtId="1" fontId="15" fillId="6" borderId="0" xfId="0" applyNumberFormat="1" applyFont="1" applyFill="1" applyAlignment="1">
      <alignment horizontal="left"/>
    </xf>
    <xf numFmtId="1" fontId="4" fillId="0" borderId="0" xfId="2" applyNumberFormat="1" applyFont="1" applyFill="1" applyBorder="1" applyAlignment="1">
      <alignment horizontal="left"/>
    </xf>
    <xf numFmtId="1" fontId="16" fillId="0" borderId="0" xfId="2" applyNumberFormat="1" applyFont="1" applyFill="1" applyBorder="1" applyAlignment="1">
      <alignment horizontal="left"/>
    </xf>
    <xf numFmtId="1" fontId="26" fillId="0" borderId="0" xfId="2" applyNumberFormat="1" applyFont="1" applyFill="1" applyBorder="1" applyAlignment="1">
      <alignment horizontal="left"/>
    </xf>
    <xf numFmtId="1" fontId="3" fillId="27" borderId="0" xfId="0" applyNumberFormat="1" applyFont="1" applyFill="1" applyBorder="1" applyAlignment="1">
      <alignment horizontal="left"/>
    </xf>
    <xf numFmtId="1" fontId="3" fillId="6" borderId="0" xfId="3" applyNumberFormat="1" applyFont="1" applyFill="1" applyBorder="1" applyAlignment="1">
      <alignment horizontal="left"/>
    </xf>
    <xf numFmtId="1" fontId="15" fillId="8" borderId="0" xfId="1" applyNumberFormat="1" applyFont="1" applyFill="1" applyBorder="1" applyAlignment="1">
      <alignment horizontal="left"/>
    </xf>
    <xf numFmtId="1" fontId="4" fillId="8" borderId="0" xfId="1" applyNumberFormat="1" applyFont="1" applyFill="1" applyBorder="1" applyAlignment="1">
      <alignment horizontal="left"/>
    </xf>
    <xf numFmtId="1" fontId="4" fillId="7" borderId="0" xfId="1" applyNumberFormat="1" applyFont="1" applyFill="1" applyBorder="1" applyAlignment="1">
      <alignment horizontal="left"/>
    </xf>
    <xf numFmtId="1" fontId="15" fillId="7" borderId="0" xfId="1" applyNumberFormat="1" applyFont="1" applyFill="1" applyBorder="1" applyAlignment="1">
      <alignment horizontal="left"/>
    </xf>
    <xf numFmtId="1" fontId="3" fillId="6" borderId="0" xfId="0" applyNumberFormat="1" applyFont="1" applyFill="1" applyBorder="1" applyAlignment="1">
      <alignment horizontal="left"/>
    </xf>
    <xf numFmtId="1" fontId="16" fillId="6" borderId="0" xfId="0" applyNumberFormat="1" applyFont="1" applyFill="1" applyBorder="1" applyAlignment="1">
      <alignment horizontal="left"/>
    </xf>
    <xf numFmtId="1" fontId="4" fillId="6" borderId="0" xfId="0" applyNumberFormat="1" applyFont="1" applyFill="1" applyBorder="1" applyAlignment="1">
      <alignment horizontal="left"/>
    </xf>
    <xf numFmtId="1" fontId="15" fillId="7" borderId="0" xfId="0" applyNumberFormat="1" applyFont="1" applyFill="1" applyBorder="1" applyAlignment="1">
      <alignment horizontal="left"/>
    </xf>
    <xf numFmtId="1" fontId="27" fillId="8" borderId="0" xfId="0" applyNumberFormat="1" applyFont="1" applyFill="1" applyBorder="1" applyAlignment="1">
      <alignment horizontal="left"/>
    </xf>
    <xf numFmtId="1" fontId="15" fillId="8" borderId="0" xfId="0" applyNumberFormat="1" applyFont="1" applyFill="1" applyBorder="1" applyAlignment="1">
      <alignment horizontal="left"/>
    </xf>
    <xf numFmtId="1" fontId="27" fillId="7" borderId="0" xfId="0" applyNumberFormat="1" applyFont="1" applyFill="1" applyBorder="1" applyAlignment="1">
      <alignment horizontal="left"/>
    </xf>
    <xf numFmtId="1" fontId="3" fillId="9" borderId="0" xfId="1" applyNumberFormat="1" applyFont="1" applyFill="1" applyBorder="1" applyAlignment="1">
      <alignment horizontal="left"/>
    </xf>
    <xf numFmtId="1" fontId="4" fillId="9" borderId="0" xfId="1" applyNumberFormat="1" applyFont="1" applyFill="1" applyBorder="1" applyAlignment="1">
      <alignment horizontal="left"/>
    </xf>
    <xf numFmtId="1" fontId="3" fillId="6" borderId="0" xfId="1" applyNumberFormat="1" applyFont="1" applyFill="1" applyBorder="1" applyAlignment="1">
      <alignment horizontal="left"/>
    </xf>
    <xf numFmtId="1" fontId="4" fillId="8" borderId="0" xfId="0" applyNumberFormat="1" applyFont="1" applyFill="1" applyBorder="1" applyAlignment="1">
      <alignment horizontal="left"/>
    </xf>
    <xf numFmtId="1" fontId="3" fillId="0" borderId="0" xfId="2" applyNumberFormat="1" applyFont="1" applyFill="1" applyBorder="1" applyAlignment="1">
      <alignment horizontal="left"/>
    </xf>
    <xf numFmtId="1" fontId="3" fillId="6" borderId="0" xfId="2" applyNumberFormat="1" applyFont="1" applyFill="1" applyBorder="1" applyAlignment="1">
      <alignment horizontal="left"/>
    </xf>
    <xf numFmtId="1" fontId="4" fillId="0" borderId="0" xfId="1" applyNumberFormat="1" applyFont="1" applyFill="1" applyBorder="1" applyAlignment="1">
      <alignment horizontal="left"/>
    </xf>
    <xf numFmtId="1" fontId="4" fillId="0" borderId="0" xfId="0" applyNumberFormat="1" applyFont="1" applyFill="1" applyBorder="1" applyAlignment="1">
      <alignment horizontal="left"/>
    </xf>
    <xf numFmtId="1" fontId="3" fillId="0" borderId="0" xfId="0" applyNumberFormat="1" applyFont="1" applyFill="1" applyBorder="1" applyAlignment="1">
      <alignment horizontal="left"/>
    </xf>
    <xf numFmtId="1" fontId="3" fillId="9" borderId="0" xfId="0" applyNumberFormat="1" applyFont="1" applyFill="1" applyBorder="1" applyAlignment="1">
      <alignment horizontal="left"/>
    </xf>
    <xf numFmtId="0" fontId="0" fillId="8" borderId="0" xfId="0" applyFill="1" applyBorder="1" applyAlignment="1">
      <alignment horizontal="left"/>
    </xf>
    <xf numFmtId="165" fontId="0" fillId="8" borderId="0" xfId="0" applyNumberFormat="1" applyFill="1" applyBorder="1" applyAlignment="1">
      <alignment horizontal="left"/>
    </xf>
    <xf numFmtId="2" fontId="4" fillId="8" borderId="0" xfId="0" applyNumberFormat="1" applyFont="1" applyFill="1" applyBorder="1" applyAlignment="1">
      <alignment horizontal="left"/>
    </xf>
    <xf numFmtId="49" fontId="0" fillId="8" borderId="0" xfId="0" applyNumberFormat="1" applyFill="1" applyBorder="1" applyAlignment="1">
      <alignment horizontal="left"/>
    </xf>
    <xf numFmtId="0" fontId="16" fillId="10" borderId="0" xfId="0" applyFont="1" applyFill="1" applyBorder="1" applyAlignment="1">
      <alignment horizontal="left"/>
    </xf>
    <xf numFmtId="0" fontId="16" fillId="10" borderId="0" xfId="1" applyFont="1" applyFill="1" applyBorder="1" applyAlignment="1">
      <alignment horizontal="left"/>
    </xf>
    <xf numFmtId="1" fontId="16" fillId="10" borderId="0" xfId="0" applyNumberFormat="1" applyFont="1" applyFill="1" applyBorder="1" applyAlignment="1">
      <alignment horizontal="left"/>
    </xf>
    <xf numFmtId="165" fontId="16" fillId="10" borderId="0" xfId="0" applyNumberFormat="1" applyFont="1" applyFill="1" applyBorder="1" applyAlignment="1">
      <alignment horizontal="left"/>
    </xf>
    <xf numFmtId="49" fontId="16" fillId="10" borderId="0" xfId="0" applyNumberFormat="1" applyFont="1" applyFill="1" applyBorder="1" applyAlignment="1">
      <alignment horizontal="left"/>
    </xf>
    <xf numFmtId="0" fontId="3" fillId="9" borderId="0" xfId="2" applyFont="1" applyFill="1" applyBorder="1" applyAlignment="1">
      <alignment horizontal="left"/>
    </xf>
    <xf numFmtId="167" fontId="1" fillId="3" borderId="0" xfId="0" applyNumberFormat="1" applyFont="1" applyFill="1" applyAlignment="1">
      <alignment horizontal="left"/>
    </xf>
    <xf numFmtId="167" fontId="3" fillId="6" borderId="0" xfId="0" applyNumberFormat="1" applyFont="1" applyFill="1" applyAlignment="1">
      <alignment horizontal="left"/>
    </xf>
    <xf numFmtId="167" fontId="0" fillId="7" borderId="0" xfId="0" applyNumberFormat="1" applyFill="1" applyAlignment="1">
      <alignment horizontal="left"/>
    </xf>
    <xf numFmtId="167" fontId="3" fillId="9" borderId="0" xfId="0" applyNumberFormat="1" applyFont="1" applyFill="1" applyAlignment="1">
      <alignment horizontal="left"/>
    </xf>
    <xf numFmtId="167" fontId="4" fillId="21" borderId="0" xfId="0" applyNumberFormat="1" applyFont="1" applyFill="1" applyAlignment="1">
      <alignment horizontal="left"/>
    </xf>
    <xf numFmtId="167" fontId="4" fillId="7" borderId="0" xfId="0" applyNumberFormat="1" applyFont="1" applyFill="1" applyAlignment="1">
      <alignment horizontal="left"/>
    </xf>
    <xf numFmtId="167" fontId="0" fillId="6" borderId="0" xfId="0" applyNumberFormat="1" applyFill="1" applyAlignment="1">
      <alignment horizontal="left"/>
    </xf>
    <xf numFmtId="167" fontId="0" fillId="8" borderId="0" xfId="0" applyNumberFormat="1" applyFill="1" applyAlignment="1">
      <alignment horizontal="left"/>
    </xf>
    <xf numFmtId="167" fontId="0" fillId="10" borderId="0" xfId="0" applyNumberFormat="1" applyFill="1" applyAlignment="1">
      <alignment horizontal="left"/>
    </xf>
    <xf numFmtId="167" fontId="0" fillId="0" borderId="0" xfId="0" applyNumberFormat="1" applyAlignment="1">
      <alignment horizontal="left"/>
    </xf>
    <xf numFmtId="167" fontId="3" fillId="11" borderId="0" xfId="0" applyNumberFormat="1" applyFont="1" applyFill="1" applyAlignment="1">
      <alignment horizontal="left"/>
    </xf>
    <xf numFmtId="167" fontId="3" fillId="0" borderId="0" xfId="0" applyNumberFormat="1" applyFont="1" applyAlignment="1">
      <alignment horizontal="left"/>
    </xf>
    <xf numFmtId="167" fontId="4" fillId="0" borderId="0" xfId="0" applyNumberFormat="1" applyFont="1" applyFill="1" applyAlignment="1">
      <alignment horizontal="left"/>
    </xf>
    <xf numFmtId="167" fontId="4" fillId="8" borderId="0" xfId="0" applyNumberFormat="1" applyFont="1" applyFill="1" applyAlignment="1">
      <alignment horizontal="left"/>
    </xf>
    <xf numFmtId="167" fontId="9" fillId="10" borderId="0" xfId="0" applyNumberFormat="1" applyFont="1" applyFill="1" applyAlignment="1">
      <alignment horizontal="left"/>
    </xf>
    <xf numFmtId="167" fontId="9" fillId="8" borderId="0" xfId="0" applyNumberFormat="1" applyFont="1" applyFill="1" applyAlignment="1">
      <alignment horizontal="left"/>
    </xf>
    <xf numFmtId="167" fontId="11" fillId="8" borderId="0" xfId="0" applyNumberFormat="1" applyFont="1" applyFill="1" applyAlignment="1">
      <alignment horizontal="left"/>
    </xf>
    <xf numFmtId="167" fontId="11" fillId="10" borderId="0" xfId="0" applyNumberFormat="1" applyFont="1" applyFill="1" applyAlignment="1">
      <alignment horizontal="left"/>
    </xf>
    <xf numFmtId="167" fontId="14" fillId="6" borderId="0" xfId="0" applyNumberFormat="1" applyFont="1" applyFill="1" applyAlignment="1">
      <alignment horizontal="left"/>
    </xf>
    <xf numFmtId="167" fontId="13" fillId="6" borderId="0" xfId="0" applyNumberFormat="1" applyFont="1" applyFill="1" applyAlignment="1">
      <alignment horizontal="left"/>
    </xf>
    <xf numFmtId="167" fontId="14" fillId="9" borderId="0" xfId="0" applyNumberFormat="1" applyFont="1" applyFill="1" applyAlignment="1">
      <alignment horizontal="left"/>
    </xf>
    <xf numFmtId="167" fontId="0" fillId="0" borderId="0" xfId="0" applyNumberFormat="1" applyFill="1" applyAlignment="1">
      <alignment horizontal="left"/>
    </xf>
    <xf numFmtId="167" fontId="3" fillId="0" borderId="0" xfId="0" applyNumberFormat="1" applyFont="1" applyFill="1" applyAlignment="1">
      <alignment horizontal="left"/>
    </xf>
    <xf numFmtId="167" fontId="13" fillId="0" borderId="0" xfId="0" applyNumberFormat="1" applyFont="1" applyFill="1" applyAlignment="1">
      <alignment horizontal="left"/>
    </xf>
    <xf numFmtId="167" fontId="3" fillId="13" borderId="0" xfId="0" applyNumberFormat="1" applyFont="1" applyFill="1" applyAlignment="1">
      <alignment horizontal="left"/>
    </xf>
    <xf numFmtId="167" fontId="13" fillId="9" borderId="0" xfId="0" applyNumberFormat="1" applyFont="1" applyFill="1" applyAlignment="1">
      <alignment horizontal="left"/>
    </xf>
    <xf numFmtId="167" fontId="3" fillId="10" borderId="0" xfId="0" applyNumberFormat="1" applyFont="1" applyFill="1" applyAlignment="1">
      <alignment horizontal="left"/>
    </xf>
    <xf numFmtId="167" fontId="3" fillId="7" borderId="0" xfId="0" applyNumberFormat="1" applyFont="1" applyFill="1" applyAlignment="1">
      <alignment horizontal="left"/>
    </xf>
    <xf numFmtId="167" fontId="3" fillId="8" borderId="0" xfId="0" applyNumberFormat="1" applyFont="1" applyFill="1" applyAlignment="1">
      <alignment horizontal="left"/>
    </xf>
    <xf numFmtId="167" fontId="15" fillId="0" borderId="0" xfId="0" applyNumberFormat="1" applyFont="1" applyFill="1" applyAlignment="1">
      <alignment horizontal="left"/>
    </xf>
    <xf numFmtId="167" fontId="15" fillId="8" borderId="0" xfId="0" applyNumberFormat="1" applyFont="1" applyFill="1" applyAlignment="1">
      <alignment horizontal="left"/>
    </xf>
    <xf numFmtId="167" fontId="16" fillId="8" borderId="0" xfId="0" applyNumberFormat="1" applyFont="1" applyFill="1" applyAlignment="1">
      <alignment horizontal="left"/>
    </xf>
    <xf numFmtId="167" fontId="16" fillId="10" borderId="0" xfId="0" applyNumberFormat="1" applyFont="1" applyFill="1" applyAlignment="1">
      <alignment horizontal="left"/>
    </xf>
    <xf numFmtId="167" fontId="16" fillId="6" borderId="0" xfId="0" applyNumberFormat="1" applyFont="1" applyFill="1" applyAlignment="1">
      <alignment horizontal="left"/>
    </xf>
    <xf numFmtId="167" fontId="16" fillId="14" borderId="0" xfId="0" applyNumberFormat="1" applyFont="1" applyFill="1" applyAlignment="1">
      <alignment horizontal="left"/>
    </xf>
    <xf numFmtId="167" fontId="16" fillId="9" borderId="0" xfId="0" applyNumberFormat="1" applyFont="1" applyFill="1" applyAlignment="1">
      <alignment horizontal="left"/>
    </xf>
    <xf numFmtId="167" fontId="3" fillId="0" borderId="0" xfId="0" applyNumberFormat="1" applyFont="1" applyFill="1" applyBorder="1" applyAlignment="1">
      <alignment horizontal="left"/>
    </xf>
    <xf numFmtId="167" fontId="15" fillId="9" borderId="0" xfId="0" applyNumberFormat="1" applyFont="1" applyFill="1" applyAlignment="1">
      <alignment horizontal="left"/>
    </xf>
    <xf numFmtId="167" fontId="15" fillId="6" borderId="0" xfId="0" applyNumberFormat="1" applyFont="1" applyFill="1" applyAlignment="1">
      <alignment horizontal="left"/>
    </xf>
    <xf numFmtId="167" fontId="4" fillId="0" borderId="0" xfId="0" applyNumberFormat="1" applyFont="1" applyFill="1" applyBorder="1" applyAlignment="1">
      <alignment horizontal="left"/>
    </xf>
    <xf numFmtId="167" fontId="16" fillId="0" borderId="0" xfId="0" applyNumberFormat="1" applyFont="1" applyFill="1" applyBorder="1" applyAlignment="1">
      <alignment horizontal="left"/>
    </xf>
    <xf numFmtId="167" fontId="26" fillId="0" borderId="0" xfId="0" applyNumberFormat="1" applyFont="1" applyFill="1" applyBorder="1" applyAlignment="1">
      <alignment horizontal="left"/>
    </xf>
    <xf numFmtId="167" fontId="3" fillId="27" borderId="0" xfId="0" applyNumberFormat="1" applyFont="1" applyFill="1" applyBorder="1" applyAlignment="1">
      <alignment horizontal="left"/>
    </xf>
    <xf numFmtId="167" fontId="3" fillId="6" borderId="0" xfId="0" applyNumberFormat="1" applyFont="1" applyFill="1" applyBorder="1" applyAlignment="1">
      <alignment horizontal="left"/>
    </xf>
    <xf numFmtId="167" fontId="15" fillId="8" borderId="0" xfId="0" applyNumberFormat="1" applyFont="1" applyFill="1" applyBorder="1" applyAlignment="1">
      <alignment horizontal="left"/>
    </xf>
    <xf numFmtId="167" fontId="15" fillId="8" borderId="0" xfId="1" applyNumberFormat="1" applyFont="1" applyFill="1" applyBorder="1" applyAlignment="1">
      <alignment horizontal="left"/>
    </xf>
    <xf numFmtId="167" fontId="4" fillId="8" borderId="0" xfId="1" applyNumberFormat="1" applyFont="1" applyFill="1" applyBorder="1" applyAlignment="1">
      <alignment horizontal="left"/>
    </xf>
    <xf numFmtId="167" fontId="4" fillId="8" borderId="0" xfId="0" applyNumberFormat="1" applyFont="1" applyFill="1" applyBorder="1" applyAlignment="1">
      <alignment horizontal="left"/>
    </xf>
    <xf numFmtId="167" fontId="4" fillId="7" borderId="0" xfId="1" applyNumberFormat="1" applyFont="1" applyFill="1" applyBorder="1" applyAlignment="1">
      <alignment horizontal="left"/>
    </xf>
    <xf numFmtId="167" fontId="15" fillId="7" borderId="0" xfId="1" applyNumberFormat="1" applyFont="1" applyFill="1" applyBorder="1" applyAlignment="1">
      <alignment horizontal="left"/>
    </xf>
    <xf numFmtId="167" fontId="16" fillId="6" borderId="0" xfId="0" applyNumberFormat="1" applyFont="1" applyFill="1" applyBorder="1" applyAlignment="1">
      <alignment horizontal="left"/>
    </xf>
    <xf numFmtId="167" fontId="4" fillId="6" borderId="0" xfId="0" applyNumberFormat="1" applyFont="1" applyFill="1" applyBorder="1" applyAlignment="1">
      <alignment horizontal="left"/>
    </xf>
    <xf numFmtId="167" fontId="15" fillId="7" borderId="0" xfId="0" applyNumberFormat="1" applyFont="1" applyFill="1" applyBorder="1" applyAlignment="1">
      <alignment horizontal="left"/>
    </xf>
    <xf numFmtId="167" fontId="27" fillId="8" borderId="0" xfId="0" applyNumberFormat="1" applyFont="1" applyFill="1" applyBorder="1" applyAlignment="1">
      <alignment horizontal="left"/>
    </xf>
    <xf numFmtId="167" fontId="27" fillId="7" borderId="0" xfId="0" applyNumberFormat="1" applyFont="1" applyFill="1" applyBorder="1" applyAlignment="1">
      <alignment horizontal="left"/>
    </xf>
    <xf numFmtId="167" fontId="3" fillId="9" borderId="0" xfId="1" applyNumberFormat="1" applyFont="1" applyFill="1" applyBorder="1" applyAlignment="1">
      <alignment horizontal="left"/>
    </xf>
    <xf numFmtId="167" fontId="4" fillId="9" borderId="0" xfId="1" applyNumberFormat="1" applyFont="1" applyFill="1" applyBorder="1" applyAlignment="1">
      <alignment horizontal="left"/>
    </xf>
    <xf numFmtId="167" fontId="3" fillId="9" borderId="0" xfId="0" applyNumberFormat="1" applyFont="1" applyFill="1" applyBorder="1" applyAlignment="1">
      <alignment horizontal="left"/>
    </xf>
    <xf numFmtId="167" fontId="15" fillId="7" borderId="0" xfId="0" applyNumberFormat="1" applyFont="1" applyFill="1" applyAlignment="1">
      <alignment horizontal="left"/>
    </xf>
    <xf numFmtId="167" fontId="3" fillId="6" borderId="0" xfId="2" applyNumberFormat="1" applyFont="1" applyFill="1" applyBorder="1" applyAlignment="1">
      <alignment horizontal="left"/>
    </xf>
    <xf numFmtId="167" fontId="3" fillId="9" borderId="0" xfId="2" applyNumberFormat="1" applyFont="1" applyFill="1" applyBorder="1" applyAlignment="1">
      <alignment horizontal="left"/>
    </xf>
    <xf numFmtId="167" fontId="16" fillId="10" borderId="0" xfId="0" applyNumberFormat="1" applyFont="1" applyFill="1" applyBorder="1" applyAlignment="1">
      <alignment horizontal="left"/>
    </xf>
    <xf numFmtId="0" fontId="16" fillId="9" borderId="0" xfId="0" applyFont="1" applyFill="1" applyBorder="1" applyAlignment="1">
      <alignment horizontal="left"/>
    </xf>
    <xf numFmtId="1" fontId="16" fillId="9" borderId="0" xfId="0" applyNumberFormat="1" applyFont="1" applyFill="1" applyBorder="1" applyAlignment="1">
      <alignment horizontal="left"/>
    </xf>
    <xf numFmtId="0" fontId="16" fillId="9" borderId="0" xfId="2" applyFont="1" applyFill="1" applyBorder="1" applyAlignment="1">
      <alignment horizontal="left"/>
    </xf>
    <xf numFmtId="165" fontId="16" fillId="9" borderId="0" xfId="0" applyNumberFormat="1" applyFont="1" applyFill="1" applyBorder="1" applyAlignment="1">
      <alignment horizontal="left"/>
    </xf>
    <xf numFmtId="167" fontId="16" fillId="9" borderId="0" xfId="0" applyNumberFormat="1" applyFont="1" applyFill="1" applyBorder="1" applyAlignment="1">
      <alignment horizontal="left"/>
    </xf>
    <xf numFmtId="49" fontId="16" fillId="9" borderId="0" xfId="0" applyNumberFormat="1" applyFont="1" applyFill="1" applyBorder="1" applyAlignment="1">
      <alignment horizontal="left"/>
    </xf>
    <xf numFmtId="167" fontId="0" fillId="9" borderId="0" xfId="0" applyNumberFormat="1" applyFill="1" applyAlignment="1">
      <alignment horizontal="left"/>
    </xf>
    <xf numFmtId="167" fontId="4" fillId="7" borderId="0" xfId="0" applyNumberFormat="1" applyFont="1" applyFill="1" applyBorder="1" applyAlignment="1">
      <alignment horizontal="left"/>
    </xf>
    <xf numFmtId="167" fontId="4" fillId="9" borderId="0" xfId="0" applyNumberFormat="1" applyFont="1" applyFill="1" applyBorder="1" applyAlignment="1">
      <alignment horizontal="left"/>
    </xf>
    <xf numFmtId="167" fontId="4" fillId="0" borderId="0" xfId="1" applyNumberFormat="1" applyFont="1" applyFill="1" applyBorder="1" applyAlignment="1">
      <alignment horizontal="left"/>
    </xf>
    <xf numFmtId="0" fontId="15" fillId="9" borderId="0" xfId="0" applyFont="1" applyFill="1" applyBorder="1" applyAlignment="1">
      <alignment horizontal="left"/>
    </xf>
    <xf numFmtId="0" fontId="15" fillId="9" borderId="0" xfId="1" applyFont="1" applyFill="1" applyBorder="1" applyAlignment="1">
      <alignment horizontal="left"/>
    </xf>
    <xf numFmtId="1" fontId="15" fillId="9" borderId="0" xfId="1" applyNumberFormat="1" applyFont="1" applyFill="1" applyBorder="1" applyAlignment="1">
      <alignment horizontal="left"/>
    </xf>
    <xf numFmtId="165" fontId="15" fillId="9" borderId="0" xfId="0" applyNumberFormat="1" applyFont="1" applyFill="1" applyBorder="1" applyAlignment="1">
      <alignment horizontal="left"/>
    </xf>
    <xf numFmtId="167" fontId="15" fillId="9" borderId="0" xfId="0" applyNumberFormat="1" applyFont="1" applyFill="1" applyBorder="1" applyAlignment="1">
      <alignment horizontal="left"/>
    </xf>
    <xf numFmtId="49" fontId="15" fillId="9" borderId="0" xfId="0" applyNumberFormat="1" applyFont="1" applyFill="1" applyBorder="1" applyAlignment="1">
      <alignment horizontal="left"/>
    </xf>
    <xf numFmtId="0" fontId="15" fillId="6" borderId="0" xfId="0" applyFont="1" applyFill="1" applyBorder="1" applyAlignment="1">
      <alignment horizontal="left"/>
    </xf>
    <xf numFmtId="0" fontId="15" fillId="6" borderId="0" xfId="1" applyFont="1" applyFill="1" applyBorder="1" applyAlignment="1">
      <alignment horizontal="left"/>
    </xf>
    <xf numFmtId="1" fontId="15" fillId="6" borderId="0" xfId="1" applyNumberFormat="1" applyFont="1" applyFill="1" applyBorder="1" applyAlignment="1">
      <alignment horizontal="left"/>
    </xf>
    <xf numFmtId="165" fontId="15" fillId="6" borderId="0" xfId="0" applyNumberFormat="1" applyFont="1" applyFill="1" applyBorder="1" applyAlignment="1">
      <alignment horizontal="left"/>
    </xf>
    <xf numFmtId="167" fontId="15" fillId="6" borderId="0" xfId="0" applyNumberFormat="1" applyFont="1" applyFill="1" applyBorder="1" applyAlignment="1">
      <alignment horizontal="left"/>
    </xf>
    <xf numFmtId="49" fontId="15" fillId="6" borderId="0" xfId="0" applyNumberFormat="1" applyFont="1" applyFill="1" applyBorder="1" applyAlignment="1">
      <alignment horizontal="left"/>
    </xf>
    <xf numFmtId="49" fontId="4" fillId="10" borderId="0" xfId="0" applyNumberFormat="1" applyFont="1" applyFill="1" applyAlignment="1">
      <alignment horizontal="left"/>
    </xf>
    <xf numFmtId="1" fontId="4" fillId="10" borderId="0" xfId="0" applyNumberFormat="1" applyFont="1" applyFill="1" applyAlignment="1">
      <alignment horizontal="left"/>
    </xf>
    <xf numFmtId="0" fontId="4" fillId="10" borderId="0" xfId="0" applyFont="1" applyFill="1"/>
    <xf numFmtId="167" fontId="4" fillId="10" borderId="0" xfId="0" applyNumberFormat="1" applyFont="1" applyFill="1" applyAlignment="1">
      <alignment horizontal="left"/>
    </xf>
    <xf numFmtId="0" fontId="1" fillId="4" borderId="0" xfId="0" applyFont="1" applyFill="1"/>
    <xf numFmtId="0" fontId="0" fillId="18" borderId="0" xfId="0" applyFill="1" applyAlignment="1">
      <alignment horizontal="center" vertical="center"/>
    </xf>
    <xf numFmtId="0" fontId="0" fillId="25" borderId="0" xfId="0" applyFill="1" applyAlignment="1">
      <alignment horizontal="center" vertical="center"/>
    </xf>
    <xf numFmtId="0" fontId="30" fillId="0" borderId="11" xfId="0" applyFont="1" applyBorder="1" applyAlignment="1">
      <alignment vertical="center" wrapText="1"/>
    </xf>
    <xf numFmtId="0" fontId="29" fillId="0" borderId="11" xfId="0" applyFont="1" applyBorder="1" applyAlignment="1">
      <alignment vertical="center" wrapText="1"/>
    </xf>
    <xf numFmtId="0" fontId="29" fillId="0" borderId="11" xfId="0" applyFont="1" applyBorder="1" applyAlignment="1">
      <alignment horizontal="right" vertical="center" wrapText="1"/>
    </xf>
    <xf numFmtId="0" fontId="29" fillId="0" borderId="12" xfId="0" applyFont="1" applyBorder="1" applyAlignment="1">
      <alignment vertical="center" wrapText="1"/>
    </xf>
    <xf numFmtId="0" fontId="29" fillId="0" borderId="13" xfId="0" applyFont="1" applyBorder="1" applyAlignment="1">
      <alignment vertical="center" wrapText="1"/>
    </xf>
    <xf numFmtId="0" fontId="29" fillId="0" borderId="14" xfId="0" applyFont="1" applyBorder="1" applyAlignment="1">
      <alignment vertical="center" wrapText="1"/>
    </xf>
    <xf numFmtId="0" fontId="29" fillId="0" borderId="12" xfId="0" applyFont="1" applyBorder="1" applyAlignment="1">
      <alignment horizontal="right" vertical="center" wrapText="1"/>
    </xf>
    <xf numFmtId="0" fontId="29" fillId="0" borderId="13" xfId="0" applyFont="1" applyBorder="1" applyAlignment="1">
      <alignment horizontal="right" vertical="center" wrapText="1"/>
    </xf>
    <xf numFmtId="0" fontId="0" fillId="0" borderId="14" xfId="0" applyBorder="1" applyAlignment="1">
      <alignment vertical="top" wrapText="1"/>
    </xf>
    <xf numFmtId="0" fontId="29" fillId="0" borderId="14" xfId="0" applyFont="1" applyBorder="1" applyAlignment="1">
      <alignment horizontal="right" vertical="center" wrapText="1"/>
    </xf>
    <xf numFmtId="0" fontId="28" fillId="0" borderId="11" xfId="0" applyFont="1" applyBorder="1" applyAlignment="1">
      <alignment vertical="top" wrapText="1"/>
    </xf>
    <xf numFmtId="0" fontId="17" fillId="15" borderId="0" xfId="0" applyFont="1" applyFill="1" applyBorder="1" applyAlignment="1">
      <alignment vertical="center" wrapText="1"/>
    </xf>
    <xf numFmtId="0" fontId="19" fillId="15" borderId="0" xfId="0" applyFont="1" applyFill="1" applyBorder="1" applyAlignment="1">
      <alignment horizontal="left" vertical="center" wrapText="1"/>
    </xf>
    <xf numFmtId="0" fontId="32" fillId="0" borderId="0" xfId="4"/>
    <xf numFmtId="0" fontId="16" fillId="9" borderId="0" xfId="0" applyFont="1" applyFill="1"/>
    <xf numFmtId="0" fontId="15" fillId="6" borderId="0" xfId="0" applyFont="1" applyFill="1"/>
    <xf numFmtId="0" fontId="15" fillId="9" borderId="0" xfId="0" applyFont="1" applyFill="1"/>
    <xf numFmtId="0" fontId="15" fillId="0" borderId="0" xfId="0" applyFont="1" applyFill="1"/>
    <xf numFmtId="0" fontId="15" fillId="10" borderId="0" xfId="0" applyFont="1" applyFill="1" applyAlignment="1">
      <alignment horizontal="left"/>
    </xf>
    <xf numFmtId="49" fontId="15" fillId="10" borderId="0" xfId="0" applyNumberFormat="1" applyFont="1" applyFill="1" applyAlignment="1">
      <alignment horizontal="left"/>
    </xf>
    <xf numFmtId="1" fontId="15" fillId="10" borderId="0" xfId="0" applyNumberFormat="1" applyFont="1" applyFill="1" applyAlignment="1">
      <alignment horizontal="left"/>
    </xf>
    <xf numFmtId="167" fontId="15" fillId="10" borderId="0" xfId="0" applyNumberFormat="1" applyFont="1" applyFill="1" applyAlignment="1">
      <alignment horizontal="left"/>
    </xf>
    <xf numFmtId="0" fontId="15" fillId="10" borderId="0" xfId="0" applyFont="1" applyFill="1"/>
    <xf numFmtId="0" fontId="16" fillId="10" borderId="0" xfId="0" applyFont="1" applyFill="1"/>
    <xf numFmtId="0" fontId="16" fillId="7" borderId="0" xfId="0" applyFont="1" applyFill="1" applyAlignment="1">
      <alignment horizontal="left"/>
    </xf>
    <xf numFmtId="49" fontId="16" fillId="7" borderId="0" xfId="0" applyNumberFormat="1" applyFont="1" applyFill="1" applyAlignment="1">
      <alignment horizontal="left"/>
    </xf>
    <xf numFmtId="1" fontId="16" fillId="7" borderId="0" xfId="0" applyNumberFormat="1" applyFont="1" applyFill="1" applyAlignment="1">
      <alignment horizontal="left"/>
    </xf>
    <xf numFmtId="167" fontId="16" fillId="7" borderId="0" xfId="0" applyNumberFormat="1" applyFont="1" applyFill="1" applyAlignment="1">
      <alignment horizontal="left"/>
    </xf>
    <xf numFmtId="0" fontId="16" fillId="7" borderId="0" xfId="0" applyFont="1" applyFill="1"/>
    <xf numFmtId="0" fontId="16" fillId="8" borderId="0" xfId="0" applyFont="1" applyFill="1"/>
    <xf numFmtId="49" fontId="15" fillId="7" borderId="0" xfId="0" applyNumberFormat="1" applyFont="1" applyFill="1" applyAlignment="1">
      <alignment horizontal="left"/>
    </xf>
    <xf numFmtId="1" fontId="15" fillId="7" borderId="0" xfId="0" applyNumberFormat="1" applyFont="1" applyFill="1" applyAlignment="1">
      <alignment horizontal="left"/>
    </xf>
    <xf numFmtId="0" fontId="3" fillId="28" borderId="0" xfId="0" applyFont="1" applyFill="1" applyAlignment="1">
      <alignment horizontal="left"/>
    </xf>
    <xf numFmtId="49" fontId="3" fillId="28" borderId="0" xfId="0" applyNumberFormat="1" applyFont="1" applyFill="1" applyAlignment="1">
      <alignment horizontal="left"/>
    </xf>
    <xf numFmtId="1" fontId="3" fillId="28" borderId="0" xfId="0" applyNumberFormat="1" applyFont="1" applyFill="1" applyAlignment="1">
      <alignment horizontal="left"/>
    </xf>
    <xf numFmtId="167" fontId="3" fillId="28" borderId="0" xfId="0" applyNumberFormat="1" applyFont="1" applyFill="1" applyAlignment="1">
      <alignment horizontal="left"/>
    </xf>
    <xf numFmtId="0" fontId="3" fillId="28" borderId="0" xfId="0" applyFont="1" applyFill="1"/>
    <xf numFmtId="0" fontId="26" fillId="10" borderId="0" xfId="0" applyFont="1" applyFill="1" applyAlignment="1">
      <alignment horizontal="left"/>
    </xf>
    <xf numFmtId="49" fontId="26" fillId="10" borderId="0" xfId="0" applyNumberFormat="1" applyFont="1" applyFill="1" applyAlignment="1">
      <alignment horizontal="left"/>
    </xf>
    <xf numFmtId="1" fontId="26" fillId="10" borderId="0" xfId="0" applyNumberFormat="1" applyFont="1" applyFill="1" applyAlignment="1">
      <alignment horizontal="left"/>
    </xf>
    <xf numFmtId="167" fontId="26" fillId="10" borderId="0" xfId="0" applyNumberFormat="1" applyFont="1" applyFill="1" applyAlignment="1">
      <alignment horizontal="left"/>
    </xf>
    <xf numFmtId="0" fontId="26" fillId="10" borderId="0" xfId="0" applyFont="1" applyFill="1"/>
    <xf numFmtId="0" fontId="16" fillId="28" borderId="0" xfId="0" applyFont="1" applyFill="1" applyAlignment="1">
      <alignment horizontal="left"/>
    </xf>
    <xf numFmtId="49" fontId="16" fillId="28" borderId="0" xfId="0" applyNumberFormat="1" applyFont="1" applyFill="1" applyAlignment="1">
      <alignment horizontal="left"/>
    </xf>
    <xf numFmtId="1" fontId="16" fillId="28" borderId="0" xfId="0" applyNumberFormat="1" applyFont="1" applyFill="1" applyAlignment="1">
      <alignment horizontal="left"/>
    </xf>
    <xf numFmtId="167" fontId="16" fillId="28" borderId="0" xfId="0" applyNumberFormat="1" applyFont="1" applyFill="1" applyAlignment="1">
      <alignment horizontal="left"/>
    </xf>
    <xf numFmtId="0" fontId="16" fillId="28" borderId="0" xfId="0" applyFont="1" applyFill="1"/>
    <xf numFmtId="0" fontId="0" fillId="9" borderId="0" xfId="0" applyFill="1" applyAlignment="1">
      <alignment horizontal="center" vertical="center"/>
    </xf>
    <xf numFmtId="0" fontId="0" fillId="7" borderId="0" xfId="0" applyFill="1" applyAlignment="1">
      <alignment horizontal="center" vertical="center"/>
    </xf>
    <xf numFmtId="0" fontId="0" fillId="12" borderId="0" xfId="0" applyFill="1" applyAlignment="1">
      <alignment horizontal="center" vertical="center"/>
    </xf>
    <xf numFmtId="0" fontId="0" fillId="9" borderId="0" xfId="0" applyFill="1" applyAlignment="1">
      <alignment horizontal="center" vertical="center"/>
    </xf>
    <xf numFmtId="0" fontId="0" fillId="7" borderId="0" xfId="0" applyFill="1" applyAlignment="1">
      <alignment horizontal="center" vertical="center"/>
    </xf>
    <xf numFmtId="0" fontId="0" fillId="12" borderId="0" xfId="0" applyFill="1" applyAlignment="1">
      <alignment horizontal="center" vertical="center"/>
    </xf>
    <xf numFmtId="49" fontId="0" fillId="4" borderId="0" xfId="0" applyNumberFormat="1" applyFill="1" applyAlignment="1">
      <alignment horizontal="left"/>
    </xf>
    <xf numFmtId="49" fontId="15" fillId="8" borderId="0" xfId="1" applyNumberFormat="1" applyFont="1" applyFill="1" applyBorder="1" applyAlignment="1">
      <alignment horizontal="left"/>
    </xf>
    <xf numFmtId="49" fontId="4" fillId="8" borderId="0" xfId="1" applyNumberFormat="1" applyFont="1" applyFill="1" applyBorder="1" applyAlignment="1">
      <alignment horizontal="left"/>
    </xf>
    <xf numFmtId="49" fontId="4" fillId="7" borderId="0" xfId="1" applyNumberFormat="1" applyFont="1" applyFill="1" applyBorder="1" applyAlignment="1">
      <alignment horizontal="left"/>
    </xf>
    <xf numFmtId="49" fontId="15" fillId="7" borderId="0" xfId="1" applyNumberFormat="1" applyFont="1" applyFill="1" applyBorder="1" applyAlignment="1">
      <alignment horizontal="left"/>
    </xf>
    <xf numFmtId="49" fontId="3" fillId="6" borderId="0" xfId="1" applyNumberFormat="1" applyFont="1" applyFill="1" applyBorder="1" applyAlignment="1">
      <alignment horizontal="left"/>
    </xf>
    <xf numFmtId="49" fontId="27" fillId="8" borderId="0" xfId="1" applyNumberFormat="1" applyFont="1" applyFill="1" applyBorder="1" applyAlignment="1">
      <alignment horizontal="left"/>
    </xf>
    <xf numFmtId="49" fontId="27" fillId="7" borderId="0" xfId="1" applyNumberFormat="1" applyFont="1" applyFill="1" applyBorder="1" applyAlignment="1">
      <alignment horizontal="left"/>
    </xf>
    <xf numFmtId="49" fontId="3" fillId="9" borderId="0" xfId="1" applyNumberFormat="1" applyFont="1" applyFill="1" applyBorder="1" applyAlignment="1">
      <alignment horizontal="left"/>
    </xf>
    <xf numFmtId="16" fontId="4" fillId="10" borderId="0" xfId="0" applyNumberFormat="1" applyFont="1" applyFill="1" applyAlignment="1">
      <alignment horizontal="left"/>
    </xf>
    <xf numFmtId="164" fontId="3" fillId="6" borderId="0" xfId="0" applyNumberFormat="1" applyFont="1" applyFill="1" applyAlignment="1">
      <alignment horizontal="left"/>
    </xf>
    <xf numFmtId="164" fontId="0" fillId="7" borderId="0" xfId="0" applyNumberFormat="1" applyFill="1" applyAlignment="1">
      <alignment horizontal="left"/>
    </xf>
    <xf numFmtId="164" fontId="3" fillId="9" borderId="0" xfId="0" applyNumberFormat="1" applyFont="1" applyFill="1" applyAlignment="1">
      <alignment horizontal="left"/>
    </xf>
    <xf numFmtId="164" fontId="4" fillId="21" borderId="0" xfId="0" applyNumberFormat="1" applyFont="1" applyFill="1" applyAlignment="1">
      <alignment horizontal="left"/>
    </xf>
    <xf numFmtId="164" fontId="4" fillId="7" borderId="0" xfId="0" applyNumberFormat="1" applyFont="1" applyFill="1" applyAlignment="1">
      <alignment horizontal="left"/>
    </xf>
    <xf numFmtId="164" fontId="0" fillId="6" borderId="0" xfId="0" applyNumberFormat="1" applyFill="1" applyAlignment="1">
      <alignment horizontal="left"/>
    </xf>
    <xf numFmtId="164" fontId="0" fillId="8" borderId="0" xfId="0" applyNumberFormat="1" applyFill="1" applyAlignment="1">
      <alignment horizontal="left"/>
    </xf>
    <xf numFmtId="164" fontId="0" fillId="10" borderId="0" xfId="0" applyNumberFormat="1" applyFill="1" applyAlignment="1">
      <alignment horizontal="left"/>
    </xf>
    <xf numFmtId="164" fontId="0" fillId="0" borderId="0" xfId="0" applyNumberFormat="1" applyAlignment="1">
      <alignment horizontal="left"/>
    </xf>
    <xf numFmtId="164" fontId="3" fillId="11" borderId="0" xfId="0" applyNumberFormat="1" applyFont="1" applyFill="1" applyAlignment="1">
      <alignment horizontal="left"/>
    </xf>
    <xf numFmtId="164" fontId="3" fillId="0" borderId="0" xfId="0" applyNumberFormat="1" applyFont="1" applyAlignment="1">
      <alignment horizontal="left"/>
    </xf>
    <xf numFmtId="164" fontId="4" fillId="0" borderId="0" xfId="0" applyNumberFormat="1" applyFont="1" applyFill="1" applyAlignment="1">
      <alignment horizontal="left"/>
    </xf>
    <xf numFmtId="164" fontId="4" fillId="8" borderId="0" xfId="0" applyNumberFormat="1" applyFont="1" applyFill="1" applyAlignment="1">
      <alignment horizontal="left"/>
    </xf>
    <xf numFmtId="164" fontId="9" fillId="10" borderId="0" xfId="0" applyNumberFormat="1" applyFont="1" applyFill="1" applyAlignment="1">
      <alignment horizontal="left"/>
    </xf>
    <xf numFmtId="164" fontId="9" fillId="8" borderId="0" xfId="0" applyNumberFormat="1" applyFont="1" applyFill="1" applyAlignment="1">
      <alignment horizontal="left"/>
    </xf>
    <xf numFmtId="164" fontId="11" fillId="8" borderId="0" xfId="0" applyNumberFormat="1" applyFont="1" applyFill="1" applyAlignment="1">
      <alignment horizontal="left"/>
    </xf>
    <xf numFmtId="164" fontId="11" fillId="10" borderId="0" xfId="0" applyNumberFormat="1" applyFont="1" applyFill="1" applyAlignment="1">
      <alignment horizontal="left"/>
    </xf>
    <xf numFmtId="164" fontId="14" fillId="6" borderId="0" xfId="0" applyNumberFormat="1" applyFont="1" applyFill="1" applyAlignment="1">
      <alignment horizontal="left"/>
    </xf>
    <xf numFmtId="164" fontId="13" fillId="6" borderId="0" xfId="0" applyNumberFormat="1" applyFont="1" applyFill="1" applyAlignment="1">
      <alignment horizontal="left"/>
    </xf>
    <xf numFmtId="164" fontId="14" fillId="9" borderId="0" xfId="0" applyNumberFormat="1" applyFont="1" applyFill="1" applyAlignment="1">
      <alignment horizontal="left"/>
    </xf>
    <xf numFmtId="164" fontId="0" fillId="0" borderId="0" xfId="0" applyNumberFormat="1" applyFill="1" applyAlignment="1">
      <alignment horizontal="left"/>
    </xf>
    <xf numFmtId="164" fontId="3" fillId="0" borderId="0" xfId="0" applyNumberFormat="1" applyFont="1" applyFill="1" applyAlignment="1">
      <alignment horizontal="left"/>
    </xf>
    <xf numFmtId="164" fontId="13" fillId="0" borderId="0" xfId="0" applyNumberFormat="1" applyFont="1" applyFill="1" applyAlignment="1">
      <alignment horizontal="left"/>
    </xf>
    <xf numFmtId="164" fontId="3" fillId="13" borderId="0" xfId="0" applyNumberFormat="1" applyFont="1" applyFill="1" applyAlignment="1">
      <alignment horizontal="left"/>
    </xf>
    <xf numFmtId="164" fontId="13" fillId="9" borderId="0" xfId="0" applyNumberFormat="1" applyFont="1" applyFill="1" applyAlignment="1">
      <alignment horizontal="left"/>
    </xf>
    <xf numFmtId="164" fontId="3" fillId="10" borderId="0" xfId="0" applyNumberFormat="1" applyFont="1" applyFill="1" applyAlignment="1">
      <alignment horizontal="left"/>
    </xf>
    <xf numFmtId="164" fontId="3" fillId="7" borderId="0" xfId="0" applyNumberFormat="1" applyFont="1" applyFill="1" applyAlignment="1">
      <alignment horizontal="left"/>
    </xf>
    <xf numFmtId="164" fontId="3" fillId="8" borderId="0" xfId="0" applyNumberFormat="1" applyFont="1" applyFill="1" applyAlignment="1">
      <alignment horizontal="left"/>
    </xf>
    <xf numFmtId="164" fontId="15" fillId="0" borderId="0" xfId="0" applyNumberFormat="1" applyFont="1" applyFill="1" applyAlignment="1">
      <alignment horizontal="left"/>
    </xf>
    <xf numFmtId="164" fontId="15" fillId="8" borderId="0" xfId="0" applyNumberFormat="1" applyFont="1" applyFill="1" applyAlignment="1">
      <alignment horizontal="left"/>
    </xf>
    <xf numFmtId="164" fontId="16" fillId="8" borderId="0" xfId="0" applyNumberFormat="1" applyFont="1" applyFill="1" applyAlignment="1">
      <alignment horizontal="left"/>
    </xf>
    <xf numFmtId="164" fontId="16" fillId="10" borderId="0" xfId="0" applyNumberFormat="1" applyFont="1" applyFill="1" applyAlignment="1">
      <alignment horizontal="left"/>
    </xf>
    <xf numFmtId="164" fontId="16" fillId="6" borderId="0" xfId="0" applyNumberFormat="1" applyFont="1" applyFill="1" applyAlignment="1">
      <alignment horizontal="left"/>
    </xf>
    <xf numFmtId="164" fontId="16" fillId="14" borderId="0" xfId="0" applyNumberFormat="1" applyFont="1" applyFill="1" applyAlignment="1">
      <alignment horizontal="left"/>
    </xf>
    <xf numFmtId="164" fontId="16" fillId="9" borderId="0" xfId="0" applyNumberFormat="1" applyFont="1" applyFill="1" applyAlignment="1">
      <alignment horizontal="left"/>
    </xf>
    <xf numFmtId="164" fontId="0" fillId="9" borderId="0" xfId="0" applyNumberFormat="1" applyFill="1" applyAlignment="1">
      <alignment horizontal="left"/>
    </xf>
    <xf numFmtId="164" fontId="15" fillId="9" borderId="0" xfId="0" applyNumberFormat="1" applyFont="1" applyFill="1" applyAlignment="1">
      <alignment horizontal="left"/>
    </xf>
    <xf numFmtId="164" fontId="15" fillId="6" borderId="0" xfId="0" applyNumberFormat="1" applyFont="1" applyFill="1" applyAlignment="1">
      <alignment horizontal="left"/>
    </xf>
    <xf numFmtId="164" fontId="4" fillId="0" borderId="0" xfId="0" applyNumberFormat="1" applyFont="1" applyFill="1" applyBorder="1" applyAlignment="1">
      <alignment horizontal="left"/>
    </xf>
    <xf numFmtId="164" fontId="16" fillId="0" borderId="0" xfId="0" applyNumberFormat="1" applyFont="1" applyFill="1" applyAlignment="1">
      <alignment horizontal="left"/>
    </xf>
    <xf numFmtId="164" fontId="26" fillId="0" borderId="0" xfId="0" applyNumberFormat="1" applyFont="1" applyFill="1" applyAlignment="1">
      <alignment horizontal="left"/>
    </xf>
    <xf numFmtId="164" fontId="3" fillId="27" borderId="0" xfId="0" applyNumberFormat="1" applyFont="1" applyFill="1" applyAlignment="1">
      <alignment horizontal="left"/>
    </xf>
    <xf numFmtId="164" fontId="15" fillId="7" borderId="0" xfId="0" applyNumberFormat="1" applyFont="1" applyFill="1" applyAlignment="1">
      <alignment horizontal="left"/>
    </xf>
    <xf numFmtId="164" fontId="4" fillId="6" borderId="0" xfId="0" applyNumberFormat="1" applyFont="1" applyFill="1" applyAlignment="1">
      <alignment horizontal="left"/>
    </xf>
    <xf numFmtId="164" fontId="27" fillId="8" borderId="0" xfId="0" applyNumberFormat="1" applyFont="1" applyFill="1" applyAlignment="1">
      <alignment horizontal="left"/>
    </xf>
    <xf numFmtId="164" fontId="27" fillId="7" borderId="0" xfId="0" applyNumberFormat="1" applyFont="1" applyFill="1" applyAlignment="1">
      <alignment horizontal="left"/>
    </xf>
    <xf numFmtId="164" fontId="4" fillId="9" borderId="0" xfId="0" applyNumberFormat="1" applyFont="1" applyFill="1" applyAlignment="1">
      <alignment horizontal="left"/>
    </xf>
    <xf numFmtId="164" fontId="0" fillId="0" borderId="0" xfId="0" applyNumberFormat="1" applyFill="1" applyBorder="1" applyAlignment="1">
      <alignment horizontal="left"/>
    </xf>
    <xf numFmtId="164" fontId="0" fillId="8" borderId="0" xfId="0" applyNumberFormat="1" applyFill="1" applyBorder="1" applyAlignment="1">
      <alignment horizontal="left"/>
    </xf>
    <xf numFmtId="164" fontId="3" fillId="9" borderId="0" xfId="0" applyNumberFormat="1" applyFont="1" applyFill="1" applyBorder="1" applyAlignment="1">
      <alignment horizontal="left"/>
    </xf>
    <xf numFmtId="164" fontId="3" fillId="6" borderId="0" xfId="0" applyNumberFormat="1" applyFont="1" applyFill="1" applyBorder="1" applyAlignment="1">
      <alignment horizontal="left"/>
    </xf>
    <xf numFmtId="164" fontId="4" fillId="8" borderId="0" xfId="0" applyNumberFormat="1" applyFont="1" applyFill="1" applyBorder="1" applyAlignment="1">
      <alignment horizontal="left"/>
    </xf>
    <xf numFmtId="164" fontId="16" fillId="10" borderId="0" xfId="0" applyNumberFormat="1" applyFont="1" applyFill="1" applyBorder="1" applyAlignment="1">
      <alignment horizontal="left"/>
    </xf>
    <xf numFmtId="164" fontId="16" fillId="9" borderId="0" xfId="0" applyNumberFormat="1" applyFont="1" applyFill="1" applyBorder="1" applyAlignment="1">
      <alignment horizontal="left"/>
    </xf>
    <xf numFmtId="164" fontId="3" fillId="0" borderId="0" xfId="0" applyNumberFormat="1" applyFont="1" applyFill="1" applyBorder="1" applyAlignment="1">
      <alignment horizontal="left"/>
    </xf>
    <xf numFmtId="164" fontId="15" fillId="9" borderId="0" xfId="0" applyNumberFormat="1" applyFont="1" applyFill="1" applyBorder="1" applyAlignment="1">
      <alignment horizontal="left"/>
    </xf>
    <xf numFmtId="164" fontId="15" fillId="6" borderId="0" xfId="0" applyNumberFormat="1" applyFont="1" applyFill="1" applyBorder="1" applyAlignment="1">
      <alignment horizontal="left"/>
    </xf>
    <xf numFmtId="164" fontId="4" fillId="10" borderId="0" xfId="0" applyNumberFormat="1" applyFont="1" applyFill="1" applyAlignment="1">
      <alignment horizontal="left"/>
    </xf>
    <xf numFmtId="164" fontId="15" fillId="10" borderId="0" xfId="0" applyNumberFormat="1" applyFont="1" applyFill="1" applyAlignment="1">
      <alignment horizontal="left"/>
    </xf>
    <xf numFmtId="164" fontId="16" fillId="7" borderId="0" xfId="0" applyNumberFormat="1" applyFont="1" applyFill="1" applyAlignment="1">
      <alignment horizontal="left"/>
    </xf>
    <xf numFmtId="164" fontId="3" fillId="28" borderId="0" xfId="0" applyNumberFormat="1" applyFont="1" applyFill="1" applyAlignment="1">
      <alignment horizontal="left"/>
    </xf>
    <xf numFmtId="164" fontId="26" fillId="10" borderId="0" xfId="0" applyNumberFormat="1" applyFont="1" applyFill="1" applyAlignment="1">
      <alignment horizontal="left"/>
    </xf>
    <xf numFmtId="164" fontId="16" fillId="28" borderId="0" xfId="0" applyNumberFormat="1" applyFont="1" applyFill="1" applyAlignment="1">
      <alignment horizontal="left"/>
    </xf>
    <xf numFmtId="0" fontId="0" fillId="0" borderId="0" xfId="0" applyAlignment="1">
      <alignment wrapText="1"/>
    </xf>
    <xf numFmtId="0" fontId="0" fillId="29" borderId="0" xfId="0" applyFill="1"/>
    <xf numFmtId="0" fontId="0" fillId="30" borderId="0" xfId="0" applyFill="1"/>
    <xf numFmtId="0" fontId="3" fillId="29" borderId="0" xfId="0" applyFont="1" applyFill="1"/>
    <xf numFmtId="0" fontId="0" fillId="18" borderId="0" xfId="0" applyFill="1" applyAlignment="1">
      <alignment horizontal="center" vertical="center"/>
    </xf>
    <xf numFmtId="0" fontId="0" fillId="25" borderId="0" xfId="0" applyFill="1" applyAlignment="1">
      <alignment horizontal="center" vertical="center"/>
    </xf>
    <xf numFmtId="0" fontId="0" fillId="7" borderId="0" xfId="0" applyFill="1" applyAlignment="1">
      <alignment horizontal="center" vertical="center"/>
    </xf>
    <xf numFmtId="0" fontId="0" fillId="12" borderId="0" xfId="0" applyFill="1" applyAlignment="1">
      <alignment horizontal="center" vertical="center"/>
    </xf>
    <xf numFmtId="0" fontId="15" fillId="0" borderId="0" xfId="0" applyFont="1" applyAlignment="1">
      <alignment horizontal="left"/>
    </xf>
    <xf numFmtId="0" fontId="30" fillId="0" borderId="12" xfId="0" applyFont="1" applyBorder="1" applyAlignment="1">
      <alignment vertical="center" wrapText="1"/>
    </xf>
    <xf numFmtId="0" fontId="30" fillId="0" borderId="13" xfId="0" applyFont="1" applyBorder="1" applyAlignment="1">
      <alignment vertical="center" wrapText="1"/>
    </xf>
    <xf numFmtId="0" fontId="30" fillId="0" borderId="14" xfId="0" applyFont="1" applyBorder="1" applyAlignment="1">
      <alignment vertical="center" wrapText="1"/>
    </xf>
    <xf numFmtId="0" fontId="29" fillId="0" borderId="12" xfId="0" applyFont="1" applyBorder="1" applyAlignment="1">
      <alignment vertical="center" wrapText="1"/>
    </xf>
    <xf numFmtId="0" fontId="29" fillId="0" borderId="13" xfId="0" applyFont="1" applyBorder="1" applyAlignment="1">
      <alignment vertical="center" wrapText="1"/>
    </xf>
    <xf numFmtId="0" fontId="29" fillId="0" borderId="14" xfId="0" applyFont="1" applyBorder="1" applyAlignment="1">
      <alignment vertical="center" wrapText="1"/>
    </xf>
    <xf numFmtId="0" fontId="0" fillId="18" borderId="0" xfId="0" applyFill="1" applyAlignment="1">
      <alignment horizontal="center" vertical="center"/>
    </xf>
    <xf numFmtId="0" fontId="0" fillId="25" borderId="0" xfId="0" applyFill="1" applyAlignment="1">
      <alignment horizontal="center" vertical="center"/>
    </xf>
    <xf numFmtId="0" fontId="16" fillId="18" borderId="0" xfId="0" applyFont="1" applyFill="1" applyAlignment="1">
      <alignment horizontal="center" vertical="center"/>
    </xf>
    <xf numFmtId="0" fontId="0" fillId="9" borderId="0" xfId="0" applyFill="1" applyAlignment="1">
      <alignment horizontal="center" vertical="center"/>
    </xf>
    <xf numFmtId="0" fontId="0" fillId="7" borderId="0" xfId="0" applyFill="1" applyAlignment="1">
      <alignment horizontal="center" vertical="center"/>
    </xf>
    <xf numFmtId="0" fontId="0" fillId="12" borderId="0" xfId="0" applyFill="1" applyAlignment="1">
      <alignment horizontal="center" vertical="center"/>
    </xf>
    <xf numFmtId="0" fontId="0" fillId="20" borderId="0" xfId="0" applyFill="1" applyAlignment="1">
      <alignment horizontal="center" vertical="center"/>
    </xf>
  </cellXfs>
  <cellStyles count="5">
    <cellStyle name="差" xfId="1" builtinId="27"/>
    <cellStyle name="常规" xfId="0" builtinId="0"/>
    <cellStyle name="计算" xfId="3" builtinId="22"/>
    <cellStyle name="超链接" xfId="4" builtinId="8"/>
    <cellStyle name="适中" xfId="2" builtinId="2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76200</xdr:colOff>
          <xdr:row>1</xdr:row>
          <xdr:rowOff>114300</xdr:rowOff>
        </xdr:from>
        <xdr:to>
          <xdr:col>9</xdr:col>
          <xdr:colOff>571500</xdr:colOff>
          <xdr:row>35</xdr:row>
          <xdr:rowOff>38100</xdr:rowOff>
        </xdr:to>
        <xdr:sp macro="" textlink="">
          <xdr:nvSpPr>
            <xdr:cNvPr id="10242" name="Object 2" hidden="1">
              <a:extLst>
                <a:ext uri="{63B3BB69-23CF-44E3-9099-C40C66FF867C}">
                  <a14:compatExt spid="_x0000_s102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9</xdr:col>
      <xdr:colOff>476250</xdr:colOff>
      <xdr:row>0</xdr:row>
      <xdr:rowOff>123825</xdr:rowOff>
    </xdr:from>
    <xdr:to>
      <xdr:col>18</xdr:col>
      <xdr:colOff>237469</xdr:colOff>
      <xdr:row>15</xdr:row>
      <xdr:rowOff>142515</xdr:rowOff>
    </xdr:to>
    <xdr:pic>
      <xdr:nvPicPr>
        <xdr:cNvPr id="2" name="图片 1"/>
        <xdr:cNvPicPr>
          <a:picLocks noChangeAspect="1"/>
        </xdr:cNvPicPr>
      </xdr:nvPicPr>
      <xdr:blipFill>
        <a:blip xmlns:r="http://schemas.openxmlformats.org/officeDocument/2006/relationships" r:embed="rId1"/>
        <a:stretch>
          <a:fillRect/>
        </a:stretch>
      </xdr:blipFill>
      <xdr:spPr>
        <a:xfrm>
          <a:off x="8048625" y="123825"/>
          <a:ext cx="5247619" cy="2876190"/>
        </a:xfrm>
        <a:prstGeom prst="rect">
          <a:avLst/>
        </a:prstGeom>
      </xdr:spPr>
    </xdr:pic>
    <xdr:clientData/>
  </xdr:twoCellAnchor>
  <xdr:twoCellAnchor editAs="oneCell">
    <xdr:from>
      <xdr:col>9</xdr:col>
      <xdr:colOff>495300</xdr:colOff>
      <xdr:row>17</xdr:row>
      <xdr:rowOff>133350</xdr:rowOff>
    </xdr:from>
    <xdr:to>
      <xdr:col>22</xdr:col>
      <xdr:colOff>475262</xdr:colOff>
      <xdr:row>29</xdr:row>
      <xdr:rowOff>28302</xdr:rowOff>
    </xdr:to>
    <xdr:pic>
      <xdr:nvPicPr>
        <xdr:cNvPr id="3" name="图片 2"/>
        <xdr:cNvPicPr>
          <a:picLocks noChangeAspect="1"/>
        </xdr:cNvPicPr>
      </xdr:nvPicPr>
      <xdr:blipFill>
        <a:blip xmlns:r="http://schemas.openxmlformats.org/officeDocument/2006/relationships" r:embed="rId2"/>
        <a:stretch>
          <a:fillRect/>
        </a:stretch>
      </xdr:blipFill>
      <xdr:spPr>
        <a:xfrm>
          <a:off x="8067675" y="3371850"/>
          <a:ext cx="7904762" cy="218095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fao.org/docrep/003/y1899e/y1899e02.htm"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D4640"/>
  <sheetViews>
    <sheetView tabSelected="1" zoomScale="85" zoomScaleNormal="85" workbookViewId="0">
      <pane xSplit="2" ySplit="1" topLeftCell="BS4612" activePane="bottomRight" state="frozen"/>
      <selection pane="topRight" activeCell="C1" sqref="C1"/>
      <selection pane="bottomLeft" activeCell="A2" sqref="A2"/>
      <selection pane="bottomRight" activeCell="CE2" sqref="CE2:CH4640"/>
    </sheetView>
  </sheetViews>
  <sheetFormatPr defaultRowHeight="15" x14ac:dyDescent="0.25"/>
  <cols>
    <col min="1" max="1" width="5.42578125" style="37" customWidth="1"/>
    <col min="2" max="2" width="13.7109375" style="50" customWidth="1"/>
    <col min="3" max="6" width="9.140625" style="37"/>
    <col min="7" max="7" width="26.140625" style="37" customWidth="1"/>
    <col min="8" max="8" width="38.42578125" style="37" customWidth="1"/>
    <col min="9" max="9" width="14.7109375" style="37" customWidth="1"/>
    <col min="10" max="17" width="9.140625" style="37"/>
    <col min="18" max="18" width="8.85546875" style="50" customWidth="1"/>
    <col min="19" max="19" width="10" style="50" customWidth="1"/>
    <col min="20" max="20" width="9.85546875" style="50" customWidth="1"/>
    <col min="21" max="22" width="10.85546875" style="50" customWidth="1"/>
    <col min="23" max="23" width="13.42578125" style="50" customWidth="1"/>
    <col min="24" max="24" width="10.85546875" style="50" customWidth="1"/>
    <col min="25" max="25" width="14.85546875" style="50" customWidth="1"/>
    <col min="26" max="26" width="10.85546875" style="37" customWidth="1"/>
    <col min="27" max="28" width="10.85546875" style="330" customWidth="1"/>
    <col min="29" max="32" width="9.140625" style="37" customWidth="1"/>
    <col min="33" max="33" width="27" style="37" customWidth="1"/>
    <col min="34" max="34" width="15.140625" style="37" customWidth="1"/>
    <col min="35" max="35" width="17.7109375" style="37" customWidth="1"/>
    <col min="36" max="36" width="16.42578125" style="37" customWidth="1"/>
    <col min="37" max="37" width="14.7109375" style="37" customWidth="1"/>
    <col min="38" max="38" width="10.140625" style="37" customWidth="1"/>
    <col min="39" max="39" width="10.42578125" style="37" customWidth="1"/>
    <col min="40" max="40" width="9.42578125" style="37" customWidth="1"/>
    <col min="41" max="41" width="10.5703125" style="37" customWidth="1"/>
    <col min="42" max="42" width="10.85546875" style="37" customWidth="1"/>
    <col min="43" max="43" width="10.5703125" style="37" customWidth="1"/>
    <col min="44" max="44" width="9.28515625" style="37" customWidth="1"/>
    <col min="45" max="45" width="10.42578125" style="37" customWidth="1"/>
    <col min="46" max="46" width="13.28515625" style="37" customWidth="1"/>
    <col min="47" max="47" width="13.85546875" style="37" customWidth="1"/>
    <col min="48" max="48" width="7.5703125" style="37" customWidth="1"/>
    <col min="49" max="49" width="11.5703125" style="37" customWidth="1"/>
    <col min="50" max="50" width="8.28515625" style="37" customWidth="1"/>
    <col min="51" max="51" width="12.140625" style="37" customWidth="1"/>
    <col min="52" max="52" width="8.28515625" style="37" customWidth="1"/>
    <col min="53" max="53" width="11.5703125" style="37" customWidth="1"/>
    <col min="54" max="55" width="9.140625" style="37" customWidth="1"/>
    <col min="56" max="56" width="15.28515625" style="37" customWidth="1"/>
    <col min="57" max="57" width="15.140625" style="37" customWidth="1"/>
    <col min="58" max="58" width="14.7109375" style="37" customWidth="1"/>
    <col min="59" max="59" width="14" style="37" customWidth="1"/>
    <col min="60" max="60" width="14.28515625" style="37" customWidth="1"/>
    <col min="61" max="61" width="14.7109375" style="37" customWidth="1"/>
    <col min="62" max="62" width="16.85546875" style="37" customWidth="1"/>
    <col min="63" max="64" width="9.140625" style="37" customWidth="1"/>
    <col min="65" max="65" width="11.28515625" style="37" customWidth="1"/>
    <col min="66" max="66" width="11.140625" style="37" customWidth="1"/>
    <col min="67" max="67" width="15" style="37" customWidth="1"/>
    <col min="68" max="69" width="9.140625" style="406"/>
    <col min="70" max="70" width="9.85546875" style="37" customWidth="1"/>
    <col min="71" max="71" width="9.28515625" style="37" customWidth="1"/>
    <col min="72" max="72" width="14" style="37" customWidth="1"/>
    <col min="73" max="74" width="9.140625" style="406"/>
    <col min="75" max="76" width="9.140625" style="37" customWidth="1"/>
    <col min="77" max="77" width="20" style="37" customWidth="1"/>
    <col min="78" max="79" width="9.140625" style="406"/>
    <col min="80" max="81" width="9.140625" style="37" customWidth="1"/>
    <col min="82" max="82" width="11.5703125" style="37" customWidth="1"/>
    <col min="83" max="84" width="9.140625" style="37" customWidth="1"/>
    <col min="85" max="85" width="10.7109375" style="5" customWidth="1"/>
    <col min="86" max="86" width="11.85546875" style="5" customWidth="1"/>
    <col min="87" max="87" width="11.5703125" style="37" customWidth="1"/>
    <col min="88" max="96" width="9.140625" style="37"/>
    <col min="97" max="97" width="11.7109375" style="37" customWidth="1"/>
    <col min="98" max="98" width="9.140625" style="37"/>
    <col min="99" max="101" width="9.42578125" style="37" customWidth="1"/>
    <col min="102" max="102" width="12.5703125" style="37" customWidth="1"/>
    <col min="103" max="106" width="9.140625" style="37"/>
    <col min="107" max="107" width="14" style="37" customWidth="1"/>
    <col min="108" max="111" width="9.140625" style="37"/>
    <col min="112" max="112" width="14.7109375" style="37" customWidth="1"/>
    <col min="113" max="116" width="9.140625" style="37"/>
    <col min="117" max="117" width="14" style="37" customWidth="1"/>
    <col min="118" max="118" width="6.85546875" style="37" customWidth="1"/>
    <col min="119" max="119" width="6.5703125" style="37" customWidth="1"/>
    <col min="120" max="120" width="8.5703125" style="37" customWidth="1"/>
    <col min="121" max="121" width="8.85546875" style="37" customWidth="1"/>
    <col min="122" max="122" width="14.140625" style="37" customWidth="1"/>
    <col min="123" max="124" width="9.140625" style="37"/>
    <col min="125" max="125" width="11.42578125" style="37" customWidth="1"/>
    <col min="126" max="126" width="11" style="37" customWidth="1"/>
    <col min="127" max="127" width="16.42578125" style="37" customWidth="1"/>
    <col min="128" max="128" width="10.140625" style="37" customWidth="1"/>
    <col min="129" max="129" width="10.5703125" style="37" customWidth="1"/>
    <col min="130" max="130" width="12.42578125" style="37" customWidth="1"/>
    <col min="131" max="131" width="13.42578125" style="37" customWidth="1"/>
    <col min="132" max="132" width="16.42578125" style="37" customWidth="1"/>
    <col min="133" max="133" width="14" style="37" customWidth="1"/>
    <col min="134" max="134" width="12.7109375" style="37" customWidth="1"/>
    <col min="135" max="135" width="15.42578125" style="37" customWidth="1"/>
    <col min="136" max="136" width="15.85546875" style="37" customWidth="1"/>
    <col min="137" max="137" width="20.140625" style="37" customWidth="1"/>
    <col min="138" max="138" width="11.42578125" style="37" customWidth="1"/>
    <col min="139" max="139" width="12" style="37" customWidth="1"/>
    <col min="140" max="140" width="14.85546875" style="37" customWidth="1"/>
    <col min="141" max="141" width="15" style="37" customWidth="1"/>
    <col min="142" max="142" width="19.5703125" style="37" customWidth="1"/>
    <col min="143" max="143" width="7.140625" style="37" customWidth="1"/>
    <col min="144" max="144" width="6.42578125" style="37" customWidth="1"/>
    <col min="145" max="145" width="9.5703125" style="37" customWidth="1"/>
    <col min="146" max="146" width="10.140625" style="37" customWidth="1"/>
    <col min="147" max="147" width="12.85546875" style="37" customWidth="1"/>
    <col min="148" max="149" width="9.42578125" style="37" customWidth="1"/>
    <col min="150" max="150" width="12.140625" style="37" customWidth="1"/>
    <col min="151" max="151" width="12.28515625" style="37" customWidth="1"/>
    <col min="152" max="152" width="12.85546875" style="37" customWidth="1"/>
    <col min="153" max="154" width="9.140625" style="37"/>
    <col min="155" max="155" width="11.7109375" style="37" customWidth="1"/>
    <col min="156" max="156" width="11.42578125" style="37" customWidth="1"/>
    <col min="157" max="157" width="17" style="37" customWidth="1"/>
    <col min="158" max="158" width="10.42578125" style="37" customWidth="1"/>
    <col min="159" max="159" width="11.140625" style="37" customWidth="1"/>
    <col min="160" max="160" width="13.85546875" style="37" customWidth="1"/>
    <col min="161" max="161" width="13.42578125" style="37" customWidth="1"/>
    <col min="162" max="162" width="20" style="37" customWidth="1"/>
    <col min="163" max="163" width="6.140625" style="37" customWidth="1"/>
    <col min="164" max="164" width="6" style="37" customWidth="1"/>
    <col min="165" max="165" width="8.140625" style="37" customWidth="1"/>
    <col min="166" max="166" width="8.28515625" style="37" customWidth="1"/>
    <col min="167" max="167" width="13" style="37" customWidth="1"/>
    <col min="168" max="168" width="8.140625" style="37" customWidth="1"/>
    <col min="169" max="169" width="7.42578125" style="37" customWidth="1"/>
    <col min="170" max="170" width="10" style="37" customWidth="1"/>
    <col min="171" max="171" width="10.5703125" style="37" customWidth="1"/>
    <col min="172" max="172" width="15.42578125" style="37" customWidth="1"/>
    <col min="173" max="174" width="9.140625" style="37"/>
    <col min="175" max="175" width="11.5703125" style="37" customWidth="1"/>
    <col min="176" max="176" width="12" style="37" customWidth="1"/>
    <col min="177" max="177" width="16.5703125" style="37" customWidth="1"/>
    <col min="178" max="178" width="8.42578125" style="37" customWidth="1"/>
    <col min="179" max="179" width="8.140625" style="37" customWidth="1"/>
    <col min="180" max="181" width="11" style="37" customWidth="1"/>
    <col min="182" max="182" width="15.42578125" style="37" customWidth="1"/>
    <col min="183" max="183" width="11.28515625" style="37" customWidth="1"/>
    <col min="184" max="184" width="10.85546875" style="37" customWidth="1"/>
    <col min="185" max="186" width="13.5703125" style="37" customWidth="1"/>
    <col min="187" max="187" width="18" style="37" customWidth="1"/>
    <col min="188" max="188" width="10" style="37" customWidth="1"/>
    <col min="189" max="189" width="9.5703125" style="37" customWidth="1"/>
    <col min="190" max="190" width="10.5703125" style="37" customWidth="1"/>
    <col min="191" max="191" width="10.85546875" style="37" customWidth="1"/>
    <col min="192" max="192" width="11.5703125" style="37" customWidth="1"/>
    <col min="193" max="193" width="10.5703125" style="37" customWidth="1"/>
    <col min="194" max="194" width="11" style="37" customWidth="1"/>
    <col min="195" max="195" width="14" style="37" customWidth="1"/>
    <col min="196" max="196" width="14.42578125" style="37" customWidth="1"/>
    <col min="197" max="197" width="12.85546875" style="37" customWidth="1"/>
    <col min="198" max="198" width="10.140625" style="37" customWidth="1"/>
    <col min="199" max="199" width="10" style="37" customWidth="1"/>
    <col min="200" max="201" width="12" style="37" customWidth="1"/>
    <col min="202" max="202" width="11" style="37" customWidth="1"/>
    <col min="203" max="203" width="15.7109375" style="37" customWidth="1"/>
    <col min="204" max="204" width="15.5703125" style="37" customWidth="1"/>
    <col min="205" max="206" width="18.85546875" style="37" customWidth="1"/>
    <col min="207" max="207" width="11" style="37" customWidth="1"/>
    <col min="208" max="208" width="11.42578125" style="37" customWidth="1"/>
    <col min="209" max="209" width="12" style="37" customWidth="1"/>
    <col min="210" max="210" width="12.85546875" style="37" customWidth="1"/>
    <col min="211" max="211" width="13.140625" style="37" customWidth="1"/>
    <col min="212" max="212" width="19.85546875" style="37" customWidth="1"/>
    <col min="213" max="214" width="9.140625" style="37"/>
    <col min="215" max="215" width="11.42578125" style="37" customWidth="1"/>
    <col min="216" max="216" width="11.5703125" style="37" customWidth="1"/>
    <col min="217" max="217" width="16.42578125" style="37" customWidth="1"/>
    <col min="218" max="219" width="9.140625" style="37"/>
    <col min="220" max="221" width="12" style="37" customWidth="1"/>
    <col min="222" max="222" width="12.42578125" style="37" customWidth="1"/>
    <col min="223" max="223" width="8.140625" style="37" customWidth="1"/>
    <col min="224" max="224" width="7" style="37" customWidth="1"/>
    <col min="225" max="226" width="11.140625" style="37" customWidth="1"/>
    <col min="227" max="227" width="11.42578125" style="37" customWidth="1"/>
    <col min="228" max="228" width="6.5703125" style="37" customWidth="1"/>
    <col min="229" max="229" width="6.28515625" style="37" customWidth="1"/>
    <col min="230" max="230" width="8.85546875" style="37" customWidth="1"/>
    <col min="231" max="231" width="9.140625" style="37" customWidth="1"/>
    <col min="232" max="232" width="13.5703125" style="37" customWidth="1"/>
    <col min="233" max="233" width="11.28515625" style="37" customWidth="1"/>
    <col min="234" max="234" width="11" style="37" customWidth="1"/>
    <col min="235" max="235" width="14" style="37" customWidth="1"/>
    <col min="236" max="236" width="14.5703125" style="37" customWidth="1"/>
    <col min="237" max="237" width="16" style="37" customWidth="1"/>
    <col min="238" max="238" width="7.42578125" style="37" customWidth="1"/>
    <col min="239" max="239" width="7" style="37" customWidth="1"/>
    <col min="240" max="240" width="9.7109375" style="37" customWidth="1"/>
    <col min="241" max="241" width="10" style="37" customWidth="1"/>
    <col min="242" max="242" width="11.28515625" style="37" customWidth="1"/>
    <col min="243" max="243" width="7" style="37" customWidth="1"/>
    <col min="244" max="244" width="7.140625" style="37" customWidth="1"/>
    <col min="245" max="245" width="9.85546875" style="37" customWidth="1"/>
    <col min="246" max="246" width="10" style="37" customWidth="1"/>
    <col min="247" max="247" width="11.5703125" style="37" customWidth="1"/>
    <col min="248" max="249" width="9.140625" style="37"/>
    <col min="250" max="250" width="10" style="37" customWidth="1"/>
    <col min="251" max="251" width="10.28515625" style="37" customWidth="1"/>
    <col min="252" max="252" width="14.28515625" style="37" customWidth="1"/>
    <col min="253" max="253" width="9.5703125" style="37" customWidth="1"/>
    <col min="254" max="254" width="9.140625" style="37" customWidth="1"/>
    <col min="255" max="255" width="9.85546875" style="37" customWidth="1"/>
    <col min="256" max="256" width="10.7109375" style="37" customWidth="1"/>
    <col min="257" max="257" width="12.42578125" style="37" customWidth="1"/>
    <col min="258" max="258" width="9.140625" style="37"/>
    <col min="259" max="259" width="8.85546875" style="37" customWidth="1"/>
    <col min="260" max="260" width="6.5703125" style="37" customWidth="1"/>
    <col min="261" max="261" width="9" style="37" customWidth="1"/>
    <col min="262" max="262" width="20.85546875" style="37" customWidth="1"/>
    <col min="263" max="263" width="26.140625" style="37" customWidth="1"/>
    <col min="264" max="264" width="9.140625" style="186"/>
    <col min="265" max="265" width="10.42578125" style="37" customWidth="1"/>
    <col min="266" max="16384" width="9.140625" style="37"/>
  </cols>
  <sheetData>
    <row r="1" spans="1:263" s="5" customFormat="1" x14ac:dyDescent="0.25">
      <c r="A1" s="7" t="s">
        <v>109</v>
      </c>
      <c r="B1" s="146" t="s">
        <v>3123</v>
      </c>
      <c r="C1" s="7" t="s">
        <v>43</v>
      </c>
      <c r="D1" s="7" t="s">
        <v>44</v>
      </c>
      <c r="E1" s="7" t="s">
        <v>6</v>
      </c>
      <c r="F1" s="7" t="s">
        <v>185</v>
      </c>
      <c r="G1" s="7" t="s">
        <v>87</v>
      </c>
      <c r="H1" s="7" t="s">
        <v>4</v>
      </c>
      <c r="I1" s="7" t="s">
        <v>2813</v>
      </c>
      <c r="J1" s="7" t="s">
        <v>3</v>
      </c>
      <c r="K1" s="7" t="s">
        <v>2</v>
      </c>
      <c r="L1" s="7" t="s">
        <v>86</v>
      </c>
      <c r="M1" s="7" t="s">
        <v>35</v>
      </c>
      <c r="N1" s="7" t="s">
        <v>16</v>
      </c>
      <c r="O1" s="7" t="s">
        <v>36</v>
      </c>
      <c r="P1" s="7" t="s">
        <v>17</v>
      </c>
      <c r="Q1" s="7" t="s">
        <v>18</v>
      </c>
      <c r="R1" s="146" t="s">
        <v>118</v>
      </c>
      <c r="S1" s="171" t="s">
        <v>1758</v>
      </c>
      <c r="T1" s="7" t="s">
        <v>865</v>
      </c>
      <c r="U1" s="146" t="s">
        <v>868</v>
      </c>
      <c r="V1" s="146" t="s">
        <v>7</v>
      </c>
      <c r="W1" s="193" t="s">
        <v>1714</v>
      </c>
      <c r="X1" s="146" t="s">
        <v>1416</v>
      </c>
      <c r="Y1" s="146" t="s">
        <v>1630</v>
      </c>
      <c r="Z1" s="7" t="s">
        <v>283</v>
      </c>
      <c r="AA1" s="320" t="s">
        <v>121</v>
      </c>
      <c r="AB1" s="320" t="s">
        <v>122</v>
      </c>
      <c r="AC1" s="7" t="s">
        <v>15</v>
      </c>
      <c r="AD1" s="7" t="s">
        <v>189</v>
      </c>
      <c r="AE1" s="7" t="s">
        <v>190</v>
      </c>
      <c r="AF1" s="7" t="s">
        <v>191</v>
      </c>
      <c r="AG1" s="7" t="s">
        <v>1306</v>
      </c>
      <c r="AH1" s="7" t="s">
        <v>0</v>
      </c>
      <c r="AI1" s="194" t="s">
        <v>1501</v>
      </c>
      <c r="AJ1" s="7" t="s">
        <v>1</v>
      </c>
      <c r="AK1" s="195" t="s">
        <v>1500</v>
      </c>
      <c r="AL1" s="7" t="s">
        <v>532</v>
      </c>
      <c r="AM1" s="7" t="s">
        <v>531</v>
      </c>
      <c r="AN1" s="7" t="s">
        <v>533</v>
      </c>
      <c r="AO1" s="7" t="s">
        <v>535</v>
      </c>
      <c r="AP1" s="7" t="s">
        <v>534</v>
      </c>
      <c r="AQ1" s="7" t="s">
        <v>4568</v>
      </c>
      <c r="AR1" s="7" t="s">
        <v>4569</v>
      </c>
      <c r="AS1" s="7" t="s">
        <v>536</v>
      </c>
      <c r="AT1" s="7" t="s">
        <v>217</v>
      </c>
      <c r="AU1" s="7" t="s">
        <v>216</v>
      </c>
      <c r="AV1" s="7" t="s">
        <v>501</v>
      </c>
      <c r="AW1" s="78" t="s">
        <v>65</v>
      </c>
      <c r="AX1" s="7" t="s">
        <v>2103</v>
      </c>
      <c r="AY1" s="7" t="s">
        <v>2105</v>
      </c>
      <c r="AZ1" s="7" t="s">
        <v>140</v>
      </c>
      <c r="BA1" s="7" t="s">
        <v>68</v>
      </c>
      <c r="BB1" s="7" t="s">
        <v>67</v>
      </c>
      <c r="BC1" s="7" t="s">
        <v>973</v>
      </c>
      <c r="BD1" s="7" t="s">
        <v>613</v>
      </c>
      <c r="BE1" s="78" t="s">
        <v>142</v>
      </c>
      <c r="BF1" s="196" t="s">
        <v>1116</v>
      </c>
      <c r="BG1" s="196" t="s">
        <v>1117</v>
      </c>
      <c r="BH1" s="196" t="s">
        <v>1763</v>
      </c>
      <c r="BI1" s="196" t="s">
        <v>1764</v>
      </c>
      <c r="BJ1" s="197" t="s">
        <v>2437</v>
      </c>
      <c r="BK1" s="196" t="s">
        <v>810</v>
      </c>
      <c r="BL1" s="196" t="s">
        <v>811</v>
      </c>
      <c r="BM1" s="196" t="s">
        <v>1761</v>
      </c>
      <c r="BN1" s="196" t="s">
        <v>1762</v>
      </c>
      <c r="BO1" s="197" t="s">
        <v>2438</v>
      </c>
      <c r="BP1" s="394" t="s">
        <v>24</v>
      </c>
      <c r="BQ1" s="394" t="s">
        <v>23</v>
      </c>
      <c r="BR1" s="196" t="s">
        <v>1765</v>
      </c>
      <c r="BS1" s="196" t="s">
        <v>1766</v>
      </c>
      <c r="BT1" s="197" t="s">
        <v>2439</v>
      </c>
      <c r="BU1" s="394" t="s">
        <v>10</v>
      </c>
      <c r="BV1" s="394" t="s">
        <v>9</v>
      </c>
      <c r="BW1" s="196" t="s">
        <v>3569</v>
      </c>
      <c r="BX1" s="196" t="s">
        <v>3570</v>
      </c>
      <c r="BY1" s="197" t="s">
        <v>2440</v>
      </c>
      <c r="BZ1" s="394" t="s">
        <v>3124</v>
      </c>
      <c r="CA1" s="394" t="s">
        <v>3125</v>
      </c>
      <c r="CB1" s="196" t="s">
        <v>1767</v>
      </c>
      <c r="CC1" s="196" t="s">
        <v>1768</v>
      </c>
      <c r="CD1" s="197" t="s">
        <v>4428</v>
      </c>
      <c r="CE1" s="394" t="s">
        <v>4671</v>
      </c>
      <c r="CF1" s="394" t="s">
        <v>4672</v>
      </c>
      <c r="CG1" s="196" t="s">
        <v>4673</v>
      </c>
      <c r="CH1" s="196" t="s">
        <v>4674</v>
      </c>
      <c r="CI1" s="197" t="s">
        <v>4675</v>
      </c>
      <c r="CJ1" s="196" t="s">
        <v>232</v>
      </c>
      <c r="CK1" s="196" t="s">
        <v>233</v>
      </c>
      <c r="CL1" s="196" t="s">
        <v>1769</v>
      </c>
      <c r="CM1" s="196" t="s">
        <v>1770</v>
      </c>
      <c r="CN1" s="197" t="s">
        <v>2441</v>
      </c>
      <c r="CO1" s="196" t="s">
        <v>20</v>
      </c>
      <c r="CP1" s="196" t="s">
        <v>19</v>
      </c>
      <c r="CQ1" s="196" t="s">
        <v>1771</v>
      </c>
      <c r="CR1" s="196" t="s">
        <v>1772</v>
      </c>
      <c r="CS1" s="197" t="s">
        <v>2442</v>
      </c>
      <c r="CT1" s="196" t="s">
        <v>22</v>
      </c>
      <c r="CU1" s="196" t="s">
        <v>21</v>
      </c>
      <c r="CV1" s="196" t="s">
        <v>1773</v>
      </c>
      <c r="CW1" s="196" t="s">
        <v>1774</v>
      </c>
      <c r="CX1" s="197" t="s">
        <v>2443</v>
      </c>
      <c r="CY1" s="196" t="s">
        <v>12</v>
      </c>
      <c r="CZ1" s="196" t="s">
        <v>11</v>
      </c>
      <c r="DA1" s="196" t="s">
        <v>1775</v>
      </c>
      <c r="DB1" s="196" t="s">
        <v>1776</v>
      </c>
      <c r="DC1" s="197" t="s">
        <v>2444</v>
      </c>
      <c r="DD1" s="196" t="s">
        <v>30</v>
      </c>
      <c r="DE1" s="196" t="s">
        <v>29</v>
      </c>
      <c r="DF1" s="196" t="s">
        <v>1777</v>
      </c>
      <c r="DG1" s="196" t="s">
        <v>1778</v>
      </c>
      <c r="DH1" s="197" t="s">
        <v>2445</v>
      </c>
      <c r="DI1" s="196" t="s">
        <v>32</v>
      </c>
      <c r="DJ1" s="196" t="s">
        <v>31</v>
      </c>
      <c r="DK1" s="196" t="s">
        <v>1779</v>
      </c>
      <c r="DL1" s="196" t="s">
        <v>1780</v>
      </c>
      <c r="DM1" s="197" t="s">
        <v>2446</v>
      </c>
      <c r="DN1" s="196" t="s">
        <v>34</v>
      </c>
      <c r="DO1" s="196" t="s">
        <v>33</v>
      </c>
      <c r="DP1" s="196" t="s">
        <v>1781</v>
      </c>
      <c r="DQ1" s="196" t="s">
        <v>1782</v>
      </c>
      <c r="DR1" s="197" t="s">
        <v>2447</v>
      </c>
      <c r="DS1" s="198" t="s">
        <v>26</v>
      </c>
      <c r="DT1" s="198" t="s">
        <v>25</v>
      </c>
      <c r="DU1" s="198" t="s">
        <v>1783</v>
      </c>
      <c r="DV1" s="198" t="s">
        <v>1784</v>
      </c>
      <c r="DW1" s="199" t="s">
        <v>2448</v>
      </c>
      <c r="DX1" s="198" t="s">
        <v>914</v>
      </c>
      <c r="DY1" s="198" t="s">
        <v>915</v>
      </c>
      <c r="DZ1" s="198" t="s">
        <v>1785</v>
      </c>
      <c r="EA1" s="198" t="s">
        <v>1786</v>
      </c>
      <c r="EB1" s="199" t="s">
        <v>2449</v>
      </c>
      <c r="EC1" s="196" t="s">
        <v>28</v>
      </c>
      <c r="ED1" s="196" t="s">
        <v>27</v>
      </c>
      <c r="EE1" s="196" t="s">
        <v>1787</v>
      </c>
      <c r="EF1" s="196" t="s">
        <v>1788</v>
      </c>
      <c r="EG1" s="197" t="s">
        <v>2450</v>
      </c>
      <c r="EH1" s="196" t="s">
        <v>40</v>
      </c>
      <c r="EI1" s="196" t="s">
        <v>39</v>
      </c>
      <c r="EJ1" s="196" t="s">
        <v>1789</v>
      </c>
      <c r="EK1" s="196" t="s">
        <v>1790</v>
      </c>
      <c r="EL1" s="197" t="s">
        <v>2451</v>
      </c>
      <c r="EM1" s="196" t="s">
        <v>1791</v>
      </c>
      <c r="EN1" s="196" t="s">
        <v>1792</v>
      </c>
      <c r="EO1" s="196" t="s">
        <v>1793</v>
      </c>
      <c r="EP1" s="196" t="s">
        <v>1794</v>
      </c>
      <c r="EQ1" s="197" t="s">
        <v>2452</v>
      </c>
      <c r="ER1" s="196" t="s">
        <v>1011</v>
      </c>
      <c r="ES1" s="196" t="s">
        <v>1012</v>
      </c>
      <c r="ET1" s="196" t="s">
        <v>1796</v>
      </c>
      <c r="EU1" s="196" t="s">
        <v>1797</v>
      </c>
      <c r="EV1" s="197" t="s">
        <v>2453</v>
      </c>
      <c r="EW1" s="196" t="s">
        <v>1495</v>
      </c>
      <c r="EX1" s="196" t="s">
        <v>1494</v>
      </c>
      <c r="EY1" s="196" t="s">
        <v>1798</v>
      </c>
      <c r="EZ1" s="196" t="s">
        <v>1799</v>
      </c>
      <c r="FA1" s="197" t="s">
        <v>2454</v>
      </c>
      <c r="FB1" s="196" t="s">
        <v>1498</v>
      </c>
      <c r="FC1" s="196" t="s">
        <v>1499</v>
      </c>
      <c r="FD1" s="196" t="s">
        <v>1800</v>
      </c>
      <c r="FE1" s="196" t="s">
        <v>1801</v>
      </c>
      <c r="FF1" s="197" t="s">
        <v>2455</v>
      </c>
      <c r="FG1" s="196" t="s">
        <v>59</v>
      </c>
      <c r="FH1" s="196" t="s">
        <v>60</v>
      </c>
      <c r="FI1" s="196" t="s">
        <v>1802</v>
      </c>
      <c r="FJ1" s="196" t="s">
        <v>1803</v>
      </c>
      <c r="FK1" s="197" t="s">
        <v>2456</v>
      </c>
      <c r="FL1" s="196" t="s">
        <v>61</v>
      </c>
      <c r="FM1" s="196" t="s">
        <v>62</v>
      </c>
      <c r="FN1" s="196" t="s">
        <v>1804</v>
      </c>
      <c r="FO1" s="196" t="s">
        <v>1805</v>
      </c>
      <c r="FP1" s="197" t="s">
        <v>2457</v>
      </c>
      <c r="FQ1" s="196" t="s">
        <v>38</v>
      </c>
      <c r="FR1" s="196" t="s">
        <v>37</v>
      </c>
      <c r="FS1" s="196" t="s">
        <v>1806</v>
      </c>
      <c r="FT1" s="196" t="s">
        <v>1807</v>
      </c>
      <c r="FU1" s="197" t="s">
        <v>2458</v>
      </c>
      <c r="FV1" s="198" t="s">
        <v>146</v>
      </c>
      <c r="FW1" s="198" t="s">
        <v>145</v>
      </c>
      <c r="FX1" s="198" t="s">
        <v>1808</v>
      </c>
      <c r="FY1" s="198" t="s">
        <v>1809</v>
      </c>
      <c r="FZ1" s="199" t="s">
        <v>2459</v>
      </c>
      <c r="GA1" s="94" t="s">
        <v>363</v>
      </c>
      <c r="GB1" s="94" t="s">
        <v>362</v>
      </c>
      <c r="GC1" s="94" t="s">
        <v>1810</v>
      </c>
      <c r="GD1" s="94" t="s">
        <v>1811</v>
      </c>
      <c r="GE1" s="197" t="s">
        <v>2460</v>
      </c>
      <c r="GF1" s="94" t="s">
        <v>1691</v>
      </c>
      <c r="GG1" s="94" t="s">
        <v>1692</v>
      </c>
      <c r="GH1" s="94" t="s">
        <v>1812</v>
      </c>
      <c r="GI1" s="94" t="s">
        <v>1813</v>
      </c>
      <c r="GJ1" s="197" t="s">
        <v>2461</v>
      </c>
      <c r="GK1" s="94" t="s">
        <v>1708</v>
      </c>
      <c r="GL1" s="94" t="s">
        <v>1709</v>
      </c>
      <c r="GM1" s="94" t="s">
        <v>1814</v>
      </c>
      <c r="GN1" s="94" t="s">
        <v>1815</v>
      </c>
      <c r="GO1" s="197" t="s">
        <v>2462</v>
      </c>
      <c r="GP1" s="94" t="s">
        <v>1694</v>
      </c>
      <c r="GQ1" s="94" t="s">
        <v>1695</v>
      </c>
      <c r="GR1" s="94" t="s">
        <v>1816</v>
      </c>
      <c r="GS1" s="94" t="s">
        <v>1817</v>
      </c>
      <c r="GT1" s="197" t="s">
        <v>2463</v>
      </c>
      <c r="GU1" s="94" t="s">
        <v>1711</v>
      </c>
      <c r="GV1" s="94" t="s">
        <v>1712</v>
      </c>
      <c r="GW1" s="94" t="s">
        <v>1818</v>
      </c>
      <c r="GX1" s="94" t="s">
        <v>1819</v>
      </c>
      <c r="GY1" s="197" t="s">
        <v>2464</v>
      </c>
      <c r="GZ1" s="94" t="s">
        <v>1731</v>
      </c>
      <c r="HA1" s="94" t="s">
        <v>1732</v>
      </c>
      <c r="HB1" s="94" t="s">
        <v>1820</v>
      </c>
      <c r="HC1" s="94" t="s">
        <v>1821</v>
      </c>
      <c r="HD1" s="197" t="s">
        <v>2465</v>
      </c>
      <c r="HE1" s="94" t="s">
        <v>93</v>
      </c>
      <c r="HF1" s="94" t="s">
        <v>92</v>
      </c>
      <c r="HG1" s="94" t="s">
        <v>1822</v>
      </c>
      <c r="HH1" s="94" t="s">
        <v>1823</v>
      </c>
      <c r="HI1" s="197" t="s">
        <v>2466</v>
      </c>
      <c r="HJ1" s="94" t="s">
        <v>95</v>
      </c>
      <c r="HK1" s="94" t="s">
        <v>94</v>
      </c>
      <c r="HL1" s="94" t="s">
        <v>1824</v>
      </c>
      <c r="HM1" s="94" t="s">
        <v>1825</v>
      </c>
      <c r="HN1" s="197" t="s">
        <v>2467</v>
      </c>
      <c r="HO1" s="94" t="s">
        <v>1359</v>
      </c>
      <c r="HP1" s="94" t="s">
        <v>1360</v>
      </c>
      <c r="HQ1" s="94" t="s">
        <v>1826</v>
      </c>
      <c r="HR1" s="94" t="s">
        <v>1827</v>
      </c>
      <c r="HS1" s="197" t="s">
        <v>2468</v>
      </c>
      <c r="HT1" s="94" t="s">
        <v>97</v>
      </c>
      <c r="HU1" s="94" t="s">
        <v>96</v>
      </c>
      <c r="HV1" s="94" t="s">
        <v>1828</v>
      </c>
      <c r="HW1" s="94" t="s">
        <v>1829</v>
      </c>
      <c r="HX1" s="197" t="s">
        <v>2469</v>
      </c>
      <c r="HY1" s="94" t="s">
        <v>99</v>
      </c>
      <c r="HZ1" s="94" t="s">
        <v>98</v>
      </c>
      <c r="IA1" s="94" t="s">
        <v>1830</v>
      </c>
      <c r="IB1" s="94" t="s">
        <v>1831</v>
      </c>
      <c r="IC1" s="197" t="s">
        <v>2470</v>
      </c>
      <c r="ID1" s="94" t="s">
        <v>1361</v>
      </c>
      <c r="IE1" s="94" t="s">
        <v>1362</v>
      </c>
      <c r="IF1" s="94" t="s">
        <v>1832</v>
      </c>
      <c r="IG1" s="94" t="s">
        <v>1833</v>
      </c>
      <c r="IH1" s="197" t="s">
        <v>2471</v>
      </c>
      <c r="II1" s="94" t="s">
        <v>1363</v>
      </c>
      <c r="IJ1" s="94" t="s">
        <v>1364</v>
      </c>
      <c r="IK1" s="94" t="s">
        <v>1834</v>
      </c>
      <c r="IL1" s="94" t="s">
        <v>1835</v>
      </c>
      <c r="IM1" s="197" t="s">
        <v>2472</v>
      </c>
      <c r="IN1" s="94" t="s">
        <v>153</v>
      </c>
      <c r="IO1" s="94" t="s">
        <v>100</v>
      </c>
      <c r="IP1" s="94" t="s">
        <v>1836</v>
      </c>
      <c r="IQ1" s="94" t="s">
        <v>1837</v>
      </c>
      <c r="IR1" s="197" t="s">
        <v>2473</v>
      </c>
      <c r="IS1" s="94" t="s">
        <v>1087</v>
      </c>
      <c r="IT1" s="94" t="s">
        <v>1088</v>
      </c>
      <c r="IU1" s="94" t="s">
        <v>1838</v>
      </c>
      <c r="IV1" s="94" t="s">
        <v>1839</v>
      </c>
      <c r="IW1" s="197" t="s">
        <v>2474</v>
      </c>
      <c r="IX1" s="94" t="s">
        <v>1148</v>
      </c>
      <c r="IY1" s="94" t="s">
        <v>1366</v>
      </c>
      <c r="IZ1" s="94" t="s">
        <v>1365</v>
      </c>
      <c r="JA1" s="94" t="s">
        <v>1493</v>
      </c>
      <c r="JB1" s="78" t="s">
        <v>831</v>
      </c>
      <c r="JC1" s="78" t="s">
        <v>708</v>
      </c>
    </row>
    <row r="2" spans="1:263" s="24" customFormat="1" x14ac:dyDescent="0.25">
      <c r="A2" s="24">
        <v>1</v>
      </c>
      <c r="B2" s="42" t="s">
        <v>3783</v>
      </c>
      <c r="C2" s="24" t="s">
        <v>110</v>
      </c>
      <c r="D2" s="24" t="s">
        <v>111</v>
      </c>
      <c r="E2" s="24">
        <v>2000</v>
      </c>
      <c r="G2" s="24" t="s">
        <v>112</v>
      </c>
      <c r="H2" s="24" t="s">
        <v>113</v>
      </c>
      <c r="I2" s="24" t="s">
        <v>2815</v>
      </c>
      <c r="J2" s="24">
        <v>40.71</v>
      </c>
      <c r="K2" s="24">
        <v>-74.010000000000005</v>
      </c>
      <c r="L2" s="24">
        <v>3.5</v>
      </c>
      <c r="R2" s="42"/>
      <c r="S2" s="42"/>
      <c r="T2" s="42"/>
      <c r="U2" s="42"/>
      <c r="V2" s="24" t="s">
        <v>1377</v>
      </c>
      <c r="W2" s="24" t="s">
        <v>1377</v>
      </c>
      <c r="X2" s="24" t="s">
        <v>1377</v>
      </c>
      <c r="Y2" s="24" t="s">
        <v>1377</v>
      </c>
      <c r="AA2" s="321"/>
      <c r="AB2" s="321"/>
      <c r="AC2" s="24" t="s">
        <v>1608</v>
      </c>
      <c r="AH2" s="24" t="s">
        <v>1510</v>
      </c>
      <c r="AI2" s="138" t="s">
        <v>577</v>
      </c>
      <c r="AJ2" s="24" t="s">
        <v>1610</v>
      </c>
      <c r="AK2" s="140" t="s">
        <v>1613</v>
      </c>
      <c r="AW2" s="24" t="s">
        <v>119</v>
      </c>
      <c r="BD2" s="53"/>
      <c r="BP2" s="395"/>
      <c r="BQ2" s="395"/>
      <c r="BU2" s="395"/>
      <c r="BV2" s="395"/>
      <c r="BZ2" s="395"/>
      <c r="CA2" s="395"/>
      <c r="CE2" s="548"/>
      <c r="CF2" s="548"/>
      <c r="CG2" s="548"/>
      <c r="CH2" s="548"/>
      <c r="GA2" s="24">
        <v>6.6</v>
      </c>
      <c r="GB2" s="24">
        <v>7</v>
      </c>
      <c r="GE2" s="24" t="s">
        <v>120</v>
      </c>
      <c r="GZ2" s="12"/>
      <c r="HD2" s="12"/>
      <c r="JB2" s="24" t="s">
        <v>713</v>
      </c>
    </row>
    <row r="3" spans="1:263" s="24" customFormat="1" x14ac:dyDescent="0.25">
      <c r="A3" s="24">
        <v>1</v>
      </c>
      <c r="B3" s="42" t="s">
        <v>3783</v>
      </c>
      <c r="C3" s="24" t="s">
        <v>110</v>
      </c>
      <c r="D3" s="24" t="s">
        <v>111</v>
      </c>
      <c r="E3" s="24">
        <v>2000</v>
      </c>
      <c r="G3" s="24" t="s">
        <v>112</v>
      </c>
      <c r="H3" s="24" t="s">
        <v>113</v>
      </c>
      <c r="I3" s="24" t="s">
        <v>2815</v>
      </c>
      <c r="J3" s="24">
        <v>40.71</v>
      </c>
      <c r="K3" s="24">
        <v>-74.010000000000005</v>
      </c>
      <c r="L3" s="24">
        <v>3.5</v>
      </c>
      <c r="R3" s="42"/>
      <c r="S3" s="42"/>
      <c r="T3" s="42"/>
      <c r="U3" s="42"/>
      <c r="V3" s="24" t="s">
        <v>1377</v>
      </c>
      <c r="W3" s="24" t="s">
        <v>1377</v>
      </c>
      <c r="X3" s="24" t="s">
        <v>1377</v>
      </c>
      <c r="Y3" s="24" t="s">
        <v>1377</v>
      </c>
      <c r="AA3" s="321"/>
      <c r="AB3" s="321"/>
      <c r="AC3" s="24" t="s">
        <v>1608</v>
      </c>
      <c r="AH3" s="24" t="s">
        <v>243</v>
      </c>
      <c r="AI3" s="138" t="s">
        <v>577</v>
      </c>
      <c r="AJ3" s="24" t="s">
        <v>1610</v>
      </c>
      <c r="AK3" s="140" t="s">
        <v>1613</v>
      </c>
      <c r="AW3" s="24" t="s">
        <v>119</v>
      </c>
      <c r="BD3" s="53"/>
      <c r="BP3" s="395"/>
      <c r="BQ3" s="395"/>
      <c r="BU3" s="395"/>
      <c r="BV3" s="395"/>
      <c r="BZ3" s="395"/>
      <c r="CA3" s="395"/>
      <c r="CE3" s="548"/>
      <c r="CF3" s="548"/>
      <c r="CG3" s="548"/>
      <c r="CH3" s="548"/>
      <c r="GA3" s="24">
        <v>6.6</v>
      </c>
      <c r="GB3" s="24">
        <v>6</v>
      </c>
      <c r="GE3" s="24" t="s">
        <v>120</v>
      </c>
      <c r="GZ3" s="12"/>
      <c r="HD3" s="12"/>
      <c r="JB3" s="24" t="s">
        <v>713</v>
      </c>
    </row>
    <row r="4" spans="1:263" s="24" customFormat="1" x14ac:dyDescent="0.25">
      <c r="A4" s="24">
        <v>1</v>
      </c>
      <c r="B4" s="42" t="s">
        <v>3784</v>
      </c>
      <c r="C4" s="24" t="s">
        <v>110</v>
      </c>
      <c r="D4" s="24" t="s">
        <v>111</v>
      </c>
      <c r="E4" s="24">
        <v>2000</v>
      </c>
      <c r="G4" s="24" t="s">
        <v>112</v>
      </c>
      <c r="H4" s="24" t="s">
        <v>113</v>
      </c>
      <c r="I4" s="24" t="s">
        <v>2815</v>
      </c>
      <c r="J4" s="24">
        <v>40.71</v>
      </c>
      <c r="K4" s="24">
        <v>-74.010000000000005</v>
      </c>
      <c r="L4" s="24">
        <v>3.5</v>
      </c>
      <c r="R4" s="42"/>
      <c r="S4" s="42"/>
      <c r="T4" s="42"/>
      <c r="U4" s="42"/>
      <c r="V4" s="24" t="s">
        <v>1377</v>
      </c>
      <c r="W4" s="24" t="s">
        <v>1377</v>
      </c>
      <c r="X4" s="24" t="s">
        <v>1377</v>
      </c>
      <c r="Y4" s="24" t="s">
        <v>1377</v>
      </c>
      <c r="AA4" s="321"/>
      <c r="AB4" s="321"/>
      <c r="AC4" s="24" t="s">
        <v>1608</v>
      </c>
      <c r="AH4" s="24" t="s">
        <v>1511</v>
      </c>
      <c r="AI4" s="138" t="s">
        <v>1129</v>
      </c>
      <c r="AJ4" s="24" t="s">
        <v>1610</v>
      </c>
      <c r="AK4" s="140" t="s">
        <v>1613</v>
      </c>
      <c r="AW4" s="24" t="s">
        <v>119</v>
      </c>
      <c r="BD4" s="53"/>
      <c r="BK4" s="24">
        <v>4862</v>
      </c>
      <c r="BL4" s="24">
        <f>3990</f>
        <v>3990</v>
      </c>
      <c r="BP4" s="395"/>
      <c r="BQ4" s="395"/>
      <c r="BU4" s="395"/>
      <c r="BV4" s="395"/>
      <c r="BZ4" s="395"/>
      <c r="CA4" s="395"/>
      <c r="CE4" s="548"/>
      <c r="CF4" s="548"/>
      <c r="CG4" s="548"/>
      <c r="CH4" s="548"/>
      <c r="GA4" s="24">
        <v>6.6</v>
      </c>
      <c r="GB4" s="24">
        <v>5.9</v>
      </c>
      <c r="GE4" s="24" t="s">
        <v>120</v>
      </c>
      <c r="GZ4" s="12"/>
      <c r="HD4" s="12"/>
      <c r="JB4" s="24" t="s">
        <v>713</v>
      </c>
    </row>
    <row r="5" spans="1:263" s="24" customFormat="1" x14ac:dyDescent="0.25">
      <c r="A5" s="24">
        <v>1</v>
      </c>
      <c r="B5" s="42" t="s">
        <v>3783</v>
      </c>
      <c r="C5" s="24" t="s">
        <v>110</v>
      </c>
      <c r="D5" s="24" t="s">
        <v>111</v>
      </c>
      <c r="E5" s="24">
        <v>2000</v>
      </c>
      <c r="G5" s="24" t="s">
        <v>112</v>
      </c>
      <c r="H5" s="24" t="s">
        <v>113</v>
      </c>
      <c r="I5" s="24" t="s">
        <v>2815</v>
      </c>
      <c r="J5" s="24">
        <v>40.71</v>
      </c>
      <c r="K5" s="24">
        <v>-74.010000000000005</v>
      </c>
      <c r="L5" s="24">
        <v>3.5</v>
      </c>
      <c r="R5" s="42"/>
      <c r="S5" s="42"/>
      <c r="T5" s="42"/>
      <c r="U5" s="42"/>
      <c r="V5" s="24" t="s">
        <v>1377</v>
      </c>
      <c r="W5" s="24" t="s">
        <v>1377</v>
      </c>
      <c r="X5" s="24" t="s">
        <v>1377</v>
      </c>
      <c r="Y5" s="24" t="s">
        <v>1377</v>
      </c>
      <c r="AA5" s="321"/>
      <c r="AB5" s="321"/>
      <c r="AC5" s="24" t="s">
        <v>1608</v>
      </c>
      <c r="AH5" s="24" t="s">
        <v>114</v>
      </c>
      <c r="AI5" s="138" t="s">
        <v>577</v>
      </c>
      <c r="AJ5" s="24" t="s">
        <v>1610</v>
      </c>
      <c r="AK5" s="140" t="s">
        <v>1613</v>
      </c>
      <c r="AW5" s="24" t="s">
        <v>119</v>
      </c>
      <c r="BD5" s="53"/>
      <c r="BP5" s="395"/>
      <c r="BQ5" s="395"/>
      <c r="BU5" s="395"/>
      <c r="BV5" s="395"/>
      <c r="BZ5" s="395"/>
      <c r="CA5" s="395"/>
      <c r="CE5" s="548"/>
      <c r="CF5" s="548"/>
      <c r="CG5" s="548"/>
      <c r="CH5" s="548"/>
      <c r="GA5" s="24">
        <v>6.6</v>
      </c>
      <c r="GB5" s="24">
        <v>5.7</v>
      </c>
      <c r="GE5" s="24" t="s">
        <v>120</v>
      </c>
      <c r="GZ5" s="12"/>
      <c r="HD5" s="12"/>
      <c r="JB5" s="24" t="s">
        <v>713</v>
      </c>
    </row>
    <row r="6" spans="1:263" s="24" customFormat="1" x14ac:dyDescent="0.25">
      <c r="A6" s="24">
        <v>1</v>
      </c>
      <c r="B6" s="42" t="s">
        <v>3785</v>
      </c>
      <c r="C6" s="24" t="s">
        <v>110</v>
      </c>
      <c r="D6" s="24" t="s">
        <v>111</v>
      </c>
      <c r="E6" s="24">
        <v>2000</v>
      </c>
      <c r="G6" s="24" t="s">
        <v>112</v>
      </c>
      <c r="H6" s="24" t="s">
        <v>113</v>
      </c>
      <c r="I6" s="24" t="s">
        <v>2815</v>
      </c>
      <c r="J6" s="24">
        <v>40.71</v>
      </c>
      <c r="K6" s="24">
        <v>-74.010000000000005</v>
      </c>
      <c r="L6" s="24">
        <v>3.5</v>
      </c>
      <c r="R6" s="42"/>
      <c r="S6" s="42"/>
      <c r="T6" s="42"/>
      <c r="U6" s="42"/>
      <c r="V6" s="24" t="s">
        <v>1377</v>
      </c>
      <c r="W6" s="24" t="s">
        <v>1377</v>
      </c>
      <c r="X6" s="24" t="s">
        <v>1377</v>
      </c>
      <c r="Y6" s="24" t="s">
        <v>1377</v>
      </c>
      <c r="AA6" s="321"/>
      <c r="AB6" s="321"/>
      <c r="AC6" s="24" t="s">
        <v>1608</v>
      </c>
      <c r="AH6" s="24" t="s">
        <v>115</v>
      </c>
      <c r="AI6" s="138" t="s">
        <v>131</v>
      </c>
      <c r="AJ6" s="24" t="s">
        <v>1610</v>
      </c>
      <c r="AK6" s="140" t="s">
        <v>1613</v>
      </c>
      <c r="AW6" s="24" t="s">
        <v>119</v>
      </c>
      <c r="BD6" s="53"/>
      <c r="BP6" s="395"/>
      <c r="BQ6" s="395"/>
      <c r="BU6" s="395"/>
      <c r="BV6" s="395"/>
      <c r="BZ6" s="395"/>
      <c r="CA6" s="395"/>
      <c r="CE6" s="548"/>
      <c r="CF6" s="548"/>
      <c r="CG6" s="548"/>
      <c r="CH6" s="548"/>
      <c r="GA6" s="24">
        <v>6.6</v>
      </c>
      <c r="GB6" s="24">
        <v>5.6</v>
      </c>
      <c r="GE6" s="24" t="s">
        <v>120</v>
      </c>
      <c r="GZ6" s="12"/>
      <c r="HD6" s="12"/>
      <c r="JB6" s="24" t="s">
        <v>713</v>
      </c>
    </row>
    <row r="7" spans="1:263" s="24" customFormat="1" x14ac:dyDescent="0.25">
      <c r="A7" s="24">
        <v>1</v>
      </c>
      <c r="B7" s="42" t="s">
        <v>3785</v>
      </c>
      <c r="C7" s="24" t="s">
        <v>110</v>
      </c>
      <c r="D7" s="24" t="s">
        <v>111</v>
      </c>
      <c r="E7" s="24">
        <v>2000</v>
      </c>
      <c r="G7" s="24" t="s">
        <v>112</v>
      </c>
      <c r="H7" s="24" t="s">
        <v>113</v>
      </c>
      <c r="I7" s="24" t="s">
        <v>2815</v>
      </c>
      <c r="J7" s="24">
        <v>40.71</v>
      </c>
      <c r="K7" s="24">
        <v>-74.010000000000005</v>
      </c>
      <c r="L7" s="24">
        <v>3.5</v>
      </c>
      <c r="R7" s="42"/>
      <c r="S7" s="42"/>
      <c r="T7" s="42"/>
      <c r="U7" s="42"/>
      <c r="V7" s="24" t="s">
        <v>1377</v>
      </c>
      <c r="W7" s="24" t="s">
        <v>1377</v>
      </c>
      <c r="X7" s="24" t="s">
        <v>1377</v>
      </c>
      <c r="Y7" s="24" t="s">
        <v>1377</v>
      </c>
      <c r="AA7" s="321"/>
      <c r="AB7" s="321"/>
      <c r="AC7" s="24" t="s">
        <v>1608</v>
      </c>
      <c r="AH7" s="24" t="s">
        <v>520</v>
      </c>
      <c r="AI7" s="138" t="s">
        <v>1581</v>
      </c>
      <c r="AJ7" s="24" t="s">
        <v>1610</v>
      </c>
      <c r="AK7" s="140" t="s">
        <v>1613</v>
      </c>
      <c r="AW7" s="24" t="s">
        <v>119</v>
      </c>
      <c r="BD7" s="53"/>
      <c r="BP7" s="395"/>
      <c r="BQ7" s="395"/>
      <c r="BU7" s="395"/>
      <c r="BV7" s="395"/>
      <c r="BZ7" s="395"/>
      <c r="CA7" s="395"/>
      <c r="CE7" s="548"/>
      <c r="CF7" s="548"/>
      <c r="CG7" s="548"/>
      <c r="CH7" s="548"/>
      <c r="GA7" s="24">
        <v>6.6</v>
      </c>
      <c r="GB7" s="24">
        <v>5.2</v>
      </c>
      <c r="GE7" s="24" t="s">
        <v>120</v>
      </c>
      <c r="GZ7" s="12"/>
      <c r="HD7" s="12"/>
      <c r="JB7" s="24" t="s">
        <v>713</v>
      </c>
    </row>
    <row r="8" spans="1:263" s="24" customFormat="1" x14ac:dyDescent="0.25">
      <c r="A8" s="24">
        <v>1</v>
      </c>
      <c r="B8" s="42" t="s">
        <v>3785</v>
      </c>
      <c r="C8" s="24" t="s">
        <v>110</v>
      </c>
      <c r="D8" s="24" t="s">
        <v>111</v>
      </c>
      <c r="E8" s="24">
        <v>2000</v>
      </c>
      <c r="G8" s="24" t="s">
        <v>112</v>
      </c>
      <c r="H8" s="24" t="s">
        <v>113</v>
      </c>
      <c r="I8" s="24" t="s">
        <v>2815</v>
      </c>
      <c r="J8" s="24">
        <v>40.71</v>
      </c>
      <c r="K8" s="24">
        <v>-74.010000000000005</v>
      </c>
      <c r="L8" s="24">
        <v>3.5</v>
      </c>
      <c r="R8" s="42"/>
      <c r="S8" s="42"/>
      <c r="T8" s="42"/>
      <c r="U8" s="42"/>
      <c r="V8" s="24" t="s">
        <v>1377</v>
      </c>
      <c r="W8" s="24" t="s">
        <v>1377</v>
      </c>
      <c r="X8" s="24" t="s">
        <v>1377</v>
      </c>
      <c r="Y8" s="24" t="s">
        <v>1377</v>
      </c>
      <c r="AA8" s="321"/>
      <c r="AB8" s="321"/>
      <c r="AC8" s="24" t="s">
        <v>1608</v>
      </c>
      <c r="AH8" s="24" t="s">
        <v>1512</v>
      </c>
      <c r="AI8" s="138" t="s">
        <v>1581</v>
      </c>
      <c r="AJ8" s="24" t="s">
        <v>1610</v>
      </c>
      <c r="AK8" s="140" t="s">
        <v>1613</v>
      </c>
      <c r="AW8" s="24" t="s">
        <v>119</v>
      </c>
      <c r="BD8" s="53"/>
      <c r="BP8" s="395"/>
      <c r="BQ8" s="395"/>
      <c r="BU8" s="395"/>
      <c r="BV8" s="395"/>
      <c r="BZ8" s="395"/>
      <c r="CA8" s="395"/>
      <c r="CE8" s="548"/>
      <c r="CF8" s="548"/>
      <c r="CG8" s="548"/>
      <c r="CH8" s="548"/>
      <c r="GA8" s="24">
        <v>6.6</v>
      </c>
      <c r="GB8" s="24">
        <v>4.9000000000000004</v>
      </c>
      <c r="GE8" s="24" t="s">
        <v>120</v>
      </c>
      <c r="GZ8" s="12"/>
      <c r="HD8" s="12"/>
      <c r="JB8" s="24" t="s">
        <v>713</v>
      </c>
    </row>
    <row r="9" spans="1:263" s="24" customFormat="1" x14ac:dyDescent="0.25">
      <c r="A9" s="24">
        <v>1</v>
      </c>
      <c r="B9" s="42" t="s">
        <v>3785</v>
      </c>
      <c r="C9" s="24" t="s">
        <v>110</v>
      </c>
      <c r="D9" s="24" t="s">
        <v>111</v>
      </c>
      <c r="E9" s="24">
        <v>2000</v>
      </c>
      <c r="G9" s="24" t="s">
        <v>112</v>
      </c>
      <c r="H9" s="24" t="s">
        <v>113</v>
      </c>
      <c r="I9" s="24" t="s">
        <v>2815</v>
      </c>
      <c r="J9" s="24">
        <v>40.71</v>
      </c>
      <c r="K9" s="24">
        <v>-74.010000000000005</v>
      </c>
      <c r="L9" s="24">
        <v>3.5</v>
      </c>
      <c r="R9" s="42"/>
      <c r="S9" s="42"/>
      <c r="T9" s="42"/>
      <c r="U9" s="42"/>
      <c r="V9" s="24" t="s">
        <v>1377</v>
      </c>
      <c r="W9" s="24" t="s">
        <v>1377</v>
      </c>
      <c r="X9" s="24" t="s">
        <v>1377</v>
      </c>
      <c r="Y9" s="24" t="s">
        <v>1377</v>
      </c>
      <c r="AA9" s="321"/>
      <c r="AB9" s="321"/>
      <c r="AC9" s="24" t="s">
        <v>1608</v>
      </c>
      <c r="AH9" s="24" t="s">
        <v>1513</v>
      </c>
      <c r="AI9" s="138" t="s">
        <v>131</v>
      </c>
      <c r="AJ9" s="24" t="s">
        <v>1610</v>
      </c>
      <c r="AK9" s="140" t="s">
        <v>1613</v>
      </c>
      <c r="AW9" s="24" t="s">
        <v>119</v>
      </c>
      <c r="BD9" s="53"/>
      <c r="BK9" s="24">
        <v>4862</v>
      </c>
      <c r="BL9" s="24">
        <v>5240</v>
      </c>
      <c r="BP9" s="395"/>
      <c r="BQ9" s="395"/>
      <c r="BU9" s="395"/>
      <c r="BV9" s="395"/>
      <c r="BZ9" s="395"/>
      <c r="CA9" s="395"/>
      <c r="CE9" s="548"/>
      <c r="CF9" s="548"/>
      <c r="CG9" s="548"/>
      <c r="CH9" s="548"/>
      <c r="GA9" s="24">
        <v>6.6</v>
      </c>
      <c r="GB9" s="24">
        <v>4.7</v>
      </c>
      <c r="GE9" s="24" t="s">
        <v>120</v>
      </c>
      <c r="GZ9" s="12"/>
      <c r="HD9" s="12"/>
      <c r="JB9" s="24" t="s">
        <v>713</v>
      </c>
    </row>
    <row r="10" spans="1:263" s="24" customFormat="1" x14ac:dyDescent="0.25">
      <c r="A10" s="24">
        <v>1</v>
      </c>
      <c r="B10" s="42" t="s">
        <v>3785</v>
      </c>
      <c r="C10" s="24" t="s">
        <v>110</v>
      </c>
      <c r="D10" s="24" t="s">
        <v>111</v>
      </c>
      <c r="E10" s="24">
        <v>2000</v>
      </c>
      <c r="G10" s="24" t="s">
        <v>112</v>
      </c>
      <c r="H10" s="24" t="s">
        <v>113</v>
      </c>
      <c r="I10" s="24" t="s">
        <v>2815</v>
      </c>
      <c r="J10" s="24">
        <v>40.71</v>
      </c>
      <c r="K10" s="24">
        <v>-74.010000000000005</v>
      </c>
      <c r="L10" s="24">
        <v>3.5</v>
      </c>
      <c r="R10" s="42"/>
      <c r="S10" s="42"/>
      <c r="T10" s="42"/>
      <c r="U10" s="42"/>
      <c r="V10" s="24" t="s">
        <v>1377</v>
      </c>
      <c r="W10" s="24" t="s">
        <v>1377</v>
      </c>
      <c r="X10" s="24" t="s">
        <v>1377</v>
      </c>
      <c r="Y10" s="24" t="s">
        <v>1377</v>
      </c>
      <c r="AA10" s="321"/>
      <c r="AB10" s="321"/>
      <c r="AC10" s="24" t="s">
        <v>1608</v>
      </c>
      <c r="AH10" s="24" t="s">
        <v>116</v>
      </c>
      <c r="AI10" s="138" t="s">
        <v>1581</v>
      </c>
      <c r="AJ10" s="24" t="s">
        <v>1610</v>
      </c>
      <c r="AK10" s="140" t="s">
        <v>1613</v>
      </c>
      <c r="AW10" s="24" t="s">
        <v>119</v>
      </c>
      <c r="BD10" s="53"/>
      <c r="BP10" s="395"/>
      <c r="BQ10" s="395"/>
      <c r="BU10" s="395"/>
      <c r="BV10" s="395"/>
      <c r="BZ10" s="395"/>
      <c r="CA10" s="395"/>
      <c r="CE10" s="548"/>
      <c r="CF10" s="548"/>
      <c r="CG10" s="548"/>
      <c r="CH10" s="548"/>
      <c r="GA10" s="24">
        <v>6.6</v>
      </c>
      <c r="GB10" s="24">
        <v>4.5999999999999996</v>
      </c>
      <c r="GE10" s="24" t="s">
        <v>120</v>
      </c>
      <c r="GZ10" s="12"/>
      <c r="HD10" s="12"/>
      <c r="JB10" s="24" t="s">
        <v>713</v>
      </c>
    </row>
    <row r="11" spans="1:263" s="24" customFormat="1" x14ac:dyDescent="0.25">
      <c r="A11" s="24">
        <v>1</v>
      </c>
      <c r="B11" s="42" t="s">
        <v>3783</v>
      </c>
      <c r="C11" s="24" t="s">
        <v>110</v>
      </c>
      <c r="D11" s="24" t="s">
        <v>111</v>
      </c>
      <c r="E11" s="24">
        <v>2000</v>
      </c>
      <c r="G11" s="24" t="s">
        <v>112</v>
      </c>
      <c r="H11" s="24" t="s">
        <v>113</v>
      </c>
      <c r="I11" s="24" t="s">
        <v>2815</v>
      </c>
      <c r="J11" s="24">
        <v>40.71</v>
      </c>
      <c r="K11" s="24">
        <v>-74.010000000000005</v>
      </c>
      <c r="L11" s="24">
        <v>3.5</v>
      </c>
      <c r="R11" s="42"/>
      <c r="S11" s="42"/>
      <c r="T11" s="42"/>
      <c r="U11" s="42"/>
      <c r="V11" s="24" t="s">
        <v>1377</v>
      </c>
      <c r="W11" s="24" t="s">
        <v>1377</v>
      </c>
      <c r="X11" s="24" t="s">
        <v>1377</v>
      </c>
      <c r="Y11" s="24" t="s">
        <v>1377</v>
      </c>
      <c r="AA11" s="321"/>
      <c r="AB11" s="321"/>
      <c r="AC11" s="24" t="s">
        <v>1608</v>
      </c>
      <c r="AH11" s="24" t="s">
        <v>1514</v>
      </c>
      <c r="AI11" s="138" t="s">
        <v>577</v>
      </c>
      <c r="AJ11" s="24" t="s">
        <v>1610</v>
      </c>
      <c r="AK11" s="140" t="s">
        <v>1613</v>
      </c>
      <c r="AW11" s="24" t="s">
        <v>119</v>
      </c>
      <c r="BD11" s="53"/>
      <c r="BP11" s="395"/>
      <c r="BQ11" s="395"/>
      <c r="BU11" s="395"/>
      <c r="BV11" s="395"/>
      <c r="BZ11" s="395"/>
      <c r="CA11" s="395"/>
      <c r="CE11" s="548"/>
      <c r="CF11" s="548"/>
      <c r="CG11" s="548"/>
      <c r="CH11" s="548"/>
      <c r="GA11" s="24">
        <v>6.6</v>
      </c>
      <c r="GB11" s="24">
        <v>4.3</v>
      </c>
      <c r="GE11" s="24" t="s">
        <v>120</v>
      </c>
      <c r="GZ11" s="12"/>
      <c r="HD11" s="12"/>
      <c r="JB11" s="24" t="s">
        <v>713</v>
      </c>
    </row>
    <row r="12" spans="1:263" s="24" customFormat="1" x14ac:dyDescent="0.25">
      <c r="A12" s="24">
        <v>1</v>
      </c>
      <c r="B12" s="42" t="s">
        <v>3784</v>
      </c>
      <c r="C12" s="24" t="s">
        <v>110</v>
      </c>
      <c r="D12" s="24" t="s">
        <v>111</v>
      </c>
      <c r="E12" s="24">
        <v>2000</v>
      </c>
      <c r="G12" s="24" t="s">
        <v>112</v>
      </c>
      <c r="H12" s="24" t="s">
        <v>113</v>
      </c>
      <c r="I12" s="24" t="s">
        <v>2815</v>
      </c>
      <c r="J12" s="24">
        <v>40.71</v>
      </c>
      <c r="K12" s="24">
        <v>-74.010000000000005</v>
      </c>
      <c r="L12" s="24">
        <v>3.5</v>
      </c>
      <c r="R12" s="42"/>
      <c r="S12" s="42"/>
      <c r="T12" s="42"/>
      <c r="U12" s="42"/>
      <c r="V12" s="24" t="s">
        <v>1377</v>
      </c>
      <c r="W12" s="24" t="s">
        <v>1377</v>
      </c>
      <c r="X12" s="24" t="s">
        <v>1377</v>
      </c>
      <c r="Y12" s="24" t="s">
        <v>1377</v>
      </c>
      <c r="AA12" s="321"/>
      <c r="AB12" s="321"/>
      <c r="AC12" s="24" t="s">
        <v>1608</v>
      </c>
      <c r="AH12" s="24" t="s">
        <v>117</v>
      </c>
      <c r="AI12" s="138" t="s">
        <v>1129</v>
      </c>
      <c r="AJ12" s="24" t="s">
        <v>1610</v>
      </c>
      <c r="AK12" s="140" t="s">
        <v>1613</v>
      </c>
      <c r="AW12" s="24" t="s">
        <v>119</v>
      </c>
      <c r="BD12" s="53"/>
      <c r="BP12" s="395"/>
      <c r="BQ12" s="395"/>
      <c r="BU12" s="395"/>
      <c r="BV12" s="395"/>
      <c r="BZ12" s="395"/>
      <c r="CA12" s="395"/>
      <c r="CE12" s="548"/>
      <c r="CF12" s="548"/>
      <c r="CG12" s="548"/>
      <c r="CH12" s="548"/>
      <c r="GA12" s="24">
        <v>6.6</v>
      </c>
      <c r="GB12" s="24">
        <v>3.9</v>
      </c>
      <c r="GE12" s="24" t="s">
        <v>120</v>
      </c>
      <c r="GZ12" s="12"/>
      <c r="HD12" s="12"/>
      <c r="JB12" s="24" t="s">
        <v>713</v>
      </c>
    </row>
    <row r="13" spans="1:263" s="21" customFormat="1" x14ac:dyDescent="0.25">
      <c r="A13" s="21">
        <v>2</v>
      </c>
      <c r="B13" s="43" t="s">
        <v>3786</v>
      </c>
      <c r="C13" s="21" t="s">
        <v>125</v>
      </c>
      <c r="D13" s="21" t="s">
        <v>126</v>
      </c>
      <c r="E13" s="21">
        <v>1999</v>
      </c>
      <c r="F13" s="21">
        <v>1994</v>
      </c>
      <c r="G13" s="21" t="s">
        <v>127</v>
      </c>
      <c r="H13" s="21" t="s">
        <v>128</v>
      </c>
      <c r="I13" s="21" t="s">
        <v>2815</v>
      </c>
      <c r="J13" s="21">
        <v>45.231000000000002</v>
      </c>
      <c r="K13" s="21">
        <v>-122.756</v>
      </c>
      <c r="L13" s="21">
        <v>48.4</v>
      </c>
      <c r="P13" s="21">
        <v>1040</v>
      </c>
      <c r="Q13" s="21" t="s">
        <v>133</v>
      </c>
      <c r="R13" s="43">
        <v>6</v>
      </c>
      <c r="S13" s="43" t="s">
        <v>1843</v>
      </c>
      <c r="T13" s="43"/>
      <c r="U13" s="43" t="s">
        <v>1844</v>
      </c>
      <c r="V13" s="43" t="s">
        <v>1379</v>
      </c>
      <c r="W13" s="43" t="s">
        <v>1715</v>
      </c>
      <c r="X13" s="43" t="s">
        <v>1379</v>
      </c>
      <c r="Y13" s="43" t="s">
        <v>1379</v>
      </c>
      <c r="AA13" s="322">
        <v>31.3</v>
      </c>
      <c r="AB13" s="322">
        <v>54</v>
      </c>
      <c r="AC13" s="21" t="s">
        <v>450</v>
      </c>
      <c r="AG13" s="21" t="s">
        <v>1305</v>
      </c>
      <c r="AH13" s="21" t="s">
        <v>131</v>
      </c>
      <c r="AI13" s="138" t="s">
        <v>131</v>
      </c>
      <c r="AJ13" s="21" t="s">
        <v>1609</v>
      </c>
      <c r="AK13" s="141" t="s">
        <v>1613</v>
      </c>
      <c r="AL13" s="21" t="s">
        <v>130</v>
      </c>
      <c r="AM13" s="21" t="s">
        <v>130</v>
      </c>
      <c r="AN13" s="21" t="s">
        <v>177</v>
      </c>
      <c r="AT13" s="21" t="s">
        <v>612</v>
      </c>
      <c r="AU13" s="21" t="s">
        <v>612</v>
      </c>
      <c r="AW13" s="21" t="s">
        <v>119</v>
      </c>
      <c r="AX13" s="21">
        <v>2</v>
      </c>
      <c r="AZ13" s="21" t="s">
        <v>141</v>
      </c>
      <c r="BD13" s="54"/>
      <c r="BP13" s="396"/>
      <c r="BQ13" s="396"/>
      <c r="BU13" s="396">
        <v>3.93</v>
      </c>
      <c r="BV13" s="396">
        <v>3.43</v>
      </c>
      <c r="BY13" s="21" t="s">
        <v>154</v>
      </c>
      <c r="BZ13" s="396"/>
      <c r="CA13" s="396"/>
      <c r="CE13" s="549">
        <v>3.93</v>
      </c>
      <c r="CF13" s="549">
        <v>3.43</v>
      </c>
      <c r="CG13" s="549"/>
      <c r="CH13" s="549"/>
      <c r="CI13" s="21" t="s">
        <v>4541</v>
      </c>
      <c r="CJ13" s="21">
        <v>971</v>
      </c>
      <c r="CK13" s="21">
        <v>947</v>
      </c>
      <c r="CN13" s="21" t="s">
        <v>234</v>
      </c>
      <c r="CY13" s="21">
        <v>5.75</v>
      </c>
      <c r="CZ13" s="21">
        <v>5.83</v>
      </c>
      <c r="DD13" s="21">
        <v>15.6</v>
      </c>
      <c r="DE13" s="21">
        <v>15.2</v>
      </c>
      <c r="GZ13" s="12"/>
      <c r="HD13" s="12"/>
      <c r="IN13" s="21">
        <v>140</v>
      </c>
      <c r="IO13" s="21">
        <v>177</v>
      </c>
    </row>
    <row r="14" spans="1:263" s="21" customFormat="1" x14ac:dyDescent="0.25">
      <c r="A14" s="21">
        <v>2</v>
      </c>
      <c r="B14" s="43" t="s">
        <v>3787</v>
      </c>
      <c r="C14" s="21" t="s">
        <v>125</v>
      </c>
      <c r="D14" s="21" t="s">
        <v>126</v>
      </c>
      <c r="E14" s="21">
        <v>1999</v>
      </c>
      <c r="F14" s="21">
        <v>1994</v>
      </c>
      <c r="G14" s="21" t="s">
        <v>127</v>
      </c>
      <c r="H14" s="21" t="s">
        <v>128</v>
      </c>
      <c r="I14" s="21" t="s">
        <v>2815</v>
      </c>
      <c r="J14" s="21">
        <v>45.231000000000002</v>
      </c>
      <c r="K14" s="21">
        <v>-122.756</v>
      </c>
      <c r="L14" s="21">
        <v>48.4</v>
      </c>
      <c r="P14" s="21">
        <v>1040</v>
      </c>
      <c r="Q14" s="21" t="s">
        <v>133</v>
      </c>
      <c r="R14" s="43">
        <v>6</v>
      </c>
      <c r="S14" s="43" t="s">
        <v>1843</v>
      </c>
      <c r="T14" s="43"/>
      <c r="U14" s="43" t="s">
        <v>1844</v>
      </c>
      <c r="V14" s="43" t="s">
        <v>1379</v>
      </c>
      <c r="W14" s="43" t="s">
        <v>1715</v>
      </c>
      <c r="X14" s="43" t="s">
        <v>1379</v>
      </c>
      <c r="Y14" s="43" t="s">
        <v>1379</v>
      </c>
      <c r="AA14" s="322">
        <v>31.3</v>
      </c>
      <c r="AB14" s="322">
        <v>54</v>
      </c>
      <c r="AC14" s="21" t="s">
        <v>450</v>
      </c>
      <c r="AG14" s="21" t="s">
        <v>1305</v>
      </c>
      <c r="AH14" s="21" t="s">
        <v>1515</v>
      </c>
      <c r="AI14" s="138" t="s">
        <v>577</v>
      </c>
      <c r="AJ14" s="21" t="s">
        <v>1609</v>
      </c>
      <c r="AK14" s="141" t="s">
        <v>1613</v>
      </c>
      <c r="AL14" s="21" t="s">
        <v>130</v>
      </c>
      <c r="AM14" s="21" t="s">
        <v>130</v>
      </c>
      <c r="AN14" s="21" t="s">
        <v>177</v>
      </c>
      <c r="AT14" s="21" t="s">
        <v>612</v>
      </c>
      <c r="AU14" s="21" t="s">
        <v>612</v>
      </c>
      <c r="AW14" s="21" t="s">
        <v>119</v>
      </c>
      <c r="AX14" s="21">
        <v>2</v>
      </c>
      <c r="AZ14" s="21" t="s">
        <v>141</v>
      </c>
      <c r="BD14" s="54"/>
      <c r="BP14" s="396"/>
      <c r="BQ14" s="396"/>
      <c r="BU14" s="396">
        <v>3.93</v>
      </c>
      <c r="BV14" s="396">
        <v>4.13</v>
      </c>
      <c r="BY14" s="21" t="s">
        <v>154</v>
      </c>
      <c r="BZ14" s="396"/>
      <c r="CA14" s="396"/>
      <c r="CE14" s="549">
        <v>3.93</v>
      </c>
      <c r="CF14" s="549">
        <v>4.13</v>
      </c>
      <c r="CG14" s="549"/>
      <c r="CH14" s="549"/>
      <c r="CI14" s="21" t="s">
        <v>4541</v>
      </c>
      <c r="CJ14" s="21">
        <v>971</v>
      </c>
      <c r="CK14" s="21">
        <v>1120</v>
      </c>
      <c r="CN14" s="21" t="s">
        <v>234</v>
      </c>
      <c r="CY14" s="21">
        <v>5.75</v>
      </c>
      <c r="CZ14" s="21">
        <v>5.9</v>
      </c>
      <c r="DD14" s="21">
        <v>15.6</v>
      </c>
      <c r="DE14" s="21">
        <v>15</v>
      </c>
      <c r="GZ14" s="12"/>
      <c r="HD14" s="12"/>
      <c r="IN14" s="21">
        <v>140</v>
      </c>
      <c r="IO14" s="21">
        <v>158</v>
      </c>
    </row>
    <row r="15" spans="1:263" s="32" customFormat="1" x14ac:dyDescent="0.25">
      <c r="A15" s="32">
        <v>3</v>
      </c>
      <c r="B15" s="44" t="s">
        <v>3788</v>
      </c>
      <c r="C15" s="32" t="s">
        <v>135</v>
      </c>
      <c r="D15" s="32" t="s">
        <v>136</v>
      </c>
      <c r="E15" s="32">
        <v>2008</v>
      </c>
      <c r="F15" s="32">
        <v>2003</v>
      </c>
      <c r="G15" s="32" t="s">
        <v>137</v>
      </c>
      <c r="H15" s="32" t="s">
        <v>138</v>
      </c>
      <c r="I15" s="32" t="s">
        <v>2816</v>
      </c>
      <c r="J15" s="32">
        <v>49.69</v>
      </c>
      <c r="K15" s="32">
        <v>-112.84</v>
      </c>
      <c r="L15" s="32">
        <v>901</v>
      </c>
      <c r="R15" s="44">
        <v>1</v>
      </c>
      <c r="S15" s="44" t="s">
        <v>1728</v>
      </c>
      <c r="T15" s="44"/>
      <c r="U15" s="44" t="s">
        <v>1845</v>
      </c>
      <c r="V15" s="44" t="s">
        <v>1377</v>
      </c>
      <c r="W15" s="44" t="s">
        <v>1377</v>
      </c>
      <c r="X15" s="44" t="s">
        <v>1377</v>
      </c>
      <c r="Y15" s="44" t="s">
        <v>1377</v>
      </c>
      <c r="AA15" s="323">
        <v>37</v>
      </c>
      <c r="AB15" s="323">
        <v>30</v>
      </c>
      <c r="AC15" s="32" t="s">
        <v>139</v>
      </c>
      <c r="AG15" s="32" t="s">
        <v>1307</v>
      </c>
      <c r="AH15" s="32" t="s">
        <v>1561</v>
      </c>
      <c r="AI15" s="138" t="s">
        <v>131</v>
      </c>
      <c r="AJ15" s="32" t="s">
        <v>1595</v>
      </c>
      <c r="AK15" s="140" t="s">
        <v>229</v>
      </c>
      <c r="AW15" s="32" t="s">
        <v>119</v>
      </c>
      <c r="AX15" s="32">
        <v>4</v>
      </c>
      <c r="AZ15" s="32" t="s">
        <v>141</v>
      </c>
      <c r="BA15" s="32">
        <v>5520</v>
      </c>
      <c r="BD15" s="53"/>
      <c r="BE15" s="32" t="s">
        <v>143</v>
      </c>
      <c r="BK15" s="32">
        <v>16400</v>
      </c>
      <c r="BL15" s="32">
        <v>23300</v>
      </c>
      <c r="BP15" s="397"/>
      <c r="BQ15" s="397"/>
      <c r="BU15" s="397"/>
      <c r="BV15" s="397"/>
      <c r="BZ15" s="397"/>
      <c r="CA15" s="397"/>
      <c r="CE15" s="550"/>
      <c r="CF15" s="550"/>
      <c r="CG15" s="550"/>
      <c r="CH15" s="550"/>
      <c r="FV15" s="32">
        <v>17250</v>
      </c>
      <c r="FW15" s="32">
        <v>7310</v>
      </c>
      <c r="GZ15" s="12"/>
      <c r="HD15" s="12"/>
    </row>
    <row r="16" spans="1:263" s="32" customFormat="1" x14ac:dyDescent="0.25">
      <c r="A16" s="32">
        <v>3</v>
      </c>
      <c r="B16" s="44" t="s">
        <v>3789</v>
      </c>
      <c r="C16" s="32" t="s">
        <v>135</v>
      </c>
      <c r="D16" s="32" t="s">
        <v>136</v>
      </c>
      <c r="E16" s="32">
        <v>2008</v>
      </c>
      <c r="F16" s="32">
        <v>2003</v>
      </c>
      <c r="G16" s="32" t="s">
        <v>137</v>
      </c>
      <c r="H16" s="32" t="s">
        <v>138</v>
      </c>
      <c r="I16" s="32" t="s">
        <v>2816</v>
      </c>
      <c r="J16" s="32">
        <v>49.69</v>
      </c>
      <c r="K16" s="32">
        <v>-112.84</v>
      </c>
      <c r="L16" s="32">
        <v>901</v>
      </c>
      <c r="R16" s="44">
        <v>1</v>
      </c>
      <c r="S16" s="44" t="s">
        <v>1728</v>
      </c>
      <c r="T16" s="44"/>
      <c r="U16" s="44" t="s">
        <v>1845</v>
      </c>
      <c r="V16" s="44" t="s">
        <v>1377</v>
      </c>
      <c r="W16" s="44" t="s">
        <v>1377</v>
      </c>
      <c r="X16" s="44" t="s">
        <v>1377</v>
      </c>
      <c r="Y16" s="44" t="s">
        <v>1377</v>
      </c>
      <c r="AA16" s="323">
        <v>37</v>
      </c>
      <c r="AB16" s="323">
        <v>30</v>
      </c>
      <c r="AC16" s="32" t="s">
        <v>139</v>
      </c>
      <c r="AG16" s="32" t="s">
        <v>1307</v>
      </c>
      <c r="AH16" s="32" t="s">
        <v>1570</v>
      </c>
      <c r="AI16" s="138" t="s">
        <v>1581</v>
      </c>
      <c r="AJ16" s="32" t="s">
        <v>1595</v>
      </c>
      <c r="AK16" s="140" t="s">
        <v>229</v>
      </c>
      <c r="AW16" s="32" t="s">
        <v>119</v>
      </c>
      <c r="AX16" s="32">
        <v>4</v>
      </c>
      <c r="AZ16" s="32" t="s">
        <v>141</v>
      </c>
      <c r="BA16" s="32">
        <v>1320</v>
      </c>
      <c r="BD16" s="53"/>
      <c r="BE16" s="32" t="s">
        <v>143</v>
      </c>
      <c r="BK16" s="32">
        <v>16400</v>
      </c>
      <c r="BL16" s="32">
        <v>19800</v>
      </c>
      <c r="BP16" s="397"/>
      <c r="BQ16" s="397"/>
      <c r="BU16" s="397"/>
      <c r="BV16" s="397"/>
      <c r="BZ16" s="397"/>
      <c r="CA16" s="397"/>
      <c r="CE16" s="550"/>
      <c r="CF16" s="550"/>
      <c r="CG16" s="550"/>
      <c r="CH16" s="550"/>
      <c r="FV16" s="32">
        <v>17250</v>
      </c>
      <c r="FW16" s="32">
        <v>12510</v>
      </c>
      <c r="GZ16" s="12"/>
      <c r="HD16" s="12"/>
    </row>
    <row r="17" spans="1:212" s="32" customFormat="1" x14ac:dyDescent="0.25">
      <c r="A17" s="32">
        <v>3</v>
      </c>
      <c r="B17" s="44" t="s">
        <v>3789</v>
      </c>
      <c r="C17" s="32" t="s">
        <v>135</v>
      </c>
      <c r="D17" s="32" t="s">
        <v>136</v>
      </c>
      <c r="E17" s="32">
        <v>2008</v>
      </c>
      <c r="F17" s="32">
        <v>2003</v>
      </c>
      <c r="G17" s="32" t="s">
        <v>137</v>
      </c>
      <c r="H17" s="32" t="s">
        <v>138</v>
      </c>
      <c r="I17" s="32" t="s">
        <v>2816</v>
      </c>
      <c r="J17" s="32">
        <v>49.69</v>
      </c>
      <c r="K17" s="32">
        <v>-112.84</v>
      </c>
      <c r="L17" s="32">
        <v>901</v>
      </c>
      <c r="R17" s="44">
        <v>1</v>
      </c>
      <c r="S17" s="44" t="s">
        <v>1728</v>
      </c>
      <c r="T17" s="44"/>
      <c r="U17" s="44" t="s">
        <v>1845</v>
      </c>
      <c r="V17" s="44" t="s">
        <v>1377</v>
      </c>
      <c r="W17" s="44" t="s">
        <v>1377</v>
      </c>
      <c r="X17" s="44" t="s">
        <v>1377</v>
      </c>
      <c r="Y17" s="44" t="s">
        <v>1377</v>
      </c>
      <c r="AA17" s="323">
        <v>37</v>
      </c>
      <c r="AB17" s="323">
        <v>30</v>
      </c>
      <c r="AC17" s="32" t="s">
        <v>139</v>
      </c>
      <c r="AG17" s="32" t="s">
        <v>1307</v>
      </c>
      <c r="AH17" s="32" t="s">
        <v>1571</v>
      </c>
      <c r="AI17" s="138" t="s">
        <v>1581</v>
      </c>
      <c r="AJ17" s="32" t="s">
        <v>1595</v>
      </c>
      <c r="AK17" s="140" t="s">
        <v>229</v>
      </c>
      <c r="AW17" s="32" t="s">
        <v>119</v>
      </c>
      <c r="AX17" s="32">
        <v>4</v>
      </c>
      <c r="AZ17" s="32" t="s">
        <v>141</v>
      </c>
      <c r="BA17" s="32">
        <v>1170</v>
      </c>
      <c r="BD17" s="53"/>
      <c r="BE17" s="32" t="s">
        <v>143</v>
      </c>
      <c r="BK17" s="32">
        <v>16400</v>
      </c>
      <c r="BL17" s="32">
        <v>19600</v>
      </c>
      <c r="BP17" s="397"/>
      <c r="BQ17" s="397"/>
      <c r="BU17" s="397"/>
      <c r="BV17" s="397"/>
      <c r="BZ17" s="397"/>
      <c r="CA17" s="397"/>
      <c r="CE17" s="550"/>
      <c r="CF17" s="550"/>
      <c r="CG17" s="550"/>
      <c r="CH17" s="550"/>
      <c r="FV17" s="32">
        <v>17250</v>
      </c>
      <c r="FW17" s="32">
        <v>12180</v>
      </c>
      <c r="GZ17" s="12"/>
      <c r="HD17" s="12"/>
    </row>
    <row r="18" spans="1:212" s="32" customFormat="1" x14ac:dyDescent="0.25">
      <c r="A18" s="32">
        <v>3</v>
      </c>
      <c r="B18" s="44" t="s">
        <v>3788</v>
      </c>
      <c r="C18" s="32" t="s">
        <v>135</v>
      </c>
      <c r="D18" s="32" t="s">
        <v>136</v>
      </c>
      <c r="E18" s="32">
        <v>2008</v>
      </c>
      <c r="F18" s="32">
        <v>2003</v>
      </c>
      <c r="G18" s="32" t="s">
        <v>137</v>
      </c>
      <c r="H18" s="32" t="s">
        <v>138</v>
      </c>
      <c r="I18" s="32" t="s">
        <v>2816</v>
      </c>
      <c r="J18" s="32">
        <v>49.69</v>
      </c>
      <c r="K18" s="32">
        <v>-112.84</v>
      </c>
      <c r="L18" s="32">
        <v>901</v>
      </c>
      <c r="R18" s="44">
        <v>1</v>
      </c>
      <c r="S18" s="44" t="s">
        <v>1728</v>
      </c>
      <c r="T18" s="44"/>
      <c r="U18" s="44" t="s">
        <v>1845</v>
      </c>
      <c r="V18" s="44" t="s">
        <v>1377</v>
      </c>
      <c r="W18" s="44" t="s">
        <v>1377</v>
      </c>
      <c r="X18" s="44" t="s">
        <v>1377</v>
      </c>
      <c r="Y18" s="44" t="s">
        <v>1377</v>
      </c>
      <c r="AA18" s="323">
        <v>37</v>
      </c>
      <c r="AB18" s="323">
        <v>30</v>
      </c>
      <c r="AC18" s="32" t="s">
        <v>139</v>
      </c>
      <c r="AG18" s="32" t="s">
        <v>1307</v>
      </c>
      <c r="AH18" s="32" t="s">
        <v>1562</v>
      </c>
      <c r="AI18" s="138" t="s">
        <v>131</v>
      </c>
      <c r="AJ18" s="32" t="s">
        <v>1595</v>
      </c>
      <c r="AK18" s="140" t="s">
        <v>229</v>
      </c>
      <c r="AW18" s="32" t="s">
        <v>119</v>
      </c>
      <c r="AX18" s="32">
        <v>4</v>
      </c>
      <c r="AZ18" s="32" t="s">
        <v>141</v>
      </c>
      <c r="BA18" s="32">
        <v>1480</v>
      </c>
      <c r="BD18" s="53"/>
      <c r="BE18" s="32" t="s">
        <v>143</v>
      </c>
      <c r="BK18" s="32">
        <v>16400</v>
      </c>
      <c r="BL18" s="32">
        <v>21400</v>
      </c>
      <c r="BP18" s="397"/>
      <c r="BQ18" s="397"/>
      <c r="BU18" s="397"/>
      <c r="BV18" s="397"/>
      <c r="BZ18" s="397"/>
      <c r="CA18" s="397"/>
      <c r="CE18" s="550"/>
      <c r="CF18" s="550"/>
      <c r="CG18" s="550"/>
      <c r="CH18" s="550"/>
      <c r="FV18" s="32">
        <v>17250</v>
      </c>
      <c r="FW18" s="32">
        <v>11460</v>
      </c>
      <c r="GZ18" s="12"/>
      <c r="HD18" s="12"/>
    </row>
    <row r="19" spans="1:212" s="32" customFormat="1" x14ac:dyDescent="0.25">
      <c r="A19" s="32">
        <v>3</v>
      </c>
      <c r="B19" s="44" t="s">
        <v>3789</v>
      </c>
      <c r="C19" s="32" t="s">
        <v>135</v>
      </c>
      <c r="D19" s="32" t="s">
        <v>136</v>
      </c>
      <c r="E19" s="32">
        <v>2008</v>
      </c>
      <c r="F19" s="32">
        <v>2003</v>
      </c>
      <c r="G19" s="32" t="s">
        <v>137</v>
      </c>
      <c r="H19" s="32" t="s">
        <v>138</v>
      </c>
      <c r="I19" s="32" t="s">
        <v>2816</v>
      </c>
      <c r="J19" s="32">
        <v>49.69</v>
      </c>
      <c r="K19" s="32">
        <v>-112.84</v>
      </c>
      <c r="L19" s="32">
        <v>901</v>
      </c>
      <c r="R19" s="44">
        <v>1</v>
      </c>
      <c r="S19" s="44" t="s">
        <v>1728</v>
      </c>
      <c r="T19" s="44"/>
      <c r="U19" s="44" t="s">
        <v>1845</v>
      </c>
      <c r="V19" s="44" t="s">
        <v>1377</v>
      </c>
      <c r="W19" s="44" t="s">
        <v>1377</v>
      </c>
      <c r="X19" s="44" t="s">
        <v>1377</v>
      </c>
      <c r="Y19" s="44" t="s">
        <v>1377</v>
      </c>
      <c r="AA19" s="323">
        <v>37</v>
      </c>
      <c r="AB19" s="323">
        <v>30</v>
      </c>
      <c r="AC19" s="32" t="s">
        <v>139</v>
      </c>
      <c r="AG19" s="32" t="s">
        <v>1307</v>
      </c>
      <c r="AH19" s="32" t="s">
        <v>1566</v>
      </c>
      <c r="AI19" s="138" t="s">
        <v>1581</v>
      </c>
      <c r="AJ19" s="32" t="s">
        <v>1595</v>
      </c>
      <c r="AK19" s="140" t="s">
        <v>229</v>
      </c>
      <c r="AW19" s="32" t="s">
        <v>119</v>
      </c>
      <c r="AX19" s="32">
        <v>4</v>
      </c>
      <c r="AZ19" s="32" t="s">
        <v>141</v>
      </c>
      <c r="BA19" s="32">
        <v>690</v>
      </c>
      <c r="BD19" s="53"/>
      <c r="BE19" s="32" t="s">
        <v>143</v>
      </c>
      <c r="BK19" s="32">
        <v>16400</v>
      </c>
      <c r="BL19" s="32">
        <v>18000</v>
      </c>
      <c r="BP19" s="397"/>
      <c r="BQ19" s="397"/>
      <c r="BU19" s="397"/>
      <c r="BV19" s="397"/>
      <c r="BZ19" s="397"/>
      <c r="CA19" s="397"/>
      <c r="CE19" s="550"/>
      <c r="CF19" s="550"/>
      <c r="CG19" s="550"/>
      <c r="CH19" s="550"/>
      <c r="FV19" s="32">
        <v>17250</v>
      </c>
      <c r="FW19" s="32">
        <v>15440</v>
      </c>
      <c r="GZ19" s="12"/>
      <c r="HD19" s="12"/>
    </row>
    <row r="20" spans="1:212" s="32" customFormat="1" x14ac:dyDescent="0.25">
      <c r="A20" s="32">
        <v>3</v>
      </c>
      <c r="B20" s="44" t="s">
        <v>3789</v>
      </c>
      <c r="C20" s="32" t="s">
        <v>135</v>
      </c>
      <c r="D20" s="32" t="s">
        <v>136</v>
      </c>
      <c r="E20" s="32">
        <v>2008</v>
      </c>
      <c r="F20" s="32">
        <v>2003</v>
      </c>
      <c r="G20" s="32" t="s">
        <v>137</v>
      </c>
      <c r="H20" s="32" t="s">
        <v>138</v>
      </c>
      <c r="I20" s="32" t="s">
        <v>2816</v>
      </c>
      <c r="J20" s="32">
        <v>49.69</v>
      </c>
      <c r="K20" s="32">
        <v>-112.84</v>
      </c>
      <c r="L20" s="32">
        <v>901</v>
      </c>
      <c r="R20" s="44">
        <v>1</v>
      </c>
      <c r="S20" s="44" t="s">
        <v>1728</v>
      </c>
      <c r="T20" s="44"/>
      <c r="U20" s="44" t="s">
        <v>1845</v>
      </c>
      <c r="V20" s="44" t="s">
        <v>1377</v>
      </c>
      <c r="W20" s="44" t="s">
        <v>1377</v>
      </c>
      <c r="X20" s="44" t="s">
        <v>1377</v>
      </c>
      <c r="Y20" s="44" t="s">
        <v>1377</v>
      </c>
      <c r="AA20" s="323">
        <v>37</v>
      </c>
      <c r="AB20" s="323">
        <v>30</v>
      </c>
      <c r="AC20" s="32" t="s">
        <v>139</v>
      </c>
      <c r="AG20" s="32" t="s">
        <v>1307</v>
      </c>
      <c r="AH20" s="32" t="s">
        <v>1567</v>
      </c>
      <c r="AI20" s="138" t="s">
        <v>1581</v>
      </c>
      <c r="AJ20" s="32" t="s">
        <v>1595</v>
      </c>
      <c r="AK20" s="140" t="s">
        <v>229</v>
      </c>
      <c r="AW20" s="32" t="s">
        <v>119</v>
      </c>
      <c r="AX20" s="32">
        <v>4</v>
      </c>
      <c r="AZ20" s="32" t="s">
        <v>141</v>
      </c>
      <c r="BA20" s="32">
        <v>400</v>
      </c>
      <c r="BD20" s="53"/>
      <c r="BE20" s="32" t="s">
        <v>143</v>
      </c>
      <c r="BK20" s="32">
        <v>16400</v>
      </c>
      <c r="BL20" s="32">
        <v>19100</v>
      </c>
      <c r="BP20" s="397"/>
      <c r="BQ20" s="397"/>
      <c r="BU20" s="397"/>
      <c r="BV20" s="397"/>
      <c r="BZ20" s="397"/>
      <c r="CA20" s="397"/>
      <c r="CE20" s="550"/>
      <c r="CF20" s="550"/>
      <c r="CG20" s="550"/>
      <c r="CH20" s="550"/>
      <c r="FV20" s="32">
        <v>17250</v>
      </c>
      <c r="FW20" s="32">
        <v>12600</v>
      </c>
      <c r="GZ20" s="12"/>
      <c r="HD20" s="12"/>
    </row>
    <row r="21" spans="1:212" s="32" customFormat="1" x14ac:dyDescent="0.25">
      <c r="A21" s="32">
        <v>3</v>
      </c>
      <c r="B21" s="44" t="s">
        <v>3788</v>
      </c>
      <c r="C21" s="32" t="s">
        <v>135</v>
      </c>
      <c r="D21" s="32" t="s">
        <v>136</v>
      </c>
      <c r="E21" s="32">
        <v>2008</v>
      </c>
      <c r="F21" s="32">
        <v>2003</v>
      </c>
      <c r="G21" s="32" t="s">
        <v>137</v>
      </c>
      <c r="H21" s="32" t="s">
        <v>138</v>
      </c>
      <c r="I21" s="32" t="s">
        <v>2816</v>
      </c>
      <c r="J21" s="32">
        <v>49.69</v>
      </c>
      <c r="K21" s="32">
        <v>-112.84</v>
      </c>
      <c r="L21" s="32">
        <v>901</v>
      </c>
      <c r="R21" s="44">
        <v>1</v>
      </c>
      <c r="S21" s="44" t="s">
        <v>1728</v>
      </c>
      <c r="T21" s="44"/>
      <c r="U21" s="44" t="s">
        <v>1845</v>
      </c>
      <c r="V21" s="44" t="s">
        <v>1377</v>
      </c>
      <c r="W21" s="44" t="s">
        <v>1377</v>
      </c>
      <c r="X21" s="44" t="s">
        <v>1377</v>
      </c>
      <c r="Y21" s="44" t="s">
        <v>1377</v>
      </c>
      <c r="AA21" s="323">
        <v>37</v>
      </c>
      <c r="AB21" s="323">
        <v>30</v>
      </c>
      <c r="AC21" s="32" t="s">
        <v>139</v>
      </c>
      <c r="AG21" s="32" t="s">
        <v>1307</v>
      </c>
      <c r="AH21" s="32" t="s">
        <v>1560</v>
      </c>
      <c r="AI21" s="138" t="s">
        <v>131</v>
      </c>
      <c r="AJ21" s="32" t="s">
        <v>1595</v>
      </c>
      <c r="AK21" s="140" t="s">
        <v>229</v>
      </c>
      <c r="AW21" s="32" t="s">
        <v>119</v>
      </c>
      <c r="AX21" s="32">
        <v>4</v>
      </c>
      <c r="AZ21" s="32" t="s">
        <v>141</v>
      </c>
      <c r="BA21" s="32">
        <v>470</v>
      </c>
      <c r="BD21" s="53"/>
      <c r="BE21" s="32" t="s">
        <v>143</v>
      </c>
      <c r="BK21" s="32">
        <v>16400</v>
      </c>
      <c r="BL21" s="32">
        <v>18700</v>
      </c>
      <c r="BP21" s="397"/>
      <c r="BQ21" s="397"/>
      <c r="BU21" s="397"/>
      <c r="BV21" s="397"/>
      <c r="BZ21" s="397"/>
      <c r="CA21" s="397"/>
      <c r="CE21" s="550"/>
      <c r="CF21" s="550"/>
      <c r="CG21" s="550"/>
      <c r="CH21" s="550"/>
      <c r="FV21" s="32">
        <v>17250</v>
      </c>
      <c r="FW21" s="32">
        <v>14400</v>
      </c>
      <c r="GZ21" s="12"/>
      <c r="HD21" s="12"/>
    </row>
    <row r="22" spans="1:212" s="32" customFormat="1" x14ac:dyDescent="0.25">
      <c r="A22" s="32">
        <v>3</v>
      </c>
      <c r="B22" s="44" t="s">
        <v>3788</v>
      </c>
      <c r="C22" s="32" t="s">
        <v>135</v>
      </c>
      <c r="D22" s="32" t="s">
        <v>136</v>
      </c>
      <c r="E22" s="32">
        <v>2008</v>
      </c>
      <c r="F22" s="32">
        <v>2004</v>
      </c>
      <c r="G22" s="32" t="s">
        <v>137</v>
      </c>
      <c r="H22" s="32" t="s">
        <v>138</v>
      </c>
      <c r="I22" s="32" t="s">
        <v>2816</v>
      </c>
      <c r="J22" s="32">
        <v>49.69</v>
      </c>
      <c r="K22" s="32">
        <v>-112.84</v>
      </c>
      <c r="L22" s="32">
        <v>901</v>
      </c>
      <c r="R22" s="44">
        <v>2</v>
      </c>
      <c r="S22" s="44" t="s">
        <v>1728</v>
      </c>
      <c r="T22" s="44"/>
      <c r="U22" s="44" t="s">
        <v>1845</v>
      </c>
      <c r="V22" s="44" t="s">
        <v>1377</v>
      </c>
      <c r="W22" s="44" t="s">
        <v>1377</v>
      </c>
      <c r="X22" s="44" t="s">
        <v>1377</v>
      </c>
      <c r="Y22" s="44" t="s">
        <v>1377</v>
      </c>
      <c r="AA22" s="323">
        <v>37</v>
      </c>
      <c r="AB22" s="323">
        <v>30</v>
      </c>
      <c r="AC22" s="32" t="s">
        <v>139</v>
      </c>
      <c r="AG22" s="32" t="s">
        <v>1307</v>
      </c>
      <c r="AH22" s="32" t="s">
        <v>1561</v>
      </c>
      <c r="AI22" s="138" t="s">
        <v>131</v>
      </c>
      <c r="AJ22" s="32" t="s">
        <v>1595</v>
      </c>
      <c r="AK22" s="140" t="s">
        <v>229</v>
      </c>
      <c r="AW22" s="32" t="s">
        <v>119</v>
      </c>
      <c r="AX22" s="32">
        <v>4</v>
      </c>
      <c r="AZ22" s="32" t="s">
        <v>141</v>
      </c>
      <c r="BA22" s="32">
        <v>6320</v>
      </c>
      <c r="BD22" s="53"/>
      <c r="BE22" s="32" t="s">
        <v>143</v>
      </c>
      <c r="BK22" s="32">
        <v>11200</v>
      </c>
      <c r="BL22" s="32">
        <v>15100</v>
      </c>
      <c r="BP22" s="397"/>
      <c r="BQ22" s="397"/>
      <c r="BU22" s="397"/>
      <c r="BV22" s="397"/>
      <c r="BZ22" s="397"/>
      <c r="CA22" s="397"/>
      <c r="CE22" s="550"/>
      <c r="CF22" s="550"/>
      <c r="CG22" s="550"/>
      <c r="CH22" s="550"/>
      <c r="FV22" s="32">
        <v>14530</v>
      </c>
      <c r="FW22" s="32">
        <v>6600</v>
      </c>
      <c r="GZ22" s="12"/>
      <c r="HD22" s="12"/>
    </row>
    <row r="23" spans="1:212" s="32" customFormat="1" x14ac:dyDescent="0.25">
      <c r="A23" s="32">
        <v>3</v>
      </c>
      <c r="B23" s="44" t="s">
        <v>3789</v>
      </c>
      <c r="C23" s="32" t="s">
        <v>135</v>
      </c>
      <c r="D23" s="32" t="s">
        <v>136</v>
      </c>
      <c r="E23" s="32">
        <v>2008</v>
      </c>
      <c r="F23" s="32">
        <v>2004</v>
      </c>
      <c r="G23" s="32" t="s">
        <v>137</v>
      </c>
      <c r="H23" s="32" t="s">
        <v>138</v>
      </c>
      <c r="I23" s="32" t="s">
        <v>2816</v>
      </c>
      <c r="J23" s="32">
        <v>49.69</v>
      </c>
      <c r="K23" s="32">
        <v>-112.84</v>
      </c>
      <c r="L23" s="32">
        <v>901</v>
      </c>
      <c r="R23" s="44">
        <v>2</v>
      </c>
      <c r="S23" s="44" t="s">
        <v>1728</v>
      </c>
      <c r="T23" s="44"/>
      <c r="U23" s="44" t="s">
        <v>1845</v>
      </c>
      <c r="V23" s="44" t="s">
        <v>1377</v>
      </c>
      <c r="W23" s="44" t="s">
        <v>1377</v>
      </c>
      <c r="X23" s="44" t="s">
        <v>1377</v>
      </c>
      <c r="Y23" s="44" t="s">
        <v>1377</v>
      </c>
      <c r="AA23" s="323">
        <v>37</v>
      </c>
      <c r="AB23" s="323">
        <v>30</v>
      </c>
      <c r="AC23" s="32" t="s">
        <v>139</v>
      </c>
      <c r="AG23" s="32" t="s">
        <v>1307</v>
      </c>
      <c r="AH23" s="32" t="s">
        <v>1570</v>
      </c>
      <c r="AI23" s="138" t="s">
        <v>1581</v>
      </c>
      <c r="AJ23" s="32" t="s">
        <v>1595</v>
      </c>
      <c r="AK23" s="140" t="s">
        <v>229</v>
      </c>
      <c r="AW23" s="32" t="s">
        <v>119</v>
      </c>
      <c r="AX23" s="32">
        <v>4</v>
      </c>
      <c r="AZ23" s="32" t="s">
        <v>141</v>
      </c>
      <c r="BA23" s="32">
        <v>990</v>
      </c>
      <c r="BD23" s="53"/>
      <c r="BE23" s="32" t="s">
        <v>143</v>
      </c>
      <c r="BK23" s="32">
        <v>11200</v>
      </c>
      <c r="BL23" s="32">
        <v>12700</v>
      </c>
      <c r="BP23" s="397"/>
      <c r="BQ23" s="397"/>
      <c r="BU23" s="397"/>
      <c r="BV23" s="397"/>
      <c r="BZ23" s="397"/>
      <c r="CA23" s="397"/>
      <c r="CE23" s="550"/>
      <c r="CF23" s="550"/>
      <c r="CG23" s="550"/>
      <c r="CH23" s="550"/>
      <c r="FV23" s="32">
        <v>14530</v>
      </c>
      <c r="FW23" s="32">
        <v>11830</v>
      </c>
      <c r="GZ23" s="12"/>
      <c r="HD23" s="12"/>
    </row>
    <row r="24" spans="1:212" s="32" customFormat="1" x14ac:dyDescent="0.25">
      <c r="A24" s="32">
        <v>3</v>
      </c>
      <c r="B24" s="44" t="s">
        <v>3789</v>
      </c>
      <c r="C24" s="32" t="s">
        <v>135</v>
      </c>
      <c r="D24" s="32" t="s">
        <v>136</v>
      </c>
      <c r="E24" s="32">
        <v>2008</v>
      </c>
      <c r="F24" s="32">
        <v>2004</v>
      </c>
      <c r="G24" s="32" t="s">
        <v>137</v>
      </c>
      <c r="H24" s="32" t="s">
        <v>138</v>
      </c>
      <c r="I24" s="32" t="s">
        <v>2816</v>
      </c>
      <c r="J24" s="32">
        <v>49.69</v>
      </c>
      <c r="K24" s="32">
        <v>-112.84</v>
      </c>
      <c r="L24" s="32">
        <v>901</v>
      </c>
      <c r="R24" s="44">
        <v>2</v>
      </c>
      <c r="S24" s="44" t="s">
        <v>1728</v>
      </c>
      <c r="T24" s="44"/>
      <c r="U24" s="44" t="s">
        <v>1845</v>
      </c>
      <c r="V24" s="44" t="s">
        <v>1377</v>
      </c>
      <c r="W24" s="44" t="s">
        <v>1377</v>
      </c>
      <c r="X24" s="44" t="s">
        <v>1377</v>
      </c>
      <c r="Y24" s="44" t="s">
        <v>1377</v>
      </c>
      <c r="AA24" s="323">
        <v>37</v>
      </c>
      <c r="AB24" s="323">
        <v>30</v>
      </c>
      <c r="AC24" s="32" t="s">
        <v>139</v>
      </c>
      <c r="AG24" s="32" t="s">
        <v>1307</v>
      </c>
      <c r="AH24" s="32" t="s">
        <v>1571</v>
      </c>
      <c r="AI24" s="138" t="s">
        <v>1581</v>
      </c>
      <c r="AJ24" s="32" t="s">
        <v>1595</v>
      </c>
      <c r="AK24" s="140" t="s">
        <v>229</v>
      </c>
      <c r="AW24" s="32" t="s">
        <v>119</v>
      </c>
      <c r="AX24" s="32">
        <v>4</v>
      </c>
      <c r="AZ24" s="32" t="s">
        <v>141</v>
      </c>
      <c r="BA24" s="32">
        <v>1070</v>
      </c>
      <c r="BD24" s="53"/>
      <c r="BE24" s="32" t="s">
        <v>143</v>
      </c>
      <c r="BK24" s="32">
        <v>11200</v>
      </c>
      <c r="BL24" s="32">
        <v>13600</v>
      </c>
      <c r="BP24" s="397"/>
      <c r="BQ24" s="397"/>
      <c r="BU24" s="397"/>
      <c r="BV24" s="397"/>
      <c r="BZ24" s="397"/>
      <c r="CA24" s="397"/>
      <c r="CE24" s="550"/>
      <c r="CF24" s="550"/>
      <c r="CG24" s="550"/>
      <c r="CH24" s="550"/>
      <c r="FV24" s="32">
        <v>14530</v>
      </c>
      <c r="FW24" s="32">
        <v>10700</v>
      </c>
      <c r="GZ24" s="12"/>
      <c r="HD24" s="12"/>
    </row>
    <row r="25" spans="1:212" s="32" customFormat="1" x14ac:dyDescent="0.25">
      <c r="A25" s="32">
        <v>3</v>
      </c>
      <c r="B25" s="44" t="s">
        <v>3788</v>
      </c>
      <c r="C25" s="32" t="s">
        <v>135</v>
      </c>
      <c r="D25" s="32" t="s">
        <v>136</v>
      </c>
      <c r="E25" s="32">
        <v>2008</v>
      </c>
      <c r="F25" s="32">
        <v>2004</v>
      </c>
      <c r="G25" s="32" t="s">
        <v>137</v>
      </c>
      <c r="H25" s="32" t="s">
        <v>138</v>
      </c>
      <c r="I25" s="32" t="s">
        <v>2816</v>
      </c>
      <c r="J25" s="32">
        <v>49.69</v>
      </c>
      <c r="K25" s="32">
        <v>-112.84</v>
      </c>
      <c r="L25" s="32">
        <v>901</v>
      </c>
      <c r="R25" s="44">
        <v>2</v>
      </c>
      <c r="S25" s="44" t="s">
        <v>1728</v>
      </c>
      <c r="T25" s="44"/>
      <c r="U25" s="44" t="s">
        <v>1845</v>
      </c>
      <c r="V25" s="44" t="s">
        <v>1377</v>
      </c>
      <c r="W25" s="44" t="s">
        <v>1377</v>
      </c>
      <c r="X25" s="44" t="s">
        <v>1377</v>
      </c>
      <c r="Y25" s="44" t="s">
        <v>1377</v>
      </c>
      <c r="AA25" s="323">
        <v>37</v>
      </c>
      <c r="AB25" s="323">
        <v>30</v>
      </c>
      <c r="AC25" s="32" t="s">
        <v>139</v>
      </c>
      <c r="AG25" s="32" t="s">
        <v>1307</v>
      </c>
      <c r="AH25" s="32" t="s">
        <v>1562</v>
      </c>
      <c r="AI25" s="138" t="s">
        <v>131</v>
      </c>
      <c r="AJ25" s="32" t="s">
        <v>1595</v>
      </c>
      <c r="AK25" s="140" t="s">
        <v>229</v>
      </c>
      <c r="AW25" s="32" t="s">
        <v>119</v>
      </c>
      <c r="AX25" s="32">
        <v>4</v>
      </c>
      <c r="AZ25" s="32" t="s">
        <v>141</v>
      </c>
      <c r="BA25" s="32">
        <v>1130</v>
      </c>
      <c r="BD25" s="53"/>
      <c r="BE25" s="32" t="s">
        <v>143</v>
      </c>
      <c r="BK25" s="32">
        <v>11200</v>
      </c>
      <c r="BL25" s="32">
        <v>12900</v>
      </c>
      <c r="BP25" s="397"/>
      <c r="BQ25" s="397"/>
      <c r="BU25" s="397"/>
      <c r="BV25" s="397"/>
      <c r="BZ25" s="397"/>
      <c r="CA25" s="397"/>
      <c r="CE25" s="550"/>
      <c r="CF25" s="550"/>
      <c r="CG25" s="550"/>
      <c r="CH25" s="550"/>
      <c r="FV25" s="32">
        <v>14530</v>
      </c>
      <c r="FW25" s="32">
        <v>9940</v>
      </c>
      <c r="GZ25" s="12"/>
      <c r="HD25" s="12"/>
    </row>
    <row r="26" spans="1:212" s="32" customFormat="1" x14ac:dyDescent="0.25">
      <c r="A26" s="32">
        <v>3</v>
      </c>
      <c r="B26" s="44" t="s">
        <v>3789</v>
      </c>
      <c r="C26" s="32" t="s">
        <v>135</v>
      </c>
      <c r="D26" s="32" t="s">
        <v>136</v>
      </c>
      <c r="E26" s="32">
        <v>2008</v>
      </c>
      <c r="F26" s="32">
        <v>2004</v>
      </c>
      <c r="G26" s="32" t="s">
        <v>137</v>
      </c>
      <c r="H26" s="32" t="s">
        <v>138</v>
      </c>
      <c r="I26" s="32" t="s">
        <v>2816</v>
      </c>
      <c r="J26" s="32">
        <v>49.69</v>
      </c>
      <c r="K26" s="32">
        <v>-112.84</v>
      </c>
      <c r="L26" s="32">
        <v>901</v>
      </c>
      <c r="R26" s="44">
        <v>2</v>
      </c>
      <c r="S26" s="44" t="s">
        <v>1728</v>
      </c>
      <c r="T26" s="44"/>
      <c r="U26" s="44" t="s">
        <v>1845</v>
      </c>
      <c r="V26" s="44" t="s">
        <v>1377</v>
      </c>
      <c r="W26" s="44" t="s">
        <v>1377</v>
      </c>
      <c r="X26" s="44" t="s">
        <v>1377</v>
      </c>
      <c r="Y26" s="44" t="s">
        <v>1377</v>
      </c>
      <c r="AA26" s="323">
        <v>37</v>
      </c>
      <c r="AB26" s="323">
        <v>30</v>
      </c>
      <c r="AC26" s="32" t="s">
        <v>139</v>
      </c>
      <c r="AG26" s="32" t="s">
        <v>1307</v>
      </c>
      <c r="AH26" s="32" t="s">
        <v>1566</v>
      </c>
      <c r="AI26" s="138" t="s">
        <v>1581</v>
      </c>
      <c r="AJ26" s="32" t="s">
        <v>1595</v>
      </c>
      <c r="AK26" s="140" t="s">
        <v>229</v>
      </c>
      <c r="AW26" s="32" t="s">
        <v>119</v>
      </c>
      <c r="AX26" s="32">
        <v>4</v>
      </c>
      <c r="AZ26" s="32" t="s">
        <v>141</v>
      </c>
      <c r="BA26" s="32">
        <v>560</v>
      </c>
      <c r="BD26" s="53"/>
      <c r="BE26" s="32" t="s">
        <v>143</v>
      </c>
      <c r="BK26" s="32">
        <v>11200</v>
      </c>
      <c r="BL26" s="32">
        <v>11400</v>
      </c>
      <c r="BP26" s="397"/>
      <c r="BQ26" s="397"/>
      <c r="BU26" s="397"/>
      <c r="BV26" s="397"/>
      <c r="BZ26" s="397"/>
      <c r="CA26" s="397"/>
      <c r="CE26" s="550"/>
      <c r="CF26" s="550"/>
      <c r="CG26" s="550"/>
      <c r="CH26" s="550"/>
      <c r="FV26" s="32">
        <v>14530</v>
      </c>
      <c r="FW26" s="32">
        <v>14000</v>
      </c>
      <c r="GZ26" s="12"/>
      <c r="HD26" s="12"/>
    </row>
    <row r="27" spans="1:212" s="32" customFormat="1" x14ac:dyDescent="0.25">
      <c r="A27" s="32">
        <v>3</v>
      </c>
      <c r="B27" s="44" t="s">
        <v>3789</v>
      </c>
      <c r="C27" s="32" t="s">
        <v>135</v>
      </c>
      <c r="D27" s="32" t="s">
        <v>136</v>
      </c>
      <c r="E27" s="32">
        <v>2008</v>
      </c>
      <c r="F27" s="32">
        <v>2004</v>
      </c>
      <c r="G27" s="32" t="s">
        <v>137</v>
      </c>
      <c r="H27" s="32" t="s">
        <v>138</v>
      </c>
      <c r="I27" s="32" t="s">
        <v>2816</v>
      </c>
      <c r="J27" s="32">
        <v>49.69</v>
      </c>
      <c r="K27" s="32">
        <v>-112.84</v>
      </c>
      <c r="L27" s="32">
        <v>901</v>
      </c>
      <c r="R27" s="44">
        <v>2</v>
      </c>
      <c r="S27" s="44" t="s">
        <v>1728</v>
      </c>
      <c r="T27" s="44"/>
      <c r="U27" s="44" t="s">
        <v>1845</v>
      </c>
      <c r="V27" s="44" t="s">
        <v>1377</v>
      </c>
      <c r="W27" s="44" t="s">
        <v>1377</v>
      </c>
      <c r="X27" s="44" t="s">
        <v>1377</v>
      </c>
      <c r="Y27" s="44" t="s">
        <v>1377</v>
      </c>
      <c r="AA27" s="323">
        <v>37</v>
      </c>
      <c r="AB27" s="323">
        <v>30</v>
      </c>
      <c r="AC27" s="32" t="s">
        <v>139</v>
      </c>
      <c r="AG27" s="32" t="s">
        <v>1307</v>
      </c>
      <c r="AH27" s="32" t="s">
        <v>1567</v>
      </c>
      <c r="AI27" s="138" t="s">
        <v>1581</v>
      </c>
      <c r="AJ27" s="32" t="s">
        <v>1595</v>
      </c>
      <c r="AK27" s="140" t="s">
        <v>229</v>
      </c>
      <c r="AW27" s="32" t="s">
        <v>119</v>
      </c>
      <c r="AX27" s="32">
        <v>4</v>
      </c>
      <c r="AZ27" s="32" t="s">
        <v>141</v>
      </c>
      <c r="BA27" s="32">
        <v>570</v>
      </c>
      <c r="BD27" s="53"/>
      <c r="BE27" s="32" t="s">
        <v>143</v>
      </c>
      <c r="BK27" s="32">
        <v>11200</v>
      </c>
      <c r="BL27" s="32">
        <v>12600</v>
      </c>
      <c r="BP27" s="397"/>
      <c r="BQ27" s="397"/>
      <c r="BU27" s="397"/>
      <c r="BV27" s="397"/>
      <c r="BZ27" s="397"/>
      <c r="CA27" s="397"/>
      <c r="CE27" s="550"/>
      <c r="CF27" s="550"/>
      <c r="CG27" s="550"/>
      <c r="CH27" s="550"/>
      <c r="FV27" s="32">
        <v>14530</v>
      </c>
      <c r="FW27" s="32">
        <v>14190</v>
      </c>
      <c r="GZ27" s="12"/>
      <c r="HD27" s="12"/>
    </row>
    <row r="28" spans="1:212" s="32" customFormat="1" x14ac:dyDescent="0.25">
      <c r="A28" s="32">
        <v>3</v>
      </c>
      <c r="B28" s="44" t="s">
        <v>3788</v>
      </c>
      <c r="C28" s="32" t="s">
        <v>135</v>
      </c>
      <c r="D28" s="32" t="s">
        <v>136</v>
      </c>
      <c r="E28" s="32">
        <v>2008</v>
      </c>
      <c r="F28" s="32">
        <v>2004</v>
      </c>
      <c r="G28" s="32" t="s">
        <v>137</v>
      </c>
      <c r="H28" s="32" t="s">
        <v>138</v>
      </c>
      <c r="I28" s="32" t="s">
        <v>2816</v>
      </c>
      <c r="J28" s="32">
        <v>49.69</v>
      </c>
      <c r="K28" s="32">
        <v>-112.84</v>
      </c>
      <c r="L28" s="32">
        <v>901</v>
      </c>
      <c r="R28" s="44">
        <v>2</v>
      </c>
      <c r="S28" s="44" t="s">
        <v>1728</v>
      </c>
      <c r="T28" s="44"/>
      <c r="U28" s="44" t="s">
        <v>1845</v>
      </c>
      <c r="V28" s="44" t="s">
        <v>1377</v>
      </c>
      <c r="W28" s="44" t="s">
        <v>1377</v>
      </c>
      <c r="X28" s="44" t="s">
        <v>1377</v>
      </c>
      <c r="Y28" s="44" t="s">
        <v>1377</v>
      </c>
      <c r="AA28" s="323">
        <v>37</v>
      </c>
      <c r="AB28" s="323">
        <v>30</v>
      </c>
      <c r="AC28" s="32" t="s">
        <v>139</v>
      </c>
      <c r="AG28" s="32" t="s">
        <v>1307</v>
      </c>
      <c r="AH28" s="32" t="s">
        <v>1560</v>
      </c>
      <c r="AI28" s="138" t="s">
        <v>131</v>
      </c>
      <c r="AJ28" s="32" t="s">
        <v>1595</v>
      </c>
      <c r="AK28" s="140" t="s">
        <v>229</v>
      </c>
      <c r="AW28" s="32" t="s">
        <v>119</v>
      </c>
      <c r="AX28" s="32">
        <v>4</v>
      </c>
      <c r="AZ28" s="32" t="s">
        <v>141</v>
      </c>
      <c r="BA28" s="32">
        <v>420</v>
      </c>
      <c r="BD28" s="53"/>
      <c r="BE28" s="32" t="s">
        <v>143</v>
      </c>
      <c r="BK28" s="32">
        <v>11200</v>
      </c>
      <c r="BL28" s="32">
        <v>11900</v>
      </c>
      <c r="BP28" s="397"/>
      <c r="BQ28" s="397"/>
      <c r="BU28" s="397"/>
      <c r="BV28" s="397"/>
      <c r="BZ28" s="397"/>
      <c r="CA28" s="397"/>
      <c r="CE28" s="550"/>
      <c r="CF28" s="550"/>
      <c r="CG28" s="550"/>
      <c r="CH28" s="550"/>
      <c r="FV28" s="32">
        <v>14530</v>
      </c>
      <c r="FW28" s="32">
        <v>12700</v>
      </c>
      <c r="GZ28" s="12"/>
      <c r="HD28" s="12"/>
    </row>
    <row r="29" spans="1:212" s="32" customFormat="1" x14ac:dyDescent="0.25">
      <c r="A29" s="32">
        <v>3</v>
      </c>
      <c r="B29" s="44" t="s">
        <v>3788</v>
      </c>
      <c r="C29" s="32" t="s">
        <v>135</v>
      </c>
      <c r="D29" s="32" t="s">
        <v>136</v>
      </c>
      <c r="E29" s="32">
        <v>2008</v>
      </c>
      <c r="F29" s="32">
        <v>2005</v>
      </c>
      <c r="G29" s="32" t="s">
        <v>137</v>
      </c>
      <c r="H29" s="32" t="s">
        <v>138</v>
      </c>
      <c r="I29" s="32" t="s">
        <v>2816</v>
      </c>
      <c r="J29" s="32">
        <v>49.69</v>
      </c>
      <c r="K29" s="32">
        <v>-112.84</v>
      </c>
      <c r="L29" s="32">
        <v>901</v>
      </c>
      <c r="R29" s="44">
        <v>3</v>
      </c>
      <c r="S29" s="44" t="s">
        <v>1728</v>
      </c>
      <c r="T29" s="44"/>
      <c r="U29" s="44" t="s">
        <v>1845</v>
      </c>
      <c r="V29" s="44" t="s">
        <v>1377</v>
      </c>
      <c r="W29" s="44" t="s">
        <v>1377</v>
      </c>
      <c r="X29" s="44" t="s">
        <v>1377</v>
      </c>
      <c r="Y29" s="44" t="s">
        <v>1377</v>
      </c>
      <c r="AA29" s="323">
        <v>37</v>
      </c>
      <c r="AB29" s="323">
        <v>30</v>
      </c>
      <c r="AC29" s="32" t="s">
        <v>139</v>
      </c>
      <c r="AG29" s="32" t="s">
        <v>1307</v>
      </c>
      <c r="AH29" s="32" t="s">
        <v>1561</v>
      </c>
      <c r="AI29" s="138" t="s">
        <v>131</v>
      </c>
      <c r="AJ29" s="32" t="s">
        <v>1595</v>
      </c>
      <c r="AK29" s="140" t="s">
        <v>229</v>
      </c>
      <c r="AW29" s="32" t="s">
        <v>119</v>
      </c>
      <c r="AX29" s="32">
        <v>4</v>
      </c>
      <c r="AZ29" s="32" t="s">
        <v>141</v>
      </c>
      <c r="BA29" s="32">
        <v>7940</v>
      </c>
      <c r="BD29" s="53"/>
      <c r="BE29" s="32" t="s">
        <v>143</v>
      </c>
      <c r="BK29" s="32">
        <v>4400</v>
      </c>
      <c r="BL29" s="32">
        <v>8400</v>
      </c>
      <c r="BP29" s="397"/>
      <c r="BQ29" s="397"/>
      <c r="BU29" s="397"/>
      <c r="BV29" s="397"/>
      <c r="BZ29" s="397"/>
      <c r="CA29" s="397"/>
      <c r="CE29" s="550"/>
      <c r="CF29" s="550"/>
      <c r="CG29" s="550"/>
      <c r="CH29" s="550"/>
      <c r="FV29" s="32">
        <v>19940</v>
      </c>
      <c r="FW29" s="32">
        <v>12920</v>
      </c>
      <c r="GZ29" s="12"/>
      <c r="HD29" s="12"/>
    </row>
    <row r="30" spans="1:212" s="32" customFormat="1" x14ac:dyDescent="0.25">
      <c r="A30" s="32">
        <v>3</v>
      </c>
      <c r="B30" s="44" t="s">
        <v>3789</v>
      </c>
      <c r="C30" s="32" t="s">
        <v>135</v>
      </c>
      <c r="D30" s="32" t="s">
        <v>136</v>
      </c>
      <c r="E30" s="32">
        <v>2008</v>
      </c>
      <c r="F30" s="32">
        <v>2005</v>
      </c>
      <c r="G30" s="32" t="s">
        <v>137</v>
      </c>
      <c r="H30" s="32" t="s">
        <v>138</v>
      </c>
      <c r="I30" s="32" t="s">
        <v>2816</v>
      </c>
      <c r="J30" s="32">
        <v>49.69</v>
      </c>
      <c r="K30" s="32">
        <v>-112.84</v>
      </c>
      <c r="L30" s="32">
        <v>901</v>
      </c>
      <c r="R30" s="44">
        <v>3</v>
      </c>
      <c r="S30" s="44" t="s">
        <v>1728</v>
      </c>
      <c r="T30" s="44"/>
      <c r="U30" s="44" t="s">
        <v>1845</v>
      </c>
      <c r="V30" s="44" t="s">
        <v>1377</v>
      </c>
      <c r="W30" s="44" t="s">
        <v>1377</v>
      </c>
      <c r="X30" s="44" t="s">
        <v>1377</v>
      </c>
      <c r="Y30" s="44" t="s">
        <v>1377</v>
      </c>
      <c r="AA30" s="323">
        <v>37</v>
      </c>
      <c r="AB30" s="323">
        <v>30</v>
      </c>
      <c r="AC30" s="32" t="s">
        <v>139</v>
      </c>
      <c r="AG30" s="32" t="s">
        <v>1307</v>
      </c>
      <c r="AH30" s="32" t="s">
        <v>1570</v>
      </c>
      <c r="AI30" s="138" t="s">
        <v>1581</v>
      </c>
      <c r="AJ30" s="32" t="s">
        <v>1595</v>
      </c>
      <c r="AK30" s="140" t="s">
        <v>229</v>
      </c>
      <c r="AW30" s="32" t="s">
        <v>119</v>
      </c>
      <c r="AX30" s="32">
        <v>4</v>
      </c>
      <c r="AZ30" s="32" t="s">
        <v>141</v>
      </c>
      <c r="BA30" s="32">
        <v>380</v>
      </c>
      <c r="BD30" s="53"/>
      <c r="BE30" s="32" t="s">
        <v>143</v>
      </c>
      <c r="BK30" s="32">
        <v>4400</v>
      </c>
      <c r="BL30" s="32">
        <v>6300</v>
      </c>
      <c r="BP30" s="397"/>
      <c r="BQ30" s="397"/>
      <c r="BU30" s="397"/>
      <c r="BV30" s="397"/>
      <c r="BZ30" s="397"/>
      <c r="CA30" s="397"/>
      <c r="CE30" s="550"/>
      <c r="CF30" s="550"/>
      <c r="CG30" s="550"/>
      <c r="CH30" s="550"/>
      <c r="FV30" s="32">
        <v>19940</v>
      </c>
      <c r="FW30" s="32">
        <v>16720</v>
      </c>
      <c r="GZ30" s="12"/>
      <c r="HD30" s="12"/>
    </row>
    <row r="31" spans="1:212" s="32" customFormat="1" x14ac:dyDescent="0.25">
      <c r="A31" s="32">
        <v>3</v>
      </c>
      <c r="B31" s="44" t="s">
        <v>3789</v>
      </c>
      <c r="C31" s="32" t="s">
        <v>135</v>
      </c>
      <c r="D31" s="32" t="s">
        <v>136</v>
      </c>
      <c r="E31" s="32">
        <v>2008</v>
      </c>
      <c r="F31" s="32">
        <v>2005</v>
      </c>
      <c r="G31" s="32" t="s">
        <v>137</v>
      </c>
      <c r="H31" s="32" t="s">
        <v>138</v>
      </c>
      <c r="I31" s="32" t="s">
        <v>2816</v>
      </c>
      <c r="J31" s="32">
        <v>49.69</v>
      </c>
      <c r="K31" s="32">
        <v>-112.84</v>
      </c>
      <c r="L31" s="32">
        <v>901</v>
      </c>
      <c r="R31" s="44">
        <v>3</v>
      </c>
      <c r="S31" s="44" t="s">
        <v>1728</v>
      </c>
      <c r="T31" s="44"/>
      <c r="U31" s="44" t="s">
        <v>1845</v>
      </c>
      <c r="V31" s="44" t="s">
        <v>1377</v>
      </c>
      <c r="W31" s="44" t="s">
        <v>1377</v>
      </c>
      <c r="X31" s="44" t="s">
        <v>1377</v>
      </c>
      <c r="Y31" s="44" t="s">
        <v>1377</v>
      </c>
      <c r="AA31" s="323">
        <v>37</v>
      </c>
      <c r="AB31" s="323">
        <v>30</v>
      </c>
      <c r="AC31" s="32" t="s">
        <v>139</v>
      </c>
      <c r="AG31" s="32" t="s">
        <v>1307</v>
      </c>
      <c r="AH31" s="32" t="s">
        <v>1571</v>
      </c>
      <c r="AI31" s="138" t="s">
        <v>1581</v>
      </c>
      <c r="AJ31" s="32" t="s">
        <v>1595</v>
      </c>
      <c r="AK31" s="140" t="s">
        <v>229</v>
      </c>
      <c r="AW31" s="32" t="s">
        <v>119</v>
      </c>
      <c r="AX31" s="32">
        <v>4</v>
      </c>
      <c r="AZ31" s="32" t="s">
        <v>141</v>
      </c>
      <c r="BA31" s="32">
        <v>400</v>
      </c>
      <c r="BD31" s="53"/>
      <c r="BE31" s="32" t="s">
        <v>143</v>
      </c>
      <c r="BK31" s="32">
        <v>4400</v>
      </c>
      <c r="BL31" s="32">
        <v>6500</v>
      </c>
      <c r="BP31" s="397"/>
      <c r="BQ31" s="397"/>
      <c r="BU31" s="397"/>
      <c r="BV31" s="397"/>
      <c r="BZ31" s="397"/>
      <c r="CA31" s="397"/>
      <c r="CE31" s="550"/>
      <c r="CF31" s="550"/>
      <c r="CG31" s="550"/>
      <c r="CH31" s="550"/>
      <c r="FV31" s="32">
        <v>19940</v>
      </c>
      <c r="FW31" s="32">
        <v>14690</v>
      </c>
      <c r="GZ31" s="12"/>
      <c r="HD31" s="12"/>
    </row>
    <row r="32" spans="1:212" s="32" customFormat="1" x14ac:dyDescent="0.25">
      <c r="A32" s="32">
        <v>3</v>
      </c>
      <c r="B32" s="44" t="s">
        <v>3788</v>
      </c>
      <c r="C32" s="32" t="s">
        <v>135</v>
      </c>
      <c r="D32" s="32" t="s">
        <v>136</v>
      </c>
      <c r="E32" s="32">
        <v>2008</v>
      </c>
      <c r="F32" s="32">
        <v>2005</v>
      </c>
      <c r="G32" s="32" t="s">
        <v>137</v>
      </c>
      <c r="H32" s="32" t="s">
        <v>138</v>
      </c>
      <c r="I32" s="32" t="s">
        <v>2816</v>
      </c>
      <c r="J32" s="32">
        <v>49.69</v>
      </c>
      <c r="K32" s="32">
        <v>-112.84</v>
      </c>
      <c r="L32" s="32">
        <v>901</v>
      </c>
      <c r="R32" s="44">
        <v>3</v>
      </c>
      <c r="S32" s="44" t="s">
        <v>1728</v>
      </c>
      <c r="T32" s="44"/>
      <c r="U32" s="44" t="s">
        <v>1845</v>
      </c>
      <c r="V32" s="44" t="s">
        <v>1377</v>
      </c>
      <c r="W32" s="44" t="s">
        <v>1377</v>
      </c>
      <c r="X32" s="44" t="s">
        <v>1377</v>
      </c>
      <c r="Y32" s="44" t="s">
        <v>1377</v>
      </c>
      <c r="AA32" s="323">
        <v>37</v>
      </c>
      <c r="AB32" s="323">
        <v>30</v>
      </c>
      <c r="AC32" s="32" t="s">
        <v>139</v>
      </c>
      <c r="AG32" s="32" t="s">
        <v>1307</v>
      </c>
      <c r="AH32" s="32" t="s">
        <v>1562</v>
      </c>
      <c r="AI32" s="138" t="s">
        <v>131</v>
      </c>
      <c r="AJ32" s="32" t="s">
        <v>1595</v>
      </c>
      <c r="AK32" s="140" t="s">
        <v>229</v>
      </c>
      <c r="AW32" s="32" t="s">
        <v>119</v>
      </c>
      <c r="AX32" s="32">
        <v>4</v>
      </c>
      <c r="AZ32" s="32" t="s">
        <v>141</v>
      </c>
      <c r="BA32" s="32">
        <v>1140</v>
      </c>
      <c r="BD32" s="53"/>
      <c r="BE32" s="32" t="s">
        <v>143</v>
      </c>
      <c r="BK32" s="32">
        <v>4400</v>
      </c>
      <c r="BL32" s="32">
        <v>5700</v>
      </c>
      <c r="BP32" s="397"/>
      <c r="BQ32" s="397"/>
      <c r="BU32" s="397"/>
      <c r="BV32" s="397"/>
      <c r="BZ32" s="397"/>
      <c r="CA32" s="397"/>
      <c r="CE32" s="550"/>
      <c r="CF32" s="550"/>
      <c r="CG32" s="550"/>
      <c r="CH32" s="550"/>
      <c r="FV32" s="32">
        <v>19940</v>
      </c>
      <c r="FW32" s="32">
        <v>15610</v>
      </c>
      <c r="GZ32" s="12"/>
      <c r="HD32" s="12"/>
    </row>
    <row r="33" spans="1:212" s="32" customFormat="1" x14ac:dyDescent="0.25">
      <c r="A33" s="32">
        <v>3</v>
      </c>
      <c r="B33" s="44" t="s">
        <v>3789</v>
      </c>
      <c r="C33" s="32" t="s">
        <v>135</v>
      </c>
      <c r="D33" s="32" t="s">
        <v>136</v>
      </c>
      <c r="E33" s="32">
        <v>2008</v>
      </c>
      <c r="F33" s="32">
        <v>2005</v>
      </c>
      <c r="G33" s="32" t="s">
        <v>137</v>
      </c>
      <c r="H33" s="32" t="s">
        <v>138</v>
      </c>
      <c r="I33" s="32" t="s">
        <v>2816</v>
      </c>
      <c r="J33" s="32">
        <v>49.69</v>
      </c>
      <c r="K33" s="32">
        <v>-112.84</v>
      </c>
      <c r="L33" s="32">
        <v>901</v>
      </c>
      <c r="R33" s="44">
        <v>3</v>
      </c>
      <c r="S33" s="44" t="s">
        <v>1728</v>
      </c>
      <c r="T33" s="44"/>
      <c r="U33" s="44" t="s">
        <v>1845</v>
      </c>
      <c r="V33" s="44" t="s">
        <v>1377</v>
      </c>
      <c r="W33" s="44" t="s">
        <v>1377</v>
      </c>
      <c r="X33" s="44" t="s">
        <v>1377</v>
      </c>
      <c r="Y33" s="44" t="s">
        <v>1377</v>
      </c>
      <c r="AA33" s="323">
        <v>37</v>
      </c>
      <c r="AB33" s="323">
        <v>30</v>
      </c>
      <c r="AC33" s="32" t="s">
        <v>139</v>
      </c>
      <c r="AG33" s="32" t="s">
        <v>1307</v>
      </c>
      <c r="AH33" s="32" t="s">
        <v>1566</v>
      </c>
      <c r="AI33" s="138" t="s">
        <v>1581</v>
      </c>
      <c r="AJ33" s="32" t="s">
        <v>1595</v>
      </c>
      <c r="AK33" s="140" t="s">
        <v>229</v>
      </c>
      <c r="AW33" s="32" t="s">
        <v>119</v>
      </c>
      <c r="AX33" s="32">
        <v>4</v>
      </c>
      <c r="AZ33" s="32" t="s">
        <v>141</v>
      </c>
      <c r="BA33" s="32">
        <v>190</v>
      </c>
      <c r="BD33" s="53"/>
      <c r="BE33" s="32" t="s">
        <v>143</v>
      </c>
      <c r="BK33" s="32">
        <v>4400</v>
      </c>
      <c r="BL33" s="32">
        <v>4300</v>
      </c>
      <c r="BP33" s="397"/>
      <c r="BQ33" s="397"/>
      <c r="BU33" s="397"/>
      <c r="BV33" s="397"/>
      <c r="BZ33" s="397"/>
      <c r="CA33" s="397"/>
      <c r="CE33" s="550"/>
      <c r="CF33" s="550"/>
      <c r="CG33" s="550"/>
      <c r="CH33" s="550"/>
      <c r="FV33" s="32">
        <v>19940</v>
      </c>
      <c r="FW33" s="32">
        <v>19570</v>
      </c>
      <c r="GZ33" s="12"/>
      <c r="HD33" s="12"/>
    </row>
    <row r="34" spans="1:212" s="32" customFormat="1" x14ac:dyDescent="0.25">
      <c r="A34" s="32">
        <v>3</v>
      </c>
      <c r="B34" s="44" t="s">
        <v>3789</v>
      </c>
      <c r="C34" s="32" t="s">
        <v>135</v>
      </c>
      <c r="D34" s="32" t="s">
        <v>136</v>
      </c>
      <c r="E34" s="32">
        <v>2008</v>
      </c>
      <c r="F34" s="32">
        <v>2005</v>
      </c>
      <c r="G34" s="32" t="s">
        <v>137</v>
      </c>
      <c r="H34" s="32" t="s">
        <v>138</v>
      </c>
      <c r="I34" s="32" t="s">
        <v>2816</v>
      </c>
      <c r="J34" s="32">
        <v>49.69</v>
      </c>
      <c r="K34" s="32">
        <v>-112.84</v>
      </c>
      <c r="L34" s="32">
        <v>901</v>
      </c>
      <c r="R34" s="44">
        <v>3</v>
      </c>
      <c r="S34" s="44" t="s">
        <v>1728</v>
      </c>
      <c r="T34" s="44"/>
      <c r="U34" s="44" t="s">
        <v>1845</v>
      </c>
      <c r="V34" s="44" t="s">
        <v>1377</v>
      </c>
      <c r="W34" s="44" t="s">
        <v>1377</v>
      </c>
      <c r="X34" s="44" t="s">
        <v>1377</v>
      </c>
      <c r="Y34" s="44" t="s">
        <v>1377</v>
      </c>
      <c r="AA34" s="323">
        <v>37</v>
      </c>
      <c r="AB34" s="323">
        <v>30</v>
      </c>
      <c r="AC34" s="32" t="s">
        <v>139</v>
      </c>
      <c r="AG34" s="32" t="s">
        <v>1307</v>
      </c>
      <c r="AH34" s="32" t="s">
        <v>1567</v>
      </c>
      <c r="AI34" s="138" t="s">
        <v>1581</v>
      </c>
      <c r="AJ34" s="32" t="s">
        <v>1595</v>
      </c>
      <c r="AK34" s="140" t="s">
        <v>229</v>
      </c>
      <c r="AW34" s="32" t="s">
        <v>119</v>
      </c>
      <c r="AX34" s="32">
        <v>4</v>
      </c>
      <c r="AZ34" s="32" t="s">
        <v>141</v>
      </c>
      <c r="BA34" s="32">
        <v>280</v>
      </c>
      <c r="BD34" s="53"/>
      <c r="BE34" s="32" t="s">
        <v>143</v>
      </c>
      <c r="BK34" s="32">
        <v>4400</v>
      </c>
      <c r="BL34" s="32">
        <v>4800</v>
      </c>
      <c r="BP34" s="397"/>
      <c r="BQ34" s="397"/>
      <c r="BU34" s="397"/>
      <c r="BV34" s="397"/>
      <c r="BZ34" s="397"/>
      <c r="CA34" s="397"/>
      <c r="CE34" s="550"/>
      <c r="CF34" s="550"/>
      <c r="CG34" s="550"/>
      <c r="CH34" s="550"/>
      <c r="FV34" s="32">
        <v>19940</v>
      </c>
      <c r="FW34" s="32">
        <v>20400</v>
      </c>
      <c r="GZ34" s="12"/>
      <c r="HD34" s="12"/>
    </row>
    <row r="35" spans="1:212" s="32" customFormat="1" x14ac:dyDescent="0.25">
      <c r="A35" s="32">
        <v>3</v>
      </c>
      <c r="B35" s="44" t="s">
        <v>3788</v>
      </c>
      <c r="C35" s="32" t="s">
        <v>135</v>
      </c>
      <c r="D35" s="32" t="s">
        <v>136</v>
      </c>
      <c r="E35" s="32">
        <v>2008</v>
      </c>
      <c r="F35" s="32">
        <v>2005</v>
      </c>
      <c r="G35" s="32" t="s">
        <v>137</v>
      </c>
      <c r="H35" s="32" t="s">
        <v>138</v>
      </c>
      <c r="I35" s="32" t="s">
        <v>2816</v>
      </c>
      <c r="J35" s="32">
        <v>49.69</v>
      </c>
      <c r="K35" s="32">
        <v>-112.84</v>
      </c>
      <c r="L35" s="32">
        <v>901</v>
      </c>
      <c r="R35" s="44">
        <v>3</v>
      </c>
      <c r="S35" s="44" t="s">
        <v>1728</v>
      </c>
      <c r="T35" s="44"/>
      <c r="U35" s="44" t="s">
        <v>1845</v>
      </c>
      <c r="V35" s="44" t="s">
        <v>1377</v>
      </c>
      <c r="W35" s="44" t="s">
        <v>1377</v>
      </c>
      <c r="X35" s="44" t="s">
        <v>1377</v>
      </c>
      <c r="Y35" s="44" t="s">
        <v>1377</v>
      </c>
      <c r="AA35" s="323">
        <v>37</v>
      </c>
      <c r="AB35" s="323">
        <v>30</v>
      </c>
      <c r="AC35" s="32" t="s">
        <v>139</v>
      </c>
      <c r="AG35" s="32" t="s">
        <v>1307</v>
      </c>
      <c r="AH35" s="32" t="s">
        <v>1560</v>
      </c>
      <c r="AI35" s="138" t="s">
        <v>131</v>
      </c>
      <c r="AJ35" s="32" t="s">
        <v>1595</v>
      </c>
      <c r="AK35" s="140" t="s">
        <v>229</v>
      </c>
      <c r="AW35" s="32" t="s">
        <v>119</v>
      </c>
      <c r="AX35" s="32">
        <v>4</v>
      </c>
      <c r="AZ35" s="32" t="s">
        <v>141</v>
      </c>
      <c r="BA35" s="32">
        <v>230</v>
      </c>
      <c r="BD35" s="53"/>
      <c r="BE35" s="32" t="s">
        <v>143</v>
      </c>
      <c r="BK35" s="32">
        <v>4400</v>
      </c>
      <c r="BL35" s="32">
        <v>5000</v>
      </c>
      <c r="BP35" s="397"/>
      <c r="BQ35" s="397"/>
      <c r="BU35" s="397"/>
      <c r="BV35" s="397"/>
      <c r="BZ35" s="397"/>
      <c r="CA35" s="397"/>
      <c r="CE35" s="550"/>
      <c r="CF35" s="550"/>
      <c r="CG35" s="550"/>
      <c r="CH35" s="550"/>
      <c r="FV35" s="32">
        <v>19940</v>
      </c>
      <c r="FW35" s="32">
        <v>20380</v>
      </c>
      <c r="GZ35" s="12"/>
      <c r="HD35" s="12"/>
    </row>
    <row r="36" spans="1:212" s="32" customFormat="1" x14ac:dyDescent="0.25">
      <c r="A36" s="32">
        <v>3</v>
      </c>
      <c r="B36" s="44" t="s">
        <v>3788</v>
      </c>
      <c r="C36" s="32" t="s">
        <v>135</v>
      </c>
      <c r="D36" s="32" t="s">
        <v>136</v>
      </c>
      <c r="E36" s="32">
        <v>2008</v>
      </c>
      <c r="F36" s="32">
        <v>2003</v>
      </c>
      <c r="G36" s="32" t="s">
        <v>137</v>
      </c>
      <c r="H36" s="32" t="s">
        <v>138</v>
      </c>
      <c r="I36" s="32" t="s">
        <v>2816</v>
      </c>
      <c r="J36" s="32">
        <v>49.69</v>
      </c>
      <c r="K36" s="32">
        <v>-112.84</v>
      </c>
      <c r="L36" s="32">
        <v>901</v>
      </c>
      <c r="R36" s="44">
        <v>1</v>
      </c>
      <c r="S36" s="44" t="s">
        <v>1728</v>
      </c>
      <c r="T36" s="44"/>
      <c r="U36" s="44" t="s">
        <v>1845</v>
      </c>
      <c r="V36" s="44" t="s">
        <v>1377</v>
      </c>
      <c r="W36" s="44" t="s">
        <v>1377</v>
      </c>
      <c r="X36" s="44" t="s">
        <v>1377</v>
      </c>
      <c r="Y36" s="44" t="s">
        <v>1377</v>
      </c>
      <c r="AA36" s="323">
        <v>37</v>
      </c>
      <c r="AB36" s="323">
        <v>30</v>
      </c>
      <c r="AC36" s="32" t="s">
        <v>139</v>
      </c>
      <c r="AG36" s="32" t="s">
        <v>1307</v>
      </c>
      <c r="AH36" s="32" t="s">
        <v>1561</v>
      </c>
      <c r="AI36" s="138" t="s">
        <v>131</v>
      </c>
      <c r="AJ36" s="32" t="s">
        <v>1595</v>
      </c>
      <c r="AK36" s="140" t="s">
        <v>229</v>
      </c>
      <c r="AW36" s="32" t="s">
        <v>119</v>
      </c>
      <c r="AX36" s="32">
        <v>4</v>
      </c>
      <c r="AZ36" s="32" t="s">
        <v>141</v>
      </c>
      <c r="BA36" s="32">
        <v>5520</v>
      </c>
      <c r="BD36" s="53"/>
      <c r="BE36" s="32" t="s">
        <v>144</v>
      </c>
      <c r="BK36" s="32">
        <v>33800</v>
      </c>
      <c r="BL36" s="32">
        <v>37300</v>
      </c>
      <c r="BP36" s="397"/>
      <c r="BQ36" s="397"/>
      <c r="BU36" s="397"/>
      <c r="BV36" s="397"/>
      <c r="BZ36" s="397"/>
      <c r="CA36" s="397"/>
      <c r="CE36" s="550"/>
      <c r="CF36" s="550"/>
      <c r="CG36" s="550"/>
      <c r="CH36" s="550"/>
      <c r="FV36" s="32">
        <v>3010</v>
      </c>
      <c r="FW36" s="32">
        <v>1420</v>
      </c>
      <c r="GZ36" s="12"/>
      <c r="HD36" s="12"/>
    </row>
    <row r="37" spans="1:212" s="32" customFormat="1" x14ac:dyDescent="0.25">
      <c r="A37" s="32">
        <v>3</v>
      </c>
      <c r="B37" s="44" t="s">
        <v>3789</v>
      </c>
      <c r="C37" s="32" t="s">
        <v>135</v>
      </c>
      <c r="D37" s="32" t="s">
        <v>136</v>
      </c>
      <c r="E37" s="32">
        <v>2008</v>
      </c>
      <c r="F37" s="32">
        <v>2003</v>
      </c>
      <c r="G37" s="32" t="s">
        <v>137</v>
      </c>
      <c r="H37" s="32" t="s">
        <v>138</v>
      </c>
      <c r="I37" s="32" t="s">
        <v>2816</v>
      </c>
      <c r="J37" s="32">
        <v>49.69</v>
      </c>
      <c r="K37" s="32">
        <v>-112.84</v>
      </c>
      <c r="L37" s="32">
        <v>901</v>
      </c>
      <c r="R37" s="44">
        <v>1</v>
      </c>
      <c r="S37" s="44" t="s">
        <v>1728</v>
      </c>
      <c r="T37" s="44"/>
      <c r="U37" s="44" t="s">
        <v>1845</v>
      </c>
      <c r="V37" s="44" t="s">
        <v>1377</v>
      </c>
      <c r="W37" s="44" t="s">
        <v>1377</v>
      </c>
      <c r="X37" s="44" t="s">
        <v>1377</v>
      </c>
      <c r="Y37" s="44" t="s">
        <v>1377</v>
      </c>
      <c r="AA37" s="323">
        <v>37</v>
      </c>
      <c r="AB37" s="323">
        <v>30</v>
      </c>
      <c r="AC37" s="32" t="s">
        <v>139</v>
      </c>
      <c r="AG37" s="32" t="s">
        <v>1307</v>
      </c>
      <c r="AH37" s="32" t="s">
        <v>1570</v>
      </c>
      <c r="AI37" s="138" t="s">
        <v>1581</v>
      </c>
      <c r="AJ37" s="32" t="s">
        <v>1595</v>
      </c>
      <c r="AK37" s="140" t="s">
        <v>229</v>
      </c>
      <c r="AW37" s="32" t="s">
        <v>119</v>
      </c>
      <c r="AX37" s="32">
        <v>4</v>
      </c>
      <c r="AZ37" s="32" t="s">
        <v>141</v>
      </c>
      <c r="BA37" s="32">
        <v>1320</v>
      </c>
      <c r="BD37" s="53"/>
      <c r="BE37" s="32" t="s">
        <v>144</v>
      </c>
      <c r="BK37" s="32">
        <v>33800</v>
      </c>
      <c r="BL37" s="32">
        <v>35600</v>
      </c>
      <c r="BP37" s="397"/>
      <c r="BQ37" s="397"/>
      <c r="BU37" s="397"/>
      <c r="BV37" s="397"/>
      <c r="BZ37" s="397"/>
      <c r="CA37" s="397"/>
      <c r="CE37" s="550"/>
      <c r="CF37" s="550"/>
      <c r="CG37" s="550"/>
      <c r="CH37" s="550"/>
      <c r="FV37" s="32">
        <v>3010</v>
      </c>
      <c r="FW37" s="32">
        <v>3470</v>
      </c>
      <c r="GZ37" s="12"/>
      <c r="HD37" s="12"/>
    </row>
    <row r="38" spans="1:212" s="32" customFormat="1" x14ac:dyDescent="0.25">
      <c r="A38" s="32">
        <v>3</v>
      </c>
      <c r="B38" s="44" t="s">
        <v>3789</v>
      </c>
      <c r="C38" s="32" t="s">
        <v>135</v>
      </c>
      <c r="D38" s="32" t="s">
        <v>136</v>
      </c>
      <c r="E38" s="32">
        <v>2008</v>
      </c>
      <c r="F38" s="32">
        <v>2003</v>
      </c>
      <c r="G38" s="32" t="s">
        <v>137</v>
      </c>
      <c r="H38" s="32" t="s">
        <v>138</v>
      </c>
      <c r="I38" s="32" t="s">
        <v>2816</v>
      </c>
      <c r="J38" s="32">
        <v>49.69</v>
      </c>
      <c r="K38" s="32">
        <v>-112.84</v>
      </c>
      <c r="L38" s="32">
        <v>901</v>
      </c>
      <c r="R38" s="44">
        <v>1</v>
      </c>
      <c r="S38" s="44" t="s">
        <v>1728</v>
      </c>
      <c r="T38" s="44"/>
      <c r="U38" s="44" t="s">
        <v>1845</v>
      </c>
      <c r="V38" s="44" t="s">
        <v>1377</v>
      </c>
      <c r="W38" s="44" t="s">
        <v>1377</v>
      </c>
      <c r="X38" s="44" t="s">
        <v>1377</v>
      </c>
      <c r="Y38" s="44" t="s">
        <v>1377</v>
      </c>
      <c r="AA38" s="323">
        <v>37</v>
      </c>
      <c r="AB38" s="323">
        <v>30</v>
      </c>
      <c r="AC38" s="32" t="s">
        <v>139</v>
      </c>
      <c r="AG38" s="32" t="s">
        <v>1307</v>
      </c>
      <c r="AH38" s="32" t="s">
        <v>1571</v>
      </c>
      <c r="AI38" s="138" t="s">
        <v>1581</v>
      </c>
      <c r="AJ38" s="32" t="s">
        <v>1595</v>
      </c>
      <c r="AK38" s="140" t="s">
        <v>229</v>
      </c>
      <c r="AW38" s="32" t="s">
        <v>119</v>
      </c>
      <c r="AX38" s="32">
        <v>4</v>
      </c>
      <c r="AZ38" s="32" t="s">
        <v>141</v>
      </c>
      <c r="BA38" s="32">
        <v>1170</v>
      </c>
      <c r="BD38" s="53"/>
      <c r="BE38" s="32" t="s">
        <v>144</v>
      </c>
      <c r="BK38" s="32">
        <v>33800</v>
      </c>
      <c r="BL38" s="32">
        <v>36100</v>
      </c>
      <c r="BP38" s="397"/>
      <c r="BQ38" s="397"/>
      <c r="BU38" s="397"/>
      <c r="BV38" s="397"/>
      <c r="BZ38" s="397"/>
      <c r="CA38" s="397"/>
      <c r="CE38" s="550"/>
      <c r="CF38" s="550"/>
      <c r="CG38" s="550"/>
      <c r="CH38" s="550"/>
      <c r="FV38" s="32">
        <v>3010</v>
      </c>
      <c r="FW38" s="32">
        <v>2700</v>
      </c>
      <c r="GZ38" s="12"/>
      <c r="HD38" s="12"/>
    </row>
    <row r="39" spans="1:212" s="32" customFormat="1" x14ac:dyDescent="0.25">
      <c r="A39" s="32">
        <v>3</v>
      </c>
      <c r="B39" s="44" t="s">
        <v>3788</v>
      </c>
      <c r="C39" s="32" t="s">
        <v>135</v>
      </c>
      <c r="D39" s="32" t="s">
        <v>136</v>
      </c>
      <c r="E39" s="32">
        <v>2008</v>
      </c>
      <c r="F39" s="32">
        <v>2003</v>
      </c>
      <c r="G39" s="32" t="s">
        <v>137</v>
      </c>
      <c r="H39" s="32" t="s">
        <v>138</v>
      </c>
      <c r="I39" s="32" t="s">
        <v>2816</v>
      </c>
      <c r="J39" s="32">
        <v>49.69</v>
      </c>
      <c r="K39" s="32">
        <v>-112.84</v>
      </c>
      <c r="L39" s="32">
        <v>901</v>
      </c>
      <c r="R39" s="44">
        <v>1</v>
      </c>
      <c r="S39" s="44" t="s">
        <v>1728</v>
      </c>
      <c r="T39" s="44"/>
      <c r="U39" s="44" t="s">
        <v>1845</v>
      </c>
      <c r="V39" s="44" t="s">
        <v>1377</v>
      </c>
      <c r="W39" s="44" t="s">
        <v>1377</v>
      </c>
      <c r="X39" s="44" t="s">
        <v>1377</v>
      </c>
      <c r="Y39" s="44" t="s">
        <v>1377</v>
      </c>
      <c r="AA39" s="323">
        <v>37</v>
      </c>
      <c r="AB39" s="323">
        <v>30</v>
      </c>
      <c r="AC39" s="32" t="s">
        <v>139</v>
      </c>
      <c r="AG39" s="32" t="s">
        <v>1307</v>
      </c>
      <c r="AH39" s="32" t="s">
        <v>1562</v>
      </c>
      <c r="AI39" s="138" t="s">
        <v>131</v>
      </c>
      <c r="AJ39" s="32" t="s">
        <v>1595</v>
      </c>
      <c r="AK39" s="140" t="s">
        <v>229</v>
      </c>
      <c r="AW39" s="32" t="s">
        <v>119</v>
      </c>
      <c r="AX39" s="32">
        <v>4</v>
      </c>
      <c r="AZ39" s="32" t="s">
        <v>141</v>
      </c>
      <c r="BA39" s="32">
        <v>1480</v>
      </c>
      <c r="BD39" s="53"/>
      <c r="BE39" s="32" t="s">
        <v>144</v>
      </c>
      <c r="BK39" s="32">
        <v>33800</v>
      </c>
      <c r="BL39" s="32">
        <v>38300</v>
      </c>
      <c r="BP39" s="397"/>
      <c r="BQ39" s="397"/>
      <c r="BU39" s="397"/>
      <c r="BV39" s="397"/>
      <c r="BZ39" s="397"/>
      <c r="CA39" s="397"/>
      <c r="CE39" s="550"/>
      <c r="CF39" s="550"/>
      <c r="CG39" s="550"/>
      <c r="CH39" s="550"/>
      <c r="FV39" s="32">
        <v>3010</v>
      </c>
      <c r="FW39" s="32">
        <v>2580</v>
      </c>
      <c r="GZ39" s="12"/>
      <c r="HD39" s="12"/>
    </row>
    <row r="40" spans="1:212" s="32" customFormat="1" x14ac:dyDescent="0.25">
      <c r="A40" s="32">
        <v>3</v>
      </c>
      <c r="B40" s="44" t="s">
        <v>3789</v>
      </c>
      <c r="C40" s="32" t="s">
        <v>135</v>
      </c>
      <c r="D40" s="32" t="s">
        <v>136</v>
      </c>
      <c r="E40" s="32">
        <v>2008</v>
      </c>
      <c r="F40" s="32">
        <v>2003</v>
      </c>
      <c r="G40" s="32" t="s">
        <v>137</v>
      </c>
      <c r="H40" s="32" t="s">
        <v>138</v>
      </c>
      <c r="I40" s="32" t="s">
        <v>2816</v>
      </c>
      <c r="J40" s="32">
        <v>49.69</v>
      </c>
      <c r="K40" s="32">
        <v>-112.84</v>
      </c>
      <c r="L40" s="32">
        <v>901</v>
      </c>
      <c r="R40" s="44">
        <v>1</v>
      </c>
      <c r="S40" s="44" t="s">
        <v>1728</v>
      </c>
      <c r="T40" s="44"/>
      <c r="U40" s="44" t="s">
        <v>1845</v>
      </c>
      <c r="V40" s="44" t="s">
        <v>1377</v>
      </c>
      <c r="W40" s="44" t="s">
        <v>1377</v>
      </c>
      <c r="X40" s="44" t="s">
        <v>1377</v>
      </c>
      <c r="Y40" s="44" t="s">
        <v>1377</v>
      </c>
      <c r="AA40" s="323">
        <v>37</v>
      </c>
      <c r="AB40" s="323">
        <v>30</v>
      </c>
      <c r="AC40" s="32" t="s">
        <v>139</v>
      </c>
      <c r="AG40" s="32" t="s">
        <v>1307</v>
      </c>
      <c r="AH40" s="32" t="s">
        <v>1566</v>
      </c>
      <c r="AI40" s="138" t="s">
        <v>1581</v>
      </c>
      <c r="AJ40" s="32" t="s">
        <v>1595</v>
      </c>
      <c r="AK40" s="140" t="s">
        <v>229</v>
      </c>
      <c r="AW40" s="32" t="s">
        <v>119</v>
      </c>
      <c r="AX40" s="32">
        <v>4</v>
      </c>
      <c r="AZ40" s="32" t="s">
        <v>141</v>
      </c>
      <c r="BA40" s="32">
        <v>690</v>
      </c>
      <c r="BD40" s="53"/>
      <c r="BE40" s="32" t="s">
        <v>144</v>
      </c>
      <c r="BK40" s="32">
        <v>33800</v>
      </c>
      <c r="BL40" s="32">
        <v>35800</v>
      </c>
      <c r="BP40" s="397"/>
      <c r="BQ40" s="397"/>
      <c r="BU40" s="397"/>
      <c r="BV40" s="397"/>
      <c r="BZ40" s="397"/>
      <c r="CA40" s="397"/>
      <c r="CE40" s="550"/>
      <c r="CF40" s="550"/>
      <c r="CG40" s="550"/>
      <c r="CH40" s="550"/>
      <c r="FV40" s="32">
        <v>3010</v>
      </c>
      <c r="FW40" s="32">
        <v>2640</v>
      </c>
      <c r="GZ40" s="12"/>
      <c r="HD40" s="12"/>
    </row>
    <row r="41" spans="1:212" s="32" customFormat="1" x14ac:dyDescent="0.25">
      <c r="A41" s="32">
        <v>3</v>
      </c>
      <c r="B41" s="44" t="s">
        <v>3789</v>
      </c>
      <c r="C41" s="32" t="s">
        <v>135</v>
      </c>
      <c r="D41" s="32" t="s">
        <v>136</v>
      </c>
      <c r="E41" s="32">
        <v>2008</v>
      </c>
      <c r="F41" s="32">
        <v>2003</v>
      </c>
      <c r="G41" s="32" t="s">
        <v>137</v>
      </c>
      <c r="H41" s="32" t="s">
        <v>138</v>
      </c>
      <c r="I41" s="32" t="s">
        <v>2816</v>
      </c>
      <c r="J41" s="32">
        <v>49.69</v>
      </c>
      <c r="K41" s="32">
        <v>-112.84</v>
      </c>
      <c r="L41" s="32">
        <v>901</v>
      </c>
      <c r="R41" s="44">
        <v>1</v>
      </c>
      <c r="S41" s="44" t="s">
        <v>1728</v>
      </c>
      <c r="T41" s="44"/>
      <c r="U41" s="44" t="s">
        <v>1845</v>
      </c>
      <c r="V41" s="44" t="s">
        <v>1377</v>
      </c>
      <c r="W41" s="44" t="s">
        <v>1377</v>
      </c>
      <c r="X41" s="44" t="s">
        <v>1377</v>
      </c>
      <c r="Y41" s="44" t="s">
        <v>1377</v>
      </c>
      <c r="AA41" s="323">
        <v>37</v>
      </c>
      <c r="AB41" s="323">
        <v>30</v>
      </c>
      <c r="AC41" s="32" t="s">
        <v>139</v>
      </c>
      <c r="AG41" s="32" t="s">
        <v>1307</v>
      </c>
      <c r="AH41" s="32" t="s">
        <v>1567</v>
      </c>
      <c r="AI41" s="138" t="s">
        <v>1581</v>
      </c>
      <c r="AJ41" s="32" t="s">
        <v>1595</v>
      </c>
      <c r="AK41" s="140" t="s">
        <v>229</v>
      </c>
      <c r="AW41" s="32" t="s">
        <v>119</v>
      </c>
      <c r="AX41" s="32">
        <v>4</v>
      </c>
      <c r="AZ41" s="32" t="s">
        <v>141</v>
      </c>
      <c r="BA41" s="32">
        <v>400</v>
      </c>
      <c r="BD41" s="53"/>
      <c r="BE41" s="32" t="s">
        <v>144</v>
      </c>
      <c r="BK41" s="32">
        <v>33800</v>
      </c>
      <c r="BL41" s="32">
        <v>35200</v>
      </c>
      <c r="BP41" s="397"/>
      <c r="BQ41" s="397"/>
      <c r="BU41" s="397"/>
      <c r="BV41" s="397"/>
      <c r="BZ41" s="397"/>
      <c r="CA41" s="397"/>
      <c r="CE41" s="550"/>
      <c r="CF41" s="550"/>
      <c r="CG41" s="550"/>
      <c r="CH41" s="550"/>
      <c r="FV41" s="32">
        <v>3010</v>
      </c>
      <c r="FW41" s="32">
        <v>2820</v>
      </c>
      <c r="GZ41" s="12"/>
      <c r="HD41" s="12"/>
    </row>
    <row r="42" spans="1:212" s="32" customFormat="1" x14ac:dyDescent="0.25">
      <c r="A42" s="32">
        <v>3</v>
      </c>
      <c r="B42" s="44" t="s">
        <v>3788</v>
      </c>
      <c r="C42" s="32" t="s">
        <v>135</v>
      </c>
      <c r="D42" s="32" t="s">
        <v>136</v>
      </c>
      <c r="E42" s="32">
        <v>2008</v>
      </c>
      <c r="F42" s="32">
        <v>2003</v>
      </c>
      <c r="G42" s="32" t="s">
        <v>137</v>
      </c>
      <c r="H42" s="32" t="s">
        <v>138</v>
      </c>
      <c r="I42" s="32" t="s">
        <v>2816</v>
      </c>
      <c r="J42" s="32">
        <v>49.69</v>
      </c>
      <c r="K42" s="32">
        <v>-112.84</v>
      </c>
      <c r="L42" s="32">
        <v>901</v>
      </c>
      <c r="R42" s="44">
        <v>1</v>
      </c>
      <c r="S42" s="44" t="s">
        <v>1728</v>
      </c>
      <c r="T42" s="44"/>
      <c r="U42" s="44" t="s">
        <v>1845</v>
      </c>
      <c r="V42" s="44" t="s">
        <v>1377</v>
      </c>
      <c r="W42" s="44" t="s">
        <v>1377</v>
      </c>
      <c r="X42" s="44" t="s">
        <v>1377</v>
      </c>
      <c r="Y42" s="44" t="s">
        <v>1377</v>
      </c>
      <c r="AA42" s="323">
        <v>37</v>
      </c>
      <c r="AB42" s="323">
        <v>30</v>
      </c>
      <c r="AC42" s="32" t="s">
        <v>139</v>
      </c>
      <c r="AG42" s="32" t="s">
        <v>1307</v>
      </c>
      <c r="AH42" s="32" t="s">
        <v>1560</v>
      </c>
      <c r="AI42" s="138" t="s">
        <v>131</v>
      </c>
      <c r="AJ42" s="32" t="s">
        <v>1595</v>
      </c>
      <c r="AK42" s="140" t="s">
        <v>229</v>
      </c>
      <c r="AW42" s="32" t="s">
        <v>119</v>
      </c>
      <c r="AX42" s="32">
        <v>4</v>
      </c>
      <c r="AZ42" s="32" t="s">
        <v>141</v>
      </c>
      <c r="BA42" s="32">
        <v>470</v>
      </c>
      <c r="BD42" s="53"/>
      <c r="BE42" s="32" t="s">
        <v>144</v>
      </c>
      <c r="BK42" s="32">
        <v>33800</v>
      </c>
      <c r="BL42" s="32">
        <v>33900</v>
      </c>
      <c r="BP42" s="397"/>
      <c r="BQ42" s="397"/>
      <c r="BU42" s="397"/>
      <c r="BV42" s="397"/>
      <c r="BZ42" s="397"/>
      <c r="CA42" s="397"/>
      <c r="CE42" s="550"/>
      <c r="CF42" s="550"/>
      <c r="CG42" s="550"/>
      <c r="CH42" s="550"/>
      <c r="FV42" s="32">
        <v>3010</v>
      </c>
      <c r="FW42" s="32">
        <v>3430</v>
      </c>
      <c r="GZ42" s="12"/>
      <c r="HD42" s="12"/>
    </row>
    <row r="43" spans="1:212" s="32" customFormat="1" x14ac:dyDescent="0.25">
      <c r="A43" s="32">
        <v>3</v>
      </c>
      <c r="B43" s="44" t="s">
        <v>3788</v>
      </c>
      <c r="C43" s="32" t="s">
        <v>135</v>
      </c>
      <c r="D43" s="32" t="s">
        <v>136</v>
      </c>
      <c r="E43" s="32">
        <v>2008</v>
      </c>
      <c r="F43" s="32">
        <v>2004</v>
      </c>
      <c r="G43" s="32" t="s">
        <v>137</v>
      </c>
      <c r="H43" s="32" t="s">
        <v>138</v>
      </c>
      <c r="I43" s="32" t="s">
        <v>2816</v>
      </c>
      <c r="J43" s="32">
        <v>49.69</v>
      </c>
      <c r="K43" s="32">
        <v>-112.84</v>
      </c>
      <c r="L43" s="32">
        <v>901</v>
      </c>
      <c r="R43" s="44">
        <v>2</v>
      </c>
      <c r="S43" s="44" t="s">
        <v>1728</v>
      </c>
      <c r="T43" s="44"/>
      <c r="U43" s="44" t="s">
        <v>1845</v>
      </c>
      <c r="V43" s="44" t="s">
        <v>1377</v>
      </c>
      <c r="W43" s="44" t="s">
        <v>1377</v>
      </c>
      <c r="X43" s="44" t="s">
        <v>1377</v>
      </c>
      <c r="Y43" s="44" t="s">
        <v>1377</v>
      </c>
      <c r="AA43" s="323">
        <v>37</v>
      </c>
      <c r="AB43" s="323">
        <v>30</v>
      </c>
      <c r="AC43" s="32" t="s">
        <v>139</v>
      </c>
      <c r="AG43" s="32" t="s">
        <v>1307</v>
      </c>
      <c r="AH43" s="32" t="s">
        <v>1561</v>
      </c>
      <c r="AI43" s="138" t="s">
        <v>131</v>
      </c>
      <c r="AJ43" s="32" t="s">
        <v>1595</v>
      </c>
      <c r="AK43" s="140" t="s">
        <v>229</v>
      </c>
      <c r="AW43" s="32" t="s">
        <v>119</v>
      </c>
      <c r="AX43" s="32">
        <v>4</v>
      </c>
      <c r="AZ43" s="32" t="s">
        <v>141</v>
      </c>
      <c r="BA43" s="32">
        <v>6320</v>
      </c>
      <c r="BD43" s="53"/>
      <c r="BE43" s="32" t="s">
        <v>144</v>
      </c>
      <c r="BK43" s="32">
        <v>28900</v>
      </c>
      <c r="BL43" s="32">
        <v>30800</v>
      </c>
      <c r="BP43" s="397"/>
      <c r="BQ43" s="397"/>
      <c r="BU43" s="397"/>
      <c r="BV43" s="397"/>
      <c r="BZ43" s="397"/>
      <c r="CA43" s="397"/>
      <c r="CE43" s="550"/>
      <c r="CF43" s="550"/>
      <c r="CG43" s="550"/>
      <c r="CH43" s="550"/>
      <c r="FV43" s="32">
        <v>530</v>
      </c>
      <c r="FW43" s="32">
        <v>460</v>
      </c>
      <c r="GZ43" s="12"/>
      <c r="HD43" s="12"/>
    </row>
    <row r="44" spans="1:212" s="32" customFormat="1" x14ac:dyDescent="0.25">
      <c r="A44" s="32">
        <v>3</v>
      </c>
      <c r="B44" s="44" t="s">
        <v>3789</v>
      </c>
      <c r="C44" s="32" t="s">
        <v>135</v>
      </c>
      <c r="D44" s="32" t="s">
        <v>136</v>
      </c>
      <c r="E44" s="32">
        <v>2008</v>
      </c>
      <c r="F44" s="32">
        <v>2004</v>
      </c>
      <c r="G44" s="32" t="s">
        <v>137</v>
      </c>
      <c r="H44" s="32" t="s">
        <v>138</v>
      </c>
      <c r="I44" s="32" t="s">
        <v>2816</v>
      </c>
      <c r="J44" s="32">
        <v>49.69</v>
      </c>
      <c r="K44" s="32">
        <v>-112.84</v>
      </c>
      <c r="L44" s="32">
        <v>901</v>
      </c>
      <c r="R44" s="44">
        <v>2</v>
      </c>
      <c r="S44" s="44" t="s">
        <v>1728</v>
      </c>
      <c r="T44" s="44"/>
      <c r="U44" s="44" t="s">
        <v>1845</v>
      </c>
      <c r="V44" s="44" t="s">
        <v>1377</v>
      </c>
      <c r="W44" s="44" t="s">
        <v>1377</v>
      </c>
      <c r="X44" s="44" t="s">
        <v>1377</v>
      </c>
      <c r="Y44" s="44" t="s">
        <v>1377</v>
      </c>
      <c r="AA44" s="323">
        <v>37</v>
      </c>
      <c r="AB44" s="323">
        <v>30</v>
      </c>
      <c r="AC44" s="32" t="s">
        <v>139</v>
      </c>
      <c r="AG44" s="32" t="s">
        <v>1307</v>
      </c>
      <c r="AH44" s="32" t="s">
        <v>1570</v>
      </c>
      <c r="AI44" s="138" t="s">
        <v>1581</v>
      </c>
      <c r="AJ44" s="32" t="s">
        <v>1595</v>
      </c>
      <c r="AK44" s="140" t="s">
        <v>229</v>
      </c>
      <c r="AW44" s="32" t="s">
        <v>119</v>
      </c>
      <c r="AX44" s="32">
        <v>4</v>
      </c>
      <c r="AZ44" s="32" t="s">
        <v>141</v>
      </c>
      <c r="BA44" s="32">
        <v>990</v>
      </c>
      <c r="BD44" s="53"/>
      <c r="BE44" s="32" t="s">
        <v>144</v>
      </c>
      <c r="BK44" s="32">
        <v>28900</v>
      </c>
      <c r="BL44" s="32">
        <v>30800</v>
      </c>
      <c r="BP44" s="397"/>
      <c r="BQ44" s="397"/>
      <c r="BU44" s="397"/>
      <c r="BV44" s="397"/>
      <c r="BZ44" s="397"/>
      <c r="CA44" s="397"/>
      <c r="CE44" s="550"/>
      <c r="CF44" s="550"/>
      <c r="CG44" s="550"/>
      <c r="CH44" s="550"/>
      <c r="FV44" s="32">
        <v>530</v>
      </c>
      <c r="FW44" s="32">
        <v>690</v>
      </c>
      <c r="GZ44" s="12"/>
      <c r="HD44" s="12"/>
    </row>
    <row r="45" spans="1:212" s="32" customFormat="1" x14ac:dyDescent="0.25">
      <c r="A45" s="32">
        <v>3</v>
      </c>
      <c r="B45" s="44" t="s">
        <v>3789</v>
      </c>
      <c r="C45" s="32" t="s">
        <v>135</v>
      </c>
      <c r="D45" s="32" t="s">
        <v>136</v>
      </c>
      <c r="E45" s="32">
        <v>2008</v>
      </c>
      <c r="F45" s="32">
        <v>2004</v>
      </c>
      <c r="G45" s="32" t="s">
        <v>137</v>
      </c>
      <c r="H45" s="32" t="s">
        <v>138</v>
      </c>
      <c r="I45" s="32" t="s">
        <v>2816</v>
      </c>
      <c r="J45" s="32">
        <v>49.69</v>
      </c>
      <c r="K45" s="32">
        <v>-112.84</v>
      </c>
      <c r="L45" s="32">
        <v>901</v>
      </c>
      <c r="R45" s="44">
        <v>2</v>
      </c>
      <c r="S45" s="44" t="s">
        <v>1728</v>
      </c>
      <c r="T45" s="44"/>
      <c r="U45" s="44" t="s">
        <v>1845</v>
      </c>
      <c r="V45" s="44" t="s">
        <v>1377</v>
      </c>
      <c r="W45" s="44" t="s">
        <v>1377</v>
      </c>
      <c r="X45" s="44" t="s">
        <v>1377</v>
      </c>
      <c r="Y45" s="44" t="s">
        <v>1377</v>
      </c>
      <c r="AA45" s="323">
        <v>37</v>
      </c>
      <c r="AB45" s="323">
        <v>30</v>
      </c>
      <c r="AC45" s="32" t="s">
        <v>139</v>
      </c>
      <c r="AG45" s="32" t="s">
        <v>1307</v>
      </c>
      <c r="AH45" s="32" t="s">
        <v>1571</v>
      </c>
      <c r="AI45" s="138" t="s">
        <v>1581</v>
      </c>
      <c r="AJ45" s="32" t="s">
        <v>1595</v>
      </c>
      <c r="AK45" s="140" t="s">
        <v>229</v>
      </c>
      <c r="AW45" s="32" t="s">
        <v>119</v>
      </c>
      <c r="AX45" s="32">
        <v>4</v>
      </c>
      <c r="AZ45" s="32" t="s">
        <v>141</v>
      </c>
      <c r="BA45" s="32">
        <v>1070</v>
      </c>
      <c r="BD45" s="53"/>
      <c r="BE45" s="32" t="s">
        <v>144</v>
      </c>
      <c r="BK45" s="32">
        <v>28900</v>
      </c>
      <c r="BL45" s="32">
        <v>31300</v>
      </c>
      <c r="BP45" s="397"/>
      <c r="BQ45" s="397"/>
      <c r="BU45" s="397"/>
      <c r="BV45" s="397"/>
      <c r="BZ45" s="397"/>
      <c r="CA45" s="397"/>
      <c r="CE45" s="550"/>
      <c r="CF45" s="550"/>
      <c r="CG45" s="550"/>
      <c r="CH45" s="550"/>
      <c r="FV45" s="32">
        <v>530</v>
      </c>
      <c r="FW45" s="32">
        <v>440</v>
      </c>
      <c r="GZ45" s="12"/>
      <c r="HD45" s="12"/>
    </row>
    <row r="46" spans="1:212" s="32" customFormat="1" x14ac:dyDescent="0.25">
      <c r="A46" s="32">
        <v>3</v>
      </c>
      <c r="B46" s="44" t="s">
        <v>3788</v>
      </c>
      <c r="C46" s="32" t="s">
        <v>135</v>
      </c>
      <c r="D46" s="32" t="s">
        <v>136</v>
      </c>
      <c r="E46" s="32">
        <v>2008</v>
      </c>
      <c r="F46" s="32">
        <v>2004</v>
      </c>
      <c r="G46" s="32" t="s">
        <v>137</v>
      </c>
      <c r="H46" s="32" t="s">
        <v>138</v>
      </c>
      <c r="I46" s="32" t="s">
        <v>2816</v>
      </c>
      <c r="J46" s="32">
        <v>49.69</v>
      </c>
      <c r="K46" s="32">
        <v>-112.84</v>
      </c>
      <c r="L46" s="32">
        <v>901</v>
      </c>
      <c r="R46" s="44">
        <v>2</v>
      </c>
      <c r="S46" s="44" t="s">
        <v>1728</v>
      </c>
      <c r="T46" s="44"/>
      <c r="U46" s="44" t="s">
        <v>1845</v>
      </c>
      <c r="V46" s="44" t="s">
        <v>1377</v>
      </c>
      <c r="W46" s="44" t="s">
        <v>1377</v>
      </c>
      <c r="X46" s="44" t="s">
        <v>1377</v>
      </c>
      <c r="Y46" s="44" t="s">
        <v>1377</v>
      </c>
      <c r="AA46" s="323">
        <v>37</v>
      </c>
      <c r="AB46" s="323">
        <v>30</v>
      </c>
      <c r="AC46" s="32" t="s">
        <v>139</v>
      </c>
      <c r="AG46" s="32" t="s">
        <v>1307</v>
      </c>
      <c r="AH46" s="32" t="s">
        <v>1562</v>
      </c>
      <c r="AI46" s="138" t="s">
        <v>131</v>
      </c>
      <c r="AJ46" s="32" t="s">
        <v>1595</v>
      </c>
      <c r="AK46" s="140" t="s">
        <v>229</v>
      </c>
      <c r="AW46" s="32" t="s">
        <v>119</v>
      </c>
      <c r="AX46" s="32">
        <v>4</v>
      </c>
      <c r="AZ46" s="32" t="s">
        <v>141</v>
      </c>
      <c r="BA46" s="32">
        <v>1130</v>
      </c>
      <c r="BD46" s="53"/>
      <c r="BE46" s="32" t="s">
        <v>144</v>
      </c>
      <c r="BK46" s="32">
        <v>28900</v>
      </c>
      <c r="BL46" s="32">
        <v>30400</v>
      </c>
      <c r="BP46" s="397"/>
      <c r="BQ46" s="397"/>
      <c r="BU46" s="397"/>
      <c r="BV46" s="397"/>
      <c r="BZ46" s="397"/>
      <c r="CA46" s="397"/>
      <c r="CE46" s="550"/>
      <c r="CF46" s="550"/>
      <c r="CG46" s="550"/>
      <c r="CH46" s="550"/>
      <c r="FV46" s="32">
        <v>530</v>
      </c>
      <c r="FW46" s="32">
        <v>820</v>
      </c>
      <c r="GZ46" s="12"/>
      <c r="HD46" s="12"/>
    </row>
    <row r="47" spans="1:212" s="32" customFormat="1" x14ac:dyDescent="0.25">
      <c r="A47" s="32">
        <v>3</v>
      </c>
      <c r="B47" s="44" t="s">
        <v>3789</v>
      </c>
      <c r="C47" s="32" t="s">
        <v>135</v>
      </c>
      <c r="D47" s="32" t="s">
        <v>136</v>
      </c>
      <c r="E47" s="32">
        <v>2008</v>
      </c>
      <c r="F47" s="32">
        <v>2004</v>
      </c>
      <c r="G47" s="32" t="s">
        <v>137</v>
      </c>
      <c r="H47" s="32" t="s">
        <v>138</v>
      </c>
      <c r="I47" s="32" t="s">
        <v>2816</v>
      </c>
      <c r="J47" s="32">
        <v>49.69</v>
      </c>
      <c r="K47" s="32">
        <v>-112.84</v>
      </c>
      <c r="L47" s="32">
        <v>901</v>
      </c>
      <c r="R47" s="44">
        <v>2</v>
      </c>
      <c r="S47" s="44" t="s">
        <v>1728</v>
      </c>
      <c r="T47" s="44"/>
      <c r="U47" s="44" t="s">
        <v>1845</v>
      </c>
      <c r="V47" s="44" t="s">
        <v>1377</v>
      </c>
      <c r="W47" s="44" t="s">
        <v>1377</v>
      </c>
      <c r="X47" s="44" t="s">
        <v>1377</v>
      </c>
      <c r="Y47" s="44" t="s">
        <v>1377</v>
      </c>
      <c r="AA47" s="323">
        <v>37</v>
      </c>
      <c r="AB47" s="323">
        <v>30</v>
      </c>
      <c r="AC47" s="32" t="s">
        <v>139</v>
      </c>
      <c r="AG47" s="32" t="s">
        <v>1307</v>
      </c>
      <c r="AH47" s="32" t="s">
        <v>1566</v>
      </c>
      <c r="AI47" s="138" t="s">
        <v>1581</v>
      </c>
      <c r="AJ47" s="32" t="s">
        <v>1595</v>
      </c>
      <c r="AK47" s="140" t="s">
        <v>229</v>
      </c>
      <c r="AW47" s="32" t="s">
        <v>119</v>
      </c>
      <c r="AX47" s="32">
        <v>4</v>
      </c>
      <c r="AZ47" s="32" t="s">
        <v>141</v>
      </c>
      <c r="BA47" s="32">
        <v>560</v>
      </c>
      <c r="BD47" s="53"/>
      <c r="BE47" s="32" t="s">
        <v>144</v>
      </c>
      <c r="BK47" s="32">
        <v>28900</v>
      </c>
      <c r="BL47" s="32">
        <v>29400</v>
      </c>
      <c r="BP47" s="397"/>
      <c r="BQ47" s="397"/>
      <c r="BU47" s="397"/>
      <c r="BV47" s="397"/>
      <c r="BZ47" s="397"/>
      <c r="CA47" s="397"/>
      <c r="CE47" s="550"/>
      <c r="CF47" s="550"/>
      <c r="CG47" s="550"/>
      <c r="CH47" s="550"/>
      <c r="FV47" s="32">
        <v>530</v>
      </c>
      <c r="FW47" s="32">
        <v>870</v>
      </c>
      <c r="GZ47" s="12"/>
      <c r="HD47" s="12"/>
    </row>
    <row r="48" spans="1:212" s="32" customFormat="1" x14ac:dyDescent="0.25">
      <c r="A48" s="32">
        <v>3</v>
      </c>
      <c r="B48" s="44" t="s">
        <v>3789</v>
      </c>
      <c r="C48" s="32" t="s">
        <v>135</v>
      </c>
      <c r="D48" s="32" t="s">
        <v>136</v>
      </c>
      <c r="E48" s="32">
        <v>2008</v>
      </c>
      <c r="F48" s="32">
        <v>2004</v>
      </c>
      <c r="G48" s="32" t="s">
        <v>137</v>
      </c>
      <c r="H48" s="32" t="s">
        <v>138</v>
      </c>
      <c r="I48" s="32" t="s">
        <v>2816</v>
      </c>
      <c r="J48" s="32">
        <v>49.69</v>
      </c>
      <c r="K48" s="32">
        <v>-112.84</v>
      </c>
      <c r="L48" s="32">
        <v>901</v>
      </c>
      <c r="R48" s="44">
        <v>2</v>
      </c>
      <c r="S48" s="44" t="s">
        <v>1728</v>
      </c>
      <c r="T48" s="44"/>
      <c r="U48" s="44" t="s">
        <v>1845</v>
      </c>
      <c r="V48" s="44" t="s">
        <v>1377</v>
      </c>
      <c r="W48" s="44" t="s">
        <v>1377</v>
      </c>
      <c r="X48" s="44" t="s">
        <v>1377</v>
      </c>
      <c r="Y48" s="44" t="s">
        <v>1377</v>
      </c>
      <c r="AA48" s="323">
        <v>37</v>
      </c>
      <c r="AB48" s="323">
        <v>30</v>
      </c>
      <c r="AC48" s="32" t="s">
        <v>139</v>
      </c>
      <c r="AG48" s="32" t="s">
        <v>1307</v>
      </c>
      <c r="AH48" s="32" t="s">
        <v>1567</v>
      </c>
      <c r="AI48" s="138" t="s">
        <v>1581</v>
      </c>
      <c r="AJ48" s="32" t="s">
        <v>1595</v>
      </c>
      <c r="AK48" s="140" t="s">
        <v>229</v>
      </c>
      <c r="AW48" s="32" t="s">
        <v>119</v>
      </c>
      <c r="AX48" s="32">
        <v>4</v>
      </c>
      <c r="AZ48" s="32" t="s">
        <v>141</v>
      </c>
      <c r="BA48" s="32">
        <v>570</v>
      </c>
      <c r="BD48" s="53"/>
      <c r="BE48" s="32" t="s">
        <v>144</v>
      </c>
      <c r="BK48" s="32">
        <v>28900</v>
      </c>
      <c r="BL48" s="32">
        <v>32300</v>
      </c>
      <c r="BP48" s="397"/>
      <c r="BQ48" s="397"/>
      <c r="BU48" s="397"/>
      <c r="BV48" s="397"/>
      <c r="BZ48" s="397"/>
      <c r="CA48" s="397"/>
      <c r="CE48" s="550"/>
      <c r="CF48" s="550"/>
      <c r="CG48" s="550"/>
      <c r="CH48" s="550"/>
      <c r="FV48" s="32">
        <v>530</v>
      </c>
      <c r="FW48" s="32">
        <v>410</v>
      </c>
      <c r="GZ48" s="12"/>
      <c r="HD48" s="12"/>
    </row>
    <row r="49" spans="1:262" s="32" customFormat="1" x14ac:dyDescent="0.25">
      <c r="A49" s="32">
        <v>3</v>
      </c>
      <c r="B49" s="44" t="s">
        <v>3788</v>
      </c>
      <c r="C49" s="32" t="s">
        <v>135</v>
      </c>
      <c r="D49" s="32" t="s">
        <v>136</v>
      </c>
      <c r="E49" s="32">
        <v>2008</v>
      </c>
      <c r="F49" s="32">
        <v>2004</v>
      </c>
      <c r="G49" s="32" t="s">
        <v>137</v>
      </c>
      <c r="H49" s="32" t="s">
        <v>138</v>
      </c>
      <c r="I49" s="32" t="s">
        <v>2816</v>
      </c>
      <c r="J49" s="32">
        <v>49.69</v>
      </c>
      <c r="K49" s="32">
        <v>-112.84</v>
      </c>
      <c r="L49" s="32">
        <v>901</v>
      </c>
      <c r="R49" s="44">
        <v>2</v>
      </c>
      <c r="S49" s="44" t="s">
        <v>1728</v>
      </c>
      <c r="T49" s="44"/>
      <c r="U49" s="44" t="s">
        <v>1845</v>
      </c>
      <c r="V49" s="44" t="s">
        <v>1377</v>
      </c>
      <c r="W49" s="44" t="s">
        <v>1377</v>
      </c>
      <c r="X49" s="44" t="s">
        <v>1377</v>
      </c>
      <c r="Y49" s="44" t="s">
        <v>1377</v>
      </c>
      <c r="AA49" s="323">
        <v>37</v>
      </c>
      <c r="AB49" s="323">
        <v>30</v>
      </c>
      <c r="AC49" s="32" t="s">
        <v>139</v>
      </c>
      <c r="AG49" s="32" t="s">
        <v>1307</v>
      </c>
      <c r="AH49" s="32" t="s">
        <v>1560</v>
      </c>
      <c r="AI49" s="138" t="s">
        <v>131</v>
      </c>
      <c r="AJ49" s="32" t="s">
        <v>1595</v>
      </c>
      <c r="AK49" s="140" t="s">
        <v>229</v>
      </c>
      <c r="AW49" s="32" t="s">
        <v>119</v>
      </c>
      <c r="AX49" s="32">
        <v>4</v>
      </c>
      <c r="AZ49" s="32" t="s">
        <v>141</v>
      </c>
      <c r="BA49" s="32">
        <v>420</v>
      </c>
      <c r="BD49" s="53"/>
      <c r="BE49" s="32" t="s">
        <v>144</v>
      </c>
      <c r="BK49" s="32">
        <v>28900</v>
      </c>
      <c r="BL49" s="32">
        <v>32000</v>
      </c>
      <c r="BP49" s="397"/>
      <c r="BQ49" s="397"/>
      <c r="BU49" s="397"/>
      <c r="BV49" s="397"/>
      <c r="BZ49" s="397"/>
      <c r="CA49" s="397"/>
      <c r="CE49" s="550"/>
      <c r="CF49" s="550"/>
      <c r="CG49" s="550"/>
      <c r="CH49" s="550"/>
      <c r="FV49" s="32">
        <v>530</v>
      </c>
      <c r="FW49" s="32">
        <v>750</v>
      </c>
      <c r="GZ49" s="12"/>
      <c r="HD49" s="12"/>
    </row>
    <row r="50" spans="1:262" s="32" customFormat="1" x14ac:dyDescent="0.25">
      <c r="A50" s="32">
        <v>3</v>
      </c>
      <c r="B50" s="44" t="s">
        <v>3788</v>
      </c>
      <c r="C50" s="32" t="s">
        <v>135</v>
      </c>
      <c r="D50" s="32" t="s">
        <v>136</v>
      </c>
      <c r="E50" s="32">
        <v>2008</v>
      </c>
      <c r="F50" s="32">
        <v>2005</v>
      </c>
      <c r="G50" s="32" t="s">
        <v>137</v>
      </c>
      <c r="H50" s="32" t="s">
        <v>138</v>
      </c>
      <c r="I50" s="32" t="s">
        <v>2816</v>
      </c>
      <c r="J50" s="32">
        <v>49.69</v>
      </c>
      <c r="K50" s="32">
        <v>-112.84</v>
      </c>
      <c r="L50" s="32">
        <v>901</v>
      </c>
      <c r="R50" s="44">
        <v>3</v>
      </c>
      <c r="S50" s="44" t="s">
        <v>1728</v>
      </c>
      <c r="T50" s="44"/>
      <c r="U50" s="44" t="s">
        <v>1845</v>
      </c>
      <c r="V50" s="44" t="s">
        <v>1377</v>
      </c>
      <c r="W50" s="44" t="s">
        <v>1377</v>
      </c>
      <c r="X50" s="44" t="s">
        <v>1377</v>
      </c>
      <c r="Y50" s="44" t="s">
        <v>1377</v>
      </c>
      <c r="AA50" s="323">
        <v>37</v>
      </c>
      <c r="AB50" s="323">
        <v>30</v>
      </c>
      <c r="AC50" s="32" t="s">
        <v>139</v>
      </c>
      <c r="AG50" s="32" t="s">
        <v>1307</v>
      </c>
      <c r="AH50" s="32" t="s">
        <v>1561</v>
      </c>
      <c r="AI50" s="138" t="s">
        <v>131</v>
      </c>
      <c r="AJ50" s="32" t="s">
        <v>1595</v>
      </c>
      <c r="AK50" s="140" t="s">
        <v>229</v>
      </c>
      <c r="AW50" s="32" t="s">
        <v>119</v>
      </c>
      <c r="AX50" s="32">
        <v>4</v>
      </c>
      <c r="AZ50" s="32" t="s">
        <v>141</v>
      </c>
      <c r="BA50" s="32">
        <v>7940</v>
      </c>
      <c r="BD50" s="53"/>
      <c r="BE50" s="32" t="s">
        <v>144</v>
      </c>
      <c r="BK50" s="32">
        <v>33100</v>
      </c>
      <c r="BL50" s="32">
        <v>32800</v>
      </c>
      <c r="BP50" s="397"/>
      <c r="BQ50" s="397"/>
      <c r="BU50" s="397"/>
      <c r="BV50" s="397"/>
      <c r="BZ50" s="397"/>
      <c r="CA50" s="397"/>
      <c r="CE50" s="550"/>
      <c r="CF50" s="550"/>
      <c r="CG50" s="550"/>
      <c r="CH50" s="550"/>
      <c r="FV50" s="32">
        <v>2460</v>
      </c>
      <c r="FW50" s="32">
        <v>1060</v>
      </c>
      <c r="GZ50" s="12"/>
      <c r="HD50" s="12"/>
    </row>
    <row r="51" spans="1:262" s="32" customFormat="1" x14ac:dyDescent="0.25">
      <c r="A51" s="32">
        <v>3</v>
      </c>
      <c r="B51" s="44" t="s">
        <v>3789</v>
      </c>
      <c r="C51" s="32" t="s">
        <v>135</v>
      </c>
      <c r="D51" s="32" t="s">
        <v>136</v>
      </c>
      <c r="E51" s="32">
        <v>2008</v>
      </c>
      <c r="F51" s="32">
        <v>2005</v>
      </c>
      <c r="G51" s="32" t="s">
        <v>137</v>
      </c>
      <c r="H51" s="32" t="s">
        <v>138</v>
      </c>
      <c r="I51" s="32" t="s">
        <v>2816</v>
      </c>
      <c r="J51" s="32">
        <v>49.69</v>
      </c>
      <c r="K51" s="32">
        <v>-112.84</v>
      </c>
      <c r="L51" s="32">
        <v>901</v>
      </c>
      <c r="R51" s="44">
        <v>3</v>
      </c>
      <c r="S51" s="44" t="s">
        <v>1728</v>
      </c>
      <c r="T51" s="44"/>
      <c r="U51" s="44" t="s">
        <v>1845</v>
      </c>
      <c r="V51" s="44" t="s">
        <v>1377</v>
      </c>
      <c r="W51" s="44" t="s">
        <v>1377</v>
      </c>
      <c r="X51" s="44" t="s">
        <v>1377</v>
      </c>
      <c r="Y51" s="44" t="s">
        <v>1377</v>
      </c>
      <c r="AA51" s="323">
        <v>37</v>
      </c>
      <c r="AB51" s="323">
        <v>30</v>
      </c>
      <c r="AC51" s="32" t="s">
        <v>139</v>
      </c>
      <c r="AG51" s="32" t="s">
        <v>1307</v>
      </c>
      <c r="AH51" s="32" t="s">
        <v>1570</v>
      </c>
      <c r="AI51" s="138" t="s">
        <v>1581</v>
      </c>
      <c r="AJ51" s="32" t="s">
        <v>1595</v>
      </c>
      <c r="AK51" s="140" t="s">
        <v>229</v>
      </c>
      <c r="AW51" s="32" t="s">
        <v>119</v>
      </c>
      <c r="AX51" s="32">
        <v>4</v>
      </c>
      <c r="AZ51" s="32" t="s">
        <v>141</v>
      </c>
      <c r="BA51" s="32">
        <v>380</v>
      </c>
      <c r="BD51" s="53"/>
      <c r="BE51" s="32" t="s">
        <v>144</v>
      </c>
      <c r="BK51" s="32">
        <v>33100</v>
      </c>
      <c r="BL51" s="32">
        <v>32400</v>
      </c>
      <c r="BP51" s="397"/>
      <c r="BQ51" s="397"/>
      <c r="BU51" s="397"/>
      <c r="BV51" s="397"/>
      <c r="BZ51" s="397"/>
      <c r="CA51" s="397"/>
      <c r="CE51" s="550"/>
      <c r="CF51" s="550"/>
      <c r="CG51" s="550"/>
      <c r="CH51" s="550"/>
      <c r="FV51" s="32">
        <v>2460</v>
      </c>
      <c r="FW51" s="32">
        <v>2820</v>
      </c>
      <c r="GZ51" s="12"/>
      <c r="HD51" s="12"/>
    </row>
    <row r="52" spans="1:262" s="32" customFormat="1" x14ac:dyDescent="0.25">
      <c r="A52" s="32">
        <v>3</v>
      </c>
      <c r="B52" s="44" t="s">
        <v>3789</v>
      </c>
      <c r="C52" s="32" t="s">
        <v>135</v>
      </c>
      <c r="D52" s="32" t="s">
        <v>136</v>
      </c>
      <c r="E52" s="32">
        <v>2008</v>
      </c>
      <c r="F52" s="32">
        <v>2005</v>
      </c>
      <c r="G52" s="32" t="s">
        <v>137</v>
      </c>
      <c r="H52" s="32" t="s">
        <v>138</v>
      </c>
      <c r="I52" s="32" t="s">
        <v>2816</v>
      </c>
      <c r="J52" s="32">
        <v>49.69</v>
      </c>
      <c r="K52" s="32">
        <v>-112.84</v>
      </c>
      <c r="L52" s="32">
        <v>901</v>
      </c>
      <c r="R52" s="44">
        <v>3</v>
      </c>
      <c r="S52" s="44" t="s">
        <v>1728</v>
      </c>
      <c r="T52" s="44"/>
      <c r="U52" s="44" t="s">
        <v>1845</v>
      </c>
      <c r="V52" s="44" t="s">
        <v>1377</v>
      </c>
      <c r="W52" s="44" t="s">
        <v>1377</v>
      </c>
      <c r="X52" s="44" t="s">
        <v>1377</v>
      </c>
      <c r="Y52" s="44" t="s">
        <v>1377</v>
      </c>
      <c r="AA52" s="323">
        <v>37</v>
      </c>
      <c r="AB52" s="323">
        <v>30</v>
      </c>
      <c r="AC52" s="32" t="s">
        <v>139</v>
      </c>
      <c r="AG52" s="32" t="s">
        <v>1307</v>
      </c>
      <c r="AH52" s="32" t="s">
        <v>1571</v>
      </c>
      <c r="AI52" s="138" t="s">
        <v>1581</v>
      </c>
      <c r="AJ52" s="32" t="s">
        <v>1595</v>
      </c>
      <c r="AK52" s="140" t="s">
        <v>229</v>
      </c>
      <c r="AW52" s="32" t="s">
        <v>119</v>
      </c>
      <c r="AX52" s="32">
        <v>4</v>
      </c>
      <c r="AZ52" s="32" t="s">
        <v>141</v>
      </c>
      <c r="BA52" s="32">
        <v>400</v>
      </c>
      <c r="BD52" s="53"/>
      <c r="BE52" s="32" t="s">
        <v>144</v>
      </c>
      <c r="BK52" s="32">
        <v>33100</v>
      </c>
      <c r="BL52" s="32">
        <v>32500</v>
      </c>
      <c r="BP52" s="397"/>
      <c r="BQ52" s="397"/>
      <c r="BU52" s="397"/>
      <c r="BV52" s="397"/>
      <c r="BZ52" s="397"/>
      <c r="CA52" s="397"/>
      <c r="CE52" s="550"/>
      <c r="CF52" s="550"/>
      <c r="CG52" s="550"/>
      <c r="CH52" s="550"/>
      <c r="FV52" s="32">
        <v>2460</v>
      </c>
      <c r="FW52" s="32">
        <v>2540</v>
      </c>
      <c r="GZ52" s="12"/>
      <c r="HD52" s="12"/>
    </row>
    <row r="53" spans="1:262" s="32" customFormat="1" x14ac:dyDescent="0.25">
      <c r="A53" s="32">
        <v>3</v>
      </c>
      <c r="B53" s="44" t="s">
        <v>3788</v>
      </c>
      <c r="C53" s="32" t="s">
        <v>135</v>
      </c>
      <c r="D53" s="32" t="s">
        <v>136</v>
      </c>
      <c r="E53" s="32">
        <v>2008</v>
      </c>
      <c r="F53" s="32">
        <v>2005</v>
      </c>
      <c r="G53" s="32" t="s">
        <v>137</v>
      </c>
      <c r="H53" s="32" t="s">
        <v>138</v>
      </c>
      <c r="I53" s="32" t="s">
        <v>2816</v>
      </c>
      <c r="J53" s="32">
        <v>49.69</v>
      </c>
      <c r="K53" s="32">
        <v>-112.84</v>
      </c>
      <c r="L53" s="32">
        <v>901</v>
      </c>
      <c r="R53" s="44">
        <v>3</v>
      </c>
      <c r="S53" s="44" t="s">
        <v>1728</v>
      </c>
      <c r="T53" s="44"/>
      <c r="U53" s="44" t="s">
        <v>1845</v>
      </c>
      <c r="V53" s="44" t="s">
        <v>1377</v>
      </c>
      <c r="W53" s="44" t="s">
        <v>1377</v>
      </c>
      <c r="X53" s="44" t="s">
        <v>1377</v>
      </c>
      <c r="Y53" s="44" t="s">
        <v>1377</v>
      </c>
      <c r="AA53" s="323">
        <v>37</v>
      </c>
      <c r="AB53" s="323">
        <v>30</v>
      </c>
      <c r="AC53" s="32" t="s">
        <v>139</v>
      </c>
      <c r="AG53" s="32" t="s">
        <v>1307</v>
      </c>
      <c r="AH53" s="32" t="s">
        <v>1562</v>
      </c>
      <c r="AI53" s="138" t="s">
        <v>131</v>
      </c>
      <c r="AJ53" s="32" t="s">
        <v>1595</v>
      </c>
      <c r="AK53" s="140" t="s">
        <v>229</v>
      </c>
      <c r="AW53" s="32" t="s">
        <v>119</v>
      </c>
      <c r="AX53" s="32">
        <v>4</v>
      </c>
      <c r="AZ53" s="32" t="s">
        <v>141</v>
      </c>
      <c r="BA53" s="32">
        <v>1140</v>
      </c>
      <c r="BD53" s="53"/>
      <c r="BE53" s="32" t="s">
        <v>144</v>
      </c>
      <c r="BK53" s="32">
        <v>33100</v>
      </c>
      <c r="BL53" s="32">
        <v>34000</v>
      </c>
      <c r="BP53" s="397"/>
      <c r="BQ53" s="397"/>
      <c r="BU53" s="397"/>
      <c r="BV53" s="397"/>
      <c r="BZ53" s="397"/>
      <c r="CA53" s="397"/>
      <c r="CE53" s="550"/>
      <c r="CF53" s="550"/>
      <c r="CG53" s="550"/>
      <c r="CH53" s="550"/>
      <c r="FV53" s="32">
        <v>2460</v>
      </c>
      <c r="FW53" s="32">
        <v>1980</v>
      </c>
      <c r="GZ53" s="12"/>
      <c r="HD53" s="12"/>
    </row>
    <row r="54" spans="1:262" s="32" customFormat="1" x14ac:dyDescent="0.25">
      <c r="A54" s="32">
        <v>3</v>
      </c>
      <c r="B54" s="44" t="s">
        <v>3789</v>
      </c>
      <c r="C54" s="32" t="s">
        <v>135</v>
      </c>
      <c r="D54" s="32" t="s">
        <v>136</v>
      </c>
      <c r="E54" s="32">
        <v>2008</v>
      </c>
      <c r="F54" s="32">
        <v>2005</v>
      </c>
      <c r="G54" s="32" t="s">
        <v>137</v>
      </c>
      <c r="H54" s="32" t="s">
        <v>138</v>
      </c>
      <c r="I54" s="32" t="s">
        <v>2816</v>
      </c>
      <c r="J54" s="32">
        <v>49.69</v>
      </c>
      <c r="K54" s="32">
        <v>-112.84</v>
      </c>
      <c r="L54" s="32">
        <v>901</v>
      </c>
      <c r="R54" s="44">
        <v>3</v>
      </c>
      <c r="S54" s="44" t="s">
        <v>1728</v>
      </c>
      <c r="T54" s="44"/>
      <c r="U54" s="44" t="s">
        <v>1845</v>
      </c>
      <c r="V54" s="44" t="s">
        <v>1377</v>
      </c>
      <c r="W54" s="44" t="s">
        <v>1377</v>
      </c>
      <c r="X54" s="44" t="s">
        <v>1377</v>
      </c>
      <c r="Y54" s="44" t="s">
        <v>1377</v>
      </c>
      <c r="AA54" s="323">
        <v>37</v>
      </c>
      <c r="AB54" s="323">
        <v>30</v>
      </c>
      <c r="AC54" s="32" t="s">
        <v>139</v>
      </c>
      <c r="AG54" s="32" t="s">
        <v>1307</v>
      </c>
      <c r="AH54" s="32" t="s">
        <v>1566</v>
      </c>
      <c r="AI54" s="138" t="s">
        <v>1581</v>
      </c>
      <c r="AJ54" s="32" t="s">
        <v>1595</v>
      </c>
      <c r="AK54" s="140" t="s">
        <v>229</v>
      </c>
      <c r="AW54" s="32" t="s">
        <v>119</v>
      </c>
      <c r="AX54" s="32">
        <v>4</v>
      </c>
      <c r="AZ54" s="32" t="s">
        <v>141</v>
      </c>
      <c r="BA54" s="32">
        <v>190</v>
      </c>
      <c r="BD54" s="53"/>
      <c r="BE54" s="32" t="s">
        <v>144</v>
      </c>
      <c r="BK54" s="32">
        <v>33100</v>
      </c>
      <c r="BL54" s="32">
        <v>30600</v>
      </c>
      <c r="BP54" s="397"/>
      <c r="BQ54" s="397"/>
      <c r="BU54" s="397"/>
      <c r="BV54" s="397"/>
      <c r="BZ54" s="397"/>
      <c r="CA54" s="397"/>
      <c r="CE54" s="550"/>
      <c r="CF54" s="550"/>
      <c r="CG54" s="550"/>
      <c r="CH54" s="550"/>
      <c r="FV54" s="32">
        <v>2460</v>
      </c>
      <c r="FW54" s="32">
        <v>1940</v>
      </c>
      <c r="GZ54" s="12"/>
      <c r="HD54" s="12"/>
    </row>
    <row r="55" spans="1:262" s="32" customFormat="1" x14ac:dyDescent="0.25">
      <c r="A55" s="32">
        <v>3</v>
      </c>
      <c r="B55" s="44" t="s">
        <v>3789</v>
      </c>
      <c r="C55" s="32" t="s">
        <v>135</v>
      </c>
      <c r="D55" s="32" t="s">
        <v>136</v>
      </c>
      <c r="E55" s="32">
        <v>2008</v>
      </c>
      <c r="F55" s="32">
        <v>2005</v>
      </c>
      <c r="G55" s="32" t="s">
        <v>137</v>
      </c>
      <c r="H55" s="32" t="s">
        <v>138</v>
      </c>
      <c r="I55" s="32" t="s">
        <v>2816</v>
      </c>
      <c r="J55" s="32">
        <v>49.69</v>
      </c>
      <c r="K55" s="32">
        <v>-112.84</v>
      </c>
      <c r="L55" s="32">
        <v>901</v>
      </c>
      <c r="R55" s="44">
        <v>3</v>
      </c>
      <c r="S55" s="44" t="s">
        <v>1728</v>
      </c>
      <c r="T55" s="44"/>
      <c r="U55" s="44" t="s">
        <v>1845</v>
      </c>
      <c r="V55" s="44" t="s">
        <v>1377</v>
      </c>
      <c r="W55" s="44" t="s">
        <v>1377</v>
      </c>
      <c r="X55" s="44" t="s">
        <v>1377</v>
      </c>
      <c r="Y55" s="44" t="s">
        <v>1377</v>
      </c>
      <c r="AA55" s="323">
        <v>37</v>
      </c>
      <c r="AB55" s="323">
        <v>30</v>
      </c>
      <c r="AC55" s="32" t="s">
        <v>139</v>
      </c>
      <c r="AG55" s="32" t="s">
        <v>1307</v>
      </c>
      <c r="AH55" s="32" t="s">
        <v>1567</v>
      </c>
      <c r="AI55" s="138" t="s">
        <v>1581</v>
      </c>
      <c r="AJ55" s="32" t="s">
        <v>1595</v>
      </c>
      <c r="AK55" s="140" t="s">
        <v>229</v>
      </c>
      <c r="AW55" s="32" t="s">
        <v>119</v>
      </c>
      <c r="AX55" s="32">
        <v>4</v>
      </c>
      <c r="AZ55" s="32" t="s">
        <v>141</v>
      </c>
      <c r="BA55" s="32">
        <v>280</v>
      </c>
      <c r="BD55" s="53"/>
      <c r="BE55" s="32" t="s">
        <v>144</v>
      </c>
      <c r="BK55" s="32">
        <v>33100</v>
      </c>
      <c r="BL55" s="32">
        <v>30900</v>
      </c>
      <c r="BP55" s="397"/>
      <c r="BQ55" s="397"/>
      <c r="BU55" s="397"/>
      <c r="BV55" s="397"/>
      <c r="BZ55" s="397"/>
      <c r="CA55" s="397"/>
      <c r="CE55" s="550"/>
      <c r="CF55" s="550"/>
      <c r="CG55" s="550"/>
      <c r="CH55" s="550"/>
      <c r="FV55" s="32">
        <v>2460</v>
      </c>
      <c r="FW55" s="32">
        <v>1910</v>
      </c>
      <c r="GZ55" s="12"/>
      <c r="HD55" s="12"/>
    </row>
    <row r="56" spans="1:262" s="32" customFormat="1" x14ac:dyDescent="0.25">
      <c r="A56" s="32">
        <v>3</v>
      </c>
      <c r="B56" s="44" t="s">
        <v>3788</v>
      </c>
      <c r="C56" s="32" t="s">
        <v>135</v>
      </c>
      <c r="D56" s="32" t="s">
        <v>136</v>
      </c>
      <c r="E56" s="32">
        <v>2008</v>
      </c>
      <c r="F56" s="32">
        <v>2005</v>
      </c>
      <c r="G56" s="32" t="s">
        <v>137</v>
      </c>
      <c r="H56" s="32" t="s">
        <v>138</v>
      </c>
      <c r="I56" s="32" t="s">
        <v>2816</v>
      </c>
      <c r="J56" s="32">
        <v>49.69</v>
      </c>
      <c r="K56" s="32">
        <v>-112.84</v>
      </c>
      <c r="L56" s="32">
        <v>901</v>
      </c>
      <c r="R56" s="44">
        <v>3</v>
      </c>
      <c r="S56" s="44" t="s">
        <v>1728</v>
      </c>
      <c r="T56" s="44"/>
      <c r="U56" s="44" t="s">
        <v>1845</v>
      </c>
      <c r="V56" s="44" t="s">
        <v>1377</v>
      </c>
      <c r="W56" s="44" t="s">
        <v>1377</v>
      </c>
      <c r="X56" s="44" t="s">
        <v>1377</v>
      </c>
      <c r="Y56" s="44" t="s">
        <v>1377</v>
      </c>
      <c r="AA56" s="323">
        <v>37</v>
      </c>
      <c r="AB56" s="323">
        <v>30</v>
      </c>
      <c r="AC56" s="32" t="s">
        <v>139</v>
      </c>
      <c r="AG56" s="32" t="s">
        <v>1307</v>
      </c>
      <c r="AH56" s="32" t="s">
        <v>1560</v>
      </c>
      <c r="AI56" s="138" t="s">
        <v>131</v>
      </c>
      <c r="AJ56" s="32" t="s">
        <v>1595</v>
      </c>
      <c r="AK56" s="140" t="s">
        <v>229</v>
      </c>
      <c r="AW56" s="32" t="s">
        <v>119</v>
      </c>
      <c r="AX56" s="32">
        <v>4</v>
      </c>
      <c r="AZ56" s="32" t="s">
        <v>141</v>
      </c>
      <c r="BA56" s="32">
        <v>230</v>
      </c>
      <c r="BD56" s="53"/>
      <c r="BE56" s="32" t="s">
        <v>144</v>
      </c>
      <c r="BK56" s="32">
        <v>33100</v>
      </c>
      <c r="BL56" s="32">
        <v>30500</v>
      </c>
      <c r="BP56" s="397"/>
      <c r="BQ56" s="397"/>
      <c r="BU56" s="397"/>
      <c r="BV56" s="397"/>
      <c r="BZ56" s="397"/>
      <c r="CA56" s="397"/>
      <c r="CE56" s="550"/>
      <c r="CF56" s="550"/>
      <c r="CG56" s="550"/>
      <c r="CH56" s="550"/>
      <c r="FV56" s="32">
        <v>2460</v>
      </c>
      <c r="FW56" s="32">
        <v>2070</v>
      </c>
      <c r="GZ56" s="12"/>
      <c r="HD56" s="12"/>
    </row>
    <row r="57" spans="1:262" s="151" customFormat="1" x14ac:dyDescent="0.25">
      <c r="A57" s="151">
        <v>4</v>
      </c>
      <c r="B57" s="152" t="s">
        <v>3790</v>
      </c>
      <c r="C57" s="151" t="s">
        <v>149</v>
      </c>
      <c r="D57" s="151" t="s">
        <v>150</v>
      </c>
      <c r="E57" s="151">
        <v>2010</v>
      </c>
      <c r="F57" s="151">
        <f>(1995+2009)/2</f>
        <v>2002</v>
      </c>
      <c r="G57" s="151" t="s">
        <v>151</v>
      </c>
      <c r="H57" s="151" t="s">
        <v>152</v>
      </c>
      <c r="I57" s="151" t="s">
        <v>2815</v>
      </c>
      <c r="J57" s="151">
        <v>38.14</v>
      </c>
      <c r="K57" s="151">
        <v>-97.43</v>
      </c>
      <c r="L57" s="151">
        <v>450</v>
      </c>
      <c r="N57" s="151">
        <v>14.4</v>
      </c>
      <c r="P57" s="151">
        <v>874</v>
      </c>
      <c r="R57" s="152" t="s">
        <v>1734</v>
      </c>
      <c r="S57" s="152" t="s">
        <v>1717</v>
      </c>
      <c r="T57" s="152" t="s">
        <v>1442</v>
      </c>
      <c r="U57" s="152" t="s">
        <v>1848</v>
      </c>
      <c r="V57" s="152" t="s">
        <v>1380</v>
      </c>
      <c r="W57" s="152" t="s">
        <v>1716</v>
      </c>
      <c r="X57" s="152" t="s">
        <v>1380</v>
      </c>
      <c r="Y57" s="152" t="s">
        <v>1382</v>
      </c>
      <c r="Z57" s="398">
        <v>1.698</v>
      </c>
      <c r="AA57" s="324"/>
      <c r="AB57" s="324"/>
      <c r="AC57" s="151" t="s">
        <v>450</v>
      </c>
      <c r="AG57" s="151" t="s">
        <v>1308</v>
      </c>
      <c r="AH57" s="151" t="s">
        <v>158</v>
      </c>
      <c r="AI57" s="151" t="s">
        <v>577</v>
      </c>
      <c r="AJ57" s="151" t="s">
        <v>1590</v>
      </c>
      <c r="AK57" s="142" t="s">
        <v>1619</v>
      </c>
      <c r="AL57" s="151" t="s">
        <v>157</v>
      </c>
      <c r="AM57" s="151" t="s">
        <v>157</v>
      </c>
      <c r="AN57" s="151" t="s">
        <v>177</v>
      </c>
      <c r="AO57" s="151" t="s">
        <v>156</v>
      </c>
      <c r="AP57" s="151" t="s">
        <v>156</v>
      </c>
      <c r="AQ57" s="151" t="s">
        <v>2126</v>
      </c>
      <c r="AR57" s="151" t="s">
        <v>2126</v>
      </c>
      <c r="AS57" s="151" t="s">
        <v>177</v>
      </c>
      <c r="AT57" s="151" t="s">
        <v>161</v>
      </c>
      <c r="AU57" s="151" t="s">
        <v>161</v>
      </c>
      <c r="AV57" s="151" t="s">
        <v>177</v>
      </c>
      <c r="AW57" s="151" t="s">
        <v>160</v>
      </c>
      <c r="AX57" s="151">
        <v>4</v>
      </c>
      <c r="AZ57" s="151" t="s">
        <v>141</v>
      </c>
      <c r="BM57" s="153"/>
      <c r="BN57" s="153"/>
      <c r="BO57" s="153"/>
      <c r="BP57" s="398">
        <v>1.698</v>
      </c>
      <c r="BQ57" s="398">
        <v>1.6326000000000001</v>
      </c>
      <c r="BU57" s="398">
        <f>13.681/10</f>
        <v>1.3680999999999999</v>
      </c>
      <c r="BV57" s="398">
        <f>16.9325/10</f>
        <v>1.6932500000000001</v>
      </c>
      <c r="BY57" s="151" t="s">
        <v>163</v>
      </c>
      <c r="BZ57" s="398"/>
      <c r="CA57" s="398"/>
      <c r="CE57" s="551">
        <v>1.3680999999999999</v>
      </c>
      <c r="CF57" s="551">
        <v>1.6932500000000001</v>
      </c>
      <c r="CG57" s="551"/>
      <c r="CH57" s="551"/>
      <c r="CI57" s="151" t="s">
        <v>4542</v>
      </c>
      <c r="DS57" s="151">
        <v>24</v>
      </c>
      <c r="DT57" s="151">
        <v>44</v>
      </c>
      <c r="DW57" s="151" t="s">
        <v>1737</v>
      </c>
      <c r="EC57" s="126">
        <v>0.86129999999999995</v>
      </c>
      <c r="ED57" s="126">
        <v>0.80740000000000001</v>
      </c>
      <c r="EE57" s="126"/>
      <c r="EF57" s="126"/>
      <c r="EG57" s="126" t="s">
        <v>1443</v>
      </c>
      <c r="EH57" s="151">
        <f>(1.1169+4.1126+5.577+10.9731)/4</f>
        <v>5.4449000000000005</v>
      </c>
      <c r="EI57" s="151">
        <f>(0.4534+10.1059+14.3185+18.7023)/4</f>
        <v>10.895025</v>
      </c>
      <c r="EL57" s="151" t="s">
        <v>1736</v>
      </c>
      <c r="FG57" s="151">
        <v>21.817599999999999</v>
      </c>
      <c r="FH57" s="151">
        <v>18.354199999999999</v>
      </c>
      <c r="FL57" s="151">
        <v>15.68</v>
      </c>
      <c r="FM57" s="151">
        <v>16.837</v>
      </c>
      <c r="GK57" s="151">
        <v>92.7</v>
      </c>
      <c r="GL57" s="151">
        <v>372.7</v>
      </c>
      <c r="GO57" s="200" t="s">
        <v>1656</v>
      </c>
      <c r="GP57" s="200"/>
      <c r="GQ57" s="200"/>
      <c r="GR57" s="200"/>
      <c r="GS57" s="200"/>
      <c r="GT57" s="200"/>
      <c r="GU57" s="200"/>
      <c r="GV57" s="200"/>
      <c r="GW57" s="200"/>
      <c r="GX57" s="200"/>
      <c r="GY57" s="200"/>
      <c r="JB57" s="151" t="s">
        <v>717</v>
      </c>
    </row>
    <row r="58" spans="1:262" s="22" customFormat="1" x14ac:dyDescent="0.25">
      <c r="A58" s="22">
        <v>4</v>
      </c>
      <c r="B58" s="45" t="s">
        <v>3791</v>
      </c>
      <c r="C58" s="22" t="s">
        <v>149</v>
      </c>
      <c r="D58" s="22" t="s">
        <v>150</v>
      </c>
      <c r="E58" s="22">
        <v>2010</v>
      </c>
      <c r="F58" s="22">
        <f>(1995+2009)/2</f>
        <v>2002</v>
      </c>
      <c r="G58" s="22" t="s">
        <v>151</v>
      </c>
      <c r="H58" s="22" t="s">
        <v>152</v>
      </c>
      <c r="I58" s="22" t="s">
        <v>2815</v>
      </c>
      <c r="J58" s="22">
        <v>38.14</v>
      </c>
      <c r="K58" s="22">
        <v>-97.43</v>
      </c>
      <c r="L58" s="22">
        <v>450</v>
      </c>
      <c r="N58" s="22">
        <v>14.4</v>
      </c>
      <c r="P58" s="22">
        <v>874</v>
      </c>
      <c r="R58" s="45" t="s">
        <v>1734</v>
      </c>
      <c r="S58" s="45" t="s">
        <v>1717</v>
      </c>
      <c r="T58" s="45" t="s">
        <v>1442</v>
      </c>
      <c r="U58" s="45" t="s">
        <v>1848</v>
      </c>
      <c r="V58" s="45" t="s">
        <v>1381</v>
      </c>
      <c r="W58" s="45" t="s">
        <v>1716</v>
      </c>
      <c r="X58" s="45" t="s">
        <v>1380</v>
      </c>
      <c r="Y58" s="45" t="s">
        <v>1382</v>
      </c>
      <c r="Z58" s="399">
        <v>1.6915</v>
      </c>
      <c r="AA58" s="325"/>
      <c r="AB58" s="325"/>
      <c r="AC58" s="22" t="s">
        <v>450</v>
      </c>
      <c r="AG58" s="22" t="s">
        <v>1308</v>
      </c>
      <c r="AH58" s="22" t="s">
        <v>158</v>
      </c>
      <c r="AI58" s="138" t="s">
        <v>577</v>
      </c>
      <c r="AJ58" s="22" t="s">
        <v>1590</v>
      </c>
      <c r="AK58" s="142" t="s">
        <v>1619</v>
      </c>
      <c r="AL58" s="22" t="s">
        <v>157</v>
      </c>
      <c r="AM58" s="22" t="s">
        <v>157</v>
      </c>
      <c r="AN58" s="22" t="s">
        <v>177</v>
      </c>
      <c r="AO58" s="22" t="s">
        <v>156</v>
      </c>
      <c r="AP58" s="22" t="s">
        <v>156</v>
      </c>
      <c r="AQ58" s="22" t="s">
        <v>2126</v>
      </c>
      <c r="AR58" s="22" t="s">
        <v>2126</v>
      </c>
      <c r="AS58" s="22" t="s">
        <v>177</v>
      </c>
      <c r="AT58" s="22" t="s">
        <v>161</v>
      </c>
      <c r="AU58" s="22" t="s">
        <v>161</v>
      </c>
      <c r="AV58" s="22" t="s">
        <v>177</v>
      </c>
      <c r="AW58" s="22" t="s">
        <v>160</v>
      </c>
      <c r="AX58" s="22">
        <v>4</v>
      </c>
      <c r="AZ58" s="22" t="s">
        <v>141</v>
      </c>
      <c r="BD58" s="55"/>
      <c r="BM58" s="23"/>
      <c r="BN58" s="23"/>
      <c r="BO58" s="23"/>
      <c r="BP58" s="399">
        <v>1.6915</v>
      </c>
      <c r="BQ58" s="399">
        <v>1.6998</v>
      </c>
      <c r="BU58" s="399">
        <f>10.3067/10</f>
        <v>1.03067</v>
      </c>
      <c r="BV58" s="399">
        <f>10.7055/10</f>
        <v>1.0705500000000001</v>
      </c>
      <c r="BY58" s="22" t="s">
        <v>163</v>
      </c>
      <c r="BZ58" s="399"/>
      <c r="CA58" s="399"/>
      <c r="CE58" s="552">
        <v>1.03067</v>
      </c>
      <c r="CF58" s="552">
        <v>1.0705500000000001</v>
      </c>
      <c r="CG58" s="552"/>
      <c r="CH58" s="552"/>
      <c r="CI58" s="22" t="s">
        <v>4542</v>
      </c>
      <c r="DS58" s="22">
        <v>14</v>
      </c>
      <c r="DT58" s="22">
        <v>24</v>
      </c>
      <c r="DW58" s="151" t="s">
        <v>1737</v>
      </c>
      <c r="EC58" s="126">
        <v>0.86129999999999995</v>
      </c>
      <c r="ED58" s="126">
        <f>(1.0549+0.9738)/2</f>
        <v>1.0143499999999999</v>
      </c>
      <c r="EE58" s="126"/>
      <c r="EF58" s="126"/>
      <c r="EG58" s="126" t="s">
        <v>1443</v>
      </c>
      <c r="EH58" s="126">
        <f>(1.12+3.14+5.7)/3</f>
        <v>3.3200000000000003</v>
      </c>
      <c r="EI58" s="126">
        <f>(1.88+6.2+11.22)/3</f>
        <v>6.4333333333333336</v>
      </c>
      <c r="EJ58" s="126"/>
      <c r="EK58" s="126"/>
      <c r="EL58" s="151" t="s">
        <v>1735</v>
      </c>
      <c r="FG58" s="22">
        <v>18.5625</v>
      </c>
      <c r="FH58" s="22">
        <v>16.010400000000001</v>
      </c>
      <c r="FL58" s="22">
        <v>15.21</v>
      </c>
      <c r="FM58" s="22">
        <v>16.279</v>
      </c>
      <c r="GO58" s="12"/>
      <c r="GP58" s="12"/>
      <c r="GQ58" s="12"/>
      <c r="GR58" s="12"/>
      <c r="GS58" s="12"/>
      <c r="GT58" s="12"/>
      <c r="GU58" s="12"/>
      <c r="GV58" s="12"/>
      <c r="GW58" s="12"/>
      <c r="GX58" s="12"/>
      <c r="GY58" s="12"/>
      <c r="JB58" s="22" t="s">
        <v>717</v>
      </c>
    </row>
    <row r="59" spans="1:262" s="151" customFormat="1" x14ac:dyDescent="0.25">
      <c r="A59" s="151">
        <v>4</v>
      </c>
      <c r="B59" s="152" t="s">
        <v>3790</v>
      </c>
      <c r="C59" s="151" t="s">
        <v>149</v>
      </c>
      <c r="D59" s="151" t="s">
        <v>150</v>
      </c>
      <c r="E59" s="151">
        <v>2010</v>
      </c>
      <c r="F59" s="151">
        <f t="shared" ref="F59:F64" si="0">(1995+2009)/2</f>
        <v>2002</v>
      </c>
      <c r="G59" s="151" t="s">
        <v>151</v>
      </c>
      <c r="H59" s="151" t="s">
        <v>152</v>
      </c>
      <c r="I59" s="151" t="s">
        <v>2815</v>
      </c>
      <c r="J59" s="151">
        <v>38.14</v>
      </c>
      <c r="K59" s="151">
        <v>-97.43</v>
      </c>
      <c r="L59" s="151">
        <v>450</v>
      </c>
      <c r="N59" s="151">
        <v>14.4</v>
      </c>
      <c r="P59" s="151">
        <v>874</v>
      </c>
      <c r="R59" s="152" t="s">
        <v>1734</v>
      </c>
      <c r="S59" s="152" t="s">
        <v>1717</v>
      </c>
      <c r="T59" s="152" t="s">
        <v>1442</v>
      </c>
      <c r="U59" s="152" t="s">
        <v>1848</v>
      </c>
      <c r="V59" s="152" t="s">
        <v>1380</v>
      </c>
      <c r="W59" s="152" t="s">
        <v>1716</v>
      </c>
      <c r="X59" s="152" t="s">
        <v>1380</v>
      </c>
      <c r="Y59" s="152" t="s">
        <v>1382</v>
      </c>
      <c r="Z59" s="398">
        <v>1.698</v>
      </c>
      <c r="AA59" s="324"/>
      <c r="AB59" s="324"/>
      <c r="AC59" s="151" t="s">
        <v>450</v>
      </c>
      <c r="AG59" s="151" t="s">
        <v>1308</v>
      </c>
      <c r="AH59" s="151" t="s">
        <v>159</v>
      </c>
      <c r="AI59" s="138" t="s">
        <v>577</v>
      </c>
      <c r="AJ59" s="151" t="s">
        <v>1590</v>
      </c>
      <c r="AK59" s="142" t="s">
        <v>1619</v>
      </c>
      <c r="AL59" s="151" t="s">
        <v>157</v>
      </c>
      <c r="AM59" s="151" t="s">
        <v>157</v>
      </c>
      <c r="AN59" s="151" t="s">
        <v>177</v>
      </c>
      <c r="AO59" s="151" t="s">
        <v>156</v>
      </c>
      <c r="AP59" s="151" t="s">
        <v>156</v>
      </c>
      <c r="AQ59" s="151" t="s">
        <v>2126</v>
      </c>
      <c r="AR59" s="151" t="s">
        <v>2126</v>
      </c>
      <c r="AS59" s="151" t="s">
        <v>177</v>
      </c>
      <c r="AT59" s="151" t="s">
        <v>161</v>
      </c>
      <c r="AU59" s="151" t="s">
        <v>161</v>
      </c>
      <c r="AV59" s="151" t="s">
        <v>177</v>
      </c>
      <c r="AW59" s="151" t="s">
        <v>160</v>
      </c>
      <c r="AX59" s="151">
        <v>4</v>
      </c>
      <c r="AZ59" s="151" t="s">
        <v>141</v>
      </c>
      <c r="BM59" s="153"/>
      <c r="BN59" s="153"/>
      <c r="BO59" s="153"/>
      <c r="BP59" s="398">
        <v>1.698</v>
      </c>
      <c r="BQ59" s="398">
        <v>1.6104000000000001</v>
      </c>
      <c r="BU59" s="398">
        <f>13.681/10</f>
        <v>1.3680999999999999</v>
      </c>
      <c r="BV59" s="398">
        <f>18.1595/10</f>
        <v>1.8159500000000002</v>
      </c>
      <c r="BY59" s="151" t="s">
        <v>163</v>
      </c>
      <c r="BZ59" s="398"/>
      <c r="CA59" s="398"/>
      <c r="CE59" s="551">
        <v>1.3680999999999999</v>
      </c>
      <c r="CF59" s="551">
        <v>1.8159500000000002</v>
      </c>
      <c r="CG59" s="551"/>
      <c r="CH59" s="551"/>
      <c r="CI59" s="151" t="s">
        <v>4542</v>
      </c>
      <c r="DS59" s="151">
        <v>24</v>
      </c>
      <c r="DT59" s="151">
        <v>41</v>
      </c>
      <c r="DW59" s="151" t="s">
        <v>1737</v>
      </c>
      <c r="EC59" s="126">
        <v>0.86129999999999995</v>
      </c>
      <c r="ED59" s="126">
        <v>0.89339999999999997</v>
      </c>
      <c r="EE59" s="126"/>
      <c r="EF59" s="126"/>
      <c r="EG59" s="126" t="s">
        <v>1443</v>
      </c>
      <c r="EH59" s="151">
        <f t="shared" ref="EH59" si="1">(1.1169+4.1126+5.577+10.9731)/4</f>
        <v>5.4449000000000005</v>
      </c>
      <c r="EI59" s="151">
        <f>(5.8369+13.6663+17.0158+24.68)/4</f>
        <v>15.29975</v>
      </c>
      <c r="EL59" s="151" t="s">
        <v>1736</v>
      </c>
      <c r="FG59" s="151">
        <v>21.817599999999999</v>
      </c>
      <c r="FH59" s="151">
        <v>18.197900000000001</v>
      </c>
      <c r="FL59" s="151">
        <v>15.68</v>
      </c>
      <c r="FM59" s="151">
        <v>17.727</v>
      </c>
      <c r="GK59" s="151">
        <v>92.7</v>
      </c>
      <c r="GL59" s="151">
        <v>623.6</v>
      </c>
      <c r="GO59" s="200" t="s">
        <v>1656</v>
      </c>
      <c r="GP59" s="200"/>
      <c r="GQ59" s="200"/>
      <c r="GR59" s="200"/>
      <c r="GS59" s="200"/>
      <c r="GT59" s="200"/>
      <c r="GU59" s="200"/>
      <c r="GV59" s="200"/>
      <c r="GW59" s="200"/>
      <c r="GX59" s="200"/>
      <c r="GY59" s="200"/>
      <c r="JB59" s="151" t="s">
        <v>717</v>
      </c>
    </row>
    <row r="60" spans="1:262" s="22" customFormat="1" x14ac:dyDescent="0.25">
      <c r="A60" s="22">
        <v>4</v>
      </c>
      <c r="B60" s="45" t="s">
        <v>3791</v>
      </c>
      <c r="C60" s="22" t="s">
        <v>149</v>
      </c>
      <c r="D60" s="22" t="s">
        <v>150</v>
      </c>
      <c r="E60" s="22">
        <v>2010</v>
      </c>
      <c r="F60" s="22">
        <f t="shared" si="0"/>
        <v>2002</v>
      </c>
      <c r="G60" s="22" t="s">
        <v>151</v>
      </c>
      <c r="H60" s="22" t="s">
        <v>152</v>
      </c>
      <c r="I60" s="22" t="s">
        <v>2815</v>
      </c>
      <c r="J60" s="22">
        <v>38.14</v>
      </c>
      <c r="K60" s="22">
        <v>-97.43</v>
      </c>
      <c r="L60" s="22">
        <v>450</v>
      </c>
      <c r="N60" s="22">
        <v>14.4</v>
      </c>
      <c r="P60" s="22">
        <v>874</v>
      </c>
      <c r="R60" s="45" t="s">
        <v>1734</v>
      </c>
      <c r="S60" s="45" t="s">
        <v>1717</v>
      </c>
      <c r="T60" s="45" t="s">
        <v>1442</v>
      </c>
      <c r="U60" s="45" t="s">
        <v>1848</v>
      </c>
      <c r="V60" s="45" t="s">
        <v>1381</v>
      </c>
      <c r="W60" s="45" t="s">
        <v>1716</v>
      </c>
      <c r="X60" s="45" t="s">
        <v>1380</v>
      </c>
      <c r="Y60" s="45" t="s">
        <v>1382</v>
      </c>
      <c r="Z60" s="399">
        <v>1.6915</v>
      </c>
      <c r="AA60" s="325"/>
      <c r="AB60" s="325"/>
      <c r="AC60" s="22" t="s">
        <v>450</v>
      </c>
      <c r="AG60" s="22" t="s">
        <v>1308</v>
      </c>
      <c r="AH60" s="22" t="s">
        <v>159</v>
      </c>
      <c r="AI60" s="138" t="s">
        <v>577</v>
      </c>
      <c r="AJ60" s="22" t="s">
        <v>1590</v>
      </c>
      <c r="AK60" s="142" t="s">
        <v>1619</v>
      </c>
      <c r="AL60" s="22" t="s">
        <v>157</v>
      </c>
      <c r="AM60" s="22" t="s">
        <v>157</v>
      </c>
      <c r="AN60" s="22" t="s">
        <v>177</v>
      </c>
      <c r="AO60" s="22" t="s">
        <v>156</v>
      </c>
      <c r="AP60" s="22" t="s">
        <v>156</v>
      </c>
      <c r="AQ60" s="22" t="s">
        <v>2126</v>
      </c>
      <c r="AR60" s="22" t="s">
        <v>2126</v>
      </c>
      <c r="AS60" s="22" t="s">
        <v>177</v>
      </c>
      <c r="AT60" s="22" t="s">
        <v>161</v>
      </c>
      <c r="AU60" s="22" t="s">
        <v>161</v>
      </c>
      <c r="AV60" s="22" t="s">
        <v>177</v>
      </c>
      <c r="AW60" s="22" t="s">
        <v>160</v>
      </c>
      <c r="AX60" s="22">
        <v>4</v>
      </c>
      <c r="AZ60" s="22" t="s">
        <v>141</v>
      </c>
      <c r="BD60" s="55"/>
      <c r="BM60" s="23"/>
      <c r="BN60" s="23"/>
      <c r="BO60" s="23"/>
      <c r="BP60" s="399">
        <v>1.6915</v>
      </c>
      <c r="BQ60" s="399">
        <v>1.6932</v>
      </c>
      <c r="BU60" s="399">
        <f>10.3067/10</f>
        <v>1.03067</v>
      </c>
      <c r="BV60" s="399">
        <f>10.6135/10</f>
        <v>1.06135</v>
      </c>
      <c r="BY60" s="22" t="s">
        <v>163</v>
      </c>
      <c r="BZ60" s="399"/>
      <c r="CA60" s="399"/>
      <c r="CE60" s="552">
        <v>1.03067</v>
      </c>
      <c r="CF60" s="552">
        <v>1.06135</v>
      </c>
      <c r="CG60" s="552"/>
      <c r="CH60" s="552"/>
      <c r="CI60" s="22" t="s">
        <v>4542</v>
      </c>
      <c r="DS60" s="22">
        <v>14</v>
      </c>
      <c r="DT60" s="22">
        <v>18</v>
      </c>
      <c r="DW60" s="151" t="s">
        <v>1737</v>
      </c>
      <c r="EC60" s="126">
        <v>0.86129999999999995</v>
      </c>
      <c r="ED60" s="126">
        <v>0.77500000000000002</v>
      </c>
      <c r="EE60" s="126"/>
      <c r="EF60" s="126"/>
      <c r="EG60" s="126" t="s">
        <v>1443</v>
      </c>
      <c r="EH60" s="126">
        <f>(1.12+3.14+5.7)/3</f>
        <v>3.3200000000000003</v>
      </c>
      <c r="EI60" s="126">
        <f>(1.88+7.73+15.54)/3</f>
        <v>8.3833333333333329</v>
      </c>
      <c r="EJ60" s="126"/>
      <c r="EK60" s="126"/>
      <c r="EL60" s="151" t="s">
        <v>1735</v>
      </c>
      <c r="FG60" s="22">
        <v>18.5625</v>
      </c>
      <c r="FH60" s="22">
        <v>16.244800000000001</v>
      </c>
      <c r="FL60" s="22">
        <v>15.21</v>
      </c>
      <c r="FM60" s="22">
        <v>16.788</v>
      </c>
      <c r="GZ60" s="12"/>
      <c r="HD60" s="12"/>
      <c r="JB60" s="22" t="s">
        <v>717</v>
      </c>
    </row>
    <row r="61" spans="1:262" s="22" customFormat="1" x14ac:dyDescent="0.25">
      <c r="A61" s="22">
        <v>4</v>
      </c>
      <c r="B61" s="45" t="s">
        <v>3792</v>
      </c>
      <c r="C61" s="22" t="s">
        <v>149</v>
      </c>
      <c r="D61" s="22" t="s">
        <v>150</v>
      </c>
      <c r="E61" s="22">
        <v>2010</v>
      </c>
      <c r="F61" s="22">
        <f t="shared" si="0"/>
        <v>2002</v>
      </c>
      <c r="G61" s="22" t="s">
        <v>151</v>
      </c>
      <c r="H61" s="22" t="s">
        <v>152</v>
      </c>
      <c r="I61" s="22" t="s">
        <v>2815</v>
      </c>
      <c r="J61" s="22">
        <v>38.14</v>
      </c>
      <c r="K61" s="22">
        <v>-97.43</v>
      </c>
      <c r="L61" s="22">
        <v>450</v>
      </c>
      <c r="N61" s="22">
        <v>14.4</v>
      </c>
      <c r="P61" s="22">
        <v>874</v>
      </c>
      <c r="R61" s="45" t="s">
        <v>1734</v>
      </c>
      <c r="S61" s="45" t="s">
        <v>1717</v>
      </c>
      <c r="T61" s="45" t="s">
        <v>1442</v>
      </c>
      <c r="U61" s="45" t="s">
        <v>1848</v>
      </c>
      <c r="V61" s="45" t="s">
        <v>1380</v>
      </c>
      <c r="W61" s="45" t="s">
        <v>1716</v>
      </c>
      <c r="X61" s="45" t="s">
        <v>1380</v>
      </c>
      <c r="Y61" s="45" t="s">
        <v>1382</v>
      </c>
      <c r="Z61" s="399">
        <v>1.6419999999999999</v>
      </c>
      <c r="AA61" s="325"/>
      <c r="AB61" s="325"/>
      <c r="AC61" s="22" t="s">
        <v>450</v>
      </c>
      <c r="AG61" s="22" t="s">
        <v>1308</v>
      </c>
      <c r="AH61" s="22" t="s">
        <v>158</v>
      </c>
      <c r="AI61" s="138" t="s">
        <v>577</v>
      </c>
      <c r="AJ61" s="22" t="s">
        <v>1590</v>
      </c>
      <c r="AK61" s="142" t="s">
        <v>1619</v>
      </c>
      <c r="AL61" s="22" t="s">
        <v>157</v>
      </c>
      <c r="AM61" s="22" t="s">
        <v>157</v>
      </c>
      <c r="AN61" s="22" t="s">
        <v>177</v>
      </c>
      <c r="AO61" s="22" t="s">
        <v>156</v>
      </c>
      <c r="AP61" s="22" t="s">
        <v>156</v>
      </c>
      <c r="AQ61" s="22" t="s">
        <v>2126</v>
      </c>
      <c r="AR61" s="22" t="s">
        <v>2126</v>
      </c>
      <c r="AS61" s="22" t="s">
        <v>177</v>
      </c>
      <c r="AT61" s="22" t="s">
        <v>162</v>
      </c>
      <c r="AU61" s="22" t="s">
        <v>162</v>
      </c>
      <c r="AV61" s="22" t="s">
        <v>177</v>
      </c>
      <c r="AW61" s="22" t="s">
        <v>160</v>
      </c>
      <c r="AX61" s="22">
        <v>4</v>
      </c>
      <c r="AZ61" s="22" t="s">
        <v>141</v>
      </c>
      <c r="BD61" s="55"/>
      <c r="BM61" s="23"/>
      <c r="BN61" s="23"/>
      <c r="BO61" s="23"/>
      <c r="BP61" s="399">
        <v>1.6419999999999999</v>
      </c>
      <c r="BQ61" s="399">
        <v>1.6059000000000001</v>
      </c>
      <c r="BU61" s="399">
        <f>13.681/10</f>
        <v>1.3680999999999999</v>
      </c>
      <c r="BV61" s="399">
        <f>17.3313/10</f>
        <v>1.7331299999999998</v>
      </c>
      <c r="BY61" s="22" t="s">
        <v>163</v>
      </c>
      <c r="BZ61" s="399"/>
      <c r="CA61" s="399"/>
      <c r="CE61" s="552">
        <v>1.3680999999999999</v>
      </c>
      <c r="CF61" s="552">
        <v>1.7331299999999998</v>
      </c>
      <c r="CG61" s="552"/>
      <c r="CH61" s="552"/>
      <c r="CI61" s="22" t="s">
        <v>4542</v>
      </c>
      <c r="DS61" s="22">
        <v>115</v>
      </c>
      <c r="DT61" s="22">
        <v>138</v>
      </c>
      <c r="DW61" s="22" t="s">
        <v>1444</v>
      </c>
      <c r="FL61" s="22">
        <f>0.1693*100</f>
        <v>16.93</v>
      </c>
      <c r="FM61" s="22">
        <f>0.18*100</f>
        <v>18</v>
      </c>
      <c r="GZ61" s="12"/>
      <c r="HD61" s="12"/>
      <c r="JB61" s="22" t="s">
        <v>717</v>
      </c>
    </row>
    <row r="62" spans="1:262" s="22" customFormat="1" x14ac:dyDescent="0.25">
      <c r="A62" s="22">
        <v>4</v>
      </c>
      <c r="B62" s="45" t="s">
        <v>3793</v>
      </c>
      <c r="C62" s="22" t="s">
        <v>149</v>
      </c>
      <c r="D62" s="22" t="s">
        <v>150</v>
      </c>
      <c r="E62" s="22">
        <v>2010</v>
      </c>
      <c r="F62" s="22">
        <f t="shared" si="0"/>
        <v>2002</v>
      </c>
      <c r="G62" s="22" t="s">
        <v>151</v>
      </c>
      <c r="H62" s="22" t="s">
        <v>152</v>
      </c>
      <c r="I62" s="22" t="s">
        <v>2815</v>
      </c>
      <c r="J62" s="22">
        <v>38.14</v>
      </c>
      <c r="K62" s="22">
        <v>-97.43</v>
      </c>
      <c r="L62" s="22">
        <v>450</v>
      </c>
      <c r="N62" s="22">
        <v>14.4</v>
      </c>
      <c r="P62" s="22">
        <v>874</v>
      </c>
      <c r="R62" s="45" t="s">
        <v>1734</v>
      </c>
      <c r="S62" s="45" t="s">
        <v>1717</v>
      </c>
      <c r="T62" s="45" t="s">
        <v>1442</v>
      </c>
      <c r="U62" s="45" t="s">
        <v>1848</v>
      </c>
      <c r="V62" s="45" t="s">
        <v>1381</v>
      </c>
      <c r="W62" s="45" t="s">
        <v>1716</v>
      </c>
      <c r="X62" s="45" t="s">
        <v>1380</v>
      </c>
      <c r="Y62" s="45" t="s">
        <v>1382</v>
      </c>
      <c r="Z62" s="399">
        <v>1.7101999999999999</v>
      </c>
      <c r="AA62" s="325"/>
      <c r="AB62" s="325"/>
      <c r="AC62" s="22" t="s">
        <v>450</v>
      </c>
      <c r="AG62" s="22" t="s">
        <v>1308</v>
      </c>
      <c r="AH62" s="22" t="s">
        <v>158</v>
      </c>
      <c r="AI62" s="138" t="s">
        <v>577</v>
      </c>
      <c r="AJ62" s="22" t="s">
        <v>1590</v>
      </c>
      <c r="AK62" s="142" t="s">
        <v>1619</v>
      </c>
      <c r="AL62" s="22" t="s">
        <v>157</v>
      </c>
      <c r="AM62" s="22" t="s">
        <v>157</v>
      </c>
      <c r="AN62" s="22" t="s">
        <v>177</v>
      </c>
      <c r="AO62" s="22" t="s">
        <v>156</v>
      </c>
      <c r="AP62" s="22" t="s">
        <v>156</v>
      </c>
      <c r="AQ62" s="22" t="s">
        <v>2126</v>
      </c>
      <c r="AR62" s="22" t="s">
        <v>2126</v>
      </c>
      <c r="AS62" s="22" t="s">
        <v>177</v>
      </c>
      <c r="AT62" s="22" t="s">
        <v>162</v>
      </c>
      <c r="AU62" s="22" t="s">
        <v>162</v>
      </c>
      <c r="AV62" s="22" t="s">
        <v>177</v>
      </c>
      <c r="AW62" s="22" t="s">
        <v>160</v>
      </c>
      <c r="AX62" s="22">
        <v>4</v>
      </c>
      <c r="AZ62" s="22" t="s">
        <v>141</v>
      </c>
      <c r="BD62" s="55"/>
      <c r="BM62" s="23"/>
      <c r="BN62" s="23"/>
      <c r="BO62" s="23"/>
      <c r="BP62" s="399">
        <v>1.7101999999999999</v>
      </c>
      <c r="BQ62" s="399">
        <v>1.6938</v>
      </c>
      <c r="BU62" s="399">
        <f>10.3067/10</f>
        <v>1.03067</v>
      </c>
      <c r="BV62" s="399">
        <f>10.2147/10</f>
        <v>1.0214700000000001</v>
      </c>
      <c r="BY62" s="22" t="s">
        <v>163</v>
      </c>
      <c r="BZ62" s="399"/>
      <c r="CA62" s="399"/>
      <c r="CE62" s="552">
        <v>1.03067</v>
      </c>
      <c r="CF62" s="552">
        <v>1.0214700000000001</v>
      </c>
      <c r="CG62" s="552"/>
      <c r="CH62" s="552"/>
      <c r="CI62" s="22" t="s">
        <v>4542</v>
      </c>
      <c r="DS62" s="22">
        <v>172</v>
      </c>
      <c r="DT62" s="22">
        <v>170</v>
      </c>
      <c r="DW62" s="22" t="s">
        <v>1444</v>
      </c>
      <c r="FL62" s="22">
        <f>0.1611*100</f>
        <v>16.11</v>
      </c>
      <c r="FM62" s="22">
        <f>0.1619*100</f>
        <v>16.189999999999998</v>
      </c>
      <c r="GZ62" s="12"/>
      <c r="HD62" s="12"/>
      <c r="JB62" s="22" t="s">
        <v>717</v>
      </c>
    </row>
    <row r="63" spans="1:262" s="22" customFormat="1" x14ac:dyDescent="0.25">
      <c r="A63" s="22">
        <v>4</v>
      </c>
      <c r="B63" s="45" t="s">
        <v>3792</v>
      </c>
      <c r="C63" s="22" t="s">
        <v>149</v>
      </c>
      <c r="D63" s="22" t="s">
        <v>150</v>
      </c>
      <c r="E63" s="22">
        <v>2010</v>
      </c>
      <c r="F63" s="22">
        <f t="shared" si="0"/>
        <v>2002</v>
      </c>
      <c r="G63" s="22" t="s">
        <v>151</v>
      </c>
      <c r="H63" s="22" t="s">
        <v>152</v>
      </c>
      <c r="I63" s="22" t="s">
        <v>2815</v>
      </c>
      <c r="J63" s="22">
        <v>38.14</v>
      </c>
      <c r="K63" s="22">
        <v>-97.43</v>
      </c>
      <c r="L63" s="22">
        <v>450</v>
      </c>
      <c r="N63" s="22">
        <v>14.4</v>
      </c>
      <c r="P63" s="22">
        <v>874</v>
      </c>
      <c r="R63" s="45" t="s">
        <v>1734</v>
      </c>
      <c r="S63" s="45" t="s">
        <v>1717</v>
      </c>
      <c r="T63" s="45" t="s">
        <v>1442</v>
      </c>
      <c r="U63" s="45" t="s">
        <v>1848</v>
      </c>
      <c r="V63" s="45" t="s">
        <v>1380</v>
      </c>
      <c r="W63" s="45" t="s">
        <v>1716</v>
      </c>
      <c r="X63" s="45" t="s">
        <v>1380</v>
      </c>
      <c r="Y63" s="45" t="s">
        <v>1382</v>
      </c>
      <c r="Z63" s="399">
        <v>1.6419999999999999</v>
      </c>
      <c r="AA63" s="325"/>
      <c r="AB63" s="325"/>
      <c r="AC63" s="22" t="s">
        <v>450</v>
      </c>
      <c r="AG63" s="22" t="s">
        <v>1308</v>
      </c>
      <c r="AH63" s="22" t="s">
        <v>159</v>
      </c>
      <c r="AI63" s="138" t="s">
        <v>577</v>
      </c>
      <c r="AJ63" s="22" t="s">
        <v>1590</v>
      </c>
      <c r="AK63" s="142" t="s">
        <v>1619</v>
      </c>
      <c r="AL63" s="22" t="s">
        <v>157</v>
      </c>
      <c r="AM63" s="22" t="s">
        <v>157</v>
      </c>
      <c r="AN63" s="22" t="s">
        <v>177</v>
      </c>
      <c r="AO63" s="22" t="s">
        <v>156</v>
      </c>
      <c r="AP63" s="22" t="s">
        <v>156</v>
      </c>
      <c r="AQ63" s="22" t="s">
        <v>2126</v>
      </c>
      <c r="AR63" s="22" t="s">
        <v>2126</v>
      </c>
      <c r="AS63" s="22" t="s">
        <v>177</v>
      </c>
      <c r="AT63" s="22" t="s">
        <v>162</v>
      </c>
      <c r="AU63" s="22" t="s">
        <v>162</v>
      </c>
      <c r="AV63" s="22" t="s">
        <v>177</v>
      </c>
      <c r="AW63" s="22" t="s">
        <v>160</v>
      </c>
      <c r="AX63" s="22">
        <v>4</v>
      </c>
      <c r="AZ63" s="22" t="s">
        <v>141</v>
      </c>
      <c r="BD63" s="55"/>
      <c r="BM63" s="23"/>
      <c r="BN63" s="23"/>
      <c r="BO63" s="23"/>
      <c r="BP63" s="399">
        <v>1.6419999999999999</v>
      </c>
      <c r="BQ63" s="399">
        <v>1.6193</v>
      </c>
      <c r="BU63" s="399">
        <f>13.681/10</f>
        <v>1.3680999999999999</v>
      </c>
      <c r="BV63" s="399">
        <f>17.3313/10</f>
        <v>1.7331299999999998</v>
      </c>
      <c r="BY63" s="22" t="s">
        <v>163</v>
      </c>
      <c r="BZ63" s="399"/>
      <c r="CA63" s="399"/>
      <c r="CE63" s="552">
        <v>1.3680999999999999</v>
      </c>
      <c r="CF63" s="552">
        <v>1.7331299999999998</v>
      </c>
      <c r="CG63" s="552"/>
      <c r="CH63" s="552"/>
      <c r="CI63" s="22" t="s">
        <v>4542</v>
      </c>
      <c r="DS63" s="22">
        <v>115</v>
      </c>
      <c r="DT63" s="22">
        <v>149</v>
      </c>
      <c r="DW63" s="22" t="s">
        <v>1444</v>
      </c>
      <c r="FL63" s="22">
        <f>0.1693*100</f>
        <v>16.93</v>
      </c>
      <c r="FM63" s="22">
        <f>0.1774*100</f>
        <v>17.740000000000002</v>
      </c>
      <c r="GZ63" s="12"/>
      <c r="HD63" s="12"/>
      <c r="JB63" s="22" t="s">
        <v>717</v>
      </c>
    </row>
    <row r="64" spans="1:262" s="22" customFormat="1" x14ac:dyDescent="0.25">
      <c r="A64" s="22">
        <v>4</v>
      </c>
      <c r="B64" s="45" t="s">
        <v>3793</v>
      </c>
      <c r="C64" s="22" t="s">
        <v>149</v>
      </c>
      <c r="D64" s="22" t="s">
        <v>150</v>
      </c>
      <c r="E64" s="22">
        <v>2010</v>
      </c>
      <c r="F64" s="22">
        <f t="shared" si="0"/>
        <v>2002</v>
      </c>
      <c r="G64" s="22" t="s">
        <v>151</v>
      </c>
      <c r="H64" s="22" t="s">
        <v>152</v>
      </c>
      <c r="I64" s="22" t="s">
        <v>2815</v>
      </c>
      <c r="J64" s="22">
        <v>38.14</v>
      </c>
      <c r="K64" s="22">
        <v>-97.43</v>
      </c>
      <c r="L64" s="22">
        <v>450</v>
      </c>
      <c r="N64" s="22">
        <v>14.4</v>
      </c>
      <c r="P64" s="22">
        <v>874</v>
      </c>
      <c r="R64" s="45" t="s">
        <v>1734</v>
      </c>
      <c r="S64" s="45" t="s">
        <v>1717</v>
      </c>
      <c r="T64" s="45" t="s">
        <v>1442</v>
      </c>
      <c r="U64" s="45" t="s">
        <v>1848</v>
      </c>
      <c r="V64" s="45" t="s">
        <v>1381</v>
      </c>
      <c r="W64" s="45" t="s">
        <v>1716</v>
      </c>
      <c r="X64" s="45" t="s">
        <v>1380</v>
      </c>
      <c r="Y64" s="45" t="s">
        <v>1382</v>
      </c>
      <c r="Z64" s="399">
        <v>1.7101999999999999</v>
      </c>
      <c r="AA64" s="325"/>
      <c r="AB64" s="325"/>
      <c r="AC64" s="22" t="s">
        <v>450</v>
      </c>
      <c r="AG64" s="22" t="s">
        <v>1308</v>
      </c>
      <c r="AH64" s="22" t="s">
        <v>159</v>
      </c>
      <c r="AI64" s="138" t="s">
        <v>577</v>
      </c>
      <c r="AJ64" s="22" t="s">
        <v>1590</v>
      </c>
      <c r="AK64" s="142" t="s">
        <v>1619</v>
      </c>
      <c r="AL64" s="22" t="s">
        <v>157</v>
      </c>
      <c r="AM64" s="22" t="s">
        <v>157</v>
      </c>
      <c r="AN64" s="22" t="s">
        <v>177</v>
      </c>
      <c r="AO64" s="22" t="s">
        <v>156</v>
      </c>
      <c r="AP64" s="22" t="s">
        <v>156</v>
      </c>
      <c r="AQ64" s="22" t="s">
        <v>2126</v>
      </c>
      <c r="AR64" s="22" t="s">
        <v>2126</v>
      </c>
      <c r="AS64" s="22" t="s">
        <v>177</v>
      </c>
      <c r="AT64" s="22" t="s">
        <v>162</v>
      </c>
      <c r="AU64" s="22" t="s">
        <v>162</v>
      </c>
      <c r="AV64" s="22" t="s">
        <v>177</v>
      </c>
      <c r="AW64" s="22" t="s">
        <v>160</v>
      </c>
      <c r="AX64" s="22">
        <v>4</v>
      </c>
      <c r="AZ64" s="22" t="s">
        <v>141</v>
      </c>
      <c r="BD64" s="55"/>
      <c r="BM64" s="23"/>
      <c r="BN64" s="23"/>
      <c r="BO64" s="23"/>
      <c r="BP64" s="399">
        <v>1.7101999999999999</v>
      </c>
      <c r="BQ64" s="399">
        <v>1.6987000000000001</v>
      </c>
      <c r="BU64" s="399">
        <f>10.3067/10</f>
        <v>1.03067</v>
      </c>
      <c r="BV64" s="399">
        <f>10.2147/10</f>
        <v>1.0214700000000001</v>
      </c>
      <c r="BY64" s="22" t="s">
        <v>163</v>
      </c>
      <c r="BZ64" s="399"/>
      <c r="CA64" s="399"/>
      <c r="CE64" s="552">
        <v>1.03067</v>
      </c>
      <c r="CF64" s="552">
        <v>1.0214700000000001</v>
      </c>
      <c r="CG64" s="552"/>
      <c r="CH64" s="552"/>
      <c r="CI64" s="22" t="s">
        <v>4542</v>
      </c>
      <c r="DS64" s="22">
        <v>172</v>
      </c>
      <c r="DT64" s="22">
        <v>169</v>
      </c>
      <c r="DW64" s="22" t="s">
        <v>1444</v>
      </c>
      <c r="FL64" s="22">
        <f>0.1611*100</f>
        <v>16.11</v>
      </c>
      <c r="FM64" s="22">
        <f>0.1671*100</f>
        <v>16.71</v>
      </c>
      <c r="GZ64" s="12"/>
      <c r="HD64" s="12"/>
      <c r="JB64" s="22" t="s">
        <v>717</v>
      </c>
    </row>
    <row r="65" spans="1:262" s="24" customFormat="1" x14ac:dyDescent="0.25">
      <c r="A65" s="24">
        <v>5</v>
      </c>
      <c r="B65" s="42" t="s">
        <v>3794</v>
      </c>
      <c r="C65" s="24" t="s">
        <v>149</v>
      </c>
      <c r="D65" s="24" t="s">
        <v>150</v>
      </c>
      <c r="E65" s="24">
        <v>2013</v>
      </c>
      <c r="F65" s="24">
        <v>2011</v>
      </c>
      <c r="G65" s="24" t="s">
        <v>151</v>
      </c>
      <c r="H65" s="24" t="s">
        <v>166</v>
      </c>
      <c r="I65" s="24" t="s">
        <v>2815</v>
      </c>
      <c r="J65" s="24">
        <v>37.97</v>
      </c>
      <c r="K65" s="24">
        <v>-100.87</v>
      </c>
      <c r="L65" s="24">
        <v>865.6</v>
      </c>
      <c r="O65" s="24">
        <v>400</v>
      </c>
      <c r="P65" s="24">
        <v>489</v>
      </c>
      <c r="R65" s="42">
        <v>4</v>
      </c>
      <c r="S65" s="42" t="s">
        <v>1722</v>
      </c>
      <c r="T65" s="42"/>
      <c r="U65" s="42" t="s">
        <v>1846</v>
      </c>
      <c r="V65" s="42" t="s">
        <v>1380</v>
      </c>
      <c r="W65" s="42" t="s">
        <v>1716</v>
      </c>
      <c r="X65" s="42" t="s">
        <v>1380</v>
      </c>
      <c r="Y65" s="42" t="s">
        <v>1380</v>
      </c>
      <c r="Z65" s="395">
        <v>1.57</v>
      </c>
      <c r="AA65" s="321"/>
      <c r="AB65" s="321"/>
      <c r="AC65" s="24" t="s">
        <v>450</v>
      </c>
      <c r="AG65" s="24" t="s">
        <v>1309</v>
      </c>
      <c r="AH65" s="24" t="s">
        <v>1564</v>
      </c>
      <c r="AI65" s="138" t="s">
        <v>577</v>
      </c>
      <c r="AJ65" s="24" t="s">
        <v>1614</v>
      </c>
      <c r="AK65" s="140" t="s">
        <v>1619</v>
      </c>
      <c r="AL65" s="24" t="s">
        <v>1615</v>
      </c>
      <c r="AM65" s="24" t="s">
        <v>1615</v>
      </c>
      <c r="AN65" s="24" t="s">
        <v>177</v>
      </c>
      <c r="AW65" s="24" t="s">
        <v>119</v>
      </c>
      <c r="AX65" s="24">
        <v>4</v>
      </c>
      <c r="AZ65" s="24" t="s">
        <v>174</v>
      </c>
      <c r="BD65" s="53"/>
      <c r="BP65" s="395">
        <v>1.57</v>
      </c>
      <c r="BQ65" s="395">
        <v>1.45</v>
      </c>
      <c r="BU65" s="395">
        <f>8.7/1000*100</f>
        <v>0.86999999999999988</v>
      </c>
      <c r="BV65" s="395">
        <v>0.91999999999999993</v>
      </c>
      <c r="BZ65" s="24">
        <v>10.9</v>
      </c>
      <c r="CA65" s="24">
        <v>11.3</v>
      </c>
      <c r="CD65" s="24" t="s">
        <v>1669</v>
      </c>
      <c r="CE65" s="548">
        <v>10.9</v>
      </c>
      <c r="CF65" s="548">
        <v>11.3</v>
      </c>
      <c r="CG65" s="548"/>
      <c r="CH65" s="548"/>
      <c r="CI65" s="24" t="s">
        <v>4540</v>
      </c>
      <c r="DS65" s="24">
        <f>0.5877*100</f>
        <v>58.77</v>
      </c>
      <c r="DT65" s="24">
        <f>0.4353*100</f>
        <v>43.53</v>
      </c>
      <c r="DW65" s="24" t="s">
        <v>815</v>
      </c>
      <c r="ER65" s="24">
        <v>1.5893999999999999</v>
      </c>
      <c r="ES65" s="24">
        <v>0.96489999999999998</v>
      </c>
      <c r="EV65" s="24" t="s">
        <v>170</v>
      </c>
      <c r="GZ65" s="12"/>
      <c r="HD65" s="12"/>
      <c r="JB65" s="24" t="s">
        <v>718</v>
      </c>
    </row>
    <row r="66" spans="1:262" s="24" customFormat="1" x14ac:dyDescent="0.25">
      <c r="A66" s="24">
        <v>5</v>
      </c>
      <c r="B66" s="42" t="s">
        <v>3794</v>
      </c>
      <c r="C66" s="24" t="s">
        <v>149</v>
      </c>
      <c r="D66" s="24" t="s">
        <v>150</v>
      </c>
      <c r="E66" s="24">
        <v>2013</v>
      </c>
      <c r="F66" s="24">
        <v>2011</v>
      </c>
      <c r="G66" s="24" t="s">
        <v>151</v>
      </c>
      <c r="H66" s="24" t="s">
        <v>166</v>
      </c>
      <c r="I66" s="24" t="s">
        <v>2815</v>
      </c>
      <c r="J66" s="24">
        <v>37.97</v>
      </c>
      <c r="K66" s="24">
        <v>-100.87</v>
      </c>
      <c r="L66" s="24">
        <v>865.6</v>
      </c>
      <c r="O66" s="24">
        <v>400</v>
      </c>
      <c r="P66" s="24">
        <v>489</v>
      </c>
      <c r="R66" s="42">
        <v>4</v>
      </c>
      <c r="S66" s="42" t="s">
        <v>1722</v>
      </c>
      <c r="T66" s="42"/>
      <c r="U66" s="42" t="s">
        <v>1846</v>
      </c>
      <c r="V66" s="42" t="s">
        <v>1380</v>
      </c>
      <c r="W66" s="42" t="s">
        <v>1716</v>
      </c>
      <c r="X66" s="42" t="s">
        <v>1380</v>
      </c>
      <c r="Y66" s="42" t="s">
        <v>1380</v>
      </c>
      <c r="Z66" s="395">
        <v>1.57</v>
      </c>
      <c r="AA66" s="321"/>
      <c r="AB66" s="321"/>
      <c r="AC66" s="24" t="s">
        <v>450</v>
      </c>
      <c r="AG66" s="24" t="s">
        <v>1309</v>
      </c>
      <c r="AH66" s="24" t="s">
        <v>1568</v>
      </c>
      <c r="AI66" s="138" t="s">
        <v>577</v>
      </c>
      <c r="AJ66" s="24" t="s">
        <v>1614</v>
      </c>
      <c r="AK66" s="140" t="s">
        <v>1619</v>
      </c>
      <c r="AL66" s="24" t="s">
        <v>1615</v>
      </c>
      <c r="AM66" s="24" t="s">
        <v>1615</v>
      </c>
      <c r="AN66" s="24" t="s">
        <v>177</v>
      </c>
      <c r="AW66" s="24" t="s">
        <v>119</v>
      </c>
      <c r="AX66" s="24">
        <v>4</v>
      </c>
      <c r="AZ66" s="24" t="s">
        <v>174</v>
      </c>
      <c r="BD66" s="53"/>
      <c r="BP66" s="395">
        <v>1.57</v>
      </c>
      <c r="BQ66" s="395">
        <v>1.55</v>
      </c>
      <c r="BU66" s="395">
        <f t="shared" ref="BU66:BU72" si="2">8.7/1000*100</f>
        <v>0.86999999999999988</v>
      </c>
      <c r="BV66" s="395">
        <v>1.01</v>
      </c>
      <c r="BZ66" s="24">
        <v>10.9</v>
      </c>
      <c r="CA66" s="24">
        <v>12.5</v>
      </c>
      <c r="CD66" s="24" t="s">
        <v>1669</v>
      </c>
      <c r="CE66" s="548">
        <v>10.9</v>
      </c>
      <c r="CF66" s="548">
        <v>12.5</v>
      </c>
      <c r="CG66" s="548"/>
      <c r="CH66" s="548"/>
      <c r="CI66" s="24" t="s">
        <v>4540</v>
      </c>
      <c r="DS66" s="24">
        <f t="shared" ref="DS66:DS72" si="3">0.5877*100</f>
        <v>58.77</v>
      </c>
      <c r="DT66" s="24">
        <f>0.3374*100</f>
        <v>33.739999999999995</v>
      </c>
      <c r="DW66" s="24" t="s">
        <v>815</v>
      </c>
      <c r="ER66" s="24">
        <v>1.5893999999999999</v>
      </c>
      <c r="ES66" s="24">
        <v>0.50319999999999998</v>
      </c>
      <c r="EV66" s="24" t="s">
        <v>170</v>
      </c>
      <c r="GZ66" s="12"/>
      <c r="HD66" s="12"/>
      <c r="JB66" s="24" t="s">
        <v>718</v>
      </c>
    </row>
    <row r="67" spans="1:262" s="24" customFormat="1" x14ac:dyDescent="0.25">
      <c r="A67" s="24">
        <v>5</v>
      </c>
      <c r="B67" s="42" t="s">
        <v>3794</v>
      </c>
      <c r="C67" s="24" t="s">
        <v>149</v>
      </c>
      <c r="D67" s="24" t="s">
        <v>150</v>
      </c>
      <c r="E67" s="24">
        <v>2013</v>
      </c>
      <c r="F67" s="24">
        <v>2011</v>
      </c>
      <c r="G67" s="24" t="s">
        <v>151</v>
      </c>
      <c r="H67" s="24" t="s">
        <v>166</v>
      </c>
      <c r="I67" s="24" t="s">
        <v>2815</v>
      </c>
      <c r="J67" s="24">
        <v>37.97</v>
      </c>
      <c r="K67" s="24">
        <v>-100.87</v>
      </c>
      <c r="L67" s="24">
        <v>865.6</v>
      </c>
      <c r="O67" s="24">
        <v>400</v>
      </c>
      <c r="P67" s="24">
        <v>489</v>
      </c>
      <c r="R67" s="42">
        <v>4</v>
      </c>
      <c r="S67" s="42" t="s">
        <v>1722</v>
      </c>
      <c r="T67" s="42"/>
      <c r="U67" s="42" t="s">
        <v>1846</v>
      </c>
      <c r="V67" s="42" t="s">
        <v>1380</v>
      </c>
      <c r="W67" s="42" t="s">
        <v>1716</v>
      </c>
      <c r="X67" s="42" t="s">
        <v>1380</v>
      </c>
      <c r="Y67" s="42" t="s">
        <v>1380</v>
      </c>
      <c r="Z67" s="395">
        <v>1.57</v>
      </c>
      <c r="AA67" s="321"/>
      <c r="AB67" s="321"/>
      <c r="AC67" s="24" t="s">
        <v>450</v>
      </c>
      <c r="AG67" s="24" t="s">
        <v>1309</v>
      </c>
      <c r="AH67" s="24" t="s">
        <v>1569</v>
      </c>
      <c r="AI67" s="138" t="s">
        <v>577</v>
      </c>
      <c r="AJ67" s="24" t="s">
        <v>1614</v>
      </c>
      <c r="AK67" s="140" t="s">
        <v>1619</v>
      </c>
      <c r="AL67" s="24" t="s">
        <v>1615</v>
      </c>
      <c r="AM67" s="24" t="s">
        <v>1615</v>
      </c>
      <c r="AN67" s="24" t="s">
        <v>177</v>
      </c>
      <c r="AW67" s="24" t="s">
        <v>119</v>
      </c>
      <c r="AX67" s="24">
        <v>4</v>
      </c>
      <c r="AZ67" s="24" t="s">
        <v>174</v>
      </c>
      <c r="BD67" s="53"/>
      <c r="BP67" s="395">
        <v>1.57</v>
      </c>
      <c r="BQ67" s="395">
        <v>1.49</v>
      </c>
      <c r="BU67" s="395">
        <f t="shared" si="2"/>
        <v>0.86999999999999988</v>
      </c>
      <c r="BV67" s="395">
        <v>1.08</v>
      </c>
      <c r="BZ67" s="24">
        <v>10.9</v>
      </c>
      <c r="CA67" s="24">
        <v>13.5</v>
      </c>
      <c r="CD67" s="24" t="s">
        <v>1669</v>
      </c>
      <c r="CE67" s="548">
        <v>10.9</v>
      </c>
      <c r="CF67" s="548">
        <v>13.5</v>
      </c>
      <c r="CG67" s="548"/>
      <c r="CH67" s="548"/>
      <c r="CI67" s="24" t="s">
        <v>4540</v>
      </c>
      <c r="DS67" s="24">
        <f t="shared" si="3"/>
        <v>58.77</v>
      </c>
      <c r="DT67" s="24">
        <f>0.423*100</f>
        <v>42.3</v>
      </c>
      <c r="DW67" s="24" t="s">
        <v>815</v>
      </c>
      <c r="GZ67" s="12"/>
      <c r="HD67" s="12"/>
      <c r="JB67" s="24" t="s">
        <v>718</v>
      </c>
    </row>
    <row r="68" spans="1:262" s="24" customFormat="1" x14ac:dyDescent="0.25">
      <c r="A68" s="24">
        <v>5</v>
      </c>
      <c r="B68" s="42" t="s">
        <v>3795</v>
      </c>
      <c r="C68" s="24" t="s">
        <v>149</v>
      </c>
      <c r="D68" s="24" t="s">
        <v>150</v>
      </c>
      <c r="E68" s="24">
        <v>2013</v>
      </c>
      <c r="F68" s="24">
        <v>2011</v>
      </c>
      <c r="G68" s="24" t="s">
        <v>151</v>
      </c>
      <c r="H68" s="24" t="s">
        <v>166</v>
      </c>
      <c r="I68" s="24" t="s">
        <v>2815</v>
      </c>
      <c r="J68" s="24">
        <v>37.97</v>
      </c>
      <c r="K68" s="24">
        <v>-100.87</v>
      </c>
      <c r="L68" s="24">
        <v>865.6</v>
      </c>
      <c r="O68" s="24">
        <v>400</v>
      </c>
      <c r="P68" s="24">
        <v>489</v>
      </c>
      <c r="R68" s="42">
        <v>4</v>
      </c>
      <c r="S68" s="42" t="s">
        <v>1722</v>
      </c>
      <c r="T68" s="42"/>
      <c r="U68" s="42" t="s">
        <v>1846</v>
      </c>
      <c r="V68" s="42" t="s">
        <v>1380</v>
      </c>
      <c r="W68" s="42" t="s">
        <v>1716</v>
      </c>
      <c r="X68" s="42" t="s">
        <v>1380</v>
      </c>
      <c r="Y68" s="42" t="s">
        <v>1380</v>
      </c>
      <c r="Z68" s="395">
        <v>1.57</v>
      </c>
      <c r="AA68" s="321"/>
      <c r="AB68" s="321"/>
      <c r="AC68" s="24" t="s">
        <v>450</v>
      </c>
      <c r="AG68" s="24" t="s">
        <v>1309</v>
      </c>
      <c r="AH68" s="24" t="s">
        <v>1565</v>
      </c>
      <c r="AI68" s="138" t="s">
        <v>1581</v>
      </c>
      <c r="AJ68" s="24" t="s">
        <v>1614</v>
      </c>
      <c r="AK68" s="140" t="s">
        <v>1619</v>
      </c>
      <c r="AL68" s="24" t="s">
        <v>1615</v>
      </c>
      <c r="AM68" s="24" t="s">
        <v>1615</v>
      </c>
      <c r="AN68" s="24" t="s">
        <v>177</v>
      </c>
      <c r="AW68" s="24" t="s">
        <v>119</v>
      </c>
      <c r="AX68" s="24">
        <v>4</v>
      </c>
      <c r="AZ68" s="24" t="s">
        <v>174</v>
      </c>
      <c r="BD68" s="53"/>
      <c r="BP68" s="395">
        <v>1.57</v>
      </c>
      <c r="BQ68" s="395">
        <v>1.39</v>
      </c>
      <c r="BU68" s="395">
        <f t="shared" si="2"/>
        <v>0.86999999999999988</v>
      </c>
      <c r="BV68" s="395">
        <v>1.1400000000000001</v>
      </c>
      <c r="BZ68" s="24">
        <v>10.9</v>
      </c>
      <c r="CA68" s="24">
        <v>13.4</v>
      </c>
      <c r="CD68" s="24" t="s">
        <v>1669</v>
      </c>
      <c r="CE68" s="548">
        <v>10.9</v>
      </c>
      <c r="CF68" s="548">
        <v>13.4</v>
      </c>
      <c r="CG68" s="548"/>
      <c r="CH68" s="548"/>
      <c r="CI68" s="24" t="s">
        <v>4540</v>
      </c>
      <c r="DS68" s="24">
        <f t="shared" si="3"/>
        <v>58.77</v>
      </c>
      <c r="DT68" s="24">
        <f>0.3939*100</f>
        <v>39.39</v>
      </c>
      <c r="DW68" s="24" t="s">
        <v>815</v>
      </c>
      <c r="ER68" s="24">
        <v>1.5893999999999999</v>
      </c>
      <c r="ES68" s="24">
        <v>0.3256</v>
      </c>
      <c r="EV68" s="24" t="s">
        <v>170</v>
      </c>
      <c r="GZ68" s="12"/>
      <c r="HD68" s="12"/>
      <c r="JB68" s="24" t="s">
        <v>718</v>
      </c>
    </row>
    <row r="69" spans="1:262" s="24" customFormat="1" x14ac:dyDescent="0.25">
      <c r="A69" s="24">
        <v>5</v>
      </c>
      <c r="B69" s="42" t="s">
        <v>3795</v>
      </c>
      <c r="C69" s="24" t="s">
        <v>149</v>
      </c>
      <c r="D69" s="24" t="s">
        <v>150</v>
      </c>
      <c r="E69" s="24">
        <v>2013</v>
      </c>
      <c r="F69" s="24">
        <v>2011</v>
      </c>
      <c r="G69" s="24" t="s">
        <v>151</v>
      </c>
      <c r="H69" s="24" t="s">
        <v>166</v>
      </c>
      <c r="I69" s="24" t="s">
        <v>2815</v>
      </c>
      <c r="J69" s="24">
        <v>37.97</v>
      </c>
      <c r="K69" s="24">
        <v>-100.87</v>
      </c>
      <c r="L69" s="24">
        <v>865.6</v>
      </c>
      <c r="O69" s="24">
        <v>400</v>
      </c>
      <c r="P69" s="24">
        <v>489</v>
      </c>
      <c r="R69" s="42">
        <v>4</v>
      </c>
      <c r="S69" s="42" t="s">
        <v>1722</v>
      </c>
      <c r="T69" s="42"/>
      <c r="U69" s="42" t="s">
        <v>1846</v>
      </c>
      <c r="V69" s="42" t="s">
        <v>1380</v>
      </c>
      <c r="W69" s="42" t="s">
        <v>1716</v>
      </c>
      <c r="X69" s="42" t="s">
        <v>1380</v>
      </c>
      <c r="Y69" s="42" t="s">
        <v>1380</v>
      </c>
      <c r="Z69" s="395">
        <v>1.57</v>
      </c>
      <c r="AA69" s="321"/>
      <c r="AB69" s="321"/>
      <c r="AC69" s="24" t="s">
        <v>450</v>
      </c>
      <c r="AG69" s="24" t="s">
        <v>1309</v>
      </c>
      <c r="AH69" s="24" t="s">
        <v>1572</v>
      </c>
      <c r="AI69" s="138" t="s">
        <v>1581</v>
      </c>
      <c r="AJ69" s="24" t="s">
        <v>1614</v>
      </c>
      <c r="AK69" s="140" t="s">
        <v>1619</v>
      </c>
      <c r="AL69" s="24" t="s">
        <v>1615</v>
      </c>
      <c r="AM69" s="24" t="s">
        <v>1615</v>
      </c>
      <c r="AN69" s="24" t="s">
        <v>177</v>
      </c>
      <c r="AW69" s="24" t="s">
        <v>119</v>
      </c>
      <c r="AX69" s="24">
        <v>4</v>
      </c>
      <c r="AZ69" s="24" t="s">
        <v>174</v>
      </c>
      <c r="BD69" s="53"/>
      <c r="BE69" s="24" t="s">
        <v>167</v>
      </c>
      <c r="BP69" s="395">
        <v>1.57</v>
      </c>
      <c r="BQ69" s="395">
        <v>1.46</v>
      </c>
      <c r="BU69" s="395">
        <f t="shared" si="2"/>
        <v>0.86999999999999988</v>
      </c>
      <c r="BV69" s="395">
        <v>0.94000000000000006</v>
      </c>
      <c r="BZ69" s="24">
        <v>10.9</v>
      </c>
      <c r="CA69" s="24">
        <v>11.7</v>
      </c>
      <c r="CD69" s="24" t="s">
        <v>1669</v>
      </c>
      <c r="CE69" s="548">
        <v>10.9</v>
      </c>
      <c r="CF69" s="548">
        <v>11.7</v>
      </c>
      <c r="CG69" s="548"/>
      <c r="CH69" s="548"/>
      <c r="CI69" s="24" t="s">
        <v>4540</v>
      </c>
      <c r="DS69" s="24">
        <f t="shared" si="3"/>
        <v>58.77</v>
      </c>
      <c r="DT69" s="24">
        <f>0.6318*100</f>
        <v>63.18</v>
      </c>
      <c r="DW69" s="24" t="s">
        <v>815</v>
      </c>
      <c r="ER69" s="24">
        <v>1.5893999999999999</v>
      </c>
      <c r="ES69" s="24">
        <v>0.61170000000000002</v>
      </c>
      <c r="EV69" s="24" t="s">
        <v>170</v>
      </c>
      <c r="GZ69" s="12"/>
      <c r="HD69" s="12"/>
      <c r="JB69" s="24" t="s">
        <v>718</v>
      </c>
    </row>
    <row r="70" spans="1:262" s="24" customFormat="1" x14ac:dyDescent="0.25">
      <c r="A70" s="24">
        <v>5</v>
      </c>
      <c r="B70" s="42" t="s">
        <v>3795</v>
      </c>
      <c r="C70" s="24" t="s">
        <v>149</v>
      </c>
      <c r="D70" s="24" t="s">
        <v>150</v>
      </c>
      <c r="E70" s="24">
        <v>2013</v>
      </c>
      <c r="F70" s="24">
        <v>2011</v>
      </c>
      <c r="G70" s="24" t="s">
        <v>151</v>
      </c>
      <c r="H70" s="24" t="s">
        <v>166</v>
      </c>
      <c r="I70" s="24" t="s">
        <v>2815</v>
      </c>
      <c r="J70" s="24">
        <v>37.97</v>
      </c>
      <c r="K70" s="24">
        <v>-100.87</v>
      </c>
      <c r="L70" s="24">
        <v>865.6</v>
      </c>
      <c r="O70" s="24">
        <v>400</v>
      </c>
      <c r="P70" s="24">
        <v>489</v>
      </c>
      <c r="R70" s="42">
        <v>4</v>
      </c>
      <c r="S70" s="42" t="s">
        <v>1722</v>
      </c>
      <c r="T70" s="42"/>
      <c r="U70" s="42" t="s">
        <v>1846</v>
      </c>
      <c r="V70" s="42" t="s">
        <v>1380</v>
      </c>
      <c r="W70" s="42" t="s">
        <v>1716</v>
      </c>
      <c r="X70" s="42" t="s">
        <v>1380</v>
      </c>
      <c r="Y70" s="42" t="s">
        <v>1380</v>
      </c>
      <c r="Z70" s="395">
        <v>1.57</v>
      </c>
      <c r="AA70" s="321"/>
      <c r="AB70" s="321"/>
      <c r="AC70" s="24" t="s">
        <v>450</v>
      </c>
      <c r="AG70" s="24" t="s">
        <v>1309</v>
      </c>
      <c r="AH70" s="24" t="s">
        <v>1520</v>
      </c>
      <c r="AI70" s="138" t="s">
        <v>1581</v>
      </c>
      <c r="AJ70" s="24" t="s">
        <v>1614</v>
      </c>
      <c r="AK70" s="140" t="s">
        <v>1619</v>
      </c>
      <c r="AL70" s="24" t="s">
        <v>1615</v>
      </c>
      <c r="AM70" s="24" t="s">
        <v>1615</v>
      </c>
      <c r="AN70" s="24" t="s">
        <v>177</v>
      </c>
      <c r="AW70" s="24" t="s">
        <v>119</v>
      </c>
      <c r="AX70" s="24">
        <v>4</v>
      </c>
      <c r="AZ70" s="24" t="s">
        <v>174</v>
      </c>
      <c r="BD70" s="53"/>
      <c r="BE70" s="24" t="s">
        <v>168</v>
      </c>
      <c r="BP70" s="395">
        <v>1.57</v>
      </c>
      <c r="BQ70" s="395">
        <v>1.44</v>
      </c>
      <c r="BU70" s="395">
        <f t="shared" si="2"/>
        <v>0.86999999999999988</v>
      </c>
      <c r="BV70" s="395">
        <v>1.1599999999999999</v>
      </c>
      <c r="BZ70" s="24">
        <v>10.9</v>
      </c>
      <c r="CA70" s="24">
        <v>14</v>
      </c>
      <c r="CD70" s="24" t="s">
        <v>1669</v>
      </c>
      <c r="CE70" s="548">
        <v>10.9</v>
      </c>
      <c r="CF70" s="548">
        <v>14</v>
      </c>
      <c r="CG70" s="548"/>
      <c r="CH70" s="548"/>
      <c r="CI70" s="24" t="s">
        <v>4540</v>
      </c>
      <c r="DS70" s="24">
        <f t="shared" si="3"/>
        <v>58.77</v>
      </c>
      <c r="DT70" s="24">
        <f>0.3878*100</f>
        <v>38.78</v>
      </c>
      <c r="DW70" s="24" t="s">
        <v>815</v>
      </c>
      <c r="GZ70" s="12"/>
      <c r="HD70" s="12"/>
      <c r="JB70" s="24" t="s">
        <v>718</v>
      </c>
    </row>
    <row r="71" spans="1:262" s="24" customFormat="1" x14ac:dyDescent="0.25">
      <c r="A71" s="24">
        <v>5</v>
      </c>
      <c r="B71" s="42" t="s">
        <v>3794</v>
      </c>
      <c r="C71" s="24" t="s">
        <v>149</v>
      </c>
      <c r="D71" s="24" t="s">
        <v>150</v>
      </c>
      <c r="E71" s="24">
        <v>2013</v>
      </c>
      <c r="F71" s="24">
        <v>2011</v>
      </c>
      <c r="G71" s="24" t="s">
        <v>151</v>
      </c>
      <c r="H71" s="24" t="s">
        <v>166</v>
      </c>
      <c r="I71" s="24" t="s">
        <v>2815</v>
      </c>
      <c r="J71" s="24">
        <v>37.97</v>
      </c>
      <c r="K71" s="24">
        <v>-100.87</v>
      </c>
      <c r="L71" s="24">
        <v>865.6</v>
      </c>
      <c r="O71" s="24">
        <v>400</v>
      </c>
      <c r="P71" s="24">
        <v>489</v>
      </c>
      <c r="R71" s="42">
        <v>4</v>
      </c>
      <c r="S71" s="42" t="s">
        <v>1722</v>
      </c>
      <c r="T71" s="42"/>
      <c r="U71" s="42" t="s">
        <v>1846</v>
      </c>
      <c r="V71" s="42" t="s">
        <v>1380</v>
      </c>
      <c r="W71" s="42" t="s">
        <v>1716</v>
      </c>
      <c r="X71" s="42" t="s">
        <v>1380</v>
      </c>
      <c r="Y71" s="42" t="s">
        <v>1380</v>
      </c>
      <c r="Z71" s="395">
        <v>1.57</v>
      </c>
      <c r="AA71" s="321"/>
      <c r="AB71" s="321"/>
      <c r="AC71" s="24" t="s">
        <v>450</v>
      </c>
      <c r="AG71" s="24" t="s">
        <v>1309</v>
      </c>
      <c r="AH71" s="24" t="s">
        <v>1564</v>
      </c>
      <c r="AI71" s="138" t="s">
        <v>577</v>
      </c>
      <c r="AJ71" s="24" t="s">
        <v>1614</v>
      </c>
      <c r="AK71" s="140" t="s">
        <v>1619</v>
      </c>
      <c r="AL71" s="24" t="s">
        <v>1615</v>
      </c>
      <c r="AM71" s="24" t="s">
        <v>1615</v>
      </c>
      <c r="AN71" s="24" t="s">
        <v>177</v>
      </c>
      <c r="AW71" s="24" t="s">
        <v>119</v>
      </c>
      <c r="AX71" s="24">
        <v>4</v>
      </c>
      <c r="AZ71" s="24" t="s">
        <v>174</v>
      </c>
      <c r="BD71" s="53"/>
      <c r="BE71" s="24" t="s">
        <v>167</v>
      </c>
      <c r="BP71" s="395">
        <v>1.57</v>
      </c>
      <c r="BQ71" s="395">
        <v>1.45</v>
      </c>
      <c r="BU71" s="395">
        <f t="shared" si="2"/>
        <v>0.86999999999999988</v>
      </c>
      <c r="BV71" s="395">
        <v>1.21</v>
      </c>
      <c r="BZ71" s="24">
        <v>10.9</v>
      </c>
      <c r="CA71" s="24">
        <v>14.4</v>
      </c>
      <c r="CD71" s="24" t="s">
        <v>1669</v>
      </c>
      <c r="CE71" s="548">
        <v>10.9</v>
      </c>
      <c r="CF71" s="548">
        <v>14.4</v>
      </c>
      <c r="CG71" s="548"/>
      <c r="CH71" s="548"/>
      <c r="CI71" s="24" t="s">
        <v>4540</v>
      </c>
      <c r="DS71" s="24">
        <f t="shared" si="3"/>
        <v>58.77</v>
      </c>
      <c r="DT71" s="24">
        <f>0.4163*100</f>
        <v>41.63</v>
      </c>
      <c r="DW71" s="24" t="s">
        <v>815</v>
      </c>
      <c r="GZ71" s="12"/>
      <c r="HD71" s="12"/>
      <c r="JB71" s="24" t="s">
        <v>718</v>
      </c>
    </row>
    <row r="72" spans="1:262" s="24" customFormat="1" x14ac:dyDescent="0.25">
      <c r="A72" s="24">
        <v>5</v>
      </c>
      <c r="B72" s="42" t="s">
        <v>3794</v>
      </c>
      <c r="C72" s="24" t="s">
        <v>149</v>
      </c>
      <c r="D72" s="24" t="s">
        <v>150</v>
      </c>
      <c r="E72" s="24">
        <v>2013</v>
      </c>
      <c r="F72" s="24">
        <v>2011</v>
      </c>
      <c r="G72" s="24" t="s">
        <v>151</v>
      </c>
      <c r="H72" s="24" t="s">
        <v>166</v>
      </c>
      <c r="I72" s="24" t="s">
        <v>2815</v>
      </c>
      <c r="J72" s="24">
        <v>37.97</v>
      </c>
      <c r="K72" s="24">
        <v>-100.87</v>
      </c>
      <c r="L72" s="24">
        <v>865.6</v>
      </c>
      <c r="O72" s="24">
        <v>400</v>
      </c>
      <c r="P72" s="24">
        <v>489</v>
      </c>
      <c r="R72" s="42">
        <v>4</v>
      </c>
      <c r="S72" s="42" t="s">
        <v>1722</v>
      </c>
      <c r="T72" s="42"/>
      <c r="U72" s="42" t="s">
        <v>1846</v>
      </c>
      <c r="V72" s="42" t="s">
        <v>1380</v>
      </c>
      <c r="W72" s="42" t="s">
        <v>1716</v>
      </c>
      <c r="X72" s="42" t="s">
        <v>1380</v>
      </c>
      <c r="Y72" s="42" t="s">
        <v>1380</v>
      </c>
      <c r="Z72" s="395">
        <v>1.57</v>
      </c>
      <c r="AA72" s="321"/>
      <c r="AB72" s="321"/>
      <c r="AC72" s="24" t="s">
        <v>450</v>
      </c>
      <c r="AG72" s="24" t="s">
        <v>1309</v>
      </c>
      <c r="AH72" s="24" t="s">
        <v>1568</v>
      </c>
      <c r="AI72" s="138" t="s">
        <v>577</v>
      </c>
      <c r="AJ72" s="24" t="s">
        <v>1614</v>
      </c>
      <c r="AK72" s="140" t="s">
        <v>1619</v>
      </c>
      <c r="AL72" s="24" t="s">
        <v>1615</v>
      </c>
      <c r="AM72" s="24" t="s">
        <v>1615</v>
      </c>
      <c r="AN72" s="24" t="s">
        <v>177</v>
      </c>
      <c r="AW72" s="24" t="s">
        <v>119</v>
      </c>
      <c r="AX72" s="24">
        <v>4</v>
      </c>
      <c r="AZ72" s="24" t="s">
        <v>174</v>
      </c>
      <c r="BD72" s="53"/>
      <c r="BE72" s="24" t="s">
        <v>168</v>
      </c>
      <c r="BP72" s="395">
        <v>1.57</v>
      </c>
      <c r="BQ72" s="395">
        <v>1.45</v>
      </c>
      <c r="BU72" s="395">
        <f t="shared" si="2"/>
        <v>0.86999999999999988</v>
      </c>
      <c r="BV72" s="395">
        <v>1.3</v>
      </c>
      <c r="BZ72" s="24">
        <v>10.9</v>
      </c>
      <c r="CA72" s="24">
        <v>15.6</v>
      </c>
      <c r="CD72" s="24" t="s">
        <v>1669</v>
      </c>
      <c r="CE72" s="548">
        <v>10.9</v>
      </c>
      <c r="CF72" s="548">
        <v>15.6</v>
      </c>
      <c r="CG72" s="548"/>
      <c r="CH72" s="548"/>
      <c r="CI72" s="24" t="s">
        <v>4540</v>
      </c>
      <c r="DS72" s="24">
        <f t="shared" si="3"/>
        <v>58.77</v>
      </c>
      <c r="DT72" s="24">
        <f>0.2698*100</f>
        <v>26.979999999999997</v>
      </c>
      <c r="DW72" s="24" t="s">
        <v>815</v>
      </c>
      <c r="GZ72" s="12"/>
      <c r="HD72" s="12"/>
      <c r="JB72" s="24" t="s">
        <v>718</v>
      </c>
    </row>
    <row r="73" spans="1:262" s="24" customFormat="1" x14ac:dyDescent="0.25">
      <c r="A73" s="24">
        <v>5</v>
      </c>
      <c r="B73" s="42" t="s">
        <v>3794</v>
      </c>
      <c r="C73" s="24" t="s">
        <v>149</v>
      </c>
      <c r="D73" s="24" t="s">
        <v>150</v>
      </c>
      <c r="E73" s="24">
        <v>2013</v>
      </c>
      <c r="F73" s="24">
        <v>2012</v>
      </c>
      <c r="G73" s="24" t="s">
        <v>151</v>
      </c>
      <c r="H73" s="24" t="s">
        <v>166</v>
      </c>
      <c r="I73" s="24" t="s">
        <v>2815</v>
      </c>
      <c r="J73" s="24">
        <v>37.97</v>
      </c>
      <c r="K73" s="24">
        <v>-100.87</v>
      </c>
      <c r="L73" s="24">
        <v>865.6</v>
      </c>
      <c r="O73" s="24">
        <v>308</v>
      </c>
      <c r="P73" s="24">
        <v>489</v>
      </c>
      <c r="R73" s="42">
        <v>5</v>
      </c>
      <c r="S73" s="42" t="s">
        <v>1722</v>
      </c>
      <c r="T73" s="42"/>
      <c r="U73" s="42" t="s">
        <v>1846</v>
      </c>
      <c r="V73" s="42" t="s">
        <v>1380</v>
      </c>
      <c r="W73" s="42" t="s">
        <v>1716</v>
      </c>
      <c r="X73" s="42" t="s">
        <v>1380</v>
      </c>
      <c r="Y73" s="42" t="s">
        <v>1380</v>
      </c>
      <c r="Z73" s="395">
        <v>1.49</v>
      </c>
      <c r="AA73" s="321"/>
      <c r="AB73" s="321"/>
      <c r="AC73" s="24" t="s">
        <v>450</v>
      </c>
      <c r="AG73" s="24" t="s">
        <v>1309</v>
      </c>
      <c r="AH73" s="24" t="s">
        <v>1564</v>
      </c>
      <c r="AI73" s="138" t="s">
        <v>577</v>
      </c>
      <c r="AJ73" s="24" t="s">
        <v>1614</v>
      </c>
      <c r="AK73" s="140" t="s">
        <v>1619</v>
      </c>
      <c r="AL73" s="24" t="s">
        <v>1615</v>
      </c>
      <c r="AM73" s="24" t="s">
        <v>1615</v>
      </c>
      <c r="AN73" s="24" t="s">
        <v>177</v>
      </c>
      <c r="AW73" s="24" t="s">
        <v>119</v>
      </c>
      <c r="AX73" s="24">
        <v>4</v>
      </c>
      <c r="AZ73" s="24" t="s">
        <v>174</v>
      </c>
      <c r="BD73" s="53"/>
      <c r="BP73" s="395">
        <v>1.49</v>
      </c>
      <c r="BQ73" s="395">
        <v>1.4</v>
      </c>
      <c r="BU73" s="395">
        <f>8.8*100/1000</f>
        <v>0.88000000000000012</v>
      </c>
      <c r="BV73" s="395">
        <v>0.93</v>
      </c>
      <c r="BZ73" s="24">
        <v>9.9</v>
      </c>
      <c r="CA73" s="24">
        <v>10.4</v>
      </c>
      <c r="CD73" s="24" t="s">
        <v>1669</v>
      </c>
      <c r="CE73" s="548">
        <v>9.9</v>
      </c>
      <c r="CF73" s="548">
        <v>10.4</v>
      </c>
      <c r="CG73" s="548"/>
      <c r="CH73" s="548"/>
      <c r="CI73" s="24" t="s">
        <v>4540</v>
      </c>
      <c r="GZ73" s="12"/>
      <c r="HD73" s="12"/>
      <c r="JB73" s="24" t="s">
        <v>718</v>
      </c>
    </row>
    <row r="74" spans="1:262" s="24" customFormat="1" x14ac:dyDescent="0.25">
      <c r="A74" s="24">
        <v>5</v>
      </c>
      <c r="B74" s="42" t="s">
        <v>3794</v>
      </c>
      <c r="C74" s="24" t="s">
        <v>149</v>
      </c>
      <c r="D74" s="24" t="s">
        <v>150</v>
      </c>
      <c r="E74" s="24">
        <v>2013</v>
      </c>
      <c r="F74" s="24">
        <v>2012</v>
      </c>
      <c r="G74" s="24" t="s">
        <v>151</v>
      </c>
      <c r="H74" s="24" t="s">
        <v>166</v>
      </c>
      <c r="I74" s="24" t="s">
        <v>2815</v>
      </c>
      <c r="J74" s="24">
        <v>37.97</v>
      </c>
      <c r="K74" s="24">
        <v>-100.87</v>
      </c>
      <c r="L74" s="24">
        <v>865.6</v>
      </c>
      <c r="O74" s="24">
        <v>308</v>
      </c>
      <c r="P74" s="24">
        <v>489</v>
      </c>
      <c r="R74" s="42">
        <v>5</v>
      </c>
      <c r="S74" s="42" t="s">
        <v>1722</v>
      </c>
      <c r="T74" s="42"/>
      <c r="U74" s="42" t="s">
        <v>1846</v>
      </c>
      <c r="V74" s="42" t="s">
        <v>1380</v>
      </c>
      <c r="W74" s="42" t="s">
        <v>1716</v>
      </c>
      <c r="X74" s="42" t="s">
        <v>1380</v>
      </c>
      <c r="Y74" s="42" t="s">
        <v>1380</v>
      </c>
      <c r="Z74" s="395">
        <v>1.49</v>
      </c>
      <c r="AA74" s="321"/>
      <c r="AB74" s="321"/>
      <c r="AC74" s="24" t="s">
        <v>450</v>
      </c>
      <c r="AG74" s="24" t="s">
        <v>1309</v>
      </c>
      <c r="AH74" s="24" t="s">
        <v>1568</v>
      </c>
      <c r="AI74" s="138" t="s">
        <v>577</v>
      </c>
      <c r="AJ74" s="24" t="s">
        <v>1614</v>
      </c>
      <c r="AK74" s="140" t="s">
        <v>1619</v>
      </c>
      <c r="AL74" s="24" t="s">
        <v>1615</v>
      </c>
      <c r="AM74" s="24" t="s">
        <v>1615</v>
      </c>
      <c r="AN74" s="24" t="s">
        <v>177</v>
      </c>
      <c r="AW74" s="24" t="s">
        <v>119</v>
      </c>
      <c r="AX74" s="24">
        <v>4</v>
      </c>
      <c r="AZ74" s="24" t="s">
        <v>174</v>
      </c>
      <c r="BD74" s="53"/>
      <c r="BP74" s="395">
        <v>1.49</v>
      </c>
      <c r="BQ74" s="395">
        <v>1.42</v>
      </c>
      <c r="BU74" s="395">
        <f t="shared" ref="BU74:BU80" si="4">8.8*100/1000</f>
        <v>0.88000000000000012</v>
      </c>
      <c r="BV74" s="395">
        <v>1.02</v>
      </c>
      <c r="BZ74" s="24">
        <v>9.9</v>
      </c>
      <c r="CA74" s="24">
        <v>11.5</v>
      </c>
      <c r="CD74" s="24" t="s">
        <v>1669</v>
      </c>
      <c r="CE74" s="548">
        <v>9.9</v>
      </c>
      <c r="CF74" s="548">
        <v>11.5</v>
      </c>
      <c r="CG74" s="548"/>
      <c r="CH74" s="548"/>
      <c r="CI74" s="24" t="s">
        <v>4540</v>
      </c>
      <c r="GZ74" s="12"/>
      <c r="HD74" s="12"/>
      <c r="JB74" s="24" t="s">
        <v>718</v>
      </c>
    </row>
    <row r="75" spans="1:262" s="24" customFormat="1" x14ac:dyDescent="0.25">
      <c r="A75" s="24">
        <v>5</v>
      </c>
      <c r="B75" s="42" t="s">
        <v>3794</v>
      </c>
      <c r="C75" s="24" t="s">
        <v>149</v>
      </c>
      <c r="D75" s="24" t="s">
        <v>150</v>
      </c>
      <c r="E75" s="24">
        <v>2013</v>
      </c>
      <c r="F75" s="24">
        <v>2012</v>
      </c>
      <c r="G75" s="24" t="s">
        <v>151</v>
      </c>
      <c r="H75" s="24" t="s">
        <v>166</v>
      </c>
      <c r="I75" s="24" t="s">
        <v>2815</v>
      </c>
      <c r="J75" s="24">
        <v>37.97</v>
      </c>
      <c r="K75" s="24">
        <v>-100.87</v>
      </c>
      <c r="L75" s="24">
        <v>865.6</v>
      </c>
      <c r="O75" s="24">
        <v>308</v>
      </c>
      <c r="P75" s="24">
        <v>489</v>
      </c>
      <c r="R75" s="42">
        <v>5</v>
      </c>
      <c r="S75" s="42" t="s">
        <v>1722</v>
      </c>
      <c r="T75" s="42"/>
      <c r="U75" s="42" t="s">
        <v>1846</v>
      </c>
      <c r="V75" s="42" t="s">
        <v>1380</v>
      </c>
      <c r="W75" s="42" t="s">
        <v>1716</v>
      </c>
      <c r="X75" s="42" t="s">
        <v>1380</v>
      </c>
      <c r="Y75" s="42" t="s">
        <v>1380</v>
      </c>
      <c r="Z75" s="395">
        <v>1.49</v>
      </c>
      <c r="AA75" s="321"/>
      <c r="AB75" s="321"/>
      <c r="AC75" s="24" t="s">
        <v>450</v>
      </c>
      <c r="AG75" s="24" t="s">
        <v>1309</v>
      </c>
      <c r="AH75" s="24" t="s">
        <v>1569</v>
      </c>
      <c r="AI75" s="138" t="s">
        <v>577</v>
      </c>
      <c r="AJ75" s="24" t="s">
        <v>1614</v>
      </c>
      <c r="AK75" s="140" t="s">
        <v>1619</v>
      </c>
      <c r="AL75" s="24" t="s">
        <v>1615</v>
      </c>
      <c r="AM75" s="24" t="s">
        <v>1615</v>
      </c>
      <c r="AN75" s="24" t="s">
        <v>177</v>
      </c>
      <c r="AW75" s="24" t="s">
        <v>119</v>
      </c>
      <c r="AX75" s="24">
        <v>4</v>
      </c>
      <c r="AZ75" s="24" t="s">
        <v>174</v>
      </c>
      <c r="BD75" s="53"/>
      <c r="BP75" s="395">
        <v>1.49</v>
      </c>
      <c r="BQ75" s="395">
        <v>1.48</v>
      </c>
      <c r="BU75" s="395">
        <f t="shared" si="4"/>
        <v>0.88000000000000012</v>
      </c>
      <c r="BV75" s="395">
        <v>1.08</v>
      </c>
      <c r="BZ75" s="24">
        <v>9.9</v>
      </c>
      <c r="CA75" s="24">
        <v>12</v>
      </c>
      <c r="CD75" s="24" t="s">
        <v>1669</v>
      </c>
      <c r="CE75" s="548">
        <v>9.9</v>
      </c>
      <c r="CF75" s="548">
        <v>12</v>
      </c>
      <c r="CG75" s="548"/>
      <c r="CH75" s="548"/>
      <c r="CI75" s="24" t="s">
        <v>4540</v>
      </c>
      <c r="GZ75" s="12"/>
      <c r="HD75" s="12"/>
      <c r="JB75" s="24" t="s">
        <v>718</v>
      </c>
    </row>
    <row r="76" spans="1:262" s="24" customFormat="1" x14ac:dyDescent="0.25">
      <c r="A76" s="24">
        <v>5</v>
      </c>
      <c r="B76" s="42" t="s">
        <v>3795</v>
      </c>
      <c r="C76" s="24" t="s">
        <v>149</v>
      </c>
      <c r="D76" s="24" t="s">
        <v>150</v>
      </c>
      <c r="E76" s="24">
        <v>2013</v>
      </c>
      <c r="F76" s="24">
        <v>2012</v>
      </c>
      <c r="G76" s="24" t="s">
        <v>151</v>
      </c>
      <c r="H76" s="24" t="s">
        <v>166</v>
      </c>
      <c r="I76" s="24" t="s">
        <v>2815</v>
      </c>
      <c r="J76" s="24">
        <v>37.97</v>
      </c>
      <c r="K76" s="24">
        <v>-100.87</v>
      </c>
      <c r="L76" s="24">
        <v>865.6</v>
      </c>
      <c r="O76" s="24">
        <v>308</v>
      </c>
      <c r="P76" s="24">
        <v>489</v>
      </c>
      <c r="R76" s="42">
        <v>5</v>
      </c>
      <c r="S76" s="42" t="s">
        <v>1722</v>
      </c>
      <c r="T76" s="42"/>
      <c r="U76" s="42" t="s">
        <v>1846</v>
      </c>
      <c r="V76" s="42" t="s">
        <v>1380</v>
      </c>
      <c r="W76" s="42" t="s">
        <v>1716</v>
      </c>
      <c r="X76" s="42" t="s">
        <v>1380</v>
      </c>
      <c r="Y76" s="42" t="s">
        <v>1380</v>
      </c>
      <c r="Z76" s="395">
        <v>1.49</v>
      </c>
      <c r="AA76" s="321"/>
      <c r="AB76" s="321"/>
      <c r="AC76" s="24" t="s">
        <v>450</v>
      </c>
      <c r="AG76" s="24" t="s">
        <v>1309</v>
      </c>
      <c r="AH76" s="24" t="s">
        <v>1565</v>
      </c>
      <c r="AI76" s="138" t="s">
        <v>1581</v>
      </c>
      <c r="AJ76" s="24" t="s">
        <v>1614</v>
      </c>
      <c r="AK76" s="140" t="s">
        <v>1619</v>
      </c>
      <c r="AL76" s="24" t="s">
        <v>1615</v>
      </c>
      <c r="AM76" s="24" t="s">
        <v>1615</v>
      </c>
      <c r="AN76" s="24" t="s">
        <v>177</v>
      </c>
      <c r="AW76" s="24" t="s">
        <v>119</v>
      </c>
      <c r="AX76" s="24">
        <v>4</v>
      </c>
      <c r="AZ76" s="24" t="s">
        <v>174</v>
      </c>
      <c r="BD76" s="53"/>
      <c r="BP76" s="395">
        <v>1.49</v>
      </c>
      <c r="BQ76" s="395">
        <v>1.49</v>
      </c>
      <c r="BU76" s="395">
        <f t="shared" si="4"/>
        <v>0.88000000000000012</v>
      </c>
      <c r="BV76" s="395">
        <v>0.94000000000000006</v>
      </c>
      <c r="BZ76" s="24">
        <v>9.9</v>
      </c>
      <c r="CA76" s="24">
        <v>10.6</v>
      </c>
      <c r="CD76" s="24" t="s">
        <v>1669</v>
      </c>
      <c r="CE76" s="548">
        <v>9.9</v>
      </c>
      <c r="CF76" s="548">
        <v>10.6</v>
      </c>
      <c r="CG76" s="548"/>
      <c r="CH76" s="548"/>
      <c r="CI76" s="24" t="s">
        <v>4540</v>
      </c>
      <c r="GZ76" s="12"/>
      <c r="HD76" s="12"/>
      <c r="JB76" s="24" t="s">
        <v>718</v>
      </c>
    </row>
    <row r="77" spans="1:262" s="24" customFormat="1" x14ac:dyDescent="0.25">
      <c r="A77" s="24">
        <v>5</v>
      </c>
      <c r="B77" s="42" t="s">
        <v>3795</v>
      </c>
      <c r="C77" s="24" t="s">
        <v>149</v>
      </c>
      <c r="D77" s="24" t="s">
        <v>150</v>
      </c>
      <c r="E77" s="24">
        <v>2013</v>
      </c>
      <c r="F77" s="24">
        <v>2012</v>
      </c>
      <c r="G77" s="24" t="s">
        <v>151</v>
      </c>
      <c r="H77" s="24" t="s">
        <v>166</v>
      </c>
      <c r="I77" s="24" t="s">
        <v>2815</v>
      </c>
      <c r="J77" s="24">
        <v>37.97</v>
      </c>
      <c r="K77" s="24">
        <v>-100.87</v>
      </c>
      <c r="L77" s="24">
        <v>865.6</v>
      </c>
      <c r="O77" s="24">
        <v>308</v>
      </c>
      <c r="P77" s="24">
        <v>489</v>
      </c>
      <c r="R77" s="42">
        <v>5</v>
      </c>
      <c r="S77" s="42" t="s">
        <v>1722</v>
      </c>
      <c r="T77" s="42"/>
      <c r="U77" s="42" t="s">
        <v>1846</v>
      </c>
      <c r="V77" s="42" t="s">
        <v>1380</v>
      </c>
      <c r="W77" s="42" t="s">
        <v>1716</v>
      </c>
      <c r="X77" s="42" t="s">
        <v>1380</v>
      </c>
      <c r="Y77" s="42" t="s">
        <v>1380</v>
      </c>
      <c r="Z77" s="395">
        <v>1.49</v>
      </c>
      <c r="AA77" s="321"/>
      <c r="AB77" s="321"/>
      <c r="AC77" s="24" t="s">
        <v>450</v>
      </c>
      <c r="AG77" s="24" t="s">
        <v>1309</v>
      </c>
      <c r="AH77" s="24" t="s">
        <v>1572</v>
      </c>
      <c r="AI77" s="138" t="s">
        <v>1581</v>
      </c>
      <c r="AJ77" s="24" t="s">
        <v>1614</v>
      </c>
      <c r="AK77" s="140" t="s">
        <v>1619</v>
      </c>
      <c r="AL77" s="24" t="s">
        <v>1615</v>
      </c>
      <c r="AM77" s="24" t="s">
        <v>1615</v>
      </c>
      <c r="AN77" s="24" t="s">
        <v>177</v>
      </c>
      <c r="AW77" s="24" t="s">
        <v>119</v>
      </c>
      <c r="AX77" s="24">
        <v>4</v>
      </c>
      <c r="AZ77" s="24" t="s">
        <v>174</v>
      </c>
      <c r="BD77" s="53"/>
      <c r="BE77" s="24" t="s">
        <v>167</v>
      </c>
      <c r="BP77" s="395">
        <v>1.49</v>
      </c>
      <c r="BQ77" s="395">
        <v>1.5</v>
      </c>
      <c r="BU77" s="395">
        <f t="shared" si="4"/>
        <v>0.88000000000000012</v>
      </c>
      <c r="BV77" s="395">
        <v>0.99</v>
      </c>
      <c r="BZ77" s="24">
        <v>9.9</v>
      </c>
      <c r="CA77" s="24">
        <v>11.2</v>
      </c>
      <c r="CD77" s="24" t="s">
        <v>1669</v>
      </c>
      <c r="CE77" s="548">
        <v>9.9</v>
      </c>
      <c r="CF77" s="548">
        <v>11.2</v>
      </c>
      <c r="CG77" s="548"/>
      <c r="CH77" s="548"/>
      <c r="CI77" s="24" t="s">
        <v>4540</v>
      </c>
      <c r="GZ77" s="12"/>
      <c r="HD77" s="12"/>
      <c r="JB77" s="24" t="s">
        <v>718</v>
      </c>
    </row>
    <row r="78" spans="1:262" s="24" customFormat="1" x14ac:dyDescent="0.25">
      <c r="A78" s="24">
        <v>5</v>
      </c>
      <c r="B78" s="42" t="s">
        <v>3795</v>
      </c>
      <c r="C78" s="24" t="s">
        <v>149</v>
      </c>
      <c r="D78" s="24" t="s">
        <v>150</v>
      </c>
      <c r="E78" s="24">
        <v>2013</v>
      </c>
      <c r="F78" s="24">
        <v>2012</v>
      </c>
      <c r="G78" s="24" t="s">
        <v>151</v>
      </c>
      <c r="H78" s="24" t="s">
        <v>166</v>
      </c>
      <c r="I78" s="24" t="s">
        <v>2815</v>
      </c>
      <c r="J78" s="24">
        <v>37.97</v>
      </c>
      <c r="K78" s="24">
        <v>-100.87</v>
      </c>
      <c r="L78" s="24">
        <v>865.6</v>
      </c>
      <c r="O78" s="24">
        <v>308</v>
      </c>
      <c r="P78" s="24">
        <v>489</v>
      </c>
      <c r="R78" s="42">
        <v>5</v>
      </c>
      <c r="S78" s="42" t="s">
        <v>1722</v>
      </c>
      <c r="T78" s="42"/>
      <c r="U78" s="42" t="s">
        <v>1846</v>
      </c>
      <c r="V78" s="42" t="s">
        <v>1380</v>
      </c>
      <c r="W78" s="42" t="s">
        <v>1716</v>
      </c>
      <c r="X78" s="42" t="s">
        <v>1380</v>
      </c>
      <c r="Y78" s="42" t="s">
        <v>1380</v>
      </c>
      <c r="Z78" s="395">
        <v>1.49</v>
      </c>
      <c r="AA78" s="321"/>
      <c r="AB78" s="321"/>
      <c r="AC78" s="24" t="s">
        <v>450</v>
      </c>
      <c r="AG78" s="24" t="s">
        <v>1309</v>
      </c>
      <c r="AH78" s="24" t="s">
        <v>1520</v>
      </c>
      <c r="AI78" s="138" t="s">
        <v>1581</v>
      </c>
      <c r="AJ78" s="24" t="s">
        <v>1614</v>
      </c>
      <c r="AK78" s="140" t="s">
        <v>1619</v>
      </c>
      <c r="AL78" s="24" t="s">
        <v>1615</v>
      </c>
      <c r="AM78" s="24" t="s">
        <v>1615</v>
      </c>
      <c r="AN78" s="24" t="s">
        <v>177</v>
      </c>
      <c r="AW78" s="24" t="s">
        <v>119</v>
      </c>
      <c r="AX78" s="24">
        <v>4</v>
      </c>
      <c r="AZ78" s="24" t="s">
        <v>174</v>
      </c>
      <c r="BD78" s="53"/>
      <c r="BE78" s="24" t="s">
        <v>168</v>
      </c>
      <c r="BP78" s="395">
        <v>1.49</v>
      </c>
      <c r="BQ78" s="395">
        <v>1.47</v>
      </c>
      <c r="BU78" s="395">
        <f t="shared" si="4"/>
        <v>0.88000000000000012</v>
      </c>
      <c r="BV78" s="395">
        <v>1.04</v>
      </c>
      <c r="BZ78" s="24">
        <v>9.9</v>
      </c>
      <c r="CA78" s="24">
        <v>11.5</v>
      </c>
      <c r="CD78" s="24" t="s">
        <v>1669</v>
      </c>
      <c r="CE78" s="548">
        <v>9.9</v>
      </c>
      <c r="CF78" s="548">
        <v>11.5</v>
      </c>
      <c r="CG78" s="548"/>
      <c r="CH78" s="548"/>
      <c r="CI78" s="24" t="s">
        <v>4540</v>
      </c>
      <c r="GZ78" s="12"/>
      <c r="HD78" s="12"/>
      <c r="JB78" s="24" t="s">
        <v>718</v>
      </c>
    </row>
    <row r="79" spans="1:262" s="24" customFormat="1" x14ac:dyDescent="0.25">
      <c r="A79" s="24">
        <v>5</v>
      </c>
      <c r="B79" s="42" t="s">
        <v>3794</v>
      </c>
      <c r="C79" s="24" t="s">
        <v>149</v>
      </c>
      <c r="D79" s="24" t="s">
        <v>150</v>
      </c>
      <c r="E79" s="24">
        <v>2013</v>
      </c>
      <c r="F79" s="24">
        <v>2012</v>
      </c>
      <c r="G79" s="24" t="s">
        <v>151</v>
      </c>
      <c r="H79" s="24" t="s">
        <v>166</v>
      </c>
      <c r="I79" s="24" t="s">
        <v>2815</v>
      </c>
      <c r="J79" s="24">
        <v>37.97</v>
      </c>
      <c r="K79" s="24">
        <v>-100.87</v>
      </c>
      <c r="L79" s="24">
        <v>865.6</v>
      </c>
      <c r="O79" s="24">
        <v>308</v>
      </c>
      <c r="P79" s="24">
        <v>489</v>
      </c>
      <c r="R79" s="42">
        <v>5</v>
      </c>
      <c r="S79" s="42" t="s">
        <v>1722</v>
      </c>
      <c r="T79" s="42"/>
      <c r="U79" s="42" t="s">
        <v>1846</v>
      </c>
      <c r="V79" s="42" t="s">
        <v>1380</v>
      </c>
      <c r="W79" s="42" t="s">
        <v>1716</v>
      </c>
      <c r="X79" s="42" t="s">
        <v>1380</v>
      </c>
      <c r="Y79" s="42" t="s">
        <v>1380</v>
      </c>
      <c r="Z79" s="395">
        <v>1.49</v>
      </c>
      <c r="AA79" s="321"/>
      <c r="AB79" s="321"/>
      <c r="AC79" s="24" t="s">
        <v>450</v>
      </c>
      <c r="AG79" s="24" t="s">
        <v>1309</v>
      </c>
      <c r="AH79" s="24" t="s">
        <v>1564</v>
      </c>
      <c r="AI79" s="138" t="s">
        <v>577</v>
      </c>
      <c r="AJ79" s="24" t="s">
        <v>1614</v>
      </c>
      <c r="AK79" s="140" t="s">
        <v>1619</v>
      </c>
      <c r="AL79" s="24" t="s">
        <v>1615</v>
      </c>
      <c r="AM79" s="24" t="s">
        <v>1615</v>
      </c>
      <c r="AN79" s="24" t="s">
        <v>177</v>
      </c>
      <c r="AW79" s="24" t="s">
        <v>119</v>
      </c>
      <c r="AX79" s="24">
        <v>4</v>
      </c>
      <c r="AZ79" s="24" t="s">
        <v>174</v>
      </c>
      <c r="BD79" s="53"/>
      <c r="BE79" s="24" t="s">
        <v>167</v>
      </c>
      <c r="BP79" s="395">
        <v>1.49</v>
      </c>
      <c r="BQ79" s="395">
        <v>1.4</v>
      </c>
      <c r="BU79" s="395">
        <f t="shared" si="4"/>
        <v>0.88000000000000012</v>
      </c>
      <c r="BV79" s="395">
        <v>0.99</v>
      </c>
      <c r="BZ79" s="24">
        <v>9.9</v>
      </c>
      <c r="CA79" s="24">
        <v>11.5</v>
      </c>
      <c r="CD79" s="24" t="s">
        <v>1669</v>
      </c>
      <c r="CE79" s="548">
        <v>9.9</v>
      </c>
      <c r="CF79" s="548">
        <v>11.5</v>
      </c>
      <c r="CG79" s="548"/>
      <c r="CH79" s="548"/>
      <c r="CI79" s="24" t="s">
        <v>4540</v>
      </c>
      <c r="GZ79" s="12"/>
      <c r="HD79" s="12"/>
      <c r="JB79" s="24" t="s">
        <v>718</v>
      </c>
    </row>
    <row r="80" spans="1:262" s="24" customFormat="1" x14ac:dyDescent="0.25">
      <c r="A80" s="24">
        <v>5</v>
      </c>
      <c r="B80" s="42" t="s">
        <v>3794</v>
      </c>
      <c r="C80" s="24" t="s">
        <v>149</v>
      </c>
      <c r="D80" s="24" t="s">
        <v>150</v>
      </c>
      <c r="E80" s="24">
        <v>2013</v>
      </c>
      <c r="F80" s="24">
        <v>2012</v>
      </c>
      <c r="G80" s="24" t="s">
        <v>151</v>
      </c>
      <c r="H80" s="24" t="s">
        <v>166</v>
      </c>
      <c r="I80" s="24" t="s">
        <v>2815</v>
      </c>
      <c r="J80" s="24">
        <v>37.97</v>
      </c>
      <c r="K80" s="24">
        <v>-100.87</v>
      </c>
      <c r="L80" s="24">
        <v>865.6</v>
      </c>
      <c r="O80" s="24">
        <v>308</v>
      </c>
      <c r="P80" s="24">
        <v>489</v>
      </c>
      <c r="R80" s="42">
        <v>5</v>
      </c>
      <c r="S80" s="42" t="s">
        <v>1722</v>
      </c>
      <c r="T80" s="42"/>
      <c r="U80" s="42" t="s">
        <v>1846</v>
      </c>
      <c r="V80" s="42" t="s">
        <v>1380</v>
      </c>
      <c r="W80" s="42" t="s">
        <v>1716</v>
      </c>
      <c r="X80" s="42" t="s">
        <v>1380</v>
      </c>
      <c r="Y80" s="42" t="s">
        <v>1380</v>
      </c>
      <c r="Z80" s="395">
        <v>1.49</v>
      </c>
      <c r="AA80" s="321"/>
      <c r="AB80" s="321"/>
      <c r="AC80" s="24" t="s">
        <v>450</v>
      </c>
      <c r="AG80" s="24" t="s">
        <v>1309</v>
      </c>
      <c r="AH80" s="24" t="s">
        <v>1568</v>
      </c>
      <c r="AI80" s="138" t="s">
        <v>577</v>
      </c>
      <c r="AJ80" s="24" t="s">
        <v>1614</v>
      </c>
      <c r="AK80" s="140" t="s">
        <v>1619</v>
      </c>
      <c r="AL80" s="24" t="s">
        <v>1615</v>
      </c>
      <c r="AM80" s="24" t="s">
        <v>1615</v>
      </c>
      <c r="AN80" s="24" t="s">
        <v>177</v>
      </c>
      <c r="AW80" s="24" t="s">
        <v>119</v>
      </c>
      <c r="AX80" s="24">
        <v>4</v>
      </c>
      <c r="AZ80" s="24" t="s">
        <v>174</v>
      </c>
      <c r="BD80" s="53"/>
      <c r="BE80" s="24" t="s">
        <v>168</v>
      </c>
      <c r="BP80" s="395">
        <v>1.49</v>
      </c>
      <c r="BQ80" s="395">
        <v>1.4</v>
      </c>
      <c r="BU80" s="395">
        <f t="shared" si="4"/>
        <v>0.88000000000000012</v>
      </c>
      <c r="BV80" s="395">
        <v>1.06</v>
      </c>
      <c r="BZ80" s="24">
        <v>9.9</v>
      </c>
      <c r="CA80" s="24">
        <v>12.1</v>
      </c>
      <c r="CD80" s="24" t="s">
        <v>1669</v>
      </c>
      <c r="CE80" s="548">
        <v>9.9</v>
      </c>
      <c r="CF80" s="548">
        <v>12.1</v>
      </c>
      <c r="CG80" s="548"/>
      <c r="CH80" s="548"/>
      <c r="CI80" s="24" t="s">
        <v>4540</v>
      </c>
      <c r="GZ80" s="12"/>
      <c r="HD80" s="12"/>
      <c r="JB80" s="24" t="s">
        <v>718</v>
      </c>
    </row>
    <row r="81" spans="1:262" s="21" customFormat="1" x14ac:dyDescent="0.25">
      <c r="A81" s="21">
        <v>6</v>
      </c>
      <c r="B81" s="43" t="s">
        <v>3796</v>
      </c>
      <c r="C81" s="21" t="s">
        <v>171</v>
      </c>
      <c r="D81" s="21" t="s">
        <v>172</v>
      </c>
      <c r="E81" s="21">
        <v>2016</v>
      </c>
      <c r="F81" s="21">
        <v>2012</v>
      </c>
      <c r="G81" s="21" t="s">
        <v>173</v>
      </c>
      <c r="I81" s="21" t="s">
        <v>2815</v>
      </c>
      <c r="J81" s="21">
        <v>35.380000000000003</v>
      </c>
      <c r="K81" s="21">
        <v>-77.989999999999995</v>
      </c>
      <c r="L81" s="21">
        <v>32.700000000000003</v>
      </c>
      <c r="R81" s="43">
        <v>1</v>
      </c>
      <c r="S81" s="43" t="s">
        <v>1847</v>
      </c>
      <c r="T81" s="43"/>
      <c r="U81" s="43" t="s">
        <v>1849</v>
      </c>
      <c r="V81" s="43" t="s">
        <v>1382</v>
      </c>
      <c r="W81" s="43" t="s">
        <v>1717</v>
      </c>
      <c r="X81" s="43" t="s">
        <v>1382</v>
      </c>
      <c r="Y81" s="43" t="s">
        <v>1382</v>
      </c>
      <c r="AA81" s="322">
        <f>(21.7+27.4)/2</f>
        <v>24.549999999999997</v>
      </c>
      <c r="AB81" s="322">
        <f>(60+63.7)/2</f>
        <v>61.85</v>
      </c>
      <c r="AC81" s="21" t="s">
        <v>175</v>
      </c>
      <c r="AG81" s="21" t="s">
        <v>1310</v>
      </c>
      <c r="AH81" s="21" t="s">
        <v>1521</v>
      </c>
      <c r="AI81" s="138" t="s">
        <v>577</v>
      </c>
      <c r="AJ81" s="21" t="s">
        <v>158</v>
      </c>
      <c r="AK81" s="141" t="s">
        <v>158</v>
      </c>
      <c r="AO81" s="21" t="s">
        <v>176</v>
      </c>
      <c r="AP81" s="21" t="s">
        <v>176</v>
      </c>
      <c r="AQ81" s="21" t="s">
        <v>2125</v>
      </c>
      <c r="AR81" s="21" t="s">
        <v>2125</v>
      </c>
      <c r="AS81" s="21" t="s">
        <v>177</v>
      </c>
      <c r="AW81" s="22" t="s">
        <v>160</v>
      </c>
      <c r="AX81" s="21">
        <v>6</v>
      </c>
      <c r="AZ81" s="21" t="s">
        <v>174</v>
      </c>
      <c r="BB81" s="21">
        <f>9.66*1000</f>
        <v>9660</v>
      </c>
      <c r="BD81" s="54"/>
      <c r="BP81" s="396"/>
      <c r="BQ81" s="396"/>
      <c r="BU81" s="396"/>
      <c r="BV81" s="396"/>
      <c r="CE81" s="549"/>
      <c r="CF81" s="549"/>
      <c r="CG81" s="549"/>
      <c r="CH81" s="549"/>
      <c r="DS81" s="21">
        <v>5.0199999999999996</v>
      </c>
      <c r="DT81" s="21">
        <v>3.22</v>
      </c>
      <c r="DW81" s="21" t="s">
        <v>184</v>
      </c>
      <c r="FL81" s="21">
        <v>0.16159999999999999</v>
      </c>
      <c r="FM81" s="21">
        <v>0.1666</v>
      </c>
      <c r="GZ81" s="12"/>
      <c r="HD81" s="12"/>
      <c r="HE81" s="21">
        <v>501.83</v>
      </c>
      <c r="HF81" s="21">
        <v>441.12</v>
      </c>
      <c r="HI81" s="21" t="s">
        <v>328</v>
      </c>
      <c r="IN81" s="21">
        <v>329.48</v>
      </c>
      <c r="IO81" s="21">
        <v>341.32</v>
      </c>
      <c r="IR81" s="21" t="s">
        <v>326</v>
      </c>
    </row>
    <row r="82" spans="1:262" s="21" customFormat="1" x14ac:dyDescent="0.25">
      <c r="A82" s="21">
        <v>6</v>
      </c>
      <c r="B82" s="43" t="s">
        <v>3797</v>
      </c>
      <c r="C82" s="21" t="s">
        <v>171</v>
      </c>
      <c r="D82" s="21" t="s">
        <v>172</v>
      </c>
      <c r="E82" s="21">
        <v>2016</v>
      </c>
      <c r="F82" s="21">
        <v>2012</v>
      </c>
      <c r="G82" s="21" t="s">
        <v>173</v>
      </c>
      <c r="I82" s="21" t="s">
        <v>2815</v>
      </c>
      <c r="J82" s="21">
        <v>35.380000000000003</v>
      </c>
      <c r="K82" s="21">
        <v>-77.989999999999995</v>
      </c>
      <c r="L82" s="21">
        <v>32.700000000000003</v>
      </c>
      <c r="R82" s="43">
        <v>1</v>
      </c>
      <c r="S82" s="43" t="s">
        <v>1847</v>
      </c>
      <c r="T82" s="43"/>
      <c r="U82" s="43" t="s">
        <v>1849</v>
      </c>
      <c r="V82" s="43" t="s">
        <v>1382</v>
      </c>
      <c r="W82" s="43" t="s">
        <v>1717</v>
      </c>
      <c r="X82" s="43" t="s">
        <v>1382</v>
      </c>
      <c r="Y82" s="43" t="s">
        <v>1382</v>
      </c>
      <c r="AA82" s="322">
        <f>(21.7+27.4)/2</f>
        <v>24.549999999999997</v>
      </c>
      <c r="AB82" s="322">
        <f>(60+63.7)/2</f>
        <v>61.85</v>
      </c>
      <c r="AC82" s="21" t="s">
        <v>175</v>
      </c>
      <c r="AG82" s="21" t="s">
        <v>1310</v>
      </c>
      <c r="AH82" s="21" t="s">
        <v>243</v>
      </c>
      <c r="AI82" s="138" t="s">
        <v>577</v>
      </c>
      <c r="AJ82" s="21" t="s">
        <v>158</v>
      </c>
      <c r="AK82" s="141" t="s">
        <v>158</v>
      </c>
      <c r="AO82" s="21" t="s">
        <v>176</v>
      </c>
      <c r="AP82" s="21" t="s">
        <v>176</v>
      </c>
      <c r="AQ82" s="21" t="s">
        <v>2125</v>
      </c>
      <c r="AR82" s="21" t="s">
        <v>2125</v>
      </c>
      <c r="AS82" s="21" t="s">
        <v>177</v>
      </c>
      <c r="AW82" s="22" t="s">
        <v>160</v>
      </c>
      <c r="AX82" s="21">
        <v>6</v>
      </c>
      <c r="AZ82" s="21" t="s">
        <v>174</v>
      </c>
      <c r="BB82" s="21">
        <f>8.83*1000</f>
        <v>8830</v>
      </c>
      <c r="BD82" s="54"/>
      <c r="BP82" s="396"/>
      <c r="BQ82" s="396"/>
      <c r="BU82" s="396"/>
      <c r="BV82" s="396"/>
      <c r="CE82" s="549"/>
      <c r="CF82" s="549"/>
      <c r="CG82" s="549"/>
      <c r="CH82" s="549"/>
      <c r="DS82" s="21">
        <v>5.0199999999999996</v>
      </c>
      <c r="DT82" s="21">
        <v>3.64</v>
      </c>
      <c r="DW82" s="21" t="s">
        <v>184</v>
      </c>
      <c r="FL82" s="21">
        <v>0.1618</v>
      </c>
      <c r="FM82" s="21">
        <v>0.1472</v>
      </c>
      <c r="GZ82" s="12"/>
      <c r="HD82" s="12"/>
      <c r="HE82" s="21">
        <v>501.83</v>
      </c>
      <c r="HF82" s="21">
        <v>477.97</v>
      </c>
      <c r="HI82" s="21" t="s">
        <v>328</v>
      </c>
      <c r="IN82" s="21">
        <v>329.48</v>
      </c>
      <c r="IO82" s="21">
        <v>337.39</v>
      </c>
      <c r="IR82" s="21" t="s">
        <v>326</v>
      </c>
    </row>
    <row r="83" spans="1:262" s="21" customFormat="1" x14ac:dyDescent="0.25">
      <c r="A83" s="21">
        <v>6</v>
      </c>
      <c r="B83" s="43" t="s">
        <v>3796</v>
      </c>
      <c r="C83" s="21" t="s">
        <v>171</v>
      </c>
      <c r="D83" s="21" t="s">
        <v>172</v>
      </c>
      <c r="E83" s="21">
        <v>2016</v>
      </c>
      <c r="F83" s="21">
        <v>2013</v>
      </c>
      <c r="G83" s="21" t="s">
        <v>173</v>
      </c>
      <c r="I83" s="21" t="s">
        <v>2815</v>
      </c>
      <c r="J83" s="21">
        <v>35.380000000000003</v>
      </c>
      <c r="K83" s="21">
        <v>-77.989999999999995</v>
      </c>
      <c r="L83" s="21">
        <v>32.700000000000003</v>
      </c>
      <c r="R83" s="43">
        <v>2</v>
      </c>
      <c r="S83" s="43" t="s">
        <v>1847</v>
      </c>
      <c r="T83" s="43"/>
      <c r="U83" s="43" t="s">
        <v>1849</v>
      </c>
      <c r="V83" s="43" t="s">
        <v>1382</v>
      </c>
      <c r="W83" s="43" t="s">
        <v>1717</v>
      </c>
      <c r="X83" s="43" t="s">
        <v>1382</v>
      </c>
      <c r="Y83" s="43" t="s">
        <v>1382</v>
      </c>
      <c r="AA83" s="322">
        <f>(21.7+27.4)/2</f>
        <v>24.549999999999997</v>
      </c>
      <c r="AB83" s="322">
        <f>(60+63.7)/2</f>
        <v>61.85</v>
      </c>
      <c r="AC83" s="21" t="s">
        <v>175</v>
      </c>
      <c r="AG83" s="21" t="s">
        <v>1310</v>
      </c>
      <c r="AH83" s="21" t="s">
        <v>1521</v>
      </c>
      <c r="AI83" s="138" t="s">
        <v>577</v>
      </c>
      <c r="AJ83" s="21" t="s">
        <v>158</v>
      </c>
      <c r="AK83" s="141" t="s">
        <v>158</v>
      </c>
      <c r="AO83" s="21" t="s">
        <v>176</v>
      </c>
      <c r="AP83" s="21" t="s">
        <v>176</v>
      </c>
      <c r="AQ83" s="21" t="s">
        <v>2125</v>
      </c>
      <c r="AR83" s="21" t="s">
        <v>2125</v>
      </c>
      <c r="AS83" s="21" t="s">
        <v>177</v>
      </c>
      <c r="AW83" s="22" t="s">
        <v>160</v>
      </c>
      <c r="AX83" s="21">
        <v>6</v>
      </c>
      <c r="AZ83" s="21" t="s">
        <v>174</v>
      </c>
      <c r="BB83" s="21">
        <f>4.42*1000</f>
        <v>4420</v>
      </c>
      <c r="BD83" s="54"/>
      <c r="BP83" s="396"/>
      <c r="BQ83" s="396"/>
      <c r="BU83" s="396"/>
      <c r="BV83" s="396"/>
      <c r="CE83" s="549"/>
      <c r="CF83" s="549"/>
      <c r="CG83" s="549"/>
      <c r="CH83" s="549"/>
      <c r="DS83" s="21">
        <v>2.99</v>
      </c>
      <c r="DT83" s="21">
        <v>2.33</v>
      </c>
      <c r="DW83" s="21" t="s">
        <v>184</v>
      </c>
      <c r="FL83" s="21">
        <v>0.1163</v>
      </c>
      <c r="FM83" s="21">
        <v>0.1176</v>
      </c>
      <c r="GZ83" s="12"/>
      <c r="HD83" s="12"/>
      <c r="HE83" s="21">
        <v>501.83</v>
      </c>
      <c r="HF83" s="21">
        <v>441.12</v>
      </c>
      <c r="HI83" s="21" t="s">
        <v>328</v>
      </c>
      <c r="IN83" s="21">
        <v>329.48</v>
      </c>
      <c r="IO83" s="21">
        <v>341.32</v>
      </c>
      <c r="IR83" s="21" t="s">
        <v>326</v>
      </c>
    </row>
    <row r="84" spans="1:262" s="21" customFormat="1" x14ac:dyDescent="0.25">
      <c r="A84" s="21">
        <v>6</v>
      </c>
      <c r="B84" s="43" t="s">
        <v>3797</v>
      </c>
      <c r="C84" s="21" t="s">
        <v>171</v>
      </c>
      <c r="D84" s="21" t="s">
        <v>172</v>
      </c>
      <c r="E84" s="21">
        <v>2016</v>
      </c>
      <c r="F84" s="21">
        <v>2013</v>
      </c>
      <c r="G84" s="21" t="s">
        <v>173</v>
      </c>
      <c r="I84" s="21" t="s">
        <v>2815</v>
      </c>
      <c r="J84" s="21">
        <v>35.380000000000003</v>
      </c>
      <c r="K84" s="21">
        <v>-77.989999999999995</v>
      </c>
      <c r="L84" s="21">
        <v>32.700000000000003</v>
      </c>
      <c r="R84" s="43">
        <v>2</v>
      </c>
      <c r="S84" s="43" t="s">
        <v>1847</v>
      </c>
      <c r="T84" s="43"/>
      <c r="U84" s="43" t="s">
        <v>1849</v>
      </c>
      <c r="V84" s="43" t="s">
        <v>1382</v>
      </c>
      <c r="W84" s="43" t="s">
        <v>1717</v>
      </c>
      <c r="X84" s="43" t="s">
        <v>1382</v>
      </c>
      <c r="Y84" s="43" t="s">
        <v>1382</v>
      </c>
      <c r="AA84" s="322">
        <f>(21.7+27.4)/2</f>
        <v>24.549999999999997</v>
      </c>
      <c r="AB84" s="322">
        <f>(60+63.7)/2</f>
        <v>61.85</v>
      </c>
      <c r="AC84" s="21" t="s">
        <v>175</v>
      </c>
      <c r="AG84" s="21" t="s">
        <v>1310</v>
      </c>
      <c r="AH84" s="21" t="s">
        <v>243</v>
      </c>
      <c r="AI84" s="138" t="s">
        <v>577</v>
      </c>
      <c r="AJ84" s="21" t="s">
        <v>158</v>
      </c>
      <c r="AK84" s="141" t="s">
        <v>158</v>
      </c>
      <c r="AO84" s="21" t="s">
        <v>176</v>
      </c>
      <c r="AP84" s="21" t="s">
        <v>176</v>
      </c>
      <c r="AQ84" s="21" t="s">
        <v>2125</v>
      </c>
      <c r="AR84" s="21" t="s">
        <v>2125</v>
      </c>
      <c r="AS84" s="21" t="s">
        <v>177</v>
      </c>
      <c r="AW84" s="22" t="s">
        <v>160</v>
      </c>
      <c r="AX84" s="21">
        <v>6</v>
      </c>
      <c r="AZ84" s="21" t="s">
        <v>174</v>
      </c>
      <c r="BB84" s="21">
        <f>5.46*1000</f>
        <v>5460</v>
      </c>
      <c r="BD84" s="54"/>
      <c r="BP84" s="396"/>
      <c r="BQ84" s="396"/>
      <c r="BU84" s="396"/>
      <c r="BV84" s="396"/>
      <c r="CE84" s="549"/>
      <c r="CF84" s="549"/>
      <c r="CG84" s="549"/>
      <c r="CH84" s="549"/>
      <c r="DS84" s="21">
        <v>2.99</v>
      </c>
      <c r="DT84" s="21">
        <v>3.17</v>
      </c>
      <c r="DW84" s="21" t="s">
        <v>184</v>
      </c>
      <c r="FL84" s="21">
        <v>0.1163</v>
      </c>
      <c r="FM84" s="21">
        <v>0.12620000000000001</v>
      </c>
      <c r="GZ84" s="12"/>
      <c r="HD84" s="12"/>
      <c r="HE84" s="21">
        <v>501.83</v>
      </c>
      <c r="HF84" s="21">
        <v>447.97</v>
      </c>
      <c r="HI84" s="21" t="s">
        <v>328</v>
      </c>
      <c r="IN84" s="21">
        <v>329.48</v>
      </c>
      <c r="IO84" s="21">
        <v>337.39</v>
      </c>
      <c r="IR84" s="21" t="s">
        <v>326</v>
      </c>
    </row>
    <row r="85" spans="1:262" s="24" customFormat="1" x14ac:dyDescent="0.25">
      <c r="A85" s="24">
        <v>7</v>
      </c>
      <c r="B85" s="42" t="s">
        <v>3798</v>
      </c>
      <c r="C85" s="24" t="s">
        <v>186</v>
      </c>
      <c r="D85" s="24" t="s">
        <v>187</v>
      </c>
      <c r="E85" s="24">
        <v>1999</v>
      </c>
      <c r="F85" s="24">
        <v>1995</v>
      </c>
      <c r="G85" s="24" t="s">
        <v>127</v>
      </c>
      <c r="H85" s="24" t="s">
        <v>188</v>
      </c>
      <c r="I85" s="24" t="s">
        <v>2815</v>
      </c>
      <c r="J85" s="24">
        <v>45.23</v>
      </c>
      <c r="K85" s="24">
        <v>-122.76</v>
      </c>
      <c r="L85" s="24">
        <v>48.4</v>
      </c>
      <c r="P85" s="24">
        <v>1040</v>
      </c>
      <c r="Q85" s="24" t="s">
        <v>133</v>
      </c>
      <c r="R85" s="42">
        <v>2</v>
      </c>
      <c r="S85" s="42" t="s">
        <v>1734</v>
      </c>
      <c r="T85" s="42"/>
      <c r="U85" s="42" t="s">
        <v>1850</v>
      </c>
      <c r="V85" s="42" t="s">
        <v>1379</v>
      </c>
      <c r="W85" s="42" t="s">
        <v>1715</v>
      </c>
      <c r="X85" s="42" t="s">
        <v>1379</v>
      </c>
      <c r="Y85" s="42" t="s">
        <v>1417</v>
      </c>
      <c r="AA85" s="321">
        <f>313/(313+540+147)*100</f>
        <v>31.3</v>
      </c>
      <c r="AB85" s="321">
        <f>540/(313+540+147)*100</f>
        <v>54</v>
      </c>
      <c r="AC85" s="24" t="s">
        <v>450</v>
      </c>
      <c r="AD85" s="24">
        <v>6.3</v>
      </c>
      <c r="AE85" s="24">
        <f>18/1000*100</f>
        <v>1.7999999999999998</v>
      </c>
      <c r="AF85" s="24">
        <v>60</v>
      </c>
      <c r="AG85" s="24" t="s">
        <v>1305</v>
      </c>
      <c r="AH85" s="24" t="s">
        <v>131</v>
      </c>
      <c r="AI85" s="138" t="s">
        <v>131</v>
      </c>
      <c r="AJ85" s="24" t="s">
        <v>797</v>
      </c>
      <c r="AK85" s="140" t="s">
        <v>1616</v>
      </c>
      <c r="AL85" s="24" t="s">
        <v>203</v>
      </c>
      <c r="AM85" s="24" t="s">
        <v>203</v>
      </c>
      <c r="AN85" s="24" t="s">
        <v>177</v>
      </c>
      <c r="AW85" s="24" t="s">
        <v>119</v>
      </c>
      <c r="AX85" s="24">
        <v>4</v>
      </c>
      <c r="AZ85" s="24" t="s">
        <v>141</v>
      </c>
      <c r="BD85" s="53"/>
      <c r="BP85" s="395"/>
      <c r="BQ85" s="395"/>
      <c r="BU85" s="395"/>
      <c r="BV85" s="395"/>
      <c r="CE85" s="548"/>
      <c r="CF85" s="548"/>
      <c r="CG85" s="548"/>
      <c r="CH85" s="548"/>
      <c r="GZ85" s="12"/>
      <c r="HD85" s="12"/>
      <c r="HY85" s="24">
        <f>970/22.7273</f>
        <v>42.679948784061459</v>
      </c>
      <c r="HZ85" s="24">
        <f>610/22.7273</f>
        <v>26.839967792038649</v>
      </c>
      <c r="IC85" s="24">
        <f>400/22.7273</f>
        <v>17.599978880025343</v>
      </c>
      <c r="IN85" s="24">
        <v>140</v>
      </c>
      <c r="IO85" s="24">
        <v>204</v>
      </c>
      <c r="IR85" s="24">
        <v>58</v>
      </c>
    </row>
    <row r="86" spans="1:262" s="24" customFormat="1" x14ac:dyDescent="0.25">
      <c r="A86" s="24">
        <v>7</v>
      </c>
      <c r="B86" s="42" t="s">
        <v>3799</v>
      </c>
      <c r="C86" s="24" t="s">
        <v>186</v>
      </c>
      <c r="D86" s="24" t="s">
        <v>187</v>
      </c>
      <c r="E86" s="24">
        <v>1999</v>
      </c>
      <c r="F86" s="24">
        <v>1995</v>
      </c>
      <c r="G86" s="24" t="s">
        <v>127</v>
      </c>
      <c r="H86" s="24" t="s">
        <v>188</v>
      </c>
      <c r="I86" s="24" t="s">
        <v>2815</v>
      </c>
      <c r="J86" s="24">
        <v>45.23</v>
      </c>
      <c r="K86" s="24">
        <v>-122.76</v>
      </c>
      <c r="L86" s="24">
        <v>48.4</v>
      </c>
      <c r="P86" s="24">
        <v>1040</v>
      </c>
      <c r="Q86" s="24" t="s">
        <v>133</v>
      </c>
      <c r="R86" s="42">
        <v>2</v>
      </c>
      <c r="S86" s="42" t="s">
        <v>1734</v>
      </c>
      <c r="T86" s="42"/>
      <c r="U86" s="42" t="s">
        <v>1850</v>
      </c>
      <c r="V86" s="42" t="s">
        <v>1383</v>
      </c>
      <c r="W86" s="42" t="s">
        <v>1715</v>
      </c>
      <c r="X86" s="42" t="s">
        <v>1379</v>
      </c>
      <c r="Y86" s="42" t="s">
        <v>1417</v>
      </c>
      <c r="AA86" s="321">
        <f>313/(313+540+147)*100</f>
        <v>31.3</v>
      </c>
      <c r="AB86" s="321">
        <f>540/(313+540+147)*100</f>
        <v>54</v>
      </c>
      <c r="AC86" s="24" t="s">
        <v>450</v>
      </c>
      <c r="AE86" s="24">
        <f>18/1000*100</f>
        <v>1.7999999999999998</v>
      </c>
      <c r="AG86" s="24" t="s">
        <v>1305</v>
      </c>
      <c r="AH86" s="24" t="s">
        <v>131</v>
      </c>
      <c r="AI86" s="138" t="s">
        <v>131</v>
      </c>
      <c r="AJ86" s="24" t="s">
        <v>797</v>
      </c>
      <c r="AK86" s="140" t="s">
        <v>1616</v>
      </c>
      <c r="AL86" s="24" t="s">
        <v>203</v>
      </c>
      <c r="AM86" s="24" t="s">
        <v>203</v>
      </c>
      <c r="AN86" s="24" t="s">
        <v>177</v>
      </c>
      <c r="AW86" s="24" t="s">
        <v>119</v>
      </c>
      <c r="AX86" s="24">
        <v>4</v>
      </c>
      <c r="AZ86" s="24" t="s">
        <v>141</v>
      </c>
      <c r="BD86" s="53"/>
      <c r="BP86" s="395"/>
      <c r="BQ86" s="395"/>
      <c r="BU86" s="395"/>
      <c r="BV86" s="395"/>
      <c r="CE86" s="548"/>
      <c r="CF86" s="548"/>
      <c r="CG86" s="548"/>
      <c r="CH86" s="548"/>
      <c r="GZ86" s="12"/>
      <c r="HD86" s="12"/>
      <c r="HY86" s="24">
        <f>276/22.7273</f>
        <v>12.143985427217487</v>
      </c>
      <c r="HZ86" s="24">
        <f>260/22.7273</f>
        <v>11.439986272016474</v>
      </c>
      <c r="IC86" s="24">
        <f>116/22.7273</f>
        <v>5.1039938752073502</v>
      </c>
      <c r="IN86" s="24">
        <v>148</v>
      </c>
      <c r="IO86" s="24">
        <v>135</v>
      </c>
      <c r="IR86" s="24">
        <v>62</v>
      </c>
    </row>
    <row r="87" spans="1:262" s="24" customFormat="1" x14ac:dyDescent="0.25">
      <c r="A87" s="24">
        <v>7</v>
      </c>
      <c r="B87" s="42" t="s">
        <v>3800</v>
      </c>
      <c r="C87" s="24" t="s">
        <v>186</v>
      </c>
      <c r="D87" s="24" t="s">
        <v>187</v>
      </c>
      <c r="E87" s="24">
        <v>1999</v>
      </c>
      <c r="F87" s="24">
        <v>1995</v>
      </c>
      <c r="G87" s="24" t="s">
        <v>127</v>
      </c>
      <c r="H87" s="24" t="s">
        <v>188</v>
      </c>
      <c r="I87" s="24" t="s">
        <v>2815</v>
      </c>
      <c r="J87" s="24">
        <v>45.23</v>
      </c>
      <c r="K87" s="24">
        <v>-122.76</v>
      </c>
      <c r="L87" s="24">
        <v>48.4</v>
      </c>
      <c r="P87" s="24">
        <v>1040</v>
      </c>
      <c r="Q87" s="24" t="s">
        <v>133</v>
      </c>
      <c r="R87" s="42">
        <v>2</v>
      </c>
      <c r="S87" s="42" t="s">
        <v>1734</v>
      </c>
      <c r="T87" s="42"/>
      <c r="U87" s="42" t="s">
        <v>1850</v>
      </c>
      <c r="V87" s="42" t="s">
        <v>1384</v>
      </c>
      <c r="W87" s="42" t="s">
        <v>1715</v>
      </c>
      <c r="X87" s="42" t="s">
        <v>1379</v>
      </c>
      <c r="Y87" s="42" t="s">
        <v>1417</v>
      </c>
      <c r="AA87" s="321">
        <f>313/(313+540+147)*100</f>
        <v>31.3</v>
      </c>
      <c r="AB87" s="321">
        <f>540/(313+540+147)*100</f>
        <v>54</v>
      </c>
      <c r="AC87" s="24" t="s">
        <v>450</v>
      </c>
      <c r="AD87" s="24">
        <v>6.3</v>
      </c>
      <c r="AE87" s="24">
        <f>9.4/1000*100</f>
        <v>0.94000000000000006</v>
      </c>
      <c r="AF87" s="24">
        <v>7</v>
      </c>
      <c r="AG87" s="24" t="s">
        <v>1305</v>
      </c>
      <c r="AH87" s="24" t="s">
        <v>131</v>
      </c>
      <c r="AI87" s="138" t="s">
        <v>131</v>
      </c>
      <c r="AJ87" s="24" t="s">
        <v>797</v>
      </c>
      <c r="AK87" s="140" t="s">
        <v>1616</v>
      </c>
      <c r="AL87" s="24" t="s">
        <v>203</v>
      </c>
      <c r="AM87" s="24" t="s">
        <v>203</v>
      </c>
      <c r="AN87" s="24" t="s">
        <v>177</v>
      </c>
      <c r="AW87" s="24" t="s">
        <v>119</v>
      </c>
      <c r="AX87" s="24">
        <v>4</v>
      </c>
      <c r="AZ87" s="24" t="s">
        <v>141</v>
      </c>
      <c r="BD87" s="53"/>
      <c r="BP87" s="395"/>
      <c r="BQ87" s="395"/>
      <c r="BU87" s="395"/>
      <c r="BV87" s="395"/>
      <c r="CE87" s="548"/>
      <c r="CF87" s="548"/>
      <c r="CG87" s="548"/>
      <c r="CH87" s="548"/>
      <c r="GZ87" s="12"/>
      <c r="HD87" s="12"/>
      <c r="HY87" s="24">
        <f>352/22.7273</f>
        <v>15.487981414422302</v>
      </c>
      <c r="HZ87" s="24">
        <f>90/22.7273</f>
        <v>3.9599952480057024</v>
      </c>
      <c r="IC87" s="24">
        <f>144/22.7273</f>
        <v>6.3359923968091243</v>
      </c>
      <c r="IN87" s="24">
        <v>86</v>
      </c>
      <c r="IO87" s="24">
        <v>45</v>
      </c>
      <c r="IR87" s="24">
        <v>35</v>
      </c>
    </row>
    <row r="88" spans="1:262" s="24" customFormat="1" x14ac:dyDescent="0.25">
      <c r="A88" s="24">
        <v>7</v>
      </c>
      <c r="B88" s="42" t="s">
        <v>3801</v>
      </c>
      <c r="C88" s="24" t="s">
        <v>186</v>
      </c>
      <c r="D88" s="24" t="s">
        <v>187</v>
      </c>
      <c r="E88" s="24">
        <v>1999</v>
      </c>
      <c r="F88" s="24">
        <v>1995</v>
      </c>
      <c r="G88" s="24" t="s">
        <v>127</v>
      </c>
      <c r="H88" s="24" t="s">
        <v>188</v>
      </c>
      <c r="I88" s="24" t="s">
        <v>2815</v>
      </c>
      <c r="J88" s="24">
        <v>45.23</v>
      </c>
      <c r="K88" s="24">
        <v>-122.76</v>
      </c>
      <c r="L88" s="24">
        <v>48.4</v>
      </c>
      <c r="P88" s="24">
        <v>1040</v>
      </c>
      <c r="Q88" s="24" t="s">
        <v>133</v>
      </c>
      <c r="R88" s="42">
        <v>2</v>
      </c>
      <c r="S88" s="42" t="s">
        <v>1734</v>
      </c>
      <c r="T88" s="42"/>
      <c r="U88" s="42" t="s">
        <v>1850</v>
      </c>
      <c r="V88" s="42" t="s">
        <v>1385</v>
      </c>
      <c r="W88" s="42" t="s">
        <v>1715</v>
      </c>
      <c r="X88" s="42" t="s">
        <v>1379</v>
      </c>
      <c r="Y88" s="42" t="s">
        <v>1417</v>
      </c>
      <c r="AA88" s="321">
        <f>313/(313+540+147)*100</f>
        <v>31.3</v>
      </c>
      <c r="AB88" s="321">
        <f>540/(313+540+147)*100</f>
        <v>54</v>
      </c>
      <c r="AC88" s="24" t="s">
        <v>450</v>
      </c>
      <c r="AE88" s="24">
        <f>6.5/1000*100</f>
        <v>0.65</v>
      </c>
      <c r="AG88" s="24" t="s">
        <v>1305</v>
      </c>
      <c r="AH88" s="24" t="s">
        <v>131</v>
      </c>
      <c r="AI88" s="138" t="s">
        <v>131</v>
      </c>
      <c r="AJ88" s="24" t="s">
        <v>797</v>
      </c>
      <c r="AK88" s="140" t="s">
        <v>1616</v>
      </c>
      <c r="AL88" s="24" t="s">
        <v>203</v>
      </c>
      <c r="AM88" s="24" t="s">
        <v>203</v>
      </c>
      <c r="AN88" s="24" t="s">
        <v>177</v>
      </c>
      <c r="AW88" s="24" t="s">
        <v>119</v>
      </c>
      <c r="AX88" s="24">
        <v>4</v>
      </c>
      <c r="AZ88" s="24" t="s">
        <v>141</v>
      </c>
      <c r="BD88" s="53"/>
      <c r="BP88" s="395"/>
      <c r="BQ88" s="395"/>
      <c r="BU88" s="395"/>
      <c r="BV88" s="395"/>
      <c r="CE88" s="548"/>
      <c r="CF88" s="548"/>
      <c r="CG88" s="548"/>
      <c r="CH88" s="548"/>
      <c r="GZ88" s="12"/>
      <c r="HD88" s="12"/>
      <c r="HY88" s="24">
        <f>60/22.7273</f>
        <v>2.6399968320038014</v>
      </c>
      <c r="HZ88" s="24">
        <f>150/22.7273</f>
        <v>6.5999920800095042</v>
      </c>
      <c r="IC88" s="24">
        <f>26/22.7273</f>
        <v>1.1439986272016474</v>
      </c>
      <c r="IN88" s="24">
        <v>28</v>
      </c>
      <c r="IO88" s="24">
        <v>29</v>
      </c>
      <c r="IR88" s="24">
        <v>12</v>
      </c>
    </row>
    <row r="89" spans="1:262" s="24" customFormat="1" x14ac:dyDescent="0.25">
      <c r="A89" s="24">
        <v>7</v>
      </c>
      <c r="B89" s="42" t="s">
        <v>3802</v>
      </c>
      <c r="C89" s="24" t="s">
        <v>186</v>
      </c>
      <c r="D89" s="24" t="s">
        <v>187</v>
      </c>
      <c r="E89" s="24">
        <v>1999</v>
      </c>
      <c r="F89" s="24">
        <v>1995</v>
      </c>
      <c r="G89" s="24" t="s">
        <v>127</v>
      </c>
      <c r="H89" s="24" t="s">
        <v>188</v>
      </c>
      <c r="I89" s="24" t="s">
        <v>2815</v>
      </c>
      <c r="J89" s="24">
        <v>45.23</v>
      </c>
      <c r="K89" s="24">
        <v>-122.76</v>
      </c>
      <c r="L89" s="24">
        <v>48.4</v>
      </c>
      <c r="P89" s="24">
        <v>1040</v>
      </c>
      <c r="Q89" s="24" t="s">
        <v>133</v>
      </c>
      <c r="R89" s="42">
        <v>2</v>
      </c>
      <c r="S89" s="42" t="s">
        <v>1734</v>
      </c>
      <c r="T89" s="42"/>
      <c r="U89" s="42" t="s">
        <v>1850</v>
      </c>
      <c r="V89" s="42" t="s">
        <v>1386</v>
      </c>
      <c r="W89" s="42" t="s">
        <v>1715</v>
      </c>
      <c r="X89" s="42" t="s">
        <v>1379</v>
      </c>
      <c r="Y89" s="42" t="s">
        <v>1417</v>
      </c>
      <c r="AA89" s="321">
        <f>313/(313+540+147)*100</f>
        <v>31.3</v>
      </c>
      <c r="AB89" s="321">
        <f>540/(313+540+147)*100</f>
        <v>54</v>
      </c>
      <c r="AC89" s="24" t="s">
        <v>450</v>
      </c>
      <c r="AD89" s="24">
        <v>6.2</v>
      </c>
      <c r="AE89" s="24">
        <f>4.7/1000*100</f>
        <v>0.47000000000000003</v>
      </c>
      <c r="AF89" s="24">
        <v>0.7</v>
      </c>
      <c r="AG89" s="24" t="s">
        <v>1305</v>
      </c>
      <c r="AH89" s="24" t="s">
        <v>131</v>
      </c>
      <c r="AI89" s="138" t="s">
        <v>131</v>
      </c>
      <c r="AJ89" s="24" t="s">
        <v>797</v>
      </c>
      <c r="AK89" s="140" t="s">
        <v>1616</v>
      </c>
      <c r="AL89" s="24" t="s">
        <v>203</v>
      </c>
      <c r="AM89" s="24" t="s">
        <v>203</v>
      </c>
      <c r="AN89" s="24" t="s">
        <v>177</v>
      </c>
      <c r="AW89" s="24" t="s">
        <v>119</v>
      </c>
      <c r="AX89" s="24">
        <v>4</v>
      </c>
      <c r="AZ89" s="24" t="s">
        <v>141</v>
      </c>
      <c r="BD89" s="53"/>
      <c r="BP89" s="395"/>
      <c r="BQ89" s="395"/>
      <c r="BU89" s="395"/>
      <c r="BV89" s="395"/>
      <c r="CE89" s="548"/>
      <c r="CF89" s="548"/>
      <c r="CG89" s="548"/>
      <c r="CH89" s="548"/>
      <c r="GZ89" s="12"/>
      <c r="HD89" s="12"/>
      <c r="HY89" s="24">
        <f>80/22.7273</f>
        <v>3.5199957760050689</v>
      </c>
      <c r="HZ89" s="24">
        <f>70/22.7273</f>
        <v>3.0799963040044354</v>
      </c>
      <c r="IC89" s="24">
        <f>33/22.7273</f>
        <v>1.4519982576020909</v>
      </c>
    </row>
    <row r="90" spans="1:262" s="151" customFormat="1" x14ac:dyDescent="0.25">
      <c r="A90" s="151">
        <v>8</v>
      </c>
      <c r="B90" s="152" t="s">
        <v>3803</v>
      </c>
      <c r="C90" s="151" t="s">
        <v>197</v>
      </c>
      <c r="D90" s="151" t="s">
        <v>198</v>
      </c>
      <c r="E90" s="151">
        <v>2016</v>
      </c>
      <c r="F90" s="151">
        <v>2010</v>
      </c>
      <c r="G90" s="151" t="s">
        <v>199</v>
      </c>
      <c r="H90" s="151" t="s">
        <v>200</v>
      </c>
      <c r="I90" s="151" t="s">
        <v>2815</v>
      </c>
      <c r="J90" s="151">
        <f>42+4/60</f>
        <v>42.06666666666667</v>
      </c>
      <c r="K90" s="151">
        <f>-86-21/60</f>
        <v>-86.35</v>
      </c>
      <c r="L90" s="151">
        <v>205</v>
      </c>
      <c r="R90" s="152">
        <v>1</v>
      </c>
      <c r="S90" s="152" t="s">
        <v>1728</v>
      </c>
      <c r="T90" s="152"/>
      <c r="U90" s="152" t="s">
        <v>1851</v>
      </c>
      <c r="V90" s="152" t="s">
        <v>1377</v>
      </c>
      <c r="W90" s="152" t="s">
        <v>1377</v>
      </c>
      <c r="X90" s="152" t="s">
        <v>1377</v>
      </c>
      <c r="Y90" s="152" t="s">
        <v>1377</v>
      </c>
      <c r="AA90" s="324"/>
      <c r="AB90" s="324"/>
      <c r="AC90" s="151" t="s">
        <v>202</v>
      </c>
      <c r="AG90" s="151" t="s">
        <v>1311</v>
      </c>
      <c r="AH90" s="151" t="s">
        <v>131</v>
      </c>
      <c r="AI90" s="151" t="s">
        <v>131</v>
      </c>
      <c r="AJ90" s="151" t="s">
        <v>1617</v>
      </c>
      <c r="AK90" s="151" t="s">
        <v>1616</v>
      </c>
      <c r="AL90" s="151" t="s">
        <v>206</v>
      </c>
      <c r="AM90" s="151" t="s">
        <v>206</v>
      </c>
      <c r="AN90" s="151" t="s">
        <v>177</v>
      </c>
      <c r="AO90" s="151" t="s">
        <v>205</v>
      </c>
      <c r="AP90" s="151" t="s">
        <v>205</v>
      </c>
      <c r="AQ90" s="151" t="s">
        <v>2125</v>
      </c>
      <c r="AR90" s="151" t="s">
        <v>2125</v>
      </c>
      <c r="AS90" s="151" t="s">
        <v>177</v>
      </c>
      <c r="AU90" s="151" t="s">
        <v>204</v>
      </c>
      <c r="AW90" s="151" t="s">
        <v>119</v>
      </c>
      <c r="AX90" s="154">
        <v>4</v>
      </c>
      <c r="AY90" s="154"/>
      <c r="AZ90" s="154" t="s">
        <v>174</v>
      </c>
      <c r="BB90" s="151">
        <f>528.88*10</f>
        <v>5288.8</v>
      </c>
      <c r="BE90" s="154"/>
      <c r="BK90" s="151">
        <f>5.09*1000</f>
        <v>5090</v>
      </c>
      <c r="BL90" s="151">
        <f>4.94*1000</f>
        <v>4940</v>
      </c>
      <c r="BP90" s="398"/>
      <c r="BQ90" s="398"/>
      <c r="BU90" s="398"/>
      <c r="BV90" s="398"/>
      <c r="CE90" s="551"/>
      <c r="CF90" s="551"/>
      <c r="CG90" s="551"/>
      <c r="CH90" s="551"/>
      <c r="FV90" s="151">
        <f>(40+13+41+3+326)/5</f>
        <v>84.6</v>
      </c>
      <c r="FW90" s="151">
        <f>(9+4+40+2+127)/5</f>
        <v>36.4</v>
      </c>
      <c r="FZ90" s="151" t="s">
        <v>719</v>
      </c>
      <c r="GF90" s="151">
        <f>(0+0.77+1.87+3.67)/4</f>
        <v>1.5775000000000001</v>
      </c>
      <c r="GG90" s="151">
        <f>(0+3.17+4.6+6.17)/4</f>
        <v>3.4849999999999999</v>
      </c>
      <c r="GJ90" s="200" t="s">
        <v>720</v>
      </c>
      <c r="GK90" s="200"/>
      <c r="GL90" s="200"/>
      <c r="GM90" s="200"/>
      <c r="GN90" s="200"/>
      <c r="GO90" s="200"/>
      <c r="GP90" s="200"/>
      <c r="GQ90" s="200"/>
      <c r="GR90" s="200"/>
      <c r="GS90" s="200"/>
      <c r="GT90" s="200"/>
      <c r="GU90" s="200"/>
      <c r="GV90" s="200"/>
      <c r="GW90" s="200"/>
      <c r="GX90" s="200"/>
      <c r="GY90" s="200"/>
      <c r="JB90" s="151" t="s">
        <v>1697</v>
      </c>
    </row>
    <row r="91" spans="1:262" s="151" customFormat="1" x14ac:dyDescent="0.25">
      <c r="A91" s="151">
        <v>8</v>
      </c>
      <c r="B91" s="152" t="s">
        <v>3804</v>
      </c>
      <c r="C91" s="151" t="s">
        <v>197</v>
      </c>
      <c r="D91" s="151" t="s">
        <v>198</v>
      </c>
      <c r="E91" s="151">
        <v>2016</v>
      </c>
      <c r="F91" s="151">
        <v>2011</v>
      </c>
      <c r="G91" s="151" t="s">
        <v>199</v>
      </c>
      <c r="H91" s="151" t="s">
        <v>200</v>
      </c>
      <c r="I91" s="151" t="s">
        <v>2815</v>
      </c>
      <c r="J91" s="151">
        <f>42+4/60</f>
        <v>42.06666666666667</v>
      </c>
      <c r="K91" s="151">
        <f>-86-21/60</f>
        <v>-86.35</v>
      </c>
      <c r="L91" s="151">
        <v>205</v>
      </c>
      <c r="R91" s="152">
        <v>2</v>
      </c>
      <c r="S91" s="152" t="s">
        <v>1728</v>
      </c>
      <c r="T91" s="152"/>
      <c r="U91" s="152" t="s">
        <v>1851</v>
      </c>
      <c r="V91" s="152" t="s">
        <v>1377</v>
      </c>
      <c r="W91" s="152" t="s">
        <v>1377</v>
      </c>
      <c r="X91" s="152" t="s">
        <v>1377</v>
      </c>
      <c r="Y91" s="152" t="s">
        <v>1377</v>
      </c>
      <c r="AA91" s="324"/>
      <c r="AB91" s="324"/>
      <c r="AC91" s="151" t="s">
        <v>202</v>
      </c>
      <c r="AG91" s="151" t="s">
        <v>1311</v>
      </c>
      <c r="AH91" s="151" t="s">
        <v>131</v>
      </c>
      <c r="AI91" s="151" t="s">
        <v>131</v>
      </c>
      <c r="AJ91" s="151" t="s">
        <v>1617</v>
      </c>
      <c r="AK91" s="151" t="s">
        <v>1616</v>
      </c>
      <c r="AL91" s="151" t="s">
        <v>206</v>
      </c>
      <c r="AM91" s="151" t="s">
        <v>206</v>
      </c>
      <c r="AN91" s="151" t="s">
        <v>177</v>
      </c>
      <c r="AO91" s="151" t="s">
        <v>205</v>
      </c>
      <c r="AP91" s="151" t="s">
        <v>205</v>
      </c>
      <c r="AQ91" s="151" t="s">
        <v>2125</v>
      </c>
      <c r="AR91" s="151" t="s">
        <v>2125</v>
      </c>
      <c r="AS91" s="151" t="s">
        <v>177</v>
      </c>
      <c r="AU91" s="151" t="s">
        <v>204</v>
      </c>
      <c r="AW91" s="151" t="s">
        <v>119</v>
      </c>
      <c r="AX91" s="154">
        <v>4</v>
      </c>
      <c r="AY91" s="154"/>
      <c r="AZ91" s="154" t="s">
        <v>174</v>
      </c>
      <c r="BB91" s="151">
        <f>372.96*10</f>
        <v>3729.6</v>
      </c>
      <c r="BE91" s="154"/>
      <c r="BK91" s="151">
        <f>5.31*1000</f>
        <v>5310</v>
      </c>
      <c r="BL91" s="151">
        <f>5.01*1000</f>
        <v>5010</v>
      </c>
      <c r="BP91" s="398"/>
      <c r="BQ91" s="398"/>
      <c r="BU91" s="398"/>
      <c r="BV91" s="398"/>
      <c r="CE91" s="551"/>
      <c r="CF91" s="551"/>
      <c r="CG91" s="551"/>
      <c r="CH91" s="551"/>
      <c r="FV91" s="151">
        <f>(24+0+5+391+16)/5</f>
        <v>87.2</v>
      </c>
      <c r="FW91" s="151">
        <f>(2+0+15+260+4)/5</f>
        <v>56.2</v>
      </c>
      <c r="FZ91" s="151" t="s">
        <v>719</v>
      </c>
      <c r="GF91" s="151">
        <f>(8.74+0.7+2.32+7.31)/4</f>
        <v>4.7675000000000001</v>
      </c>
      <c r="GG91" s="151">
        <f>(8.36+0.59+2.43+6.66)/4</f>
        <v>4.51</v>
      </c>
      <c r="GJ91" s="200" t="s">
        <v>720</v>
      </c>
      <c r="GK91" s="200"/>
      <c r="GL91" s="200"/>
      <c r="GM91" s="200"/>
      <c r="GN91" s="200"/>
      <c r="GO91" s="200"/>
      <c r="GP91" s="200"/>
      <c r="GQ91" s="200"/>
      <c r="GR91" s="200"/>
      <c r="GS91" s="200"/>
      <c r="GT91" s="200"/>
      <c r="GU91" s="200"/>
      <c r="GV91" s="200"/>
      <c r="GW91" s="200"/>
      <c r="GX91" s="200"/>
      <c r="GY91" s="200"/>
      <c r="JB91" s="151" t="s">
        <v>1697</v>
      </c>
    </row>
    <row r="92" spans="1:262" s="151" customFormat="1" x14ac:dyDescent="0.25">
      <c r="A92" s="151">
        <v>8</v>
      </c>
      <c r="B92" s="152" t="s">
        <v>3803</v>
      </c>
      <c r="C92" s="151" t="s">
        <v>197</v>
      </c>
      <c r="D92" s="151" t="s">
        <v>198</v>
      </c>
      <c r="E92" s="151">
        <v>2016</v>
      </c>
      <c r="F92" s="151">
        <v>2010</v>
      </c>
      <c r="G92" s="151" t="s">
        <v>199</v>
      </c>
      <c r="H92" s="151" t="s">
        <v>200</v>
      </c>
      <c r="I92" s="151" t="s">
        <v>2815</v>
      </c>
      <c r="J92" s="151">
        <f>42+4/60</f>
        <v>42.06666666666667</v>
      </c>
      <c r="K92" s="151">
        <f>-86-21/60</f>
        <v>-86.35</v>
      </c>
      <c r="L92" s="151">
        <v>205</v>
      </c>
      <c r="R92" s="152">
        <v>1</v>
      </c>
      <c r="S92" s="152" t="s">
        <v>1728</v>
      </c>
      <c r="T92" s="152"/>
      <c r="U92" s="152" t="s">
        <v>1851</v>
      </c>
      <c r="V92" s="152" t="s">
        <v>1377</v>
      </c>
      <c r="W92" s="152" t="s">
        <v>1377</v>
      </c>
      <c r="X92" s="152" t="s">
        <v>1377</v>
      </c>
      <c r="Y92" s="152" t="s">
        <v>1377</v>
      </c>
      <c r="AA92" s="324"/>
      <c r="AB92" s="324"/>
      <c r="AC92" s="151" t="s">
        <v>202</v>
      </c>
      <c r="AG92" s="151" t="s">
        <v>1311</v>
      </c>
      <c r="AH92" s="151" t="s">
        <v>131</v>
      </c>
      <c r="AI92" s="151" t="s">
        <v>131</v>
      </c>
      <c r="AJ92" s="151" t="s">
        <v>1617</v>
      </c>
      <c r="AK92" s="151" t="s">
        <v>1616</v>
      </c>
      <c r="AL92" s="151" t="s">
        <v>206</v>
      </c>
      <c r="AM92" s="151" t="s">
        <v>206</v>
      </c>
      <c r="AN92" s="151" t="s">
        <v>177</v>
      </c>
      <c r="AO92" s="151" t="s">
        <v>205</v>
      </c>
      <c r="AP92" s="151" t="s">
        <v>205</v>
      </c>
      <c r="AQ92" s="151" t="s">
        <v>2125</v>
      </c>
      <c r="AR92" s="151" t="s">
        <v>2125</v>
      </c>
      <c r="AS92" s="151" t="s">
        <v>177</v>
      </c>
      <c r="AU92" s="151" t="s">
        <v>204</v>
      </c>
      <c r="AW92" s="151" t="s">
        <v>119</v>
      </c>
      <c r="AX92" s="154">
        <v>4</v>
      </c>
      <c r="AY92" s="154"/>
      <c r="AZ92" s="154" t="s">
        <v>174</v>
      </c>
      <c r="BB92" s="151">
        <f>528.88*10</f>
        <v>5288.8</v>
      </c>
      <c r="BE92" s="154"/>
      <c r="BP92" s="398"/>
      <c r="BQ92" s="398"/>
      <c r="BU92" s="398"/>
      <c r="BV92" s="398"/>
      <c r="CE92" s="551"/>
      <c r="CF92" s="551"/>
      <c r="CG92" s="551"/>
      <c r="CH92" s="551"/>
      <c r="GF92" s="172">
        <f>1/((3.83+1.45+0.51+0.06+1.54)/5)</f>
        <v>0.67658998646820023</v>
      </c>
      <c r="GG92" s="172">
        <f>1/((7.05+0.33+0.22+1.39+0.72)/5)</f>
        <v>0.51493305870236861</v>
      </c>
      <c r="GH92" s="172"/>
      <c r="GI92" s="172"/>
      <c r="GJ92" s="200" t="s">
        <v>1760</v>
      </c>
      <c r="GK92" s="200"/>
      <c r="GL92" s="200"/>
      <c r="GM92" s="200"/>
      <c r="GN92" s="200"/>
      <c r="GO92" s="200"/>
      <c r="GP92" s="200"/>
      <c r="GQ92" s="200"/>
      <c r="GR92" s="200"/>
      <c r="GS92" s="200"/>
      <c r="GT92" s="200"/>
      <c r="GU92" s="200"/>
      <c r="GV92" s="200"/>
      <c r="GW92" s="200"/>
      <c r="GX92" s="200"/>
      <c r="GY92" s="200"/>
      <c r="JB92" s="151" t="s">
        <v>1697</v>
      </c>
    </row>
    <row r="93" spans="1:262" s="151" customFormat="1" x14ac:dyDescent="0.25">
      <c r="A93" s="151">
        <v>8</v>
      </c>
      <c r="B93" s="152" t="s">
        <v>3804</v>
      </c>
      <c r="C93" s="151" t="s">
        <v>197</v>
      </c>
      <c r="D93" s="151" t="s">
        <v>198</v>
      </c>
      <c r="E93" s="151">
        <v>2016</v>
      </c>
      <c r="F93" s="151">
        <v>2011</v>
      </c>
      <c r="G93" s="151" t="s">
        <v>199</v>
      </c>
      <c r="H93" s="151" t="s">
        <v>200</v>
      </c>
      <c r="I93" s="151" t="s">
        <v>2815</v>
      </c>
      <c r="J93" s="151">
        <f>42+4/60</f>
        <v>42.06666666666667</v>
      </c>
      <c r="K93" s="151">
        <f>-86-21/60</f>
        <v>-86.35</v>
      </c>
      <c r="L93" s="151">
        <v>205</v>
      </c>
      <c r="R93" s="152">
        <v>2</v>
      </c>
      <c r="S93" s="152" t="s">
        <v>1728</v>
      </c>
      <c r="T93" s="152"/>
      <c r="U93" s="152" t="s">
        <v>1851</v>
      </c>
      <c r="V93" s="152" t="s">
        <v>1377</v>
      </c>
      <c r="W93" s="152" t="s">
        <v>1377</v>
      </c>
      <c r="X93" s="152" t="s">
        <v>1377</v>
      </c>
      <c r="Y93" s="152" t="s">
        <v>1377</v>
      </c>
      <c r="AA93" s="324"/>
      <c r="AB93" s="324"/>
      <c r="AC93" s="151" t="s">
        <v>202</v>
      </c>
      <c r="AG93" s="151" t="s">
        <v>1311</v>
      </c>
      <c r="AH93" s="151" t="s">
        <v>131</v>
      </c>
      <c r="AI93" s="151" t="s">
        <v>131</v>
      </c>
      <c r="AJ93" s="151" t="s">
        <v>1617</v>
      </c>
      <c r="AK93" s="151" t="s">
        <v>1616</v>
      </c>
      <c r="AL93" s="151" t="s">
        <v>206</v>
      </c>
      <c r="AM93" s="151" t="s">
        <v>206</v>
      </c>
      <c r="AN93" s="151" t="s">
        <v>177</v>
      </c>
      <c r="AO93" s="151" t="s">
        <v>205</v>
      </c>
      <c r="AP93" s="151" t="s">
        <v>205</v>
      </c>
      <c r="AQ93" s="151" t="s">
        <v>2125</v>
      </c>
      <c r="AR93" s="151" t="s">
        <v>2125</v>
      </c>
      <c r="AS93" s="151" t="s">
        <v>177</v>
      </c>
      <c r="AU93" s="151" t="s">
        <v>204</v>
      </c>
      <c r="AW93" s="151" t="s">
        <v>119</v>
      </c>
      <c r="AX93" s="154">
        <v>4</v>
      </c>
      <c r="AY93" s="154"/>
      <c r="AZ93" s="154" t="s">
        <v>174</v>
      </c>
      <c r="BB93" s="151">
        <f>372.96*10</f>
        <v>3729.6</v>
      </c>
      <c r="BE93" s="154"/>
      <c r="BP93" s="398"/>
      <c r="BQ93" s="398"/>
      <c r="BU93" s="398"/>
      <c r="BV93" s="398"/>
      <c r="CE93" s="551"/>
      <c r="CF93" s="551"/>
      <c r="CG93" s="551"/>
      <c r="CH93" s="551"/>
      <c r="GF93" s="172">
        <f>1/((0.7+0.05+0.2+0.02+0.21)/5)</f>
        <v>4.2372881355932206</v>
      </c>
      <c r="GG93" s="172">
        <f>1/((0.71+0.16+0.07+0.02+0.13)/5)</f>
        <v>4.5871559633027532</v>
      </c>
      <c r="GH93" s="172"/>
      <c r="GI93" s="172"/>
      <c r="GJ93" s="200" t="s">
        <v>1760</v>
      </c>
      <c r="GK93" s="200"/>
      <c r="GL93" s="200"/>
      <c r="GM93" s="200"/>
      <c r="GN93" s="200"/>
      <c r="GO93" s="200"/>
      <c r="GP93" s="200"/>
      <c r="GQ93" s="200"/>
      <c r="GR93" s="200"/>
      <c r="GS93" s="200"/>
      <c r="GT93" s="200"/>
      <c r="GU93" s="200"/>
      <c r="GV93" s="200"/>
      <c r="GW93" s="200"/>
      <c r="GX93" s="200"/>
      <c r="GY93" s="200"/>
      <c r="JB93" s="151" t="s">
        <v>1697</v>
      </c>
    </row>
    <row r="94" spans="1:262" s="24" customFormat="1" x14ac:dyDescent="0.25">
      <c r="A94" s="24">
        <v>9</v>
      </c>
      <c r="B94" s="42" t="s">
        <v>3805</v>
      </c>
      <c r="C94" s="24" t="s">
        <v>208</v>
      </c>
      <c r="D94" s="24" t="s">
        <v>209</v>
      </c>
      <c r="E94" s="24">
        <v>1992</v>
      </c>
      <c r="F94" s="24">
        <v>1985</v>
      </c>
      <c r="G94" s="24" t="s">
        <v>211</v>
      </c>
      <c r="H94" s="24" t="s">
        <v>210</v>
      </c>
      <c r="I94" s="24" t="s">
        <v>2815</v>
      </c>
      <c r="J94" s="24">
        <f t="shared" ref="J94:J99" si="5">33+54/60</f>
        <v>33.9</v>
      </c>
      <c r="K94" s="24">
        <f t="shared" ref="K94:K99" si="6">-82-24/60</f>
        <v>-82.4</v>
      </c>
      <c r="L94" s="24">
        <v>130.1</v>
      </c>
      <c r="R94" s="42">
        <v>3</v>
      </c>
      <c r="S94" s="42" t="s">
        <v>1722</v>
      </c>
      <c r="T94" s="42"/>
      <c r="U94" s="42" t="s">
        <v>1852</v>
      </c>
      <c r="V94" s="42" t="s">
        <v>1387</v>
      </c>
      <c r="W94" s="42" t="s">
        <v>1718</v>
      </c>
      <c r="X94" s="42" t="s">
        <v>1387</v>
      </c>
      <c r="Y94" s="42" t="s">
        <v>1387</v>
      </c>
      <c r="AA94" s="321">
        <f>54.1/(54.1+14.6+5.8)*100</f>
        <v>72.617449664429529</v>
      </c>
      <c r="AB94" s="321">
        <f>14.6/(54.1+14.6+5.8)*100</f>
        <v>19.597315436241612</v>
      </c>
      <c r="AC94" s="24" t="s">
        <v>796</v>
      </c>
      <c r="AG94" s="24" t="s">
        <v>1312</v>
      </c>
      <c r="AH94" s="24" t="s">
        <v>1521</v>
      </c>
      <c r="AI94" s="138" t="s">
        <v>577</v>
      </c>
      <c r="AJ94" s="24" t="s">
        <v>158</v>
      </c>
      <c r="AK94" s="140" t="s">
        <v>158</v>
      </c>
      <c r="AO94" s="24" t="s">
        <v>219</v>
      </c>
      <c r="AP94" s="24" t="s">
        <v>218</v>
      </c>
      <c r="AQ94" s="24" t="s">
        <v>2125</v>
      </c>
      <c r="AR94" s="24" t="s">
        <v>2126</v>
      </c>
      <c r="AS94" s="24" t="s">
        <v>502</v>
      </c>
      <c r="AW94" s="24" t="s">
        <v>119</v>
      </c>
      <c r="AX94" s="24">
        <v>3</v>
      </c>
      <c r="BD94" s="53"/>
      <c r="BE94" s="24" t="s">
        <v>213</v>
      </c>
      <c r="BP94" s="395"/>
      <c r="BQ94" s="395"/>
      <c r="BU94" s="395"/>
      <c r="BV94" s="395"/>
      <c r="CE94" s="548"/>
      <c r="CF94" s="548"/>
      <c r="CG94" s="548"/>
      <c r="CH94" s="548"/>
      <c r="DS94" s="24">
        <f>0.61*1000</f>
        <v>610</v>
      </c>
      <c r="DT94" s="24">
        <f>0.87*1000</f>
        <v>870</v>
      </c>
      <c r="DW94" s="24" t="s">
        <v>165</v>
      </c>
      <c r="EH94" s="24">
        <f>(26.7+29.5)/2</f>
        <v>28.1</v>
      </c>
      <c r="EI94" s="24">
        <f>(51.3+50.7)/2</f>
        <v>51</v>
      </c>
      <c r="EL94" s="24" t="s">
        <v>1681</v>
      </c>
      <c r="GZ94" s="12"/>
      <c r="HD94" s="12"/>
    </row>
    <row r="95" spans="1:262" s="24" customFormat="1" x14ac:dyDescent="0.25">
      <c r="A95" s="24">
        <v>9</v>
      </c>
      <c r="B95" s="42" t="s">
        <v>3806</v>
      </c>
      <c r="C95" s="24" t="s">
        <v>208</v>
      </c>
      <c r="D95" s="24" t="s">
        <v>209</v>
      </c>
      <c r="E95" s="24">
        <v>1992</v>
      </c>
      <c r="F95" s="24">
        <v>1985</v>
      </c>
      <c r="G95" s="24" t="s">
        <v>211</v>
      </c>
      <c r="H95" s="24" t="s">
        <v>210</v>
      </c>
      <c r="I95" s="24" t="s">
        <v>2815</v>
      </c>
      <c r="J95" s="24">
        <f t="shared" si="5"/>
        <v>33.9</v>
      </c>
      <c r="K95" s="24">
        <f t="shared" si="6"/>
        <v>-82.4</v>
      </c>
      <c r="L95" s="24">
        <v>130.1</v>
      </c>
      <c r="R95" s="42">
        <v>3</v>
      </c>
      <c r="S95" s="42" t="s">
        <v>1722</v>
      </c>
      <c r="T95" s="42"/>
      <c r="U95" s="42" t="s">
        <v>1852</v>
      </c>
      <c r="V95" s="42" t="s">
        <v>1387</v>
      </c>
      <c r="W95" s="42" t="s">
        <v>1718</v>
      </c>
      <c r="X95" s="42" t="s">
        <v>1387</v>
      </c>
      <c r="Y95" s="42" t="s">
        <v>1387</v>
      </c>
      <c r="AA95" s="321">
        <f>47/(47+20.4+10.7)*100</f>
        <v>60.179257362355941</v>
      </c>
      <c r="AB95" s="321">
        <f>20.4/(47+20.4+10.7)*100</f>
        <v>26.120358514724707</v>
      </c>
      <c r="AC95" s="24" t="s">
        <v>796</v>
      </c>
      <c r="AG95" s="24" t="s">
        <v>1312</v>
      </c>
      <c r="AH95" s="24" t="s">
        <v>1521</v>
      </c>
      <c r="AI95" s="138" t="s">
        <v>577</v>
      </c>
      <c r="AJ95" s="24" t="s">
        <v>158</v>
      </c>
      <c r="AK95" s="140" t="s">
        <v>158</v>
      </c>
      <c r="AO95" s="24" t="s">
        <v>219</v>
      </c>
      <c r="AP95" s="24" t="s">
        <v>218</v>
      </c>
      <c r="AQ95" s="24" t="s">
        <v>2125</v>
      </c>
      <c r="AR95" s="24" t="s">
        <v>2126</v>
      </c>
      <c r="AS95" s="24" t="s">
        <v>502</v>
      </c>
      <c r="AW95" s="24" t="s">
        <v>119</v>
      </c>
      <c r="AX95" s="24">
        <v>3</v>
      </c>
      <c r="BD95" s="53"/>
      <c r="BE95" s="24" t="s">
        <v>214</v>
      </c>
      <c r="BP95" s="395"/>
      <c r="BQ95" s="395"/>
      <c r="BU95" s="395"/>
      <c r="BV95" s="395"/>
      <c r="CE95" s="548"/>
      <c r="CF95" s="548"/>
      <c r="CG95" s="548"/>
      <c r="CH95" s="548"/>
      <c r="DS95" s="24">
        <f>0.59*1000</f>
        <v>590</v>
      </c>
      <c r="DT95" s="24">
        <f>0.88*1000</f>
        <v>880</v>
      </c>
      <c r="DW95" s="24" t="s">
        <v>165</v>
      </c>
      <c r="EH95" s="24">
        <f>(32.9+20.5)/2</f>
        <v>26.7</v>
      </c>
      <c r="EI95" s="24">
        <f>(51.8+46.4)/2</f>
        <v>49.099999999999994</v>
      </c>
      <c r="EL95" s="24" t="s">
        <v>1681</v>
      </c>
      <c r="GZ95" s="12"/>
      <c r="HD95" s="12"/>
    </row>
    <row r="96" spans="1:262" s="24" customFormat="1" x14ac:dyDescent="0.25">
      <c r="A96" s="24">
        <v>9</v>
      </c>
      <c r="B96" s="42" t="s">
        <v>3807</v>
      </c>
      <c r="C96" s="24" t="s">
        <v>208</v>
      </c>
      <c r="D96" s="24" t="s">
        <v>209</v>
      </c>
      <c r="E96" s="24">
        <v>1992</v>
      </c>
      <c r="F96" s="24">
        <v>1985</v>
      </c>
      <c r="G96" s="24" t="s">
        <v>211</v>
      </c>
      <c r="H96" s="24" t="s">
        <v>210</v>
      </c>
      <c r="I96" s="24" t="s">
        <v>2815</v>
      </c>
      <c r="J96" s="24">
        <f t="shared" si="5"/>
        <v>33.9</v>
      </c>
      <c r="K96" s="24">
        <f t="shared" si="6"/>
        <v>-82.4</v>
      </c>
      <c r="L96" s="24">
        <v>130.1</v>
      </c>
      <c r="R96" s="42">
        <v>3</v>
      </c>
      <c r="S96" s="42" t="s">
        <v>1722</v>
      </c>
      <c r="T96" s="42"/>
      <c r="U96" s="42" t="s">
        <v>1852</v>
      </c>
      <c r="V96" s="42" t="s">
        <v>1387</v>
      </c>
      <c r="W96" s="42" t="s">
        <v>1718</v>
      </c>
      <c r="X96" s="42" t="s">
        <v>1387</v>
      </c>
      <c r="Y96" s="42" t="s">
        <v>1387</v>
      </c>
      <c r="AA96" s="321">
        <f>42.5/(42.5+21.3+19)*100</f>
        <v>51.328502415458942</v>
      </c>
      <c r="AB96" s="321">
        <f>21.3/(42.5+21.3+19)*100</f>
        <v>25.724637681159422</v>
      </c>
      <c r="AC96" s="24" t="s">
        <v>796</v>
      </c>
      <c r="AG96" s="24" t="s">
        <v>1312</v>
      </c>
      <c r="AH96" s="24" t="s">
        <v>1521</v>
      </c>
      <c r="AI96" s="138" t="s">
        <v>577</v>
      </c>
      <c r="AJ96" s="24" t="s">
        <v>158</v>
      </c>
      <c r="AK96" s="140" t="s">
        <v>158</v>
      </c>
      <c r="AO96" s="24" t="s">
        <v>219</v>
      </c>
      <c r="AP96" s="24" t="s">
        <v>218</v>
      </c>
      <c r="AQ96" s="24" t="s">
        <v>2125</v>
      </c>
      <c r="AR96" s="24" t="s">
        <v>2126</v>
      </c>
      <c r="AS96" s="24" t="s">
        <v>502</v>
      </c>
      <c r="AW96" s="24" t="s">
        <v>119</v>
      </c>
      <c r="AX96" s="24">
        <v>3</v>
      </c>
      <c r="BD96" s="53"/>
      <c r="BE96" s="24" t="s">
        <v>215</v>
      </c>
      <c r="BP96" s="395"/>
      <c r="BQ96" s="395"/>
      <c r="BU96" s="395"/>
      <c r="BV96" s="395"/>
      <c r="CE96" s="548"/>
      <c r="CF96" s="548"/>
      <c r="CG96" s="548"/>
      <c r="CH96" s="548"/>
      <c r="DS96" s="24">
        <f>0.65*1000</f>
        <v>650</v>
      </c>
      <c r="DT96" s="24">
        <f>0.91*1000</f>
        <v>910</v>
      </c>
      <c r="DW96" s="24" t="s">
        <v>165</v>
      </c>
      <c r="EH96" s="24">
        <f>(35.9+20.2)/2</f>
        <v>28.049999999999997</v>
      </c>
      <c r="EI96" s="24">
        <f>(46+41.6)/2</f>
        <v>43.8</v>
      </c>
      <c r="EL96" s="24" t="s">
        <v>1681</v>
      </c>
      <c r="GZ96" s="12"/>
      <c r="HD96" s="12"/>
    </row>
    <row r="97" spans="1:212" s="24" customFormat="1" x14ac:dyDescent="0.25">
      <c r="A97" s="24">
        <v>9</v>
      </c>
      <c r="B97" s="42" t="s">
        <v>3805</v>
      </c>
      <c r="C97" s="24" t="s">
        <v>208</v>
      </c>
      <c r="D97" s="24" t="s">
        <v>209</v>
      </c>
      <c r="E97" s="24">
        <v>1992</v>
      </c>
      <c r="F97" s="24">
        <v>1985</v>
      </c>
      <c r="G97" s="24" t="s">
        <v>211</v>
      </c>
      <c r="H97" s="24" t="s">
        <v>210</v>
      </c>
      <c r="I97" s="24" t="s">
        <v>2815</v>
      </c>
      <c r="J97" s="24">
        <f t="shared" si="5"/>
        <v>33.9</v>
      </c>
      <c r="K97" s="24">
        <f t="shared" si="6"/>
        <v>-82.4</v>
      </c>
      <c r="L97" s="24">
        <v>130.1</v>
      </c>
      <c r="R97" s="42">
        <v>3</v>
      </c>
      <c r="S97" s="42" t="s">
        <v>1722</v>
      </c>
      <c r="T97" s="42"/>
      <c r="U97" s="42" t="s">
        <v>1852</v>
      </c>
      <c r="V97" s="42" t="s">
        <v>1387</v>
      </c>
      <c r="W97" s="42" t="s">
        <v>1718</v>
      </c>
      <c r="X97" s="42" t="s">
        <v>1387</v>
      </c>
      <c r="Y97" s="42" t="s">
        <v>1387</v>
      </c>
      <c r="AA97" s="321">
        <f>54.1/(54.1+14.6+5.8)*100</f>
        <v>72.617449664429529</v>
      </c>
      <c r="AB97" s="321">
        <f>14.6/(54.1+14.6+5.8)*100</f>
        <v>19.597315436241612</v>
      </c>
      <c r="AC97" s="24" t="s">
        <v>796</v>
      </c>
      <c r="AG97" s="24" t="s">
        <v>1312</v>
      </c>
      <c r="AH97" s="24" t="s">
        <v>1521</v>
      </c>
      <c r="AI97" s="138" t="s">
        <v>577</v>
      </c>
      <c r="AJ97" s="24" t="s">
        <v>220</v>
      </c>
      <c r="AK97" s="140" t="s">
        <v>220</v>
      </c>
      <c r="AO97" s="24" t="s">
        <v>219</v>
      </c>
      <c r="AP97" s="24" t="s">
        <v>218</v>
      </c>
      <c r="AQ97" s="24" t="s">
        <v>2125</v>
      </c>
      <c r="AR97" s="24" t="s">
        <v>2126</v>
      </c>
      <c r="AS97" s="24" t="s">
        <v>502</v>
      </c>
      <c r="AW97" s="24" t="s">
        <v>119</v>
      </c>
      <c r="AX97" s="24">
        <v>3</v>
      </c>
      <c r="BD97" s="53"/>
      <c r="BE97" s="24" t="s">
        <v>213</v>
      </c>
      <c r="BP97" s="395"/>
      <c r="BQ97" s="395"/>
      <c r="BU97" s="395"/>
      <c r="BV97" s="395"/>
      <c r="CE97" s="548"/>
      <c r="CF97" s="548"/>
      <c r="CG97" s="548"/>
      <c r="CH97" s="548"/>
      <c r="DS97" s="24">
        <f>0.5*1000</f>
        <v>500</v>
      </c>
      <c r="DT97" s="24">
        <f>0.87*1000</f>
        <v>870</v>
      </c>
      <c r="DW97" s="24" t="s">
        <v>165</v>
      </c>
      <c r="EH97" s="24">
        <f>(33+25.7)/2</f>
        <v>29.35</v>
      </c>
      <c r="EI97" s="24">
        <f>(51.3+50.7)/2</f>
        <v>51</v>
      </c>
      <c r="EL97" s="24" t="s">
        <v>1681</v>
      </c>
      <c r="GZ97" s="12"/>
      <c r="HD97" s="12"/>
    </row>
    <row r="98" spans="1:212" s="24" customFormat="1" x14ac:dyDescent="0.25">
      <c r="A98" s="24">
        <v>9</v>
      </c>
      <c r="B98" s="42" t="s">
        <v>3806</v>
      </c>
      <c r="C98" s="24" t="s">
        <v>208</v>
      </c>
      <c r="D98" s="24" t="s">
        <v>209</v>
      </c>
      <c r="E98" s="24">
        <v>1992</v>
      </c>
      <c r="F98" s="24">
        <v>1985</v>
      </c>
      <c r="G98" s="24" t="s">
        <v>211</v>
      </c>
      <c r="H98" s="24" t="s">
        <v>210</v>
      </c>
      <c r="I98" s="24" t="s">
        <v>2815</v>
      </c>
      <c r="J98" s="24">
        <f t="shared" si="5"/>
        <v>33.9</v>
      </c>
      <c r="K98" s="24">
        <f t="shared" si="6"/>
        <v>-82.4</v>
      </c>
      <c r="L98" s="24">
        <v>130.1</v>
      </c>
      <c r="R98" s="42">
        <v>3</v>
      </c>
      <c r="S98" s="42" t="s">
        <v>1722</v>
      </c>
      <c r="T98" s="42"/>
      <c r="U98" s="42" t="s">
        <v>1852</v>
      </c>
      <c r="V98" s="42" t="s">
        <v>1387</v>
      </c>
      <c r="W98" s="42" t="s">
        <v>1718</v>
      </c>
      <c r="X98" s="42" t="s">
        <v>1387</v>
      </c>
      <c r="Y98" s="42" t="s">
        <v>1387</v>
      </c>
      <c r="AA98" s="321">
        <f>47/(47+20.4+10.7)*100</f>
        <v>60.179257362355941</v>
      </c>
      <c r="AB98" s="321">
        <f>20.4/(47+20.4+10.7)*100</f>
        <v>26.120358514724707</v>
      </c>
      <c r="AC98" s="24" t="s">
        <v>796</v>
      </c>
      <c r="AG98" s="24" t="s">
        <v>1312</v>
      </c>
      <c r="AH98" s="24" t="s">
        <v>1521</v>
      </c>
      <c r="AI98" s="138" t="s">
        <v>577</v>
      </c>
      <c r="AJ98" s="24" t="s">
        <v>220</v>
      </c>
      <c r="AK98" s="140" t="s">
        <v>220</v>
      </c>
      <c r="AO98" s="24" t="s">
        <v>219</v>
      </c>
      <c r="AP98" s="24" t="s">
        <v>218</v>
      </c>
      <c r="AQ98" s="24" t="s">
        <v>2125</v>
      </c>
      <c r="AR98" s="24" t="s">
        <v>2126</v>
      </c>
      <c r="AS98" s="24" t="s">
        <v>502</v>
      </c>
      <c r="AW98" s="24" t="s">
        <v>119</v>
      </c>
      <c r="AX98" s="24">
        <v>3</v>
      </c>
      <c r="BD98" s="53"/>
      <c r="BE98" s="24" t="s">
        <v>214</v>
      </c>
      <c r="BP98" s="395"/>
      <c r="BQ98" s="395"/>
      <c r="BU98" s="395"/>
      <c r="BV98" s="395"/>
      <c r="CE98" s="548"/>
      <c r="CF98" s="548"/>
      <c r="CG98" s="548"/>
      <c r="CH98" s="548"/>
      <c r="DS98" s="24">
        <f>0.59*1000</f>
        <v>590</v>
      </c>
      <c r="DT98" s="24">
        <f>0.88*1000</f>
        <v>880</v>
      </c>
      <c r="DW98" s="24" t="s">
        <v>165</v>
      </c>
      <c r="EH98" s="24">
        <f>(38.6+20.1)/2</f>
        <v>29.35</v>
      </c>
      <c r="EI98" s="24">
        <f>(51.8+46.4)/2</f>
        <v>49.099999999999994</v>
      </c>
      <c r="EL98" s="24" t="s">
        <v>1681</v>
      </c>
      <c r="GZ98" s="12"/>
      <c r="HD98" s="12"/>
    </row>
    <row r="99" spans="1:212" s="24" customFormat="1" x14ac:dyDescent="0.25">
      <c r="A99" s="24">
        <v>9</v>
      </c>
      <c r="B99" s="42" t="s">
        <v>3807</v>
      </c>
      <c r="C99" s="24" t="s">
        <v>208</v>
      </c>
      <c r="D99" s="24" t="s">
        <v>209</v>
      </c>
      <c r="E99" s="24">
        <v>1992</v>
      </c>
      <c r="F99" s="24">
        <v>1985</v>
      </c>
      <c r="G99" s="24" t="s">
        <v>211</v>
      </c>
      <c r="H99" s="24" t="s">
        <v>210</v>
      </c>
      <c r="I99" s="24" t="s">
        <v>2815</v>
      </c>
      <c r="J99" s="24">
        <f t="shared" si="5"/>
        <v>33.9</v>
      </c>
      <c r="K99" s="24">
        <f t="shared" si="6"/>
        <v>-82.4</v>
      </c>
      <c r="L99" s="24">
        <v>130.1</v>
      </c>
      <c r="R99" s="42">
        <v>3</v>
      </c>
      <c r="S99" s="42" t="s">
        <v>1722</v>
      </c>
      <c r="T99" s="42"/>
      <c r="U99" s="42" t="s">
        <v>1852</v>
      </c>
      <c r="V99" s="42" t="s">
        <v>1387</v>
      </c>
      <c r="W99" s="42" t="s">
        <v>1718</v>
      </c>
      <c r="X99" s="42" t="s">
        <v>1387</v>
      </c>
      <c r="Y99" s="42" t="s">
        <v>1387</v>
      </c>
      <c r="AA99" s="321">
        <f>42.5/(42.5+21.3+19)*100</f>
        <v>51.328502415458942</v>
      </c>
      <c r="AB99" s="321">
        <f>21.3/(42.5+21.3+19)*100</f>
        <v>25.724637681159422</v>
      </c>
      <c r="AC99" s="24" t="s">
        <v>796</v>
      </c>
      <c r="AG99" s="24" t="s">
        <v>1312</v>
      </c>
      <c r="AH99" s="24" t="s">
        <v>1521</v>
      </c>
      <c r="AI99" s="138" t="s">
        <v>577</v>
      </c>
      <c r="AJ99" s="24" t="s">
        <v>220</v>
      </c>
      <c r="AK99" s="140" t="s">
        <v>220</v>
      </c>
      <c r="AO99" s="24" t="s">
        <v>219</v>
      </c>
      <c r="AP99" s="24" t="s">
        <v>218</v>
      </c>
      <c r="AQ99" s="24" t="s">
        <v>2125</v>
      </c>
      <c r="AR99" s="24" t="s">
        <v>2126</v>
      </c>
      <c r="AS99" s="24" t="s">
        <v>502</v>
      </c>
      <c r="AW99" s="24" t="s">
        <v>119</v>
      </c>
      <c r="AX99" s="24">
        <v>3</v>
      </c>
      <c r="BD99" s="53"/>
      <c r="BE99" s="24" t="s">
        <v>215</v>
      </c>
      <c r="BP99" s="395"/>
      <c r="BQ99" s="395"/>
      <c r="BU99" s="395"/>
      <c r="BV99" s="395"/>
      <c r="CE99" s="548"/>
      <c r="CF99" s="548"/>
      <c r="CG99" s="548"/>
      <c r="CH99" s="548"/>
      <c r="DS99" s="24">
        <f>0.64*1000</f>
        <v>640</v>
      </c>
      <c r="DT99" s="24">
        <f>0.91*1000</f>
        <v>910</v>
      </c>
      <c r="DW99" s="24" t="s">
        <v>165</v>
      </c>
      <c r="EH99" s="24">
        <f>(34.5+21)/2</f>
        <v>27.75</v>
      </c>
      <c r="EI99" s="24">
        <f>(46+41.6)/2</f>
        <v>43.8</v>
      </c>
      <c r="EL99" s="24" t="s">
        <v>1681</v>
      </c>
      <c r="GZ99" s="12"/>
      <c r="HD99" s="12"/>
    </row>
    <row r="100" spans="1:212" s="21" customFormat="1" x14ac:dyDescent="0.25">
      <c r="A100" s="21">
        <v>10</v>
      </c>
      <c r="B100" s="43" t="s">
        <v>3808</v>
      </c>
      <c r="C100" s="201" t="s">
        <v>221</v>
      </c>
      <c r="D100" s="21" t="s">
        <v>222</v>
      </c>
      <c r="E100" s="21">
        <v>2015</v>
      </c>
      <c r="F100" s="21">
        <v>2010</v>
      </c>
      <c r="G100" s="21" t="s">
        <v>223</v>
      </c>
      <c r="H100" s="21" t="s">
        <v>224</v>
      </c>
      <c r="I100" s="21" t="s">
        <v>2815</v>
      </c>
      <c r="J100" s="21">
        <v>43.064999999999998</v>
      </c>
      <c r="K100" s="21">
        <v>-89.534999999999997</v>
      </c>
      <c r="L100" s="21">
        <v>331.7</v>
      </c>
      <c r="R100" s="43">
        <v>1</v>
      </c>
      <c r="S100" s="43" t="s">
        <v>1847</v>
      </c>
      <c r="T100" s="43"/>
      <c r="U100" s="43" t="s">
        <v>1853</v>
      </c>
      <c r="V100" s="43" t="s">
        <v>1382</v>
      </c>
      <c r="W100" s="43" t="s">
        <v>1717</v>
      </c>
      <c r="X100" s="43" t="s">
        <v>1382</v>
      </c>
      <c r="Y100" s="43" t="s">
        <v>1382</v>
      </c>
      <c r="AA100" s="322"/>
      <c r="AB100" s="322"/>
      <c r="AC100" s="21" t="s">
        <v>450</v>
      </c>
      <c r="AD100" s="21">
        <v>7.1</v>
      </c>
      <c r="AE100" s="21">
        <v>2.9</v>
      </c>
      <c r="AG100" s="21" t="s">
        <v>1313</v>
      </c>
      <c r="AH100" s="21" t="s">
        <v>230</v>
      </c>
      <c r="AI100" s="138" t="s">
        <v>1581</v>
      </c>
      <c r="AJ100" s="21" t="s">
        <v>229</v>
      </c>
      <c r="AK100" s="141" t="s">
        <v>229</v>
      </c>
      <c r="AO100" s="21" t="s">
        <v>231</v>
      </c>
      <c r="AP100" s="21" t="s">
        <v>231</v>
      </c>
      <c r="AQ100" s="21" t="s">
        <v>2125</v>
      </c>
      <c r="AR100" s="21" t="s">
        <v>2125</v>
      </c>
      <c r="AS100" s="21" t="s">
        <v>177</v>
      </c>
      <c r="AW100" s="21" t="s">
        <v>119</v>
      </c>
      <c r="AX100" s="21">
        <v>4</v>
      </c>
      <c r="BD100" s="54"/>
      <c r="BK100" s="21">
        <f>(40+24.2)/2*1000</f>
        <v>32100</v>
      </c>
      <c r="BL100" s="21">
        <f>(31.5+25.7)/2*1000</f>
        <v>28600</v>
      </c>
      <c r="BO100" s="21" t="s">
        <v>235</v>
      </c>
      <c r="BP100" s="396"/>
      <c r="BQ100" s="396"/>
      <c r="BU100" s="396"/>
      <c r="BV100" s="396"/>
      <c r="CE100" s="549"/>
      <c r="CF100" s="549"/>
      <c r="CG100" s="549"/>
      <c r="CH100" s="549"/>
      <c r="CJ100" s="21">
        <v>11.22</v>
      </c>
      <c r="CK100" s="21">
        <v>8.83</v>
      </c>
      <c r="CN100" s="21" t="s">
        <v>345</v>
      </c>
      <c r="FV100" s="21">
        <v>2320</v>
      </c>
      <c r="FW100" s="21">
        <v>630</v>
      </c>
      <c r="GZ100" s="12"/>
      <c r="HD100" s="12"/>
    </row>
    <row r="101" spans="1:212" s="21" customFormat="1" x14ac:dyDescent="0.25">
      <c r="A101" s="21">
        <v>10</v>
      </c>
      <c r="B101" s="43" t="s">
        <v>3808</v>
      </c>
      <c r="C101" s="201" t="s">
        <v>221</v>
      </c>
      <c r="D101" s="21" t="s">
        <v>222</v>
      </c>
      <c r="E101" s="21">
        <v>2015</v>
      </c>
      <c r="F101" s="21">
        <v>2011</v>
      </c>
      <c r="G101" s="21" t="s">
        <v>223</v>
      </c>
      <c r="H101" s="21" t="s">
        <v>224</v>
      </c>
      <c r="I101" s="21" t="s">
        <v>2815</v>
      </c>
      <c r="J101" s="21">
        <v>43.064999999999998</v>
      </c>
      <c r="K101" s="21">
        <v>-89.534999999999997</v>
      </c>
      <c r="L101" s="21">
        <v>331.7</v>
      </c>
      <c r="R101" s="43">
        <v>2</v>
      </c>
      <c r="S101" s="43" t="s">
        <v>1847</v>
      </c>
      <c r="T101" s="43"/>
      <c r="U101" s="43" t="s">
        <v>1854</v>
      </c>
      <c r="V101" s="43" t="s">
        <v>1382</v>
      </c>
      <c r="W101" s="43" t="s">
        <v>1717</v>
      </c>
      <c r="X101" s="43" t="s">
        <v>1382</v>
      </c>
      <c r="Y101" s="43" t="s">
        <v>1382</v>
      </c>
      <c r="AA101" s="322"/>
      <c r="AB101" s="322"/>
      <c r="AC101" s="21" t="s">
        <v>450</v>
      </c>
      <c r="AD101" s="21">
        <v>7.1</v>
      </c>
      <c r="AE101" s="21">
        <v>2.9</v>
      </c>
      <c r="AG101" s="21" t="s">
        <v>1313</v>
      </c>
      <c r="AH101" s="21" t="s">
        <v>230</v>
      </c>
      <c r="AI101" s="138" t="s">
        <v>1581</v>
      </c>
      <c r="AJ101" s="21" t="s">
        <v>229</v>
      </c>
      <c r="AK101" s="141" t="s">
        <v>229</v>
      </c>
      <c r="AO101" s="21" t="s">
        <v>231</v>
      </c>
      <c r="AP101" s="21" t="s">
        <v>231</v>
      </c>
      <c r="AQ101" s="21" t="s">
        <v>2125</v>
      </c>
      <c r="AR101" s="21" t="s">
        <v>2125</v>
      </c>
      <c r="AS101" s="21" t="s">
        <v>177</v>
      </c>
      <c r="AW101" s="21" t="s">
        <v>119</v>
      </c>
      <c r="AX101" s="21">
        <v>4</v>
      </c>
      <c r="BD101" s="54"/>
      <c r="BP101" s="396"/>
      <c r="BQ101" s="396"/>
      <c r="BU101" s="396"/>
      <c r="BV101" s="396"/>
      <c r="CE101" s="549"/>
      <c r="CF101" s="549"/>
      <c r="CG101" s="549"/>
      <c r="CH101" s="549"/>
      <c r="CJ101" s="21">
        <v>17.41</v>
      </c>
      <c r="CK101" s="21">
        <v>15.03</v>
      </c>
      <c r="CN101" s="21" t="s">
        <v>345</v>
      </c>
      <c r="FV101" s="21">
        <v>1130</v>
      </c>
      <c r="FW101" s="21">
        <v>230</v>
      </c>
      <c r="GZ101" s="12"/>
      <c r="HD101" s="12"/>
    </row>
    <row r="102" spans="1:212" s="21" customFormat="1" x14ac:dyDescent="0.25">
      <c r="A102" s="21">
        <v>10</v>
      </c>
      <c r="B102" s="43" t="s">
        <v>3808</v>
      </c>
      <c r="C102" s="201" t="s">
        <v>221</v>
      </c>
      <c r="D102" s="21" t="s">
        <v>222</v>
      </c>
      <c r="E102" s="21">
        <v>2015</v>
      </c>
      <c r="F102" s="21">
        <v>2011</v>
      </c>
      <c r="G102" s="21" t="s">
        <v>223</v>
      </c>
      <c r="H102" s="21" t="s">
        <v>225</v>
      </c>
      <c r="I102" s="21" t="s">
        <v>2815</v>
      </c>
      <c r="J102" s="21">
        <v>43.314</v>
      </c>
      <c r="K102" s="21">
        <v>-89.335999999999999</v>
      </c>
      <c r="L102" s="21">
        <v>326.5</v>
      </c>
      <c r="R102" s="43">
        <v>2</v>
      </c>
      <c r="S102" s="43" t="s">
        <v>1847</v>
      </c>
      <c r="T102" s="43"/>
      <c r="U102" s="43" t="s">
        <v>1855</v>
      </c>
      <c r="V102" s="43" t="s">
        <v>1382</v>
      </c>
      <c r="W102" s="43" t="s">
        <v>1717</v>
      </c>
      <c r="X102" s="43" t="s">
        <v>1382</v>
      </c>
      <c r="Y102" s="43" t="s">
        <v>1382</v>
      </c>
      <c r="AA102" s="322"/>
      <c r="AB102" s="322"/>
      <c r="AC102" s="21" t="s">
        <v>450</v>
      </c>
      <c r="AD102" s="21">
        <v>7.3</v>
      </c>
      <c r="AE102" s="21">
        <v>4</v>
      </c>
      <c r="AG102" s="21" t="s">
        <v>1313</v>
      </c>
      <c r="AH102" s="21" t="s">
        <v>230</v>
      </c>
      <c r="AI102" s="138" t="s">
        <v>1581</v>
      </c>
      <c r="AJ102" s="21" t="s">
        <v>229</v>
      </c>
      <c r="AK102" s="141" t="s">
        <v>229</v>
      </c>
      <c r="AO102" s="21" t="s">
        <v>231</v>
      </c>
      <c r="AP102" s="21" t="s">
        <v>231</v>
      </c>
      <c r="AQ102" s="21" t="s">
        <v>2125</v>
      </c>
      <c r="AR102" s="21" t="s">
        <v>2125</v>
      </c>
      <c r="AS102" s="21" t="s">
        <v>177</v>
      </c>
      <c r="AW102" s="21" t="s">
        <v>119</v>
      </c>
      <c r="AX102" s="21">
        <v>4</v>
      </c>
      <c r="BD102" s="54"/>
      <c r="BP102" s="396"/>
      <c r="BQ102" s="396"/>
      <c r="BU102" s="396"/>
      <c r="BV102" s="396"/>
      <c r="CE102" s="549"/>
      <c r="CF102" s="549"/>
      <c r="CG102" s="549"/>
      <c r="CH102" s="549"/>
      <c r="CJ102" s="21">
        <v>27.1</v>
      </c>
      <c r="CK102" s="21">
        <v>18.3</v>
      </c>
      <c r="CN102" s="21" t="s">
        <v>345</v>
      </c>
      <c r="FV102" s="21">
        <v>610</v>
      </c>
      <c r="FW102" s="21">
        <v>60</v>
      </c>
      <c r="GZ102" s="12"/>
      <c r="HD102" s="12"/>
    </row>
    <row r="103" spans="1:212" s="21" customFormat="1" x14ac:dyDescent="0.25">
      <c r="A103" s="21">
        <v>10</v>
      </c>
      <c r="B103" s="43" t="s">
        <v>3808</v>
      </c>
      <c r="C103" s="201" t="s">
        <v>221</v>
      </c>
      <c r="D103" s="21" t="s">
        <v>222</v>
      </c>
      <c r="E103" s="21">
        <v>2015</v>
      </c>
      <c r="F103" s="21">
        <v>2010</v>
      </c>
      <c r="G103" s="21" t="s">
        <v>223</v>
      </c>
      <c r="H103" s="21" t="s">
        <v>224</v>
      </c>
      <c r="I103" s="21" t="s">
        <v>2815</v>
      </c>
      <c r="J103" s="21">
        <v>43.064999999999998</v>
      </c>
      <c r="K103" s="21">
        <v>-89.534999999999997</v>
      </c>
      <c r="L103" s="21">
        <v>331.7</v>
      </c>
      <c r="R103" s="43">
        <v>1</v>
      </c>
      <c r="S103" s="43" t="s">
        <v>1847</v>
      </c>
      <c r="T103" s="43"/>
      <c r="U103" s="43" t="s">
        <v>1853</v>
      </c>
      <c r="V103" s="43" t="s">
        <v>1382</v>
      </c>
      <c r="W103" s="43" t="s">
        <v>1717</v>
      </c>
      <c r="X103" s="43" t="s">
        <v>1382</v>
      </c>
      <c r="Y103" s="43" t="s">
        <v>1382</v>
      </c>
      <c r="AA103" s="322"/>
      <c r="AB103" s="322"/>
      <c r="AC103" s="21" t="s">
        <v>450</v>
      </c>
      <c r="AD103" s="21">
        <v>7.1</v>
      </c>
      <c r="AE103" s="21">
        <v>2.9</v>
      </c>
      <c r="AG103" s="21" t="s">
        <v>1313</v>
      </c>
      <c r="AH103" s="21" t="s">
        <v>1522</v>
      </c>
      <c r="AI103" s="138" t="s">
        <v>1581</v>
      </c>
      <c r="AJ103" s="21" t="s">
        <v>229</v>
      </c>
      <c r="AK103" s="141" t="s">
        <v>229</v>
      </c>
      <c r="AO103" s="21" t="s">
        <v>231</v>
      </c>
      <c r="AP103" s="21" t="s">
        <v>231</v>
      </c>
      <c r="AQ103" s="21" t="s">
        <v>2125</v>
      </c>
      <c r="AR103" s="21" t="s">
        <v>2125</v>
      </c>
      <c r="AS103" s="21" t="s">
        <v>177</v>
      </c>
      <c r="AW103" s="21" t="s">
        <v>119</v>
      </c>
      <c r="AX103" s="21">
        <v>4</v>
      </c>
      <c r="BD103" s="54"/>
      <c r="BK103" s="21">
        <f t="shared" ref="BK103:BK109" si="7">(40+24.2)/2*1000</f>
        <v>32100</v>
      </c>
      <c r="BL103" s="21">
        <f>(42.1+29.8)/2*1000</f>
        <v>35950</v>
      </c>
      <c r="BO103" s="21" t="s">
        <v>235</v>
      </c>
      <c r="BP103" s="396"/>
      <c r="BQ103" s="396"/>
      <c r="BU103" s="396"/>
      <c r="BV103" s="396"/>
      <c r="CE103" s="549"/>
      <c r="CF103" s="549"/>
      <c r="CG103" s="549"/>
      <c r="CH103" s="549"/>
      <c r="CJ103" s="21">
        <v>11.22</v>
      </c>
      <c r="CK103" s="21">
        <v>9.34</v>
      </c>
      <c r="CN103" s="21" t="s">
        <v>345</v>
      </c>
      <c r="FV103" s="21">
        <v>2320</v>
      </c>
      <c r="FW103" s="21">
        <v>2040</v>
      </c>
      <c r="GZ103" s="12"/>
      <c r="HD103" s="12"/>
    </row>
    <row r="104" spans="1:212" s="21" customFormat="1" x14ac:dyDescent="0.25">
      <c r="A104" s="21">
        <v>10</v>
      </c>
      <c r="B104" s="43" t="s">
        <v>3808</v>
      </c>
      <c r="C104" s="201" t="s">
        <v>221</v>
      </c>
      <c r="D104" s="21" t="s">
        <v>222</v>
      </c>
      <c r="E104" s="21">
        <v>2015</v>
      </c>
      <c r="F104" s="21">
        <v>2011</v>
      </c>
      <c r="G104" s="21" t="s">
        <v>223</v>
      </c>
      <c r="H104" s="21" t="s">
        <v>224</v>
      </c>
      <c r="I104" s="21" t="s">
        <v>2815</v>
      </c>
      <c r="J104" s="21">
        <v>43.064999999999998</v>
      </c>
      <c r="K104" s="21">
        <v>-89.534999999999997</v>
      </c>
      <c r="L104" s="21">
        <v>331.7</v>
      </c>
      <c r="R104" s="43">
        <v>2</v>
      </c>
      <c r="S104" s="43" t="s">
        <v>1847</v>
      </c>
      <c r="T104" s="43"/>
      <c r="U104" s="43" t="s">
        <v>1854</v>
      </c>
      <c r="V104" s="43" t="s">
        <v>1382</v>
      </c>
      <c r="W104" s="43" t="s">
        <v>1717</v>
      </c>
      <c r="X104" s="43" t="s">
        <v>1382</v>
      </c>
      <c r="Y104" s="43" t="s">
        <v>1382</v>
      </c>
      <c r="AA104" s="322"/>
      <c r="AB104" s="322"/>
      <c r="AC104" s="21" t="s">
        <v>450</v>
      </c>
      <c r="AD104" s="21">
        <v>7.1</v>
      </c>
      <c r="AE104" s="21">
        <v>2.9</v>
      </c>
      <c r="AG104" s="21" t="s">
        <v>1313</v>
      </c>
      <c r="AH104" s="21" t="s">
        <v>1522</v>
      </c>
      <c r="AI104" s="138" t="s">
        <v>1581</v>
      </c>
      <c r="AJ104" s="21" t="s">
        <v>229</v>
      </c>
      <c r="AK104" s="141" t="s">
        <v>229</v>
      </c>
      <c r="AO104" s="21" t="s">
        <v>231</v>
      </c>
      <c r="AP104" s="21" t="s">
        <v>231</v>
      </c>
      <c r="AQ104" s="21" t="s">
        <v>2125</v>
      </c>
      <c r="AR104" s="21" t="s">
        <v>2125</v>
      </c>
      <c r="AS104" s="21" t="s">
        <v>177</v>
      </c>
      <c r="AW104" s="21" t="s">
        <v>119</v>
      </c>
      <c r="AX104" s="21">
        <v>4</v>
      </c>
      <c r="BD104" s="54"/>
      <c r="BP104" s="396"/>
      <c r="BQ104" s="396"/>
      <c r="BU104" s="396"/>
      <c r="BV104" s="396"/>
      <c r="CE104" s="549"/>
      <c r="CF104" s="549"/>
      <c r="CG104" s="549"/>
      <c r="CH104" s="549"/>
      <c r="CJ104" s="21">
        <v>17.41</v>
      </c>
      <c r="CK104" s="21">
        <v>15.54</v>
      </c>
      <c r="CN104" s="21" t="s">
        <v>345</v>
      </c>
      <c r="FV104" s="21">
        <v>1130</v>
      </c>
      <c r="FW104" s="21">
        <v>270</v>
      </c>
      <c r="GZ104" s="12"/>
      <c r="HD104" s="12"/>
    </row>
    <row r="105" spans="1:212" s="21" customFormat="1" x14ac:dyDescent="0.25">
      <c r="A105" s="21">
        <v>10</v>
      </c>
      <c r="B105" s="43" t="s">
        <v>3808</v>
      </c>
      <c r="C105" s="201" t="s">
        <v>221</v>
      </c>
      <c r="D105" s="21" t="s">
        <v>222</v>
      </c>
      <c r="E105" s="21">
        <v>2015</v>
      </c>
      <c r="F105" s="21">
        <v>2011</v>
      </c>
      <c r="G105" s="21" t="s">
        <v>223</v>
      </c>
      <c r="H105" s="21" t="s">
        <v>225</v>
      </c>
      <c r="I105" s="21" t="s">
        <v>2815</v>
      </c>
      <c r="J105" s="21">
        <v>43.314</v>
      </c>
      <c r="K105" s="21">
        <v>-89.335999999999999</v>
      </c>
      <c r="L105" s="21">
        <v>326.5</v>
      </c>
      <c r="R105" s="43">
        <v>2</v>
      </c>
      <c r="S105" s="43" t="s">
        <v>1847</v>
      </c>
      <c r="T105" s="43"/>
      <c r="U105" s="43" t="s">
        <v>1855</v>
      </c>
      <c r="V105" s="43" t="s">
        <v>1382</v>
      </c>
      <c r="W105" s="43" t="s">
        <v>1717</v>
      </c>
      <c r="X105" s="43" t="s">
        <v>1382</v>
      </c>
      <c r="Y105" s="43" t="s">
        <v>1382</v>
      </c>
      <c r="AA105" s="322"/>
      <c r="AB105" s="322"/>
      <c r="AC105" s="21" t="s">
        <v>450</v>
      </c>
      <c r="AD105" s="21">
        <v>7.3</v>
      </c>
      <c r="AE105" s="21">
        <v>4</v>
      </c>
      <c r="AG105" s="21" t="s">
        <v>1313</v>
      </c>
      <c r="AH105" s="21" t="s">
        <v>1522</v>
      </c>
      <c r="AI105" s="138" t="s">
        <v>1581</v>
      </c>
      <c r="AJ105" s="21" t="s">
        <v>229</v>
      </c>
      <c r="AK105" s="141" t="s">
        <v>229</v>
      </c>
      <c r="AO105" s="21" t="s">
        <v>231</v>
      </c>
      <c r="AP105" s="21" t="s">
        <v>231</v>
      </c>
      <c r="AQ105" s="21" t="s">
        <v>2125</v>
      </c>
      <c r="AR105" s="21" t="s">
        <v>2125</v>
      </c>
      <c r="AS105" s="21" t="s">
        <v>177</v>
      </c>
      <c r="AW105" s="21" t="s">
        <v>119</v>
      </c>
      <c r="AX105" s="21">
        <v>4</v>
      </c>
      <c r="BD105" s="54"/>
      <c r="BP105" s="396"/>
      <c r="BQ105" s="396"/>
      <c r="BU105" s="396"/>
      <c r="BV105" s="396"/>
      <c r="CE105" s="549"/>
      <c r="CF105" s="549"/>
      <c r="CG105" s="549"/>
      <c r="CH105" s="549"/>
      <c r="CJ105" s="21">
        <v>27.1</v>
      </c>
      <c r="CK105" s="21">
        <v>19.45</v>
      </c>
      <c r="CN105" s="21" t="s">
        <v>345</v>
      </c>
      <c r="FV105" s="21">
        <v>610</v>
      </c>
      <c r="FW105" s="21">
        <v>330</v>
      </c>
      <c r="GZ105" s="12"/>
      <c r="HD105" s="12"/>
    </row>
    <row r="106" spans="1:212" s="21" customFormat="1" x14ac:dyDescent="0.25">
      <c r="A106" s="21">
        <v>10</v>
      </c>
      <c r="B106" s="43" t="s">
        <v>3809</v>
      </c>
      <c r="C106" s="201" t="s">
        <v>221</v>
      </c>
      <c r="D106" s="21" t="s">
        <v>222</v>
      </c>
      <c r="E106" s="21">
        <v>2015</v>
      </c>
      <c r="F106" s="21">
        <v>2010</v>
      </c>
      <c r="G106" s="21" t="s">
        <v>223</v>
      </c>
      <c r="H106" s="21" t="s">
        <v>224</v>
      </c>
      <c r="I106" s="21" t="s">
        <v>2815</v>
      </c>
      <c r="J106" s="21">
        <v>43.064999999999998</v>
      </c>
      <c r="K106" s="21">
        <v>-89.534999999999997</v>
      </c>
      <c r="L106" s="21">
        <v>331.7</v>
      </c>
      <c r="R106" s="43">
        <v>1</v>
      </c>
      <c r="S106" s="43" t="s">
        <v>1847</v>
      </c>
      <c r="T106" s="43"/>
      <c r="U106" s="43" t="s">
        <v>1853</v>
      </c>
      <c r="V106" s="43" t="s">
        <v>1382</v>
      </c>
      <c r="W106" s="43" t="s">
        <v>1717</v>
      </c>
      <c r="X106" s="43" t="s">
        <v>1382</v>
      </c>
      <c r="Y106" s="43" t="s">
        <v>1382</v>
      </c>
      <c r="AA106" s="322"/>
      <c r="AB106" s="322"/>
      <c r="AC106" s="21" t="s">
        <v>450</v>
      </c>
      <c r="AD106" s="21">
        <v>7.1</v>
      </c>
      <c r="AE106" s="21">
        <v>2.9</v>
      </c>
      <c r="AG106" s="21" t="s">
        <v>1313</v>
      </c>
      <c r="AH106" s="21" t="s">
        <v>230</v>
      </c>
      <c r="AI106" s="138" t="s">
        <v>1581</v>
      </c>
      <c r="AJ106" s="21" t="s">
        <v>229</v>
      </c>
      <c r="AK106" s="141" t="s">
        <v>229</v>
      </c>
      <c r="AO106" s="21" t="s">
        <v>231</v>
      </c>
      <c r="AP106" s="21" t="s">
        <v>218</v>
      </c>
      <c r="AQ106" s="21" t="s">
        <v>2125</v>
      </c>
      <c r="AR106" s="21" t="s">
        <v>2126</v>
      </c>
      <c r="AS106" s="21" t="s">
        <v>502</v>
      </c>
      <c r="AW106" s="21" t="s">
        <v>119</v>
      </c>
      <c r="AX106" s="21">
        <v>4</v>
      </c>
      <c r="BD106" s="54"/>
      <c r="BK106" s="21">
        <f t="shared" si="7"/>
        <v>32100</v>
      </c>
      <c r="BL106" s="21">
        <f>(6.5+0.7+7.8+0)/4*1000</f>
        <v>3750</v>
      </c>
      <c r="BO106" s="21" t="s">
        <v>235</v>
      </c>
      <c r="BP106" s="396"/>
      <c r="BQ106" s="396"/>
      <c r="BU106" s="396"/>
      <c r="BV106" s="396"/>
      <c r="CE106" s="549"/>
      <c r="CF106" s="549"/>
      <c r="CG106" s="549"/>
      <c r="CH106" s="549"/>
      <c r="CJ106" s="21">
        <v>11.22</v>
      </c>
      <c r="CK106" s="21">
        <v>4.84</v>
      </c>
      <c r="CN106" s="21" t="s">
        <v>345</v>
      </c>
      <c r="GZ106" s="12"/>
      <c r="HD106" s="12"/>
    </row>
    <row r="107" spans="1:212" s="21" customFormat="1" x14ac:dyDescent="0.25">
      <c r="A107" s="21">
        <v>10</v>
      </c>
      <c r="B107" s="43" t="s">
        <v>3809</v>
      </c>
      <c r="C107" s="201" t="s">
        <v>221</v>
      </c>
      <c r="D107" s="21" t="s">
        <v>222</v>
      </c>
      <c r="E107" s="21">
        <v>2015</v>
      </c>
      <c r="F107" s="21">
        <v>2011</v>
      </c>
      <c r="G107" s="21" t="s">
        <v>223</v>
      </c>
      <c r="H107" s="21" t="s">
        <v>224</v>
      </c>
      <c r="I107" s="21" t="s">
        <v>2815</v>
      </c>
      <c r="J107" s="21">
        <v>43.064999999999998</v>
      </c>
      <c r="K107" s="21">
        <v>-89.534999999999997</v>
      </c>
      <c r="L107" s="21">
        <v>331.7</v>
      </c>
      <c r="R107" s="43">
        <v>2</v>
      </c>
      <c r="S107" s="43" t="s">
        <v>1847</v>
      </c>
      <c r="T107" s="43"/>
      <c r="U107" s="43" t="s">
        <v>1854</v>
      </c>
      <c r="V107" s="43" t="s">
        <v>1382</v>
      </c>
      <c r="W107" s="43" t="s">
        <v>1717</v>
      </c>
      <c r="X107" s="43" t="s">
        <v>1382</v>
      </c>
      <c r="Y107" s="43" t="s">
        <v>1382</v>
      </c>
      <c r="AA107" s="322"/>
      <c r="AB107" s="322"/>
      <c r="AC107" s="21" t="s">
        <v>450</v>
      </c>
      <c r="AD107" s="21">
        <v>7.1</v>
      </c>
      <c r="AE107" s="21">
        <v>2.9</v>
      </c>
      <c r="AG107" s="21" t="s">
        <v>1313</v>
      </c>
      <c r="AH107" s="21" t="s">
        <v>230</v>
      </c>
      <c r="AI107" s="138" t="s">
        <v>1581</v>
      </c>
      <c r="AJ107" s="21" t="s">
        <v>229</v>
      </c>
      <c r="AK107" s="141" t="s">
        <v>229</v>
      </c>
      <c r="AO107" s="21" t="s">
        <v>231</v>
      </c>
      <c r="AP107" s="21" t="s">
        <v>218</v>
      </c>
      <c r="AQ107" s="21" t="s">
        <v>2125</v>
      </c>
      <c r="AR107" s="21" t="s">
        <v>2126</v>
      </c>
      <c r="AS107" s="21" t="s">
        <v>502</v>
      </c>
      <c r="AW107" s="21" t="s">
        <v>119</v>
      </c>
      <c r="AX107" s="21">
        <v>4</v>
      </c>
      <c r="BD107" s="54"/>
      <c r="BP107" s="396"/>
      <c r="BQ107" s="396"/>
      <c r="BU107" s="396"/>
      <c r="BV107" s="396"/>
      <c r="CE107" s="549"/>
      <c r="CF107" s="549"/>
      <c r="CG107" s="549"/>
      <c r="CH107" s="549"/>
      <c r="CJ107" s="21">
        <v>17.41</v>
      </c>
      <c r="CK107" s="21">
        <v>11.04</v>
      </c>
      <c r="CN107" s="21" t="s">
        <v>345</v>
      </c>
      <c r="GZ107" s="12"/>
      <c r="HD107" s="12"/>
    </row>
    <row r="108" spans="1:212" s="21" customFormat="1" x14ac:dyDescent="0.25">
      <c r="A108" s="21">
        <v>10</v>
      </c>
      <c r="B108" s="43" t="s">
        <v>3809</v>
      </c>
      <c r="C108" s="201" t="s">
        <v>221</v>
      </c>
      <c r="D108" s="21" t="s">
        <v>222</v>
      </c>
      <c r="E108" s="21">
        <v>2015</v>
      </c>
      <c r="F108" s="21">
        <v>2011</v>
      </c>
      <c r="G108" s="21" t="s">
        <v>223</v>
      </c>
      <c r="H108" s="21" t="s">
        <v>225</v>
      </c>
      <c r="I108" s="21" t="s">
        <v>2815</v>
      </c>
      <c r="J108" s="21">
        <v>43.314</v>
      </c>
      <c r="K108" s="21">
        <v>-89.335999999999999</v>
      </c>
      <c r="L108" s="21">
        <v>326.5</v>
      </c>
      <c r="R108" s="43">
        <v>2</v>
      </c>
      <c r="S108" s="43" t="s">
        <v>1847</v>
      </c>
      <c r="T108" s="43"/>
      <c r="U108" s="43" t="s">
        <v>1855</v>
      </c>
      <c r="V108" s="43" t="s">
        <v>1382</v>
      </c>
      <c r="W108" s="43" t="s">
        <v>1717</v>
      </c>
      <c r="X108" s="43" t="s">
        <v>1382</v>
      </c>
      <c r="Y108" s="43" t="s">
        <v>1382</v>
      </c>
      <c r="AA108" s="322"/>
      <c r="AB108" s="322"/>
      <c r="AC108" s="21" t="s">
        <v>450</v>
      </c>
      <c r="AD108" s="21">
        <v>7.3</v>
      </c>
      <c r="AE108" s="21">
        <v>4</v>
      </c>
      <c r="AG108" s="21" t="s">
        <v>1313</v>
      </c>
      <c r="AH108" s="21" t="s">
        <v>230</v>
      </c>
      <c r="AI108" s="138" t="s">
        <v>1581</v>
      </c>
      <c r="AJ108" s="21" t="s">
        <v>229</v>
      </c>
      <c r="AK108" s="141" t="s">
        <v>229</v>
      </c>
      <c r="AO108" s="21" t="s">
        <v>231</v>
      </c>
      <c r="AP108" s="21" t="s">
        <v>218</v>
      </c>
      <c r="AQ108" s="21" t="s">
        <v>2125</v>
      </c>
      <c r="AR108" s="21" t="s">
        <v>2126</v>
      </c>
      <c r="AS108" s="21" t="s">
        <v>502</v>
      </c>
      <c r="AW108" s="21" t="s">
        <v>119</v>
      </c>
      <c r="AX108" s="21">
        <v>4</v>
      </c>
      <c r="BD108" s="54"/>
      <c r="BP108" s="396"/>
      <c r="BQ108" s="396"/>
      <c r="BU108" s="396"/>
      <c r="BV108" s="396"/>
      <c r="CE108" s="549"/>
      <c r="CF108" s="549"/>
      <c r="CG108" s="549"/>
      <c r="CH108" s="549"/>
      <c r="CJ108" s="21">
        <v>27.1</v>
      </c>
      <c r="CK108" s="21">
        <v>13.22</v>
      </c>
      <c r="CN108" s="21" t="s">
        <v>345</v>
      </c>
      <c r="GZ108" s="12"/>
      <c r="HD108" s="12"/>
    </row>
    <row r="109" spans="1:212" s="21" customFormat="1" x14ac:dyDescent="0.25">
      <c r="A109" s="21">
        <v>10</v>
      </c>
      <c r="B109" s="43" t="s">
        <v>3809</v>
      </c>
      <c r="C109" s="201" t="s">
        <v>221</v>
      </c>
      <c r="D109" s="21" t="s">
        <v>222</v>
      </c>
      <c r="E109" s="21">
        <v>2015</v>
      </c>
      <c r="F109" s="21">
        <v>2010</v>
      </c>
      <c r="G109" s="21" t="s">
        <v>223</v>
      </c>
      <c r="H109" s="21" t="s">
        <v>224</v>
      </c>
      <c r="I109" s="21" t="s">
        <v>2815</v>
      </c>
      <c r="J109" s="21">
        <v>43.064999999999998</v>
      </c>
      <c r="K109" s="21">
        <v>-89.534999999999997</v>
      </c>
      <c r="L109" s="21">
        <v>331.7</v>
      </c>
      <c r="R109" s="43">
        <v>1</v>
      </c>
      <c r="S109" s="43" t="s">
        <v>1847</v>
      </c>
      <c r="T109" s="43"/>
      <c r="U109" s="43" t="s">
        <v>1853</v>
      </c>
      <c r="V109" s="43" t="s">
        <v>1382</v>
      </c>
      <c r="W109" s="43" t="s">
        <v>1717</v>
      </c>
      <c r="X109" s="43" t="s">
        <v>1382</v>
      </c>
      <c r="Y109" s="43" t="s">
        <v>1382</v>
      </c>
      <c r="AA109" s="322"/>
      <c r="AB109" s="322"/>
      <c r="AC109" s="21" t="s">
        <v>450</v>
      </c>
      <c r="AD109" s="21">
        <v>7.1</v>
      </c>
      <c r="AE109" s="21">
        <v>2.9</v>
      </c>
      <c r="AG109" s="21" t="s">
        <v>1313</v>
      </c>
      <c r="AH109" s="21" t="s">
        <v>1522</v>
      </c>
      <c r="AI109" s="138" t="s">
        <v>1581</v>
      </c>
      <c r="AJ109" s="21" t="s">
        <v>229</v>
      </c>
      <c r="AK109" s="141" t="s">
        <v>229</v>
      </c>
      <c r="AO109" s="21" t="s">
        <v>231</v>
      </c>
      <c r="AP109" s="21" t="s">
        <v>218</v>
      </c>
      <c r="AQ109" s="21" t="s">
        <v>2125</v>
      </c>
      <c r="AR109" s="21" t="s">
        <v>2126</v>
      </c>
      <c r="AS109" s="21" t="s">
        <v>502</v>
      </c>
      <c r="AW109" s="21" t="s">
        <v>119</v>
      </c>
      <c r="AX109" s="21">
        <v>4</v>
      </c>
      <c r="BD109" s="54"/>
      <c r="BK109" s="21">
        <f t="shared" si="7"/>
        <v>32100</v>
      </c>
      <c r="BL109" s="21">
        <f>(2.1+0+13.4+8.1)/4*1000</f>
        <v>5900</v>
      </c>
      <c r="BO109" s="21" t="s">
        <v>235</v>
      </c>
      <c r="BP109" s="396"/>
      <c r="BQ109" s="396"/>
      <c r="BU109" s="396"/>
      <c r="BV109" s="396"/>
      <c r="CE109" s="549"/>
      <c r="CF109" s="549"/>
      <c r="CG109" s="549"/>
      <c r="CH109" s="549"/>
      <c r="CJ109" s="21">
        <v>11.22</v>
      </c>
      <c r="CK109" s="21">
        <v>5.04</v>
      </c>
      <c r="CN109" s="21" t="s">
        <v>345</v>
      </c>
      <c r="GZ109" s="12"/>
      <c r="HD109" s="12"/>
    </row>
    <row r="110" spans="1:212" s="21" customFormat="1" x14ac:dyDescent="0.25">
      <c r="A110" s="21">
        <v>10</v>
      </c>
      <c r="B110" s="43" t="s">
        <v>3809</v>
      </c>
      <c r="C110" s="201" t="s">
        <v>221</v>
      </c>
      <c r="D110" s="21" t="s">
        <v>222</v>
      </c>
      <c r="E110" s="21">
        <v>2015</v>
      </c>
      <c r="F110" s="21">
        <v>2011</v>
      </c>
      <c r="G110" s="21" t="s">
        <v>223</v>
      </c>
      <c r="H110" s="21" t="s">
        <v>224</v>
      </c>
      <c r="I110" s="21" t="s">
        <v>2815</v>
      </c>
      <c r="J110" s="21">
        <v>43.064999999999998</v>
      </c>
      <c r="K110" s="21">
        <v>-89.534999999999997</v>
      </c>
      <c r="L110" s="21">
        <v>331.7</v>
      </c>
      <c r="R110" s="43">
        <v>2</v>
      </c>
      <c r="S110" s="43" t="s">
        <v>1847</v>
      </c>
      <c r="T110" s="43"/>
      <c r="U110" s="43" t="s">
        <v>1854</v>
      </c>
      <c r="V110" s="43" t="s">
        <v>1382</v>
      </c>
      <c r="W110" s="43" t="s">
        <v>1717</v>
      </c>
      <c r="X110" s="43" t="s">
        <v>1382</v>
      </c>
      <c r="Y110" s="43" t="s">
        <v>1382</v>
      </c>
      <c r="AA110" s="322"/>
      <c r="AB110" s="322"/>
      <c r="AC110" s="21" t="s">
        <v>450</v>
      </c>
      <c r="AD110" s="21">
        <v>7.1</v>
      </c>
      <c r="AE110" s="21">
        <v>2.9</v>
      </c>
      <c r="AG110" s="21" t="s">
        <v>1313</v>
      </c>
      <c r="AH110" s="21" t="s">
        <v>1522</v>
      </c>
      <c r="AI110" s="138" t="s">
        <v>1581</v>
      </c>
      <c r="AJ110" s="21" t="s">
        <v>229</v>
      </c>
      <c r="AK110" s="141" t="s">
        <v>229</v>
      </c>
      <c r="AO110" s="21" t="s">
        <v>231</v>
      </c>
      <c r="AP110" s="21" t="s">
        <v>218</v>
      </c>
      <c r="AQ110" s="21" t="s">
        <v>2125</v>
      </c>
      <c r="AR110" s="21" t="s">
        <v>2126</v>
      </c>
      <c r="AS110" s="21" t="s">
        <v>502</v>
      </c>
      <c r="AW110" s="21" t="s">
        <v>119</v>
      </c>
      <c r="AX110" s="21">
        <v>4</v>
      </c>
      <c r="BD110" s="54"/>
      <c r="BP110" s="396"/>
      <c r="BQ110" s="396"/>
      <c r="BU110" s="396"/>
      <c r="BV110" s="396"/>
      <c r="CE110" s="549"/>
      <c r="CF110" s="549"/>
      <c r="CG110" s="549"/>
      <c r="CH110" s="549"/>
      <c r="CJ110" s="21">
        <v>17.41</v>
      </c>
      <c r="CK110" s="21">
        <v>11.24</v>
      </c>
      <c r="CN110" s="21" t="s">
        <v>345</v>
      </c>
      <c r="GZ110" s="12"/>
      <c r="HD110" s="12"/>
    </row>
    <row r="111" spans="1:212" s="21" customFormat="1" x14ac:dyDescent="0.25">
      <c r="A111" s="21">
        <v>10</v>
      </c>
      <c r="B111" s="43" t="s">
        <v>3809</v>
      </c>
      <c r="C111" s="201" t="s">
        <v>221</v>
      </c>
      <c r="D111" s="21" t="s">
        <v>222</v>
      </c>
      <c r="E111" s="21">
        <v>2015</v>
      </c>
      <c r="F111" s="21">
        <v>2011</v>
      </c>
      <c r="G111" s="21" t="s">
        <v>223</v>
      </c>
      <c r="H111" s="21" t="s">
        <v>225</v>
      </c>
      <c r="I111" s="21" t="s">
        <v>2815</v>
      </c>
      <c r="J111" s="21">
        <v>43.314</v>
      </c>
      <c r="K111" s="21">
        <v>-89.335999999999999</v>
      </c>
      <c r="L111" s="21">
        <v>326.5</v>
      </c>
      <c r="R111" s="43">
        <v>2</v>
      </c>
      <c r="S111" s="43" t="s">
        <v>1847</v>
      </c>
      <c r="T111" s="43"/>
      <c r="U111" s="43" t="s">
        <v>1855</v>
      </c>
      <c r="V111" s="43" t="s">
        <v>1382</v>
      </c>
      <c r="W111" s="43" t="s">
        <v>1717</v>
      </c>
      <c r="X111" s="43" t="s">
        <v>1382</v>
      </c>
      <c r="Y111" s="43" t="s">
        <v>1382</v>
      </c>
      <c r="AA111" s="322"/>
      <c r="AB111" s="322"/>
      <c r="AC111" s="21" t="s">
        <v>450</v>
      </c>
      <c r="AD111" s="21">
        <v>7.3</v>
      </c>
      <c r="AE111" s="21">
        <v>4</v>
      </c>
      <c r="AG111" s="21" t="s">
        <v>1313</v>
      </c>
      <c r="AH111" s="21" t="s">
        <v>1522</v>
      </c>
      <c r="AI111" s="138" t="s">
        <v>1581</v>
      </c>
      <c r="AJ111" s="21" t="s">
        <v>229</v>
      </c>
      <c r="AK111" s="141" t="s">
        <v>229</v>
      </c>
      <c r="AO111" s="21" t="s">
        <v>231</v>
      </c>
      <c r="AP111" s="21" t="s">
        <v>218</v>
      </c>
      <c r="AQ111" s="21" t="s">
        <v>2125</v>
      </c>
      <c r="AR111" s="21" t="s">
        <v>2126</v>
      </c>
      <c r="AS111" s="21" t="s">
        <v>502</v>
      </c>
      <c r="AW111" s="21" t="s">
        <v>119</v>
      </c>
      <c r="AX111" s="21">
        <v>4</v>
      </c>
      <c r="BD111" s="54"/>
      <c r="BP111" s="396"/>
      <c r="BQ111" s="396"/>
      <c r="BU111" s="396"/>
      <c r="BV111" s="396"/>
      <c r="CE111" s="549"/>
      <c r="CF111" s="549"/>
      <c r="CG111" s="549"/>
      <c r="CH111" s="549"/>
      <c r="CJ111" s="21">
        <v>27.1</v>
      </c>
      <c r="CK111" s="21">
        <v>11.8</v>
      </c>
      <c r="CN111" s="21" t="s">
        <v>345</v>
      </c>
      <c r="GZ111" s="12"/>
      <c r="HD111" s="12"/>
    </row>
    <row r="112" spans="1:212" s="24" customFormat="1" x14ac:dyDescent="0.25">
      <c r="A112" s="24">
        <v>11</v>
      </c>
      <c r="B112" s="42" t="s">
        <v>3810</v>
      </c>
      <c r="C112" s="24" t="s">
        <v>236</v>
      </c>
      <c r="D112" s="24" t="s">
        <v>237</v>
      </c>
      <c r="E112" s="24">
        <v>2010</v>
      </c>
      <c r="F112" s="24">
        <v>2005</v>
      </c>
      <c r="G112" s="24" t="s">
        <v>127</v>
      </c>
      <c r="H112" s="24" t="s">
        <v>239</v>
      </c>
      <c r="I112" s="24" t="s">
        <v>2815</v>
      </c>
      <c r="J112" s="24">
        <v>39.03</v>
      </c>
      <c r="K112" s="24">
        <v>-76.91</v>
      </c>
      <c r="L112" s="24">
        <v>34.6</v>
      </c>
      <c r="R112" s="42">
        <v>1</v>
      </c>
      <c r="S112" s="42" t="s">
        <v>1728</v>
      </c>
      <c r="T112" s="42"/>
      <c r="U112" s="42" t="s">
        <v>1856</v>
      </c>
      <c r="V112" s="42" t="s">
        <v>1382</v>
      </c>
      <c r="W112" s="42" t="s">
        <v>1717</v>
      </c>
      <c r="X112" s="42" t="s">
        <v>1382</v>
      </c>
      <c r="Y112" s="42" t="s">
        <v>1382</v>
      </c>
      <c r="AA112" s="321">
        <f t="shared" ref="AA112:AA129" si="8">(63+83)/2</f>
        <v>73</v>
      </c>
      <c r="AB112" s="321">
        <f t="shared" ref="AB112:AB129" si="9">(7+27)/2</f>
        <v>17</v>
      </c>
      <c r="AC112" s="24" t="s">
        <v>240</v>
      </c>
      <c r="AG112" s="24" t="s">
        <v>1314</v>
      </c>
      <c r="AH112" s="24" t="s">
        <v>131</v>
      </c>
      <c r="AI112" s="138" t="s">
        <v>131</v>
      </c>
      <c r="AJ112" s="24" t="s">
        <v>242</v>
      </c>
      <c r="AK112" s="140" t="s">
        <v>229</v>
      </c>
      <c r="AT112" s="24" t="s">
        <v>241</v>
      </c>
      <c r="AU112" s="24" t="s">
        <v>241</v>
      </c>
      <c r="AV112" s="24" t="s">
        <v>177</v>
      </c>
      <c r="AW112" s="24" t="s">
        <v>238</v>
      </c>
      <c r="AX112" s="24">
        <v>4</v>
      </c>
      <c r="AZ112" s="24" t="s">
        <v>141</v>
      </c>
      <c r="BD112" s="53"/>
      <c r="BK112" s="24">
        <v>56000</v>
      </c>
      <c r="BL112" s="24">
        <v>59600</v>
      </c>
      <c r="BP112" s="395"/>
      <c r="BQ112" s="395"/>
      <c r="BU112" s="395"/>
      <c r="BV112" s="395"/>
      <c r="CE112" s="548"/>
      <c r="CF112" s="548"/>
      <c r="CG112" s="548"/>
      <c r="CH112" s="548"/>
      <c r="GU112" s="24">
        <f t="shared" ref="GU112:GU117" si="10">15.07*22.7273</f>
        <v>342.50041099999999</v>
      </c>
      <c r="GV112" s="24">
        <f>19.33*22.7273</f>
        <v>439.31870899999996</v>
      </c>
      <c r="GY112" s="24" t="s">
        <v>1702</v>
      </c>
    </row>
    <row r="113" spans="1:261" s="24" customFormat="1" x14ac:dyDescent="0.25">
      <c r="A113" s="24">
        <v>11</v>
      </c>
      <c r="B113" s="42" t="s">
        <v>3810</v>
      </c>
      <c r="C113" s="24" t="s">
        <v>236</v>
      </c>
      <c r="D113" s="24" t="s">
        <v>237</v>
      </c>
      <c r="E113" s="24">
        <v>2010</v>
      </c>
      <c r="F113" s="24">
        <v>2005</v>
      </c>
      <c r="G113" s="24" t="s">
        <v>127</v>
      </c>
      <c r="H113" s="24" t="s">
        <v>239</v>
      </c>
      <c r="I113" s="24" t="s">
        <v>2815</v>
      </c>
      <c r="J113" s="24">
        <v>39.03</v>
      </c>
      <c r="K113" s="24">
        <v>-76.91</v>
      </c>
      <c r="L113" s="24">
        <v>34.6</v>
      </c>
      <c r="R113" s="42">
        <v>1</v>
      </c>
      <c r="S113" s="42" t="s">
        <v>1728</v>
      </c>
      <c r="T113" s="42"/>
      <c r="U113" s="42" t="s">
        <v>1856</v>
      </c>
      <c r="V113" s="42" t="s">
        <v>1382</v>
      </c>
      <c r="W113" s="42" t="s">
        <v>1717</v>
      </c>
      <c r="X113" s="42" t="s">
        <v>1382</v>
      </c>
      <c r="Y113" s="42" t="s">
        <v>1382</v>
      </c>
      <c r="AA113" s="321">
        <f t="shared" si="8"/>
        <v>73</v>
      </c>
      <c r="AB113" s="321">
        <f t="shared" si="9"/>
        <v>17</v>
      </c>
      <c r="AC113" s="24" t="s">
        <v>240</v>
      </c>
      <c r="AG113" s="24" t="s">
        <v>1314</v>
      </c>
      <c r="AH113" s="24" t="s">
        <v>1523</v>
      </c>
      <c r="AI113" s="138" t="s">
        <v>131</v>
      </c>
      <c r="AJ113" s="24" t="s">
        <v>242</v>
      </c>
      <c r="AK113" s="140" t="s">
        <v>229</v>
      </c>
      <c r="AT113" s="24" t="s">
        <v>241</v>
      </c>
      <c r="AU113" s="24" t="s">
        <v>241</v>
      </c>
      <c r="AV113" s="24" t="s">
        <v>177</v>
      </c>
      <c r="AW113" s="24" t="s">
        <v>238</v>
      </c>
      <c r="AX113" s="24">
        <v>4</v>
      </c>
      <c r="AZ113" s="24" t="s">
        <v>141</v>
      </c>
      <c r="BD113" s="53"/>
      <c r="BK113" s="24">
        <v>56000</v>
      </c>
      <c r="BL113" s="24">
        <v>55100</v>
      </c>
      <c r="BP113" s="395"/>
      <c r="BQ113" s="395"/>
      <c r="BU113" s="395"/>
      <c r="BV113" s="395"/>
      <c r="CE113" s="548"/>
      <c r="CF113" s="548"/>
      <c r="CG113" s="548"/>
      <c r="CH113" s="548"/>
      <c r="GU113" s="24">
        <f t="shared" si="10"/>
        <v>342.50041099999999</v>
      </c>
      <c r="GV113" s="24">
        <f>18.39*22.7273</f>
        <v>417.95504699999998</v>
      </c>
      <c r="GY113" s="24" t="s">
        <v>1702</v>
      </c>
    </row>
    <row r="114" spans="1:261" s="24" customFormat="1" x14ac:dyDescent="0.25">
      <c r="A114" s="24">
        <v>11</v>
      </c>
      <c r="B114" s="42" t="s">
        <v>3810</v>
      </c>
      <c r="C114" s="24" t="s">
        <v>236</v>
      </c>
      <c r="D114" s="24" t="s">
        <v>237</v>
      </c>
      <c r="E114" s="24">
        <v>2010</v>
      </c>
      <c r="F114" s="24">
        <v>2005</v>
      </c>
      <c r="G114" s="24" t="s">
        <v>127</v>
      </c>
      <c r="H114" s="24" t="s">
        <v>239</v>
      </c>
      <c r="I114" s="24" t="s">
        <v>2815</v>
      </c>
      <c r="J114" s="24">
        <v>39.03</v>
      </c>
      <c r="K114" s="24">
        <v>-76.91</v>
      </c>
      <c r="L114" s="24">
        <v>34.6</v>
      </c>
      <c r="R114" s="42">
        <v>1</v>
      </c>
      <c r="S114" s="42" t="s">
        <v>1728</v>
      </c>
      <c r="T114" s="42"/>
      <c r="U114" s="42" t="s">
        <v>1856</v>
      </c>
      <c r="V114" s="42" t="s">
        <v>1382</v>
      </c>
      <c r="W114" s="42" t="s">
        <v>1717</v>
      </c>
      <c r="X114" s="42" t="s">
        <v>1382</v>
      </c>
      <c r="Y114" s="42" t="s">
        <v>1382</v>
      </c>
      <c r="AA114" s="321">
        <f t="shared" si="8"/>
        <v>73</v>
      </c>
      <c r="AB114" s="321">
        <f t="shared" si="9"/>
        <v>17</v>
      </c>
      <c r="AC114" s="24" t="s">
        <v>240</v>
      </c>
      <c r="AG114" s="24" t="s">
        <v>1314</v>
      </c>
      <c r="AH114" s="24" t="s">
        <v>1524</v>
      </c>
      <c r="AI114" s="138" t="s">
        <v>131</v>
      </c>
      <c r="AJ114" s="24" t="s">
        <v>242</v>
      </c>
      <c r="AK114" s="140" t="s">
        <v>229</v>
      </c>
      <c r="AT114" s="24" t="s">
        <v>241</v>
      </c>
      <c r="AU114" s="24" t="s">
        <v>241</v>
      </c>
      <c r="AV114" s="24" t="s">
        <v>177</v>
      </c>
      <c r="AW114" s="24" t="s">
        <v>238</v>
      </c>
      <c r="AX114" s="24">
        <v>4</v>
      </c>
      <c r="AZ114" s="24" t="s">
        <v>141</v>
      </c>
      <c r="BD114" s="53"/>
      <c r="BK114" s="24">
        <v>56000</v>
      </c>
      <c r="BL114" s="24">
        <v>57900</v>
      </c>
      <c r="BP114" s="395"/>
      <c r="BQ114" s="395"/>
      <c r="BU114" s="395"/>
      <c r="BV114" s="395"/>
      <c r="CE114" s="548"/>
      <c r="CF114" s="548"/>
      <c r="CG114" s="548"/>
      <c r="CH114" s="548"/>
      <c r="GU114" s="24">
        <f t="shared" si="10"/>
        <v>342.50041099999999</v>
      </c>
      <c r="GV114" s="24">
        <f>16.72*22.7273</f>
        <v>380.00045599999999</v>
      </c>
      <c r="GY114" s="24" t="s">
        <v>1702</v>
      </c>
    </row>
    <row r="115" spans="1:261" s="24" customFormat="1" x14ac:dyDescent="0.25">
      <c r="A115" s="24">
        <v>11</v>
      </c>
      <c r="B115" s="42" t="s">
        <v>3811</v>
      </c>
      <c r="C115" s="24" t="s">
        <v>236</v>
      </c>
      <c r="D115" s="24" t="s">
        <v>237</v>
      </c>
      <c r="E115" s="24">
        <v>2010</v>
      </c>
      <c r="F115" s="24">
        <v>2005</v>
      </c>
      <c r="G115" s="24" t="s">
        <v>127</v>
      </c>
      <c r="H115" s="24" t="s">
        <v>239</v>
      </c>
      <c r="I115" s="24" t="s">
        <v>2815</v>
      </c>
      <c r="J115" s="24">
        <v>39.03</v>
      </c>
      <c r="K115" s="24">
        <v>-76.91</v>
      </c>
      <c r="L115" s="24">
        <v>34.6</v>
      </c>
      <c r="R115" s="42">
        <v>1</v>
      </c>
      <c r="S115" s="42" t="s">
        <v>1728</v>
      </c>
      <c r="T115" s="42"/>
      <c r="U115" s="42" t="s">
        <v>1856</v>
      </c>
      <c r="V115" s="42" t="s">
        <v>1382</v>
      </c>
      <c r="W115" s="42" t="s">
        <v>1717</v>
      </c>
      <c r="X115" s="42" t="s">
        <v>1382</v>
      </c>
      <c r="Y115" s="42" t="s">
        <v>1382</v>
      </c>
      <c r="AA115" s="321">
        <f t="shared" si="8"/>
        <v>73</v>
      </c>
      <c r="AB115" s="321">
        <f t="shared" si="9"/>
        <v>17</v>
      </c>
      <c r="AC115" s="24" t="s">
        <v>240</v>
      </c>
      <c r="AG115" s="24" t="s">
        <v>1314</v>
      </c>
      <c r="AH115" s="24" t="s">
        <v>243</v>
      </c>
      <c r="AI115" s="138" t="s">
        <v>577</v>
      </c>
      <c r="AJ115" s="24" t="s">
        <v>242</v>
      </c>
      <c r="AK115" s="140" t="s">
        <v>229</v>
      </c>
      <c r="AT115" s="24" t="s">
        <v>241</v>
      </c>
      <c r="AU115" s="24" t="s">
        <v>241</v>
      </c>
      <c r="AV115" s="24" t="s">
        <v>177</v>
      </c>
      <c r="AW115" s="24" t="s">
        <v>238</v>
      </c>
      <c r="AX115" s="24">
        <v>4</v>
      </c>
      <c r="AZ115" s="24" t="s">
        <v>141</v>
      </c>
      <c r="BD115" s="53"/>
      <c r="BK115" s="24">
        <v>56000</v>
      </c>
      <c r="BL115" s="24">
        <v>56000</v>
      </c>
      <c r="BP115" s="395"/>
      <c r="BQ115" s="395"/>
      <c r="BU115" s="395"/>
      <c r="BV115" s="395"/>
      <c r="CE115" s="548"/>
      <c r="CF115" s="548"/>
      <c r="CG115" s="548"/>
      <c r="CH115" s="548"/>
      <c r="GU115" s="24">
        <f t="shared" si="10"/>
        <v>342.50041099999999</v>
      </c>
      <c r="GV115" s="24">
        <f>20.38*22.7273</f>
        <v>463.18237399999998</v>
      </c>
      <c r="GY115" s="24" t="s">
        <v>1702</v>
      </c>
    </row>
    <row r="116" spans="1:261" s="24" customFormat="1" x14ac:dyDescent="0.25">
      <c r="A116" s="24">
        <v>11</v>
      </c>
      <c r="B116" s="42" t="s">
        <v>3811</v>
      </c>
      <c r="C116" s="24" t="s">
        <v>236</v>
      </c>
      <c r="D116" s="24" t="s">
        <v>237</v>
      </c>
      <c r="E116" s="24">
        <v>2010</v>
      </c>
      <c r="F116" s="24">
        <v>2005</v>
      </c>
      <c r="G116" s="24" t="s">
        <v>127</v>
      </c>
      <c r="H116" s="24" t="s">
        <v>239</v>
      </c>
      <c r="I116" s="24" t="s">
        <v>2815</v>
      </c>
      <c r="J116" s="24">
        <v>39.03</v>
      </c>
      <c r="K116" s="24">
        <v>-76.91</v>
      </c>
      <c r="L116" s="24">
        <v>34.6</v>
      </c>
      <c r="R116" s="42">
        <v>1</v>
      </c>
      <c r="S116" s="42" t="s">
        <v>1728</v>
      </c>
      <c r="T116" s="42"/>
      <c r="U116" s="42" t="s">
        <v>1856</v>
      </c>
      <c r="V116" s="42" t="s">
        <v>1382</v>
      </c>
      <c r="W116" s="42" t="s">
        <v>1717</v>
      </c>
      <c r="X116" s="42" t="s">
        <v>1382</v>
      </c>
      <c r="Y116" s="42" t="s">
        <v>1382</v>
      </c>
      <c r="AA116" s="321">
        <f t="shared" si="8"/>
        <v>73</v>
      </c>
      <c r="AB116" s="321">
        <f t="shared" si="9"/>
        <v>17</v>
      </c>
      <c r="AC116" s="24" t="s">
        <v>240</v>
      </c>
      <c r="AG116" s="24" t="s">
        <v>1314</v>
      </c>
      <c r="AH116" s="24" t="s">
        <v>1525</v>
      </c>
      <c r="AI116" s="138" t="s">
        <v>577</v>
      </c>
      <c r="AJ116" s="24" t="s">
        <v>242</v>
      </c>
      <c r="AK116" s="140" t="s">
        <v>229</v>
      </c>
      <c r="AT116" s="24" t="s">
        <v>241</v>
      </c>
      <c r="AU116" s="24" t="s">
        <v>241</v>
      </c>
      <c r="AV116" s="24" t="s">
        <v>177</v>
      </c>
      <c r="AW116" s="24" t="s">
        <v>238</v>
      </c>
      <c r="AX116" s="24">
        <v>4</v>
      </c>
      <c r="AZ116" s="24" t="s">
        <v>141</v>
      </c>
      <c r="BD116" s="53"/>
      <c r="BK116" s="24">
        <v>56000</v>
      </c>
      <c r="BL116" s="24">
        <v>44400</v>
      </c>
      <c r="BP116" s="395"/>
      <c r="BQ116" s="395"/>
      <c r="BU116" s="395"/>
      <c r="BV116" s="395"/>
      <c r="CE116" s="548"/>
      <c r="CF116" s="548"/>
      <c r="CG116" s="548"/>
      <c r="CH116" s="548"/>
      <c r="GU116" s="24">
        <f t="shared" si="10"/>
        <v>342.50041099999999</v>
      </c>
      <c r="GV116" s="24">
        <f>19.04*22.7273</f>
        <v>432.72779199999997</v>
      </c>
      <c r="GY116" s="24" t="s">
        <v>1702</v>
      </c>
    </row>
    <row r="117" spans="1:261" s="24" customFormat="1" x14ac:dyDescent="0.25">
      <c r="A117" s="24">
        <v>11</v>
      </c>
      <c r="B117" s="42" t="s">
        <v>3811</v>
      </c>
      <c r="C117" s="24" t="s">
        <v>236</v>
      </c>
      <c r="D117" s="24" t="s">
        <v>237</v>
      </c>
      <c r="E117" s="24">
        <v>2010</v>
      </c>
      <c r="F117" s="24">
        <v>2005</v>
      </c>
      <c r="G117" s="24" t="s">
        <v>127</v>
      </c>
      <c r="H117" s="24" t="s">
        <v>239</v>
      </c>
      <c r="I117" s="24" t="s">
        <v>2815</v>
      </c>
      <c r="J117" s="24">
        <v>39.03</v>
      </c>
      <c r="K117" s="24">
        <v>-76.91</v>
      </c>
      <c r="L117" s="24">
        <v>34.6</v>
      </c>
      <c r="R117" s="42">
        <v>1</v>
      </c>
      <c r="S117" s="42" t="s">
        <v>1728</v>
      </c>
      <c r="T117" s="42"/>
      <c r="U117" s="42" t="s">
        <v>1856</v>
      </c>
      <c r="V117" s="42" t="s">
        <v>1382</v>
      </c>
      <c r="W117" s="42" t="s">
        <v>1717</v>
      </c>
      <c r="X117" s="42" t="s">
        <v>1382</v>
      </c>
      <c r="Y117" s="42" t="s">
        <v>1382</v>
      </c>
      <c r="AA117" s="321">
        <f t="shared" si="8"/>
        <v>73</v>
      </c>
      <c r="AB117" s="321">
        <f t="shared" si="9"/>
        <v>17</v>
      </c>
      <c r="AC117" s="24" t="s">
        <v>240</v>
      </c>
      <c r="AG117" s="24" t="s">
        <v>1314</v>
      </c>
      <c r="AH117" s="24" t="s">
        <v>1526</v>
      </c>
      <c r="AI117" s="138" t="s">
        <v>577</v>
      </c>
      <c r="AJ117" s="24" t="s">
        <v>242</v>
      </c>
      <c r="AK117" s="140" t="s">
        <v>229</v>
      </c>
      <c r="AT117" s="24" t="s">
        <v>241</v>
      </c>
      <c r="AU117" s="24" t="s">
        <v>241</v>
      </c>
      <c r="AV117" s="24" t="s">
        <v>177</v>
      </c>
      <c r="AW117" s="24" t="s">
        <v>238</v>
      </c>
      <c r="AX117" s="24">
        <v>4</v>
      </c>
      <c r="AZ117" s="24" t="s">
        <v>141</v>
      </c>
      <c r="BD117" s="53"/>
      <c r="BK117" s="24">
        <v>56000</v>
      </c>
      <c r="BL117" s="24">
        <v>62300</v>
      </c>
      <c r="BP117" s="395"/>
      <c r="BQ117" s="395"/>
      <c r="BU117" s="395"/>
      <c r="BV117" s="395"/>
      <c r="CE117" s="548"/>
      <c r="CF117" s="548"/>
      <c r="CG117" s="548"/>
      <c r="CH117" s="548"/>
      <c r="GU117" s="24">
        <f t="shared" si="10"/>
        <v>342.50041099999999</v>
      </c>
      <c r="GV117" s="24">
        <f>17.39*22.7273</f>
        <v>395.22774700000002</v>
      </c>
      <c r="GY117" s="24" t="s">
        <v>1702</v>
      </c>
    </row>
    <row r="118" spans="1:261" s="20" customFormat="1" x14ac:dyDescent="0.25">
      <c r="A118" s="24">
        <v>11</v>
      </c>
      <c r="B118" s="42" t="s">
        <v>3810</v>
      </c>
      <c r="C118" s="24" t="s">
        <v>236</v>
      </c>
      <c r="D118" s="24" t="s">
        <v>237</v>
      </c>
      <c r="E118" s="24">
        <v>2010</v>
      </c>
      <c r="F118" s="24">
        <v>2006</v>
      </c>
      <c r="G118" s="24" t="s">
        <v>127</v>
      </c>
      <c r="H118" s="24" t="s">
        <v>239</v>
      </c>
      <c r="I118" s="24" t="s">
        <v>2815</v>
      </c>
      <c r="J118" s="24">
        <v>39.03</v>
      </c>
      <c r="K118" s="24">
        <v>-76.91</v>
      </c>
      <c r="L118" s="24">
        <v>34.6</v>
      </c>
      <c r="M118" s="24"/>
      <c r="N118" s="24"/>
      <c r="O118" s="24"/>
      <c r="P118" s="24"/>
      <c r="Q118" s="24"/>
      <c r="R118" s="42">
        <v>2</v>
      </c>
      <c r="S118" s="42" t="s">
        <v>1728</v>
      </c>
      <c r="T118" s="42"/>
      <c r="U118" s="42" t="s">
        <v>1856</v>
      </c>
      <c r="V118" s="42" t="s">
        <v>1382</v>
      </c>
      <c r="W118" s="42" t="s">
        <v>1717</v>
      </c>
      <c r="X118" s="42" t="s">
        <v>1382</v>
      </c>
      <c r="Y118" s="42" t="s">
        <v>1382</v>
      </c>
      <c r="Z118" s="24"/>
      <c r="AA118" s="321">
        <f t="shared" si="8"/>
        <v>73</v>
      </c>
      <c r="AB118" s="321">
        <f t="shared" si="9"/>
        <v>17</v>
      </c>
      <c r="AC118" s="24" t="s">
        <v>240</v>
      </c>
      <c r="AD118" s="24"/>
      <c r="AE118" s="24"/>
      <c r="AF118" s="24"/>
      <c r="AG118" s="24" t="s">
        <v>1314</v>
      </c>
      <c r="AH118" s="24" t="s">
        <v>131</v>
      </c>
      <c r="AI118" s="138" t="s">
        <v>131</v>
      </c>
      <c r="AJ118" s="24" t="s">
        <v>242</v>
      </c>
      <c r="AK118" s="140" t="s">
        <v>229</v>
      </c>
      <c r="AL118" s="24"/>
      <c r="AM118" s="24"/>
      <c r="AN118" s="24"/>
      <c r="AO118" s="24"/>
      <c r="AP118" s="24"/>
      <c r="AQ118" s="24"/>
      <c r="AR118" s="24"/>
      <c r="AS118" s="24"/>
      <c r="AT118" s="24" t="s">
        <v>241</v>
      </c>
      <c r="AU118" s="24" t="s">
        <v>241</v>
      </c>
      <c r="AV118" s="24" t="s">
        <v>177</v>
      </c>
      <c r="AW118" s="24" t="s">
        <v>238</v>
      </c>
      <c r="AX118" s="24">
        <v>4</v>
      </c>
      <c r="AY118" s="24"/>
      <c r="AZ118" s="24" t="s">
        <v>141</v>
      </c>
      <c r="BD118" s="54"/>
      <c r="BK118" s="20">
        <v>83900</v>
      </c>
      <c r="BL118" s="20">
        <v>80700</v>
      </c>
      <c r="BP118" s="400"/>
      <c r="BQ118" s="400"/>
      <c r="BU118" s="400"/>
      <c r="BV118" s="400"/>
      <c r="CE118" s="553"/>
      <c r="CF118" s="553"/>
      <c r="CG118" s="553"/>
      <c r="CH118" s="553"/>
      <c r="GZ118" s="12"/>
      <c r="HD118" s="12"/>
      <c r="IX118" s="24"/>
      <c r="IY118" s="24"/>
      <c r="IZ118" s="24"/>
      <c r="JA118" s="24"/>
    </row>
    <row r="119" spans="1:261" s="20" customFormat="1" x14ac:dyDescent="0.25">
      <c r="A119" s="24">
        <v>11</v>
      </c>
      <c r="B119" s="42" t="s">
        <v>3810</v>
      </c>
      <c r="C119" s="24" t="s">
        <v>236</v>
      </c>
      <c r="D119" s="24" t="s">
        <v>237</v>
      </c>
      <c r="E119" s="24">
        <v>2010</v>
      </c>
      <c r="F119" s="24">
        <v>2006</v>
      </c>
      <c r="G119" s="24" t="s">
        <v>127</v>
      </c>
      <c r="H119" s="24" t="s">
        <v>239</v>
      </c>
      <c r="I119" s="24" t="s">
        <v>2815</v>
      </c>
      <c r="J119" s="24">
        <v>39.03</v>
      </c>
      <c r="K119" s="24">
        <v>-76.91</v>
      </c>
      <c r="L119" s="24">
        <v>34.6</v>
      </c>
      <c r="M119" s="24"/>
      <c r="N119" s="24"/>
      <c r="O119" s="24"/>
      <c r="P119" s="24"/>
      <c r="Q119" s="24"/>
      <c r="R119" s="42">
        <v>2</v>
      </c>
      <c r="S119" s="42" t="s">
        <v>1728</v>
      </c>
      <c r="T119" s="42"/>
      <c r="U119" s="42" t="s">
        <v>1856</v>
      </c>
      <c r="V119" s="42" t="s">
        <v>1382</v>
      </c>
      <c r="W119" s="42" t="s">
        <v>1717</v>
      </c>
      <c r="X119" s="42" t="s">
        <v>1382</v>
      </c>
      <c r="Y119" s="42" t="s">
        <v>1382</v>
      </c>
      <c r="Z119" s="24"/>
      <c r="AA119" s="321">
        <f t="shared" si="8"/>
        <v>73</v>
      </c>
      <c r="AB119" s="321">
        <f t="shared" si="9"/>
        <v>17</v>
      </c>
      <c r="AC119" s="24" t="s">
        <v>240</v>
      </c>
      <c r="AD119" s="24"/>
      <c r="AE119" s="24"/>
      <c r="AF119" s="24"/>
      <c r="AG119" s="24" t="s">
        <v>1314</v>
      </c>
      <c r="AH119" s="24" t="s">
        <v>1523</v>
      </c>
      <c r="AI119" s="138" t="s">
        <v>131</v>
      </c>
      <c r="AJ119" s="24" t="s">
        <v>242</v>
      </c>
      <c r="AK119" s="140" t="s">
        <v>229</v>
      </c>
      <c r="AL119" s="24"/>
      <c r="AM119" s="24"/>
      <c r="AN119" s="24"/>
      <c r="AO119" s="24"/>
      <c r="AP119" s="24"/>
      <c r="AQ119" s="24"/>
      <c r="AR119" s="24"/>
      <c r="AS119" s="24"/>
      <c r="AT119" s="24" t="s">
        <v>241</v>
      </c>
      <c r="AU119" s="24" t="s">
        <v>241</v>
      </c>
      <c r="AV119" s="24" t="s">
        <v>177</v>
      </c>
      <c r="AW119" s="24" t="s">
        <v>238</v>
      </c>
      <c r="AX119" s="24">
        <v>4</v>
      </c>
      <c r="AY119" s="24"/>
      <c r="AZ119" s="24" t="s">
        <v>141</v>
      </c>
      <c r="BD119" s="54"/>
      <c r="BK119" s="20">
        <v>83900</v>
      </c>
      <c r="BL119" s="20">
        <v>70900</v>
      </c>
      <c r="BP119" s="400"/>
      <c r="BQ119" s="400"/>
      <c r="BU119" s="400"/>
      <c r="BV119" s="400"/>
      <c r="CE119" s="553"/>
      <c r="CF119" s="553"/>
      <c r="CG119" s="553"/>
      <c r="CH119" s="553"/>
      <c r="GZ119" s="12"/>
      <c r="HD119" s="12"/>
      <c r="IX119" s="24"/>
      <c r="IY119" s="24"/>
      <c r="IZ119" s="24"/>
      <c r="JA119" s="24"/>
    </row>
    <row r="120" spans="1:261" s="20" customFormat="1" x14ac:dyDescent="0.25">
      <c r="A120" s="24">
        <v>11</v>
      </c>
      <c r="B120" s="42" t="s">
        <v>3810</v>
      </c>
      <c r="C120" s="24" t="s">
        <v>236</v>
      </c>
      <c r="D120" s="24" t="s">
        <v>237</v>
      </c>
      <c r="E120" s="24">
        <v>2010</v>
      </c>
      <c r="F120" s="24">
        <v>2006</v>
      </c>
      <c r="G120" s="24" t="s">
        <v>127</v>
      </c>
      <c r="H120" s="24" t="s">
        <v>239</v>
      </c>
      <c r="I120" s="24" t="s">
        <v>2815</v>
      </c>
      <c r="J120" s="24">
        <v>39.03</v>
      </c>
      <c r="K120" s="24">
        <v>-76.91</v>
      </c>
      <c r="L120" s="24">
        <v>34.6</v>
      </c>
      <c r="M120" s="24"/>
      <c r="N120" s="24"/>
      <c r="O120" s="24"/>
      <c r="P120" s="24"/>
      <c r="Q120" s="24"/>
      <c r="R120" s="42">
        <v>2</v>
      </c>
      <c r="S120" s="42" t="s">
        <v>1728</v>
      </c>
      <c r="T120" s="42"/>
      <c r="U120" s="42" t="s">
        <v>1856</v>
      </c>
      <c r="V120" s="42" t="s">
        <v>1382</v>
      </c>
      <c r="W120" s="42" t="s">
        <v>1717</v>
      </c>
      <c r="X120" s="42" t="s">
        <v>1382</v>
      </c>
      <c r="Y120" s="42" t="s">
        <v>1382</v>
      </c>
      <c r="Z120" s="24"/>
      <c r="AA120" s="321">
        <f t="shared" si="8"/>
        <v>73</v>
      </c>
      <c r="AB120" s="321">
        <f t="shared" si="9"/>
        <v>17</v>
      </c>
      <c r="AC120" s="24" t="s">
        <v>240</v>
      </c>
      <c r="AD120" s="24"/>
      <c r="AE120" s="24"/>
      <c r="AF120" s="24"/>
      <c r="AG120" s="24" t="s">
        <v>1314</v>
      </c>
      <c r="AH120" s="24" t="s">
        <v>1524</v>
      </c>
      <c r="AI120" s="138" t="s">
        <v>131</v>
      </c>
      <c r="AJ120" s="24" t="s">
        <v>242</v>
      </c>
      <c r="AK120" s="140" t="s">
        <v>229</v>
      </c>
      <c r="AL120" s="24"/>
      <c r="AM120" s="24"/>
      <c r="AN120" s="24"/>
      <c r="AO120" s="24"/>
      <c r="AP120" s="24"/>
      <c r="AQ120" s="24"/>
      <c r="AR120" s="24"/>
      <c r="AS120" s="24"/>
      <c r="AT120" s="24" t="s">
        <v>241</v>
      </c>
      <c r="AU120" s="24" t="s">
        <v>241</v>
      </c>
      <c r="AV120" s="24" t="s">
        <v>177</v>
      </c>
      <c r="AW120" s="24" t="s">
        <v>238</v>
      </c>
      <c r="AX120" s="24">
        <v>4</v>
      </c>
      <c r="AY120" s="24"/>
      <c r="AZ120" s="24" t="s">
        <v>141</v>
      </c>
      <c r="BD120" s="54"/>
      <c r="BK120" s="20">
        <v>83900</v>
      </c>
      <c r="BL120" s="20">
        <v>84100</v>
      </c>
      <c r="BP120" s="400"/>
      <c r="BQ120" s="400"/>
      <c r="BU120" s="400"/>
      <c r="BV120" s="400"/>
      <c r="CE120" s="553"/>
      <c r="CF120" s="553"/>
      <c r="CG120" s="553"/>
      <c r="CH120" s="553"/>
      <c r="GZ120" s="12"/>
      <c r="HD120" s="12"/>
      <c r="IX120" s="24"/>
      <c r="IY120" s="24"/>
      <c r="IZ120" s="24"/>
      <c r="JA120" s="24"/>
    </row>
    <row r="121" spans="1:261" s="20" customFormat="1" x14ac:dyDescent="0.25">
      <c r="A121" s="24">
        <v>11</v>
      </c>
      <c r="B121" s="42" t="s">
        <v>3811</v>
      </c>
      <c r="C121" s="24" t="s">
        <v>236</v>
      </c>
      <c r="D121" s="24" t="s">
        <v>237</v>
      </c>
      <c r="E121" s="24">
        <v>2010</v>
      </c>
      <c r="F121" s="24">
        <v>2006</v>
      </c>
      <c r="G121" s="24" t="s">
        <v>127</v>
      </c>
      <c r="H121" s="24" t="s">
        <v>239</v>
      </c>
      <c r="I121" s="24" t="s">
        <v>2815</v>
      </c>
      <c r="J121" s="24">
        <v>39.03</v>
      </c>
      <c r="K121" s="24">
        <v>-76.91</v>
      </c>
      <c r="L121" s="24">
        <v>34.6</v>
      </c>
      <c r="M121" s="24"/>
      <c r="N121" s="24"/>
      <c r="O121" s="24"/>
      <c r="P121" s="24"/>
      <c r="Q121" s="24"/>
      <c r="R121" s="42">
        <v>2</v>
      </c>
      <c r="S121" s="42" t="s">
        <v>1728</v>
      </c>
      <c r="T121" s="42"/>
      <c r="U121" s="42" t="s">
        <v>1856</v>
      </c>
      <c r="V121" s="42" t="s">
        <v>1382</v>
      </c>
      <c r="W121" s="42" t="s">
        <v>1717</v>
      </c>
      <c r="X121" s="42" t="s">
        <v>1382</v>
      </c>
      <c r="Y121" s="42" t="s">
        <v>1382</v>
      </c>
      <c r="Z121" s="24"/>
      <c r="AA121" s="321">
        <f t="shared" si="8"/>
        <v>73</v>
      </c>
      <c r="AB121" s="321">
        <f t="shared" si="9"/>
        <v>17</v>
      </c>
      <c r="AC121" s="24" t="s">
        <v>240</v>
      </c>
      <c r="AD121" s="24"/>
      <c r="AE121" s="24"/>
      <c r="AF121" s="24"/>
      <c r="AG121" s="24" t="s">
        <v>1314</v>
      </c>
      <c r="AH121" s="24" t="s">
        <v>243</v>
      </c>
      <c r="AI121" s="138" t="s">
        <v>577</v>
      </c>
      <c r="AJ121" s="24" t="s">
        <v>242</v>
      </c>
      <c r="AK121" s="140" t="s">
        <v>229</v>
      </c>
      <c r="AL121" s="24"/>
      <c r="AM121" s="24"/>
      <c r="AN121" s="24"/>
      <c r="AO121" s="24"/>
      <c r="AP121" s="24"/>
      <c r="AQ121" s="24"/>
      <c r="AR121" s="24"/>
      <c r="AS121" s="24"/>
      <c r="AT121" s="24" t="s">
        <v>241</v>
      </c>
      <c r="AU121" s="24" t="s">
        <v>241</v>
      </c>
      <c r="AV121" s="24" t="s">
        <v>177</v>
      </c>
      <c r="AW121" s="24" t="s">
        <v>238</v>
      </c>
      <c r="AX121" s="24">
        <v>4</v>
      </c>
      <c r="AY121" s="24"/>
      <c r="AZ121" s="24" t="s">
        <v>141</v>
      </c>
      <c r="BD121" s="54"/>
      <c r="BK121" s="20">
        <v>83900</v>
      </c>
      <c r="BL121" s="20">
        <v>82100</v>
      </c>
      <c r="BP121" s="400"/>
      <c r="BQ121" s="400"/>
      <c r="BU121" s="400"/>
      <c r="BV121" s="400"/>
      <c r="CE121" s="553"/>
      <c r="CF121" s="553"/>
      <c r="CG121" s="553"/>
      <c r="CH121" s="553"/>
      <c r="GZ121" s="12"/>
      <c r="HD121" s="12"/>
      <c r="IX121" s="24"/>
      <c r="IY121" s="24"/>
      <c r="IZ121" s="24"/>
      <c r="JA121" s="24"/>
    </row>
    <row r="122" spans="1:261" s="20" customFormat="1" x14ac:dyDescent="0.25">
      <c r="A122" s="24">
        <v>11</v>
      </c>
      <c r="B122" s="42" t="s">
        <v>3811</v>
      </c>
      <c r="C122" s="24" t="s">
        <v>236</v>
      </c>
      <c r="D122" s="24" t="s">
        <v>237</v>
      </c>
      <c r="E122" s="24">
        <v>2010</v>
      </c>
      <c r="F122" s="24">
        <v>2006</v>
      </c>
      <c r="G122" s="24" t="s">
        <v>127</v>
      </c>
      <c r="H122" s="24" t="s">
        <v>239</v>
      </c>
      <c r="I122" s="24" t="s">
        <v>2815</v>
      </c>
      <c r="J122" s="24">
        <v>39.03</v>
      </c>
      <c r="K122" s="24">
        <v>-76.91</v>
      </c>
      <c r="L122" s="24">
        <v>34.6</v>
      </c>
      <c r="M122" s="24"/>
      <c r="N122" s="24"/>
      <c r="O122" s="24"/>
      <c r="P122" s="24"/>
      <c r="Q122" s="24"/>
      <c r="R122" s="42">
        <v>2</v>
      </c>
      <c r="S122" s="42" t="s">
        <v>1728</v>
      </c>
      <c r="T122" s="42"/>
      <c r="U122" s="42" t="s">
        <v>1856</v>
      </c>
      <c r="V122" s="42" t="s">
        <v>1382</v>
      </c>
      <c r="W122" s="42" t="s">
        <v>1717</v>
      </c>
      <c r="X122" s="42" t="s">
        <v>1382</v>
      </c>
      <c r="Y122" s="42" t="s">
        <v>1382</v>
      </c>
      <c r="Z122" s="24"/>
      <c r="AA122" s="321">
        <f t="shared" si="8"/>
        <v>73</v>
      </c>
      <c r="AB122" s="321">
        <f t="shared" si="9"/>
        <v>17</v>
      </c>
      <c r="AC122" s="24" t="s">
        <v>240</v>
      </c>
      <c r="AD122" s="24"/>
      <c r="AE122" s="24"/>
      <c r="AF122" s="24"/>
      <c r="AG122" s="24" t="s">
        <v>1314</v>
      </c>
      <c r="AH122" s="24" t="s">
        <v>1525</v>
      </c>
      <c r="AI122" s="138" t="s">
        <v>577</v>
      </c>
      <c r="AJ122" s="24" t="s">
        <v>242</v>
      </c>
      <c r="AK122" s="140" t="s">
        <v>229</v>
      </c>
      <c r="AL122" s="24"/>
      <c r="AM122" s="24"/>
      <c r="AN122" s="24"/>
      <c r="AO122" s="24"/>
      <c r="AP122" s="24"/>
      <c r="AQ122" s="24"/>
      <c r="AR122" s="24"/>
      <c r="AS122" s="24"/>
      <c r="AT122" s="24" t="s">
        <v>241</v>
      </c>
      <c r="AU122" s="24" t="s">
        <v>241</v>
      </c>
      <c r="AV122" s="24" t="s">
        <v>177</v>
      </c>
      <c r="AW122" s="24" t="s">
        <v>238</v>
      </c>
      <c r="AX122" s="24">
        <v>4</v>
      </c>
      <c r="AY122" s="24"/>
      <c r="AZ122" s="24" t="s">
        <v>141</v>
      </c>
      <c r="BD122" s="54"/>
      <c r="BK122" s="20">
        <v>83900</v>
      </c>
      <c r="BL122" s="20">
        <v>59300</v>
      </c>
      <c r="BP122" s="400"/>
      <c r="BQ122" s="400"/>
      <c r="BU122" s="400"/>
      <c r="BV122" s="400"/>
      <c r="CE122" s="553"/>
      <c r="CF122" s="553"/>
      <c r="CG122" s="553"/>
      <c r="CH122" s="553"/>
      <c r="GZ122" s="12"/>
      <c r="HD122" s="12"/>
      <c r="IX122" s="24"/>
      <c r="IY122" s="24"/>
      <c r="IZ122" s="24"/>
      <c r="JA122" s="24"/>
    </row>
    <row r="123" spans="1:261" s="20" customFormat="1" x14ac:dyDescent="0.25">
      <c r="A123" s="24">
        <v>11</v>
      </c>
      <c r="B123" s="42" t="s">
        <v>3811</v>
      </c>
      <c r="C123" s="24" t="s">
        <v>236</v>
      </c>
      <c r="D123" s="24" t="s">
        <v>237</v>
      </c>
      <c r="E123" s="24">
        <v>2010</v>
      </c>
      <c r="F123" s="24">
        <v>2006</v>
      </c>
      <c r="G123" s="24" t="s">
        <v>127</v>
      </c>
      <c r="H123" s="24" t="s">
        <v>239</v>
      </c>
      <c r="I123" s="24" t="s">
        <v>2815</v>
      </c>
      <c r="J123" s="24">
        <v>39.03</v>
      </c>
      <c r="K123" s="24">
        <v>-76.91</v>
      </c>
      <c r="L123" s="24">
        <v>34.6</v>
      </c>
      <c r="M123" s="24"/>
      <c r="N123" s="24"/>
      <c r="O123" s="24"/>
      <c r="P123" s="24"/>
      <c r="Q123" s="24"/>
      <c r="R123" s="42">
        <v>2</v>
      </c>
      <c r="S123" s="42" t="s">
        <v>1728</v>
      </c>
      <c r="T123" s="42"/>
      <c r="U123" s="42" t="s">
        <v>1856</v>
      </c>
      <c r="V123" s="42" t="s">
        <v>1382</v>
      </c>
      <c r="W123" s="42" t="s">
        <v>1717</v>
      </c>
      <c r="X123" s="42" t="s">
        <v>1382</v>
      </c>
      <c r="Y123" s="42" t="s">
        <v>1382</v>
      </c>
      <c r="Z123" s="24"/>
      <c r="AA123" s="321">
        <f t="shared" si="8"/>
        <v>73</v>
      </c>
      <c r="AB123" s="321">
        <f t="shared" si="9"/>
        <v>17</v>
      </c>
      <c r="AC123" s="24" t="s">
        <v>240</v>
      </c>
      <c r="AD123" s="24"/>
      <c r="AE123" s="24"/>
      <c r="AF123" s="24"/>
      <c r="AG123" s="24" t="s">
        <v>1314</v>
      </c>
      <c r="AH123" s="24" t="s">
        <v>1526</v>
      </c>
      <c r="AI123" s="138" t="s">
        <v>577</v>
      </c>
      <c r="AJ123" s="24" t="s">
        <v>242</v>
      </c>
      <c r="AK123" s="140" t="s">
        <v>229</v>
      </c>
      <c r="AL123" s="24"/>
      <c r="AM123" s="24"/>
      <c r="AN123" s="24"/>
      <c r="AO123" s="24"/>
      <c r="AP123" s="24"/>
      <c r="AQ123" s="24"/>
      <c r="AR123" s="24"/>
      <c r="AS123" s="24"/>
      <c r="AT123" s="24" t="s">
        <v>241</v>
      </c>
      <c r="AU123" s="24" t="s">
        <v>241</v>
      </c>
      <c r="AV123" s="24" t="s">
        <v>177</v>
      </c>
      <c r="AW123" s="24" t="s">
        <v>238</v>
      </c>
      <c r="AX123" s="24">
        <v>4</v>
      </c>
      <c r="AY123" s="24"/>
      <c r="AZ123" s="24" t="s">
        <v>141</v>
      </c>
      <c r="BD123" s="54"/>
      <c r="BK123" s="20">
        <v>83900</v>
      </c>
      <c r="BL123" s="20">
        <v>82600</v>
      </c>
      <c r="BP123" s="400"/>
      <c r="BQ123" s="400"/>
      <c r="BU123" s="400"/>
      <c r="BV123" s="400"/>
      <c r="CE123" s="553"/>
      <c r="CF123" s="553"/>
      <c r="CG123" s="553"/>
      <c r="CH123" s="553"/>
      <c r="GZ123" s="12"/>
      <c r="HD123" s="12"/>
      <c r="IX123" s="24"/>
      <c r="IY123" s="24"/>
      <c r="IZ123" s="24"/>
      <c r="JA123" s="24"/>
    </row>
    <row r="124" spans="1:261" s="20" customFormat="1" x14ac:dyDescent="0.25">
      <c r="A124" s="24">
        <v>11</v>
      </c>
      <c r="B124" s="42" t="s">
        <v>3810</v>
      </c>
      <c r="C124" s="24" t="s">
        <v>236</v>
      </c>
      <c r="D124" s="24" t="s">
        <v>237</v>
      </c>
      <c r="E124" s="24">
        <v>2010</v>
      </c>
      <c r="F124" s="24">
        <v>2007</v>
      </c>
      <c r="G124" s="24" t="s">
        <v>127</v>
      </c>
      <c r="H124" s="24" t="s">
        <v>239</v>
      </c>
      <c r="I124" s="24" t="s">
        <v>2815</v>
      </c>
      <c r="J124" s="24">
        <v>39.03</v>
      </c>
      <c r="K124" s="24">
        <v>-76.91</v>
      </c>
      <c r="L124" s="24">
        <v>34.6</v>
      </c>
      <c r="M124" s="24"/>
      <c r="N124" s="24"/>
      <c r="O124" s="24"/>
      <c r="P124" s="24"/>
      <c r="Q124" s="24"/>
      <c r="R124" s="42">
        <v>3</v>
      </c>
      <c r="S124" s="42" t="s">
        <v>1728</v>
      </c>
      <c r="T124" s="42"/>
      <c r="U124" s="42" t="s">
        <v>1856</v>
      </c>
      <c r="V124" s="42" t="s">
        <v>1382</v>
      </c>
      <c r="W124" s="42" t="s">
        <v>1717</v>
      </c>
      <c r="X124" s="42" t="s">
        <v>1382</v>
      </c>
      <c r="Y124" s="42" t="s">
        <v>1382</v>
      </c>
      <c r="Z124" s="24"/>
      <c r="AA124" s="321">
        <f t="shared" si="8"/>
        <v>73</v>
      </c>
      <c r="AB124" s="321">
        <f t="shared" si="9"/>
        <v>17</v>
      </c>
      <c r="AC124" s="24" t="s">
        <v>240</v>
      </c>
      <c r="AD124" s="24"/>
      <c r="AE124" s="24"/>
      <c r="AF124" s="24"/>
      <c r="AG124" s="24" t="s">
        <v>1314</v>
      </c>
      <c r="AH124" s="24" t="s">
        <v>131</v>
      </c>
      <c r="AI124" s="138" t="s">
        <v>131</v>
      </c>
      <c r="AJ124" s="24" t="s">
        <v>242</v>
      </c>
      <c r="AK124" s="140" t="s">
        <v>229</v>
      </c>
      <c r="AL124" s="24"/>
      <c r="AM124" s="24"/>
      <c r="AN124" s="24"/>
      <c r="AO124" s="24"/>
      <c r="AP124" s="24"/>
      <c r="AQ124" s="24"/>
      <c r="AR124" s="24"/>
      <c r="AS124" s="24"/>
      <c r="AT124" s="24" t="s">
        <v>241</v>
      </c>
      <c r="AU124" s="24" t="s">
        <v>241</v>
      </c>
      <c r="AV124" s="24" t="s">
        <v>177</v>
      </c>
      <c r="AW124" s="24" t="s">
        <v>238</v>
      </c>
      <c r="AX124" s="24">
        <v>4</v>
      </c>
      <c r="AY124" s="24"/>
      <c r="AZ124" s="24" t="s">
        <v>141</v>
      </c>
      <c r="BD124" s="54"/>
      <c r="BK124" s="20">
        <v>88000</v>
      </c>
      <c r="BL124" s="20">
        <v>77800</v>
      </c>
      <c r="BP124" s="400"/>
      <c r="BQ124" s="400"/>
      <c r="BU124" s="400"/>
      <c r="BV124" s="400"/>
      <c r="CE124" s="553"/>
      <c r="CF124" s="553"/>
      <c r="CG124" s="553"/>
      <c r="CH124" s="553"/>
      <c r="GZ124" s="12"/>
      <c r="HD124" s="12"/>
      <c r="IX124" s="24"/>
      <c r="IY124" s="24"/>
      <c r="IZ124" s="24"/>
      <c r="JA124" s="24"/>
    </row>
    <row r="125" spans="1:261" s="20" customFormat="1" x14ac:dyDescent="0.25">
      <c r="A125" s="24">
        <v>11</v>
      </c>
      <c r="B125" s="42" t="s">
        <v>3810</v>
      </c>
      <c r="C125" s="24" t="s">
        <v>236</v>
      </c>
      <c r="D125" s="24" t="s">
        <v>237</v>
      </c>
      <c r="E125" s="24">
        <v>2010</v>
      </c>
      <c r="F125" s="24">
        <v>2007</v>
      </c>
      <c r="G125" s="24" t="s">
        <v>127</v>
      </c>
      <c r="H125" s="24" t="s">
        <v>239</v>
      </c>
      <c r="I125" s="24" t="s">
        <v>2815</v>
      </c>
      <c r="J125" s="24">
        <v>39.03</v>
      </c>
      <c r="K125" s="24">
        <v>-76.91</v>
      </c>
      <c r="L125" s="24">
        <v>34.6</v>
      </c>
      <c r="M125" s="24"/>
      <c r="N125" s="24"/>
      <c r="O125" s="24"/>
      <c r="P125" s="24"/>
      <c r="Q125" s="24"/>
      <c r="R125" s="42">
        <v>3</v>
      </c>
      <c r="S125" s="42" t="s">
        <v>1728</v>
      </c>
      <c r="T125" s="42"/>
      <c r="U125" s="42" t="s">
        <v>1856</v>
      </c>
      <c r="V125" s="42" t="s">
        <v>1382</v>
      </c>
      <c r="W125" s="42" t="s">
        <v>1717</v>
      </c>
      <c r="X125" s="42" t="s">
        <v>1382</v>
      </c>
      <c r="Y125" s="42" t="s">
        <v>1382</v>
      </c>
      <c r="Z125" s="24"/>
      <c r="AA125" s="321">
        <f t="shared" si="8"/>
        <v>73</v>
      </c>
      <c r="AB125" s="321">
        <f t="shared" si="9"/>
        <v>17</v>
      </c>
      <c r="AC125" s="24" t="s">
        <v>240</v>
      </c>
      <c r="AD125" s="24"/>
      <c r="AE125" s="24"/>
      <c r="AF125" s="24"/>
      <c r="AG125" s="24" t="s">
        <v>1314</v>
      </c>
      <c r="AH125" s="24" t="s">
        <v>1523</v>
      </c>
      <c r="AI125" s="138" t="s">
        <v>131</v>
      </c>
      <c r="AJ125" s="24" t="s">
        <v>242</v>
      </c>
      <c r="AK125" s="140" t="s">
        <v>229</v>
      </c>
      <c r="AL125" s="24"/>
      <c r="AM125" s="24"/>
      <c r="AN125" s="24"/>
      <c r="AO125" s="24"/>
      <c r="AP125" s="24"/>
      <c r="AQ125" s="24"/>
      <c r="AR125" s="24"/>
      <c r="AS125" s="24"/>
      <c r="AT125" s="24" t="s">
        <v>241</v>
      </c>
      <c r="AU125" s="24" t="s">
        <v>241</v>
      </c>
      <c r="AV125" s="24" t="s">
        <v>177</v>
      </c>
      <c r="AW125" s="24" t="s">
        <v>238</v>
      </c>
      <c r="AX125" s="24">
        <v>4</v>
      </c>
      <c r="AY125" s="24"/>
      <c r="AZ125" s="24" t="s">
        <v>141</v>
      </c>
      <c r="BD125" s="54"/>
      <c r="BK125" s="20">
        <v>88000</v>
      </c>
      <c r="BL125" s="20">
        <v>65600</v>
      </c>
      <c r="BP125" s="400"/>
      <c r="BQ125" s="400"/>
      <c r="BU125" s="400"/>
      <c r="BV125" s="400"/>
      <c r="CE125" s="553"/>
      <c r="CF125" s="553"/>
      <c r="CG125" s="553"/>
      <c r="CH125" s="553"/>
      <c r="GZ125" s="12"/>
      <c r="HD125" s="12"/>
      <c r="IX125" s="24"/>
      <c r="IY125" s="24"/>
      <c r="IZ125" s="24"/>
      <c r="JA125" s="24"/>
    </row>
    <row r="126" spans="1:261" s="20" customFormat="1" x14ac:dyDescent="0.25">
      <c r="A126" s="24">
        <v>11</v>
      </c>
      <c r="B126" s="42" t="s">
        <v>3810</v>
      </c>
      <c r="C126" s="24" t="s">
        <v>236</v>
      </c>
      <c r="D126" s="24" t="s">
        <v>237</v>
      </c>
      <c r="E126" s="24">
        <v>2010</v>
      </c>
      <c r="F126" s="24">
        <v>2007</v>
      </c>
      <c r="G126" s="24" t="s">
        <v>127</v>
      </c>
      <c r="H126" s="24" t="s">
        <v>239</v>
      </c>
      <c r="I126" s="24" t="s">
        <v>2815</v>
      </c>
      <c r="J126" s="24">
        <v>39.03</v>
      </c>
      <c r="K126" s="24">
        <v>-76.91</v>
      </c>
      <c r="L126" s="24">
        <v>34.6</v>
      </c>
      <c r="M126" s="24"/>
      <c r="N126" s="24"/>
      <c r="O126" s="24"/>
      <c r="P126" s="24"/>
      <c r="Q126" s="24"/>
      <c r="R126" s="42">
        <v>3</v>
      </c>
      <c r="S126" s="42" t="s">
        <v>1728</v>
      </c>
      <c r="T126" s="42"/>
      <c r="U126" s="42" t="s">
        <v>1856</v>
      </c>
      <c r="V126" s="42" t="s">
        <v>1382</v>
      </c>
      <c r="W126" s="42" t="s">
        <v>1717</v>
      </c>
      <c r="X126" s="42" t="s">
        <v>1382</v>
      </c>
      <c r="Y126" s="42" t="s">
        <v>1382</v>
      </c>
      <c r="Z126" s="24"/>
      <c r="AA126" s="321">
        <f t="shared" si="8"/>
        <v>73</v>
      </c>
      <c r="AB126" s="321">
        <f t="shared" si="9"/>
        <v>17</v>
      </c>
      <c r="AC126" s="24" t="s">
        <v>240</v>
      </c>
      <c r="AD126" s="24"/>
      <c r="AE126" s="24"/>
      <c r="AF126" s="24"/>
      <c r="AG126" s="24" t="s">
        <v>1314</v>
      </c>
      <c r="AH126" s="24" t="s">
        <v>1524</v>
      </c>
      <c r="AI126" s="138" t="s">
        <v>131</v>
      </c>
      <c r="AJ126" s="24" t="s">
        <v>242</v>
      </c>
      <c r="AK126" s="140" t="s">
        <v>229</v>
      </c>
      <c r="AL126" s="24"/>
      <c r="AM126" s="24"/>
      <c r="AN126" s="24"/>
      <c r="AO126" s="24"/>
      <c r="AP126" s="24"/>
      <c r="AQ126" s="24"/>
      <c r="AR126" s="24"/>
      <c r="AS126" s="24"/>
      <c r="AT126" s="24" t="s">
        <v>241</v>
      </c>
      <c r="AU126" s="24" t="s">
        <v>241</v>
      </c>
      <c r="AV126" s="24" t="s">
        <v>177</v>
      </c>
      <c r="AW126" s="24" t="s">
        <v>238</v>
      </c>
      <c r="AX126" s="24">
        <v>4</v>
      </c>
      <c r="AY126" s="24"/>
      <c r="AZ126" s="24" t="s">
        <v>141</v>
      </c>
      <c r="BD126" s="54"/>
      <c r="BK126" s="20">
        <v>88000</v>
      </c>
      <c r="BL126" s="20">
        <v>82000</v>
      </c>
      <c r="BP126" s="400"/>
      <c r="BQ126" s="400"/>
      <c r="BU126" s="400"/>
      <c r="BV126" s="400"/>
      <c r="CE126" s="553"/>
      <c r="CF126" s="553"/>
      <c r="CG126" s="553"/>
      <c r="CH126" s="553"/>
      <c r="GZ126" s="12"/>
      <c r="HD126" s="12"/>
      <c r="IX126" s="24"/>
      <c r="IY126" s="24"/>
      <c r="IZ126" s="24"/>
      <c r="JA126" s="24"/>
    </row>
    <row r="127" spans="1:261" s="20" customFormat="1" x14ac:dyDescent="0.25">
      <c r="A127" s="24">
        <v>11</v>
      </c>
      <c r="B127" s="42" t="s">
        <v>3811</v>
      </c>
      <c r="C127" s="24" t="s">
        <v>236</v>
      </c>
      <c r="D127" s="24" t="s">
        <v>237</v>
      </c>
      <c r="E127" s="24">
        <v>2010</v>
      </c>
      <c r="F127" s="24">
        <v>2007</v>
      </c>
      <c r="G127" s="24" t="s">
        <v>127</v>
      </c>
      <c r="H127" s="24" t="s">
        <v>239</v>
      </c>
      <c r="I127" s="24" t="s">
        <v>2815</v>
      </c>
      <c r="J127" s="24">
        <v>39.03</v>
      </c>
      <c r="K127" s="24">
        <v>-76.91</v>
      </c>
      <c r="L127" s="24">
        <v>34.6</v>
      </c>
      <c r="M127" s="24"/>
      <c r="N127" s="24"/>
      <c r="O127" s="24"/>
      <c r="P127" s="24"/>
      <c r="Q127" s="24"/>
      <c r="R127" s="42">
        <v>3</v>
      </c>
      <c r="S127" s="42" t="s">
        <v>1728</v>
      </c>
      <c r="T127" s="42"/>
      <c r="U127" s="42" t="s">
        <v>1856</v>
      </c>
      <c r="V127" s="42" t="s">
        <v>1382</v>
      </c>
      <c r="W127" s="42" t="s">
        <v>1717</v>
      </c>
      <c r="X127" s="42" t="s">
        <v>1382</v>
      </c>
      <c r="Y127" s="42" t="s">
        <v>1382</v>
      </c>
      <c r="Z127" s="24"/>
      <c r="AA127" s="321">
        <f t="shared" si="8"/>
        <v>73</v>
      </c>
      <c r="AB127" s="321">
        <f t="shared" si="9"/>
        <v>17</v>
      </c>
      <c r="AC127" s="24" t="s">
        <v>240</v>
      </c>
      <c r="AD127" s="24"/>
      <c r="AE127" s="24"/>
      <c r="AF127" s="24"/>
      <c r="AG127" s="24" t="s">
        <v>1314</v>
      </c>
      <c r="AH127" s="24" t="s">
        <v>243</v>
      </c>
      <c r="AI127" s="138" t="s">
        <v>577</v>
      </c>
      <c r="AJ127" s="24" t="s">
        <v>242</v>
      </c>
      <c r="AK127" s="140" t="s">
        <v>229</v>
      </c>
      <c r="AL127" s="24"/>
      <c r="AM127" s="24"/>
      <c r="AN127" s="24"/>
      <c r="AO127" s="24"/>
      <c r="AP127" s="24"/>
      <c r="AQ127" s="24"/>
      <c r="AR127" s="24"/>
      <c r="AS127" s="24"/>
      <c r="AT127" s="24" t="s">
        <v>241</v>
      </c>
      <c r="AU127" s="24" t="s">
        <v>241</v>
      </c>
      <c r="AV127" s="24" t="s">
        <v>177</v>
      </c>
      <c r="AW127" s="24" t="s">
        <v>238</v>
      </c>
      <c r="AX127" s="24">
        <v>4</v>
      </c>
      <c r="AY127" s="24"/>
      <c r="AZ127" s="24" t="s">
        <v>141</v>
      </c>
      <c r="BD127" s="54"/>
      <c r="BK127" s="20">
        <v>88000</v>
      </c>
      <c r="BL127" s="20">
        <v>92200</v>
      </c>
      <c r="BP127" s="400"/>
      <c r="BQ127" s="400"/>
      <c r="BU127" s="400"/>
      <c r="BV127" s="400"/>
      <c r="CE127" s="553"/>
      <c r="CF127" s="553"/>
      <c r="CG127" s="553"/>
      <c r="CH127" s="553"/>
      <c r="GZ127" s="12"/>
      <c r="HD127" s="12"/>
      <c r="IX127" s="24"/>
      <c r="IY127" s="24"/>
      <c r="IZ127" s="24"/>
      <c r="JA127" s="24"/>
    </row>
    <row r="128" spans="1:261" s="20" customFormat="1" x14ac:dyDescent="0.25">
      <c r="A128" s="24">
        <v>11</v>
      </c>
      <c r="B128" s="42" t="s">
        <v>3811</v>
      </c>
      <c r="C128" s="24" t="s">
        <v>236</v>
      </c>
      <c r="D128" s="24" t="s">
        <v>237</v>
      </c>
      <c r="E128" s="24">
        <v>2010</v>
      </c>
      <c r="F128" s="24">
        <v>2007</v>
      </c>
      <c r="G128" s="24" t="s">
        <v>127</v>
      </c>
      <c r="H128" s="24" t="s">
        <v>239</v>
      </c>
      <c r="I128" s="24" t="s">
        <v>2815</v>
      </c>
      <c r="J128" s="24">
        <v>39.03</v>
      </c>
      <c r="K128" s="24">
        <v>-76.91</v>
      </c>
      <c r="L128" s="24">
        <v>34.6</v>
      </c>
      <c r="M128" s="24"/>
      <c r="N128" s="24"/>
      <c r="O128" s="24"/>
      <c r="P128" s="24"/>
      <c r="Q128" s="24"/>
      <c r="R128" s="42">
        <v>3</v>
      </c>
      <c r="S128" s="42" t="s">
        <v>1728</v>
      </c>
      <c r="T128" s="42"/>
      <c r="U128" s="42" t="s">
        <v>1856</v>
      </c>
      <c r="V128" s="42" t="s">
        <v>1382</v>
      </c>
      <c r="W128" s="42" t="s">
        <v>1717</v>
      </c>
      <c r="X128" s="42" t="s">
        <v>1382</v>
      </c>
      <c r="Y128" s="42" t="s">
        <v>1382</v>
      </c>
      <c r="Z128" s="24"/>
      <c r="AA128" s="321">
        <f t="shared" si="8"/>
        <v>73</v>
      </c>
      <c r="AB128" s="321">
        <f t="shared" si="9"/>
        <v>17</v>
      </c>
      <c r="AC128" s="24" t="s">
        <v>240</v>
      </c>
      <c r="AD128" s="24"/>
      <c r="AE128" s="24"/>
      <c r="AF128" s="24"/>
      <c r="AG128" s="24" t="s">
        <v>1314</v>
      </c>
      <c r="AH128" s="24" t="s">
        <v>1525</v>
      </c>
      <c r="AI128" s="138" t="s">
        <v>577</v>
      </c>
      <c r="AJ128" s="24" t="s">
        <v>242</v>
      </c>
      <c r="AK128" s="140" t="s">
        <v>229</v>
      </c>
      <c r="AL128" s="24"/>
      <c r="AM128" s="24"/>
      <c r="AN128" s="24"/>
      <c r="AO128" s="24"/>
      <c r="AP128" s="24"/>
      <c r="AQ128" s="24"/>
      <c r="AR128" s="24"/>
      <c r="AS128" s="24"/>
      <c r="AT128" s="24" t="s">
        <v>241</v>
      </c>
      <c r="AU128" s="24" t="s">
        <v>241</v>
      </c>
      <c r="AV128" s="24" t="s">
        <v>177</v>
      </c>
      <c r="AW128" s="24" t="s">
        <v>238</v>
      </c>
      <c r="AX128" s="24">
        <v>4</v>
      </c>
      <c r="AY128" s="24"/>
      <c r="AZ128" s="24" t="s">
        <v>141</v>
      </c>
      <c r="BD128" s="54"/>
      <c r="BK128" s="20">
        <v>88000</v>
      </c>
      <c r="BL128" s="20">
        <v>80200</v>
      </c>
      <c r="BP128" s="400"/>
      <c r="BQ128" s="400"/>
      <c r="BU128" s="400"/>
      <c r="BV128" s="400"/>
      <c r="CE128" s="553"/>
      <c r="CF128" s="553"/>
      <c r="CG128" s="553"/>
      <c r="CH128" s="553"/>
      <c r="GZ128" s="12"/>
      <c r="HD128" s="12"/>
      <c r="IX128" s="24"/>
      <c r="IY128" s="24"/>
      <c r="IZ128" s="24"/>
      <c r="JA128" s="24"/>
    </row>
    <row r="129" spans="1:262" s="20" customFormat="1" x14ac:dyDescent="0.25">
      <c r="A129" s="24">
        <v>11</v>
      </c>
      <c r="B129" s="42" t="s">
        <v>3811</v>
      </c>
      <c r="C129" s="24" t="s">
        <v>236</v>
      </c>
      <c r="D129" s="24" t="s">
        <v>237</v>
      </c>
      <c r="E129" s="24">
        <v>2010</v>
      </c>
      <c r="F129" s="24">
        <v>2007</v>
      </c>
      <c r="G129" s="24" t="s">
        <v>127</v>
      </c>
      <c r="H129" s="24" t="s">
        <v>239</v>
      </c>
      <c r="I129" s="24" t="s">
        <v>2815</v>
      </c>
      <c r="J129" s="24">
        <v>39.03</v>
      </c>
      <c r="K129" s="24">
        <v>-76.91</v>
      </c>
      <c r="L129" s="24">
        <v>34.6</v>
      </c>
      <c r="M129" s="24"/>
      <c r="N129" s="24"/>
      <c r="O129" s="24"/>
      <c r="P129" s="24"/>
      <c r="Q129" s="24"/>
      <c r="R129" s="42">
        <v>3</v>
      </c>
      <c r="S129" s="42" t="s">
        <v>1728</v>
      </c>
      <c r="T129" s="42"/>
      <c r="U129" s="42" t="s">
        <v>1856</v>
      </c>
      <c r="V129" s="42" t="s">
        <v>1382</v>
      </c>
      <c r="W129" s="42" t="s">
        <v>1717</v>
      </c>
      <c r="X129" s="42" t="s">
        <v>1382</v>
      </c>
      <c r="Y129" s="42" t="s">
        <v>1382</v>
      </c>
      <c r="Z129" s="24"/>
      <c r="AA129" s="321">
        <f t="shared" si="8"/>
        <v>73</v>
      </c>
      <c r="AB129" s="321">
        <f t="shared" si="9"/>
        <v>17</v>
      </c>
      <c r="AC129" s="24" t="s">
        <v>240</v>
      </c>
      <c r="AD129" s="24"/>
      <c r="AE129" s="24"/>
      <c r="AF129" s="24"/>
      <c r="AG129" s="24" t="s">
        <v>1314</v>
      </c>
      <c r="AH129" s="24" t="s">
        <v>1526</v>
      </c>
      <c r="AI129" s="138" t="s">
        <v>577</v>
      </c>
      <c r="AJ129" s="24" t="s">
        <v>242</v>
      </c>
      <c r="AK129" s="140" t="s">
        <v>229</v>
      </c>
      <c r="AL129" s="24"/>
      <c r="AM129" s="24"/>
      <c r="AN129" s="24"/>
      <c r="AO129" s="24"/>
      <c r="AP129" s="24"/>
      <c r="AQ129" s="24"/>
      <c r="AR129" s="24"/>
      <c r="AS129" s="24"/>
      <c r="AT129" s="24" t="s">
        <v>241</v>
      </c>
      <c r="AU129" s="24" t="s">
        <v>241</v>
      </c>
      <c r="AV129" s="24" t="s">
        <v>177</v>
      </c>
      <c r="AW129" s="24" t="s">
        <v>238</v>
      </c>
      <c r="AX129" s="24">
        <v>4</v>
      </c>
      <c r="AY129" s="24"/>
      <c r="AZ129" s="24" t="s">
        <v>141</v>
      </c>
      <c r="BD129" s="54"/>
      <c r="BK129" s="20">
        <v>88000</v>
      </c>
      <c r="BL129" s="20">
        <v>93000</v>
      </c>
      <c r="BP129" s="400"/>
      <c r="BQ129" s="400"/>
      <c r="BU129" s="400"/>
      <c r="BV129" s="400"/>
      <c r="CE129" s="553"/>
      <c r="CF129" s="553"/>
      <c r="CG129" s="553"/>
      <c r="CH129" s="553"/>
      <c r="GZ129" s="12"/>
      <c r="HD129" s="12"/>
      <c r="IX129" s="24"/>
      <c r="IY129" s="24"/>
      <c r="IZ129" s="24"/>
      <c r="JA129" s="24"/>
    </row>
    <row r="130" spans="1:262" s="28" customFormat="1" x14ac:dyDescent="0.25">
      <c r="A130" s="28">
        <v>12</v>
      </c>
      <c r="B130" s="46" t="s">
        <v>3812</v>
      </c>
      <c r="C130" s="28" t="s">
        <v>265</v>
      </c>
      <c r="D130" s="28" t="s">
        <v>266</v>
      </c>
      <c r="E130" s="28">
        <v>1984</v>
      </c>
      <c r="F130" s="28">
        <v>1980</v>
      </c>
      <c r="G130" s="28" t="s">
        <v>267</v>
      </c>
      <c r="H130" s="28" t="s">
        <v>273</v>
      </c>
      <c r="I130" s="28" t="s">
        <v>2815</v>
      </c>
      <c r="J130" s="28">
        <v>34.36</v>
      </c>
      <c r="K130" s="28">
        <v>-80.010000000000005</v>
      </c>
      <c r="L130" s="28">
        <v>61.3</v>
      </c>
      <c r="R130" s="46">
        <v>2</v>
      </c>
      <c r="S130" s="46" t="s">
        <v>1858</v>
      </c>
      <c r="T130" s="46"/>
      <c r="U130" s="46" t="s">
        <v>1857</v>
      </c>
      <c r="V130" s="46" t="s">
        <v>1382</v>
      </c>
      <c r="W130" s="46" t="s">
        <v>1717</v>
      </c>
      <c r="X130" s="46" t="s">
        <v>1382</v>
      </c>
      <c r="Y130" s="46" t="s">
        <v>1382</v>
      </c>
      <c r="AA130" s="326"/>
      <c r="AB130" s="326"/>
      <c r="AC130" s="28" t="s">
        <v>175</v>
      </c>
      <c r="AG130" s="28" t="s">
        <v>1315</v>
      </c>
      <c r="AH130" s="28" t="s">
        <v>131</v>
      </c>
      <c r="AI130" s="138" t="s">
        <v>131</v>
      </c>
      <c r="AJ130" s="28" t="s">
        <v>1596</v>
      </c>
      <c r="AK130" s="141" t="s">
        <v>158</v>
      </c>
      <c r="AO130" s="28" t="s">
        <v>231</v>
      </c>
      <c r="AP130" s="28" t="s">
        <v>268</v>
      </c>
      <c r="AQ130" s="28" t="s">
        <v>2125</v>
      </c>
      <c r="AR130" s="28" t="s">
        <v>2126</v>
      </c>
      <c r="AS130" s="28" t="s">
        <v>502</v>
      </c>
      <c r="AT130" s="28" t="s">
        <v>241</v>
      </c>
      <c r="AU130" s="28" t="s">
        <v>241</v>
      </c>
      <c r="AV130" s="28" t="s">
        <v>177</v>
      </c>
      <c r="AX130" s="28">
        <v>3</v>
      </c>
      <c r="AZ130" s="28" t="s">
        <v>174</v>
      </c>
      <c r="BD130" s="54"/>
      <c r="BK130" s="28">
        <f>0.85*1000</f>
        <v>850</v>
      </c>
      <c r="BL130" s="28">
        <f>0.94*1000</f>
        <v>940</v>
      </c>
      <c r="BO130" s="28" t="s">
        <v>269</v>
      </c>
      <c r="BP130" s="401"/>
      <c r="BQ130" s="401"/>
      <c r="BU130" s="401"/>
      <c r="BV130" s="401"/>
      <c r="CE130" s="554"/>
      <c r="CF130" s="554"/>
      <c r="CG130" s="554"/>
      <c r="CH130" s="554"/>
      <c r="FL130" s="28">
        <f>12.35/100</f>
        <v>0.1235</v>
      </c>
      <c r="FM130" s="28">
        <f>4.74/100</f>
        <v>4.7400000000000005E-2</v>
      </c>
      <c r="GZ130" s="12"/>
      <c r="HD130" s="12"/>
      <c r="JB130" s="28" t="s">
        <v>271</v>
      </c>
    </row>
    <row r="131" spans="1:262" s="28" customFormat="1" x14ac:dyDescent="0.25">
      <c r="A131" s="28">
        <v>12</v>
      </c>
      <c r="B131" s="46" t="s">
        <v>3812</v>
      </c>
      <c r="C131" s="28" t="s">
        <v>265</v>
      </c>
      <c r="D131" s="28" t="s">
        <v>266</v>
      </c>
      <c r="E131" s="28">
        <v>1984</v>
      </c>
      <c r="F131" s="28">
        <v>1980</v>
      </c>
      <c r="G131" s="28" t="s">
        <v>267</v>
      </c>
      <c r="H131" s="28" t="s">
        <v>273</v>
      </c>
      <c r="I131" s="28" t="s">
        <v>2815</v>
      </c>
      <c r="J131" s="28">
        <v>34.36</v>
      </c>
      <c r="K131" s="28">
        <v>-80.010000000000005</v>
      </c>
      <c r="L131" s="28">
        <v>61.3</v>
      </c>
      <c r="R131" s="46">
        <v>2</v>
      </c>
      <c r="S131" s="46" t="s">
        <v>1858</v>
      </c>
      <c r="T131" s="46"/>
      <c r="U131" s="46" t="s">
        <v>1857</v>
      </c>
      <c r="V131" s="46" t="s">
        <v>1382</v>
      </c>
      <c r="W131" s="46" t="s">
        <v>1717</v>
      </c>
      <c r="X131" s="46" t="s">
        <v>1382</v>
      </c>
      <c r="Y131" s="46" t="s">
        <v>1382</v>
      </c>
      <c r="AA131" s="326"/>
      <c r="AB131" s="326"/>
      <c r="AC131" s="28" t="s">
        <v>175</v>
      </c>
      <c r="AG131" s="28" t="s">
        <v>1315</v>
      </c>
      <c r="AH131" s="28" t="s">
        <v>131</v>
      </c>
      <c r="AI131" s="138" t="s">
        <v>131</v>
      </c>
      <c r="AJ131" s="28" t="s">
        <v>1597</v>
      </c>
      <c r="AK131" s="141" t="s">
        <v>158</v>
      </c>
      <c r="AO131" s="28" t="s">
        <v>231</v>
      </c>
      <c r="AP131" s="28" t="s">
        <v>268</v>
      </c>
      <c r="AQ131" s="28" t="s">
        <v>2125</v>
      </c>
      <c r="AR131" s="28" t="s">
        <v>2126</v>
      </c>
      <c r="AS131" s="28" t="s">
        <v>502</v>
      </c>
      <c r="AT131" s="28" t="s">
        <v>241</v>
      </c>
      <c r="AU131" s="28" t="s">
        <v>241</v>
      </c>
      <c r="AV131" s="28" t="s">
        <v>177</v>
      </c>
      <c r="AX131" s="28">
        <v>3</v>
      </c>
      <c r="AZ131" s="28" t="s">
        <v>174</v>
      </c>
      <c r="BD131" s="54"/>
      <c r="BK131" s="28">
        <f>1.03*1000</f>
        <v>1030</v>
      </c>
      <c r="BL131" s="28">
        <f>0.99*1000</f>
        <v>990</v>
      </c>
      <c r="BO131" s="28" t="s">
        <v>269</v>
      </c>
      <c r="BP131" s="401"/>
      <c r="BQ131" s="401"/>
      <c r="BU131" s="401"/>
      <c r="BV131" s="401"/>
      <c r="CE131" s="554"/>
      <c r="CF131" s="554"/>
      <c r="CG131" s="554"/>
      <c r="CH131" s="554"/>
      <c r="GZ131" s="12"/>
      <c r="HD131" s="12"/>
      <c r="JB131" s="28" t="s">
        <v>271</v>
      </c>
    </row>
    <row r="132" spans="1:262" s="28" customFormat="1" x14ac:dyDescent="0.25">
      <c r="A132" s="28">
        <v>12</v>
      </c>
      <c r="B132" s="46" t="s">
        <v>3812</v>
      </c>
      <c r="C132" s="28" t="s">
        <v>265</v>
      </c>
      <c r="D132" s="28" t="s">
        <v>266</v>
      </c>
      <c r="E132" s="28">
        <v>1984</v>
      </c>
      <c r="F132" s="28">
        <v>1980</v>
      </c>
      <c r="G132" s="28" t="s">
        <v>267</v>
      </c>
      <c r="H132" s="28" t="s">
        <v>273</v>
      </c>
      <c r="I132" s="28" t="s">
        <v>2815</v>
      </c>
      <c r="J132" s="28">
        <v>34.36</v>
      </c>
      <c r="K132" s="28">
        <v>-80.010000000000005</v>
      </c>
      <c r="L132" s="28">
        <v>61.3</v>
      </c>
      <c r="R132" s="46">
        <v>2</v>
      </c>
      <c r="S132" s="46" t="s">
        <v>1858</v>
      </c>
      <c r="T132" s="46"/>
      <c r="U132" s="46" t="s">
        <v>1857</v>
      </c>
      <c r="V132" s="46" t="s">
        <v>1382</v>
      </c>
      <c r="W132" s="46" t="s">
        <v>1717</v>
      </c>
      <c r="X132" s="46" t="s">
        <v>1382</v>
      </c>
      <c r="Y132" s="46" t="s">
        <v>1382</v>
      </c>
      <c r="AA132" s="326"/>
      <c r="AB132" s="326"/>
      <c r="AC132" s="28" t="s">
        <v>175</v>
      </c>
      <c r="AG132" s="28" t="s">
        <v>1315</v>
      </c>
      <c r="AH132" s="28" t="s">
        <v>131</v>
      </c>
      <c r="AI132" s="138" t="s">
        <v>131</v>
      </c>
      <c r="AJ132" s="28" t="s">
        <v>1598</v>
      </c>
      <c r="AK132" s="141" t="s">
        <v>158</v>
      </c>
      <c r="AO132" s="28" t="s">
        <v>231</v>
      </c>
      <c r="AP132" s="28" t="s">
        <v>268</v>
      </c>
      <c r="AQ132" s="28" t="s">
        <v>2125</v>
      </c>
      <c r="AR132" s="28" t="s">
        <v>2126</v>
      </c>
      <c r="AS132" s="28" t="s">
        <v>502</v>
      </c>
      <c r="AT132" s="28" t="s">
        <v>241</v>
      </c>
      <c r="AU132" s="28" t="s">
        <v>241</v>
      </c>
      <c r="AV132" s="28" t="s">
        <v>177</v>
      </c>
      <c r="AX132" s="28">
        <v>3</v>
      </c>
      <c r="AZ132" s="28" t="s">
        <v>174</v>
      </c>
      <c r="BD132" s="54"/>
      <c r="BK132" s="28">
        <f>1.08*1000</f>
        <v>1080</v>
      </c>
      <c r="BL132" s="28">
        <f>1.19*1000</f>
        <v>1190</v>
      </c>
      <c r="BO132" s="28" t="s">
        <v>269</v>
      </c>
      <c r="BP132" s="401"/>
      <c r="BQ132" s="401"/>
      <c r="BU132" s="401"/>
      <c r="BV132" s="401"/>
      <c r="CE132" s="554"/>
      <c r="CF132" s="554"/>
      <c r="CG132" s="554"/>
      <c r="CH132" s="554"/>
      <c r="GZ132" s="12"/>
      <c r="HD132" s="12"/>
      <c r="JB132" s="28" t="s">
        <v>271</v>
      </c>
    </row>
    <row r="133" spans="1:262" s="28" customFormat="1" x14ac:dyDescent="0.25">
      <c r="A133" s="28">
        <v>12</v>
      </c>
      <c r="B133" s="46" t="s">
        <v>3812</v>
      </c>
      <c r="C133" s="28" t="s">
        <v>265</v>
      </c>
      <c r="D133" s="28" t="s">
        <v>266</v>
      </c>
      <c r="E133" s="28">
        <v>1984</v>
      </c>
      <c r="F133" s="28">
        <v>1980</v>
      </c>
      <c r="G133" s="28" t="s">
        <v>267</v>
      </c>
      <c r="H133" s="28" t="s">
        <v>273</v>
      </c>
      <c r="I133" s="28" t="s">
        <v>2815</v>
      </c>
      <c r="J133" s="28">
        <v>34.36</v>
      </c>
      <c r="K133" s="28">
        <v>-80.010000000000005</v>
      </c>
      <c r="L133" s="28">
        <v>61.3</v>
      </c>
      <c r="R133" s="46">
        <v>2</v>
      </c>
      <c r="S133" s="46" t="s">
        <v>1858</v>
      </c>
      <c r="T133" s="46"/>
      <c r="U133" s="46" t="s">
        <v>1857</v>
      </c>
      <c r="V133" s="46" t="s">
        <v>1382</v>
      </c>
      <c r="W133" s="46" t="s">
        <v>1717</v>
      </c>
      <c r="X133" s="46" t="s">
        <v>1382</v>
      </c>
      <c r="Y133" s="46" t="s">
        <v>1382</v>
      </c>
      <c r="AA133" s="326"/>
      <c r="AB133" s="326"/>
      <c r="AC133" s="28" t="s">
        <v>175</v>
      </c>
      <c r="AG133" s="28" t="s">
        <v>1315</v>
      </c>
      <c r="AH133" s="28" t="s">
        <v>131</v>
      </c>
      <c r="AI133" s="138" t="s">
        <v>131</v>
      </c>
      <c r="AJ133" s="28" t="s">
        <v>1596</v>
      </c>
      <c r="AK133" s="141" t="s">
        <v>158</v>
      </c>
      <c r="AO133" s="28" t="s">
        <v>231</v>
      </c>
      <c r="AP133" s="28" t="s">
        <v>268</v>
      </c>
      <c r="AQ133" s="28" t="s">
        <v>2125</v>
      </c>
      <c r="AR133" s="28" t="s">
        <v>2126</v>
      </c>
      <c r="AS133" s="28" t="s">
        <v>502</v>
      </c>
      <c r="AT133" s="28" t="s">
        <v>241</v>
      </c>
      <c r="AU133" s="28" t="s">
        <v>241</v>
      </c>
      <c r="AV133" s="28" t="s">
        <v>177</v>
      </c>
      <c r="AX133" s="28">
        <v>3</v>
      </c>
      <c r="AZ133" s="28" t="s">
        <v>174</v>
      </c>
      <c r="BD133" s="54"/>
      <c r="BK133" s="28">
        <f>0.96*1000</f>
        <v>960</v>
      </c>
      <c r="BL133" s="28">
        <f>0.84*1000</f>
        <v>840</v>
      </c>
      <c r="BO133" s="28" t="s">
        <v>270</v>
      </c>
      <c r="BP133" s="401"/>
      <c r="BQ133" s="401"/>
      <c r="BU133" s="401"/>
      <c r="BV133" s="401"/>
      <c r="CE133" s="554"/>
      <c r="CF133" s="554"/>
      <c r="CG133" s="554"/>
      <c r="CH133" s="554"/>
      <c r="GZ133" s="12"/>
      <c r="HD133" s="12"/>
      <c r="JB133" s="28" t="s">
        <v>271</v>
      </c>
    </row>
    <row r="134" spans="1:262" s="28" customFormat="1" x14ac:dyDescent="0.25">
      <c r="A134" s="28">
        <v>12</v>
      </c>
      <c r="B134" s="46" t="s">
        <v>3812</v>
      </c>
      <c r="C134" s="28" t="s">
        <v>265</v>
      </c>
      <c r="D134" s="28" t="s">
        <v>266</v>
      </c>
      <c r="E134" s="28">
        <v>1984</v>
      </c>
      <c r="F134" s="28">
        <v>1980</v>
      </c>
      <c r="G134" s="28" t="s">
        <v>267</v>
      </c>
      <c r="H134" s="28" t="s">
        <v>273</v>
      </c>
      <c r="I134" s="28" t="s">
        <v>2815</v>
      </c>
      <c r="J134" s="28">
        <v>34.36</v>
      </c>
      <c r="K134" s="28">
        <v>-80.010000000000005</v>
      </c>
      <c r="L134" s="28">
        <v>61.3</v>
      </c>
      <c r="R134" s="46">
        <v>2</v>
      </c>
      <c r="S134" s="46" t="s">
        <v>1858</v>
      </c>
      <c r="T134" s="46"/>
      <c r="U134" s="46" t="s">
        <v>1857</v>
      </c>
      <c r="V134" s="46" t="s">
        <v>1382</v>
      </c>
      <c r="W134" s="46" t="s">
        <v>1717</v>
      </c>
      <c r="X134" s="46" t="s">
        <v>1382</v>
      </c>
      <c r="Y134" s="46" t="s">
        <v>1382</v>
      </c>
      <c r="AA134" s="326"/>
      <c r="AB134" s="326"/>
      <c r="AC134" s="28" t="s">
        <v>175</v>
      </c>
      <c r="AG134" s="28" t="s">
        <v>1315</v>
      </c>
      <c r="AH134" s="28" t="s">
        <v>131</v>
      </c>
      <c r="AI134" s="138" t="s">
        <v>131</v>
      </c>
      <c r="AJ134" s="28" t="s">
        <v>1597</v>
      </c>
      <c r="AK134" s="141" t="s">
        <v>158</v>
      </c>
      <c r="AO134" s="28" t="s">
        <v>231</v>
      </c>
      <c r="AP134" s="28" t="s">
        <v>268</v>
      </c>
      <c r="AQ134" s="28" t="s">
        <v>2125</v>
      </c>
      <c r="AR134" s="28" t="s">
        <v>2126</v>
      </c>
      <c r="AS134" s="28" t="s">
        <v>502</v>
      </c>
      <c r="AT134" s="28" t="s">
        <v>241</v>
      </c>
      <c r="AU134" s="28" t="s">
        <v>241</v>
      </c>
      <c r="AV134" s="28" t="s">
        <v>177</v>
      </c>
      <c r="AX134" s="28">
        <v>3</v>
      </c>
      <c r="AZ134" s="28" t="s">
        <v>174</v>
      </c>
      <c r="BD134" s="54"/>
      <c r="BK134" s="28">
        <f>0.93*1000</f>
        <v>930</v>
      </c>
      <c r="BL134" s="28">
        <f>0.87*1000</f>
        <v>870</v>
      </c>
      <c r="BO134" s="28" t="s">
        <v>270</v>
      </c>
      <c r="BP134" s="401"/>
      <c r="BQ134" s="401"/>
      <c r="BU134" s="401"/>
      <c r="BV134" s="401"/>
      <c r="CE134" s="554"/>
      <c r="CF134" s="554"/>
      <c r="CG134" s="554"/>
      <c r="CH134" s="554"/>
      <c r="GZ134" s="12"/>
      <c r="HD134" s="12"/>
      <c r="JB134" s="28" t="s">
        <v>271</v>
      </c>
    </row>
    <row r="135" spans="1:262" s="28" customFormat="1" x14ac:dyDescent="0.25">
      <c r="A135" s="28">
        <v>12</v>
      </c>
      <c r="B135" s="46" t="s">
        <v>3812</v>
      </c>
      <c r="C135" s="28" t="s">
        <v>265</v>
      </c>
      <c r="D135" s="28" t="s">
        <v>266</v>
      </c>
      <c r="E135" s="28">
        <v>1984</v>
      </c>
      <c r="F135" s="28">
        <v>1980</v>
      </c>
      <c r="G135" s="28" t="s">
        <v>267</v>
      </c>
      <c r="H135" s="28" t="s">
        <v>273</v>
      </c>
      <c r="I135" s="28" t="s">
        <v>2815</v>
      </c>
      <c r="J135" s="28">
        <v>34.36</v>
      </c>
      <c r="K135" s="28">
        <v>-80.010000000000005</v>
      </c>
      <c r="L135" s="28">
        <v>61.3</v>
      </c>
      <c r="R135" s="46">
        <v>2</v>
      </c>
      <c r="S135" s="46" t="s">
        <v>1858</v>
      </c>
      <c r="T135" s="46"/>
      <c r="U135" s="46" t="s">
        <v>1857</v>
      </c>
      <c r="V135" s="46" t="s">
        <v>1382</v>
      </c>
      <c r="W135" s="46" t="s">
        <v>1717</v>
      </c>
      <c r="X135" s="46" t="s">
        <v>1382</v>
      </c>
      <c r="Y135" s="46" t="s">
        <v>1382</v>
      </c>
      <c r="AA135" s="326"/>
      <c r="AB135" s="326"/>
      <c r="AC135" s="28" t="s">
        <v>175</v>
      </c>
      <c r="AG135" s="28" t="s">
        <v>1315</v>
      </c>
      <c r="AH135" s="28" t="s">
        <v>131</v>
      </c>
      <c r="AI135" s="138" t="s">
        <v>131</v>
      </c>
      <c r="AJ135" s="28" t="s">
        <v>1598</v>
      </c>
      <c r="AK135" s="141" t="s">
        <v>158</v>
      </c>
      <c r="AO135" s="28" t="s">
        <v>231</v>
      </c>
      <c r="AP135" s="28" t="s">
        <v>268</v>
      </c>
      <c r="AQ135" s="28" t="s">
        <v>2125</v>
      </c>
      <c r="AR135" s="28" t="s">
        <v>2126</v>
      </c>
      <c r="AS135" s="28" t="s">
        <v>502</v>
      </c>
      <c r="AT135" s="28" t="s">
        <v>241</v>
      </c>
      <c r="AU135" s="28" t="s">
        <v>241</v>
      </c>
      <c r="AV135" s="28" t="s">
        <v>177</v>
      </c>
      <c r="AX135" s="28">
        <v>3</v>
      </c>
      <c r="AZ135" s="28" t="s">
        <v>174</v>
      </c>
      <c r="BD135" s="54"/>
      <c r="BK135" s="28">
        <f>1.01*1000</f>
        <v>1010</v>
      </c>
      <c r="BL135" s="28">
        <f>0.89*1000</f>
        <v>890</v>
      </c>
      <c r="BO135" s="28" t="s">
        <v>270</v>
      </c>
      <c r="BP135" s="401"/>
      <c r="BQ135" s="401"/>
      <c r="BU135" s="401"/>
      <c r="BV135" s="401"/>
      <c r="CE135" s="554"/>
      <c r="CF135" s="554"/>
      <c r="CG135" s="554"/>
      <c r="CH135" s="554"/>
      <c r="GZ135" s="12"/>
      <c r="HD135" s="12"/>
      <c r="JB135" s="28" t="s">
        <v>271</v>
      </c>
    </row>
    <row r="136" spans="1:262" s="28" customFormat="1" x14ac:dyDescent="0.25">
      <c r="A136" s="28">
        <v>12</v>
      </c>
      <c r="B136" s="46" t="s">
        <v>3812</v>
      </c>
      <c r="C136" s="28" t="s">
        <v>265</v>
      </c>
      <c r="D136" s="28" t="s">
        <v>266</v>
      </c>
      <c r="E136" s="28">
        <v>1984</v>
      </c>
      <c r="F136" s="28">
        <v>1980</v>
      </c>
      <c r="G136" s="28" t="s">
        <v>267</v>
      </c>
      <c r="H136" s="28" t="s">
        <v>273</v>
      </c>
      <c r="I136" s="28" t="s">
        <v>2815</v>
      </c>
      <c r="J136" s="28">
        <v>34.36</v>
      </c>
      <c r="K136" s="28">
        <v>-80.010000000000005</v>
      </c>
      <c r="L136" s="28">
        <v>61.3</v>
      </c>
      <c r="R136" s="46">
        <v>2</v>
      </c>
      <c r="S136" s="46" t="s">
        <v>1858</v>
      </c>
      <c r="T136" s="46"/>
      <c r="U136" s="46" t="s">
        <v>1857</v>
      </c>
      <c r="V136" s="46" t="s">
        <v>1382</v>
      </c>
      <c r="W136" s="46" t="s">
        <v>1717</v>
      </c>
      <c r="X136" s="46" t="s">
        <v>1382</v>
      </c>
      <c r="Y136" s="46" t="s">
        <v>1382</v>
      </c>
      <c r="AA136" s="326"/>
      <c r="AB136" s="326"/>
      <c r="AC136" s="28" t="s">
        <v>175</v>
      </c>
      <c r="AG136" s="28" t="s">
        <v>1315</v>
      </c>
      <c r="AH136" s="28" t="s">
        <v>131</v>
      </c>
      <c r="AI136" s="138" t="s">
        <v>131</v>
      </c>
      <c r="AJ136" s="28" t="s">
        <v>1596</v>
      </c>
      <c r="AK136" s="141" t="s">
        <v>158</v>
      </c>
      <c r="AO136" s="28" t="s">
        <v>231</v>
      </c>
      <c r="AP136" s="28" t="s">
        <v>268</v>
      </c>
      <c r="AQ136" s="28" t="s">
        <v>2125</v>
      </c>
      <c r="AR136" s="28" t="s">
        <v>2126</v>
      </c>
      <c r="AS136" s="28" t="s">
        <v>502</v>
      </c>
      <c r="AT136" s="28" t="s">
        <v>241</v>
      </c>
      <c r="AU136" s="28" t="s">
        <v>241</v>
      </c>
      <c r="AV136" s="28" t="s">
        <v>177</v>
      </c>
      <c r="AX136" s="28">
        <v>3</v>
      </c>
      <c r="AZ136" s="28" t="s">
        <v>174</v>
      </c>
      <c r="BD136" s="54"/>
      <c r="BK136" s="28">
        <f>1.01*1000</f>
        <v>1010</v>
      </c>
      <c r="BL136" s="28">
        <f>1.08*1000</f>
        <v>1080</v>
      </c>
      <c r="BO136" s="28" t="s">
        <v>269</v>
      </c>
      <c r="BP136" s="401"/>
      <c r="BQ136" s="401"/>
      <c r="BU136" s="401"/>
      <c r="BV136" s="401"/>
      <c r="CE136" s="554"/>
      <c r="CF136" s="554"/>
      <c r="CG136" s="554"/>
      <c r="CH136" s="554"/>
      <c r="GZ136" s="12"/>
      <c r="HD136" s="12"/>
      <c r="JB136" s="28" t="s">
        <v>272</v>
      </c>
    </row>
    <row r="137" spans="1:262" s="28" customFormat="1" x14ac:dyDescent="0.25">
      <c r="A137" s="28">
        <v>12</v>
      </c>
      <c r="B137" s="46" t="s">
        <v>3812</v>
      </c>
      <c r="C137" s="28" t="s">
        <v>265</v>
      </c>
      <c r="D137" s="28" t="s">
        <v>266</v>
      </c>
      <c r="E137" s="28">
        <v>1984</v>
      </c>
      <c r="F137" s="28">
        <v>1980</v>
      </c>
      <c r="G137" s="28" t="s">
        <v>267</v>
      </c>
      <c r="H137" s="28" t="s">
        <v>273</v>
      </c>
      <c r="I137" s="28" t="s">
        <v>2815</v>
      </c>
      <c r="J137" s="28">
        <v>34.36</v>
      </c>
      <c r="K137" s="28">
        <v>-80.010000000000005</v>
      </c>
      <c r="L137" s="28">
        <v>61.3</v>
      </c>
      <c r="R137" s="46">
        <v>2</v>
      </c>
      <c r="S137" s="46" t="s">
        <v>1858</v>
      </c>
      <c r="T137" s="46"/>
      <c r="U137" s="46" t="s">
        <v>1857</v>
      </c>
      <c r="V137" s="46" t="s">
        <v>1382</v>
      </c>
      <c r="W137" s="46" t="s">
        <v>1717</v>
      </c>
      <c r="X137" s="46" t="s">
        <v>1382</v>
      </c>
      <c r="Y137" s="46" t="s">
        <v>1382</v>
      </c>
      <c r="AA137" s="326"/>
      <c r="AB137" s="326"/>
      <c r="AC137" s="28" t="s">
        <v>175</v>
      </c>
      <c r="AG137" s="28" t="s">
        <v>1315</v>
      </c>
      <c r="AH137" s="28" t="s">
        <v>131</v>
      </c>
      <c r="AI137" s="138" t="s">
        <v>131</v>
      </c>
      <c r="AJ137" s="28" t="s">
        <v>1597</v>
      </c>
      <c r="AK137" s="141" t="s">
        <v>158</v>
      </c>
      <c r="AO137" s="28" t="s">
        <v>231</v>
      </c>
      <c r="AP137" s="28" t="s">
        <v>268</v>
      </c>
      <c r="AQ137" s="28" t="s">
        <v>2125</v>
      </c>
      <c r="AR137" s="28" t="s">
        <v>2126</v>
      </c>
      <c r="AS137" s="28" t="s">
        <v>502</v>
      </c>
      <c r="AT137" s="28" t="s">
        <v>241</v>
      </c>
      <c r="AU137" s="28" t="s">
        <v>241</v>
      </c>
      <c r="AV137" s="28" t="s">
        <v>177</v>
      </c>
      <c r="AX137" s="28">
        <v>3</v>
      </c>
      <c r="AZ137" s="28" t="s">
        <v>174</v>
      </c>
      <c r="BD137" s="54"/>
      <c r="BK137" s="28">
        <f>1.1*1000</f>
        <v>1100</v>
      </c>
      <c r="BL137" s="28">
        <f>0.81*1000</f>
        <v>810</v>
      </c>
      <c r="BO137" s="28" t="s">
        <v>269</v>
      </c>
      <c r="BP137" s="401"/>
      <c r="BQ137" s="401"/>
      <c r="BU137" s="401"/>
      <c r="BV137" s="401"/>
      <c r="CE137" s="554"/>
      <c r="CF137" s="554"/>
      <c r="CG137" s="554"/>
      <c r="CH137" s="554"/>
      <c r="GZ137" s="12"/>
      <c r="HD137" s="12"/>
      <c r="JB137" s="28" t="s">
        <v>272</v>
      </c>
    </row>
    <row r="138" spans="1:262" s="28" customFormat="1" x14ac:dyDescent="0.25">
      <c r="A138" s="28">
        <v>12</v>
      </c>
      <c r="B138" s="46" t="s">
        <v>3812</v>
      </c>
      <c r="C138" s="28" t="s">
        <v>265</v>
      </c>
      <c r="D138" s="28" t="s">
        <v>266</v>
      </c>
      <c r="E138" s="28">
        <v>1984</v>
      </c>
      <c r="F138" s="28">
        <v>1980</v>
      </c>
      <c r="G138" s="28" t="s">
        <v>267</v>
      </c>
      <c r="H138" s="28" t="s">
        <v>273</v>
      </c>
      <c r="I138" s="28" t="s">
        <v>2815</v>
      </c>
      <c r="J138" s="28">
        <v>34.36</v>
      </c>
      <c r="K138" s="28">
        <v>-80.010000000000005</v>
      </c>
      <c r="L138" s="28">
        <v>61.3</v>
      </c>
      <c r="R138" s="46">
        <v>2</v>
      </c>
      <c r="S138" s="46" t="s">
        <v>1858</v>
      </c>
      <c r="T138" s="46"/>
      <c r="U138" s="46" t="s">
        <v>1857</v>
      </c>
      <c r="V138" s="46" t="s">
        <v>1382</v>
      </c>
      <c r="W138" s="46" t="s">
        <v>1717</v>
      </c>
      <c r="X138" s="46" t="s">
        <v>1382</v>
      </c>
      <c r="Y138" s="46" t="s">
        <v>1382</v>
      </c>
      <c r="AA138" s="326"/>
      <c r="AB138" s="326"/>
      <c r="AC138" s="28" t="s">
        <v>175</v>
      </c>
      <c r="AG138" s="28" t="s">
        <v>1315</v>
      </c>
      <c r="AH138" s="28" t="s">
        <v>131</v>
      </c>
      <c r="AI138" s="138" t="s">
        <v>131</v>
      </c>
      <c r="AJ138" s="28" t="s">
        <v>1598</v>
      </c>
      <c r="AK138" s="141" t="s">
        <v>158</v>
      </c>
      <c r="AO138" s="28" t="s">
        <v>231</v>
      </c>
      <c r="AP138" s="28" t="s">
        <v>268</v>
      </c>
      <c r="AQ138" s="28" t="s">
        <v>2125</v>
      </c>
      <c r="AR138" s="28" t="s">
        <v>2126</v>
      </c>
      <c r="AS138" s="28" t="s">
        <v>502</v>
      </c>
      <c r="AT138" s="28" t="s">
        <v>241</v>
      </c>
      <c r="AU138" s="28" t="s">
        <v>241</v>
      </c>
      <c r="AV138" s="28" t="s">
        <v>177</v>
      </c>
      <c r="AX138" s="28">
        <v>3</v>
      </c>
      <c r="AZ138" s="28" t="s">
        <v>174</v>
      </c>
      <c r="BD138" s="54"/>
      <c r="BK138" s="28">
        <f>1.08*1000</f>
        <v>1080</v>
      </c>
      <c r="BL138" s="28">
        <f>0.92*1000</f>
        <v>920</v>
      </c>
      <c r="BO138" s="28" t="s">
        <v>269</v>
      </c>
      <c r="BP138" s="401"/>
      <c r="BQ138" s="401"/>
      <c r="BU138" s="401"/>
      <c r="BV138" s="401"/>
      <c r="CE138" s="554"/>
      <c r="CF138" s="554"/>
      <c r="CG138" s="554"/>
      <c r="CH138" s="554"/>
      <c r="GZ138" s="12"/>
      <c r="HD138" s="12"/>
      <c r="JB138" s="28" t="s">
        <v>272</v>
      </c>
    </row>
    <row r="139" spans="1:262" s="28" customFormat="1" x14ac:dyDescent="0.25">
      <c r="A139" s="28">
        <v>12</v>
      </c>
      <c r="B139" s="46" t="s">
        <v>3812</v>
      </c>
      <c r="C139" s="28" t="s">
        <v>265</v>
      </c>
      <c r="D139" s="28" t="s">
        <v>266</v>
      </c>
      <c r="E139" s="28">
        <v>1984</v>
      </c>
      <c r="F139" s="28">
        <v>1980</v>
      </c>
      <c r="G139" s="28" t="s">
        <v>267</v>
      </c>
      <c r="H139" s="28" t="s">
        <v>273</v>
      </c>
      <c r="I139" s="28" t="s">
        <v>2815</v>
      </c>
      <c r="J139" s="28">
        <v>34.36</v>
      </c>
      <c r="K139" s="28">
        <v>-80.010000000000005</v>
      </c>
      <c r="L139" s="28">
        <v>61.3</v>
      </c>
      <c r="R139" s="46">
        <v>2</v>
      </c>
      <c r="S139" s="46" t="s">
        <v>1858</v>
      </c>
      <c r="T139" s="46"/>
      <c r="U139" s="46" t="s">
        <v>1857</v>
      </c>
      <c r="V139" s="46" t="s">
        <v>1382</v>
      </c>
      <c r="W139" s="46" t="s">
        <v>1717</v>
      </c>
      <c r="X139" s="46" t="s">
        <v>1382</v>
      </c>
      <c r="Y139" s="46" t="s">
        <v>1382</v>
      </c>
      <c r="AA139" s="326"/>
      <c r="AB139" s="326"/>
      <c r="AC139" s="28" t="s">
        <v>175</v>
      </c>
      <c r="AG139" s="28" t="s">
        <v>1315</v>
      </c>
      <c r="AH139" s="28" t="s">
        <v>131</v>
      </c>
      <c r="AI139" s="138" t="s">
        <v>131</v>
      </c>
      <c r="AJ139" s="28" t="s">
        <v>1596</v>
      </c>
      <c r="AK139" s="141" t="s">
        <v>158</v>
      </c>
      <c r="AO139" s="28" t="s">
        <v>231</v>
      </c>
      <c r="AP139" s="28" t="s">
        <v>268</v>
      </c>
      <c r="AQ139" s="28" t="s">
        <v>2125</v>
      </c>
      <c r="AR139" s="28" t="s">
        <v>2126</v>
      </c>
      <c r="AS139" s="28" t="s">
        <v>502</v>
      </c>
      <c r="AT139" s="28" t="s">
        <v>241</v>
      </c>
      <c r="AU139" s="28" t="s">
        <v>241</v>
      </c>
      <c r="AV139" s="28" t="s">
        <v>177</v>
      </c>
      <c r="AX139" s="28">
        <v>3</v>
      </c>
      <c r="AZ139" s="28" t="s">
        <v>174</v>
      </c>
      <c r="BD139" s="54"/>
      <c r="BK139" s="28">
        <f>0.81*1000</f>
        <v>810</v>
      </c>
      <c r="BL139" s="28">
        <f>0.99*1000</f>
        <v>990</v>
      </c>
      <c r="BO139" s="28" t="s">
        <v>270</v>
      </c>
      <c r="BP139" s="401"/>
      <c r="BQ139" s="401"/>
      <c r="BU139" s="401"/>
      <c r="BV139" s="401"/>
      <c r="CE139" s="554"/>
      <c r="CF139" s="554"/>
      <c r="CG139" s="554"/>
      <c r="CH139" s="554"/>
      <c r="GZ139" s="12"/>
      <c r="HD139" s="12"/>
      <c r="JB139" s="28" t="s">
        <v>272</v>
      </c>
    </row>
    <row r="140" spans="1:262" s="28" customFormat="1" x14ac:dyDescent="0.25">
      <c r="A140" s="28">
        <v>12</v>
      </c>
      <c r="B140" s="46" t="s">
        <v>3812</v>
      </c>
      <c r="C140" s="28" t="s">
        <v>265</v>
      </c>
      <c r="D140" s="28" t="s">
        <v>266</v>
      </c>
      <c r="E140" s="28">
        <v>1984</v>
      </c>
      <c r="F140" s="28">
        <v>1980</v>
      </c>
      <c r="G140" s="28" t="s">
        <v>267</v>
      </c>
      <c r="H140" s="28" t="s">
        <v>273</v>
      </c>
      <c r="I140" s="28" t="s">
        <v>2815</v>
      </c>
      <c r="J140" s="28">
        <v>34.36</v>
      </c>
      <c r="K140" s="28">
        <v>-80.010000000000005</v>
      </c>
      <c r="L140" s="28">
        <v>61.3</v>
      </c>
      <c r="R140" s="46">
        <v>2</v>
      </c>
      <c r="S140" s="46" t="s">
        <v>1858</v>
      </c>
      <c r="T140" s="46"/>
      <c r="U140" s="46" t="s">
        <v>1857</v>
      </c>
      <c r="V140" s="46" t="s">
        <v>1382</v>
      </c>
      <c r="W140" s="46" t="s">
        <v>1717</v>
      </c>
      <c r="X140" s="46" t="s">
        <v>1382</v>
      </c>
      <c r="Y140" s="46" t="s">
        <v>1382</v>
      </c>
      <c r="AA140" s="326"/>
      <c r="AB140" s="326"/>
      <c r="AC140" s="28" t="s">
        <v>175</v>
      </c>
      <c r="AG140" s="28" t="s">
        <v>1315</v>
      </c>
      <c r="AH140" s="28" t="s">
        <v>131</v>
      </c>
      <c r="AI140" s="138" t="s">
        <v>131</v>
      </c>
      <c r="AJ140" s="28" t="s">
        <v>1597</v>
      </c>
      <c r="AK140" s="141" t="s">
        <v>158</v>
      </c>
      <c r="AO140" s="28" t="s">
        <v>231</v>
      </c>
      <c r="AP140" s="28" t="s">
        <v>268</v>
      </c>
      <c r="AQ140" s="28" t="s">
        <v>2125</v>
      </c>
      <c r="AR140" s="28" t="s">
        <v>2126</v>
      </c>
      <c r="AS140" s="28" t="s">
        <v>502</v>
      </c>
      <c r="AT140" s="28" t="s">
        <v>241</v>
      </c>
      <c r="AU140" s="28" t="s">
        <v>241</v>
      </c>
      <c r="AV140" s="28" t="s">
        <v>177</v>
      </c>
      <c r="AX140" s="28">
        <v>3</v>
      </c>
      <c r="AZ140" s="28" t="s">
        <v>174</v>
      </c>
      <c r="BD140" s="54"/>
      <c r="BK140" s="28">
        <f>1.06*1000</f>
        <v>1060</v>
      </c>
      <c r="BL140" s="28">
        <f>0.97*1000</f>
        <v>970</v>
      </c>
      <c r="BO140" s="28" t="s">
        <v>270</v>
      </c>
      <c r="BP140" s="401"/>
      <c r="BQ140" s="401"/>
      <c r="BU140" s="401"/>
      <c r="BV140" s="401"/>
      <c r="CE140" s="554"/>
      <c r="CF140" s="554"/>
      <c r="CG140" s="554"/>
      <c r="CH140" s="554"/>
      <c r="GZ140" s="12"/>
      <c r="HD140" s="12"/>
      <c r="JB140" s="28" t="s">
        <v>272</v>
      </c>
    </row>
    <row r="141" spans="1:262" s="28" customFormat="1" x14ac:dyDescent="0.25">
      <c r="A141" s="28">
        <v>12</v>
      </c>
      <c r="B141" s="46" t="s">
        <v>3812</v>
      </c>
      <c r="C141" s="28" t="s">
        <v>265</v>
      </c>
      <c r="D141" s="28" t="s">
        <v>266</v>
      </c>
      <c r="E141" s="28">
        <v>1984</v>
      </c>
      <c r="F141" s="28">
        <v>1980</v>
      </c>
      <c r="G141" s="28" t="s">
        <v>267</v>
      </c>
      <c r="H141" s="28" t="s">
        <v>273</v>
      </c>
      <c r="I141" s="28" t="s">
        <v>2815</v>
      </c>
      <c r="J141" s="28">
        <v>34.36</v>
      </c>
      <c r="K141" s="28">
        <v>-80.010000000000005</v>
      </c>
      <c r="L141" s="28">
        <v>61.3</v>
      </c>
      <c r="R141" s="46">
        <v>2</v>
      </c>
      <c r="S141" s="46" t="s">
        <v>1858</v>
      </c>
      <c r="T141" s="46"/>
      <c r="U141" s="46" t="s">
        <v>1857</v>
      </c>
      <c r="V141" s="46" t="s">
        <v>1382</v>
      </c>
      <c r="W141" s="46" t="s">
        <v>1717</v>
      </c>
      <c r="X141" s="46" t="s">
        <v>1382</v>
      </c>
      <c r="Y141" s="46" t="s">
        <v>1382</v>
      </c>
      <c r="AA141" s="326"/>
      <c r="AB141" s="326"/>
      <c r="AC141" s="28" t="s">
        <v>175</v>
      </c>
      <c r="AG141" s="28" t="s">
        <v>1315</v>
      </c>
      <c r="AH141" s="28" t="s">
        <v>131</v>
      </c>
      <c r="AI141" s="138" t="s">
        <v>131</v>
      </c>
      <c r="AJ141" s="28" t="s">
        <v>1598</v>
      </c>
      <c r="AK141" s="141" t="s">
        <v>158</v>
      </c>
      <c r="AO141" s="28" t="s">
        <v>231</v>
      </c>
      <c r="AP141" s="28" t="s">
        <v>268</v>
      </c>
      <c r="AQ141" s="28" t="s">
        <v>2125</v>
      </c>
      <c r="AR141" s="28" t="s">
        <v>2126</v>
      </c>
      <c r="AS141" s="28" t="s">
        <v>502</v>
      </c>
      <c r="AT141" s="28" t="s">
        <v>241</v>
      </c>
      <c r="AU141" s="28" t="s">
        <v>241</v>
      </c>
      <c r="AV141" s="28" t="s">
        <v>177</v>
      </c>
      <c r="AX141" s="28">
        <v>3</v>
      </c>
      <c r="AZ141" s="28" t="s">
        <v>174</v>
      </c>
      <c r="BD141" s="54"/>
      <c r="BK141" s="28">
        <f>1.14*1000</f>
        <v>1140</v>
      </c>
      <c r="BL141" s="28">
        <f>1.02*1000</f>
        <v>1020</v>
      </c>
      <c r="BO141" s="28" t="s">
        <v>270</v>
      </c>
      <c r="BP141" s="401"/>
      <c r="BQ141" s="401"/>
      <c r="BU141" s="401"/>
      <c r="BV141" s="401"/>
      <c r="CE141" s="554"/>
      <c r="CF141" s="554"/>
      <c r="CG141" s="554"/>
      <c r="CH141" s="554"/>
      <c r="GZ141" s="12"/>
      <c r="HD141" s="12"/>
      <c r="JB141" s="28" t="s">
        <v>272</v>
      </c>
    </row>
    <row r="142" spans="1:262" s="28" customFormat="1" x14ac:dyDescent="0.25">
      <c r="A142" s="28">
        <v>12</v>
      </c>
      <c r="B142" s="46" t="s">
        <v>3813</v>
      </c>
      <c r="C142" s="28" t="s">
        <v>265</v>
      </c>
      <c r="D142" s="28" t="s">
        <v>266</v>
      </c>
      <c r="E142" s="28">
        <v>1984</v>
      </c>
      <c r="F142" s="28">
        <v>1980</v>
      </c>
      <c r="G142" s="28" t="s">
        <v>267</v>
      </c>
      <c r="H142" s="28" t="s">
        <v>274</v>
      </c>
      <c r="I142" s="28" t="s">
        <v>2815</v>
      </c>
      <c r="J142" s="28">
        <v>34.200000000000003</v>
      </c>
      <c r="K142" s="28">
        <v>-79.760000000000005</v>
      </c>
      <c r="L142" s="28">
        <v>44.3</v>
      </c>
      <c r="R142" s="46">
        <v>3</v>
      </c>
      <c r="S142" s="46" t="s">
        <v>1858</v>
      </c>
      <c r="T142" s="46"/>
      <c r="U142" s="46" t="s">
        <v>1857</v>
      </c>
      <c r="V142" s="46" t="s">
        <v>1382</v>
      </c>
      <c r="W142" s="46" t="s">
        <v>1717</v>
      </c>
      <c r="X142" s="46" t="s">
        <v>1382</v>
      </c>
      <c r="Y142" s="46" t="s">
        <v>1382</v>
      </c>
      <c r="AA142" s="326"/>
      <c r="AB142" s="326"/>
      <c r="AC142" s="28" t="s">
        <v>175</v>
      </c>
      <c r="AG142" s="28" t="s">
        <v>1315</v>
      </c>
      <c r="AH142" s="28" t="s">
        <v>131</v>
      </c>
      <c r="AI142" s="138" t="s">
        <v>131</v>
      </c>
      <c r="AJ142" s="28" t="s">
        <v>1596</v>
      </c>
      <c r="AK142" s="141" t="s">
        <v>158</v>
      </c>
      <c r="AO142" s="28" t="s">
        <v>231</v>
      </c>
      <c r="AP142" s="28" t="s">
        <v>268</v>
      </c>
      <c r="AQ142" s="28" t="s">
        <v>2125</v>
      </c>
      <c r="AR142" s="28" t="s">
        <v>2126</v>
      </c>
      <c r="AS142" s="28" t="s">
        <v>502</v>
      </c>
      <c r="AT142" s="28" t="s">
        <v>241</v>
      </c>
      <c r="AU142" s="28" t="s">
        <v>241</v>
      </c>
      <c r="AV142" s="28" t="s">
        <v>177</v>
      </c>
      <c r="AX142" s="28">
        <v>3</v>
      </c>
      <c r="AZ142" s="28" t="s">
        <v>174</v>
      </c>
      <c r="BD142" s="54"/>
      <c r="BK142" s="28">
        <f>2.06*1000</f>
        <v>2060</v>
      </c>
      <c r="BL142" s="28">
        <f>1.6*1000</f>
        <v>1600</v>
      </c>
      <c r="BO142" s="28" t="s">
        <v>269</v>
      </c>
      <c r="BP142" s="401"/>
      <c r="BQ142" s="401"/>
      <c r="BU142" s="401"/>
      <c r="BV142" s="401"/>
      <c r="CE142" s="554"/>
      <c r="CF142" s="554"/>
      <c r="CG142" s="554"/>
      <c r="CH142" s="554"/>
      <c r="GZ142" s="12"/>
      <c r="HD142" s="12"/>
      <c r="JB142" s="28" t="s">
        <v>271</v>
      </c>
    </row>
    <row r="143" spans="1:262" s="28" customFormat="1" x14ac:dyDescent="0.25">
      <c r="A143" s="28">
        <v>12</v>
      </c>
      <c r="B143" s="46" t="s">
        <v>3813</v>
      </c>
      <c r="C143" s="28" t="s">
        <v>265</v>
      </c>
      <c r="D143" s="28" t="s">
        <v>266</v>
      </c>
      <c r="E143" s="28">
        <v>1984</v>
      </c>
      <c r="F143" s="28">
        <v>1980</v>
      </c>
      <c r="G143" s="28" t="s">
        <v>267</v>
      </c>
      <c r="H143" s="28" t="s">
        <v>274</v>
      </c>
      <c r="I143" s="28" t="s">
        <v>2815</v>
      </c>
      <c r="J143" s="28">
        <v>34.200000000000003</v>
      </c>
      <c r="K143" s="28">
        <v>-79.760000000000005</v>
      </c>
      <c r="L143" s="28">
        <v>44.3</v>
      </c>
      <c r="R143" s="46">
        <v>3</v>
      </c>
      <c r="S143" s="46" t="s">
        <v>1858</v>
      </c>
      <c r="T143" s="46"/>
      <c r="U143" s="46" t="s">
        <v>1857</v>
      </c>
      <c r="V143" s="46" t="s">
        <v>1382</v>
      </c>
      <c r="W143" s="46" t="s">
        <v>1717</v>
      </c>
      <c r="X143" s="46" t="s">
        <v>1382</v>
      </c>
      <c r="Y143" s="46" t="s">
        <v>1382</v>
      </c>
      <c r="AA143" s="326"/>
      <c r="AB143" s="326"/>
      <c r="AC143" s="28" t="s">
        <v>175</v>
      </c>
      <c r="AG143" s="28" t="s">
        <v>1315</v>
      </c>
      <c r="AH143" s="28" t="s">
        <v>131</v>
      </c>
      <c r="AI143" s="138" t="s">
        <v>131</v>
      </c>
      <c r="AJ143" s="28" t="s">
        <v>1597</v>
      </c>
      <c r="AK143" s="141" t="s">
        <v>158</v>
      </c>
      <c r="AO143" s="28" t="s">
        <v>231</v>
      </c>
      <c r="AP143" s="28" t="s">
        <v>268</v>
      </c>
      <c r="AQ143" s="28" t="s">
        <v>2125</v>
      </c>
      <c r="AR143" s="28" t="s">
        <v>2126</v>
      </c>
      <c r="AS143" s="28" t="s">
        <v>502</v>
      </c>
      <c r="AT143" s="28" t="s">
        <v>241</v>
      </c>
      <c r="AU143" s="28" t="s">
        <v>241</v>
      </c>
      <c r="AV143" s="28" t="s">
        <v>177</v>
      </c>
      <c r="AX143" s="28">
        <v>3</v>
      </c>
      <c r="AZ143" s="28" t="s">
        <v>174</v>
      </c>
      <c r="BD143" s="54"/>
      <c r="BP143" s="401"/>
      <c r="BQ143" s="401"/>
      <c r="BU143" s="401"/>
      <c r="BV143" s="401"/>
      <c r="CE143" s="554"/>
      <c r="CF143" s="554"/>
      <c r="CG143" s="554"/>
      <c r="CH143" s="554"/>
      <c r="GZ143" s="12"/>
      <c r="HD143" s="12"/>
      <c r="JB143" s="28" t="s">
        <v>271</v>
      </c>
    </row>
    <row r="144" spans="1:262" s="28" customFormat="1" x14ac:dyDescent="0.25">
      <c r="A144" s="28">
        <v>12</v>
      </c>
      <c r="B144" s="46" t="s">
        <v>3813</v>
      </c>
      <c r="C144" s="28" t="s">
        <v>265</v>
      </c>
      <c r="D144" s="28" t="s">
        <v>266</v>
      </c>
      <c r="E144" s="28">
        <v>1984</v>
      </c>
      <c r="F144" s="28">
        <v>1980</v>
      </c>
      <c r="G144" s="28" t="s">
        <v>267</v>
      </c>
      <c r="H144" s="28" t="s">
        <v>274</v>
      </c>
      <c r="I144" s="28" t="s">
        <v>2815</v>
      </c>
      <c r="J144" s="28">
        <v>34.200000000000003</v>
      </c>
      <c r="K144" s="28">
        <v>-79.760000000000005</v>
      </c>
      <c r="L144" s="28">
        <v>44.3</v>
      </c>
      <c r="R144" s="46">
        <v>3</v>
      </c>
      <c r="S144" s="46" t="s">
        <v>1858</v>
      </c>
      <c r="T144" s="46"/>
      <c r="U144" s="46" t="s">
        <v>1857</v>
      </c>
      <c r="V144" s="46" t="s">
        <v>1382</v>
      </c>
      <c r="W144" s="46" t="s">
        <v>1717</v>
      </c>
      <c r="X144" s="46" t="s">
        <v>1382</v>
      </c>
      <c r="Y144" s="46" t="s">
        <v>1382</v>
      </c>
      <c r="AA144" s="326"/>
      <c r="AB144" s="326"/>
      <c r="AC144" s="28" t="s">
        <v>175</v>
      </c>
      <c r="AG144" s="28" t="s">
        <v>1315</v>
      </c>
      <c r="AH144" s="28" t="s">
        <v>131</v>
      </c>
      <c r="AI144" s="138" t="s">
        <v>131</v>
      </c>
      <c r="AJ144" s="28" t="s">
        <v>1598</v>
      </c>
      <c r="AK144" s="141" t="s">
        <v>158</v>
      </c>
      <c r="AO144" s="28" t="s">
        <v>231</v>
      </c>
      <c r="AP144" s="28" t="s">
        <v>268</v>
      </c>
      <c r="AQ144" s="28" t="s">
        <v>2125</v>
      </c>
      <c r="AR144" s="28" t="s">
        <v>2126</v>
      </c>
      <c r="AS144" s="28" t="s">
        <v>502</v>
      </c>
      <c r="AT144" s="28" t="s">
        <v>241</v>
      </c>
      <c r="AU144" s="28" t="s">
        <v>241</v>
      </c>
      <c r="AV144" s="28" t="s">
        <v>177</v>
      </c>
      <c r="AX144" s="28">
        <v>3</v>
      </c>
      <c r="AZ144" s="28" t="s">
        <v>174</v>
      </c>
      <c r="BD144" s="54"/>
      <c r="BK144" s="28">
        <f>2*1000</f>
        <v>2000</v>
      </c>
      <c r="BL144" s="28">
        <f>1.68*1000</f>
        <v>1680</v>
      </c>
      <c r="BO144" s="28" t="s">
        <v>269</v>
      </c>
      <c r="BP144" s="401"/>
      <c r="BQ144" s="401"/>
      <c r="BU144" s="401"/>
      <c r="BV144" s="401"/>
      <c r="CE144" s="554"/>
      <c r="CF144" s="554"/>
      <c r="CG144" s="554"/>
      <c r="CH144" s="554"/>
      <c r="GZ144" s="12"/>
      <c r="HD144" s="12"/>
      <c r="JB144" s="28" t="s">
        <v>271</v>
      </c>
    </row>
    <row r="145" spans="1:262" s="28" customFormat="1" x14ac:dyDescent="0.25">
      <c r="A145" s="28">
        <v>12</v>
      </c>
      <c r="B145" s="46" t="s">
        <v>3813</v>
      </c>
      <c r="C145" s="28" t="s">
        <v>265</v>
      </c>
      <c r="D145" s="28" t="s">
        <v>266</v>
      </c>
      <c r="E145" s="28">
        <v>1984</v>
      </c>
      <c r="F145" s="28">
        <v>1980</v>
      </c>
      <c r="G145" s="28" t="s">
        <v>267</v>
      </c>
      <c r="H145" s="28" t="s">
        <v>274</v>
      </c>
      <c r="I145" s="28" t="s">
        <v>2815</v>
      </c>
      <c r="J145" s="28">
        <v>34.200000000000003</v>
      </c>
      <c r="K145" s="28">
        <v>-79.760000000000005</v>
      </c>
      <c r="L145" s="28">
        <v>44.3</v>
      </c>
      <c r="R145" s="46">
        <v>3</v>
      </c>
      <c r="S145" s="46" t="s">
        <v>1858</v>
      </c>
      <c r="T145" s="46"/>
      <c r="U145" s="46" t="s">
        <v>1857</v>
      </c>
      <c r="V145" s="46" t="s">
        <v>1382</v>
      </c>
      <c r="W145" s="46" t="s">
        <v>1717</v>
      </c>
      <c r="X145" s="46" t="s">
        <v>1382</v>
      </c>
      <c r="Y145" s="46" t="s">
        <v>1382</v>
      </c>
      <c r="AA145" s="326"/>
      <c r="AB145" s="326"/>
      <c r="AC145" s="28" t="s">
        <v>175</v>
      </c>
      <c r="AG145" s="28" t="s">
        <v>1315</v>
      </c>
      <c r="AH145" s="28" t="s">
        <v>131</v>
      </c>
      <c r="AI145" s="138" t="s">
        <v>131</v>
      </c>
      <c r="AJ145" s="28" t="s">
        <v>1596</v>
      </c>
      <c r="AK145" s="141" t="s">
        <v>158</v>
      </c>
      <c r="AO145" s="28" t="s">
        <v>231</v>
      </c>
      <c r="AP145" s="28" t="s">
        <v>268</v>
      </c>
      <c r="AQ145" s="28" t="s">
        <v>2125</v>
      </c>
      <c r="AR145" s="28" t="s">
        <v>2126</v>
      </c>
      <c r="AS145" s="28" t="s">
        <v>502</v>
      </c>
      <c r="AT145" s="28" t="s">
        <v>241</v>
      </c>
      <c r="AU145" s="28" t="s">
        <v>241</v>
      </c>
      <c r="AV145" s="28" t="s">
        <v>177</v>
      </c>
      <c r="AX145" s="28">
        <v>3</v>
      </c>
      <c r="AZ145" s="28" t="s">
        <v>174</v>
      </c>
      <c r="BD145" s="54"/>
      <c r="BK145" s="28">
        <f>1.86*1000</f>
        <v>1860</v>
      </c>
      <c r="BL145" s="28">
        <f>1.89*1000</f>
        <v>1890</v>
      </c>
      <c r="BO145" s="28" t="s">
        <v>270</v>
      </c>
      <c r="BP145" s="401"/>
      <c r="BQ145" s="401"/>
      <c r="BU145" s="401"/>
      <c r="BV145" s="401"/>
      <c r="CE145" s="554"/>
      <c r="CF145" s="554"/>
      <c r="CG145" s="554"/>
      <c r="CH145" s="554"/>
      <c r="GZ145" s="12"/>
      <c r="HD145" s="12"/>
      <c r="JB145" s="28" t="s">
        <v>271</v>
      </c>
    </row>
    <row r="146" spans="1:262" s="28" customFormat="1" x14ac:dyDescent="0.25">
      <c r="A146" s="28">
        <v>12</v>
      </c>
      <c r="B146" s="46" t="s">
        <v>3813</v>
      </c>
      <c r="C146" s="28" t="s">
        <v>265</v>
      </c>
      <c r="D146" s="28" t="s">
        <v>266</v>
      </c>
      <c r="E146" s="28">
        <v>1984</v>
      </c>
      <c r="F146" s="28">
        <v>1980</v>
      </c>
      <c r="G146" s="28" t="s">
        <v>267</v>
      </c>
      <c r="H146" s="28" t="s">
        <v>274</v>
      </c>
      <c r="I146" s="28" t="s">
        <v>2815</v>
      </c>
      <c r="J146" s="28">
        <v>34.200000000000003</v>
      </c>
      <c r="K146" s="28">
        <v>-79.760000000000005</v>
      </c>
      <c r="L146" s="28">
        <v>44.3</v>
      </c>
      <c r="R146" s="46">
        <v>3</v>
      </c>
      <c r="S146" s="46" t="s">
        <v>1858</v>
      </c>
      <c r="T146" s="46"/>
      <c r="U146" s="46" t="s">
        <v>1857</v>
      </c>
      <c r="V146" s="46" t="s">
        <v>1382</v>
      </c>
      <c r="W146" s="46" t="s">
        <v>1717</v>
      </c>
      <c r="X146" s="46" t="s">
        <v>1382</v>
      </c>
      <c r="Y146" s="46" t="s">
        <v>1382</v>
      </c>
      <c r="AA146" s="326"/>
      <c r="AB146" s="326"/>
      <c r="AC146" s="28" t="s">
        <v>175</v>
      </c>
      <c r="AG146" s="28" t="s">
        <v>1315</v>
      </c>
      <c r="AH146" s="28" t="s">
        <v>131</v>
      </c>
      <c r="AI146" s="138" t="s">
        <v>131</v>
      </c>
      <c r="AJ146" s="28" t="s">
        <v>1597</v>
      </c>
      <c r="AK146" s="141" t="s">
        <v>158</v>
      </c>
      <c r="AO146" s="28" t="s">
        <v>231</v>
      </c>
      <c r="AP146" s="28" t="s">
        <v>268</v>
      </c>
      <c r="AQ146" s="28" t="s">
        <v>2125</v>
      </c>
      <c r="AR146" s="28" t="s">
        <v>2126</v>
      </c>
      <c r="AS146" s="28" t="s">
        <v>502</v>
      </c>
      <c r="AT146" s="28" t="s">
        <v>241</v>
      </c>
      <c r="AU146" s="28" t="s">
        <v>241</v>
      </c>
      <c r="AV146" s="28" t="s">
        <v>177</v>
      </c>
      <c r="AX146" s="28">
        <v>3</v>
      </c>
      <c r="AZ146" s="28" t="s">
        <v>174</v>
      </c>
      <c r="BD146" s="54"/>
      <c r="BK146" s="28">
        <f>1.9*1000</f>
        <v>1900</v>
      </c>
      <c r="BL146" s="28">
        <f>1.93*1000</f>
        <v>1930</v>
      </c>
      <c r="BO146" s="28" t="s">
        <v>270</v>
      </c>
      <c r="BP146" s="401"/>
      <c r="BQ146" s="401"/>
      <c r="BU146" s="401"/>
      <c r="BV146" s="401"/>
      <c r="CE146" s="554"/>
      <c r="CF146" s="554"/>
      <c r="CG146" s="554"/>
      <c r="CH146" s="554"/>
      <c r="GZ146" s="12"/>
      <c r="HD146" s="12"/>
      <c r="JB146" s="28" t="s">
        <v>271</v>
      </c>
    </row>
    <row r="147" spans="1:262" s="28" customFormat="1" x14ac:dyDescent="0.25">
      <c r="A147" s="28">
        <v>12</v>
      </c>
      <c r="B147" s="46" t="s">
        <v>3813</v>
      </c>
      <c r="C147" s="28" t="s">
        <v>265</v>
      </c>
      <c r="D147" s="28" t="s">
        <v>266</v>
      </c>
      <c r="E147" s="28">
        <v>1984</v>
      </c>
      <c r="F147" s="28">
        <v>1980</v>
      </c>
      <c r="G147" s="28" t="s">
        <v>267</v>
      </c>
      <c r="H147" s="28" t="s">
        <v>274</v>
      </c>
      <c r="I147" s="28" t="s">
        <v>2815</v>
      </c>
      <c r="J147" s="28">
        <v>34.200000000000003</v>
      </c>
      <c r="K147" s="28">
        <v>-79.760000000000005</v>
      </c>
      <c r="L147" s="28">
        <v>44.3</v>
      </c>
      <c r="R147" s="46">
        <v>3</v>
      </c>
      <c r="S147" s="46" t="s">
        <v>1858</v>
      </c>
      <c r="T147" s="46"/>
      <c r="U147" s="46" t="s">
        <v>1857</v>
      </c>
      <c r="V147" s="46" t="s">
        <v>1382</v>
      </c>
      <c r="W147" s="46" t="s">
        <v>1717</v>
      </c>
      <c r="X147" s="46" t="s">
        <v>1382</v>
      </c>
      <c r="Y147" s="46" t="s">
        <v>1382</v>
      </c>
      <c r="AA147" s="326"/>
      <c r="AB147" s="326"/>
      <c r="AC147" s="28" t="s">
        <v>175</v>
      </c>
      <c r="AG147" s="28" t="s">
        <v>1315</v>
      </c>
      <c r="AH147" s="28" t="s">
        <v>131</v>
      </c>
      <c r="AI147" s="138" t="s">
        <v>131</v>
      </c>
      <c r="AJ147" s="28" t="s">
        <v>1598</v>
      </c>
      <c r="AK147" s="141" t="s">
        <v>158</v>
      </c>
      <c r="AO147" s="28" t="s">
        <v>231</v>
      </c>
      <c r="AP147" s="28" t="s">
        <v>268</v>
      </c>
      <c r="AQ147" s="28" t="s">
        <v>2125</v>
      </c>
      <c r="AR147" s="28" t="s">
        <v>2126</v>
      </c>
      <c r="AS147" s="28" t="s">
        <v>502</v>
      </c>
      <c r="AT147" s="28" t="s">
        <v>241</v>
      </c>
      <c r="AU147" s="28" t="s">
        <v>241</v>
      </c>
      <c r="AV147" s="28" t="s">
        <v>177</v>
      </c>
      <c r="AX147" s="28">
        <v>3</v>
      </c>
      <c r="AZ147" s="28" t="s">
        <v>174</v>
      </c>
      <c r="BD147" s="54"/>
      <c r="BK147" s="28">
        <f>2.05*1000</f>
        <v>2050</v>
      </c>
      <c r="BL147" s="28">
        <f>2.09*1000</f>
        <v>2090</v>
      </c>
      <c r="BO147" s="28" t="s">
        <v>270</v>
      </c>
      <c r="BP147" s="401"/>
      <c r="BQ147" s="401"/>
      <c r="BU147" s="401"/>
      <c r="BV147" s="401"/>
      <c r="CE147" s="554"/>
      <c r="CF147" s="554"/>
      <c r="CG147" s="554"/>
      <c r="CH147" s="554"/>
      <c r="GZ147" s="12"/>
      <c r="HD147" s="12"/>
      <c r="JB147" s="28" t="s">
        <v>271</v>
      </c>
    </row>
    <row r="148" spans="1:262" s="28" customFormat="1" x14ac:dyDescent="0.25">
      <c r="A148" s="28">
        <v>12</v>
      </c>
      <c r="B148" s="46" t="s">
        <v>3813</v>
      </c>
      <c r="C148" s="28" t="s">
        <v>265</v>
      </c>
      <c r="D148" s="28" t="s">
        <v>266</v>
      </c>
      <c r="E148" s="28">
        <v>1984</v>
      </c>
      <c r="F148" s="28">
        <v>1980</v>
      </c>
      <c r="G148" s="28" t="s">
        <v>267</v>
      </c>
      <c r="H148" s="28" t="s">
        <v>274</v>
      </c>
      <c r="I148" s="28" t="s">
        <v>2815</v>
      </c>
      <c r="J148" s="28">
        <v>34.200000000000003</v>
      </c>
      <c r="K148" s="28">
        <v>-79.760000000000005</v>
      </c>
      <c r="L148" s="28">
        <v>44.3</v>
      </c>
      <c r="R148" s="46">
        <v>3</v>
      </c>
      <c r="S148" s="46" t="s">
        <v>1858</v>
      </c>
      <c r="T148" s="46"/>
      <c r="U148" s="46" t="s">
        <v>1857</v>
      </c>
      <c r="V148" s="46" t="s">
        <v>1382</v>
      </c>
      <c r="W148" s="46" t="s">
        <v>1717</v>
      </c>
      <c r="X148" s="46" t="s">
        <v>1382</v>
      </c>
      <c r="Y148" s="46" t="s">
        <v>1382</v>
      </c>
      <c r="AA148" s="326"/>
      <c r="AB148" s="326"/>
      <c r="AC148" s="28" t="s">
        <v>175</v>
      </c>
      <c r="AG148" s="28" t="s">
        <v>1315</v>
      </c>
      <c r="AH148" s="28" t="s">
        <v>131</v>
      </c>
      <c r="AI148" s="138" t="s">
        <v>131</v>
      </c>
      <c r="AJ148" s="28" t="s">
        <v>1596</v>
      </c>
      <c r="AK148" s="141" t="s">
        <v>158</v>
      </c>
      <c r="AO148" s="28" t="s">
        <v>231</v>
      </c>
      <c r="AP148" s="28" t="s">
        <v>268</v>
      </c>
      <c r="AQ148" s="28" t="s">
        <v>2125</v>
      </c>
      <c r="AR148" s="28" t="s">
        <v>2126</v>
      </c>
      <c r="AS148" s="28" t="s">
        <v>502</v>
      </c>
      <c r="AT148" s="28" t="s">
        <v>241</v>
      </c>
      <c r="AU148" s="28" t="s">
        <v>241</v>
      </c>
      <c r="AV148" s="28" t="s">
        <v>177</v>
      </c>
      <c r="AX148" s="28">
        <v>3</v>
      </c>
      <c r="AZ148" s="28" t="s">
        <v>174</v>
      </c>
      <c r="BD148" s="54"/>
      <c r="BK148" s="28">
        <f>2*1000</f>
        <v>2000</v>
      </c>
      <c r="BL148" s="28">
        <f>1.9*1000</f>
        <v>1900</v>
      </c>
      <c r="BO148" s="28" t="s">
        <v>269</v>
      </c>
      <c r="BP148" s="401"/>
      <c r="BQ148" s="401"/>
      <c r="BU148" s="401"/>
      <c r="BV148" s="401"/>
      <c r="CE148" s="554"/>
      <c r="CF148" s="554"/>
      <c r="CG148" s="554"/>
      <c r="CH148" s="554"/>
      <c r="GZ148" s="12"/>
      <c r="HD148" s="12"/>
      <c r="JB148" s="28" t="s">
        <v>272</v>
      </c>
    </row>
    <row r="149" spans="1:262" s="28" customFormat="1" x14ac:dyDescent="0.25">
      <c r="A149" s="28">
        <v>12</v>
      </c>
      <c r="B149" s="46" t="s">
        <v>3813</v>
      </c>
      <c r="C149" s="28" t="s">
        <v>265</v>
      </c>
      <c r="D149" s="28" t="s">
        <v>266</v>
      </c>
      <c r="E149" s="28">
        <v>1984</v>
      </c>
      <c r="F149" s="28">
        <v>1980</v>
      </c>
      <c r="G149" s="28" t="s">
        <v>267</v>
      </c>
      <c r="H149" s="28" t="s">
        <v>274</v>
      </c>
      <c r="I149" s="28" t="s">
        <v>2815</v>
      </c>
      <c r="J149" s="28">
        <v>34.200000000000003</v>
      </c>
      <c r="K149" s="28">
        <v>-79.760000000000005</v>
      </c>
      <c r="L149" s="28">
        <v>44.3</v>
      </c>
      <c r="R149" s="46">
        <v>3</v>
      </c>
      <c r="S149" s="46" t="s">
        <v>1858</v>
      </c>
      <c r="T149" s="46"/>
      <c r="U149" s="46" t="s">
        <v>1857</v>
      </c>
      <c r="V149" s="46" t="s">
        <v>1382</v>
      </c>
      <c r="W149" s="46" t="s">
        <v>1717</v>
      </c>
      <c r="X149" s="46" t="s">
        <v>1382</v>
      </c>
      <c r="Y149" s="46" t="s">
        <v>1382</v>
      </c>
      <c r="AA149" s="326"/>
      <c r="AB149" s="326"/>
      <c r="AC149" s="28" t="s">
        <v>175</v>
      </c>
      <c r="AG149" s="28" t="s">
        <v>1315</v>
      </c>
      <c r="AH149" s="28" t="s">
        <v>131</v>
      </c>
      <c r="AI149" s="138" t="s">
        <v>131</v>
      </c>
      <c r="AJ149" s="28" t="s">
        <v>1597</v>
      </c>
      <c r="AK149" s="141" t="s">
        <v>158</v>
      </c>
      <c r="AO149" s="28" t="s">
        <v>231</v>
      </c>
      <c r="AP149" s="28" t="s">
        <v>268</v>
      </c>
      <c r="AQ149" s="28" t="s">
        <v>2125</v>
      </c>
      <c r="AR149" s="28" t="s">
        <v>2126</v>
      </c>
      <c r="AS149" s="28" t="s">
        <v>502</v>
      </c>
      <c r="AT149" s="28" t="s">
        <v>241</v>
      </c>
      <c r="AU149" s="28" t="s">
        <v>241</v>
      </c>
      <c r="AV149" s="28" t="s">
        <v>177</v>
      </c>
      <c r="AX149" s="28">
        <v>3</v>
      </c>
      <c r="AZ149" s="28" t="s">
        <v>174</v>
      </c>
      <c r="BD149" s="54"/>
      <c r="BK149" s="28">
        <f>1.98*1000</f>
        <v>1980</v>
      </c>
      <c r="BL149" s="28">
        <f>1.91*1000</f>
        <v>1910</v>
      </c>
      <c r="BO149" s="28" t="s">
        <v>269</v>
      </c>
      <c r="BP149" s="401"/>
      <c r="BQ149" s="401"/>
      <c r="BU149" s="401"/>
      <c r="BV149" s="401"/>
      <c r="CE149" s="554"/>
      <c r="CF149" s="554"/>
      <c r="CG149" s="554"/>
      <c r="CH149" s="554"/>
      <c r="GZ149" s="12"/>
      <c r="HD149" s="12"/>
      <c r="JB149" s="28" t="s">
        <v>272</v>
      </c>
    </row>
    <row r="150" spans="1:262" s="28" customFormat="1" x14ac:dyDescent="0.25">
      <c r="A150" s="28">
        <v>12</v>
      </c>
      <c r="B150" s="46" t="s">
        <v>3813</v>
      </c>
      <c r="C150" s="28" t="s">
        <v>265</v>
      </c>
      <c r="D150" s="28" t="s">
        <v>266</v>
      </c>
      <c r="E150" s="28">
        <v>1984</v>
      </c>
      <c r="F150" s="28">
        <v>1980</v>
      </c>
      <c r="G150" s="28" t="s">
        <v>267</v>
      </c>
      <c r="H150" s="28" t="s">
        <v>274</v>
      </c>
      <c r="I150" s="28" t="s">
        <v>2815</v>
      </c>
      <c r="J150" s="28">
        <v>34.200000000000003</v>
      </c>
      <c r="K150" s="28">
        <v>-79.760000000000005</v>
      </c>
      <c r="L150" s="28">
        <v>44.3</v>
      </c>
      <c r="R150" s="46">
        <v>3</v>
      </c>
      <c r="S150" s="46" t="s">
        <v>1858</v>
      </c>
      <c r="T150" s="46"/>
      <c r="U150" s="46" t="s">
        <v>1857</v>
      </c>
      <c r="V150" s="46" t="s">
        <v>1382</v>
      </c>
      <c r="W150" s="46" t="s">
        <v>1717</v>
      </c>
      <c r="X150" s="46" t="s">
        <v>1382</v>
      </c>
      <c r="Y150" s="46" t="s">
        <v>1382</v>
      </c>
      <c r="AA150" s="326"/>
      <c r="AB150" s="326"/>
      <c r="AC150" s="28" t="s">
        <v>175</v>
      </c>
      <c r="AG150" s="28" t="s">
        <v>1315</v>
      </c>
      <c r="AH150" s="28" t="s">
        <v>131</v>
      </c>
      <c r="AI150" s="138" t="s">
        <v>131</v>
      </c>
      <c r="AJ150" s="28" t="s">
        <v>1598</v>
      </c>
      <c r="AK150" s="141" t="s">
        <v>158</v>
      </c>
      <c r="AO150" s="28" t="s">
        <v>231</v>
      </c>
      <c r="AP150" s="28" t="s">
        <v>268</v>
      </c>
      <c r="AQ150" s="28" t="s">
        <v>2125</v>
      </c>
      <c r="AR150" s="28" t="s">
        <v>2126</v>
      </c>
      <c r="AS150" s="28" t="s">
        <v>502</v>
      </c>
      <c r="AT150" s="28" t="s">
        <v>241</v>
      </c>
      <c r="AU150" s="28" t="s">
        <v>241</v>
      </c>
      <c r="AV150" s="28" t="s">
        <v>177</v>
      </c>
      <c r="AX150" s="28">
        <v>3</v>
      </c>
      <c r="AZ150" s="28" t="s">
        <v>174</v>
      </c>
      <c r="BD150" s="54"/>
      <c r="BK150" s="28">
        <f>2.27*1000</f>
        <v>2270</v>
      </c>
      <c r="BL150" s="28">
        <f>2.12*1000</f>
        <v>2120</v>
      </c>
      <c r="BO150" s="28" t="s">
        <v>269</v>
      </c>
      <c r="BP150" s="401"/>
      <c r="BQ150" s="401"/>
      <c r="BU150" s="401"/>
      <c r="BV150" s="401"/>
      <c r="CE150" s="554"/>
      <c r="CF150" s="554"/>
      <c r="CG150" s="554"/>
      <c r="CH150" s="554"/>
      <c r="GZ150" s="12"/>
      <c r="HD150" s="12"/>
      <c r="JB150" s="28" t="s">
        <v>272</v>
      </c>
    </row>
    <row r="151" spans="1:262" s="28" customFormat="1" x14ac:dyDescent="0.25">
      <c r="A151" s="28">
        <v>12</v>
      </c>
      <c r="B151" s="46" t="s">
        <v>3813</v>
      </c>
      <c r="C151" s="28" t="s">
        <v>265</v>
      </c>
      <c r="D151" s="28" t="s">
        <v>266</v>
      </c>
      <c r="E151" s="28">
        <v>1984</v>
      </c>
      <c r="F151" s="28">
        <v>1980</v>
      </c>
      <c r="G151" s="28" t="s">
        <v>267</v>
      </c>
      <c r="H151" s="28" t="s">
        <v>274</v>
      </c>
      <c r="I151" s="28" t="s">
        <v>2815</v>
      </c>
      <c r="J151" s="28">
        <v>34.200000000000003</v>
      </c>
      <c r="K151" s="28">
        <v>-79.760000000000005</v>
      </c>
      <c r="L151" s="28">
        <v>44.3</v>
      </c>
      <c r="R151" s="46">
        <v>3</v>
      </c>
      <c r="S151" s="46" t="s">
        <v>1858</v>
      </c>
      <c r="T151" s="46"/>
      <c r="U151" s="46" t="s">
        <v>1857</v>
      </c>
      <c r="V151" s="46" t="s">
        <v>1382</v>
      </c>
      <c r="W151" s="46" t="s">
        <v>1717</v>
      </c>
      <c r="X151" s="46" t="s">
        <v>1382</v>
      </c>
      <c r="Y151" s="46" t="s">
        <v>1382</v>
      </c>
      <c r="AA151" s="326"/>
      <c r="AB151" s="326"/>
      <c r="AC151" s="28" t="s">
        <v>175</v>
      </c>
      <c r="AG151" s="28" t="s">
        <v>1315</v>
      </c>
      <c r="AH151" s="28" t="s">
        <v>131</v>
      </c>
      <c r="AI151" s="138" t="s">
        <v>131</v>
      </c>
      <c r="AJ151" s="28" t="s">
        <v>1596</v>
      </c>
      <c r="AK151" s="141" t="s">
        <v>158</v>
      </c>
      <c r="AO151" s="28" t="s">
        <v>231</v>
      </c>
      <c r="AP151" s="28" t="s">
        <v>268</v>
      </c>
      <c r="AQ151" s="28" t="s">
        <v>2125</v>
      </c>
      <c r="AR151" s="28" t="s">
        <v>2126</v>
      </c>
      <c r="AS151" s="28" t="s">
        <v>502</v>
      </c>
      <c r="AT151" s="28" t="s">
        <v>241</v>
      </c>
      <c r="AU151" s="28" t="s">
        <v>241</v>
      </c>
      <c r="AV151" s="28" t="s">
        <v>177</v>
      </c>
      <c r="AX151" s="28">
        <v>3</v>
      </c>
      <c r="AZ151" s="28" t="s">
        <v>174</v>
      </c>
      <c r="BD151" s="54"/>
      <c r="BK151" s="28">
        <f>1.95*1000</f>
        <v>1950</v>
      </c>
      <c r="BL151" s="28">
        <f>1.92*1000</f>
        <v>1920</v>
      </c>
      <c r="BO151" s="28" t="s">
        <v>270</v>
      </c>
      <c r="BP151" s="401"/>
      <c r="BQ151" s="401"/>
      <c r="BU151" s="401"/>
      <c r="BV151" s="401"/>
      <c r="CE151" s="554"/>
      <c r="CF151" s="554"/>
      <c r="CG151" s="554"/>
      <c r="CH151" s="554"/>
      <c r="GZ151" s="12"/>
      <c r="HD151" s="12"/>
      <c r="JB151" s="28" t="s">
        <v>272</v>
      </c>
    </row>
    <row r="152" spans="1:262" s="28" customFormat="1" x14ac:dyDescent="0.25">
      <c r="A152" s="28">
        <v>12</v>
      </c>
      <c r="B152" s="46" t="s">
        <v>3813</v>
      </c>
      <c r="C152" s="28" t="s">
        <v>265</v>
      </c>
      <c r="D152" s="28" t="s">
        <v>266</v>
      </c>
      <c r="E152" s="28">
        <v>1984</v>
      </c>
      <c r="F152" s="28">
        <v>1980</v>
      </c>
      <c r="G152" s="28" t="s">
        <v>267</v>
      </c>
      <c r="H152" s="28" t="s">
        <v>274</v>
      </c>
      <c r="I152" s="28" t="s">
        <v>2815</v>
      </c>
      <c r="J152" s="28">
        <v>34.200000000000003</v>
      </c>
      <c r="K152" s="28">
        <v>-79.760000000000005</v>
      </c>
      <c r="L152" s="28">
        <v>44.3</v>
      </c>
      <c r="R152" s="46">
        <v>3</v>
      </c>
      <c r="S152" s="46" t="s">
        <v>1858</v>
      </c>
      <c r="T152" s="46"/>
      <c r="U152" s="46" t="s">
        <v>1857</v>
      </c>
      <c r="V152" s="46" t="s">
        <v>1382</v>
      </c>
      <c r="W152" s="46" t="s">
        <v>1717</v>
      </c>
      <c r="X152" s="46" t="s">
        <v>1382</v>
      </c>
      <c r="Y152" s="46" t="s">
        <v>1382</v>
      </c>
      <c r="AA152" s="326"/>
      <c r="AB152" s="326"/>
      <c r="AC152" s="28" t="s">
        <v>175</v>
      </c>
      <c r="AG152" s="28" t="s">
        <v>1315</v>
      </c>
      <c r="AH152" s="28" t="s">
        <v>131</v>
      </c>
      <c r="AI152" s="138" t="s">
        <v>131</v>
      </c>
      <c r="AJ152" s="28" t="s">
        <v>1597</v>
      </c>
      <c r="AK152" s="141" t="s">
        <v>158</v>
      </c>
      <c r="AO152" s="28" t="s">
        <v>231</v>
      </c>
      <c r="AP152" s="28" t="s">
        <v>268</v>
      </c>
      <c r="AQ152" s="28" t="s">
        <v>2125</v>
      </c>
      <c r="AR152" s="28" t="s">
        <v>2126</v>
      </c>
      <c r="AS152" s="28" t="s">
        <v>502</v>
      </c>
      <c r="AT152" s="28" t="s">
        <v>241</v>
      </c>
      <c r="AU152" s="28" t="s">
        <v>241</v>
      </c>
      <c r="AV152" s="28" t="s">
        <v>177</v>
      </c>
      <c r="AX152" s="28">
        <v>3</v>
      </c>
      <c r="AZ152" s="28" t="s">
        <v>174</v>
      </c>
      <c r="BD152" s="54"/>
      <c r="BK152" s="28">
        <f>2.14*1000</f>
        <v>2140</v>
      </c>
      <c r="BL152" s="28">
        <f>2.02*1000</f>
        <v>2020</v>
      </c>
      <c r="BO152" s="28" t="s">
        <v>270</v>
      </c>
      <c r="BP152" s="401"/>
      <c r="BQ152" s="401"/>
      <c r="BU152" s="401"/>
      <c r="BV152" s="401"/>
      <c r="CE152" s="554"/>
      <c r="CF152" s="554"/>
      <c r="CG152" s="554"/>
      <c r="CH152" s="554"/>
      <c r="GZ152" s="12"/>
      <c r="HD152" s="12"/>
      <c r="JB152" s="28" t="s">
        <v>272</v>
      </c>
    </row>
    <row r="153" spans="1:262" s="28" customFormat="1" x14ac:dyDescent="0.25">
      <c r="A153" s="28">
        <v>12</v>
      </c>
      <c r="B153" s="46" t="s">
        <v>3813</v>
      </c>
      <c r="C153" s="28" t="s">
        <v>265</v>
      </c>
      <c r="D153" s="28" t="s">
        <v>266</v>
      </c>
      <c r="E153" s="28">
        <v>1984</v>
      </c>
      <c r="F153" s="28">
        <v>1980</v>
      </c>
      <c r="G153" s="28" t="s">
        <v>267</v>
      </c>
      <c r="H153" s="28" t="s">
        <v>274</v>
      </c>
      <c r="I153" s="28" t="s">
        <v>2815</v>
      </c>
      <c r="J153" s="28">
        <v>34.200000000000003</v>
      </c>
      <c r="K153" s="28">
        <v>-79.760000000000005</v>
      </c>
      <c r="L153" s="28">
        <v>44.3</v>
      </c>
      <c r="R153" s="46">
        <v>3</v>
      </c>
      <c r="S153" s="46" t="s">
        <v>1858</v>
      </c>
      <c r="T153" s="46"/>
      <c r="U153" s="46" t="s">
        <v>1857</v>
      </c>
      <c r="V153" s="46" t="s">
        <v>1382</v>
      </c>
      <c r="W153" s="46" t="s">
        <v>1717</v>
      </c>
      <c r="X153" s="46" t="s">
        <v>1382</v>
      </c>
      <c r="Y153" s="46" t="s">
        <v>1382</v>
      </c>
      <c r="AA153" s="326"/>
      <c r="AB153" s="326"/>
      <c r="AC153" s="28" t="s">
        <v>175</v>
      </c>
      <c r="AG153" s="28" t="s">
        <v>1315</v>
      </c>
      <c r="AH153" s="28" t="s">
        <v>131</v>
      </c>
      <c r="AI153" s="138" t="s">
        <v>131</v>
      </c>
      <c r="AJ153" s="28" t="s">
        <v>1598</v>
      </c>
      <c r="AK153" s="141" t="s">
        <v>158</v>
      </c>
      <c r="AO153" s="28" t="s">
        <v>231</v>
      </c>
      <c r="AP153" s="28" t="s">
        <v>268</v>
      </c>
      <c r="AQ153" s="28" t="s">
        <v>2125</v>
      </c>
      <c r="AR153" s="28" t="s">
        <v>2126</v>
      </c>
      <c r="AS153" s="28" t="s">
        <v>502</v>
      </c>
      <c r="AT153" s="28" t="s">
        <v>241</v>
      </c>
      <c r="AU153" s="28" t="s">
        <v>241</v>
      </c>
      <c r="AV153" s="28" t="s">
        <v>177</v>
      </c>
      <c r="AX153" s="28">
        <v>3</v>
      </c>
      <c r="AZ153" s="28" t="s">
        <v>174</v>
      </c>
      <c r="BD153" s="54"/>
      <c r="BK153" s="28">
        <f>2.17*1000</f>
        <v>2170</v>
      </c>
      <c r="BL153" s="28">
        <f>2*1000</f>
        <v>2000</v>
      </c>
      <c r="BO153" s="28" t="s">
        <v>270</v>
      </c>
      <c r="BP153" s="401"/>
      <c r="BQ153" s="401"/>
      <c r="BU153" s="401"/>
      <c r="BV153" s="401"/>
      <c r="CE153" s="554"/>
      <c r="CF153" s="554"/>
      <c r="CG153" s="554"/>
      <c r="CH153" s="554"/>
      <c r="GZ153" s="12"/>
      <c r="HD153" s="12"/>
      <c r="JB153" s="28" t="s">
        <v>272</v>
      </c>
    </row>
    <row r="154" spans="1:262" s="24" customFormat="1" x14ac:dyDescent="0.25">
      <c r="A154" s="24">
        <v>13</v>
      </c>
      <c r="B154" s="42" t="s">
        <v>3814</v>
      </c>
      <c r="C154" s="24" t="s">
        <v>265</v>
      </c>
      <c r="D154" s="24" t="s">
        <v>275</v>
      </c>
      <c r="E154" s="24">
        <v>1991</v>
      </c>
      <c r="F154" s="24">
        <v>1987</v>
      </c>
      <c r="G154" s="202" t="s">
        <v>276</v>
      </c>
      <c r="H154" s="24" t="s">
        <v>277</v>
      </c>
      <c r="I154" s="24" t="s">
        <v>2815</v>
      </c>
      <c r="J154" s="24">
        <v>50.53</v>
      </c>
      <c r="K154" s="24">
        <f t="shared" ref="K154:K173" si="11">-103.67</f>
        <v>-103.67</v>
      </c>
      <c r="L154" s="24">
        <v>579.1</v>
      </c>
      <c r="R154" s="42" t="s">
        <v>1860</v>
      </c>
      <c r="S154" s="42" t="s">
        <v>1860</v>
      </c>
      <c r="T154" s="42"/>
      <c r="U154" s="42" t="s">
        <v>1859</v>
      </c>
      <c r="V154" s="42" t="s">
        <v>1382</v>
      </c>
      <c r="W154" s="42" t="s">
        <v>1717</v>
      </c>
      <c r="X154" s="42" t="s">
        <v>1382</v>
      </c>
      <c r="Y154" s="42" t="s">
        <v>1382</v>
      </c>
      <c r="Z154" s="24">
        <f>(0.95+1.22)/2</f>
        <v>1.085</v>
      </c>
      <c r="AA154" s="321">
        <v>16.3</v>
      </c>
      <c r="AB154" s="321">
        <v>20.6</v>
      </c>
      <c r="AC154" s="24" t="s">
        <v>796</v>
      </c>
      <c r="AG154" s="24" t="s">
        <v>1316</v>
      </c>
      <c r="AH154" s="24" t="s">
        <v>278</v>
      </c>
      <c r="AI154" s="138" t="s">
        <v>577</v>
      </c>
      <c r="AJ154" s="24" t="s">
        <v>1536</v>
      </c>
      <c r="AK154" s="140" t="s">
        <v>116</v>
      </c>
      <c r="AL154" s="24" t="s">
        <v>280</v>
      </c>
      <c r="AM154" s="24" t="s">
        <v>288</v>
      </c>
      <c r="AN154" s="24" t="s">
        <v>502</v>
      </c>
      <c r="AT154" s="24" t="s">
        <v>161</v>
      </c>
      <c r="AU154" s="24" t="s">
        <v>161</v>
      </c>
      <c r="AV154" s="24" t="s">
        <v>177</v>
      </c>
      <c r="AW154" s="24" t="s">
        <v>119</v>
      </c>
      <c r="AX154" s="24">
        <v>6</v>
      </c>
      <c r="AZ154" s="24" t="s">
        <v>141</v>
      </c>
      <c r="BA154" s="24">
        <f>112*1000</f>
        <v>112000</v>
      </c>
      <c r="BC154" s="24">
        <f>50/0.96</f>
        <v>52.083333333333336</v>
      </c>
      <c r="BD154" s="53"/>
      <c r="BP154" s="395"/>
      <c r="BQ154" s="395"/>
      <c r="BU154" s="395">
        <f>BZ154*0.00061*100</f>
        <v>2.2142999999999997</v>
      </c>
      <c r="BV154" s="395">
        <f>CA154*0.00061*100</f>
        <v>2.4095</v>
      </c>
      <c r="BZ154" s="395">
        <f>36.3</f>
        <v>36.299999999999997</v>
      </c>
      <c r="CA154" s="395">
        <f>39.5</f>
        <v>39.5</v>
      </c>
      <c r="CD154" s="24" t="s">
        <v>4421</v>
      </c>
      <c r="CE154" s="548">
        <v>36.299999999999997</v>
      </c>
      <c r="CF154" s="548">
        <v>39.5</v>
      </c>
      <c r="CG154" s="548"/>
      <c r="CH154" s="548"/>
      <c r="CI154" s="24" t="s">
        <v>4543</v>
      </c>
      <c r="CJ154" s="24">
        <f>BZ154/12.5*10000</f>
        <v>29040</v>
      </c>
      <c r="CK154" s="24">
        <f>CA154/11.8*10000</f>
        <v>33474.576271186437</v>
      </c>
      <c r="CN154" s="24" t="s">
        <v>813</v>
      </c>
      <c r="GZ154" s="12"/>
      <c r="HD154" s="12"/>
      <c r="HY154" s="24">
        <f>184*0.61/24</f>
        <v>4.6766666666666667</v>
      </c>
      <c r="HZ154" s="24">
        <f>214*0.61/24</f>
        <v>5.439166666666666</v>
      </c>
      <c r="IN154" s="24">
        <f>905*1000000/1627500</f>
        <v>556.06758832565288</v>
      </c>
      <c r="IO154" s="24">
        <f>987*1000000/1627500</f>
        <v>606.45161290322585</v>
      </c>
      <c r="IS154" s="24">
        <f>79*1000000/1627500</f>
        <v>48.540706605222731</v>
      </c>
      <c r="IT154" s="24">
        <f>125*1000000/1627500</f>
        <v>76.804915514592935</v>
      </c>
      <c r="JB154" s="24" t="s">
        <v>292</v>
      </c>
    </row>
    <row r="155" spans="1:262" s="24" customFormat="1" x14ac:dyDescent="0.25">
      <c r="A155" s="24">
        <v>13</v>
      </c>
      <c r="B155" s="42" t="s">
        <v>3815</v>
      </c>
      <c r="C155" s="24" t="s">
        <v>265</v>
      </c>
      <c r="D155" s="24" t="s">
        <v>275</v>
      </c>
      <c r="E155" s="24">
        <v>1991</v>
      </c>
      <c r="F155" s="24">
        <v>1987</v>
      </c>
      <c r="G155" s="202" t="s">
        <v>276</v>
      </c>
      <c r="H155" s="24" t="s">
        <v>277</v>
      </c>
      <c r="I155" s="24" t="s">
        <v>2815</v>
      </c>
      <c r="J155" s="24">
        <v>50.53</v>
      </c>
      <c r="K155" s="24">
        <f t="shared" si="11"/>
        <v>-103.67</v>
      </c>
      <c r="L155" s="24">
        <v>579.1</v>
      </c>
      <c r="R155" s="42" t="s">
        <v>1860</v>
      </c>
      <c r="S155" s="42" t="s">
        <v>1860</v>
      </c>
      <c r="T155" s="42"/>
      <c r="U155" s="42" t="s">
        <v>1859</v>
      </c>
      <c r="V155" s="42" t="s">
        <v>1382</v>
      </c>
      <c r="W155" s="42" t="s">
        <v>1717</v>
      </c>
      <c r="X155" s="42" t="s">
        <v>1382</v>
      </c>
      <c r="Y155" s="42" t="s">
        <v>1382</v>
      </c>
      <c r="Z155" s="24">
        <f t="shared" ref="Z155:Z173" si="12">(0.95+1.22)/2</f>
        <v>1.085</v>
      </c>
      <c r="AA155" s="321">
        <v>16.3</v>
      </c>
      <c r="AB155" s="321">
        <v>20.6</v>
      </c>
      <c r="AC155" s="24" t="s">
        <v>796</v>
      </c>
      <c r="AG155" s="24" t="s">
        <v>1316</v>
      </c>
      <c r="AH155" s="24" t="s">
        <v>278</v>
      </c>
      <c r="AI155" s="138" t="s">
        <v>577</v>
      </c>
      <c r="AJ155" s="24" t="s">
        <v>1536</v>
      </c>
      <c r="AK155" s="140" t="s">
        <v>116</v>
      </c>
      <c r="AL155" s="24" t="s">
        <v>280</v>
      </c>
      <c r="AM155" s="24" t="s">
        <v>288</v>
      </c>
      <c r="AN155" s="24" t="s">
        <v>502</v>
      </c>
      <c r="AT155" s="24" t="s">
        <v>279</v>
      </c>
      <c r="AU155" s="24" t="s">
        <v>161</v>
      </c>
      <c r="AV155" s="24" t="s">
        <v>502</v>
      </c>
      <c r="AW155" s="24" t="s">
        <v>119</v>
      </c>
      <c r="AX155" s="24">
        <v>6</v>
      </c>
      <c r="AZ155" s="24" t="s">
        <v>141</v>
      </c>
      <c r="BA155" s="24">
        <f t="shared" ref="BA155:BA163" si="13">112*1000</f>
        <v>112000</v>
      </c>
      <c r="BC155" s="24">
        <f t="shared" ref="BC155:BC163" si="14">50/0.96</f>
        <v>52.083333333333336</v>
      </c>
      <c r="BD155" s="53"/>
      <c r="BP155" s="395"/>
      <c r="BQ155" s="395"/>
      <c r="BU155" s="395">
        <f t="shared" ref="BU155:BU158" si="15">BZ155*0.00061*100</f>
        <v>2.3118999999999996</v>
      </c>
      <c r="BV155" s="395">
        <f t="shared" ref="BV155:BV158" si="16">CA155*0.00061*100</f>
        <v>2.4095</v>
      </c>
      <c r="BZ155" s="395">
        <f>37.9</f>
        <v>37.9</v>
      </c>
      <c r="CA155" s="395">
        <f>39.5</f>
        <v>39.5</v>
      </c>
      <c r="CD155" s="24" t="s">
        <v>4421</v>
      </c>
      <c r="CE155" s="548">
        <v>37.9</v>
      </c>
      <c r="CF155" s="548">
        <v>39.5</v>
      </c>
      <c r="CG155" s="548"/>
      <c r="CH155" s="548"/>
      <c r="CI155" s="24" t="s">
        <v>4543</v>
      </c>
      <c r="CJ155" s="24">
        <f>BZ155/12.6*10000</f>
        <v>30079.365079365078</v>
      </c>
      <c r="CK155" s="24">
        <f>CA155/11.8*10000</f>
        <v>33474.576271186437</v>
      </c>
      <c r="CN155" s="24" t="s">
        <v>813</v>
      </c>
      <c r="GZ155" s="12"/>
      <c r="HD155" s="12"/>
      <c r="HY155" s="24">
        <f>178*0.61/24</f>
        <v>4.5241666666666669</v>
      </c>
      <c r="HZ155" s="24">
        <f t="shared" ref="HZ155:HZ158" si="17">214*0.61/24</f>
        <v>5.439166666666666</v>
      </c>
      <c r="IN155" s="24">
        <f>815*1000000/1627500</f>
        <v>500.76804915514595</v>
      </c>
      <c r="IO155" s="24">
        <f t="shared" ref="IO155:IO158" si="18">987*1000000/1627500</f>
        <v>606.45161290322585</v>
      </c>
      <c r="IS155" s="24">
        <f>75*1000000/1627500</f>
        <v>46.082949308755758</v>
      </c>
      <c r="IT155" s="24">
        <f t="shared" ref="IT155:IT158" si="19">125*1000000/1627500</f>
        <v>76.804915514592935</v>
      </c>
      <c r="JB155" s="24" t="s">
        <v>292</v>
      </c>
    </row>
    <row r="156" spans="1:262" s="24" customFormat="1" x14ac:dyDescent="0.25">
      <c r="A156" s="24">
        <v>13</v>
      </c>
      <c r="B156" s="42" t="s">
        <v>3814</v>
      </c>
      <c r="C156" s="24" t="s">
        <v>265</v>
      </c>
      <c r="D156" s="24" t="s">
        <v>275</v>
      </c>
      <c r="E156" s="24">
        <v>1991</v>
      </c>
      <c r="F156" s="24">
        <v>1987</v>
      </c>
      <c r="G156" s="202" t="s">
        <v>276</v>
      </c>
      <c r="H156" s="24" t="s">
        <v>277</v>
      </c>
      <c r="I156" s="24" t="s">
        <v>2815</v>
      </c>
      <c r="J156" s="24">
        <v>50.53</v>
      </c>
      <c r="K156" s="24">
        <f t="shared" si="11"/>
        <v>-103.67</v>
      </c>
      <c r="L156" s="24">
        <v>579.1</v>
      </c>
      <c r="R156" s="42" t="s">
        <v>1860</v>
      </c>
      <c r="S156" s="42" t="s">
        <v>1860</v>
      </c>
      <c r="T156" s="42"/>
      <c r="U156" s="42" t="s">
        <v>1859</v>
      </c>
      <c r="V156" s="42" t="s">
        <v>1382</v>
      </c>
      <c r="W156" s="42" t="s">
        <v>1717</v>
      </c>
      <c r="X156" s="42" t="s">
        <v>1382</v>
      </c>
      <c r="Y156" s="42" t="s">
        <v>1382</v>
      </c>
      <c r="Z156" s="24">
        <f t="shared" si="12"/>
        <v>1.085</v>
      </c>
      <c r="AA156" s="321">
        <v>16.3</v>
      </c>
      <c r="AB156" s="321">
        <v>20.6</v>
      </c>
      <c r="AC156" s="24" t="s">
        <v>796</v>
      </c>
      <c r="AG156" s="24" t="s">
        <v>1316</v>
      </c>
      <c r="AH156" s="24" t="s">
        <v>278</v>
      </c>
      <c r="AI156" s="138" t="s">
        <v>577</v>
      </c>
      <c r="AJ156" s="24" t="s">
        <v>1536</v>
      </c>
      <c r="AK156" s="140" t="s">
        <v>116</v>
      </c>
      <c r="AL156" s="24" t="s">
        <v>1378</v>
      </c>
      <c r="AM156" s="24" t="s">
        <v>288</v>
      </c>
      <c r="AN156" s="24" t="s">
        <v>502</v>
      </c>
      <c r="AT156" s="24" t="s">
        <v>161</v>
      </c>
      <c r="AU156" s="24" t="s">
        <v>161</v>
      </c>
      <c r="AV156" s="24" t="s">
        <v>502</v>
      </c>
      <c r="AW156" s="24" t="s">
        <v>119</v>
      </c>
      <c r="AX156" s="24">
        <v>6</v>
      </c>
      <c r="AZ156" s="24" t="s">
        <v>141</v>
      </c>
      <c r="BA156" s="24">
        <f t="shared" si="13"/>
        <v>112000</v>
      </c>
      <c r="BC156" s="24">
        <f t="shared" si="14"/>
        <v>52.083333333333336</v>
      </c>
      <c r="BD156" s="53"/>
      <c r="BP156" s="395"/>
      <c r="BQ156" s="395"/>
      <c r="BU156" s="395">
        <f t="shared" si="15"/>
        <v>2.2203999999999997</v>
      </c>
      <c r="BV156" s="395">
        <f t="shared" si="16"/>
        <v>2.4095</v>
      </c>
      <c r="BZ156" s="395">
        <f>36.4</f>
        <v>36.4</v>
      </c>
      <c r="CA156" s="395">
        <f>39.5</f>
        <v>39.5</v>
      </c>
      <c r="CD156" s="24" t="s">
        <v>4421</v>
      </c>
      <c r="CE156" s="548">
        <v>36.4</v>
      </c>
      <c r="CF156" s="548">
        <v>39.5</v>
      </c>
      <c r="CG156" s="548"/>
      <c r="CH156" s="548"/>
      <c r="CI156" s="24" t="s">
        <v>4543</v>
      </c>
      <c r="CJ156" s="24">
        <f>BZ156/12.5*10000</f>
        <v>29120</v>
      </c>
      <c r="CK156" s="24">
        <f>CA156/11.8*10000</f>
        <v>33474.576271186437</v>
      </c>
      <c r="CN156" s="24" t="s">
        <v>813</v>
      </c>
      <c r="GZ156" s="12"/>
      <c r="HD156" s="12"/>
      <c r="HY156" s="24">
        <f>200*0.61/24</f>
        <v>5.083333333333333</v>
      </c>
      <c r="HZ156" s="24">
        <f t="shared" si="17"/>
        <v>5.439166666666666</v>
      </c>
      <c r="IN156" s="24">
        <f>804*1000000/1627500</f>
        <v>494.00921658986175</v>
      </c>
      <c r="IO156" s="24">
        <f t="shared" si="18"/>
        <v>606.45161290322585</v>
      </c>
      <c r="IS156" s="24">
        <f>89*1000000/1627500</f>
        <v>54.685099846390166</v>
      </c>
      <c r="IT156" s="24">
        <f t="shared" si="19"/>
        <v>76.804915514592935</v>
      </c>
      <c r="JB156" s="24" t="s">
        <v>292</v>
      </c>
    </row>
    <row r="157" spans="1:262" s="24" customFormat="1" x14ac:dyDescent="0.25">
      <c r="A157" s="24">
        <v>13</v>
      </c>
      <c r="B157" s="42" t="s">
        <v>3815</v>
      </c>
      <c r="C157" s="24" t="s">
        <v>265</v>
      </c>
      <c r="D157" s="24" t="s">
        <v>275</v>
      </c>
      <c r="E157" s="24">
        <v>1991</v>
      </c>
      <c r="F157" s="24">
        <v>1987</v>
      </c>
      <c r="G157" s="202" t="s">
        <v>276</v>
      </c>
      <c r="H157" s="24" t="s">
        <v>277</v>
      </c>
      <c r="I157" s="24" t="s">
        <v>2815</v>
      </c>
      <c r="J157" s="24">
        <v>50.53</v>
      </c>
      <c r="K157" s="24">
        <f t="shared" si="11"/>
        <v>-103.67</v>
      </c>
      <c r="L157" s="24">
        <v>579.1</v>
      </c>
      <c r="R157" s="42" t="s">
        <v>1860</v>
      </c>
      <c r="S157" s="42" t="s">
        <v>1860</v>
      </c>
      <c r="T157" s="42"/>
      <c r="U157" s="42" t="s">
        <v>1859</v>
      </c>
      <c r="V157" s="42" t="s">
        <v>1382</v>
      </c>
      <c r="W157" s="42" t="s">
        <v>1717</v>
      </c>
      <c r="X157" s="42" t="s">
        <v>1382</v>
      </c>
      <c r="Y157" s="42" t="s">
        <v>1382</v>
      </c>
      <c r="Z157" s="24">
        <f t="shared" si="12"/>
        <v>1.085</v>
      </c>
      <c r="AA157" s="321">
        <v>16.3</v>
      </c>
      <c r="AB157" s="321">
        <v>20.6</v>
      </c>
      <c r="AC157" s="24" t="s">
        <v>796</v>
      </c>
      <c r="AG157" s="24" t="s">
        <v>1316</v>
      </c>
      <c r="AH157" s="24" t="s">
        <v>278</v>
      </c>
      <c r="AI157" s="138" t="s">
        <v>577</v>
      </c>
      <c r="AJ157" s="24" t="s">
        <v>1536</v>
      </c>
      <c r="AK157" s="140" t="s">
        <v>116</v>
      </c>
      <c r="AL157" s="24" t="s">
        <v>1378</v>
      </c>
      <c r="AM157" s="24" t="s">
        <v>288</v>
      </c>
      <c r="AN157" s="24" t="s">
        <v>502</v>
      </c>
      <c r="AT157" s="24" t="s">
        <v>279</v>
      </c>
      <c r="AU157" s="24" t="s">
        <v>161</v>
      </c>
      <c r="AV157" s="24" t="s">
        <v>502</v>
      </c>
      <c r="AW157" s="24" t="s">
        <v>119</v>
      </c>
      <c r="AX157" s="24">
        <v>6</v>
      </c>
      <c r="AZ157" s="24" t="s">
        <v>141</v>
      </c>
      <c r="BA157" s="24">
        <f t="shared" si="13"/>
        <v>112000</v>
      </c>
      <c r="BC157" s="24">
        <f t="shared" si="14"/>
        <v>52.083333333333336</v>
      </c>
      <c r="BD157" s="53"/>
      <c r="BP157" s="395"/>
      <c r="BQ157" s="395"/>
      <c r="BU157" s="395">
        <f t="shared" si="15"/>
        <v>2.3485</v>
      </c>
      <c r="BV157" s="395">
        <f t="shared" si="16"/>
        <v>2.4095</v>
      </c>
      <c r="BZ157" s="395">
        <f>38.5</f>
        <v>38.5</v>
      </c>
      <c r="CA157" s="395">
        <f>39.5</f>
        <v>39.5</v>
      </c>
      <c r="CD157" s="24" t="s">
        <v>4421</v>
      </c>
      <c r="CE157" s="548">
        <v>38.5</v>
      </c>
      <c r="CF157" s="548">
        <v>39.5</v>
      </c>
      <c r="CG157" s="548"/>
      <c r="CH157" s="548"/>
      <c r="CI157" s="24" t="s">
        <v>4543</v>
      </c>
      <c r="CJ157" s="24">
        <f>BZ157/11.9*10000</f>
        <v>32352.941176470587</v>
      </c>
      <c r="CK157" s="24">
        <f>CA157/11.8*10000</f>
        <v>33474.576271186437</v>
      </c>
      <c r="CN157" s="24" t="s">
        <v>813</v>
      </c>
      <c r="GZ157" s="12"/>
      <c r="HD157" s="12"/>
      <c r="HY157" s="24">
        <f>193*0.61/24</f>
        <v>4.9054166666666665</v>
      </c>
      <c r="HZ157" s="24">
        <f t="shared" si="17"/>
        <v>5.439166666666666</v>
      </c>
      <c r="IN157" s="24">
        <f>891*1000000/1627500</f>
        <v>547.46543778801845</v>
      </c>
      <c r="IO157" s="24">
        <f t="shared" si="18"/>
        <v>606.45161290322585</v>
      </c>
      <c r="IS157" s="24">
        <f>88*1000000/1627500</f>
        <v>54.070660522273428</v>
      </c>
      <c r="IT157" s="24">
        <f t="shared" si="19"/>
        <v>76.804915514592935</v>
      </c>
      <c r="JB157" s="24" t="s">
        <v>292</v>
      </c>
    </row>
    <row r="158" spans="1:262" s="24" customFormat="1" x14ac:dyDescent="0.25">
      <c r="A158" s="24">
        <v>13</v>
      </c>
      <c r="B158" s="42" t="s">
        <v>3816</v>
      </c>
      <c r="C158" s="24" t="s">
        <v>265</v>
      </c>
      <c r="D158" s="24" t="s">
        <v>275</v>
      </c>
      <c r="E158" s="24">
        <v>1991</v>
      </c>
      <c r="F158" s="24">
        <v>1987</v>
      </c>
      <c r="G158" s="202" t="s">
        <v>276</v>
      </c>
      <c r="H158" s="24" t="s">
        <v>277</v>
      </c>
      <c r="I158" s="24" t="s">
        <v>2815</v>
      </c>
      <c r="J158" s="24">
        <v>50.53</v>
      </c>
      <c r="K158" s="24">
        <f t="shared" si="11"/>
        <v>-103.67</v>
      </c>
      <c r="L158" s="24">
        <v>579.1</v>
      </c>
      <c r="R158" s="42" t="s">
        <v>1860</v>
      </c>
      <c r="S158" s="42" t="s">
        <v>1860</v>
      </c>
      <c r="T158" s="42"/>
      <c r="U158" s="42" t="s">
        <v>1859</v>
      </c>
      <c r="V158" s="42" t="s">
        <v>1382</v>
      </c>
      <c r="W158" s="42" t="s">
        <v>1717</v>
      </c>
      <c r="X158" s="42" t="s">
        <v>1382</v>
      </c>
      <c r="Y158" s="42" t="s">
        <v>1382</v>
      </c>
      <c r="Z158" s="24">
        <f t="shared" si="12"/>
        <v>1.085</v>
      </c>
      <c r="AA158" s="321">
        <v>16.3</v>
      </c>
      <c r="AB158" s="321">
        <v>20.6</v>
      </c>
      <c r="AC158" s="24" t="s">
        <v>796</v>
      </c>
      <c r="AG158" s="24" t="s">
        <v>1316</v>
      </c>
      <c r="AH158" s="24" t="s">
        <v>278</v>
      </c>
      <c r="AI158" s="138" t="s">
        <v>577</v>
      </c>
      <c r="AJ158" s="24" t="s">
        <v>1536</v>
      </c>
      <c r="AK158" s="140" t="s">
        <v>116</v>
      </c>
      <c r="AL158" s="24" t="s">
        <v>1378</v>
      </c>
      <c r="AM158" s="24" t="s">
        <v>288</v>
      </c>
      <c r="AN158" s="24" t="s">
        <v>502</v>
      </c>
      <c r="AT158" s="24" t="s">
        <v>281</v>
      </c>
      <c r="AU158" s="24" t="s">
        <v>161</v>
      </c>
      <c r="AV158" s="24" t="s">
        <v>502</v>
      </c>
      <c r="AW158" s="24" t="s">
        <v>119</v>
      </c>
      <c r="AX158" s="24">
        <v>6</v>
      </c>
      <c r="AZ158" s="24" t="s">
        <v>141</v>
      </c>
      <c r="BA158" s="24">
        <f t="shared" si="13"/>
        <v>112000</v>
      </c>
      <c r="BC158" s="24">
        <f t="shared" si="14"/>
        <v>52.083333333333336</v>
      </c>
      <c r="BD158" s="53"/>
      <c r="BP158" s="395"/>
      <c r="BQ158" s="395"/>
      <c r="BU158" s="395">
        <f t="shared" si="15"/>
        <v>2.3302</v>
      </c>
      <c r="BV158" s="395">
        <f t="shared" si="16"/>
        <v>2.4095</v>
      </c>
      <c r="BZ158" s="395">
        <f>38.2</f>
        <v>38.200000000000003</v>
      </c>
      <c r="CA158" s="395">
        <f>39.5</f>
        <v>39.5</v>
      </c>
      <c r="CD158" s="24" t="s">
        <v>4421</v>
      </c>
      <c r="CE158" s="548">
        <v>38.200000000000003</v>
      </c>
      <c r="CF158" s="548">
        <v>39.5</v>
      </c>
      <c r="CG158" s="548"/>
      <c r="CH158" s="548"/>
      <c r="CI158" s="24" t="s">
        <v>4543</v>
      </c>
      <c r="CJ158" s="24">
        <f>BZ158/12.7*10000</f>
        <v>30078.740157480319</v>
      </c>
      <c r="CK158" s="24">
        <f>CA158/11.8*10000</f>
        <v>33474.576271186437</v>
      </c>
      <c r="CN158" s="24" t="s">
        <v>813</v>
      </c>
      <c r="GZ158" s="12"/>
      <c r="HD158" s="12"/>
      <c r="HY158" s="24">
        <f>168*0.61/24</f>
        <v>4.2700000000000005</v>
      </c>
      <c r="HZ158" s="24">
        <f t="shared" si="17"/>
        <v>5.439166666666666</v>
      </c>
      <c r="IN158" s="24">
        <f>833*1000000/1627500</f>
        <v>511.8279569892473</v>
      </c>
      <c r="IO158" s="24">
        <f t="shared" si="18"/>
        <v>606.45161290322585</v>
      </c>
      <c r="IS158" s="24">
        <f>80*1000000/1627500</f>
        <v>49.155145929339476</v>
      </c>
      <c r="IT158" s="24">
        <f t="shared" si="19"/>
        <v>76.804915514592935</v>
      </c>
      <c r="JB158" s="24" t="s">
        <v>292</v>
      </c>
    </row>
    <row r="159" spans="1:262" s="32" customFormat="1" x14ac:dyDescent="0.25">
      <c r="A159" s="32">
        <v>13</v>
      </c>
      <c r="B159" s="44" t="s">
        <v>3814</v>
      </c>
      <c r="C159" s="32" t="s">
        <v>265</v>
      </c>
      <c r="D159" s="32" t="s">
        <v>275</v>
      </c>
      <c r="E159" s="32">
        <v>1991</v>
      </c>
      <c r="F159" s="32">
        <v>1987</v>
      </c>
      <c r="G159" s="203" t="s">
        <v>276</v>
      </c>
      <c r="H159" s="32" t="s">
        <v>277</v>
      </c>
      <c r="I159" s="24" t="s">
        <v>2815</v>
      </c>
      <c r="J159" s="32">
        <v>50.53</v>
      </c>
      <c r="K159" s="32">
        <f t="shared" si="11"/>
        <v>-103.67</v>
      </c>
      <c r="L159" s="32">
        <v>579.1</v>
      </c>
      <c r="R159" s="44" t="s">
        <v>1860</v>
      </c>
      <c r="S159" s="44" t="s">
        <v>1860</v>
      </c>
      <c r="T159" s="44"/>
      <c r="U159" s="44" t="s">
        <v>1859</v>
      </c>
      <c r="V159" s="44" t="s">
        <v>1382</v>
      </c>
      <c r="W159" s="44" t="s">
        <v>1717</v>
      </c>
      <c r="X159" s="44" t="s">
        <v>1382</v>
      </c>
      <c r="Y159" s="44" t="s">
        <v>1382</v>
      </c>
      <c r="Z159" s="32">
        <f>(0.95+1.22)/2</f>
        <v>1.085</v>
      </c>
      <c r="AA159" s="323">
        <v>16.3</v>
      </c>
      <c r="AB159" s="323">
        <v>20.6</v>
      </c>
      <c r="AC159" s="32" t="s">
        <v>796</v>
      </c>
      <c r="AG159" s="32" t="s">
        <v>1316</v>
      </c>
      <c r="AH159" s="32" t="s">
        <v>278</v>
      </c>
      <c r="AI159" s="138" t="s">
        <v>577</v>
      </c>
      <c r="AJ159" s="32" t="s">
        <v>1536</v>
      </c>
      <c r="AK159" s="140" t="s">
        <v>116</v>
      </c>
      <c r="AL159" s="32" t="s">
        <v>280</v>
      </c>
      <c r="AM159" s="32" t="s">
        <v>287</v>
      </c>
      <c r="AN159" s="32" t="s">
        <v>502</v>
      </c>
      <c r="AT159" s="32" t="s">
        <v>161</v>
      </c>
      <c r="AU159" s="24" t="s">
        <v>161</v>
      </c>
      <c r="AV159" s="32" t="s">
        <v>177</v>
      </c>
      <c r="AW159" s="32" t="s">
        <v>119</v>
      </c>
      <c r="AX159" s="32">
        <v>6</v>
      </c>
      <c r="AZ159" s="32" t="s">
        <v>141</v>
      </c>
      <c r="BA159" s="32">
        <f t="shared" si="13"/>
        <v>112000</v>
      </c>
      <c r="BC159" s="32">
        <f t="shared" si="14"/>
        <v>52.083333333333336</v>
      </c>
      <c r="BD159" s="53"/>
      <c r="BP159" s="397"/>
      <c r="BQ159" s="397"/>
      <c r="BU159" s="397">
        <f>BZ159*0.00061*100</f>
        <v>2.2142999999999997</v>
      </c>
      <c r="BV159" s="397">
        <f>CA159*0.00061*100</f>
        <v>2.4339</v>
      </c>
      <c r="BZ159" s="397">
        <f>36.3</f>
        <v>36.299999999999997</v>
      </c>
      <c r="CA159" s="397">
        <f>39.9</f>
        <v>39.9</v>
      </c>
      <c r="CD159" s="24" t="s">
        <v>4421</v>
      </c>
      <c r="CE159" s="550">
        <v>36.299999999999997</v>
      </c>
      <c r="CF159" s="550">
        <v>39.9</v>
      </c>
      <c r="CG159" s="550"/>
      <c r="CH159" s="550"/>
      <c r="CI159" s="24" t="s">
        <v>4543</v>
      </c>
      <c r="CJ159" s="32">
        <f>BZ159/12.5*10000</f>
        <v>29040</v>
      </c>
      <c r="CK159" s="32">
        <f>CA159/12*10000</f>
        <v>33250</v>
      </c>
      <c r="CN159" s="32" t="s">
        <v>813</v>
      </c>
      <c r="GZ159" s="12"/>
      <c r="HD159" s="12"/>
      <c r="HY159" s="32">
        <f>184*0.61/24</f>
        <v>4.6766666666666667</v>
      </c>
      <c r="HZ159" s="32">
        <f>199*0.61/24</f>
        <v>5.0579166666666664</v>
      </c>
      <c r="IN159" s="32">
        <f>905*1000000/1627500</f>
        <v>556.06758832565288</v>
      </c>
      <c r="IO159" s="32">
        <f>1094*1000000/1627500</f>
        <v>672.19662058371739</v>
      </c>
      <c r="IS159" s="32">
        <v>48.540706605222702</v>
      </c>
      <c r="IT159" s="32">
        <f>124*1000000/1627500</f>
        <v>76.19047619047619</v>
      </c>
      <c r="JB159" s="32" t="s">
        <v>292</v>
      </c>
    </row>
    <row r="160" spans="1:262" s="32" customFormat="1" x14ac:dyDescent="0.25">
      <c r="A160" s="32">
        <v>13</v>
      </c>
      <c r="B160" s="44" t="s">
        <v>3815</v>
      </c>
      <c r="C160" s="32" t="s">
        <v>265</v>
      </c>
      <c r="D160" s="32" t="s">
        <v>275</v>
      </c>
      <c r="E160" s="32">
        <v>1991</v>
      </c>
      <c r="F160" s="32">
        <v>1987</v>
      </c>
      <c r="G160" s="203" t="s">
        <v>276</v>
      </c>
      <c r="H160" s="32" t="s">
        <v>277</v>
      </c>
      <c r="I160" s="24" t="s">
        <v>2815</v>
      </c>
      <c r="J160" s="32">
        <v>50.53</v>
      </c>
      <c r="K160" s="32">
        <f t="shared" si="11"/>
        <v>-103.67</v>
      </c>
      <c r="L160" s="32">
        <v>579.1</v>
      </c>
      <c r="R160" s="44" t="s">
        <v>1860</v>
      </c>
      <c r="S160" s="44" t="s">
        <v>1860</v>
      </c>
      <c r="T160" s="44"/>
      <c r="U160" s="44" t="s">
        <v>1859</v>
      </c>
      <c r="V160" s="44" t="s">
        <v>1382</v>
      </c>
      <c r="W160" s="44" t="s">
        <v>1717</v>
      </c>
      <c r="X160" s="44" t="s">
        <v>1382</v>
      </c>
      <c r="Y160" s="44" t="s">
        <v>1382</v>
      </c>
      <c r="Z160" s="32">
        <f t="shared" si="12"/>
        <v>1.085</v>
      </c>
      <c r="AA160" s="323">
        <v>16.3</v>
      </c>
      <c r="AB160" s="323">
        <v>20.6</v>
      </c>
      <c r="AC160" s="32" t="s">
        <v>796</v>
      </c>
      <c r="AG160" s="32" t="s">
        <v>1316</v>
      </c>
      <c r="AH160" s="32" t="s">
        <v>278</v>
      </c>
      <c r="AI160" s="138" t="s">
        <v>577</v>
      </c>
      <c r="AJ160" s="32" t="s">
        <v>1536</v>
      </c>
      <c r="AK160" s="140" t="s">
        <v>116</v>
      </c>
      <c r="AL160" s="32" t="s">
        <v>280</v>
      </c>
      <c r="AM160" s="32" t="s">
        <v>287</v>
      </c>
      <c r="AN160" s="32" t="s">
        <v>502</v>
      </c>
      <c r="AT160" s="32" t="s">
        <v>279</v>
      </c>
      <c r="AU160" s="24" t="s">
        <v>161</v>
      </c>
      <c r="AV160" s="32" t="s">
        <v>502</v>
      </c>
      <c r="AW160" s="32" t="s">
        <v>119</v>
      </c>
      <c r="AX160" s="32">
        <v>6</v>
      </c>
      <c r="AZ160" s="32" t="s">
        <v>141</v>
      </c>
      <c r="BA160" s="32">
        <f t="shared" si="13"/>
        <v>112000</v>
      </c>
      <c r="BC160" s="32">
        <f t="shared" si="14"/>
        <v>52.083333333333336</v>
      </c>
      <c r="BD160" s="53"/>
      <c r="BP160" s="397"/>
      <c r="BQ160" s="397"/>
      <c r="BU160" s="397">
        <f t="shared" ref="BU160:BU163" si="20">BZ160*0.00061*100</f>
        <v>2.3118999999999996</v>
      </c>
      <c r="BV160" s="397">
        <f t="shared" ref="BV160:BV163" si="21">CA160*0.00061*100</f>
        <v>2.4339</v>
      </c>
      <c r="BZ160" s="397">
        <f>37.9</f>
        <v>37.9</v>
      </c>
      <c r="CA160" s="397">
        <f>39.9</f>
        <v>39.9</v>
      </c>
      <c r="CD160" s="24" t="s">
        <v>4421</v>
      </c>
      <c r="CE160" s="550">
        <v>37.9</v>
      </c>
      <c r="CF160" s="550">
        <v>39.9</v>
      </c>
      <c r="CG160" s="550"/>
      <c r="CH160" s="550"/>
      <c r="CI160" s="24" t="s">
        <v>4543</v>
      </c>
      <c r="CJ160" s="32">
        <f>BZ160/12.6*10000</f>
        <v>30079.365079365078</v>
      </c>
      <c r="CK160" s="32">
        <f>CA160/12*10000</f>
        <v>33250</v>
      </c>
      <c r="CN160" s="32" t="s">
        <v>813</v>
      </c>
      <c r="GZ160" s="12"/>
      <c r="HD160" s="12"/>
      <c r="HY160" s="32">
        <f>178*0.61/24</f>
        <v>4.5241666666666669</v>
      </c>
      <c r="HZ160" s="32">
        <f t="shared" ref="HZ160:HZ163" si="22">199*0.61/24</f>
        <v>5.0579166666666664</v>
      </c>
      <c r="IN160" s="32">
        <f>815*1000000/1627500</f>
        <v>500.76804915514595</v>
      </c>
      <c r="IO160" s="32">
        <f t="shared" ref="IO160:IO163" si="23">1094*1000000/1627500</f>
        <v>672.19662058371739</v>
      </c>
      <c r="IS160" s="32">
        <v>46.082949308755758</v>
      </c>
      <c r="IT160" s="32">
        <f t="shared" ref="IT160:IT163" si="24">124*1000000/1627500</f>
        <v>76.19047619047619</v>
      </c>
      <c r="JB160" s="32" t="s">
        <v>292</v>
      </c>
    </row>
    <row r="161" spans="1:262" s="32" customFormat="1" x14ac:dyDescent="0.25">
      <c r="A161" s="32">
        <v>13</v>
      </c>
      <c r="B161" s="44" t="s">
        <v>3814</v>
      </c>
      <c r="C161" s="32" t="s">
        <v>265</v>
      </c>
      <c r="D161" s="32" t="s">
        <v>275</v>
      </c>
      <c r="E161" s="32">
        <v>1991</v>
      </c>
      <c r="F161" s="32">
        <v>1987</v>
      </c>
      <c r="G161" s="203" t="s">
        <v>276</v>
      </c>
      <c r="H161" s="32" t="s">
        <v>277</v>
      </c>
      <c r="I161" s="24" t="s">
        <v>2815</v>
      </c>
      <c r="J161" s="32">
        <v>50.53</v>
      </c>
      <c r="K161" s="32">
        <f t="shared" si="11"/>
        <v>-103.67</v>
      </c>
      <c r="L161" s="32">
        <v>579.1</v>
      </c>
      <c r="R161" s="44" t="s">
        <v>1860</v>
      </c>
      <c r="S161" s="44" t="s">
        <v>1860</v>
      </c>
      <c r="T161" s="44"/>
      <c r="U161" s="44" t="s">
        <v>1859</v>
      </c>
      <c r="V161" s="44" t="s">
        <v>1382</v>
      </c>
      <c r="W161" s="44" t="s">
        <v>1717</v>
      </c>
      <c r="X161" s="44" t="s">
        <v>1382</v>
      </c>
      <c r="Y161" s="44" t="s">
        <v>1382</v>
      </c>
      <c r="Z161" s="32">
        <f t="shared" si="12"/>
        <v>1.085</v>
      </c>
      <c r="AA161" s="323">
        <v>16.3</v>
      </c>
      <c r="AB161" s="323">
        <v>20.6</v>
      </c>
      <c r="AC161" s="32" t="s">
        <v>796</v>
      </c>
      <c r="AG161" s="32" t="s">
        <v>1316</v>
      </c>
      <c r="AH161" s="32" t="s">
        <v>278</v>
      </c>
      <c r="AI161" s="138" t="s">
        <v>577</v>
      </c>
      <c r="AJ161" s="32" t="s">
        <v>1536</v>
      </c>
      <c r="AK161" s="140" t="s">
        <v>116</v>
      </c>
      <c r="AL161" s="32" t="s">
        <v>1378</v>
      </c>
      <c r="AM161" s="32" t="s">
        <v>287</v>
      </c>
      <c r="AN161" s="32" t="s">
        <v>502</v>
      </c>
      <c r="AT161" s="32" t="s">
        <v>161</v>
      </c>
      <c r="AU161" s="24" t="s">
        <v>161</v>
      </c>
      <c r="AV161" s="32" t="s">
        <v>502</v>
      </c>
      <c r="AW161" s="32" t="s">
        <v>119</v>
      </c>
      <c r="AX161" s="32">
        <v>6</v>
      </c>
      <c r="AZ161" s="32" t="s">
        <v>141</v>
      </c>
      <c r="BA161" s="32">
        <f t="shared" si="13"/>
        <v>112000</v>
      </c>
      <c r="BC161" s="32">
        <f t="shared" si="14"/>
        <v>52.083333333333336</v>
      </c>
      <c r="BD161" s="53"/>
      <c r="BP161" s="397"/>
      <c r="BQ161" s="397"/>
      <c r="BU161" s="397">
        <f t="shared" si="20"/>
        <v>2.2203999999999997</v>
      </c>
      <c r="BV161" s="397">
        <f t="shared" si="21"/>
        <v>2.4339</v>
      </c>
      <c r="BZ161" s="397">
        <f>36.4</f>
        <v>36.4</v>
      </c>
      <c r="CA161" s="397">
        <f>39.9</f>
        <v>39.9</v>
      </c>
      <c r="CD161" s="24" t="s">
        <v>4421</v>
      </c>
      <c r="CE161" s="550">
        <v>36.4</v>
      </c>
      <c r="CF161" s="550">
        <v>39.9</v>
      </c>
      <c r="CG161" s="550"/>
      <c r="CH161" s="550"/>
      <c r="CI161" s="24" t="s">
        <v>4543</v>
      </c>
      <c r="CJ161" s="32">
        <f>BZ161/12.5*10000</f>
        <v>29120</v>
      </c>
      <c r="CK161" s="32">
        <f>CA161/12*10000</f>
        <v>33250</v>
      </c>
      <c r="CN161" s="32" t="s">
        <v>813</v>
      </c>
      <c r="GZ161" s="12"/>
      <c r="HD161" s="12"/>
      <c r="HY161" s="32">
        <f>200*0.61/24</f>
        <v>5.083333333333333</v>
      </c>
      <c r="HZ161" s="32">
        <f t="shared" si="22"/>
        <v>5.0579166666666664</v>
      </c>
      <c r="IN161" s="32">
        <f>804*1000000/1627500</f>
        <v>494.00921658986175</v>
      </c>
      <c r="IO161" s="32">
        <f t="shared" si="23"/>
        <v>672.19662058371739</v>
      </c>
      <c r="IS161" s="32">
        <v>54.685099846390166</v>
      </c>
      <c r="IT161" s="32">
        <f t="shared" si="24"/>
        <v>76.19047619047619</v>
      </c>
      <c r="JB161" s="32" t="s">
        <v>292</v>
      </c>
    </row>
    <row r="162" spans="1:262" s="32" customFormat="1" x14ac:dyDescent="0.25">
      <c r="A162" s="32">
        <v>13</v>
      </c>
      <c r="B162" s="44" t="s">
        <v>3815</v>
      </c>
      <c r="C162" s="32" t="s">
        <v>265</v>
      </c>
      <c r="D162" s="32" t="s">
        <v>275</v>
      </c>
      <c r="E162" s="32">
        <v>1991</v>
      </c>
      <c r="F162" s="32">
        <v>1987</v>
      </c>
      <c r="G162" s="203" t="s">
        <v>276</v>
      </c>
      <c r="H162" s="32" t="s">
        <v>277</v>
      </c>
      <c r="I162" s="24" t="s">
        <v>2815</v>
      </c>
      <c r="J162" s="32">
        <v>50.53</v>
      </c>
      <c r="K162" s="32">
        <f t="shared" si="11"/>
        <v>-103.67</v>
      </c>
      <c r="L162" s="32">
        <v>579.1</v>
      </c>
      <c r="R162" s="44" t="s">
        <v>1860</v>
      </c>
      <c r="S162" s="44" t="s">
        <v>1860</v>
      </c>
      <c r="T162" s="44"/>
      <c r="U162" s="44" t="s">
        <v>1859</v>
      </c>
      <c r="V162" s="44" t="s">
        <v>1382</v>
      </c>
      <c r="W162" s="44" t="s">
        <v>1717</v>
      </c>
      <c r="X162" s="44" t="s">
        <v>1382</v>
      </c>
      <c r="Y162" s="44" t="s">
        <v>1382</v>
      </c>
      <c r="Z162" s="32">
        <f t="shared" si="12"/>
        <v>1.085</v>
      </c>
      <c r="AA162" s="323">
        <v>16.3</v>
      </c>
      <c r="AB162" s="323">
        <v>20.6</v>
      </c>
      <c r="AC162" s="32" t="s">
        <v>796</v>
      </c>
      <c r="AG162" s="32" t="s">
        <v>1316</v>
      </c>
      <c r="AH162" s="32" t="s">
        <v>278</v>
      </c>
      <c r="AI162" s="138" t="s">
        <v>577</v>
      </c>
      <c r="AJ162" s="32" t="s">
        <v>1536</v>
      </c>
      <c r="AK162" s="140" t="s">
        <v>116</v>
      </c>
      <c r="AL162" s="32" t="s">
        <v>1378</v>
      </c>
      <c r="AM162" s="32" t="s">
        <v>287</v>
      </c>
      <c r="AN162" s="32" t="s">
        <v>502</v>
      </c>
      <c r="AT162" s="32" t="s">
        <v>279</v>
      </c>
      <c r="AU162" s="24" t="s">
        <v>161</v>
      </c>
      <c r="AV162" s="32" t="s">
        <v>502</v>
      </c>
      <c r="AW162" s="32" t="s">
        <v>119</v>
      </c>
      <c r="AX162" s="32">
        <v>6</v>
      </c>
      <c r="AZ162" s="32" t="s">
        <v>141</v>
      </c>
      <c r="BA162" s="32">
        <f t="shared" si="13"/>
        <v>112000</v>
      </c>
      <c r="BC162" s="32">
        <f t="shared" si="14"/>
        <v>52.083333333333336</v>
      </c>
      <c r="BD162" s="53"/>
      <c r="BP162" s="397"/>
      <c r="BQ162" s="397"/>
      <c r="BU162" s="397">
        <f t="shared" si="20"/>
        <v>2.3485</v>
      </c>
      <c r="BV162" s="397">
        <f t="shared" si="21"/>
        <v>2.4339</v>
      </c>
      <c r="BZ162" s="397">
        <f>38.5</f>
        <v>38.5</v>
      </c>
      <c r="CA162" s="397">
        <f>39.9</f>
        <v>39.9</v>
      </c>
      <c r="CD162" s="24" t="s">
        <v>4421</v>
      </c>
      <c r="CE162" s="550">
        <v>38.5</v>
      </c>
      <c r="CF162" s="550">
        <v>39.9</v>
      </c>
      <c r="CG162" s="550"/>
      <c r="CH162" s="550"/>
      <c r="CI162" s="24" t="s">
        <v>4543</v>
      </c>
      <c r="CJ162" s="32">
        <f>BZ162/11.9*10000</f>
        <v>32352.941176470587</v>
      </c>
      <c r="CK162" s="32">
        <f>CA162/12*10000</f>
        <v>33250</v>
      </c>
      <c r="CN162" s="32" t="s">
        <v>813</v>
      </c>
      <c r="GZ162" s="12"/>
      <c r="HD162" s="12"/>
      <c r="HY162" s="32">
        <f>193*0.61/24</f>
        <v>4.9054166666666665</v>
      </c>
      <c r="HZ162" s="32">
        <f t="shared" si="22"/>
        <v>5.0579166666666664</v>
      </c>
      <c r="IN162" s="32">
        <f>891*1000000/1627500</f>
        <v>547.46543778801845</v>
      </c>
      <c r="IO162" s="32">
        <f t="shared" si="23"/>
        <v>672.19662058371739</v>
      </c>
      <c r="IS162" s="32">
        <v>54.070660522273428</v>
      </c>
      <c r="IT162" s="32">
        <f t="shared" si="24"/>
        <v>76.19047619047619</v>
      </c>
      <c r="JB162" s="32" t="s">
        <v>292</v>
      </c>
    </row>
    <row r="163" spans="1:262" s="32" customFormat="1" x14ac:dyDescent="0.25">
      <c r="A163" s="32">
        <v>13</v>
      </c>
      <c r="B163" s="44" t="s">
        <v>3816</v>
      </c>
      <c r="C163" s="32" t="s">
        <v>265</v>
      </c>
      <c r="D163" s="32" t="s">
        <v>275</v>
      </c>
      <c r="E163" s="32">
        <v>1991</v>
      </c>
      <c r="F163" s="32">
        <v>1987</v>
      </c>
      <c r="G163" s="203" t="s">
        <v>276</v>
      </c>
      <c r="H163" s="32" t="s">
        <v>277</v>
      </c>
      <c r="I163" s="24" t="s">
        <v>2815</v>
      </c>
      <c r="J163" s="32">
        <v>50.53</v>
      </c>
      <c r="K163" s="32">
        <f t="shared" si="11"/>
        <v>-103.67</v>
      </c>
      <c r="L163" s="32">
        <v>579.1</v>
      </c>
      <c r="R163" s="44" t="s">
        <v>1860</v>
      </c>
      <c r="S163" s="44" t="s">
        <v>1860</v>
      </c>
      <c r="T163" s="44"/>
      <c r="U163" s="44" t="s">
        <v>1859</v>
      </c>
      <c r="V163" s="44" t="s">
        <v>1382</v>
      </c>
      <c r="W163" s="44" t="s">
        <v>1717</v>
      </c>
      <c r="X163" s="44" t="s">
        <v>1382</v>
      </c>
      <c r="Y163" s="44" t="s">
        <v>1382</v>
      </c>
      <c r="Z163" s="32">
        <f t="shared" si="12"/>
        <v>1.085</v>
      </c>
      <c r="AA163" s="323">
        <v>16.3</v>
      </c>
      <c r="AB163" s="323">
        <v>20.6</v>
      </c>
      <c r="AC163" s="32" t="s">
        <v>796</v>
      </c>
      <c r="AG163" s="32" t="s">
        <v>1316</v>
      </c>
      <c r="AH163" s="32" t="s">
        <v>278</v>
      </c>
      <c r="AI163" s="138" t="s">
        <v>577</v>
      </c>
      <c r="AJ163" s="32" t="s">
        <v>1536</v>
      </c>
      <c r="AK163" s="140" t="s">
        <v>116</v>
      </c>
      <c r="AL163" s="32" t="s">
        <v>1378</v>
      </c>
      <c r="AM163" s="32" t="s">
        <v>287</v>
      </c>
      <c r="AN163" s="32" t="s">
        <v>502</v>
      </c>
      <c r="AT163" s="32" t="s">
        <v>281</v>
      </c>
      <c r="AU163" s="24" t="s">
        <v>161</v>
      </c>
      <c r="AV163" s="32" t="s">
        <v>502</v>
      </c>
      <c r="AW163" s="32" t="s">
        <v>119</v>
      </c>
      <c r="AX163" s="32">
        <v>6</v>
      </c>
      <c r="AZ163" s="32" t="s">
        <v>141</v>
      </c>
      <c r="BA163" s="32">
        <f t="shared" si="13"/>
        <v>112000</v>
      </c>
      <c r="BC163" s="32">
        <f t="shared" si="14"/>
        <v>52.083333333333336</v>
      </c>
      <c r="BD163" s="53"/>
      <c r="BP163" s="397"/>
      <c r="BQ163" s="397"/>
      <c r="BU163" s="397">
        <f t="shared" si="20"/>
        <v>2.3302</v>
      </c>
      <c r="BV163" s="397">
        <f t="shared" si="21"/>
        <v>2.4339</v>
      </c>
      <c r="BZ163" s="397">
        <f>38.2</f>
        <v>38.200000000000003</v>
      </c>
      <c r="CA163" s="397">
        <f>39.9</f>
        <v>39.9</v>
      </c>
      <c r="CD163" s="24" t="s">
        <v>4421</v>
      </c>
      <c r="CE163" s="550">
        <v>38.200000000000003</v>
      </c>
      <c r="CF163" s="550">
        <v>39.9</v>
      </c>
      <c r="CG163" s="550"/>
      <c r="CH163" s="550"/>
      <c r="CI163" s="24" t="s">
        <v>4543</v>
      </c>
      <c r="CJ163" s="32">
        <f>BZ163/12.7*10000</f>
        <v>30078.740157480319</v>
      </c>
      <c r="CK163" s="32">
        <f>CA163/12*10000</f>
        <v>33250</v>
      </c>
      <c r="CN163" s="32" t="s">
        <v>813</v>
      </c>
      <c r="GZ163" s="12"/>
      <c r="HD163" s="12"/>
      <c r="HY163" s="32">
        <f>168*0.61/24</f>
        <v>4.2700000000000005</v>
      </c>
      <c r="HZ163" s="32">
        <f t="shared" si="22"/>
        <v>5.0579166666666664</v>
      </c>
      <c r="IN163" s="32">
        <f>833*1000000/1627500</f>
        <v>511.8279569892473</v>
      </c>
      <c r="IO163" s="32">
        <f t="shared" si="23"/>
        <v>672.19662058371739</v>
      </c>
      <c r="IS163" s="32">
        <v>49.155145929339476</v>
      </c>
      <c r="IT163" s="32">
        <f t="shared" si="24"/>
        <v>76.19047619047619</v>
      </c>
      <c r="JB163" s="32" t="s">
        <v>292</v>
      </c>
    </row>
    <row r="164" spans="1:262" s="24" customFormat="1" x14ac:dyDescent="0.25">
      <c r="A164" s="24">
        <v>13</v>
      </c>
      <c r="B164" s="42" t="s">
        <v>3817</v>
      </c>
      <c r="C164" s="24" t="s">
        <v>265</v>
      </c>
      <c r="D164" s="24" t="s">
        <v>275</v>
      </c>
      <c r="E164" s="24">
        <v>1991</v>
      </c>
      <c r="F164" s="24">
        <v>1987</v>
      </c>
      <c r="G164" s="202" t="s">
        <v>276</v>
      </c>
      <c r="H164" s="24" t="s">
        <v>277</v>
      </c>
      <c r="I164" s="24" t="s">
        <v>2815</v>
      </c>
      <c r="J164" s="24">
        <v>50.53</v>
      </c>
      <c r="K164" s="24">
        <f t="shared" si="11"/>
        <v>-103.67</v>
      </c>
      <c r="L164" s="24">
        <v>579.1</v>
      </c>
      <c r="R164" s="42" t="s">
        <v>1860</v>
      </c>
      <c r="S164" s="42" t="s">
        <v>1860</v>
      </c>
      <c r="T164" s="42"/>
      <c r="U164" s="42" t="s">
        <v>1859</v>
      </c>
      <c r="V164" s="42" t="s">
        <v>1382</v>
      </c>
      <c r="W164" s="42" t="s">
        <v>1717</v>
      </c>
      <c r="X164" s="42" t="s">
        <v>1382</v>
      </c>
      <c r="Y164" s="42" t="s">
        <v>1382</v>
      </c>
      <c r="Z164" s="24">
        <f>(0.95+1.22)/2</f>
        <v>1.085</v>
      </c>
      <c r="AA164" s="321">
        <v>16.3</v>
      </c>
      <c r="AB164" s="321">
        <v>20.6</v>
      </c>
      <c r="AC164" s="24" t="s">
        <v>796</v>
      </c>
      <c r="AG164" s="24" t="s">
        <v>1316</v>
      </c>
      <c r="AH164" s="24" t="s">
        <v>1573</v>
      </c>
      <c r="AI164" s="138" t="s">
        <v>1582</v>
      </c>
      <c r="AJ164" s="24" t="s">
        <v>1536</v>
      </c>
      <c r="AK164" s="140" t="s">
        <v>116</v>
      </c>
      <c r="AL164" s="24" t="s">
        <v>280</v>
      </c>
      <c r="AM164" s="24" t="s">
        <v>289</v>
      </c>
      <c r="AN164" s="24" t="s">
        <v>502</v>
      </c>
      <c r="AT164" s="24" t="s">
        <v>161</v>
      </c>
      <c r="AU164" s="24" t="s">
        <v>161</v>
      </c>
      <c r="AV164" s="24" t="s">
        <v>177</v>
      </c>
      <c r="AW164" s="24" t="s">
        <v>119</v>
      </c>
      <c r="AX164" s="24">
        <v>6</v>
      </c>
      <c r="AZ164" s="24" t="s">
        <v>141</v>
      </c>
      <c r="BA164" s="24">
        <f>117*1000</f>
        <v>117000</v>
      </c>
      <c r="BC164" s="24">
        <f>49/1.47</f>
        <v>33.333333333333336</v>
      </c>
      <c r="BD164" s="53"/>
      <c r="BP164" s="395"/>
      <c r="BQ164" s="395"/>
      <c r="BU164" s="395">
        <f>BZ164*0.00061*100</f>
        <v>2.2142999999999997</v>
      </c>
      <c r="BV164" s="395">
        <f>CA164*0.00061*100</f>
        <v>2.5314999999999999</v>
      </c>
      <c r="BZ164" s="395">
        <f>36.3</f>
        <v>36.299999999999997</v>
      </c>
      <c r="CA164" s="395">
        <f>41.5</f>
        <v>41.5</v>
      </c>
      <c r="CD164" s="24" t="s">
        <v>4421</v>
      </c>
      <c r="CE164" s="548">
        <v>36.299999999999997</v>
      </c>
      <c r="CF164" s="548">
        <v>41.5</v>
      </c>
      <c r="CG164" s="548"/>
      <c r="CH164" s="548"/>
      <c r="CI164" s="24" t="s">
        <v>4543</v>
      </c>
      <c r="CJ164" s="24">
        <f>BZ164/12.5*10000</f>
        <v>29040</v>
      </c>
      <c r="CK164" s="24">
        <f>CA164/12.2*10000</f>
        <v>34016.393442622953</v>
      </c>
      <c r="CN164" s="24" t="s">
        <v>813</v>
      </c>
      <c r="GZ164" s="12"/>
      <c r="HD164" s="12"/>
      <c r="HY164" s="24">
        <f>184*0.61/24</f>
        <v>4.6766666666666667</v>
      </c>
      <c r="HZ164" s="24">
        <f>227*0.61/24</f>
        <v>5.7695833333333333</v>
      </c>
      <c r="IN164" s="24">
        <f>905*1000000/1627500</f>
        <v>556.06758832565288</v>
      </c>
      <c r="IO164" s="24">
        <f>1074*1000000/1627500</f>
        <v>659.90783410138249</v>
      </c>
      <c r="IS164" s="24">
        <v>48.540706605222702</v>
      </c>
      <c r="IT164" s="24">
        <f>128*1000000/1627500</f>
        <v>78.64823348694317</v>
      </c>
      <c r="JB164" s="24" t="s">
        <v>292</v>
      </c>
    </row>
    <row r="165" spans="1:262" s="24" customFormat="1" x14ac:dyDescent="0.25">
      <c r="A165" s="24">
        <v>13</v>
      </c>
      <c r="B165" s="42" t="s">
        <v>3818</v>
      </c>
      <c r="C165" s="24" t="s">
        <v>265</v>
      </c>
      <c r="D165" s="24" t="s">
        <v>275</v>
      </c>
      <c r="E165" s="24">
        <v>1991</v>
      </c>
      <c r="F165" s="24">
        <v>1987</v>
      </c>
      <c r="G165" s="202" t="s">
        <v>276</v>
      </c>
      <c r="H165" s="24" t="s">
        <v>277</v>
      </c>
      <c r="I165" s="24" t="s">
        <v>2815</v>
      </c>
      <c r="J165" s="24">
        <v>50.53</v>
      </c>
      <c r="K165" s="24">
        <f t="shared" si="11"/>
        <v>-103.67</v>
      </c>
      <c r="L165" s="24">
        <v>579.1</v>
      </c>
      <c r="R165" s="42" t="s">
        <v>1860</v>
      </c>
      <c r="S165" s="42" t="s">
        <v>1860</v>
      </c>
      <c r="T165" s="42"/>
      <c r="U165" s="42" t="s">
        <v>1859</v>
      </c>
      <c r="V165" s="42" t="s">
        <v>1382</v>
      </c>
      <c r="W165" s="42" t="s">
        <v>1717</v>
      </c>
      <c r="X165" s="42" t="s">
        <v>1382</v>
      </c>
      <c r="Y165" s="42" t="s">
        <v>1382</v>
      </c>
      <c r="Z165" s="24">
        <f t="shared" si="12"/>
        <v>1.085</v>
      </c>
      <c r="AA165" s="321">
        <v>16.3</v>
      </c>
      <c r="AB165" s="321">
        <v>20.6</v>
      </c>
      <c r="AC165" s="24" t="s">
        <v>796</v>
      </c>
      <c r="AG165" s="24" t="s">
        <v>1316</v>
      </c>
      <c r="AH165" s="24" t="s">
        <v>1573</v>
      </c>
      <c r="AI165" s="138" t="s">
        <v>1582</v>
      </c>
      <c r="AJ165" s="24" t="s">
        <v>1536</v>
      </c>
      <c r="AK165" s="140" t="s">
        <v>116</v>
      </c>
      <c r="AL165" s="24" t="s">
        <v>280</v>
      </c>
      <c r="AM165" s="24" t="s">
        <v>289</v>
      </c>
      <c r="AN165" s="24" t="s">
        <v>502</v>
      </c>
      <c r="AT165" s="24" t="s">
        <v>279</v>
      </c>
      <c r="AU165" s="24" t="s">
        <v>161</v>
      </c>
      <c r="AV165" s="24" t="s">
        <v>502</v>
      </c>
      <c r="AW165" s="24" t="s">
        <v>119</v>
      </c>
      <c r="AX165" s="24">
        <v>6</v>
      </c>
      <c r="AZ165" s="24" t="s">
        <v>141</v>
      </c>
      <c r="BA165" s="24">
        <f t="shared" ref="BA165:BA173" si="25">117*1000</f>
        <v>117000</v>
      </c>
      <c r="BC165" s="24">
        <f t="shared" ref="BC165:BC173" si="26">49/1.47</f>
        <v>33.333333333333336</v>
      </c>
      <c r="BD165" s="53"/>
      <c r="BP165" s="395"/>
      <c r="BQ165" s="395"/>
      <c r="BU165" s="395">
        <f t="shared" ref="BU165:BU168" si="27">BZ165*0.00061*100</f>
        <v>2.3118999999999996</v>
      </c>
      <c r="BV165" s="395">
        <f t="shared" ref="BV165:BV168" si="28">CA165*0.00061*100</f>
        <v>2.5314999999999999</v>
      </c>
      <c r="BZ165" s="395">
        <f>37.9</f>
        <v>37.9</v>
      </c>
      <c r="CA165" s="395">
        <f>41.5</f>
        <v>41.5</v>
      </c>
      <c r="CD165" s="24" t="s">
        <v>4421</v>
      </c>
      <c r="CE165" s="548">
        <v>37.9</v>
      </c>
      <c r="CF165" s="548">
        <v>41.5</v>
      </c>
      <c r="CG165" s="548"/>
      <c r="CH165" s="548"/>
      <c r="CI165" s="24" t="s">
        <v>4543</v>
      </c>
      <c r="CJ165" s="24">
        <f>BZ165/12.6*10000</f>
        <v>30079.365079365078</v>
      </c>
      <c r="CK165" s="24">
        <f>CA165/12.2*10000</f>
        <v>34016.393442622953</v>
      </c>
      <c r="CN165" s="24" t="s">
        <v>813</v>
      </c>
      <c r="GZ165" s="12"/>
      <c r="HD165" s="12"/>
      <c r="HY165" s="24">
        <f>178*0.61/24</f>
        <v>4.5241666666666669</v>
      </c>
      <c r="HZ165" s="24">
        <f t="shared" ref="HZ165:HZ168" si="29">227*0.61/24</f>
        <v>5.7695833333333333</v>
      </c>
      <c r="IN165" s="24">
        <f>815*1000000/1627500</f>
        <v>500.76804915514595</v>
      </c>
      <c r="IO165" s="24">
        <f t="shared" ref="IO165:IO168" si="30">1074*1000000/1627500</f>
        <v>659.90783410138249</v>
      </c>
      <c r="IS165" s="24">
        <v>46.082949308755758</v>
      </c>
      <c r="IT165" s="24">
        <f t="shared" ref="IT165:IT168" si="31">128*1000000/1627500</f>
        <v>78.64823348694317</v>
      </c>
      <c r="JB165" s="24" t="s">
        <v>292</v>
      </c>
    </row>
    <row r="166" spans="1:262" s="24" customFormat="1" x14ac:dyDescent="0.25">
      <c r="A166" s="24">
        <v>13</v>
      </c>
      <c r="B166" s="42" t="s">
        <v>3817</v>
      </c>
      <c r="C166" s="24" t="s">
        <v>265</v>
      </c>
      <c r="D166" s="24" t="s">
        <v>275</v>
      </c>
      <c r="E166" s="24">
        <v>1991</v>
      </c>
      <c r="F166" s="24">
        <v>1987</v>
      </c>
      <c r="G166" s="202" t="s">
        <v>276</v>
      </c>
      <c r="H166" s="24" t="s">
        <v>277</v>
      </c>
      <c r="I166" s="24" t="s">
        <v>2815</v>
      </c>
      <c r="J166" s="24">
        <v>50.53</v>
      </c>
      <c r="K166" s="24">
        <f t="shared" si="11"/>
        <v>-103.67</v>
      </c>
      <c r="L166" s="24">
        <v>579.1</v>
      </c>
      <c r="R166" s="42" t="s">
        <v>1860</v>
      </c>
      <c r="S166" s="42" t="s">
        <v>1860</v>
      </c>
      <c r="T166" s="42"/>
      <c r="U166" s="42" t="s">
        <v>1859</v>
      </c>
      <c r="V166" s="42" t="s">
        <v>1382</v>
      </c>
      <c r="W166" s="42" t="s">
        <v>1717</v>
      </c>
      <c r="X166" s="42" t="s">
        <v>1382</v>
      </c>
      <c r="Y166" s="42" t="s">
        <v>1382</v>
      </c>
      <c r="Z166" s="24">
        <f t="shared" si="12"/>
        <v>1.085</v>
      </c>
      <c r="AA166" s="321">
        <v>16.3</v>
      </c>
      <c r="AB166" s="321">
        <v>20.6</v>
      </c>
      <c r="AC166" s="24" t="s">
        <v>796</v>
      </c>
      <c r="AG166" s="24" t="s">
        <v>1316</v>
      </c>
      <c r="AH166" s="24" t="s">
        <v>1573</v>
      </c>
      <c r="AI166" s="138" t="s">
        <v>1582</v>
      </c>
      <c r="AJ166" s="24" t="s">
        <v>1536</v>
      </c>
      <c r="AK166" s="140" t="s">
        <v>116</v>
      </c>
      <c r="AL166" s="24" t="s">
        <v>1378</v>
      </c>
      <c r="AM166" s="24" t="s">
        <v>289</v>
      </c>
      <c r="AN166" s="24" t="s">
        <v>502</v>
      </c>
      <c r="AT166" s="24" t="s">
        <v>161</v>
      </c>
      <c r="AU166" s="24" t="s">
        <v>161</v>
      </c>
      <c r="AV166" s="24" t="s">
        <v>502</v>
      </c>
      <c r="AW166" s="24" t="s">
        <v>119</v>
      </c>
      <c r="AX166" s="24">
        <v>6</v>
      </c>
      <c r="AZ166" s="24" t="s">
        <v>141</v>
      </c>
      <c r="BA166" s="24">
        <f t="shared" si="25"/>
        <v>117000</v>
      </c>
      <c r="BC166" s="24">
        <f t="shared" si="26"/>
        <v>33.333333333333336</v>
      </c>
      <c r="BD166" s="53"/>
      <c r="BP166" s="395"/>
      <c r="BQ166" s="395"/>
      <c r="BU166" s="395">
        <f t="shared" si="27"/>
        <v>2.2203999999999997</v>
      </c>
      <c r="BV166" s="395">
        <f t="shared" si="28"/>
        <v>2.5314999999999999</v>
      </c>
      <c r="BZ166" s="395">
        <f>36.4</f>
        <v>36.4</v>
      </c>
      <c r="CA166" s="395">
        <f>41.5</f>
        <v>41.5</v>
      </c>
      <c r="CD166" s="24" t="s">
        <v>4421</v>
      </c>
      <c r="CE166" s="548">
        <v>36.4</v>
      </c>
      <c r="CF166" s="548">
        <v>41.5</v>
      </c>
      <c r="CG166" s="548"/>
      <c r="CH166" s="548"/>
      <c r="CI166" s="24" t="s">
        <v>4543</v>
      </c>
      <c r="CJ166" s="24">
        <f>BZ166/12.5*10000</f>
        <v>29120</v>
      </c>
      <c r="CK166" s="24">
        <f>CA166/12.2*10000</f>
        <v>34016.393442622953</v>
      </c>
      <c r="CN166" s="24" t="s">
        <v>813</v>
      </c>
      <c r="GZ166" s="12"/>
      <c r="HD166" s="12"/>
      <c r="HY166" s="24">
        <f>200*0.61/24</f>
        <v>5.083333333333333</v>
      </c>
      <c r="HZ166" s="24">
        <f t="shared" si="29"/>
        <v>5.7695833333333333</v>
      </c>
      <c r="IN166" s="24">
        <f>804*1000000/1627500</f>
        <v>494.00921658986175</v>
      </c>
      <c r="IO166" s="24">
        <f t="shared" si="30"/>
        <v>659.90783410138249</v>
      </c>
      <c r="IS166" s="24">
        <v>54.685099846390166</v>
      </c>
      <c r="IT166" s="24">
        <f t="shared" si="31"/>
        <v>78.64823348694317</v>
      </c>
      <c r="JB166" s="24" t="s">
        <v>292</v>
      </c>
    </row>
    <row r="167" spans="1:262" s="24" customFormat="1" x14ac:dyDescent="0.25">
      <c r="A167" s="24">
        <v>13</v>
      </c>
      <c r="B167" s="42" t="s">
        <v>3818</v>
      </c>
      <c r="C167" s="24" t="s">
        <v>265</v>
      </c>
      <c r="D167" s="24" t="s">
        <v>275</v>
      </c>
      <c r="E167" s="24">
        <v>1991</v>
      </c>
      <c r="F167" s="24">
        <v>1987</v>
      </c>
      <c r="G167" s="202" t="s">
        <v>276</v>
      </c>
      <c r="H167" s="24" t="s">
        <v>277</v>
      </c>
      <c r="I167" s="24" t="s">
        <v>2815</v>
      </c>
      <c r="J167" s="24">
        <v>50.53</v>
      </c>
      <c r="K167" s="24">
        <f t="shared" si="11"/>
        <v>-103.67</v>
      </c>
      <c r="L167" s="24">
        <v>579.1</v>
      </c>
      <c r="R167" s="42" t="s">
        <v>1860</v>
      </c>
      <c r="S167" s="42" t="s">
        <v>1860</v>
      </c>
      <c r="T167" s="42"/>
      <c r="U167" s="42" t="s">
        <v>1859</v>
      </c>
      <c r="V167" s="42" t="s">
        <v>1382</v>
      </c>
      <c r="W167" s="42" t="s">
        <v>1717</v>
      </c>
      <c r="X167" s="42" t="s">
        <v>1382</v>
      </c>
      <c r="Y167" s="42" t="s">
        <v>1382</v>
      </c>
      <c r="Z167" s="24">
        <f t="shared" si="12"/>
        <v>1.085</v>
      </c>
      <c r="AA167" s="321">
        <v>16.3</v>
      </c>
      <c r="AB167" s="321">
        <v>20.6</v>
      </c>
      <c r="AC167" s="24" t="s">
        <v>796</v>
      </c>
      <c r="AG167" s="24" t="s">
        <v>1316</v>
      </c>
      <c r="AH167" s="24" t="s">
        <v>1573</v>
      </c>
      <c r="AI167" s="138" t="s">
        <v>1582</v>
      </c>
      <c r="AJ167" s="24" t="s">
        <v>1536</v>
      </c>
      <c r="AK167" s="140" t="s">
        <v>116</v>
      </c>
      <c r="AL167" s="24" t="s">
        <v>1378</v>
      </c>
      <c r="AM167" s="24" t="s">
        <v>289</v>
      </c>
      <c r="AN167" s="24" t="s">
        <v>502</v>
      </c>
      <c r="AT167" s="24" t="s">
        <v>279</v>
      </c>
      <c r="AU167" s="24" t="s">
        <v>161</v>
      </c>
      <c r="AV167" s="24" t="s">
        <v>502</v>
      </c>
      <c r="AW167" s="24" t="s">
        <v>119</v>
      </c>
      <c r="AX167" s="24">
        <v>6</v>
      </c>
      <c r="AZ167" s="24" t="s">
        <v>141</v>
      </c>
      <c r="BA167" s="24">
        <f t="shared" si="25"/>
        <v>117000</v>
      </c>
      <c r="BC167" s="24">
        <f t="shared" si="26"/>
        <v>33.333333333333336</v>
      </c>
      <c r="BD167" s="53"/>
      <c r="BP167" s="395"/>
      <c r="BQ167" s="395"/>
      <c r="BU167" s="395">
        <f t="shared" si="27"/>
        <v>2.3485</v>
      </c>
      <c r="BV167" s="395">
        <f t="shared" si="28"/>
        <v>2.5314999999999999</v>
      </c>
      <c r="BZ167" s="395">
        <f>38.5</f>
        <v>38.5</v>
      </c>
      <c r="CA167" s="395">
        <f>41.5</f>
        <v>41.5</v>
      </c>
      <c r="CD167" s="24" t="s">
        <v>4421</v>
      </c>
      <c r="CE167" s="548">
        <v>38.5</v>
      </c>
      <c r="CF167" s="548">
        <v>41.5</v>
      </c>
      <c r="CG167" s="548"/>
      <c r="CH167" s="548"/>
      <c r="CI167" s="24" t="s">
        <v>4543</v>
      </c>
      <c r="CJ167" s="24">
        <f>BZ167/11.9*10000</f>
        <v>32352.941176470587</v>
      </c>
      <c r="CK167" s="24">
        <f>CA167/12.2*10000</f>
        <v>34016.393442622953</v>
      </c>
      <c r="CN167" s="24" t="s">
        <v>813</v>
      </c>
      <c r="GZ167" s="12"/>
      <c r="HD167" s="12"/>
      <c r="HY167" s="24">
        <f>193*0.61/24</f>
        <v>4.9054166666666665</v>
      </c>
      <c r="HZ167" s="24">
        <f t="shared" si="29"/>
        <v>5.7695833333333333</v>
      </c>
      <c r="IN167" s="24">
        <f>891*1000000/1627500</f>
        <v>547.46543778801845</v>
      </c>
      <c r="IO167" s="24">
        <f t="shared" si="30"/>
        <v>659.90783410138249</v>
      </c>
      <c r="IS167" s="24">
        <v>54.070660522273428</v>
      </c>
      <c r="IT167" s="24">
        <f t="shared" si="31"/>
        <v>78.64823348694317</v>
      </c>
      <c r="JB167" s="24" t="s">
        <v>292</v>
      </c>
    </row>
    <row r="168" spans="1:262" s="24" customFormat="1" x14ac:dyDescent="0.25">
      <c r="A168" s="24">
        <v>13</v>
      </c>
      <c r="B168" s="42" t="s">
        <v>3819</v>
      </c>
      <c r="C168" s="24" t="s">
        <v>265</v>
      </c>
      <c r="D168" s="24" t="s">
        <v>275</v>
      </c>
      <c r="E168" s="24">
        <v>1991</v>
      </c>
      <c r="F168" s="24">
        <v>1987</v>
      </c>
      <c r="G168" s="202" t="s">
        <v>276</v>
      </c>
      <c r="H168" s="24" t="s">
        <v>277</v>
      </c>
      <c r="I168" s="24" t="s">
        <v>2815</v>
      </c>
      <c r="J168" s="24">
        <v>50.53</v>
      </c>
      <c r="K168" s="24">
        <f t="shared" si="11"/>
        <v>-103.67</v>
      </c>
      <c r="L168" s="24">
        <v>579.1</v>
      </c>
      <c r="R168" s="42" t="s">
        <v>1860</v>
      </c>
      <c r="S168" s="42" t="s">
        <v>1860</v>
      </c>
      <c r="T168" s="42"/>
      <c r="U168" s="42" t="s">
        <v>1859</v>
      </c>
      <c r="V168" s="42" t="s">
        <v>1382</v>
      </c>
      <c r="W168" s="42" t="s">
        <v>1717</v>
      </c>
      <c r="X168" s="42" t="s">
        <v>1382</v>
      </c>
      <c r="Y168" s="42" t="s">
        <v>1382</v>
      </c>
      <c r="Z168" s="24">
        <f t="shared" si="12"/>
        <v>1.085</v>
      </c>
      <c r="AA168" s="321">
        <v>16.3</v>
      </c>
      <c r="AB168" s="321">
        <v>20.6</v>
      </c>
      <c r="AC168" s="24" t="s">
        <v>796</v>
      </c>
      <c r="AG168" s="24" t="s">
        <v>1316</v>
      </c>
      <c r="AH168" s="24" t="s">
        <v>1573</v>
      </c>
      <c r="AI168" s="138" t="s">
        <v>1582</v>
      </c>
      <c r="AJ168" s="24" t="s">
        <v>1536</v>
      </c>
      <c r="AK168" s="140" t="s">
        <v>116</v>
      </c>
      <c r="AL168" s="24" t="s">
        <v>1378</v>
      </c>
      <c r="AM168" s="24" t="s">
        <v>289</v>
      </c>
      <c r="AN168" s="24" t="s">
        <v>502</v>
      </c>
      <c r="AT168" s="24" t="s">
        <v>281</v>
      </c>
      <c r="AU168" s="24" t="s">
        <v>161</v>
      </c>
      <c r="AV168" s="24" t="s">
        <v>502</v>
      </c>
      <c r="AW168" s="24" t="s">
        <v>119</v>
      </c>
      <c r="AX168" s="24">
        <v>6</v>
      </c>
      <c r="AZ168" s="24" t="s">
        <v>141</v>
      </c>
      <c r="BA168" s="24">
        <f t="shared" si="25"/>
        <v>117000</v>
      </c>
      <c r="BC168" s="24">
        <f t="shared" si="26"/>
        <v>33.333333333333336</v>
      </c>
      <c r="BD168" s="53"/>
      <c r="BP168" s="395"/>
      <c r="BQ168" s="395"/>
      <c r="BU168" s="395">
        <f t="shared" si="27"/>
        <v>2.3302</v>
      </c>
      <c r="BV168" s="395">
        <f t="shared" si="28"/>
        <v>2.5314999999999999</v>
      </c>
      <c r="BZ168" s="395">
        <f>38.2</f>
        <v>38.200000000000003</v>
      </c>
      <c r="CA168" s="395">
        <f>41.5</f>
        <v>41.5</v>
      </c>
      <c r="CD168" s="24" t="s">
        <v>4421</v>
      </c>
      <c r="CE168" s="548">
        <v>38.200000000000003</v>
      </c>
      <c r="CF168" s="548">
        <v>41.5</v>
      </c>
      <c r="CG168" s="548"/>
      <c r="CH168" s="548"/>
      <c r="CI168" s="24" t="s">
        <v>4543</v>
      </c>
      <c r="CJ168" s="24">
        <f>BZ168/12.7*10000</f>
        <v>30078.740157480319</v>
      </c>
      <c r="CK168" s="24">
        <f>CA168/12.2*10000</f>
        <v>34016.393442622953</v>
      </c>
      <c r="CN168" s="24" t="s">
        <v>813</v>
      </c>
      <c r="GZ168" s="12"/>
      <c r="HD168" s="12"/>
      <c r="HY168" s="24">
        <f>168*0.61/24</f>
        <v>4.2700000000000005</v>
      </c>
      <c r="HZ168" s="24">
        <f t="shared" si="29"/>
        <v>5.7695833333333333</v>
      </c>
      <c r="IN168" s="24">
        <f>833*1000000/1627500</f>
        <v>511.8279569892473</v>
      </c>
      <c r="IO168" s="24">
        <f t="shared" si="30"/>
        <v>659.90783410138249</v>
      </c>
      <c r="IS168" s="24">
        <v>49.155145929339476</v>
      </c>
      <c r="IT168" s="24">
        <f t="shared" si="31"/>
        <v>78.64823348694317</v>
      </c>
      <c r="JB168" s="24" t="s">
        <v>292</v>
      </c>
    </row>
    <row r="169" spans="1:262" s="32" customFormat="1" x14ac:dyDescent="0.25">
      <c r="A169" s="32">
        <v>13</v>
      </c>
      <c r="B169" s="44" t="s">
        <v>3817</v>
      </c>
      <c r="C169" s="32" t="s">
        <v>265</v>
      </c>
      <c r="D169" s="32" t="s">
        <v>275</v>
      </c>
      <c r="E169" s="32">
        <v>1991</v>
      </c>
      <c r="F169" s="32">
        <v>1987</v>
      </c>
      <c r="G169" s="203" t="s">
        <v>276</v>
      </c>
      <c r="H169" s="32" t="s">
        <v>277</v>
      </c>
      <c r="I169" s="24" t="s">
        <v>2815</v>
      </c>
      <c r="J169" s="32">
        <v>50.53</v>
      </c>
      <c r="K169" s="32">
        <f t="shared" si="11"/>
        <v>-103.67</v>
      </c>
      <c r="L169" s="32">
        <v>579.1</v>
      </c>
      <c r="R169" s="44" t="s">
        <v>1860</v>
      </c>
      <c r="S169" s="44" t="s">
        <v>1860</v>
      </c>
      <c r="T169" s="44"/>
      <c r="U169" s="44" t="s">
        <v>1859</v>
      </c>
      <c r="V169" s="44" t="s">
        <v>1382</v>
      </c>
      <c r="W169" s="44" t="s">
        <v>1717</v>
      </c>
      <c r="X169" s="44" t="s">
        <v>1382</v>
      </c>
      <c r="Y169" s="44" t="s">
        <v>1382</v>
      </c>
      <c r="Z169" s="32">
        <f>(0.95+1.22)/2</f>
        <v>1.085</v>
      </c>
      <c r="AA169" s="323">
        <v>16.3</v>
      </c>
      <c r="AB169" s="323">
        <v>20.6</v>
      </c>
      <c r="AC169" s="32" t="s">
        <v>796</v>
      </c>
      <c r="AG169" s="32" t="s">
        <v>1316</v>
      </c>
      <c r="AH169" s="32" t="s">
        <v>1573</v>
      </c>
      <c r="AI169" s="138" t="s">
        <v>1582</v>
      </c>
      <c r="AJ169" s="32" t="s">
        <v>1536</v>
      </c>
      <c r="AK169" s="140" t="s">
        <v>116</v>
      </c>
      <c r="AL169" s="32" t="s">
        <v>280</v>
      </c>
      <c r="AM169" s="32" t="s">
        <v>290</v>
      </c>
      <c r="AN169" s="32" t="s">
        <v>502</v>
      </c>
      <c r="AT169" s="32" t="s">
        <v>161</v>
      </c>
      <c r="AU169" s="24" t="s">
        <v>161</v>
      </c>
      <c r="AV169" s="32" t="s">
        <v>177</v>
      </c>
      <c r="AW169" s="32" t="s">
        <v>119</v>
      </c>
      <c r="AX169" s="32">
        <v>6</v>
      </c>
      <c r="AZ169" s="32" t="s">
        <v>141</v>
      </c>
      <c r="BA169" s="32">
        <f t="shared" si="25"/>
        <v>117000</v>
      </c>
      <c r="BC169" s="32">
        <f t="shared" si="26"/>
        <v>33.333333333333336</v>
      </c>
      <c r="BD169" s="53"/>
      <c r="BP169" s="397"/>
      <c r="BQ169" s="397"/>
      <c r="BU169" s="397">
        <f>BZ169*0.00061*100</f>
        <v>2.2142999999999997</v>
      </c>
      <c r="BV169" s="397">
        <f>CA169*0.00061*100</f>
        <v>2.5742000000000003</v>
      </c>
      <c r="BZ169" s="397">
        <f>36.3</f>
        <v>36.299999999999997</v>
      </c>
      <c r="CA169" s="397">
        <f>42.2</f>
        <v>42.2</v>
      </c>
      <c r="CD169" s="24" t="s">
        <v>4421</v>
      </c>
      <c r="CE169" s="550">
        <v>36.299999999999997</v>
      </c>
      <c r="CF169" s="550">
        <v>42.2</v>
      </c>
      <c r="CG169" s="550"/>
      <c r="CH169" s="550"/>
      <c r="CI169" s="24" t="s">
        <v>4543</v>
      </c>
      <c r="CJ169" s="32">
        <f>BZ169/12.5*10000</f>
        <v>29040</v>
      </c>
      <c r="CK169" s="32">
        <f>CA169/11.5*10000</f>
        <v>36695.652173913048</v>
      </c>
      <c r="CN169" s="32" t="s">
        <v>813</v>
      </c>
      <c r="GZ169" s="12"/>
      <c r="HD169" s="12"/>
      <c r="HY169" s="32">
        <f>184*0.61/24</f>
        <v>4.6766666666666667</v>
      </c>
      <c r="HZ169" s="32">
        <f>206*0.61/24</f>
        <v>5.2358333333333329</v>
      </c>
      <c r="IN169" s="32">
        <f>905*1000000/1627500</f>
        <v>556.06758832565288</v>
      </c>
      <c r="IO169" s="32">
        <f>1036*1000000/1627500</f>
        <v>636.55913978494618</v>
      </c>
      <c r="IS169" s="32">
        <v>48.540706605222731</v>
      </c>
      <c r="IT169" s="32">
        <f>136*1000000/1627500</f>
        <v>83.563748079877115</v>
      </c>
      <c r="JB169" s="32" t="s">
        <v>292</v>
      </c>
    </row>
    <row r="170" spans="1:262" s="32" customFormat="1" x14ac:dyDescent="0.25">
      <c r="A170" s="32">
        <v>13</v>
      </c>
      <c r="B170" s="44" t="s">
        <v>3818</v>
      </c>
      <c r="C170" s="32" t="s">
        <v>265</v>
      </c>
      <c r="D170" s="32" t="s">
        <v>275</v>
      </c>
      <c r="E170" s="32">
        <v>1991</v>
      </c>
      <c r="F170" s="32">
        <v>1987</v>
      </c>
      <c r="G170" s="203" t="s">
        <v>276</v>
      </c>
      <c r="H170" s="32" t="s">
        <v>277</v>
      </c>
      <c r="I170" s="24" t="s">
        <v>2815</v>
      </c>
      <c r="J170" s="32">
        <v>50.53</v>
      </c>
      <c r="K170" s="32">
        <f t="shared" si="11"/>
        <v>-103.67</v>
      </c>
      <c r="L170" s="32">
        <v>579.1</v>
      </c>
      <c r="R170" s="44" t="s">
        <v>1860</v>
      </c>
      <c r="S170" s="44" t="s">
        <v>1860</v>
      </c>
      <c r="T170" s="44"/>
      <c r="U170" s="44" t="s">
        <v>1859</v>
      </c>
      <c r="V170" s="44" t="s">
        <v>1382</v>
      </c>
      <c r="W170" s="44" t="s">
        <v>1717</v>
      </c>
      <c r="X170" s="44" t="s">
        <v>1382</v>
      </c>
      <c r="Y170" s="44" t="s">
        <v>1382</v>
      </c>
      <c r="Z170" s="32">
        <f t="shared" si="12"/>
        <v>1.085</v>
      </c>
      <c r="AA170" s="323">
        <v>16.3</v>
      </c>
      <c r="AB170" s="323">
        <v>20.6</v>
      </c>
      <c r="AC170" s="32" t="s">
        <v>796</v>
      </c>
      <c r="AG170" s="32" t="s">
        <v>1316</v>
      </c>
      <c r="AH170" s="32" t="s">
        <v>1573</v>
      </c>
      <c r="AI170" s="138" t="s">
        <v>1582</v>
      </c>
      <c r="AJ170" s="32" t="s">
        <v>1536</v>
      </c>
      <c r="AK170" s="140" t="s">
        <v>116</v>
      </c>
      <c r="AL170" s="32" t="s">
        <v>280</v>
      </c>
      <c r="AM170" s="32" t="s">
        <v>290</v>
      </c>
      <c r="AN170" s="32" t="s">
        <v>502</v>
      </c>
      <c r="AT170" s="32" t="s">
        <v>279</v>
      </c>
      <c r="AU170" s="24" t="s">
        <v>161</v>
      </c>
      <c r="AV170" s="32" t="s">
        <v>502</v>
      </c>
      <c r="AW170" s="32" t="s">
        <v>119</v>
      </c>
      <c r="AX170" s="32">
        <v>6</v>
      </c>
      <c r="AZ170" s="32" t="s">
        <v>141</v>
      </c>
      <c r="BA170" s="32">
        <f t="shared" si="25"/>
        <v>117000</v>
      </c>
      <c r="BC170" s="32">
        <f t="shared" si="26"/>
        <v>33.333333333333336</v>
      </c>
      <c r="BD170" s="53"/>
      <c r="BP170" s="397"/>
      <c r="BQ170" s="397"/>
      <c r="BU170" s="397">
        <f t="shared" ref="BU170:BU173" si="32">BZ170*0.00061*100</f>
        <v>2.3118999999999996</v>
      </c>
      <c r="BV170" s="397">
        <f t="shared" ref="BV170:BV173" si="33">CA170*0.00061*100</f>
        <v>2.5742000000000003</v>
      </c>
      <c r="BZ170" s="397">
        <f>37.9</f>
        <v>37.9</v>
      </c>
      <c r="CA170" s="397">
        <f>42.2</f>
        <v>42.2</v>
      </c>
      <c r="CD170" s="24" t="s">
        <v>4421</v>
      </c>
      <c r="CE170" s="550">
        <v>37.9</v>
      </c>
      <c r="CF170" s="550">
        <v>42.2</v>
      </c>
      <c r="CG170" s="550"/>
      <c r="CH170" s="550"/>
      <c r="CI170" s="24" t="s">
        <v>4543</v>
      </c>
      <c r="CJ170" s="32">
        <f>BZ170/12.6*10000</f>
        <v>30079.365079365078</v>
      </c>
      <c r="CK170" s="32">
        <f>CA170/11.5*10000</f>
        <v>36695.652173913048</v>
      </c>
      <c r="CN170" s="32" t="s">
        <v>813</v>
      </c>
      <c r="GZ170" s="12"/>
      <c r="HD170" s="12"/>
      <c r="HY170" s="32">
        <f>178*0.61/24</f>
        <v>4.5241666666666669</v>
      </c>
      <c r="HZ170" s="32">
        <f t="shared" ref="HZ170:HZ173" si="34">206*0.61/24</f>
        <v>5.2358333333333329</v>
      </c>
      <c r="IN170" s="32">
        <f>815*1000000/1627500</f>
        <v>500.76804915514595</v>
      </c>
      <c r="IO170" s="32">
        <f t="shared" ref="IO170:IO173" si="35">1036*1000000/1627500</f>
        <v>636.55913978494618</v>
      </c>
      <c r="IS170" s="32">
        <v>46.082949308755758</v>
      </c>
      <c r="IT170" s="32">
        <f t="shared" ref="IT170:IT173" si="36">136*1000000/1627500</f>
        <v>83.563748079877115</v>
      </c>
      <c r="JB170" s="32" t="s">
        <v>292</v>
      </c>
    </row>
    <row r="171" spans="1:262" s="32" customFormat="1" x14ac:dyDescent="0.25">
      <c r="A171" s="32">
        <v>13</v>
      </c>
      <c r="B171" s="44" t="s">
        <v>3817</v>
      </c>
      <c r="C171" s="32" t="s">
        <v>265</v>
      </c>
      <c r="D171" s="32" t="s">
        <v>275</v>
      </c>
      <c r="E171" s="32">
        <v>1991</v>
      </c>
      <c r="F171" s="32">
        <v>1987</v>
      </c>
      <c r="G171" s="203" t="s">
        <v>276</v>
      </c>
      <c r="H171" s="32" t="s">
        <v>277</v>
      </c>
      <c r="I171" s="24" t="s">
        <v>2815</v>
      </c>
      <c r="J171" s="32">
        <v>50.53</v>
      </c>
      <c r="K171" s="32">
        <f t="shared" si="11"/>
        <v>-103.67</v>
      </c>
      <c r="L171" s="32">
        <v>579.1</v>
      </c>
      <c r="R171" s="44" t="s">
        <v>1860</v>
      </c>
      <c r="S171" s="44" t="s">
        <v>1860</v>
      </c>
      <c r="T171" s="44"/>
      <c r="U171" s="44" t="s">
        <v>1859</v>
      </c>
      <c r="V171" s="44" t="s">
        <v>1382</v>
      </c>
      <c r="W171" s="44" t="s">
        <v>1717</v>
      </c>
      <c r="X171" s="44" t="s">
        <v>1382</v>
      </c>
      <c r="Y171" s="44" t="s">
        <v>1382</v>
      </c>
      <c r="Z171" s="32">
        <f t="shared" si="12"/>
        <v>1.085</v>
      </c>
      <c r="AA171" s="323">
        <v>16.3</v>
      </c>
      <c r="AB171" s="323">
        <v>20.6</v>
      </c>
      <c r="AC171" s="32" t="s">
        <v>796</v>
      </c>
      <c r="AG171" s="32" t="s">
        <v>1316</v>
      </c>
      <c r="AH171" s="32" t="s">
        <v>1573</v>
      </c>
      <c r="AI171" s="138" t="s">
        <v>1582</v>
      </c>
      <c r="AJ171" s="32" t="s">
        <v>1536</v>
      </c>
      <c r="AK171" s="140" t="s">
        <v>116</v>
      </c>
      <c r="AL171" s="32" t="s">
        <v>1378</v>
      </c>
      <c r="AM171" s="32" t="s">
        <v>290</v>
      </c>
      <c r="AN171" s="32" t="s">
        <v>502</v>
      </c>
      <c r="AT171" s="32" t="s">
        <v>161</v>
      </c>
      <c r="AU171" s="24" t="s">
        <v>161</v>
      </c>
      <c r="AV171" s="32" t="s">
        <v>502</v>
      </c>
      <c r="AW171" s="32" t="s">
        <v>119</v>
      </c>
      <c r="AX171" s="32">
        <v>6</v>
      </c>
      <c r="AZ171" s="32" t="s">
        <v>141</v>
      </c>
      <c r="BA171" s="32">
        <f t="shared" si="25"/>
        <v>117000</v>
      </c>
      <c r="BC171" s="32">
        <f t="shared" si="26"/>
        <v>33.333333333333336</v>
      </c>
      <c r="BD171" s="53"/>
      <c r="BP171" s="397"/>
      <c r="BQ171" s="397"/>
      <c r="BU171" s="397">
        <f t="shared" si="32"/>
        <v>2.2203999999999997</v>
      </c>
      <c r="BV171" s="397">
        <f t="shared" si="33"/>
        <v>2.5742000000000003</v>
      </c>
      <c r="BZ171" s="397">
        <f>36.4</f>
        <v>36.4</v>
      </c>
      <c r="CA171" s="397">
        <f>42.2</f>
        <v>42.2</v>
      </c>
      <c r="CD171" s="24" t="s">
        <v>4421</v>
      </c>
      <c r="CE171" s="550">
        <v>36.4</v>
      </c>
      <c r="CF171" s="550">
        <v>42.2</v>
      </c>
      <c r="CG171" s="550"/>
      <c r="CH171" s="550"/>
      <c r="CI171" s="24" t="s">
        <v>4543</v>
      </c>
      <c r="CJ171" s="32">
        <f>BZ171/12.5*10000</f>
        <v>29120</v>
      </c>
      <c r="CK171" s="32">
        <f>CA171/11.5*10000</f>
        <v>36695.652173913048</v>
      </c>
      <c r="CN171" s="32" t="s">
        <v>813</v>
      </c>
      <c r="GZ171" s="12"/>
      <c r="HD171" s="12"/>
      <c r="HY171" s="32">
        <f>200*0.61/24</f>
        <v>5.083333333333333</v>
      </c>
      <c r="HZ171" s="32">
        <f t="shared" si="34"/>
        <v>5.2358333333333329</v>
      </c>
      <c r="IN171" s="32">
        <f>804*1000000/1627500</f>
        <v>494.00921658986175</v>
      </c>
      <c r="IO171" s="32">
        <f t="shared" si="35"/>
        <v>636.55913978494618</v>
      </c>
      <c r="IS171" s="32">
        <v>54.685099846390166</v>
      </c>
      <c r="IT171" s="32">
        <f t="shared" si="36"/>
        <v>83.563748079877115</v>
      </c>
      <c r="JB171" s="32" t="s">
        <v>292</v>
      </c>
    </row>
    <row r="172" spans="1:262" s="32" customFormat="1" x14ac:dyDescent="0.25">
      <c r="A172" s="32">
        <v>13</v>
      </c>
      <c r="B172" s="44" t="s">
        <v>3818</v>
      </c>
      <c r="C172" s="32" t="s">
        <v>265</v>
      </c>
      <c r="D172" s="32" t="s">
        <v>275</v>
      </c>
      <c r="E172" s="32">
        <v>1991</v>
      </c>
      <c r="F172" s="32">
        <v>1987</v>
      </c>
      <c r="G172" s="203" t="s">
        <v>276</v>
      </c>
      <c r="H172" s="32" t="s">
        <v>277</v>
      </c>
      <c r="I172" s="24" t="s">
        <v>2815</v>
      </c>
      <c r="J172" s="32">
        <v>50.53</v>
      </c>
      <c r="K172" s="32">
        <f t="shared" si="11"/>
        <v>-103.67</v>
      </c>
      <c r="L172" s="32">
        <v>579.1</v>
      </c>
      <c r="R172" s="44" t="s">
        <v>1860</v>
      </c>
      <c r="S172" s="44" t="s">
        <v>1860</v>
      </c>
      <c r="T172" s="44"/>
      <c r="U172" s="44" t="s">
        <v>1859</v>
      </c>
      <c r="V172" s="44" t="s">
        <v>1382</v>
      </c>
      <c r="W172" s="44" t="s">
        <v>1717</v>
      </c>
      <c r="X172" s="44" t="s">
        <v>1382</v>
      </c>
      <c r="Y172" s="44" t="s">
        <v>1382</v>
      </c>
      <c r="Z172" s="32">
        <f t="shared" si="12"/>
        <v>1.085</v>
      </c>
      <c r="AA172" s="323">
        <v>16.3</v>
      </c>
      <c r="AB172" s="323">
        <v>20.6</v>
      </c>
      <c r="AC172" s="32" t="s">
        <v>796</v>
      </c>
      <c r="AG172" s="32" t="s">
        <v>1316</v>
      </c>
      <c r="AH172" s="32" t="s">
        <v>1573</v>
      </c>
      <c r="AI172" s="138" t="s">
        <v>1582</v>
      </c>
      <c r="AJ172" s="32" t="s">
        <v>1536</v>
      </c>
      <c r="AK172" s="140" t="s">
        <v>116</v>
      </c>
      <c r="AL172" s="32" t="s">
        <v>1378</v>
      </c>
      <c r="AM172" s="32" t="s">
        <v>290</v>
      </c>
      <c r="AN172" s="32" t="s">
        <v>502</v>
      </c>
      <c r="AT172" s="32" t="s">
        <v>279</v>
      </c>
      <c r="AU172" s="24" t="s">
        <v>161</v>
      </c>
      <c r="AV172" s="32" t="s">
        <v>502</v>
      </c>
      <c r="AW172" s="32" t="s">
        <v>119</v>
      </c>
      <c r="AX172" s="32">
        <v>6</v>
      </c>
      <c r="AZ172" s="32" t="s">
        <v>141</v>
      </c>
      <c r="BA172" s="32">
        <f t="shared" si="25"/>
        <v>117000</v>
      </c>
      <c r="BC172" s="32">
        <f t="shared" si="26"/>
        <v>33.333333333333336</v>
      </c>
      <c r="BD172" s="53"/>
      <c r="BP172" s="397"/>
      <c r="BQ172" s="397"/>
      <c r="BU172" s="397">
        <f t="shared" si="32"/>
        <v>2.3485</v>
      </c>
      <c r="BV172" s="397">
        <f t="shared" si="33"/>
        <v>2.5742000000000003</v>
      </c>
      <c r="BZ172" s="397">
        <f>38.5</f>
        <v>38.5</v>
      </c>
      <c r="CA172" s="397">
        <f>42.2</f>
        <v>42.2</v>
      </c>
      <c r="CD172" s="24" t="s">
        <v>4421</v>
      </c>
      <c r="CE172" s="550">
        <v>38.5</v>
      </c>
      <c r="CF172" s="550">
        <v>42.2</v>
      </c>
      <c r="CG172" s="550"/>
      <c r="CH172" s="550"/>
      <c r="CI172" s="24" t="s">
        <v>4543</v>
      </c>
      <c r="CJ172" s="32">
        <f>BZ172/11.9*10000</f>
        <v>32352.941176470587</v>
      </c>
      <c r="CK172" s="32">
        <f>CA172/11.5*10000</f>
        <v>36695.652173913048</v>
      </c>
      <c r="CN172" s="32" t="s">
        <v>813</v>
      </c>
      <c r="GZ172" s="12"/>
      <c r="HD172" s="12"/>
      <c r="HY172" s="32">
        <f>193*0.61/24</f>
        <v>4.9054166666666665</v>
      </c>
      <c r="HZ172" s="32">
        <f t="shared" si="34"/>
        <v>5.2358333333333329</v>
      </c>
      <c r="IN172" s="32">
        <f>891*1000000/1627500</f>
        <v>547.46543778801845</v>
      </c>
      <c r="IO172" s="32">
        <f t="shared" si="35"/>
        <v>636.55913978494618</v>
      </c>
      <c r="IS172" s="32">
        <v>54.070660522273428</v>
      </c>
      <c r="IT172" s="32">
        <f t="shared" si="36"/>
        <v>83.563748079877115</v>
      </c>
      <c r="JB172" s="32" t="s">
        <v>292</v>
      </c>
    </row>
    <row r="173" spans="1:262" s="32" customFormat="1" x14ac:dyDescent="0.25">
      <c r="A173" s="32">
        <v>13</v>
      </c>
      <c r="B173" s="44" t="s">
        <v>3819</v>
      </c>
      <c r="C173" s="32" t="s">
        <v>265</v>
      </c>
      <c r="D173" s="32" t="s">
        <v>275</v>
      </c>
      <c r="E173" s="32">
        <v>1991</v>
      </c>
      <c r="F173" s="32">
        <v>1987</v>
      </c>
      <c r="G173" s="203" t="s">
        <v>276</v>
      </c>
      <c r="H173" s="32" t="s">
        <v>277</v>
      </c>
      <c r="I173" s="24" t="s">
        <v>2815</v>
      </c>
      <c r="J173" s="32">
        <v>50.53</v>
      </c>
      <c r="K173" s="32">
        <f t="shared" si="11"/>
        <v>-103.67</v>
      </c>
      <c r="L173" s="32">
        <v>579.1</v>
      </c>
      <c r="R173" s="44" t="s">
        <v>1860</v>
      </c>
      <c r="S173" s="44" t="s">
        <v>1860</v>
      </c>
      <c r="T173" s="44"/>
      <c r="U173" s="44" t="s">
        <v>1859</v>
      </c>
      <c r="V173" s="44" t="s">
        <v>1382</v>
      </c>
      <c r="W173" s="44" t="s">
        <v>1717</v>
      </c>
      <c r="X173" s="44" t="s">
        <v>1382</v>
      </c>
      <c r="Y173" s="44" t="s">
        <v>1382</v>
      </c>
      <c r="Z173" s="32">
        <f t="shared" si="12"/>
        <v>1.085</v>
      </c>
      <c r="AA173" s="323">
        <v>16.3</v>
      </c>
      <c r="AB173" s="323">
        <v>20.6</v>
      </c>
      <c r="AC173" s="32" t="s">
        <v>796</v>
      </c>
      <c r="AG173" s="32" t="s">
        <v>1316</v>
      </c>
      <c r="AH173" s="32" t="s">
        <v>1573</v>
      </c>
      <c r="AI173" s="138" t="s">
        <v>1582</v>
      </c>
      <c r="AJ173" s="32" t="s">
        <v>1536</v>
      </c>
      <c r="AK173" s="140" t="s">
        <v>116</v>
      </c>
      <c r="AL173" s="32" t="s">
        <v>1378</v>
      </c>
      <c r="AM173" s="32" t="s">
        <v>290</v>
      </c>
      <c r="AN173" s="32" t="s">
        <v>502</v>
      </c>
      <c r="AT173" s="32" t="s">
        <v>281</v>
      </c>
      <c r="AU173" s="24" t="s">
        <v>161</v>
      </c>
      <c r="AV173" s="32" t="s">
        <v>502</v>
      </c>
      <c r="AW173" s="32" t="s">
        <v>119</v>
      </c>
      <c r="AX173" s="32">
        <v>6</v>
      </c>
      <c r="AZ173" s="32" t="s">
        <v>141</v>
      </c>
      <c r="BA173" s="32">
        <f t="shared" si="25"/>
        <v>117000</v>
      </c>
      <c r="BC173" s="32">
        <f t="shared" si="26"/>
        <v>33.333333333333336</v>
      </c>
      <c r="BD173" s="53"/>
      <c r="BP173" s="397"/>
      <c r="BQ173" s="397"/>
      <c r="BU173" s="397">
        <f t="shared" si="32"/>
        <v>2.3302</v>
      </c>
      <c r="BV173" s="397">
        <f t="shared" si="33"/>
        <v>2.5742000000000003</v>
      </c>
      <c r="BZ173" s="397">
        <f>38.2</f>
        <v>38.200000000000003</v>
      </c>
      <c r="CA173" s="397">
        <f>42.2</f>
        <v>42.2</v>
      </c>
      <c r="CD173" s="24" t="s">
        <v>4421</v>
      </c>
      <c r="CE173" s="550">
        <v>38.200000000000003</v>
      </c>
      <c r="CF173" s="550">
        <v>42.2</v>
      </c>
      <c r="CG173" s="550"/>
      <c r="CH173" s="550"/>
      <c r="CI173" s="24" t="s">
        <v>4543</v>
      </c>
      <c r="CJ173" s="32">
        <f>BZ173/12.7*10000</f>
        <v>30078.740157480319</v>
      </c>
      <c r="CK173" s="32">
        <f>CA173/11.5*10000</f>
        <v>36695.652173913048</v>
      </c>
      <c r="CN173" s="32" t="s">
        <v>813</v>
      </c>
      <c r="GZ173" s="12"/>
      <c r="HD173" s="12"/>
      <c r="HY173" s="32">
        <f>168*0.61/24</f>
        <v>4.2700000000000005</v>
      </c>
      <c r="HZ173" s="32">
        <f t="shared" si="34"/>
        <v>5.2358333333333329</v>
      </c>
      <c r="IN173" s="32">
        <f>833*1000000/1627500</f>
        <v>511.8279569892473</v>
      </c>
      <c r="IO173" s="32">
        <f t="shared" si="35"/>
        <v>636.55913978494618</v>
      </c>
      <c r="IS173" s="32">
        <v>49.155145929339476</v>
      </c>
      <c r="IT173" s="32">
        <f t="shared" si="36"/>
        <v>83.563748079877115</v>
      </c>
      <c r="JB173" s="32" t="s">
        <v>292</v>
      </c>
    </row>
    <row r="174" spans="1:262" s="21" customFormat="1" x14ac:dyDescent="0.25">
      <c r="A174" s="21">
        <v>14</v>
      </c>
      <c r="B174" s="43" t="s">
        <v>3820</v>
      </c>
      <c r="C174" s="21" t="s">
        <v>293</v>
      </c>
      <c r="D174" s="21" t="s">
        <v>294</v>
      </c>
      <c r="E174" s="21">
        <v>2011</v>
      </c>
      <c r="F174" s="21">
        <v>2008</v>
      </c>
      <c r="G174" s="21" t="s">
        <v>296</v>
      </c>
      <c r="H174" s="21" t="s">
        <v>295</v>
      </c>
      <c r="I174" s="21" t="s">
        <v>2815</v>
      </c>
      <c r="J174" s="21">
        <v>46.88</v>
      </c>
      <c r="K174" s="21">
        <v>-102.79</v>
      </c>
      <c r="L174" s="21">
        <v>735.8</v>
      </c>
      <c r="R174" s="43" t="s">
        <v>1863</v>
      </c>
      <c r="S174" s="43" t="s">
        <v>1862</v>
      </c>
      <c r="T174" s="43"/>
      <c r="U174" s="43" t="s">
        <v>1861</v>
      </c>
      <c r="V174" s="43" t="s">
        <v>1377</v>
      </c>
      <c r="W174" s="43" t="s">
        <v>1377</v>
      </c>
      <c r="X174" s="43" t="s">
        <v>1377</v>
      </c>
      <c r="Y174" s="43" t="s">
        <v>1377</v>
      </c>
      <c r="AA174" s="322"/>
      <c r="AB174" s="322"/>
      <c r="AC174" s="21" t="s">
        <v>139</v>
      </c>
      <c r="AH174" s="21" t="s">
        <v>243</v>
      </c>
      <c r="AI174" s="138" t="s">
        <v>577</v>
      </c>
      <c r="AJ174" s="21" t="s">
        <v>229</v>
      </c>
      <c r="AK174" s="141" t="s">
        <v>229</v>
      </c>
      <c r="AL174" s="21" t="s">
        <v>1618</v>
      </c>
      <c r="AM174" s="21" t="s">
        <v>1618</v>
      </c>
      <c r="AN174" s="21" t="s">
        <v>177</v>
      </c>
      <c r="AO174" s="21" t="s">
        <v>218</v>
      </c>
      <c r="AP174" s="21" t="s">
        <v>218</v>
      </c>
      <c r="AQ174" s="21" t="s">
        <v>2126</v>
      </c>
      <c r="AR174" s="21" t="s">
        <v>2126</v>
      </c>
      <c r="AS174" s="21" t="s">
        <v>177</v>
      </c>
      <c r="AW174" s="21" t="s">
        <v>119</v>
      </c>
      <c r="BA174" s="21">
        <v>1728</v>
      </c>
      <c r="BD174" s="54" t="s">
        <v>297</v>
      </c>
      <c r="BP174" s="396"/>
      <c r="BQ174" s="396"/>
      <c r="BU174" s="396"/>
      <c r="BV174" s="396"/>
      <c r="BZ174" s="396"/>
      <c r="CA174" s="396"/>
      <c r="CE174" s="549"/>
      <c r="CF174" s="549"/>
      <c r="CG174" s="549"/>
      <c r="CH174" s="549"/>
      <c r="FV174" s="21">
        <v>309</v>
      </c>
      <c r="FW174" s="21">
        <v>584</v>
      </c>
      <c r="GZ174" s="12"/>
      <c r="HD174" s="12"/>
      <c r="JB174" s="21" t="s">
        <v>710</v>
      </c>
    </row>
    <row r="175" spans="1:262" s="21" customFormat="1" x14ac:dyDescent="0.25">
      <c r="A175" s="21">
        <v>14</v>
      </c>
      <c r="B175" s="43" t="s">
        <v>3821</v>
      </c>
      <c r="C175" s="21" t="s">
        <v>293</v>
      </c>
      <c r="D175" s="21" t="s">
        <v>294</v>
      </c>
      <c r="E175" s="21">
        <v>2011</v>
      </c>
      <c r="F175" s="21">
        <v>2008</v>
      </c>
      <c r="G175" s="21" t="s">
        <v>296</v>
      </c>
      <c r="H175" s="21" t="s">
        <v>295</v>
      </c>
      <c r="I175" s="21" t="s">
        <v>2815</v>
      </c>
      <c r="J175" s="21">
        <v>46.88</v>
      </c>
      <c r="K175" s="21">
        <v>-102.79</v>
      </c>
      <c r="L175" s="21">
        <v>735.8</v>
      </c>
      <c r="R175" s="43" t="s">
        <v>1863</v>
      </c>
      <c r="S175" s="43" t="s">
        <v>1862</v>
      </c>
      <c r="T175" s="43"/>
      <c r="U175" s="43" t="s">
        <v>1861</v>
      </c>
      <c r="V175" s="43" t="s">
        <v>1377</v>
      </c>
      <c r="W175" s="43" t="s">
        <v>1377</v>
      </c>
      <c r="X175" s="43" t="s">
        <v>1377</v>
      </c>
      <c r="Y175" s="43" t="s">
        <v>1377</v>
      </c>
      <c r="AA175" s="322"/>
      <c r="AB175" s="322"/>
      <c r="AC175" s="21" t="s">
        <v>139</v>
      </c>
      <c r="AH175" s="21" t="s">
        <v>243</v>
      </c>
      <c r="AI175" s="138" t="s">
        <v>577</v>
      </c>
      <c r="AJ175" s="21" t="s">
        <v>229</v>
      </c>
      <c r="AK175" s="141" t="s">
        <v>229</v>
      </c>
      <c r="AL175" s="21" t="s">
        <v>1618</v>
      </c>
      <c r="AM175" s="21" t="s">
        <v>1618</v>
      </c>
      <c r="AN175" s="21" t="s">
        <v>177</v>
      </c>
      <c r="AO175" s="21" t="s">
        <v>218</v>
      </c>
      <c r="AP175" s="21" t="s">
        <v>218</v>
      </c>
      <c r="AQ175" s="21" t="s">
        <v>2126</v>
      </c>
      <c r="AR175" s="21" t="s">
        <v>2126</v>
      </c>
      <c r="AS175" s="21" t="s">
        <v>177</v>
      </c>
      <c r="AW175" s="21" t="s">
        <v>119</v>
      </c>
      <c r="BA175" s="21">
        <v>1728</v>
      </c>
      <c r="BD175" s="54" t="s">
        <v>298</v>
      </c>
      <c r="BP175" s="396"/>
      <c r="BQ175" s="396"/>
      <c r="BU175" s="396"/>
      <c r="BV175" s="396"/>
      <c r="BZ175" s="396"/>
      <c r="CA175" s="396"/>
      <c r="CE175" s="549"/>
      <c r="CF175" s="549"/>
      <c r="CG175" s="549"/>
      <c r="CH175" s="549"/>
      <c r="FV175" s="21">
        <v>196</v>
      </c>
      <c r="FW175" s="21">
        <v>584</v>
      </c>
      <c r="GZ175" s="12"/>
      <c r="HD175" s="12"/>
      <c r="JB175" s="21" t="s">
        <v>710</v>
      </c>
    </row>
    <row r="176" spans="1:262" s="21" customFormat="1" x14ac:dyDescent="0.25">
      <c r="A176" s="21">
        <v>14</v>
      </c>
      <c r="B176" s="43" t="s">
        <v>3822</v>
      </c>
      <c r="C176" s="21" t="s">
        <v>293</v>
      </c>
      <c r="D176" s="21" t="s">
        <v>294</v>
      </c>
      <c r="E176" s="21">
        <v>2011</v>
      </c>
      <c r="F176" s="21">
        <v>2008</v>
      </c>
      <c r="G176" s="21" t="s">
        <v>296</v>
      </c>
      <c r="H176" s="21" t="s">
        <v>295</v>
      </c>
      <c r="I176" s="21" t="s">
        <v>2815</v>
      </c>
      <c r="J176" s="21">
        <v>46.88</v>
      </c>
      <c r="K176" s="21">
        <v>-102.79</v>
      </c>
      <c r="L176" s="21">
        <v>735.8</v>
      </c>
      <c r="R176" s="43" t="s">
        <v>1863</v>
      </c>
      <c r="S176" s="43" t="s">
        <v>1862</v>
      </c>
      <c r="T176" s="43"/>
      <c r="U176" s="43" t="s">
        <v>1861</v>
      </c>
      <c r="V176" s="43" t="s">
        <v>1377</v>
      </c>
      <c r="W176" s="43" t="s">
        <v>1377</v>
      </c>
      <c r="X176" s="43" t="s">
        <v>1377</v>
      </c>
      <c r="Y176" s="43" t="s">
        <v>1377</v>
      </c>
      <c r="AA176" s="322"/>
      <c r="AB176" s="322"/>
      <c r="AC176" s="21" t="s">
        <v>139</v>
      </c>
      <c r="AH176" s="21" t="s">
        <v>243</v>
      </c>
      <c r="AI176" s="138" t="s">
        <v>577</v>
      </c>
      <c r="AJ176" s="21" t="s">
        <v>229</v>
      </c>
      <c r="AK176" s="141" t="s">
        <v>229</v>
      </c>
      <c r="AL176" s="21" t="s">
        <v>1618</v>
      </c>
      <c r="AM176" s="21" t="s">
        <v>1618</v>
      </c>
      <c r="AN176" s="21" t="s">
        <v>177</v>
      </c>
      <c r="AO176" s="21" t="s">
        <v>218</v>
      </c>
      <c r="AP176" s="21" t="s">
        <v>218</v>
      </c>
      <c r="AQ176" s="21" t="s">
        <v>2126</v>
      </c>
      <c r="AR176" s="21" t="s">
        <v>2126</v>
      </c>
      <c r="AS176" s="21" t="s">
        <v>177</v>
      </c>
      <c r="AW176" s="21" t="s">
        <v>119</v>
      </c>
      <c r="BA176" s="21">
        <v>1728</v>
      </c>
      <c r="BD176" s="54" t="s">
        <v>299</v>
      </c>
      <c r="BP176" s="396"/>
      <c r="BQ176" s="396"/>
      <c r="BU176" s="396"/>
      <c r="BV176" s="396"/>
      <c r="BZ176" s="396"/>
      <c r="CA176" s="396"/>
      <c r="CE176" s="549"/>
      <c r="CF176" s="549"/>
      <c r="CG176" s="549"/>
      <c r="CH176" s="549"/>
      <c r="FV176" s="21">
        <v>569</v>
      </c>
      <c r="FW176" s="21">
        <v>584</v>
      </c>
      <c r="GZ176" s="12"/>
      <c r="HD176" s="12"/>
      <c r="JB176" s="21" t="s">
        <v>710</v>
      </c>
    </row>
    <row r="177" spans="1:262" s="33" customFormat="1" x14ac:dyDescent="0.25">
      <c r="A177" s="33">
        <v>14</v>
      </c>
      <c r="B177" s="47" t="s">
        <v>3823</v>
      </c>
      <c r="C177" s="33" t="s">
        <v>293</v>
      </c>
      <c r="D177" s="33" t="s">
        <v>294</v>
      </c>
      <c r="E177" s="33">
        <v>2011</v>
      </c>
      <c r="F177" s="33">
        <v>2008</v>
      </c>
      <c r="G177" s="33" t="s">
        <v>296</v>
      </c>
      <c r="H177" s="33" t="s">
        <v>295</v>
      </c>
      <c r="I177" s="21" t="s">
        <v>2815</v>
      </c>
      <c r="J177" s="33">
        <v>46.88</v>
      </c>
      <c r="K177" s="33">
        <v>-102.79</v>
      </c>
      <c r="L177" s="33">
        <v>735.8</v>
      </c>
      <c r="R177" s="47" t="s">
        <v>1863</v>
      </c>
      <c r="S177" s="47" t="s">
        <v>1862</v>
      </c>
      <c r="T177" s="47"/>
      <c r="U177" s="47" t="s">
        <v>1861</v>
      </c>
      <c r="V177" s="47" t="s">
        <v>1377</v>
      </c>
      <c r="W177" s="47" t="s">
        <v>1377</v>
      </c>
      <c r="X177" s="47" t="s">
        <v>1377</v>
      </c>
      <c r="Y177" s="47" t="s">
        <v>1377</v>
      </c>
      <c r="AA177" s="327"/>
      <c r="AB177" s="327"/>
      <c r="AC177" s="33" t="s">
        <v>139</v>
      </c>
      <c r="AH177" s="33" t="s">
        <v>1563</v>
      </c>
      <c r="AI177" s="138" t="s">
        <v>131</v>
      </c>
      <c r="AJ177" s="33" t="s">
        <v>229</v>
      </c>
      <c r="AK177" s="141" t="s">
        <v>229</v>
      </c>
      <c r="AL177" s="33" t="s">
        <v>1618</v>
      </c>
      <c r="AM177" s="33" t="s">
        <v>1618</v>
      </c>
      <c r="AN177" s="33" t="s">
        <v>177</v>
      </c>
      <c r="AO177" s="33" t="s">
        <v>218</v>
      </c>
      <c r="AP177" s="33" t="s">
        <v>218</v>
      </c>
      <c r="AQ177" s="33" t="s">
        <v>2126</v>
      </c>
      <c r="AR177" s="33" t="s">
        <v>2126</v>
      </c>
      <c r="AS177" s="33" t="s">
        <v>177</v>
      </c>
      <c r="AW177" s="33" t="s">
        <v>119</v>
      </c>
      <c r="BA177" s="33">
        <v>3615</v>
      </c>
      <c r="BD177" s="54" t="s">
        <v>297</v>
      </c>
      <c r="BP177" s="402"/>
      <c r="BQ177" s="402"/>
      <c r="BU177" s="402"/>
      <c r="BV177" s="402"/>
      <c r="BZ177" s="402"/>
      <c r="CA177" s="402"/>
      <c r="CE177" s="555"/>
      <c r="CF177" s="555"/>
      <c r="CG177" s="555"/>
      <c r="CH177" s="555"/>
      <c r="FV177" s="21">
        <v>309</v>
      </c>
      <c r="FW177" s="33">
        <v>153</v>
      </c>
      <c r="GZ177" s="12"/>
      <c r="HD177" s="12"/>
      <c r="JB177" s="33" t="s">
        <v>710</v>
      </c>
    </row>
    <row r="178" spans="1:262" s="33" customFormat="1" x14ac:dyDescent="0.25">
      <c r="A178" s="33">
        <v>14</v>
      </c>
      <c r="B178" s="47" t="s">
        <v>3824</v>
      </c>
      <c r="C178" s="33" t="s">
        <v>293</v>
      </c>
      <c r="D178" s="33" t="s">
        <v>294</v>
      </c>
      <c r="E178" s="33">
        <v>2011</v>
      </c>
      <c r="F178" s="33">
        <v>2008</v>
      </c>
      <c r="G178" s="33" t="s">
        <v>296</v>
      </c>
      <c r="H178" s="33" t="s">
        <v>295</v>
      </c>
      <c r="I178" s="21" t="s">
        <v>2815</v>
      </c>
      <c r="J178" s="33">
        <v>46.88</v>
      </c>
      <c r="K178" s="33">
        <v>-102.79</v>
      </c>
      <c r="L178" s="33">
        <v>735.8</v>
      </c>
      <c r="R178" s="47" t="s">
        <v>1863</v>
      </c>
      <c r="S178" s="47" t="s">
        <v>1862</v>
      </c>
      <c r="T178" s="47"/>
      <c r="U178" s="47" t="s">
        <v>1861</v>
      </c>
      <c r="V178" s="47" t="s">
        <v>1377</v>
      </c>
      <c r="W178" s="47" t="s">
        <v>1377</v>
      </c>
      <c r="X178" s="47" t="s">
        <v>1377</v>
      </c>
      <c r="Y178" s="47" t="s">
        <v>1377</v>
      </c>
      <c r="AA178" s="327"/>
      <c r="AB178" s="327"/>
      <c r="AC178" s="33" t="s">
        <v>139</v>
      </c>
      <c r="AH178" s="33" t="s">
        <v>1563</v>
      </c>
      <c r="AI178" s="138" t="s">
        <v>131</v>
      </c>
      <c r="AJ178" s="33" t="s">
        <v>229</v>
      </c>
      <c r="AK178" s="141" t="s">
        <v>229</v>
      </c>
      <c r="AL178" s="33" t="s">
        <v>1618</v>
      </c>
      <c r="AM178" s="33" t="s">
        <v>1618</v>
      </c>
      <c r="AN178" s="33" t="s">
        <v>177</v>
      </c>
      <c r="AO178" s="33" t="s">
        <v>218</v>
      </c>
      <c r="AP178" s="33" t="s">
        <v>218</v>
      </c>
      <c r="AQ178" s="33" t="s">
        <v>2126</v>
      </c>
      <c r="AR178" s="33" t="s">
        <v>2126</v>
      </c>
      <c r="AS178" s="33" t="s">
        <v>177</v>
      </c>
      <c r="AW178" s="33" t="s">
        <v>119</v>
      </c>
      <c r="BA178" s="33">
        <v>3615</v>
      </c>
      <c r="BD178" s="54" t="s">
        <v>298</v>
      </c>
      <c r="BP178" s="402"/>
      <c r="BQ178" s="402"/>
      <c r="BU178" s="402"/>
      <c r="BV178" s="402"/>
      <c r="BZ178" s="402"/>
      <c r="CA178" s="402"/>
      <c r="CE178" s="555"/>
      <c r="CF178" s="555"/>
      <c r="CG178" s="555"/>
      <c r="CH178" s="555"/>
      <c r="FV178" s="21">
        <v>196</v>
      </c>
      <c r="FW178" s="33">
        <v>153</v>
      </c>
      <c r="GZ178" s="12"/>
      <c r="HD178" s="12"/>
      <c r="JB178" s="33" t="s">
        <v>710</v>
      </c>
    </row>
    <row r="179" spans="1:262" s="33" customFormat="1" x14ac:dyDescent="0.25">
      <c r="A179" s="33">
        <v>14</v>
      </c>
      <c r="B179" s="47" t="s">
        <v>3825</v>
      </c>
      <c r="C179" s="33" t="s">
        <v>293</v>
      </c>
      <c r="D179" s="33" t="s">
        <v>294</v>
      </c>
      <c r="E179" s="33">
        <v>2011</v>
      </c>
      <c r="F179" s="33">
        <v>2008</v>
      </c>
      <c r="G179" s="33" t="s">
        <v>296</v>
      </c>
      <c r="H179" s="33" t="s">
        <v>295</v>
      </c>
      <c r="I179" s="21" t="s">
        <v>2815</v>
      </c>
      <c r="J179" s="33">
        <v>46.88</v>
      </c>
      <c r="K179" s="33">
        <v>-102.79</v>
      </c>
      <c r="L179" s="33">
        <v>735.8</v>
      </c>
      <c r="R179" s="47" t="s">
        <v>1863</v>
      </c>
      <c r="S179" s="47" t="s">
        <v>1862</v>
      </c>
      <c r="T179" s="47"/>
      <c r="U179" s="47" t="s">
        <v>1861</v>
      </c>
      <c r="V179" s="47" t="s">
        <v>1377</v>
      </c>
      <c r="W179" s="47" t="s">
        <v>1377</v>
      </c>
      <c r="X179" s="47" t="s">
        <v>1377</v>
      </c>
      <c r="Y179" s="47" t="s">
        <v>1377</v>
      </c>
      <c r="AA179" s="327"/>
      <c r="AB179" s="327"/>
      <c r="AC179" s="33" t="s">
        <v>139</v>
      </c>
      <c r="AH179" s="33" t="s">
        <v>1563</v>
      </c>
      <c r="AI179" s="138" t="s">
        <v>131</v>
      </c>
      <c r="AJ179" s="33" t="s">
        <v>229</v>
      </c>
      <c r="AK179" s="141" t="s">
        <v>229</v>
      </c>
      <c r="AL179" s="33" t="s">
        <v>1618</v>
      </c>
      <c r="AM179" s="33" t="s">
        <v>1618</v>
      </c>
      <c r="AN179" s="33" t="s">
        <v>177</v>
      </c>
      <c r="AO179" s="33" t="s">
        <v>218</v>
      </c>
      <c r="AP179" s="33" t="s">
        <v>218</v>
      </c>
      <c r="AQ179" s="33" t="s">
        <v>2126</v>
      </c>
      <c r="AR179" s="33" t="s">
        <v>2126</v>
      </c>
      <c r="AS179" s="33" t="s">
        <v>177</v>
      </c>
      <c r="AW179" s="33" t="s">
        <v>119</v>
      </c>
      <c r="BA179" s="33">
        <v>3615</v>
      </c>
      <c r="BD179" s="54" t="s">
        <v>299</v>
      </c>
      <c r="BP179" s="402"/>
      <c r="BQ179" s="402"/>
      <c r="BU179" s="402"/>
      <c r="BV179" s="402"/>
      <c r="BZ179" s="402"/>
      <c r="CA179" s="402"/>
      <c r="CE179" s="555"/>
      <c r="CF179" s="555"/>
      <c r="CG179" s="555"/>
      <c r="CH179" s="555"/>
      <c r="FV179" s="21">
        <v>569</v>
      </c>
      <c r="FW179" s="33">
        <v>153</v>
      </c>
      <c r="GZ179" s="12"/>
      <c r="HD179" s="12"/>
      <c r="JB179" s="33" t="s">
        <v>710</v>
      </c>
    </row>
    <row r="180" spans="1:262" s="21" customFormat="1" x14ac:dyDescent="0.25">
      <c r="A180" s="21">
        <v>14</v>
      </c>
      <c r="B180" s="43" t="s">
        <v>3826</v>
      </c>
      <c r="C180" s="21" t="s">
        <v>293</v>
      </c>
      <c r="D180" s="21" t="s">
        <v>294</v>
      </c>
      <c r="E180" s="21">
        <v>2011</v>
      </c>
      <c r="F180" s="21">
        <v>2008</v>
      </c>
      <c r="G180" s="21" t="s">
        <v>296</v>
      </c>
      <c r="H180" s="21" t="s">
        <v>295</v>
      </c>
      <c r="I180" s="21" t="s">
        <v>2815</v>
      </c>
      <c r="J180" s="21">
        <v>46.88</v>
      </c>
      <c r="K180" s="21">
        <v>-102.79</v>
      </c>
      <c r="L180" s="21">
        <v>735.8</v>
      </c>
      <c r="R180" s="43" t="s">
        <v>1863</v>
      </c>
      <c r="S180" s="43" t="s">
        <v>1862</v>
      </c>
      <c r="T180" s="43"/>
      <c r="U180" s="43" t="s">
        <v>1861</v>
      </c>
      <c r="V180" s="43" t="s">
        <v>1377</v>
      </c>
      <c r="W180" s="43" t="s">
        <v>1377</v>
      </c>
      <c r="X180" s="43" t="s">
        <v>1377</v>
      </c>
      <c r="Y180" s="43" t="s">
        <v>1377</v>
      </c>
      <c r="AA180" s="322"/>
      <c r="AB180" s="322"/>
      <c r="AC180" s="21" t="s">
        <v>139</v>
      </c>
      <c r="AH180" s="21" t="s">
        <v>1527</v>
      </c>
      <c r="AI180" s="138" t="s">
        <v>1581</v>
      </c>
      <c r="AJ180" s="21" t="s">
        <v>229</v>
      </c>
      <c r="AK180" s="141" t="s">
        <v>229</v>
      </c>
      <c r="AL180" s="21" t="s">
        <v>1618</v>
      </c>
      <c r="AM180" s="21" t="s">
        <v>1618</v>
      </c>
      <c r="AN180" s="21" t="s">
        <v>177</v>
      </c>
      <c r="AO180" s="21" t="s">
        <v>218</v>
      </c>
      <c r="AP180" s="21" t="s">
        <v>218</v>
      </c>
      <c r="AQ180" s="21" t="s">
        <v>2126</v>
      </c>
      <c r="AR180" s="21" t="s">
        <v>2126</v>
      </c>
      <c r="AS180" s="21" t="s">
        <v>177</v>
      </c>
      <c r="AW180" s="21" t="s">
        <v>119</v>
      </c>
      <c r="BA180" s="21">
        <v>4113</v>
      </c>
      <c r="BD180" s="54" t="s">
        <v>297</v>
      </c>
      <c r="BP180" s="396"/>
      <c r="BQ180" s="396"/>
      <c r="BU180" s="396"/>
      <c r="BV180" s="396"/>
      <c r="BZ180" s="396"/>
      <c r="CA180" s="396"/>
      <c r="CE180" s="549"/>
      <c r="CF180" s="549"/>
      <c r="CG180" s="549"/>
      <c r="CH180" s="549"/>
      <c r="FV180" s="21">
        <v>309</v>
      </c>
      <c r="FW180" s="21">
        <v>274</v>
      </c>
      <c r="GZ180" s="12"/>
      <c r="HD180" s="12"/>
      <c r="JB180" s="21" t="s">
        <v>710</v>
      </c>
    </row>
    <row r="181" spans="1:262" s="21" customFormat="1" x14ac:dyDescent="0.25">
      <c r="A181" s="21">
        <v>14</v>
      </c>
      <c r="B181" s="43" t="s">
        <v>3827</v>
      </c>
      <c r="C181" s="21" t="s">
        <v>293</v>
      </c>
      <c r="D181" s="21" t="s">
        <v>294</v>
      </c>
      <c r="E181" s="21">
        <v>2011</v>
      </c>
      <c r="F181" s="21">
        <v>2008</v>
      </c>
      <c r="G181" s="21" t="s">
        <v>296</v>
      </c>
      <c r="H181" s="21" t="s">
        <v>295</v>
      </c>
      <c r="I181" s="21" t="s">
        <v>2815</v>
      </c>
      <c r="J181" s="21">
        <v>46.88</v>
      </c>
      <c r="K181" s="21">
        <v>-102.79</v>
      </c>
      <c r="L181" s="21">
        <v>735.8</v>
      </c>
      <c r="R181" s="43" t="s">
        <v>1863</v>
      </c>
      <c r="S181" s="43" t="s">
        <v>1862</v>
      </c>
      <c r="T181" s="43"/>
      <c r="U181" s="43" t="s">
        <v>1861</v>
      </c>
      <c r="V181" s="43" t="s">
        <v>1377</v>
      </c>
      <c r="W181" s="43" t="s">
        <v>1377</v>
      </c>
      <c r="X181" s="43" t="s">
        <v>1377</v>
      </c>
      <c r="Y181" s="43" t="s">
        <v>1377</v>
      </c>
      <c r="AA181" s="322"/>
      <c r="AB181" s="322"/>
      <c r="AC181" s="21" t="s">
        <v>139</v>
      </c>
      <c r="AH181" s="21" t="s">
        <v>1527</v>
      </c>
      <c r="AI181" s="138" t="s">
        <v>1581</v>
      </c>
      <c r="AJ181" s="21" t="s">
        <v>229</v>
      </c>
      <c r="AK181" s="141" t="s">
        <v>229</v>
      </c>
      <c r="AL181" s="21" t="s">
        <v>1618</v>
      </c>
      <c r="AM181" s="21" t="s">
        <v>1618</v>
      </c>
      <c r="AN181" s="21" t="s">
        <v>177</v>
      </c>
      <c r="AO181" s="21" t="s">
        <v>218</v>
      </c>
      <c r="AP181" s="21" t="s">
        <v>218</v>
      </c>
      <c r="AQ181" s="21" t="s">
        <v>2126</v>
      </c>
      <c r="AR181" s="21" t="s">
        <v>2126</v>
      </c>
      <c r="AS181" s="21" t="s">
        <v>177</v>
      </c>
      <c r="AW181" s="21" t="s">
        <v>119</v>
      </c>
      <c r="BA181" s="21">
        <v>4113</v>
      </c>
      <c r="BD181" s="54" t="s">
        <v>298</v>
      </c>
      <c r="BP181" s="396"/>
      <c r="BQ181" s="396"/>
      <c r="BU181" s="396"/>
      <c r="BV181" s="396"/>
      <c r="BZ181" s="396"/>
      <c r="CA181" s="396"/>
      <c r="CE181" s="549"/>
      <c r="CF181" s="549"/>
      <c r="CG181" s="549"/>
      <c r="CH181" s="549"/>
      <c r="FV181" s="21">
        <v>196</v>
      </c>
      <c r="FW181" s="21">
        <v>274</v>
      </c>
      <c r="GZ181" s="12"/>
      <c r="HD181" s="12"/>
      <c r="JB181" s="21" t="s">
        <v>710</v>
      </c>
    </row>
    <row r="182" spans="1:262" s="21" customFormat="1" x14ac:dyDescent="0.25">
      <c r="A182" s="21">
        <v>14</v>
      </c>
      <c r="B182" s="43" t="s">
        <v>3828</v>
      </c>
      <c r="C182" s="21" t="s">
        <v>293</v>
      </c>
      <c r="D182" s="21" t="s">
        <v>294</v>
      </c>
      <c r="E182" s="21">
        <v>2011</v>
      </c>
      <c r="F182" s="21">
        <v>2008</v>
      </c>
      <c r="G182" s="21" t="s">
        <v>296</v>
      </c>
      <c r="H182" s="21" t="s">
        <v>295</v>
      </c>
      <c r="I182" s="21" t="s">
        <v>2815</v>
      </c>
      <c r="J182" s="21">
        <v>46.88</v>
      </c>
      <c r="K182" s="21">
        <v>-102.79</v>
      </c>
      <c r="L182" s="21">
        <v>735.8</v>
      </c>
      <c r="R182" s="43" t="s">
        <v>1863</v>
      </c>
      <c r="S182" s="43" t="s">
        <v>1862</v>
      </c>
      <c r="T182" s="43"/>
      <c r="U182" s="43" t="s">
        <v>1861</v>
      </c>
      <c r="V182" s="43" t="s">
        <v>1377</v>
      </c>
      <c r="W182" s="43" t="s">
        <v>1377</v>
      </c>
      <c r="X182" s="43" t="s">
        <v>1377</v>
      </c>
      <c r="Y182" s="43" t="s">
        <v>1377</v>
      </c>
      <c r="AA182" s="322"/>
      <c r="AB182" s="322"/>
      <c r="AC182" s="21" t="s">
        <v>139</v>
      </c>
      <c r="AH182" s="21" t="s">
        <v>1527</v>
      </c>
      <c r="AI182" s="138" t="s">
        <v>1581</v>
      </c>
      <c r="AJ182" s="21" t="s">
        <v>229</v>
      </c>
      <c r="AK182" s="141" t="s">
        <v>229</v>
      </c>
      <c r="AL182" s="21" t="s">
        <v>1618</v>
      </c>
      <c r="AM182" s="21" t="s">
        <v>1618</v>
      </c>
      <c r="AN182" s="21" t="s">
        <v>177</v>
      </c>
      <c r="AO182" s="21" t="s">
        <v>218</v>
      </c>
      <c r="AP182" s="21" t="s">
        <v>218</v>
      </c>
      <c r="AQ182" s="21" t="s">
        <v>2126</v>
      </c>
      <c r="AR182" s="21" t="s">
        <v>2126</v>
      </c>
      <c r="AS182" s="21" t="s">
        <v>177</v>
      </c>
      <c r="AW182" s="21" t="s">
        <v>119</v>
      </c>
      <c r="BA182" s="21">
        <v>4113</v>
      </c>
      <c r="BD182" s="54" t="s">
        <v>299</v>
      </c>
      <c r="BP182" s="396"/>
      <c r="BQ182" s="396"/>
      <c r="BU182" s="396"/>
      <c r="BV182" s="396"/>
      <c r="BZ182" s="396"/>
      <c r="CA182" s="396"/>
      <c r="CE182" s="549"/>
      <c r="CF182" s="549"/>
      <c r="CG182" s="549"/>
      <c r="CH182" s="549"/>
      <c r="FV182" s="21">
        <v>569</v>
      </c>
      <c r="FW182" s="21">
        <v>274</v>
      </c>
      <c r="GZ182" s="12"/>
      <c r="HD182" s="12"/>
      <c r="JB182" s="21" t="s">
        <v>710</v>
      </c>
    </row>
    <row r="183" spans="1:262" s="5" customFormat="1" x14ac:dyDescent="0.25">
      <c r="A183" s="33">
        <v>14</v>
      </c>
      <c r="B183" s="47" t="s">
        <v>3829</v>
      </c>
      <c r="C183" s="33" t="s">
        <v>293</v>
      </c>
      <c r="D183" s="33" t="s">
        <v>294</v>
      </c>
      <c r="E183" s="33">
        <v>2011</v>
      </c>
      <c r="F183" s="33">
        <v>2008</v>
      </c>
      <c r="G183" s="33" t="s">
        <v>296</v>
      </c>
      <c r="H183" s="33" t="s">
        <v>295</v>
      </c>
      <c r="I183" s="21" t="s">
        <v>2815</v>
      </c>
      <c r="J183" s="33">
        <v>46.88</v>
      </c>
      <c r="K183" s="33">
        <v>-102.79</v>
      </c>
      <c r="L183" s="33">
        <v>735.8</v>
      </c>
      <c r="M183" s="33"/>
      <c r="N183" s="33"/>
      <c r="O183" s="33"/>
      <c r="P183" s="33"/>
      <c r="Q183" s="33"/>
      <c r="R183" s="47" t="s">
        <v>1863</v>
      </c>
      <c r="S183" s="47" t="s">
        <v>1862</v>
      </c>
      <c r="T183" s="47"/>
      <c r="U183" s="47" t="s">
        <v>1861</v>
      </c>
      <c r="V183" s="47" t="s">
        <v>1377</v>
      </c>
      <c r="W183" s="47" t="s">
        <v>1377</v>
      </c>
      <c r="X183" s="47" t="s">
        <v>1377</v>
      </c>
      <c r="Y183" s="47" t="s">
        <v>1377</v>
      </c>
      <c r="Z183" s="33"/>
      <c r="AA183" s="327"/>
      <c r="AB183" s="327"/>
      <c r="AC183" s="33" t="s">
        <v>139</v>
      </c>
      <c r="AD183" s="33"/>
      <c r="AE183" s="33"/>
      <c r="AF183" s="33"/>
      <c r="AG183" s="33"/>
      <c r="AH183" s="33" t="s">
        <v>1574</v>
      </c>
      <c r="AI183" s="138" t="s">
        <v>1582</v>
      </c>
      <c r="AJ183" s="33" t="s">
        <v>229</v>
      </c>
      <c r="AK183" s="141" t="s">
        <v>229</v>
      </c>
      <c r="AL183" s="33" t="s">
        <v>1618</v>
      </c>
      <c r="AM183" s="33" t="s">
        <v>1618</v>
      </c>
      <c r="AN183" s="33" t="s">
        <v>177</v>
      </c>
      <c r="AO183" s="33" t="s">
        <v>218</v>
      </c>
      <c r="AP183" s="33" t="s">
        <v>218</v>
      </c>
      <c r="AQ183" s="33" t="s">
        <v>2126</v>
      </c>
      <c r="AR183" s="33" t="s">
        <v>2126</v>
      </c>
      <c r="AS183" s="33" t="s">
        <v>177</v>
      </c>
      <c r="AT183" s="33"/>
      <c r="AU183" s="33"/>
      <c r="AV183" s="33"/>
      <c r="AW183" s="33" t="s">
        <v>119</v>
      </c>
      <c r="BA183" s="5">
        <v>3535</v>
      </c>
      <c r="BD183" s="54" t="s">
        <v>297</v>
      </c>
      <c r="BP183" s="403"/>
      <c r="BQ183" s="403"/>
      <c r="BU183" s="403"/>
      <c r="BV183" s="403"/>
      <c r="BZ183" s="403"/>
      <c r="CA183" s="403"/>
      <c r="CE183" s="556"/>
      <c r="CF183" s="556"/>
      <c r="CG183" s="556"/>
      <c r="CH183" s="556"/>
      <c r="FV183" s="21">
        <v>309</v>
      </c>
      <c r="FW183" s="5">
        <v>286</v>
      </c>
      <c r="GZ183" s="12"/>
      <c r="HD183" s="12"/>
      <c r="IX183" s="33"/>
      <c r="IY183" s="33"/>
      <c r="IZ183" s="33"/>
      <c r="JA183" s="33"/>
      <c r="JB183" s="33" t="s">
        <v>710</v>
      </c>
    </row>
    <row r="184" spans="1:262" s="5" customFormat="1" x14ac:dyDescent="0.25">
      <c r="A184" s="33">
        <v>14</v>
      </c>
      <c r="B184" s="47" t="s">
        <v>3830</v>
      </c>
      <c r="C184" s="33" t="s">
        <v>293</v>
      </c>
      <c r="D184" s="33" t="s">
        <v>294</v>
      </c>
      <c r="E184" s="33">
        <v>2011</v>
      </c>
      <c r="F184" s="33">
        <v>2008</v>
      </c>
      <c r="G184" s="33" t="s">
        <v>296</v>
      </c>
      <c r="H184" s="33" t="s">
        <v>295</v>
      </c>
      <c r="I184" s="21" t="s">
        <v>2815</v>
      </c>
      <c r="J184" s="33">
        <v>46.88</v>
      </c>
      <c r="K184" s="33">
        <v>-102.79</v>
      </c>
      <c r="L184" s="33">
        <v>735.8</v>
      </c>
      <c r="M184" s="33"/>
      <c r="N184" s="33"/>
      <c r="O184" s="33"/>
      <c r="P184" s="33"/>
      <c r="Q184" s="33"/>
      <c r="R184" s="47" t="s">
        <v>1863</v>
      </c>
      <c r="S184" s="47" t="s">
        <v>1862</v>
      </c>
      <c r="T184" s="47"/>
      <c r="U184" s="47" t="s">
        <v>1861</v>
      </c>
      <c r="V184" s="47" t="s">
        <v>1377</v>
      </c>
      <c r="W184" s="47" t="s">
        <v>1377</v>
      </c>
      <c r="X184" s="47" t="s">
        <v>1377</v>
      </c>
      <c r="Y184" s="47" t="s">
        <v>1377</v>
      </c>
      <c r="Z184" s="33"/>
      <c r="AA184" s="327"/>
      <c r="AB184" s="327"/>
      <c r="AC184" s="33" t="s">
        <v>139</v>
      </c>
      <c r="AD184" s="33"/>
      <c r="AE184" s="33"/>
      <c r="AF184" s="33"/>
      <c r="AG184" s="33"/>
      <c r="AH184" s="33" t="s">
        <v>1574</v>
      </c>
      <c r="AI184" s="138" t="s">
        <v>1582</v>
      </c>
      <c r="AJ184" s="33" t="s">
        <v>229</v>
      </c>
      <c r="AK184" s="141" t="s">
        <v>229</v>
      </c>
      <c r="AL184" s="33" t="s">
        <v>1618</v>
      </c>
      <c r="AM184" s="33" t="s">
        <v>1618</v>
      </c>
      <c r="AN184" s="33" t="s">
        <v>177</v>
      </c>
      <c r="AO184" s="33" t="s">
        <v>218</v>
      </c>
      <c r="AP184" s="33" t="s">
        <v>218</v>
      </c>
      <c r="AQ184" s="33" t="s">
        <v>2126</v>
      </c>
      <c r="AR184" s="33" t="s">
        <v>2126</v>
      </c>
      <c r="AS184" s="33" t="s">
        <v>177</v>
      </c>
      <c r="AT184" s="33"/>
      <c r="AU184" s="33"/>
      <c r="AV184" s="33"/>
      <c r="AW184" s="33" t="s">
        <v>119</v>
      </c>
      <c r="BA184" s="5">
        <v>3535</v>
      </c>
      <c r="BD184" s="54" t="s">
        <v>298</v>
      </c>
      <c r="BP184" s="403"/>
      <c r="BQ184" s="403"/>
      <c r="BU184" s="403"/>
      <c r="BV184" s="403"/>
      <c r="BZ184" s="403"/>
      <c r="CA184" s="403"/>
      <c r="CE184" s="556"/>
      <c r="CF184" s="556"/>
      <c r="CG184" s="556"/>
      <c r="CH184" s="556"/>
      <c r="FV184" s="21">
        <v>196</v>
      </c>
      <c r="FW184" s="5">
        <v>286</v>
      </c>
      <c r="GZ184" s="12"/>
      <c r="HD184" s="12"/>
      <c r="IX184" s="33"/>
      <c r="IY184" s="33"/>
      <c r="IZ184" s="33"/>
      <c r="JA184" s="33"/>
      <c r="JB184" s="33" t="s">
        <v>710</v>
      </c>
    </row>
    <row r="185" spans="1:262" s="5" customFormat="1" x14ac:dyDescent="0.25">
      <c r="A185" s="33">
        <v>14</v>
      </c>
      <c r="B185" s="47" t="s">
        <v>3831</v>
      </c>
      <c r="C185" s="33" t="s">
        <v>293</v>
      </c>
      <c r="D185" s="33" t="s">
        <v>294</v>
      </c>
      <c r="E185" s="33">
        <v>2011</v>
      </c>
      <c r="F185" s="33">
        <v>2008</v>
      </c>
      <c r="G185" s="33" t="s">
        <v>296</v>
      </c>
      <c r="H185" s="33" t="s">
        <v>295</v>
      </c>
      <c r="I185" s="21" t="s">
        <v>2815</v>
      </c>
      <c r="J185" s="33">
        <v>46.88</v>
      </c>
      <c r="K185" s="33">
        <v>-102.79</v>
      </c>
      <c r="L185" s="33">
        <v>735.8</v>
      </c>
      <c r="M185" s="33"/>
      <c r="N185" s="33"/>
      <c r="O185" s="33"/>
      <c r="P185" s="33"/>
      <c r="Q185" s="33"/>
      <c r="R185" s="47" t="s">
        <v>1863</v>
      </c>
      <c r="S185" s="47" t="s">
        <v>1862</v>
      </c>
      <c r="T185" s="47"/>
      <c r="U185" s="47" t="s">
        <v>1861</v>
      </c>
      <c r="V185" s="47" t="s">
        <v>1377</v>
      </c>
      <c r="W185" s="47" t="s">
        <v>1377</v>
      </c>
      <c r="X185" s="47" t="s">
        <v>1377</v>
      </c>
      <c r="Y185" s="47" t="s">
        <v>1377</v>
      </c>
      <c r="Z185" s="33"/>
      <c r="AA185" s="327"/>
      <c r="AB185" s="327"/>
      <c r="AC185" s="33" t="s">
        <v>139</v>
      </c>
      <c r="AD185" s="33"/>
      <c r="AE185" s="33"/>
      <c r="AF185" s="33"/>
      <c r="AG185" s="33"/>
      <c r="AH185" s="33" t="s">
        <v>1574</v>
      </c>
      <c r="AI185" s="138" t="s">
        <v>1582</v>
      </c>
      <c r="AJ185" s="33" t="s">
        <v>229</v>
      </c>
      <c r="AK185" s="141" t="s">
        <v>229</v>
      </c>
      <c r="AL185" s="33" t="s">
        <v>1618</v>
      </c>
      <c r="AM185" s="33" t="s">
        <v>1618</v>
      </c>
      <c r="AN185" s="33" t="s">
        <v>177</v>
      </c>
      <c r="AO185" s="33" t="s">
        <v>218</v>
      </c>
      <c r="AP185" s="33" t="s">
        <v>218</v>
      </c>
      <c r="AQ185" s="33" t="s">
        <v>2126</v>
      </c>
      <c r="AR185" s="33" t="s">
        <v>2126</v>
      </c>
      <c r="AS185" s="33" t="s">
        <v>177</v>
      </c>
      <c r="AT185" s="33"/>
      <c r="AU185" s="33"/>
      <c r="AV185" s="33"/>
      <c r="AW185" s="33" t="s">
        <v>119</v>
      </c>
      <c r="BA185" s="5">
        <v>3535</v>
      </c>
      <c r="BD185" s="54" t="s">
        <v>299</v>
      </c>
      <c r="BP185" s="403"/>
      <c r="BQ185" s="403"/>
      <c r="BU185" s="403"/>
      <c r="BV185" s="403"/>
      <c r="BZ185" s="403"/>
      <c r="CA185" s="403"/>
      <c r="CE185" s="556"/>
      <c r="CF185" s="556"/>
      <c r="CG185" s="556"/>
      <c r="CH185" s="556"/>
      <c r="FV185" s="21">
        <v>569</v>
      </c>
      <c r="FW185" s="5">
        <v>286</v>
      </c>
      <c r="GZ185" s="12"/>
      <c r="HD185" s="12"/>
      <c r="IX185" s="33"/>
      <c r="IY185" s="33"/>
      <c r="IZ185" s="33"/>
      <c r="JA185" s="33"/>
      <c r="JB185" s="33" t="s">
        <v>710</v>
      </c>
    </row>
    <row r="186" spans="1:262" s="21" customFormat="1" x14ac:dyDescent="0.25">
      <c r="A186" s="21">
        <v>14</v>
      </c>
      <c r="B186" s="43" t="s">
        <v>3829</v>
      </c>
      <c r="C186" s="21" t="s">
        <v>293</v>
      </c>
      <c r="D186" s="21" t="s">
        <v>294</v>
      </c>
      <c r="E186" s="21">
        <v>2011</v>
      </c>
      <c r="F186" s="21">
        <v>2008</v>
      </c>
      <c r="G186" s="21" t="s">
        <v>296</v>
      </c>
      <c r="H186" s="21" t="s">
        <v>295</v>
      </c>
      <c r="I186" s="21" t="s">
        <v>2815</v>
      </c>
      <c r="J186" s="21">
        <v>46.88</v>
      </c>
      <c r="K186" s="21">
        <v>-102.79</v>
      </c>
      <c r="L186" s="21">
        <v>735.8</v>
      </c>
      <c r="R186" s="43" t="s">
        <v>1863</v>
      </c>
      <c r="S186" s="43" t="s">
        <v>1862</v>
      </c>
      <c r="T186" s="43"/>
      <c r="U186" s="43" t="s">
        <v>1861</v>
      </c>
      <c r="V186" s="43" t="s">
        <v>1377</v>
      </c>
      <c r="W186" s="43" t="s">
        <v>1377</v>
      </c>
      <c r="X186" s="43" t="s">
        <v>1377</v>
      </c>
      <c r="Y186" s="43" t="s">
        <v>1377</v>
      </c>
      <c r="AA186" s="322"/>
      <c r="AB186" s="322"/>
      <c r="AC186" s="21" t="s">
        <v>139</v>
      </c>
      <c r="AH186" s="21" t="s">
        <v>1574</v>
      </c>
      <c r="AI186" s="138" t="s">
        <v>1582</v>
      </c>
      <c r="AJ186" s="21" t="s">
        <v>229</v>
      </c>
      <c r="AK186" s="141" t="s">
        <v>229</v>
      </c>
      <c r="AL186" s="21" t="s">
        <v>1618</v>
      </c>
      <c r="AM186" s="21" t="s">
        <v>1618</v>
      </c>
      <c r="AN186" s="21" t="s">
        <v>177</v>
      </c>
      <c r="AO186" s="21" t="s">
        <v>218</v>
      </c>
      <c r="AP186" s="21" t="s">
        <v>218</v>
      </c>
      <c r="AQ186" s="21" t="s">
        <v>2126</v>
      </c>
      <c r="AR186" s="21" t="s">
        <v>2126</v>
      </c>
      <c r="AS186" s="21" t="s">
        <v>177</v>
      </c>
      <c r="AW186" s="21" t="s">
        <v>119</v>
      </c>
      <c r="BA186" s="21">
        <v>2765</v>
      </c>
      <c r="BD186" s="54" t="s">
        <v>297</v>
      </c>
      <c r="BP186" s="396"/>
      <c r="BQ186" s="396"/>
      <c r="BU186" s="396"/>
      <c r="BV186" s="396"/>
      <c r="BZ186" s="396"/>
      <c r="CA186" s="396"/>
      <c r="CE186" s="549"/>
      <c r="CF186" s="549"/>
      <c r="CG186" s="549"/>
      <c r="CH186" s="549"/>
      <c r="FV186" s="21">
        <v>309</v>
      </c>
      <c r="FW186" s="21">
        <v>172</v>
      </c>
      <c r="GZ186" s="12"/>
      <c r="HD186" s="12"/>
      <c r="JB186" s="21" t="s">
        <v>710</v>
      </c>
    </row>
    <row r="187" spans="1:262" s="21" customFormat="1" x14ac:dyDescent="0.25">
      <c r="A187" s="21">
        <v>14</v>
      </c>
      <c r="B187" s="43" t="s">
        <v>3830</v>
      </c>
      <c r="C187" s="21" t="s">
        <v>293</v>
      </c>
      <c r="D187" s="21" t="s">
        <v>294</v>
      </c>
      <c r="E187" s="21">
        <v>2011</v>
      </c>
      <c r="F187" s="21">
        <v>2008</v>
      </c>
      <c r="G187" s="21" t="s">
        <v>296</v>
      </c>
      <c r="H187" s="21" t="s">
        <v>295</v>
      </c>
      <c r="I187" s="21" t="s">
        <v>2815</v>
      </c>
      <c r="J187" s="21">
        <v>46.88</v>
      </c>
      <c r="K187" s="21">
        <v>-102.79</v>
      </c>
      <c r="L187" s="21">
        <v>735.8</v>
      </c>
      <c r="R187" s="43" t="s">
        <v>1863</v>
      </c>
      <c r="S187" s="43" t="s">
        <v>1862</v>
      </c>
      <c r="T187" s="43"/>
      <c r="U187" s="43" t="s">
        <v>1861</v>
      </c>
      <c r="V187" s="43" t="s">
        <v>1377</v>
      </c>
      <c r="W187" s="43" t="s">
        <v>1377</v>
      </c>
      <c r="X187" s="43" t="s">
        <v>1377</v>
      </c>
      <c r="Y187" s="43" t="s">
        <v>1377</v>
      </c>
      <c r="AA187" s="322"/>
      <c r="AB187" s="322"/>
      <c r="AC187" s="21" t="s">
        <v>139</v>
      </c>
      <c r="AH187" s="21" t="s">
        <v>1574</v>
      </c>
      <c r="AI187" s="138" t="s">
        <v>1582</v>
      </c>
      <c r="AJ187" s="21" t="s">
        <v>229</v>
      </c>
      <c r="AK187" s="141" t="s">
        <v>229</v>
      </c>
      <c r="AL187" s="21" t="s">
        <v>1618</v>
      </c>
      <c r="AM187" s="21" t="s">
        <v>1618</v>
      </c>
      <c r="AN187" s="21" t="s">
        <v>177</v>
      </c>
      <c r="AO187" s="21" t="s">
        <v>218</v>
      </c>
      <c r="AP187" s="21" t="s">
        <v>218</v>
      </c>
      <c r="AQ187" s="21" t="s">
        <v>2126</v>
      </c>
      <c r="AR187" s="21" t="s">
        <v>2126</v>
      </c>
      <c r="AS187" s="21" t="s">
        <v>177</v>
      </c>
      <c r="AW187" s="21" t="s">
        <v>119</v>
      </c>
      <c r="BA187" s="21">
        <v>2765</v>
      </c>
      <c r="BD187" s="54" t="s">
        <v>298</v>
      </c>
      <c r="BP187" s="396"/>
      <c r="BQ187" s="396"/>
      <c r="BU187" s="396"/>
      <c r="BV187" s="396"/>
      <c r="BZ187" s="396"/>
      <c r="CA187" s="396"/>
      <c r="CE187" s="549"/>
      <c r="CF187" s="549"/>
      <c r="CG187" s="549"/>
      <c r="CH187" s="549"/>
      <c r="FV187" s="21">
        <v>196</v>
      </c>
      <c r="FW187" s="21">
        <v>172</v>
      </c>
      <c r="GZ187" s="12"/>
      <c r="HD187" s="12"/>
      <c r="JB187" s="21" t="s">
        <v>710</v>
      </c>
    </row>
    <row r="188" spans="1:262" s="21" customFormat="1" x14ac:dyDescent="0.25">
      <c r="A188" s="21">
        <v>14</v>
      </c>
      <c r="B188" s="43" t="s">
        <v>3831</v>
      </c>
      <c r="C188" s="21" t="s">
        <v>293</v>
      </c>
      <c r="D188" s="21" t="s">
        <v>294</v>
      </c>
      <c r="E188" s="21">
        <v>2011</v>
      </c>
      <c r="F188" s="21">
        <v>2008</v>
      </c>
      <c r="G188" s="21" t="s">
        <v>296</v>
      </c>
      <c r="H188" s="21" t="s">
        <v>295</v>
      </c>
      <c r="I188" s="21" t="s">
        <v>2815</v>
      </c>
      <c r="J188" s="21">
        <v>46.88</v>
      </c>
      <c r="K188" s="21">
        <v>-102.79</v>
      </c>
      <c r="L188" s="21">
        <v>735.8</v>
      </c>
      <c r="R188" s="43" t="s">
        <v>1863</v>
      </c>
      <c r="S188" s="43" t="s">
        <v>1862</v>
      </c>
      <c r="T188" s="43"/>
      <c r="U188" s="43" t="s">
        <v>1861</v>
      </c>
      <c r="V188" s="43" t="s">
        <v>1377</v>
      </c>
      <c r="W188" s="43" t="s">
        <v>1377</v>
      </c>
      <c r="X188" s="43" t="s">
        <v>1377</v>
      </c>
      <c r="Y188" s="43" t="s">
        <v>1377</v>
      </c>
      <c r="AA188" s="322"/>
      <c r="AB188" s="322"/>
      <c r="AC188" s="21" t="s">
        <v>139</v>
      </c>
      <c r="AH188" s="21" t="s">
        <v>1574</v>
      </c>
      <c r="AI188" s="138" t="s">
        <v>1582</v>
      </c>
      <c r="AJ188" s="21" t="s">
        <v>229</v>
      </c>
      <c r="AK188" s="141" t="s">
        <v>229</v>
      </c>
      <c r="AL188" s="21" t="s">
        <v>1618</v>
      </c>
      <c r="AM188" s="21" t="s">
        <v>1618</v>
      </c>
      <c r="AN188" s="21" t="s">
        <v>177</v>
      </c>
      <c r="AO188" s="21" t="s">
        <v>218</v>
      </c>
      <c r="AP188" s="21" t="s">
        <v>218</v>
      </c>
      <c r="AQ188" s="21" t="s">
        <v>2126</v>
      </c>
      <c r="AR188" s="21" t="s">
        <v>2126</v>
      </c>
      <c r="AS188" s="21" t="s">
        <v>177</v>
      </c>
      <c r="AW188" s="21" t="s">
        <v>119</v>
      </c>
      <c r="BA188" s="21">
        <v>2765</v>
      </c>
      <c r="BD188" s="54" t="s">
        <v>299</v>
      </c>
      <c r="BP188" s="396"/>
      <c r="BQ188" s="396"/>
      <c r="BU188" s="396"/>
      <c r="BV188" s="396"/>
      <c r="BZ188" s="396"/>
      <c r="CA188" s="396"/>
      <c r="CE188" s="549"/>
      <c r="CF188" s="549"/>
      <c r="CG188" s="549"/>
      <c r="CH188" s="549"/>
      <c r="FV188" s="21">
        <v>569</v>
      </c>
      <c r="FW188" s="21">
        <v>172</v>
      </c>
      <c r="GZ188" s="12"/>
      <c r="HD188" s="12"/>
      <c r="JB188" s="21" t="s">
        <v>710</v>
      </c>
    </row>
    <row r="189" spans="1:262" s="5" customFormat="1" x14ac:dyDescent="0.25">
      <c r="A189" s="33">
        <v>14</v>
      </c>
      <c r="B189" s="47" t="s">
        <v>3820</v>
      </c>
      <c r="C189" s="33" t="s">
        <v>293</v>
      </c>
      <c r="D189" s="33" t="s">
        <v>294</v>
      </c>
      <c r="E189" s="33">
        <v>2011</v>
      </c>
      <c r="F189" s="33">
        <v>2009</v>
      </c>
      <c r="G189" s="33" t="s">
        <v>296</v>
      </c>
      <c r="H189" s="33" t="s">
        <v>295</v>
      </c>
      <c r="I189" s="21" t="s">
        <v>2815</v>
      </c>
      <c r="J189" s="33">
        <v>46.88</v>
      </c>
      <c r="K189" s="33">
        <v>-102.79</v>
      </c>
      <c r="L189" s="33">
        <v>735.8</v>
      </c>
      <c r="M189" s="33"/>
      <c r="N189" s="33"/>
      <c r="O189" s="33"/>
      <c r="P189" s="33"/>
      <c r="Q189" s="33"/>
      <c r="R189" s="47" t="s">
        <v>1727</v>
      </c>
      <c r="S189" s="47" t="s">
        <v>1862</v>
      </c>
      <c r="T189" s="47"/>
      <c r="U189" s="47" t="s">
        <v>1861</v>
      </c>
      <c r="V189" s="47" t="s">
        <v>1377</v>
      </c>
      <c r="W189" s="47" t="s">
        <v>1377</v>
      </c>
      <c r="X189" s="47" t="s">
        <v>1377</v>
      </c>
      <c r="Y189" s="47" t="s">
        <v>1377</v>
      </c>
      <c r="Z189" s="33"/>
      <c r="AA189" s="327"/>
      <c r="AB189" s="327"/>
      <c r="AC189" s="33" t="s">
        <v>139</v>
      </c>
      <c r="AD189" s="33"/>
      <c r="AE189" s="33"/>
      <c r="AF189" s="33"/>
      <c r="AG189" s="33"/>
      <c r="AH189" s="33" t="s">
        <v>243</v>
      </c>
      <c r="AI189" s="138" t="s">
        <v>577</v>
      </c>
      <c r="AJ189" s="33" t="s">
        <v>229</v>
      </c>
      <c r="AK189" s="141" t="s">
        <v>229</v>
      </c>
      <c r="AL189" s="33" t="s">
        <v>1618</v>
      </c>
      <c r="AM189" s="33" t="s">
        <v>1618</v>
      </c>
      <c r="AN189" s="33" t="s">
        <v>177</v>
      </c>
      <c r="AO189" s="33" t="s">
        <v>218</v>
      </c>
      <c r="AP189" s="33" t="s">
        <v>218</v>
      </c>
      <c r="AQ189" s="33" t="s">
        <v>2126</v>
      </c>
      <c r="AR189" s="33" t="s">
        <v>2126</v>
      </c>
      <c r="AS189" s="33" t="s">
        <v>177</v>
      </c>
      <c r="AT189" s="33"/>
      <c r="AU189" s="33"/>
      <c r="AV189" s="33"/>
      <c r="AW189" s="33" t="s">
        <v>119</v>
      </c>
      <c r="BA189" s="5">
        <v>702</v>
      </c>
      <c r="BD189" s="54" t="s">
        <v>297</v>
      </c>
      <c r="BP189" s="403"/>
      <c r="BQ189" s="403"/>
      <c r="BU189" s="403"/>
      <c r="BV189" s="403"/>
      <c r="BZ189" s="403"/>
      <c r="CA189" s="403"/>
      <c r="CE189" s="556"/>
      <c r="CF189" s="556"/>
      <c r="CG189" s="556"/>
      <c r="CH189" s="556"/>
      <c r="FV189" s="5">
        <v>589</v>
      </c>
      <c r="FW189" s="5">
        <v>1689</v>
      </c>
      <c r="GZ189" s="12"/>
      <c r="HD189" s="12"/>
      <c r="IX189" s="33"/>
      <c r="IY189" s="33"/>
      <c r="IZ189" s="33"/>
      <c r="JA189" s="33"/>
      <c r="JB189" s="33" t="s">
        <v>710</v>
      </c>
    </row>
    <row r="190" spans="1:262" s="5" customFormat="1" x14ac:dyDescent="0.25">
      <c r="A190" s="33">
        <v>14</v>
      </c>
      <c r="B190" s="47" t="s">
        <v>3821</v>
      </c>
      <c r="C190" s="33" t="s">
        <v>293</v>
      </c>
      <c r="D190" s="33" t="s">
        <v>294</v>
      </c>
      <c r="E190" s="33">
        <v>2011</v>
      </c>
      <c r="F190" s="33">
        <v>2009</v>
      </c>
      <c r="G190" s="33" t="s">
        <v>296</v>
      </c>
      <c r="H190" s="33" t="s">
        <v>295</v>
      </c>
      <c r="I190" s="21" t="s">
        <v>2815</v>
      </c>
      <c r="J190" s="33">
        <v>46.88</v>
      </c>
      <c r="K190" s="33">
        <v>-102.79</v>
      </c>
      <c r="L190" s="33">
        <v>735.8</v>
      </c>
      <c r="M190" s="33"/>
      <c r="N190" s="33"/>
      <c r="O190" s="33"/>
      <c r="P190" s="33"/>
      <c r="Q190" s="33"/>
      <c r="R190" s="47" t="s">
        <v>1727</v>
      </c>
      <c r="S190" s="47" t="s">
        <v>1862</v>
      </c>
      <c r="T190" s="47"/>
      <c r="U190" s="47" t="s">
        <v>1861</v>
      </c>
      <c r="V190" s="47" t="s">
        <v>1377</v>
      </c>
      <c r="W190" s="47" t="s">
        <v>1377</v>
      </c>
      <c r="X190" s="47" t="s">
        <v>1377</v>
      </c>
      <c r="Y190" s="47" t="s">
        <v>1377</v>
      </c>
      <c r="Z190" s="33"/>
      <c r="AA190" s="327"/>
      <c r="AB190" s="327"/>
      <c r="AC190" s="33" t="s">
        <v>139</v>
      </c>
      <c r="AD190" s="33"/>
      <c r="AE190" s="33"/>
      <c r="AF190" s="33"/>
      <c r="AG190" s="33"/>
      <c r="AH190" s="33" t="s">
        <v>243</v>
      </c>
      <c r="AI190" s="138" t="s">
        <v>577</v>
      </c>
      <c r="AJ190" s="33" t="s">
        <v>229</v>
      </c>
      <c r="AK190" s="141" t="s">
        <v>229</v>
      </c>
      <c r="AL190" s="33" t="s">
        <v>1618</v>
      </c>
      <c r="AM190" s="33" t="s">
        <v>1618</v>
      </c>
      <c r="AN190" s="33" t="s">
        <v>177</v>
      </c>
      <c r="AO190" s="33" t="s">
        <v>218</v>
      </c>
      <c r="AP190" s="33" t="s">
        <v>218</v>
      </c>
      <c r="AQ190" s="33" t="s">
        <v>2126</v>
      </c>
      <c r="AR190" s="33" t="s">
        <v>2126</v>
      </c>
      <c r="AS190" s="33" t="s">
        <v>177</v>
      </c>
      <c r="AT190" s="33"/>
      <c r="AU190" s="33"/>
      <c r="AV190" s="33"/>
      <c r="AW190" s="33" t="s">
        <v>119</v>
      </c>
      <c r="BA190" s="5">
        <v>702</v>
      </c>
      <c r="BD190" s="54" t="s">
        <v>298</v>
      </c>
      <c r="BP190" s="403"/>
      <c r="BQ190" s="403"/>
      <c r="BU190" s="403"/>
      <c r="BV190" s="403"/>
      <c r="BZ190" s="403"/>
      <c r="CA190" s="403"/>
      <c r="CE190" s="556"/>
      <c r="CF190" s="556"/>
      <c r="CG190" s="556"/>
      <c r="CH190" s="556"/>
      <c r="FV190" s="5">
        <v>944</v>
      </c>
      <c r="FW190" s="5">
        <v>1689</v>
      </c>
      <c r="GZ190" s="12"/>
      <c r="HD190" s="12"/>
      <c r="IX190" s="33"/>
      <c r="IY190" s="33"/>
      <c r="IZ190" s="33"/>
      <c r="JA190" s="33"/>
      <c r="JB190" s="33" t="s">
        <v>710</v>
      </c>
    </row>
    <row r="191" spans="1:262" s="5" customFormat="1" x14ac:dyDescent="0.25">
      <c r="A191" s="33">
        <v>14</v>
      </c>
      <c r="B191" s="47" t="s">
        <v>3822</v>
      </c>
      <c r="C191" s="33" t="s">
        <v>293</v>
      </c>
      <c r="D191" s="33" t="s">
        <v>294</v>
      </c>
      <c r="E191" s="33">
        <v>2011</v>
      </c>
      <c r="F191" s="33">
        <v>2009</v>
      </c>
      <c r="G191" s="33" t="s">
        <v>296</v>
      </c>
      <c r="H191" s="33" t="s">
        <v>295</v>
      </c>
      <c r="I191" s="21" t="s">
        <v>2815</v>
      </c>
      <c r="J191" s="33">
        <v>46.88</v>
      </c>
      <c r="K191" s="33">
        <v>-102.79</v>
      </c>
      <c r="L191" s="33">
        <v>735.8</v>
      </c>
      <c r="M191" s="33"/>
      <c r="N191" s="33"/>
      <c r="O191" s="33"/>
      <c r="P191" s="33"/>
      <c r="Q191" s="33"/>
      <c r="R191" s="47" t="s">
        <v>1727</v>
      </c>
      <c r="S191" s="47" t="s">
        <v>1862</v>
      </c>
      <c r="T191" s="47"/>
      <c r="U191" s="47" t="s">
        <v>1861</v>
      </c>
      <c r="V191" s="47" t="s">
        <v>1377</v>
      </c>
      <c r="W191" s="47" t="s">
        <v>1377</v>
      </c>
      <c r="X191" s="47" t="s">
        <v>1377</v>
      </c>
      <c r="Y191" s="47" t="s">
        <v>1377</v>
      </c>
      <c r="Z191" s="33"/>
      <c r="AA191" s="327"/>
      <c r="AB191" s="327"/>
      <c r="AC191" s="33" t="s">
        <v>139</v>
      </c>
      <c r="AD191" s="33"/>
      <c r="AE191" s="33"/>
      <c r="AF191" s="33"/>
      <c r="AG191" s="33"/>
      <c r="AH191" s="33" t="s">
        <v>243</v>
      </c>
      <c r="AI191" s="138" t="s">
        <v>577</v>
      </c>
      <c r="AJ191" s="33" t="s">
        <v>229</v>
      </c>
      <c r="AK191" s="141" t="s">
        <v>229</v>
      </c>
      <c r="AL191" s="33" t="s">
        <v>1618</v>
      </c>
      <c r="AM191" s="33" t="s">
        <v>1618</v>
      </c>
      <c r="AN191" s="33" t="s">
        <v>177</v>
      </c>
      <c r="AO191" s="33" t="s">
        <v>218</v>
      </c>
      <c r="AP191" s="33" t="s">
        <v>218</v>
      </c>
      <c r="AQ191" s="33" t="s">
        <v>2126</v>
      </c>
      <c r="AR191" s="33" t="s">
        <v>2126</v>
      </c>
      <c r="AS191" s="33" t="s">
        <v>177</v>
      </c>
      <c r="AT191" s="33"/>
      <c r="AU191" s="33"/>
      <c r="AV191" s="33"/>
      <c r="AW191" s="33" t="s">
        <v>119</v>
      </c>
      <c r="BA191" s="5">
        <v>702</v>
      </c>
      <c r="BD191" s="54" t="s">
        <v>299</v>
      </c>
      <c r="BP191" s="403"/>
      <c r="BQ191" s="403"/>
      <c r="BU191" s="403"/>
      <c r="BV191" s="403"/>
      <c r="BZ191" s="403"/>
      <c r="CA191" s="403"/>
      <c r="CE191" s="556"/>
      <c r="CF191" s="556"/>
      <c r="CG191" s="556"/>
      <c r="CH191" s="556"/>
      <c r="FV191" s="5">
        <v>404</v>
      </c>
      <c r="FW191" s="5">
        <v>1689</v>
      </c>
      <c r="GZ191" s="12"/>
      <c r="HD191" s="12"/>
      <c r="IX191" s="33"/>
      <c r="IY191" s="33"/>
      <c r="IZ191" s="33"/>
      <c r="JA191" s="33"/>
      <c r="JB191" s="33" t="s">
        <v>710</v>
      </c>
    </row>
    <row r="192" spans="1:262" s="21" customFormat="1" x14ac:dyDescent="0.25">
      <c r="A192" s="21">
        <v>14</v>
      </c>
      <c r="B192" s="43" t="s">
        <v>3823</v>
      </c>
      <c r="C192" s="21" t="s">
        <v>293</v>
      </c>
      <c r="D192" s="21" t="s">
        <v>294</v>
      </c>
      <c r="E192" s="21">
        <v>2011</v>
      </c>
      <c r="F192" s="21">
        <v>2009</v>
      </c>
      <c r="G192" s="21" t="s">
        <v>296</v>
      </c>
      <c r="H192" s="21" t="s">
        <v>295</v>
      </c>
      <c r="I192" s="21" t="s">
        <v>2815</v>
      </c>
      <c r="J192" s="21">
        <v>46.88</v>
      </c>
      <c r="K192" s="21">
        <v>-102.79</v>
      </c>
      <c r="L192" s="21">
        <v>735.8</v>
      </c>
      <c r="R192" s="43" t="s">
        <v>1727</v>
      </c>
      <c r="S192" s="43" t="s">
        <v>1862</v>
      </c>
      <c r="T192" s="43"/>
      <c r="U192" s="43" t="s">
        <v>1861</v>
      </c>
      <c r="V192" s="43" t="s">
        <v>1377</v>
      </c>
      <c r="W192" s="43" t="s">
        <v>1377</v>
      </c>
      <c r="X192" s="43" t="s">
        <v>1377</v>
      </c>
      <c r="Y192" s="43" t="s">
        <v>1377</v>
      </c>
      <c r="AA192" s="322"/>
      <c r="AB192" s="322"/>
      <c r="AC192" s="21" t="s">
        <v>139</v>
      </c>
      <c r="AH192" s="21" t="s">
        <v>243</v>
      </c>
      <c r="AI192" s="138" t="s">
        <v>577</v>
      </c>
      <c r="AJ192" s="21" t="s">
        <v>229</v>
      </c>
      <c r="AK192" s="141" t="s">
        <v>229</v>
      </c>
      <c r="AL192" s="21" t="s">
        <v>1618</v>
      </c>
      <c r="AM192" s="21" t="s">
        <v>1618</v>
      </c>
      <c r="AN192" s="21" t="s">
        <v>177</v>
      </c>
      <c r="AO192" s="21" t="s">
        <v>218</v>
      </c>
      <c r="AP192" s="21" t="s">
        <v>218</v>
      </c>
      <c r="AQ192" s="21" t="s">
        <v>2126</v>
      </c>
      <c r="AR192" s="21" t="s">
        <v>2126</v>
      </c>
      <c r="AS192" s="21" t="s">
        <v>177</v>
      </c>
      <c r="AW192" s="21" t="s">
        <v>119</v>
      </c>
      <c r="BA192" s="21">
        <v>4919</v>
      </c>
      <c r="BD192" s="54" t="s">
        <v>297</v>
      </c>
      <c r="BP192" s="396"/>
      <c r="BQ192" s="396"/>
      <c r="BU192" s="396"/>
      <c r="BV192" s="396"/>
      <c r="BZ192" s="396"/>
      <c r="CA192" s="396"/>
      <c r="CE192" s="549"/>
      <c r="CF192" s="549"/>
      <c r="CG192" s="549"/>
      <c r="CH192" s="549"/>
      <c r="FV192" s="5">
        <v>589</v>
      </c>
      <c r="FW192" s="21">
        <v>75</v>
      </c>
      <c r="GZ192" s="12"/>
      <c r="HD192" s="12"/>
      <c r="JB192" s="21" t="s">
        <v>710</v>
      </c>
    </row>
    <row r="193" spans="1:262" s="21" customFormat="1" x14ac:dyDescent="0.25">
      <c r="A193" s="21">
        <v>14</v>
      </c>
      <c r="B193" s="43" t="s">
        <v>3824</v>
      </c>
      <c r="C193" s="21" t="s">
        <v>293</v>
      </c>
      <c r="D193" s="21" t="s">
        <v>294</v>
      </c>
      <c r="E193" s="21">
        <v>2011</v>
      </c>
      <c r="F193" s="21">
        <v>2009</v>
      </c>
      <c r="G193" s="21" t="s">
        <v>296</v>
      </c>
      <c r="H193" s="21" t="s">
        <v>295</v>
      </c>
      <c r="I193" s="21" t="s">
        <v>2815</v>
      </c>
      <c r="J193" s="21">
        <v>46.88</v>
      </c>
      <c r="K193" s="21">
        <v>-102.79</v>
      </c>
      <c r="L193" s="21">
        <v>735.8</v>
      </c>
      <c r="R193" s="43" t="s">
        <v>1727</v>
      </c>
      <c r="S193" s="43" t="s">
        <v>1862</v>
      </c>
      <c r="T193" s="43"/>
      <c r="U193" s="43" t="s">
        <v>1861</v>
      </c>
      <c r="V193" s="43" t="s">
        <v>1377</v>
      </c>
      <c r="W193" s="43" t="s">
        <v>1377</v>
      </c>
      <c r="X193" s="43" t="s">
        <v>1377</v>
      </c>
      <c r="Y193" s="43" t="s">
        <v>1377</v>
      </c>
      <c r="AA193" s="322"/>
      <c r="AB193" s="322"/>
      <c r="AC193" s="21" t="s">
        <v>139</v>
      </c>
      <c r="AH193" s="21" t="s">
        <v>243</v>
      </c>
      <c r="AI193" s="138" t="s">
        <v>577</v>
      </c>
      <c r="AJ193" s="21" t="s">
        <v>229</v>
      </c>
      <c r="AK193" s="141" t="s">
        <v>229</v>
      </c>
      <c r="AL193" s="21" t="s">
        <v>1618</v>
      </c>
      <c r="AM193" s="21" t="s">
        <v>1618</v>
      </c>
      <c r="AN193" s="21" t="s">
        <v>177</v>
      </c>
      <c r="AO193" s="21" t="s">
        <v>218</v>
      </c>
      <c r="AP193" s="21" t="s">
        <v>218</v>
      </c>
      <c r="AQ193" s="21" t="s">
        <v>2126</v>
      </c>
      <c r="AR193" s="21" t="s">
        <v>2126</v>
      </c>
      <c r="AS193" s="21" t="s">
        <v>177</v>
      </c>
      <c r="AW193" s="21" t="s">
        <v>119</v>
      </c>
      <c r="BA193" s="21">
        <v>4919</v>
      </c>
      <c r="BD193" s="54" t="s">
        <v>298</v>
      </c>
      <c r="BP193" s="396"/>
      <c r="BQ193" s="396"/>
      <c r="BU193" s="396"/>
      <c r="BV193" s="396"/>
      <c r="BZ193" s="396"/>
      <c r="CA193" s="396"/>
      <c r="CE193" s="549"/>
      <c r="CF193" s="549"/>
      <c r="CG193" s="549"/>
      <c r="CH193" s="549"/>
      <c r="FV193" s="5">
        <v>944</v>
      </c>
      <c r="FW193" s="21">
        <v>75</v>
      </c>
      <c r="GZ193" s="12"/>
      <c r="HD193" s="12"/>
      <c r="JB193" s="21" t="s">
        <v>710</v>
      </c>
    </row>
    <row r="194" spans="1:262" s="21" customFormat="1" x14ac:dyDescent="0.25">
      <c r="A194" s="21">
        <v>14</v>
      </c>
      <c r="B194" s="43" t="s">
        <v>3825</v>
      </c>
      <c r="C194" s="21" t="s">
        <v>293</v>
      </c>
      <c r="D194" s="21" t="s">
        <v>294</v>
      </c>
      <c r="E194" s="21">
        <v>2011</v>
      </c>
      <c r="F194" s="21">
        <v>2009</v>
      </c>
      <c r="G194" s="21" t="s">
        <v>296</v>
      </c>
      <c r="H194" s="21" t="s">
        <v>295</v>
      </c>
      <c r="I194" s="21" t="s">
        <v>2815</v>
      </c>
      <c r="J194" s="21">
        <v>46.88</v>
      </c>
      <c r="K194" s="21">
        <v>-102.79</v>
      </c>
      <c r="L194" s="21">
        <v>735.8</v>
      </c>
      <c r="R194" s="43" t="s">
        <v>1727</v>
      </c>
      <c r="S194" s="43" t="s">
        <v>1862</v>
      </c>
      <c r="T194" s="43"/>
      <c r="U194" s="43" t="s">
        <v>1861</v>
      </c>
      <c r="V194" s="43" t="s">
        <v>1377</v>
      </c>
      <c r="W194" s="43" t="s">
        <v>1377</v>
      </c>
      <c r="X194" s="43" t="s">
        <v>1377</v>
      </c>
      <c r="Y194" s="43" t="s">
        <v>1377</v>
      </c>
      <c r="AA194" s="322"/>
      <c r="AB194" s="322"/>
      <c r="AC194" s="21" t="s">
        <v>139</v>
      </c>
      <c r="AH194" s="21" t="s">
        <v>243</v>
      </c>
      <c r="AI194" s="138" t="s">
        <v>577</v>
      </c>
      <c r="AJ194" s="21" t="s">
        <v>229</v>
      </c>
      <c r="AK194" s="141" t="s">
        <v>229</v>
      </c>
      <c r="AL194" s="21" t="s">
        <v>1618</v>
      </c>
      <c r="AM194" s="21" t="s">
        <v>1618</v>
      </c>
      <c r="AN194" s="21" t="s">
        <v>177</v>
      </c>
      <c r="AO194" s="21" t="s">
        <v>218</v>
      </c>
      <c r="AP194" s="21" t="s">
        <v>218</v>
      </c>
      <c r="AQ194" s="21" t="s">
        <v>2126</v>
      </c>
      <c r="AR194" s="21" t="s">
        <v>2126</v>
      </c>
      <c r="AS194" s="21" t="s">
        <v>177</v>
      </c>
      <c r="AW194" s="21" t="s">
        <v>119</v>
      </c>
      <c r="BA194" s="21">
        <v>4919</v>
      </c>
      <c r="BD194" s="54" t="s">
        <v>299</v>
      </c>
      <c r="BP194" s="396"/>
      <c r="BQ194" s="396"/>
      <c r="BU194" s="396"/>
      <c r="BV194" s="396"/>
      <c r="BZ194" s="396"/>
      <c r="CA194" s="396"/>
      <c r="CE194" s="549"/>
      <c r="CF194" s="549"/>
      <c r="CG194" s="549"/>
      <c r="CH194" s="549"/>
      <c r="FV194" s="5">
        <v>404</v>
      </c>
      <c r="FW194" s="21">
        <v>75</v>
      </c>
      <c r="GZ194" s="12"/>
      <c r="HD194" s="12"/>
      <c r="JB194" s="21" t="s">
        <v>710</v>
      </c>
    </row>
    <row r="195" spans="1:262" s="5" customFormat="1" x14ac:dyDescent="0.25">
      <c r="A195" s="33">
        <v>14</v>
      </c>
      <c r="B195" s="47" t="s">
        <v>3826</v>
      </c>
      <c r="C195" s="33" t="s">
        <v>293</v>
      </c>
      <c r="D195" s="33" t="s">
        <v>294</v>
      </c>
      <c r="E195" s="33">
        <v>2011</v>
      </c>
      <c r="F195" s="33">
        <v>2009</v>
      </c>
      <c r="G195" s="33" t="s">
        <v>296</v>
      </c>
      <c r="H195" s="33" t="s">
        <v>295</v>
      </c>
      <c r="I195" s="21" t="s">
        <v>2815</v>
      </c>
      <c r="J195" s="33">
        <v>46.88</v>
      </c>
      <c r="K195" s="33">
        <v>-102.79</v>
      </c>
      <c r="L195" s="33">
        <v>735.8</v>
      </c>
      <c r="M195" s="33"/>
      <c r="N195" s="33"/>
      <c r="O195" s="33"/>
      <c r="P195" s="33"/>
      <c r="Q195" s="33"/>
      <c r="R195" s="47" t="s">
        <v>1727</v>
      </c>
      <c r="S195" s="47" t="s">
        <v>1862</v>
      </c>
      <c r="T195" s="47"/>
      <c r="U195" s="47" t="s">
        <v>1861</v>
      </c>
      <c r="V195" s="47" t="s">
        <v>1377</v>
      </c>
      <c r="W195" s="47" t="s">
        <v>1377</v>
      </c>
      <c r="X195" s="47" t="s">
        <v>1377</v>
      </c>
      <c r="Y195" s="47" t="s">
        <v>1377</v>
      </c>
      <c r="Z195" s="33"/>
      <c r="AA195" s="327"/>
      <c r="AB195" s="327"/>
      <c r="AC195" s="33" t="s">
        <v>139</v>
      </c>
      <c r="AD195" s="33"/>
      <c r="AE195" s="33"/>
      <c r="AF195" s="33"/>
      <c r="AG195" s="33"/>
      <c r="AH195" s="33" t="s">
        <v>1563</v>
      </c>
      <c r="AI195" s="138" t="s">
        <v>131</v>
      </c>
      <c r="AJ195" s="33" t="s">
        <v>229</v>
      </c>
      <c r="AK195" s="141" t="s">
        <v>229</v>
      </c>
      <c r="AL195" s="33" t="s">
        <v>1618</v>
      </c>
      <c r="AM195" s="33" t="s">
        <v>1618</v>
      </c>
      <c r="AN195" s="33" t="s">
        <v>177</v>
      </c>
      <c r="AO195" s="33" t="s">
        <v>218</v>
      </c>
      <c r="AP195" s="33" t="s">
        <v>218</v>
      </c>
      <c r="AQ195" s="33" t="s">
        <v>2126</v>
      </c>
      <c r="AR195" s="33" t="s">
        <v>2126</v>
      </c>
      <c r="AS195" s="33" t="s">
        <v>177</v>
      </c>
      <c r="AT195" s="33"/>
      <c r="AU195" s="33"/>
      <c r="AV195" s="33"/>
      <c r="AW195" s="33" t="s">
        <v>119</v>
      </c>
      <c r="BA195" s="5">
        <v>3182</v>
      </c>
      <c r="BD195" s="54" t="s">
        <v>297</v>
      </c>
      <c r="BP195" s="403"/>
      <c r="BQ195" s="403"/>
      <c r="BU195" s="403"/>
      <c r="BV195" s="403"/>
      <c r="BZ195" s="403"/>
      <c r="CA195" s="403"/>
      <c r="CE195" s="556"/>
      <c r="CF195" s="556"/>
      <c r="CG195" s="556"/>
      <c r="CH195" s="556"/>
      <c r="FV195" s="5">
        <v>589</v>
      </c>
      <c r="FW195" s="5">
        <v>460</v>
      </c>
      <c r="GZ195" s="12"/>
      <c r="HD195" s="12"/>
      <c r="IX195" s="33"/>
      <c r="IY195" s="33"/>
      <c r="IZ195" s="33"/>
      <c r="JA195" s="33"/>
      <c r="JB195" s="33" t="s">
        <v>710</v>
      </c>
    </row>
    <row r="196" spans="1:262" s="5" customFormat="1" x14ac:dyDescent="0.25">
      <c r="A196" s="33">
        <v>14</v>
      </c>
      <c r="B196" s="47" t="s">
        <v>3827</v>
      </c>
      <c r="C196" s="33" t="s">
        <v>293</v>
      </c>
      <c r="D196" s="33" t="s">
        <v>294</v>
      </c>
      <c r="E196" s="33">
        <v>2011</v>
      </c>
      <c r="F196" s="33">
        <v>2009</v>
      </c>
      <c r="G196" s="33" t="s">
        <v>296</v>
      </c>
      <c r="H196" s="33" t="s">
        <v>295</v>
      </c>
      <c r="I196" s="21" t="s">
        <v>2815</v>
      </c>
      <c r="J196" s="33">
        <v>46.88</v>
      </c>
      <c r="K196" s="33">
        <v>-102.79</v>
      </c>
      <c r="L196" s="33">
        <v>735.8</v>
      </c>
      <c r="M196" s="33"/>
      <c r="N196" s="33"/>
      <c r="O196" s="33"/>
      <c r="P196" s="33"/>
      <c r="Q196" s="33"/>
      <c r="R196" s="47" t="s">
        <v>1727</v>
      </c>
      <c r="S196" s="47" t="s">
        <v>1862</v>
      </c>
      <c r="T196" s="47"/>
      <c r="U196" s="47" t="s">
        <v>1861</v>
      </c>
      <c r="V196" s="47" t="s">
        <v>1377</v>
      </c>
      <c r="W196" s="47" t="s">
        <v>1377</v>
      </c>
      <c r="X196" s="47" t="s">
        <v>1377</v>
      </c>
      <c r="Y196" s="47" t="s">
        <v>1377</v>
      </c>
      <c r="Z196" s="33"/>
      <c r="AA196" s="327"/>
      <c r="AB196" s="327"/>
      <c r="AC196" s="33" t="s">
        <v>139</v>
      </c>
      <c r="AD196" s="33"/>
      <c r="AE196" s="33"/>
      <c r="AF196" s="33"/>
      <c r="AG196" s="33"/>
      <c r="AH196" s="33" t="s">
        <v>1563</v>
      </c>
      <c r="AI196" s="138" t="s">
        <v>131</v>
      </c>
      <c r="AJ196" s="33" t="s">
        <v>229</v>
      </c>
      <c r="AK196" s="141" t="s">
        <v>229</v>
      </c>
      <c r="AL196" s="33" t="s">
        <v>1618</v>
      </c>
      <c r="AM196" s="33" t="s">
        <v>1618</v>
      </c>
      <c r="AN196" s="33" t="s">
        <v>177</v>
      </c>
      <c r="AO196" s="33" t="s">
        <v>218</v>
      </c>
      <c r="AP196" s="33" t="s">
        <v>218</v>
      </c>
      <c r="AQ196" s="33" t="s">
        <v>2126</v>
      </c>
      <c r="AR196" s="33" t="s">
        <v>2126</v>
      </c>
      <c r="AS196" s="33" t="s">
        <v>177</v>
      </c>
      <c r="AT196" s="33"/>
      <c r="AU196" s="33"/>
      <c r="AV196" s="33"/>
      <c r="AW196" s="33" t="s">
        <v>119</v>
      </c>
      <c r="BA196" s="5">
        <v>3182</v>
      </c>
      <c r="BD196" s="54" t="s">
        <v>298</v>
      </c>
      <c r="BP196" s="403"/>
      <c r="BQ196" s="403"/>
      <c r="BU196" s="403"/>
      <c r="BV196" s="403"/>
      <c r="BZ196" s="403"/>
      <c r="CA196" s="403"/>
      <c r="CE196" s="556"/>
      <c r="CF196" s="556"/>
      <c r="CG196" s="556"/>
      <c r="CH196" s="556"/>
      <c r="FV196" s="5">
        <v>944</v>
      </c>
      <c r="FW196" s="5">
        <v>460</v>
      </c>
      <c r="GZ196" s="12"/>
      <c r="HD196" s="12"/>
      <c r="IX196" s="33"/>
      <c r="IY196" s="33"/>
      <c r="IZ196" s="33"/>
      <c r="JA196" s="33"/>
      <c r="JB196" s="33" t="s">
        <v>710</v>
      </c>
    </row>
    <row r="197" spans="1:262" s="5" customFormat="1" x14ac:dyDescent="0.25">
      <c r="A197" s="33">
        <v>14</v>
      </c>
      <c r="B197" s="47" t="s">
        <v>3828</v>
      </c>
      <c r="C197" s="33" t="s">
        <v>293</v>
      </c>
      <c r="D197" s="33" t="s">
        <v>294</v>
      </c>
      <c r="E197" s="33">
        <v>2011</v>
      </c>
      <c r="F197" s="33">
        <v>2009</v>
      </c>
      <c r="G197" s="33" t="s">
        <v>296</v>
      </c>
      <c r="H197" s="33" t="s">
        <v>295</v>
      </c>
      <c r="I197" s="21" t="s">
        <v>2815</v>
      </c>
      <c r="J197" s="33">
        <v>46.88</v>
      </c>
      <c r="K197" s="33">
        <v>-102.79</v>
      </c>
      <c r="L197" s="33">
        <v>735.8</v>
      </c>
      <c r="M197" s="33"/>
      <c r="N197" s="33"/>
      <c r="O197" s="33"/>
      <c r="P197" s="33"/>
      <c r="Q197" s="33"/>
      <c r="R197" s="47" t="s">
        <v>1727</v>
      </c>
      <c r="S197" s="47" t="s">
        <v>1862</v>
      </c>
      <c r="T197" s="47"/>
      <c r="U197" s="47" t="s">
        <v>1861</v>
      </c>
      <c r="V197" s="47" t="s">
        <v>1377</v>
      </c>
      <c r="W197" s="47" t="s">
        <v>1377</v>
      </c>
      <c r="X197" s="47" t="s">
        <v>1377</v>
      </c>
      <c r="Y197" s="47" t="s">
        <v>1377</v>
      </c>
      <c r="Z197" s="33"/>
      <c r="AA197" s="327"/>
      <c r="AB197" s="327"/>
      <c r="AC197" s="33" t="s">
        <v>139</v>
      </c>
      <c r="AD197" s="33"/>
      <c r="AE197" s="33"/>
      <c r="AF197" s="33"/>
      <c r="AG197" s="33"/>
      <c r="AH197" s="33" t="s">
        <v>1563</v>
      </c>
      <c r="AI197" s="138" t="s">
        <v>131</v>
      </c>
      <c r="AJ197" s="33" t="s">
        <v>229</v>
      </c>
      <c r="AK197" s="141" t="s">
        <v>229</v>
      </c>
      <c r="AL197" s="33" t="s">
        <v>1618</v>
      </c>
      <c r="AM197" s="33" t="s">
        <v>1618</v>
      </c>
      <c r="AN197" s="33" t="s">
        <v>177</v>
      </c>
      <c r="AO197" s="33" t="s">
        <v>218</v>
      </c>
      <c r="AP197" s="33" t="s">
        <v>218</v>
      </c>
      <c r="AQ197" s="33" t="s">
        <v>2126</v>
      </c>
      <c r="AR197" s="33" t="s">
        <v>2126</v>
      </c>
      <c r="AS197" s="33" t="s">
        <v>177</v>
      </c>
      <c r="AT197" s="33"/>
      <c r="AU197" s="33"/>
      <c r="AV197" s="33"/>
      <c r="AW197" s="33" t="s">
        <v>119</v>
      </c>
      <c r="BA197" s="5">
        <v>3182</v>
      </c>
      <c r="BD197" s="54" t="s">
        <v>299</v>
      </c>
      <c r="BP197" s="403"/>
      <c r="BQ197" s="403"/>
      <c r="BU197" s="403"/>
      <c r="BV197" s="403"/>
      <c r="BZ197" s="403"/>
      <c r="CA197" s="403"/>
      <c r="CE197" s="556"/>
      <c r="CF197" s="556"/>
      <c r="CG197" s="556"/>
      <c r="CH197" s="556"/>
      <c r="FV197" s="5">
        <v>404</v>
      </c>
      <c r="FW197" s="5">
        <v>460</v>
      </c>
      <c r="GZ197" s="12"/>
      <c r="HD197" s="12"/>
      <c r="IX197" s="33"/>
      <c r="IY197" s="33"/>
      <c r="IZ197" s="33"/>
      <c r="JA197" s="33"/>
      <c r="JB197" s="33" t="s">
        <v>710</v>
      </c>
    </row>
    <row r="198" spans="1:262" s="21" customFormat="1" x14ac:dyDescent="0.25">
      <c r="A198" s="21">
        <v>14</v>
      </c>
      <c r="B198" s="43" t="s">
        <v>3829</v>
      </c>
      <c r="C198" s="21" t="s">
        <v>293</v>
      </c>
      <c r="D198" s="21" t="s">
        <v>294</v>
      </c>
      <c r="E198" s="21">
        <v>2011</v>
      </c>
      <c r="F198" s="21">
        <v>2009</v>
      </c>
      <c r="G198" s="21" t="s">
        <v>296</v>
      </c>
      <c r="H198" s="21" t="s">
        <v>295</v>
      </c>
      <c r="I198" s="21" t="s">
        <v>2815</v>
      </c>
      <c r="J198" s="21">
        <v>46.88</v>
      </c>
      <c r="K198" s="21">
        <v>-102.79</v>
      </c>
      <c r="L198" s="21">
        <v>735.8</v>
      </c>
      <c r="R198" s="43" t="s">
        <v>1727</v>
      </c>
      <c r="S198" s="43" t="s">
        <v>1862</v>
      </c>
      <c r="T198" s="43"/>
      <c r="U198" s="43" t="s">
        <v>1861</v>
      </c>
      <c r="V198" s="43" t="s">
        <v>1377</v>
      </c>
      <c r="W198" s="43" t="s">
        <v>1377</v>
      </c>
      <c r="X198" s="43" t="s">
        <v>1377</v>
      </c>
      <c r="Y198" s="43" t="s">
        <v>1377</v>
      </c>
      <c r="AA198" s="322"/>
      <c r="AB198" s="322"/>
      <c r="AC198" s="21" t="s">
        <v>139</v>
      </c>
      <c r="AH198" s="21" t="s">
        <v>1574</v>
      </c>
      <c r="AI198" s="138" t="s">
        <v>1582</v>
      </c>
      <c r="AJ198" s="21" t="s">
        <v>229</v>
      </c>
      <c r="AK198" s="141" t="s">
        <v>229</v>
      </c>
      <c r="AL198" s="21" t="s">
        <v>1618</v>
      </c>
      <c r="AM198" s="21" t="s">
        <v>1618</v>
      </c>
      <c r="AN198" s="21" t="s">
        <v>177</v>
      </c>
      <c r="AO198" s="21" t="s">
        <v>218</v>
      </c>
      <c r="AP198" s="21" t="s">
        <v>218</v>
      </c>
      <c r="AQ198" s="21" t="s">
        <v>2126</v>
      </c>
      <c r="AR198" s="21" t="s">
        <v>2126</v>
      </c>
      <c r="AS198" s="21" t="s">
        <v>177</v>
      </c>
      <c r="AW198" s="21" t="s">
        <v>119</v>
      </c>
      <c r="BA198" s="21">
        <v>4716</v>
      </c>
      <c r="BD198" s="54" t="s">
        <v>297</v>
      </c>
      <c r="BP198" s="396"/>
      <c r="BQ198" s="396"/>
      <c r="BU198" s="396"/>
      <c r="BV198" s="396"/>
      <c r="BZ198" s="396"/>
      <c r="CA198" s="396"/>
      <c r="CE198" s="549"/>
      <c r="CF198" s="549"/>
      <c r="CG198" s="549"/>
      <c r="CH198" s="549"/>
      <c r="FV198" s="5">
        <v>589</v>
      </c>
      <c r="FW198" s="21">
        <v>297</v>
      </c>
      <c r="GZ198" s="12"/>
      <c r="HD198" s="12"/>
      <c r="JB198" s="21" t="s">
        <v>710</v>
      </c>
    </row>
    <row r="199" spans="1:262" s="21" customFormat="1" x14ac:dyDescent="0.25">
      <c r="A199" s="21">
        <v>14</v>
      </c>
      <c r="B199" s="43" t="s">
        <v>3830</v>
      </c>
      <c r="C199" s="21" t="s">
        <v>293</v>
      </c>
      <c r="D199" s="21" t="s">
        <v>294</v>
      </c>
      <c r="E199" s="21">
        <v>2011</v>
      </c>
      <c r="F199" s="21">
        <v>2009</v>
      </c>
      <c r="G199" s="21" t="s">
        <v>296</v>
      </c>
      <c r="H199" s="21" t="s">
        <v>295</v>
      </c>
      <c r="I199" s="21" t="s">
        <v>2815</v>
      </c>
      <c r="J199" s="21">
        <v>46.88</v>
      </c>
      <c r="K199" s="21">
        <v>-102.79</v>
      </c>
      <c r="L199" s="21">
        <v>735.8</v>
      </c>
      <c r="R199" s="43" t="s">
        <v>1727</v>
      </c>
      <c r="S199" s="43" t="s">
        <v>1862</v>
      </c>
      <c r="T199" s="43"/>
      <c r="U199" s="43" t="s">
        <v>1861</v>
      </c>
      <c r="V199" s="43" t="s">
        <v>1377</v>
      </c>
      <c r="W199" s="43" t="s">
        <v>1377</v>
      </c>
      <c r="X199" s="43" t="s">
        <v>1377</v>
      </c>
      <c r="Y199" s="43" t="s">
        <v>1377</v>
      </c>
      <c r="AA199" s="322"/>
      <c r="AB199" s="322"/>
      <c r="AC199" s="21" t="s">
        <v>139</v>
      </c>
      <c r="AH199" s="21" t="s">
        <v>1574</v>
      </c>
      <c r="AI199" s="138" t="s">
        <v>1582</v>
      </c>
      <c r="AJ199" s="21" t="s">
        <v>229</v>
      </c>
      <c r="AK199" s="141" t="s">
        <v>229</v>
      </c>
      <c r="AL199" s="21" t="s">
        <v>1618</v>
      </c>
      <c r="AM199" s="21" t="s">
        <v>1618</v>
      </c>
      <c r="AN199" s="21" t="s">
        <v>177</v>
      </c>
      <c r="AO199" s="21" t="s">
        <v>218</v>
      </c>
      <c r="AP199" s="21" t="s">
        <v>218</v>
      </c>
      <c r="AQ199" s="21" t="s">
        <v>2126</v>
      </c>
      <c r="AR199" s="21" t="s">
        <v>2126</v>
      </c>
      <c r="AS199" s="21" t="s">
        <v>177</v>
      </c>
      <c r="AW199" s="21" t="s">
        <v>119</v>
      </c>
      <c r="BA199" s="21">
        <v>4716</v>
      </c>
      <c r="BD199" s="54" t="s">
        <v>298</v>
      </c>
      <c r="BP199" s="396"/>
      <c r="BQ199" s="396"/>
      <c r="BU199" s="396"/>
      <c r="BV199" s="396"/>
      <c r="BZ199" s="396"/>
      <c r="CA199" s="396"/>
      <c r="CE199" s="549"/>
      <c r="CF199" s="549"/>
      <c r="CG199" s="549"/>
      <c r="CH199" s="549"/>
      <c r="FV199" s="5">
        <v>944</v>
      </c>
      <c r="FW199" s="21">
        <v>297</v>
      </c>
      <c r="GZ199" s="12"/>
      <c r="HD199" s="12"/>
      <c r="JB199" s="21" t="s">
        <v>710</v>
      </c>
    </row>
    <row r="200" spans="1:262" s="21" customFormat="1" x14ac:dyDescent="0.25">
      <c r="A200" s="21">
        <v>14</v>
      </c>
      <c r="B200" s="43" t="s">
        <v>3831</v>
      </c>
      <c r="C200" s="21" t="s">
        <v>293</v>
      </c>
      <c r="D200" s="21" t="s">
        <v>294</v>
      </c>
      <c r="E200" s="21">
        <v>2011</v>
      </c>
      <c r="F200" s="21">
        <v>2009</v>
      </c>
      <c r="G200" s="21" t="s">
        <v>296</v>
      </c>
      <c r="H200" s="21" t="s">
        <v>295</v>
      </c>
      <c r="I200" s="21" t="s">
        <v>2815</v>
      </c>
      <c r="J200" s="21">
        <v>46.88</v>
      </c>
      <c r="K200" s="21">
        <v>-102.79</v>
      </c>
      <c r="L200" s="21">
        <v>735.8</v>
      </c>
      <c r="R200" s="43" t="s">
        <v>1727</v>
      </c>
      <c r="S200" s="43" t="s">
        <v>1862</v>
      </c>
      <c r="T200" s="43"/>
      <c r="U200" s="43" t="s">
        <v>1861</v>
      </c>
      <c r="V200" s="43" t="s">
        <v>1377</v>
      </c>
      <c r="W200" s="43" t="s">
        <v>1377</v>
      </c>
      <c r="X200" s="43" t="s">
        <v>1377</v>
      </c>
      <c r="Y200" s="43" t="s">
        <v>1377</v>
      </c>
      <c r="AA200" s="322"/>
      <c r="AB200" s="322"/>
      <c r="AC200" s="21" t="s">
        <v>139</v>
      </c>
      <c r="AH200" s="21" t="s">
        <v>1574</v>
      </c>
      <c r="AI200" s="138" t="s">
        <v>1582</v>
      </c>
      <c r="AJ200" s="21" t="s">
        <v>229</v>
      </c>
      <c r="AK200" s="141" t="s">
        <v>229</v>
      </c>
      <c r="AL200" s="21" t="s">
        <v>1618</v>
      </c>
      <c r="AM200" s="21" t="s">
        <v>1618</v>
      </c>
      <c r="AN200" s="21" t="s">
        <v>177</v>
      </c>
      <c r="AO200" s="21" t="s">
        <v>218</v>
      </c>
      <c r="AP200" s="21" t="s">
        <v>218</v>
      </c>
      <c r="AQ200" s="21" t="s">
        <v>2126</v>
      </c>
      <c r="AR200" s="21" t="s">
        <v>2126</v>
      </c>
      <c r="AS200" s="21" t="s">
        <v>177</v>
      </c>
      <c r="AW200" s="21" t="s">
        <v>119</v>
      </c>
      <c r="BA200" s="21">
        <v>4716</v>
      </c>
      <c r="BD200" s="54" t="s">
        <v>299</v>
      </c>
      <c r="BP200" s="396"/>
      <c r="BQ200" s="396"/>
      <c r="BU200" s="396"/>
      <c r="BV200" s="396"/>
      <c r="BZ200" s="396"/>
      <c r="CA200" s="396"/>
      <c r="CE200" s="549"/>
      <c r="CF200" s="549"/>
      <c r="CG200" s="549"/>
      <c r="CH200" s="549"/>
      <c r="FV200" s="5">
        <v>404</v>
      </c>
      <c r="FW200" s="21">
        <v>297</v>
      </c>
      <c r="GZ200" s="12"/>
      <c r="HD200" s="12"/>
      <c r="JB200" s="21" t="s">
        <v>710</v>
      </c>
    </row>
    <row r="201" spans="1:262" s="33" customFormat="1" x14ac:dyDescent="0.25">
      <c r="A201" s="33">
        <v>14</v>
      </c>
      <c r="B201" s="47" t="s">
        <v>3829</v>
      </c>
      <c r="C201" s="33" t="s">
        <v>293</v>
      </c>
      <c r="D201" s="33" t="s">
        <v>294</v>
      </c>
      <c r="E201" s="33">
        <v>2011</v>
      </c>
      <c r="F201" s="33">
        <v>2009</v>
      </c>
      <c r="G201" s="33" t="s">
        <v>296</v>
      </c>
      <c r="H201" s="33" t="s">
        <v>295</v>
      </c>
      <c r="I201" s="21" t="s">
        <v>2815</v>
      </c>
      <c r="J201" s="33">
        <v>46.88</v>
      </c>
      <c r="K201" s="33">
        <v>-102.79</v>
      </c>
      <c r="L201" s="33">
        <v>735.8</v>
      </c>
      <c r="R201" s="47" t="s">
        <v>1727</v>
      </c>
      <c r="S201" s="47" t="s">
        <v>1862</v>
      </c>
      <c r="T201" s="47"/>
      <c r="U201" s="47" t="s">
        <v>1861</v>
      </c>
      <c r="V201" s="47" t="s">
        <v>1377</v>
      </c>
      <c r="W201" s="47" t="s">
        <v>1377</v>
      </c>
      <c r="X201" s="47" t="s">
        <v>1377</v>
      </c>
      <c r="Y201" s="47" t="s">
        <v>1377</v>
      </c>
      <c r="AA201" s="327"/>
      <c r="AB201" s="327"/>
      <c r="AC201" s="33" t="s">
        <v>139</v>
      </c>
      <c r="AH201" s="33" t="s">
        <v>1574</v>
      </c>
      <c r="AI201" s="138" t="s">
        <v>1582</v>
      </c>
      <c r="AJ201" s="33" t="s">
        <v>229</v>
      </c>
      <c r="AK201" s="141" t="s">
        <v>229</v>
      </c>
      <c r="AL201" s="33" t="s">
        <v>1618</v>
      </c>
      <c r="AM201" s="33" t="s">
        <v>1618</v>
      </c>
      <c r="AN201" s="33" t="s">
        <v>177</v>
      </c>
      <c r="AO201" s="33" t="s">
        <v>218</v>
      </c>
      <c r="AP201" s="33" t="s">
        <v>218</v>
      </c>
      <c r="AQ201" s="33" t="s">
        <v>2126</v>
      </c>
      <c r="AR201" s="33" t="s">
        <v>2126</v>
      </c>
      <c r="AS201" s="33" t="s">
        <v>177</v>
      </c>
      <c r="AW201" s="33" t="s">
        <v>119</v>
      </c>
      <c r="BA201" s="33">
        <v>3052</v>
      </c>
      <c r="BD201" s="54" t="s">
        <v>297</v>
      </c>
      <c r="BP201" s="402"/>
      <c r="BQ201" s="402"/>
      <c r="BU201" s="402"/>
      <c r="BV201" s="402"/>
      <c r="BZ201" s="402"/>
      <c r="CA201" s="402"/>
      <c r="CE201" s="555"/>
      <c r="CF201" s="555"/>
      <c r="CG201" s="555"/>
      <c r="CH201" s="555"/>
      <c r="FV201" s="5">
        <v>589</v>
      </c>
      <c r="FW201" s="33">
        <v>342</v>
      </c>
      <c r="GZ201" s="12"/>
      <c r="HD201" s="12"/>
      <c r="JB201" s="33" t="s">
        <v>710</v>
      </c>
    </row>
    <row r="202" spans="1:262" s="33" customFormat="1" x14ac:dyDescent="0.25">
      <c r="A202" s="33">
        <v>14</v>
      </c>
      <c r="B202" s="47" t="s">
        <v>3830</v>
      </c>
      <c r="C202" s="33" t="s">
        <v>293</v>
      </c>
      <c r="D202" s="33" t="s">
        <v>294</v>
      </c>
      <c r="E202" s="33">
        <v>2011</v>
      </c>
      <c r="F202" s="33">
        <v>2009</v>
      </c>
      <c r="G202" s="33" t="s">
        <v>296</v>
      </c>
      <c r="H202" s="33" t="s">
        <v>295</v>
      </c>
      <c r="I202" s="21" t="s">
        <v>2815</v>
      </c>
      <c r="J202" s="33">
        <v>46.88</v>
      </c>
      <c r="K202" s="33">
        <v>-102.79</v>
      </c>
      <c r="L202" s="33">
        <v>735.8</v>
      </c>
      <c r="R202" s="47" t="s">
        <v>1727</v>
      </c>
      <c r="S202" s="47" t="s">
        <v>1862</v>
      </c>
      <c r="T202" s="47"/>
      <c r="U202" s="47" t="s">
        <v>1861</v>
      </c>
      <c r="V202" s="47" t="s">
        <v>1377</v>
      </c>
      <c r="W202" s="47" t="s">
        <v>1377</v>
      </c>
      <c r="X202" s="47" t="s">
        <v>1377</v>
      </c>
      <c r="Y202" s="47" t="s">
        <v>1377</v>
      </c>
      <c r="AA202" s="327"/>
      <c r="AB202" s="327"/>
      <c r="AC202" s="33" t="s">
        <v>139</v>
      </c>
      <c r="AH202" s="33" t="s">
        <v>1574</v>
      </c>
      <c r="AI202" s="138" t="s">
        <v>1582</v>
      </c>
      <c r="AJ202" s="33" t="s">
        <v>229</v>
      </c>
      <c r="AK202" s="141" t="s">
        <v>229</v>
      </c>
      <c r="AL202" s="33" t="s">
        <v>1618</v>
      </c>
      <c r="AM202" s="33" t="s">
        <v>1618</v>
      </c>
      <c r="AN202" s="33" t="s">
        <v>177</v>
      </c>
      <c r="AO202" s="33" t="s">
        <v>218</v>
      </c>
      <c r="AP202" s="33" t="s">
        <v>218</v>
      </c>
      <c r="AQ202" s="33" t="s">
        <v>2126</v>
      </c>
      <c r="AR202" s="33" t="s">
        <v>2126</v>
      </c>
      <c r="AS202" s="33" t="s">
        <v>177</v>
      </c>
      <c r="AW202" s="33" t="s">
        <v>119</v>
      </c>
      <c r="BA202" s="33">
        <v>3052</v>
      </c>
      <c r="BD202" s="54" t="s">
        <v>298</v>
      </c>
      <c r="BP202" s="402"/>
      <c r="BQ202" s="402"/>
      <c r="BU202" s="402"/>
      <c r="BV202" s="402"/>
      <c r="BZ202" s="402"/>
      <c r="CA202" s="402"/>
      <c r="CE202" s="555"/>
      <c r="CF202" s="555"/>
      <c r="CG202" s="555"/>
      <c r="CH202" s="555"/>
      <c r="FV202" s="5">
        <v>944</v>
      </c>
      <c r="FW202" s="33">
        <v>342</v>
      </c>
      <c r="GZ202" s="12"/>
      <c r="HD202" s="12"/>
      <c r="JB202" s="33" t="s">
        <v>710</v>
      </c>
    </row>
    <row r="203" spans="1:262" s="33" customFormat="1" x14ac:dyDescent="0.25">
      <c r="A203" s="33">
        <v>14</v>
      </c>
      <c r="B203" s="47" t="s">
        <v>3831</v>
      </c>
      <c r="C203" s="33" t="s">
        <v>293</v>
      </c>
      <c r="D203" s="33" t="s">
        <v>294</v>
      </c>
      <c r="E203" s="33">
        <v>2011</v>
      </c>
      <c r="F203" s="33">
        <v>2009</v>
      </c>
      <c r="G203" s="33" t="s">
        <v>296</v>
      </c>
      <c r="H203" s="33" t="s">
        <v>295</v>
      </c>
      <c r="I203" s="21" t="s">
        <v>2815</v>
      </c>
      <c r="J203" s="33">
        <v>46.88</v>
      </c>
      <c r="K203" s="33">
        <v>-102.79</v>
      </c>
      <c r="L203" s="33">
        <v>735.8</v>
      </c>
      <c r="R203" s="47" t="s">
        <v>1727</v>
      </c>
      <c r="S203" s="47" t="s">
        <v>1862</v>
      </c>
      <c r="T203" s="47"/>
      <c r="U203" s="47" t="s">
        <v>1861</v>
      </c>
      <c r="V203" s="47" t="s">
        <v>1377</v>
      </c>
      <c r="W203" s="47" t="s">
        <v>1377</v>
      </c>
      <c r="X203" s="47" t="s">
        <v>1377</v>
      </c>
      <c r="Y203" s="47" t="s">
        <v>1377</v>
      </c>
      <c r="AA203" s="327"/>
      <c r="AB203" s="327"/>
      <c r="AC203" s="33" t="s">
        <v>139</v>
      </c>
      <c r="AH203" s="33" t="s">
        <v>1574</v>
      </c>
      <c r="AI203" s="138" t="s">
        <v>1582</v>
      </c>
      <c r="AJ203" s="33" t="s">
        <v>229</v>
      </c>
      <c r="AK203" s="141" t="s">
        <v>229</v>
      </c>
      <c r="AL203" s="33" t="s">
        <v>1618</v>
      </c>
      <c r="AM203" s="33" t="s">
        <v>1618</v>
      </c>
      <c r="AN203" s="33" t="s">
        <v>177</v>
      </c>
      <c r="AO203" s="33" t="s">
        <v>218</v>
      </c>
      <c r="AP203" s="33" t="s">
        <v>218</v>
      </c>
      <c r="AQ203" s="33" t="s">
        <v>2126</v>
      </c>
      <c r="AR203" s="33" t="s">
        <v>2126</v>
      </c>
      <c r="AS203" s="33" t="s">
        <v>177</v>
      </c>
      <c r="AW203" s="33" t="s">
        <v>119</v>
      </c>
      <c r="BA203" s="33">
        <v>3052</v>
      </c>
      <c r="BD203" s="54" t="s">
        <v>299</v>
      </c>
      <c r="BP203" s="402"/>
      <c r="BQ203" s="402"/>
      <c r="BU203" s="402"/>
      <c r="BV203" s="402"/>
      <c r="BZ203" s="402"/>
      <c r="CA203" s="402"/>
      <c r="CE203" s="555"/>
      <c r="CF203" s="555"/>
      <c r="CG203" s="555"/>
      <c r="CH203" s="555"/>
      <c r="FV203" s="5">
        <v>404</v>
      </c>
      <c r="FW203" s="33">
        <v>342</v>
      </c>
      <c r="GZ203" s="12"/>
      <c r="HD203" s="12"/>
      <c r="JB203" s="33" t="s">
        <v>710</v>
      </c>
    </row>
    <row r="204" spans="1:262" s="21" customFormat="1" x14ac:dyDescent="0.25">
      <c r="A204" s="21">
        <v>14</v>
      </c>
      <c r="B204" s="43" t="s">
        <v>3820</v>
      </c>
      <c r="C204" s="21" t="s">
        <v>293</v>
      </c>
      <c r="D204" s="21" t="s">
        <v>294</v>
      </c>
      <c r="E204" s="21">
        <v>2011</v>
      </c>
      <c r="F204" s="21">
        <v>2010</v>
      </c>
      <c r="G204" s="21" t="s">
        <v>296</v>
      </c>
      <c r="H204" s="21" t="s">
        <v>295</v>
      </c>
      <c r="I204" s="21" t="s">
        <v>2815</v>
      </c>
      <c r="J204" s="21">
        <v>46.88</v>
      </c>
      <c r="K204" s="21">
        <v>-102.79</v>
      </c>
      <c r="L204" s="21">
        <v>735.8</v>
      </c>
      <c r="R204" s="43" t="s">
        <v>1862</v>
      </c>
      <c r="S204" s="43" t="s">
        <v>1862</v>
      </c>
      <c r="T204" s="43"/>
      <c r="U204" s="43" t="s">
        <v>1861</v>
      </c>
      <c r="V204" s="43" t="s">
        <v>1377</v>
      </c>
      <c r="W204" s="43" t="s">
        <v>1377</v>
      </c>
      <c r="X204" s="43" t="s">
        <v>1377</v>
      </c>
      <c r="Y204" s="43" t="s">
        <v>1377</v>
      </c>
      <c r="AA204" s="322"/>
      <c r="AB204" s="322"/>
      <c r="AC204" s="21" t="s">
        <v>139</v>
      </c>
      <c r="AH204" s="21" t="s">
        <v>243</v>
      </c>
      <c r="AI204" s="138" t="s">
        <v>577</v>
      </c>
      <c r="AJ204" s="21" t="s">
        <v>229</v>
      </c>
      <c r="AK204" s="141" t="s">
        <v>229</v>
      </c>
      <c r="AL204" s="21" t="s">
        <v>1618</v>
      </c>
      <c r="AM204" s="21" t="s">
        <v>1618</v>
      </c>
      <c r="AN204" s="21" t="s">
        <v>177</v>
      </c>
      <c r="AO204" s="21" t="s">
        <v>218</v>
      </c>
      <c r="AP204" s="21" t="s">
        <v>218</v>
      </c>
      <c r="AQ204" s="21" t="s">
        <v>2126</v>
      </c>
      <c r="AR204" s="21" t="s">
        <v>2126</v>
      </c>
      <c r="AS204" s="21" t="s">
        <v>177</v>
      </c>
      <c r="AW204" s="21" t="s">
        <v>119</v>
      </c>
      <c r="BA204" s="21">
        <v>1633</v>
      </c>
      <c r="BD204" s="54" t="s">
        <v>297</v>
      </c>
      <c r="BP204" s="396"/>
      <c r="BQ204" s="396"/>
      <c r="BU204" s="396"/>
      <c r="BV204" s="396"/>
      <c r="BZ204" s="396"/>
      <c r="CA204" s="396"/>
      <c r="CE204" s="549"/>
      <c r="CF204" s="549"/>
      <c r="CG204" s="549"/>
      <c r="CH204" s="549"/>
      <c r="FV204" s="21">
        <v>796</v>
      </c>
      <c r="FW204" s="21">
        <v>2436</v>
      </c>
      <c r="GZ204" s="12"/>
      <c r="HD204" s="12"/>
      <c r="JB204" s="21" t="s">
        <v>710</v>
      </c>
    </row>
    <row r="205" spans="1:262" s="21" customFormat="1" x14ac:dyDescent="0.25">
      <c r="A205" s="21">
        <v>14</v>
      </c>
      <c r="B205" s="43" t="s">
        <v>3821</v>
      </c>
      <c r="C205" s="21" t="s">
        <v>293</v>
      </c>
      <c r="D205" s="21" t="s">
        <v>294</v>
      </c>
      <c r="E205" s="21">
        <v>2011</v>
      </c>
      <c r="F205" s="21">
        <v>2010</v>
      </c>
      <c r="G205" s="21" t="s">
        <v>296</v>
      </c>
      <c r="H205" s="21" t="s">
        <v>295</v>
      </c>
      <c r="I205" s="21" t="s">
        <v>2815</v>
      </c>
      <c r="J205" s="21">
        <v>46.88</v>
      </c>
      <c r="K205" s="21">
        <v>-102.79</v>
      </c>
      <c r="L205" s="21">
        <v>735.8</v>
      </c>
      <c r="R205" s="43" t="s">
        <v>1862</v>
      </c>
      <c r="S205" s="43" t="s">
        <v>1862</v>
      </c>
      <c r="T205" s="43"/>
      <c r="U205" s="43" t="s">
        <v>1861</v>
      </c>
      <c r="V205" s="43" t="s">
        <v>1377</v>
      </c>
      <c r="W205" s="43" t="s">
        <v>1377</v>
      </c>
      <c r="X205" s="43" t="s">
        <v>1377</v>
      </c>
      <c r="Y205" s="43" t="s">
        <v>1377</v>
      </c>
      <c r="AA205" s="322"/>
      <c r="AB205" s="322"/>
      <c r="AC205" s="21" t="s">
        <v>139</v>
      </c>
      <c r="AH205" s="21" t="s">
        <v>243</v>
      </c>
      <c r="AI205" s="138" t="s">
        <v>577</v>
      </c>
      <c r="AJ205" s="21" t="s">
        <v>229</v>
      </c>
      <c r="AK205" s="141" t="s">
        <v>229</v>
      </c>
      <c r="AL205" s="21" t="s">
        <v>1618</v>
      </c>
      <c r="AM205" s="21" t="s">
        <v>1618</v>
      </c>
      <c r="AN205" s="21" t="s">
        <v>177</v>
      </c>
      <c r="AO205" s="21" t="s">
        <v>218</v>
      </c>
      <c r="AP205" s="21" t="s">
        <v>218</v>
      </c>
      <c r="AQ205" s="21" t="s">
        <v>2126</v>
      </c>
      <c r="AR205" s="21" t="s">
        <v>2126</v>
      </c>
      <c r="AS205" s="21" t="s">
        <v>177</v>
      </c>
      <c r="AW205" s="21" t="s">
        <v>119</v>
      </c>
      <c r="BA205" s="21">
        <v>1633</v>
      </c>
      <c r="BD205" s="54" t="s">
        <v>298</v>
      </c>
      <c r="BP205" s="396"/>
      <c r="BQ205" s="396"/>
      <c r="BU205" s="396"/>
      <c r="BV205" s="396"/>
      <c r="BZ205" s="396"/>
      <c r="CA205" s="396"/>
      <c r="CE205" s="549"/>
      <c r="CF205" s="549"/>
      <c r="CG205" s="549"/>
      <c r="CH205" s="549"/>
      <c r="FV205" s="21">
        <v>1738</v>
      </c>
      <c r="FW205" s="21">
        <v>2436</v>
      </c>
      <c r="GZ205" s="12"/>
      <c r="HD205" s="12"/>
      <c r="JB205" s="21" t="s">
        <v>710</v>
      </c>
    </row>
    <row r="206" spans="1:262" s="21" customFormat="1" x14ac:dyDescent="0.25">
      <c r="A206" s="21">
        <v>14</v>
      </c>
      <c r="B206" s="43" t="s">
        <v>3822</v>
      </c>
      <c r="C206" s="21" t="s">
        <v>293</v>
      </c>
      <c r="D206" s="21" t="s">
        <v>294</v>
      </c>
      <c r="E206" s="21">
        <v>2011</v>
      </c>
      <c r="F206" s="21">
        <v>2010</v>
      </c>
      <c r="G206" s="21" t="s">
        <v>296</v>
      </c>
      <c r="H206" s="21" t="s">
        <v>295</v>
      </c>
      <c r="I206" s="21" t="s">
        <v>2815</v>
      </c>
      <c r="J206" s="21">
        <v>46.88</v>
      </c>
      <c r="K206" s="21">
        <v>-102.79</v>
      </c>
      <c r="L206" s="21">
        <v>735.8</v>
      </c>
      <c r="R206" s="43" t="s">
        <v>1862</v>
      </c>
      <c r="S206" s="43" t="s">
        <v>1862</v>
      </c>
      <c r="T206" s="43"/>
      <c r="U206" s="43" t="s">
        <v>1861</v>
      </c>
      <c r="V206" s="43" t="s">
        <v>1377</v>
      </c>
      <c r="W206" s="43" t="s">
        <v>1377</v>
      </c>
      <c r="X206" s="43" t="s">
        <v>1377</v>
      </c>
      <c r="Y206" s="43" t="s">
        <v>1377</v>
      </c>
      <c r="AA206" s="322"/>
      <c r="AB206" s="322"/>
      <c r="AC206" s="21" t="s">
        <v>139</v>
      </c>
      <c r="AH206" s="21" t="s">
        <v>243</v>
      </c>
      <c r="AI206" s="138" t="s">
        <v>577</v>
      </c>
      <c r="AJ206" s="21" t="s">
        <v>229</v>
      </c>
      <c r="AK206" s="141" t="s">
        <v>229</v>
      </c>
      <c r="AL206" s="21" t="s">
        <v>1618</v>
      </c>
      <c r="AM206" s="21" t="s">
        <v>1618</v>
      </c>
      <c r="AN206" s="21" t="s">
        <v>177</v>
      </c>
      <c r="AO206" s="21" t="s">
        <v>218</v>
      </c>
      <c r="AP206" s="21" t="s">
        <v>218</v>
      </c>
      <c r="AQ206" s="21" t="s">
        <v>2126</v>
      </c>
      <c r="AR206" s="21" t="s">
        <v>2126</v>
      </c>
      <c r="AS206" s="21" t="s">
        <v>177</v>
      </c>
      <c r="AW206" s="21" t="s">
        <v>119</v>
      </c>
      <c r="BA206" s="21">
        <v>1633</v>
      </c>
      <c r="BD206" s="54" t="s">
        <v>299</v>
      </c>
      <c r="BP206" s="396"/>
      <c r="BQ206" s="396"/>
      <c r="BU206" s="396"/>
      <c r="BV206" s="396"/>
      <c r="BZ206" s="396"/>
      <c r="CA206" s="396"/>
      <c r="CE206" s="549"/>
      <c r="CF206" s="549"/>
      <c r="CG206" s="549"/>
      <c r="CH206" s="549"/>
      <c r="FV206" s="21">
        <v>1677</v>
      </c>
      <c r="FW206" s="21">
        <v>2436</v>
      </c>
      <c r="GZ206" s="12"/>
      <c r="HD206" s="12"/>
      <c r="JB206" s="21" t="s">
        <v>710</v>
      </c>
    </row>
    <row r="207" spans="1:262" s="33" customFormat="1" x14ac:dyDescent="0.25">
      <c r="A207" s="33">
        <v>14</v>
      </c>
      <c r="B207" s="47" t="s">
        <v>3823</v>
      </c>
      <c r="C207" s="33" t="s">
        <v>293</v>
      </c>
      <c r="D207" s="33" t="s">
        <v>294</v>
      </c>
      <c r="E207" s="33">
        <v>2011</v>
      </c>
      <c r="F207" s="33">
        <v>2010</v>
      </c>
      <c r="G207" s="33" t="s">
        <v>296</v>
      </c>
      <c r="H207" s="33" t="s">
        <v>295</v>
      </c>
      <c r="I207" s="21" t="s">
        <v>2815</v>
      </c>
      <c r="J207" s="33">
        <v>46.88</v>
      </c>
      <c r="K207" s="33">
        <v>-102.79</v>
      </c>
      <c r="L207" s="33">
        <v>735.8</v>
      </c>
      <c r="R207" s="47" t="s">
        <v>1862</v>
      </c>
      <c r="S207" s="47" t="s">
        <v>1862</v>
      </c>
      <c r="T207" s="47"/>
      <c r="U207" s="47" t="s">
        <v>1861</v>
      </c>
      <c r="V207" s="47" t="s">
        <v>1377</v>
      </c>
      <c r="W207" s="47" t="s">
        <v>1377</v>
      </c>
      <c r="X207" s="47" t="s">
        <v>1377</v>
      </c>
      <c r="Y207" s="47" t="s">
        <v>1377</v>
      </c>
      <c r="AA207" s="327"/>
      <c r="AB207" s="327"/>
      <c r="AC207" s="33" t="s">
        <v>139</v>
      </c>
      <c r="AH207" s="33" t="s">
        <v>1563</v>
      </c>
      <c r="AI207" s="138" t="s">
        <v>131</v>
      </c>
      <c r="AJ207" s="33" t="s">
        <v>229</v>
      </c>
      <c r="AK207" s="141" t="s">
        <v>229</v>
      </c>
      <c r="AL207" s="33" t="s">
        <v>1618</v>
      </c>
      <c r="AM207" s="33" t="s">
        <v>1618</v>
      </c>
      <c r="AN207" s="33" t="s">
        <v>177</v>
      </c>
      <c r="AO207" s="33" t="s">
        <v>218</v>
      </c>
      <c r="AP207" s="33" t="s">
        <v>218</v>
      </c>
      <c r="AQ207" s="33" t="s">
        <v>2126</v>
      </c>
      <c r="AR207" s="33" t="s">
        <v>2126</v>
      </c>
      <c r="AS207" s="33" t="s">
        <v>177</v>
      </c>
      <c r="AW207" s="33" t="s">
        <v>119</v>
      </c>
      <c r="BA207" s="33">
        <v>4052</v>
      </c>
      <c r="BD207" s="54" t="s">
        <v>297</v>
      </c>
      <c r="BP207" s="402"/>
      <c r="BQ207" s="402"/>
      <c r="BU207" s="402"/>
      <c r="BV207" s="402"/>
      <c r="BZ207" s="402"/>
      <c r="CA207" s="402"/>
      <c r="CE207" s="555"/>
      <c r="CF207" s="555"/>
      <c r="CG207" s="555"/>
      <c r="CH207" s="555"/>
      <c r="FV207" s="21">
        <v>796</v>
      </c>
      <c r="FW207" s="33">
        <v>640</v>
      </c>
      <c r="GZ207" s="12"/>
      <c r="HD207" s="12"/>
      <c r="JB207" s="33" t="s">
        <v>710</v>
      </c>
    </row>
    <row r="208" spans="1:262" s="33" customFormat="1" x14ac:dyDescent="0.25">
      <c r="A208" s="33">
        <v>14</v>
      </c>
      <c r="B208" s="47" t="s">
        <v>3824</v>
      </c>
      <c r="C208" s="33" t="s">
        <v>293</v>
      </c>
      <c r="D208" s="33" t="s">
        <v>294</v>
      </c>
      <c r="E208" s="33">
        <v>2011</v>
      </c>
      <c r="F208" s="33">
        <v>2010</v>
      </c>
      <c r="G208" s="33" t="s">
        <v>296</v>
      </c>
      <c r="H208" s="33" t="s">
        <v>295</v>
      </c>
      <c r="I208" s="21" t="s">
        <v>2815</v>
      </c>
      <c r="J208" s="33">
        <v>46.88</v>
      </c>
      <c r="K208" s="33">
        <v>-102.79</v>
      </c>
      <c r="L208" s="33">
        <v>735.8</v>
      </c>
      <c r="R208" s="47" t="s">
        <v>1862</v>
      </c>
      <c r="S208" s="47" t="s">
        <v>1862</v>
      </c>
      <c r="T208" s="47"/>
      <c r="U208" s="47" t="s">
        <v>1861</v>
      </c>
      <c r="V208" s="47" t="s">
        <v>1377</v>
      </c>
      <c r="W208" s="47" t="s">
        <v>1377</v>
      </c>
      <c r="X208" s="47" t="s">
        <v>1377</v>
      </c>
      <c r="Y208" s="47" t="s">
        <v>1377</v>
      </c>
      <c r="AA208" s="327"/>
      <c r="AB208" s="327"/>
      <c r="AC208" s="33" t="s">
        <v>139</v>
      </c>
      <c r="AH208" s="33" t="s">
        <v>1563</v>
      </c>
      <c r="AI208" s="138" t="s">
        <v>131</v>
      </c>
      <c r="AJ208" s="33" t="s">
        <v>229</v>
      </c>
      <c r="AK208" s="141" t="s">
        <v>229</v>
      </c>
      <c r="AL208" s="33" t="s">
        <v>1618</v>
      </c>
      <c r="AM208" s="33" t="s">
        <v>1618</v>
      </c>
      <c r="AN208" s="33" t="s">
        <v>177</v>
      </c>
      <c r="AO208" s="33" t="s">
        <v>218</v>
      </c>
      <c r="AP208" s="33" t="s">
        <v>218</v>
      </c>
      <c r="AQ208" s="33" t="s">
        <v>2126</v>
      </c>
      <c r="AR208" s="33" t="s">
        <v>2126</v>
      </c>
      <c r="AS208" s="33" t="s">
        <v>177</v>
      </c>
      <c r="AW208" s="33" t="s">
        <v>119</v>
      </c>
      <c r="BA208" s="33">
        <v>4052</v>
      </c>
      <c r="BD208" s="54" t="s">
        <v>298</v>
      </c>
      <c r="BP208" s="402"/>
      <c r="BQ208" s="402"/>
      <c r="BU208" s="402"/>
      <c r="BV208" s="402"/>
      <c r="BZ208" s="402"/>
      <c r="CA208" s="402"/>
      <c r="CE208" s="555"/>
      <c r="CF208" s="555"/>
      <c r="CG208" s="555"/>
      <c r="CH208" s="555"/>
      <c r="FV208" s="21">
        <v>1738</v>
      </c>
      <c r="FW208" s="33">
        <v>640</v>
      </c>
      <c r="GZ208" s="12"/>
      <c r="HD208" s="12"/>
      <c r="JB208" s="33" t="s">
        <v>710</v>
      </c>
    </row>
    <row r="209" spans="1:262" s="33" customFormat="1" x14ac:dyDescent="0.25">
      <c r="A209" s="33">
        <v>14</v>
      </c>
      <c r="B209" s="47" t="s">
        <v>3825</v>
      </c>
      <c r="C209" s="33" t="s">
        <v>293</v>
      </c>
      <c r="D209" s="33" t="s">
        <v>294</v>
      </c>
      <c r="E209" s="33">
        <v>2011</v>
      </c>
      <c r="F209" s="33">
        <v>2010</v>
      </c>
      <c r="G209" s="33" t="s">
        <v>296</v>
      </c>
      <c r="H209" s="33" t="s">
        <v>295</v>
      </c>
      <c r="I209" s="21" t="s">
        <v>2815</v>
      </c>
      <c r="J209" s="33">
        <v>46.88</v>
      </c>
      <c r="K209" s="33">
        <v>-102.79</v>
      </c>
      <c r="L209" s="33">
        <v>735.8</v>
      </c>
      <c r="R209" s="47" t="s">
        <v>1862</v>
      </c>
      <c r="S209" s="47" t="s">
        <v>1862</v>
      </c>
      <c r="T209" s="47"/>
      <c r="U209" s="47" t="s">
        <v>1861</v>
      </c>
      <c r="V209" s="47" t="s">
        <v>1377</v>
      </c>
      <c r="W209" s="47" t="s">
        <v>1377</v>
      </c>
      <c r="X209" s="47" t="s">
        <v>1377</v>
      </c>
      <c r="Y209" s="47" t="s">
        <v>1377</v>
      </c>
      <c r="AA209" s="327"/>
      <c r="AB209" s="327"/>
      <c r="AC209" s="33" t="s">
        <v>139</v>
      </c>
      <c r="AH209" s="33" t="s">
        <v>1563</v>
      </c>
      <c r="AI209" s="138" t="s">
        <v>131</v>
      </c>
      <c r="AJ209" s="33" t="s">
        <v>229</v>
      </c>
      <c r="AK209" s="141" t="s">
        <v>229</v>
      </c>
      <c r="AL209" s="33" t="s">
        <v>1618</v>
      </c>
      <c r="AM209" s="33" t="s">
        <v>1618</v>
      </c>
      <c r="AN209" s="33" t="s">
        <v>177</v>
      </c>
      <c r="AO209" s="33" t="s">
        <v>218</v>
      </c>
      <c r="AP209" s="33" t="s">
        <v>218</v>
      </c>
      <c r="AQ209" s="33" t="s">
        <v>2126</v>
      </c>
      <c r="AR209" s="33" t="s">
        <v>2126</v>
      </c>
      <c r="AS209" s="33" t="s">
        <v>177</v>
      </c>
      <c r="AW209" s="33" t="s">
        <v>119</v>
      </c>
      <c r="BA209" s="33">
        <v>4052</v>
      </c>
      <c r="BD209" s="54" t="s">
        <v>299</v>
      </c>
      <c r="BP209" s="402"/>
      <c r="BQ209" s="402"/>
      <c r="BU209" s="402"/>
      <c r="BV209" s="402"/>
      <c r="BZ209" s="402"/>
      <c r="CA209" s="402"/>
      <c r="CE209" s="555"/>
      <c r="CF209" s="555"/>
      <c r="CG209" s="555"/>
      <c r="CH209" s="555"/>
      <c r="FV209" s="21">
        <v>1677</v>
      </c>
      <c r="FW209" s="33">
        <v>640</v>
      </c>
      <c r="GZ209" s="12"/>
      <c r="HD209" s="12"/>
      <c r="JB209" s="33" t="s">
        <v>710</v>
      </c>
    </row>
    <row r="210" spans="1:262" s="21" customFormat="1" x14ac:dyDescent="0.25">
      <c r="A210" s="21">
        <v>14</v>
      </c>
      <c r="B210" s="43" t="s">
        <v>3826</v>
      </c>
      <c r="C210" s="21" t="s">
        <v>293</v>
      </c>
      <c r="D210" s="21" t="s">
        <v>294</v>
      </c>
      <c r="E210" s="21">
        <v>2011</v>
      </c>
      <c r="F210" s="21">
        <v>2010</v>
      </c>
      <c r="G210" s="21" t="s">
        <v>296</v>
      </c>
      <c r="H210" s="21" t="s">
        <v>295</v>
      </c>
      <c r="I210" s="21" t="s">
        <v>2815</v>
      </c>
      <c r="J210" s="21">
        <v>46.88</v>
      </c>
      <c r="K210" s="21">
        <v>-102.79</v>
      </c>
      <c r="L210" s="21">
        <v>735.8</v>
      </c>
      <c r="R210" s="43" t="s">
        <v>1862</v>
      </c>
      <c r="S210" s="43" t="s">
        <v>1862</v>
      </c>
      <c r="T210" s="43"/>
      <c r="U210" s="43" t="s">
        <v>1861</v>
      </c>
      <c r="V210" s="43" t="s">
        <v>1377</v>
      </c>
      <c r="W210" s="43" t="s">
        <v>1377</v>
      </c>
      <c r="X210" s="43" t="s">
        <v>1377</v>
      </c>
      <c r="Y210" s="43" t="s">
        <v>1377</v>
      </c>
      <c r="AA210" s="322"/>
      <c r="AB210" s="322"/>
      <c r="AC210" s="21" t="s">
        <v>139</v>
      </c>
      <c r="AH210" s="21" t="s">
        <v>1527</v>
      </c>
      <c r="AI210" s="138" t="s">
        <v>1581</v>
      </c>
      <c r="AJ210" s="21" t="s">
        <v>229</v>
      </c>
      <c r="AK210" s="141" t="s">
        <v>229</v>
      </c>
      <c r="AL210" s="21" t="s">
        <v>1618</v>
      </c>
      <c r="AM210" s="21" t="s">
        <v>1618</v>
      </c>
      <c r="AN210" s="21" t="s">
        <v>177</v>
      </c>
      <c r="AO210" s="21" t="s">
        <v>218</v>
      </c>
      <c r="AP210" s="21" t="s">
        <v>218</v>
      </c>
      <c r="AQ210" s="21" t="s">
        <v>2126</v>
      </c>
      <c r="AR210" s="21" t="s">
        <v>2126</v>
      </c>
      <c r="AS210" s="21" t="s">
        <v>177</v>
      </c>
      <c r="AW210" s="21" t="s">
        <v>119</v>
      </c>
      <c r="BA210" s="21">
        <v>3821</v>
      </c>
      <c r="BD210" s="54" t="s">
        <v>297</v>
      </c>
      <c r="BP210" s="396"/>
      <c r="BQ210" s="396"/>
      <c r="BU210" s="396"/>
      <c r="BV210" s="396"/>
      <c r="BZ210" s="396"/>
      <c r="CA210" s="396"/>
      <c r="CE210" s="549"/>
      <c r="CF210" s="549"/>
      <c r="CG210" s="549"/>
      <c r="CH210" s="549"/>
      <c r="FV210" s="21">
        <v>796</v>
      </c>
      <c r="FW210" s="21">
        <v>800</v>
      </c>
      <c r="GZ210" s="12"/>
      <c r="HD210" s="12"/>
      <c r="JB210" s="21" t="s">
        <v>710</v>
      </c>
    </row>
    <row r="211" spans="1:262" s="21" customFormat="1" x14ac:dyDescent="0.25">
      <c r="A211" s="21">
        <v>14</v>
      </c>
      <c r="B211" s="43" t="s">
        <v>3827</v>
      </c>
      <c r="C211" s="21" t="s">
        <v>293</v>
      </c>
      <c r="D211" s="21" t="s">
        <v>294</v>
      </c>
      <c r="E211" s="21">
        <v>2011</v>
      </c>
      <c r="F211" s="21">
        <v>2010</v>
      </c>
      <c r="G211" s="21" t="s">
        <v>296</v>
      </c>
      <c r="H211" s="21" t="s">
        <v>295</v>
      </c>
      <c r="I211" s="21" t="s">
        <v>2815</v>
      </c>
      <c r="J211" s="21">
        <v>46.88</v>
      </c>
      <c r="K211" s="21">
        <v>-102.79</v>
      </c>
      <c r="L211" s="21">
        <v>735.8</v>
      </c>
      <c r="R211" s="43" t="s">
        <v>1862</v>
      </c>
      <c r="S211" s="43" t="s">
        <v>1862</v>
      </c>
      <c r="T211" s="43"/>
      <c r="U211" s="43" t="s">
        <v>1861</v>
      </c>
      <c r="V211" s="43" t="s">
        <v>1377</v>
      </c>
      <c r="W211" s="43" t="s">
        <v>1377</v>
      </c>
      <c r="X211" s="43" t="s">
        <v>1377</v>
      </c>
      <c r="Y211" s="43" t="s">
        <v>1377</v>
      </c>
      <c r="AA211" s="322"/>
      <c r="AB211" s="322"/>
      <c r="AC211" s="21" t="s">
        <v>139</v>
      </c>
      <c r="AH211" s="21" t="s">
        <v>1527</v>
      </c>
      <c r="AI211" s="138" t="s">
        <v>1581</v>
      </c>
      <c r="AJ211" s="21" t="s">
        <v>229</v>
      </c>
      <c r="AK211" s="141" t="s">
        <v>229</v>
      </c>
      <c r="AL211" s="21" t="s">
        <v>1618</v>
      </c>
      <c r="AM211" s="21" t="s">
        <v>1618</v>
      </c>
      <c r="AN211" s="21" t="s">
        <v>177</v>
      </c>
      <c r="AO211" s="21" t="s">
        <v>218</v>
      </c>
      <c r="AP211" s="21" t="s">
        <v>218</v>
      </c>
      <c r="AQ211" s="21" t="s">
        <v>2126</v>
      </c>
      <c r="AR211" s="21" t="s">
        <v>2126</v>
      </c>
      <c r="AS211" s="21" t="s">
        <v>177</v>
      </c>
      <c r="AW211" s="21" t="s">
        <v>119</v>
      </c>
      <c r="BA211" s="21">
        <v>3821</v>
      </c>
      <c r="BD211" s="54" t="s">
        <v>298</v>
      </c>
      <c r="BP211" s="396"/>
      <c r="BQ211" s="396"/>
      <c r="BU211" s="396"/>
      <c r="BV211" s="396"/>
      <c r="BZ211" s="396"/>
      <c r="CA211" s="396"/>
      <c r="CE211" s="549"/>
      <c r="CF211" s="549"/>
      <c r="CG211" s="549"/>
      <c r="CH211" s="549"/>
      <c r="FV211" s="21">
        <v>1738</v>
      </c>
      <c r="FW211" s="21">
        <v>800</v>
      </c>
      <c r="GZ211" s="12"/>
      <c r="HD211" s="12"/>
      <c r="JB211" s="21" t="s">
        <v>710</v>
      </c>
    </row>
    <row r="212" spans="1:262" s="21" customFormat="1" x14ac:dyDescent="0.25">
      <c r="A212" s="21">
        <v>14</v>
      </c>
      <c r="B212" s="43" t="s">
        <v>3828</v>
      </c>
      <c r="C212" s="21" t="s">
        <v>293</v>
      </c>
      <c r="D212" s="21" t="s">
        <v>294</v>
      </c>
      <c r="E212" s="21">
        <v>2011</v>
      </c>
      <c r="F212" s="21">
        <v>2010</v>
      </c>
      <c r="G212" s="21" t="s">
        <v>296</v>
      </c>
      <c r="H212" s="21" t="s">
        <v>295</v>
      </c>
      <c r="I212" s="21" t="s">
        <v>2815</v>
      </c>
      <c r="J212" s="21">
        <v>46.88</v>
      </c>
      <c r="K212" s="21">
        <v>-102.79</v>
      </c>
      <c r="L212" s="21">
        <v>735.8</v>
      </c>
      <c r="R212" s="43" t="s">
        <v>1862</v>
      </c>
      <c r="S212" s="43" t="s">
        <v>1862</v>
      </c>
      <c r="T212" s="43"/>
      <c r="U212" s="43" t="s">
        <v>1861</v>
      </c>
      <c r="V212" s="43" t="s">
        <v>1377</v>
      </c>
      <c r="W212" s="43" t="s">
        <v>1377</v>
      </c>
      <c r="X212" s="43" t="s">
        <v>1377</v>
      </c>
      <c r="Y212" s="43" t="s">
        <v>1377</v>
      </c>
      <c r="AA212" s="322"/>
      <c r="AB212" s="322"/>
      <c r="AC212" s="21" t="s">
        <v>139</v>
      </c>
      <c r="AH212" s="21" t="s">
        <v>1527</v>
      </c>
      <c r="AI212" s="138" t="s">
        <v>1581</v>
      </c>
      <c r="AJ212" s="21" t="s">
        <v>229</v>
      </c>
      <c r="AK212" s="141" t="s">
        <v>229</v>
      </c>
      <c r="AL212" s="21" t="s">
        <v>1618</v>
      </c>
      <c r="AM212" s="21" t="s">
        <v>1618</v>
      </c>
      <c r="AN212" s="21" t="s">
        <v>177</v>
      </c>
      <c r="AO212" s="21" t="s">
        <v>218</v>
      </c>
      <c r="AP212" s="21" t="s">
        <v>218</v>
      </c>
      <c r="AQ212" s="21" t="s">
        <v>2126</v>
      </c>
      <c r="AR212" s="21" t="s">
        <v>2126</v>
      </c>
      <c r="AS212" s="21" t="s">
        <v>177</v>
      </c>
      <c r="AW212" s="21" t="s">
        <v>119</v>
      </c>
      <c r="BA212" s="21">
        <v>3821</v>
      </c>
      <c r="BD212" s="54" t="s">
        <v>299</v>
      </c>
      <c r="BP212" s="396"/>
      <c r="BQ212" s="396"/>
      <c r="BU212" s="396"/>
      <c r="BV212" s="396"/>
      <c r="BZ212" s="396"/>
      <c r="CA212" s="396"/>
      <c r="CE212" s="549"/>
      <c r="CF212" s="549"/>
      <c r="CG212" s="549"/>
      <c r="CH212" s="549"/>
      <c r="FV212" s="21">
        <v>1677</v>
      </c>
      <c r="FW212" s="21">
        <v>800</v>
      </c>
      <c r="GZ212" s="12"/>
      <c r="HD212" s="12"/>
      <c r="JB212" s="21" t="s">
        <v>710</v>
      </c>
    </row>
    <row r="213" spans="1:262" s="33" customFormat="1" x14ac:dyDescent="0.25">
      <c r="A213" s="33">
        <v>14</v>
      </c>
      <c r="B213" s="47" t="s">
        <v>3829</v>
      </c>
      <c r="C213" s="33" t="s">
        <v>293</v>
      </c>
      <c r="D213" s="33" t="s">
        <v>294</v>
      </c>
      <c r="E213" s="33">
        <v>2011</v>
      </c>
      <c r="F213" s="33">
        <v>2010</v>
      </c>
      <c r="G213" s="33" t="s">
        <v>296</v>
      </c>
      <c r="H213" s="33" t="s">
        <v>295</v>
      </c>
      <c r="I213" s="21" t="s">
        <v>2815</v>
      </c>
      <c r="J213" s="33">
        <v>46.88</v>
      </c>
      <c r="K213" s="33">
        <v>-102.79</v>
      </c>
      <c r="L213" s="33">
        <v>735.8</v>
      </c>
      <c r="R213" s="47" t="s">
        <v>1862</v>
      </c>
      <c r="S213" s="47" t="s">
        <v>1862</v>
      </c>
      <c r="T213" s="47"/>
      <c r="U213" s="47" t="s">
        <v>1861</v>
      </c>
      <c r="V213" s="47" t="s">
        <v>1377</v>
      </c>
      <c r="W213" s="47" t="s">
        <v>1377</v>
      </c>
      <c r="X213" s="47" t="s">
        <v>1377</v>
      </c>
      <c r="Y213" s="47" t="s">
        <v>1377</v>
      </c>
      <c r="AA213" s="327"/>
      <c r="AB213" s="327"/>
      <c r="AC213" s="33" t="s">
        <v>139</v>
      </c>
      <c r="AH213" s="33" t="s">
        <v>1574</v>
      </c>
      <c r="AI213" s="138" t="s">
        <v>1582</v>
      </c>
      <c r="AJ213" s="33" t="s">
        <v>229</v>
      </c>
      <c r="AK213" s="141" t="s">
        <v>229</v>
      </c>
      <c r="AL213" s="33" t="s">
        <v>1618</v>
      </c>
      <c r="AM213" s="33" t="s">
        <v>1618</v>
      </c>
      <c r="AN213" s="33" t="s">
        <v>177</v>
      </c>
      <c r="AO213" s="33" t="s">
        <v>218</v>
      </c>
      <c r="AP213" s="33" t="s">
        <v>218</v>
      </c>
      <c r="AQ213" s="33" t="s">
        <v>2126</v>
      </c>
      <c r="AR213" s="33" t="s">
        <v>2126</v>
      </c>
      <c r="AS213" s="33" t="s">
        <v>177</v>
      </c>
      <c r="AW213" s="33" t="s">
        <v>119</v>
      </c>
      <c r="BA213" s="33">
        <v>4039</v>
      </c>
      <c r="BD213" s="54" t="s">
        <v>297</v>
      </c>
      <c r="BP213" s="402"/>
      <c r="BQ213" s="402"/>
      <c r="BU213" s="402"/>
      <c r="BV213" s="402"/>
      <c r="BZ213" s="402"/>
      <c r="CA213" s="402"/>
      <c r="CE213" s="555"/>
      <c r="CF213" s="555"/>
      <c r="CG213" s="555"/>
      <c r="CH213" s="555"/>
      <c r="FV213" s="21">
        <v>796</v>
      </c>
      <c r="FW213" s="33">
        <v>717</v>
      </c>
      <c r="GZ213" s="12"/>
      <c r="HD213" s="12"/>
      <c r="JB213" s="33" t="s">
        <v>710</v>
      </c>
    </row>
    <row r="214" spans="1:262" s="33" customFormat="1" x14ac:dyDescent="0.25">
      <c r="A214" s="33">
        <v>14</v>
      </c>
      <c r="B214" s="47" t="s">
        <v>3830</v>
      </c>
      <c r="C214" s="33" t="s">
        <v>293</v>
      </c>
      <c r="D214" s="33" t="s">
        <v>294</v>
      </c>
      <c r="E214" s="33">
        <v>2011</v>
      </c>
      <c r="F214" s="33">
        <v>2010</v>
      </c>
      <c r="G214" s="33" t="s">
        <v>296</v>
      </c>
      <c r="H214" s="33" t="s">
        <v>295</v>
      </c>
      <c r="I214" s="21" t="s">
        <v>2815</v>
      </c>
      <c r="J214" s="33">
        <v>46.88</v>
      </c>
      <c r="K214" s="33">
        <v>-102.79</v>
      </c>
      <c r="L214" s="33">
        <v>735.8</v>
      </c>
      <c r="R214" s="47" t="s">
        <v>1862</v>
      </c>
      <c r="S214" s="47" t="s">
        <v>1862</v>
      </c>
      <c r="T214" s="47"/>
      <c r="U214" s="47" t="s">
        <v>1861</v>
      </c>
      <c r="V214" s="47" t="s">
        <v>1377</v>
      </c>
      <c r="W214" s="47" t="s">
        <v>1377</v>
      </c>
      <c r="X214" s="47" t="s">
        <v>1377</v>
      </c>
      <c r="Y214" s="47" t="s">
        <v>1377</v>
      </c>
      <c r="AA214" s="327"/>
      <c r="AB214" s="327"/>
      <c r="AC214" s="33" t="s">
        <v>139</v>
      </c>
      <c r="AH214" s="33" t="s">
        <v>1574</v>
      </c>
      <c r="AI214" s="138" t="s">
        <v>1582</v>
      </c>
      <c r="AJ214" s="33" t="s">
        <v>229</v>
      </c>
      <c r="AK214" s="141" t="s">
        <v>229</v>
      </c>
      <c r="AL214" s="33" t="s">
        <v>1618</v>
      </c>
      <c r="AM214" s="33" t="s">
        <v>1618</v>
      </c>
      <c r="AN214" s="33" t="s">
        <v>177</v>
      </c>
      <c r="AO214" s="33" t="s">
        <v>218</v>
      </c>
      <c r="AP214" s="33" t="s">
        <v>218</v>
      </c>
      <c r="AQ214" s="33" t="s">
        <v>2126</v>
      </c>
      <c r="AR214" s="33" t="s">
        <v>2126</v>
      </c>
      <c r="AS214" s="33" t="s">
        <v>177</v>
      </c>
      <c r="AW214" s="33" t="s">
        <v>119</v>
      </c>
      <c r="BA214" s="33">
        <v>4039</v>
      </c>
      <c r="BD214" s="54" t="s">
        <v>298</v>
      </c>
      <c r="BP214" s="402"/>
      <c r="BQ214" s="402"/>
      <c r="BU214" s="402"/>
      <c r="BV214" s="402"/>
      <c r="BZ214" s="402"/>
      <c r="CA214" s="402"/>
      <c r="CE214" s="555"/>
      <c r="CF214" s="555"/>
      <c r="CG214" s="555"/>
      <c r="CH214" s="555"/>
      <c r="FV214" s="21">
        <v>1738</v>
      </c>
      <c r="FW214" s="33">
        <v>717</v>
      </c>
      <c r="GZ214" s="12"/>
      <c r="HD214" s="12"/>
      <c r="JB214" s="33" t="s">
        <v>710</v>
      </c>
    </row>
    <row r="215" spans="1:262" s="33" customFormat="1" x14ac:dyDescent="0.25">
      <c r="A215" s="33">
        <v>14</v>
      </c>
      <c r="B215" s="47" t="s">
        <v>3831</v>
      </c>
      <c r="C215" s="33" t="s">
        <v>293</v>
      </c>
      <c r="D215" s="33" t="s">
        <v>294</v>
      </c>
      <c r="E215" s="33">
        <v>2011</v>
      </c>
      <c r="F215" s="33">
        <v>2010</v>
      </c>
      <c r="G215" s="33" t="s">
        <v>296</v>
      </c>
      <c r="H215" s="33" t="s">
        <v>295</v>
      </c>
      <c r="I215" s="21" t="s">
        <v>2815</v>
      </c>
      <c r="J215" s="33">
        <v>46.88</v>
      </c>
      <c r="K215" s="33">
        <v>-102.79</v>
      </c>
      <c r="L215" s="33">
        <v>735.8</v>
      </c>
      <c r="R215" s="47" t="s">
        <v>1862</v>
      </c>
      <c r="S215" s="47" t="s">
        <v>1862</v>
      </c>
      <c r="T215" s="47"/>
      <c r="U215" s="47" t="s">
        <v>1861</v>
      </c>
      <c r="V215" s="47" t="s">
        <v>1377</v>
      </c>
      <c r="W215" s="47" t="s">
        <v>1377</v>
      </c>
      <c r="X215" s="47" t="s">
        <v>1377</v>
      </c>
      <c r="Y215" s="47" t="s">
        <v>1377</v>
      </c>
      <c r="AA215" s="327"/>
      <c r="AB215" s="327"/>
      <c r="AC215" s="33" t="s">
        <v>139</v>
      </c>
      <c r="AH215" s="33" t="s">
        <v>1574</v>
      </c>
      <c r="AI215" s="138" t="s">
        <v>1582</v>
      </c>
      <c r="AJ215" s="33" t="s">
        <v>229</v>
      </c>
      <c r="AK215" s="141" t="s">
        <v>229</v>
      </c>
      <c r="AL215" s="33" t="s">
        <v>1618</v>
      </c>
      <c r="AM215" s="33" t="s">
        <v>1618</v>
      </c>
      <c r="AN215" s="33" t="s">
        <v>177</v>
      </c>
      <c r="AO215" s="33" t="s">
        <v>218</v>
      </c>
      <c r="AP215" s="33" t="s">
        <v>218</v>
      </c>
      <c r="AQ215" s="33" t="s">
        <v>2126</v>
      </c>
      <c r="AR215" s="33" t="s">
        <v>2126</v>
      </c>
      <c r="AS215" s="33" t="s">
        <v>177</v>
      </c>
      <c r="AW215" s="33" t="s">
        <v>119</v>
      </c>
      <c r="BA215" s="33">
        <v>4039</v>
      </c>
      <c r="BD215" s="54" t="s">
        <v>299</v>
      </c>
      <c r="BP215" s="402"/>
      <c r="BQ215" s="402"/>
      <c r="BU215" s="402"/>
      <c r="BV215" s="402"/>
      <c r="BZ215" s="402"/>
      <c r="CA215" s="402"/>
      <c r="CE215" s="555"/>
      <c r="CF215" s="555"/>
      <c r="CG215" s="555"/>
      <c r="CH215" s="555"/>
      <c r="FV215" s="21">
        <v>1677</v>
      </c>
      <c r="FW215" s="33">
        <v>717</v>
      </c>
      <c r="GZ215" s="12"/>
      <c r="HD215" s="12"/>
      <c r="JB215" s="33" t="s">
        <v>710</v>
      </c>
    </row>
    <row r="216" spans="1:262" s="21" customFormat="1" x14ac:dyDescent="0.25">
      <c r="A216" s="21">
        <v>14</v>
      </c>
      <c r="B216" s="43" t="s">
        <v>3829</v>
      </c>
      <c r="C216" s="21" t="s">
        <v>293</v>
      </c>
      <c r="D216" s="21" t="s">
        <v>294</v>
      </c>
      <c r="E216" s="21">
        <v>2011</v>
      </c>
      <c r="F216" s="21">
        <v>2010</v>
      </c>
      <c r="G216" s="21" t="s">
        <v>296</v>
      </c>
      <c r="H216" s="21" t="s">
        <v>295</v>
      </c>
      <c r="I216" s="21" t="s">
        <v>2815</v>
      </c>
      <c r="J216" s="21">
        <v>46.88</v>
      </c>
      <c r="K216" s="21">
        <v>-102.79</v>
      </c>
      <c r="L216" s="21">
        <v>735.8</v>
      </c>
      <c r="R216" s="43" t="s">
        <v>1862</v>
      </c>
      <c r="S216" s="43" t="s">
        <v>1862</v>
      </c>
      <c r="T216" s="43"/>
      <c r="U216" s="43" t="s">
        <v>1861</v>
      </c>
      <c r="V216" s="43" t="s">
        <v>1377</v>
      </c>
      <c r="W216" s="43" t="s">
        <v>1377</v>
      </c>
      <c r="X216" s="43" t="s">
        <v>1377</v>
      </c>
      <c r="Y216" s="43" t="s">
        <v>1377</v>
      </c>
      <c r="AA216" s="322"/>
      <c r="AB216" s="322"/>
      <c r="AC216" s="21" t="s">
        <v>139</v>
      </c>
      <c r="AH216" s="21" t="s">
        <v>1574</v>
      </c>
      <c r="AI216" s="138" t="s">
        <v>1582</v>
      </c>
      <c r="AJ216" s="21" t="s">
        <v>229</v>
      </c>
      <c r="AK216" s="141" t="s">
        <v>229</v>
      </c>
      <c r="AL216" s="21" t="s">
        <v>1618</v>
      </c>
      <c r="AM216" s="21" t="s">
        <v>1618</v>
      </c>
      <c r="AN216" s="21" t="s">
        <v>177</v>
      </c>
      <c r="AO216" s="21" t="s">
        <v>218</v>
      </c>
      <c r="AP216" s="21" t="s">
        <v>218</v>
      </c>
      <c r="AQ216" s="21" t="s">
        <v>2126</v>
      </c>
      <c r="AR216" s="21" t="s">
        <v>2126</v>
      </c>
      <c r="AS216" s="21" t="s">
        <v>177</v>
      </c>
      <c r="AW216" s="21" t="s">
        <v>119</v>
      </c>
      <c r="BA216" s="21">
        <v>3554</v>
      </c>
      <c r="BD216" s="54" t="s">
        <v>297</v>
      </c>
      <c r="BP216" s="396"/>
      <c r="BQ216" s="396"/>
      <c r="BU216" s="396"/>
      <c r="BV216" s="396"/>
      <c r="BZ216" s="396"/>
      <c r="CA216" s="396"/>
      <c r="CE216" s="549"/>
      <c r="CF216" s="549"/>
      <c r="CG216" s="549"/>
      <c r="CH216" s="549"/>
      <c r="FV216" s="21">
        <v>796</v>
      </c>
      <c r="FW216" s="21">
        <v>991</v>
      </c>
      <c r="GZ216" s="12"/>
      <c r="HD216" s="12"/>
      <c r="JB216" s="21" t="s">
        <v>710</v>
      </c>
    </row>
    <row r="217" spans="1:262" s="21" customFormat="1" x14ac:dyDescent="0.25">
      <c r="A217" s="21">
        <v>14</v>
      </c>
      <c r="B217" s="43" t="s">
        <v>3830</v>
      </c>
      <c r="C217" s="21" t="s">
        <v>293</v>
      </c>
      <c r="D217" s="21" t="s">
        <v>294</v>
      </c>
      <c r="E217" s="21">
        <v>2011</v>
      </c>
      <c r="F217" s="21">
        <v>2010</v>
      </c>
      <c r="G217" s="21" t="s">
        <v>296</v>
      </c>
      <c r="H217" s="21" t="s">
        <v>295</v>
      </c>
      <c r="I217" s="21" t="s">
        <v>2815</v>
      </c>
      <c r="J217" s="21">
        <v>46.88</v>
      </c>
      <c r="K217" s="21">
        <v>-102.79</v>
      </c>
      <c r="L217" s="21">
        <v>735.8</v>
      </c>
      <c r="R217" s="43" t="s">
        <v>1862</v>
      </c>
      <c r="S217" s="43" t="s">
        <v>1862</v>
      </c>
      <c r="T217" s="43"/>
      <c r="U217" s="43" t="s">
        <v>1861</v>
      </c>
      <c r="V217" s="43" t="s">
        <v>1377</v>
      </c>
      <c r="W217" s="43" t="s">
        <v>1377</v>
      </c>
      <c r="X217" s="43" t="s">
        <v>1377</v>
      </c>
      <c r="Y217" s="43" t="s">
        <v>1377</v>
      </c>
      <c r="AA217" s="322"/>
      <c r="AB217" s="322"/>
      <c r="AC217" s="21" t="s">
        <v>139</v>
      </c>
      <c r="AH217" s="21" t="s">
        <v>1574</v>
      </c>
      <c r="AI217" s="138" t="s">
        <v>1582</v>
      </c>
      <c r="AJ217" s="21" t="s">
        <v>229</v>
      </c>
      <c r="AK217" s="141" t="s">
        <v>229</v>
      </c>
      <c r="AL217" s="21" t="s">
        <v>1618</v>
      </c>
      <c r="AM217" s="21" t="s">
        <v>1618</v>
      </c>
      <c r="AN217" s="21" t="s">
        <v>177</v>
      </c>
      <c r="AO217" s="21" t="s">
        <v>218</v>
      </c>
      <c r="AP217" s="21" t="s">
        <v>218</v>
      </c>
      <c r="AQ217" s="21" t="s">
        <v>2126</v>
      </c>
      <c r="AR217" s="21" t="s">
        <v>2126</v>
      </c>
      <c r="AS217" s="21" t="s">
        <v>177</v>
      </c>
      <c r="AW217" s="21" t="s">
        <v>119</v>
      </c>
      <c r="BA217" s="21">
        <v>3554</v>
      </c>
      <c r="BD217" s="54" t="s">
        <v>298</v>
      </c>
      <c r="BP217" s="396"/>
      <c r="BQ217" s="396"/>
      <c r="BU217" s="396"/>
      <c r="BV217" s="396"/>
      <c r="BZ217" s="396"/>
      <c r="CA217" s="396"/>
      <c r="CE217" s="549"/>
      <c r="CF217" s="549"/>
      <c r="CG217" s="549"/>
      <c r="CH217" s="549"/>
      <c r="FV217" s="21">
        <v>1738</v>
      </c>
      <c r="FW217" s="21">
        <v>991</v>
      </c>
      <c r="GZ217" s="12"/>
      <c r="HD217" s="12"/>
      <c r="JB217" s="21" t="s">
        <v>710</v>
      </c>
    </row>
    <row r="218" spans="1:262" s="21" customFormat="1" x14ac:dyDescent="0.25">
      <c r="A218" s="21">
        <v>14</v>
      </c>
      <c r="B218" s="43" t="s">
        <v>3831</v>
      </c>
      <c r="C218" s="21" t="s">
        <v>293</v>
      </c>
      <c r="D218" s="21" t="s">
        <v>294</v>
      </c>
      <c r="E218" s="21">
        <v>2011</v>
      </c>
      <c r="F218" s="21">
        <v>2010</v>
      </c>
      <c r="G218" s="21" t="s">
        <v>296</v>
      </c>
      <c r="H218" s="21" t="s">
        <v>295</v>
      </c>
      <c r="I218" s="21" t="s">
        <v>2815</v>
      </c>
      <c r="J218" s="21">
        <v>46.88</v>
      </c>
      <c r="K218" s="21">
        <v>-102.79</v>
      </c>
      <c r="L218" s="21">
        <v>735.8</v>
      </c>
      <c r="R218" s="43" t="s">
        <v>1862</v>
      </c>
      <c r="S218" s="43" t="s">
        <v>1862</v>
      </c>
      <c r="T218" s="43"/>
      <c r="U218" s="43" t="s">
        <v>1861</v>
      </c>
      <c r="V218" s="43" t="s">
        <v>1377</v>
      </c>
      <c r="W218" s="43" t="s">
        <v>1377</v>
      </c>
      <c r="X218" s="43" t="s">
        <v>1377</v>
      </c>
      <c r="Y218" s="43" t="s">
        <v>1377</v>
      </c>
      <c r="AA218" s="322"/>
      <c r="AB218" s="322"/>
      <c r="AC218" s="21" t="s">
        <v>139</v>
      </c>
      <c r="AH218" s="21" t="s">
        <v>1574</v>
      </c>
      <c r="AI218" s="138" t="s">
        <v>1582</v>
      </c>
      <c r="AJ218" s="21" t="s">
        <v>229</v>
      </c>
      <c r="AK218" s="141" t="s">
        <v>229</v>
      </c>
      <c r="AL218" s="21" t="s">
        <v>1618</v>
      </c>
      <c r="AM218" s="21" t="s">
        <v>1618</v>
      </c>
      <c r="AN218" s="21" t="s">
        <v>177</v>
      </c>
      <c r="AO218" s="21" t="s">
        <v>218</v>
      </c>
      <c r="AP218" s="21" t="s">
        <v>218</v>
      </c>
      <c r="AQ218" s="21" t="s">
        <v>2126</v>
      </c>
      <c r="AR218" s="21" t="s">
        <v>2126</v>
      </c>
      <c r="AS218" s="21" t="s">
        <v>177</v>
      </c>
      <c r="AW218" s="21" t="s">
        <v>119</v>
      </c>
      <c r="BA218" s="21">
        <v>3554</v>
      </c>
      <c r="BD218" s="54" t="s">
        <v>299</v>
      </c>
      <c r="BP218" s="396"/>
      <c r="BQ218" s="396"/>
      <c r="BU218" s="396"/>
      <c r="BV218" s="396"/>
      <c r="BZ218" s="396"/>
      <c r="CA218" s="396"/>
      <c r="CE218" s="549"/>
      <c r="CF218" s="549"/>
      <c r="CG218" s="549"/>
      <c r="CH218" s="549"/>
      <c r="FV218" s="21">
        <v>1677</v>
      </c>
      <c r="FW218" s="21">
        <v>991</v>
      </c>
      <c r="GZ218" s="12"/>
      <c r="HD218" s="12"/>
      <c r="JB218" s="21" t="s">
        <v>710</v>
      </c>
    </row>
    <row r="219" spans="1:262" s="24" customFormat="1" x14ac:dyDescent="0.25">
      <c r="A219" s="24">
        <v>15</v>
      </c>
      <c r="B219" s="42" t="s">
        <v>3832</v>
      </c>
      <c r="C219" s="24" t="s">
        <v>300</v>
      </c>
      <c r="D219" s="24" t="s">
        <v>301</v>
      </c>
      <c r="E219" s="24">
        <v>2005</v>
      </c>
      <c r="F219" s="24">
        <v>2001</v>
      </c>
      <c r="G219" s="24" t="s">
        <v>302</v>
      </c>
      <c r="H219" s="24" t="s">
        <v>303</v>
      </c>
      <c r="I219" s="24" t="s">
        <v>2815</v>
      </c>
      <c r="J219" s="24">
        <f>40+44/60</f>
        <v>40.733333333333334</v>
      </c>
      <c r="K219" s="24">
        <f>-77-57/60</f>
        <v>-77.95</v>
      </c>
      <c r="L219" s="24">
        <v>375.2</v>
      </c>
      <c r="R219" s="42">
        <v>1</v>
      </c>
      <c r="S219" s="42" t="s">
        <v>1728</v>
      </c>
      <c r="T219" s="42"/>
      <c r="U219" s="42" t="s">
        <v>1864</v>
      </c>
      <c r="V219" s="42" t="s">
        <v>1388</v>
      </c>
      <c r="W219" s="42" t="s">
        <v>1719</v>
      </c>
      <c r="X219" s="42" t="s">
        <v>1388</v>
      </c>
      <c r="Y219" s="42" t="s">
        <v>1388</v>
      </c>
      <c r="AA219" s="321"/>
      <c r="AB219" s="321"/>
      <c r="AC219" s="24" t="s">
        <v>450</v>
      </c>
      <c r="AG219" s="24" t="s">
        <v>1317</v>
      </c>
      <c r="AH219" s="24" t="s">
        <v>131</v>
      </c>
      <c r="AI219" s="138" t="s">
        <v>131</v>
      </c>
      <c r="AJ219" s="24" t="s">
        <v>132</v>
      </c>
      <c r="AK219" s="140" t="s">
        <v>132</v>
      </c>
      <c r="AO219" s="24" t="s">
        <v>218</v>
      </c>
      <c r="AP219" s="24" t="s">
        <v>218</v>
      </c>
      <c r="AQ219" s="24" t="s">
        <v>2126</v>
      </c>
      <c r="AR219" s="24" t="s">
        <v>2126</v>
      </c>
      <c r="AS219" s="24" t="s">
        <v>177</v>
      </c>
      <c r="AT219" s="24" t="s">
        <v>304</v>
      </c>
      <c r="AU219" s="24" t="s">
        <v>304</v>
      </c>
      <c r="AV219" s="24" t="s">
        <v>177</v>
      </c>
      <c r="AX219" s="24">
        <v>4</v>
      </c>
      <c r="AZ219" s="24" t="s">
        <v>174</v>
      </c>
      <c r="BB219" s="24">
        <f>1143</f>
        <v>1143</v>
      </c>
      <c r="BD219" s="53"/>
      <c r="BE219" s="24" t="s">
        <v>305</v>
      </c>
      <c r="BK219" s="24">
        <f>11.51*1000</f>
        <v>11510</v>
      </c>
      <c r="BL219" s="24">
        <f>12.2*1000</f>
        <v>12200</v>
      </c>
      <c r="BP219" s="395">
        <v>1.48</v>
      </c>
      <c r="BQ219" s="395">
        <v>1.48</v>
      </c>
      <c r="BU219" s="395"/>
      <c r="BV219" s="395"/>
      <c r="BZ219" s="395"/>
      <c r="CA219" s="395"/>
      <c r="CE219" s="548"/>
      <c r="CF219" s="548"/>
      <c r="CG219" s="548"/>
      <c r="CH219" s="548"/>
      <c r="FV219" s="24">
        <f>9.9*10</f>
        <v>99</v>
      </c>
      <c r="FW219" s="24">
        <f>1.3*10</f>
        <v>13</v>
      </c>
      <c r="FZ219" s="24" t="s">
        <v>1690</v>
      </c>
      <c r="GZ219" s="12"/>
      <c r="HD219" s="12"/>
    </row>
    <row r="220" spans="1:262" s="24" customFormat="1" x14ac:dyDescent="0.25">
      <c r="A220" s="24">
        <v>15</v>
      </c>
      <c r="B220" s="42" t="s">
        <v>3832</v>
      </c>
      <c r="C220" s="24" t="s">
        <v>300</v>
      </c>
      <c r="D220" s="24" t="s">
        <v>301</v>
      </c>
      <c r="E220" s="24">
        <v>2005</v>
      </c>
      <c r="F220" s="24">
        <v>2001</v>
      </c>
      <c r="G220" s="24" t="s">
        <v>302</v>
      </c>
      <c r="H220" s="24" t="s">
        <v>303</v>
      </c>
      <c r="I220" s="24" t="s">
        <v>2815</v>
      </c>
      <c r="J220" s="24">
        <f>40+44/60</f>
        <v>40.733333333333334</v>
      </c>
      <c r="K220" s="24">
        <f>-77-57/60</f>
        <v>-77.95</v>
      </c>
      <c r="L220" s="24">
        <v>375.2</v>
      </c>
      <c r="R220" s="42">
        <v>1</v>
      </c>
      <c r="S220" s="42" t="s">
        <v>1728</v>
      </c>
      <c r="T220" s="42"/>
      <c r="U220" s="42" t="s">
        <v>1864</v>
      </c>
      <c r="V220" s="42" t="s">
        <v>1388</v>
      </c>
      <c r="W220" s="42" t="s">
        <v>1719</v>
      </c>
      <c r="X220" s="42" t="s">
        <v>1388</v>
      </c>
      <c r="Y220" s="42" t="s">
        <v>1388</v>
      </c>
      <c r="AA220" s="321"/>
      <c r="AB220" s="321"/>
      <c r="AC220" s="24" t="s">
        <v>450</v>
      </c>
      <c r="AG220" s="24" t="s">
        <v>1317</v>
      </c>
      <c r="AH220" s="24" t="s">
        <v>131</v>
      </c>
      <c r="AI220" s="138" t="s">
        <v>131</v>
      </c>
      <c r="AJ220" s="24" t="s">
        <v>132</v>
      </c>
      <c r="AK220" s="140" t="s">
        <v>132</v>
      </c>
      <c r="AO220" s="24" t="s">
        <v>218</v>
      </c>
      <c r="AP220" s="24" t="s">
        <v>218</v>
      </c>
      <c r="AQ220" s="24" t="s">
        <v>2126</v>
      </c>
      <c r="AR220" s="24" t="s">
        <v>2126</v>
      </c>
      <c r="AS220" s="24" t="s">
        <v>177</v>
      </c>
      <c r="AT220" s="24" t="s">
        <v>304</v>
      </c>
      <c r="AU220" s="24" t="s">
        <v>304</v>
      </c>
      <c r="AV220" s="24" t="s">
        <v>177</v>
      </c>
      <c r="AX220" s="24">
        <v>4</v>
      </c>
      <c r="AZ220" s="24" t="s">
        <v>174</v>
      </c>
      <c r="BB220" s="24">
        <v>1833</v>
      </c>
      <c r="BD220" s="53"/>
      <c r="BE220" s="24" t="s">
        <v>306</v>
      </c>
      <c r="BK220" s="24">
        <f>11.4*1000</f>
        <v>11400</v>
      </c>
      <c r="BL220" s="24">
        <f>11.87*1000</f>
        <v>11870</v>
      </c>
      <c r="BP220" s="395">
        <v>1.48</v>
      </c>
      <c r="BQ220" s="395">
        <v>1.4</v>
      </c>
      <c r="BU220" s="395"/>
      <c r="BV220" s="395"/>
      <c r="BZ220" s="395"/>
      <c r="CA220" s="395"/>
      <c r="CE220" s="548"/>
      <c r="CF220" s="548"/>
      <c r="CG220" s="548"/>
      <c r="CH220" s="548"/>
      <c r="FV220" s="24">
        <f>0.4*10</f>
        <v>4</v>
      </c>
      <c r="FW220" s="24">
        <f>1.5*10</f>
        <v>15</v>
      </c>
      <c r="FZ220" s="24" t="s">
        <v>1690</v>
      </c>
      <c r="GZ220" s="12"/>
      <c r="HD220" s="12"/>
    </row>
    <row r="221" spans="1:262" s="34" customFormat="1" x14ac:dyDescent="0.25">
      <c r="A221" s="34">
        <v>15</v>
      </c>
      <c r="B221" s="48" t="s">
        <v>3832</v>
      </c>
      <c r="C221" s="34" t="s">
        <v>300</v>
      </c>
      <c r="D221" s="34" t="s">
        <v>301</v>
      </c>
      <c r="E221" s="34">
        <v>2005</v>
      </c>
      <c r="F221" s="34">
        <v>2002</v>
      </c>
      <c r="G221" s="34" t="s">
        <v>302</v>
      </c>
      <c r="H221" s="34" t="s">
        <v>303</v>
      </c>
      <c r="I221" s="24" t="s">
        <v>2815</v>
      </c>
      <c r="J221" s="34">
        <v>40.733333333333334</v>
      </c>
      <c r="K221" s="34">
        <v>-77.95</v>
      </c>
      <c r="L221" s="34">
        <v>375.2</v>
      </c>
      <c r="R221" s="48">
        <v>2</v>
      </c>
      <c r="S221" s="48" t="s">
        <v>1728</v>
      </c>
      <c r="T221" s="48"/>
      <c r="U221" s="48" t="s">
        <v>1864</v>
      </c>
      <c r="V221" s="48" t="s">
        <v>1388</v>
      </c>
      <c r="W221" s="48" t="s">
        <v>1719</v>
      </c>
      <c r="X221" s="48" t="s">
        <v>1388</v>
      </c>
      <c r="Y221" s="48" t="s">
        <v>1388</v>
      </c>
      <c r="AA221" s="328"/>
      <c r="AB221" s="328"/>
      <c r="AC221" s="34" t="s">
        <v>450</v>
      </c>
      <c r="AG221" s="34" t="s">
        <v>1317</v>
      </c>
      <c r="AH221" s="34" t="s">
        <v>131</v>
      </c>
      <c r="AI221" s="138" t="s">
        <v>131</v>
      </c>
      <c r="AJ221" s="34" t="s">
        <v>132</v>
      </c>
      <c r="AK221" s="140" t="s">
        <v>132</v>
      </c>
      <c r="AO221" s="34" t="s">
        <v>218</v>
      </c>
      <c r="AP221" s="34" t="s">
        <v>218</v>
      </c>
      <c r="AQ221" s="34" t="s">
        <v>2126</v>
      </c>
      <c r="AR221" s="34" t="s">
        <v>2126</v>
      </c>
      <c r="AS221" s="34" t="s">
        <v>177</v>
      </c>
      <c r="AT221" s="34" t="s">
        <v>304</v>
      </c>
      <c r="AU221" s="34" t="s">
        <v>304</v>
      </c>
      <c r="AV221" s="34" t="s">
        <v>177</v>
      </c>
      <c r="AX221" s="34">
        <v>4</v>
      </c>
      <c r="AZ221" s="34" t="s">
        <v>174</v>
      </c>
      <c r="BD221" s="53"/>
      <c r="BE221" s="34" t="s">
        <v>305</v>
      </c>
      <c r="BK221" s="34">
        <f>7.55*1000</f>
        <v>7550</v>
      </c>
      <c r="BL221" s="34">
        <f>8.71*1000</f>
        <v>8710</v>
      </c>
      <c r="BP221" s="404"/>
      <c r="BQ221" s="404"/>
      <c r="BU221" s="404"/>
      <c r="BV221" s="404"/>
      <c r="BZ221" s="404"/>
      <c r="CA221" s="404"/>
      <c r="CE221" s="557"/>
      <c r="CF221" s="557"/>
      <c r="CG221" s="557"/>
      <c r="CH221" s="557"/>
      <c r="FV221" s="34">
        <f>2.5*10</f>
        <v>25</v>
      </c>
      <c r="FW221" s="34">
        <f>2.8*10</f>
        <v>28</v>
      </c>
      <c r="FZ221" s="24" t="s">
        <v>1690</v>
      </c>
      <c r="GZ221" s="12"/>
      <c r="HD221" s="12"/>
    </row>
    <row r="222" spans="1:262" s="34" customFormat="1" x14ac:dyDescent="0.25">
      <c r="A222" s="34">
        <v>15</v>
      </c>
      <c r="B222" s="48" t="s">
        <v>3832</v>
      </c>
      <c r="C222" s="34" t="s">
        <v>300</v>
      </c>
      <c r="D222" s="34" t="s">
        <v>301</v>
      </c>
      <c r="E222" s="34">
        <v>2005</v>
      </c>
      <c r="F222" s="34">
        <v>2002</v>
      </c>
      <c r="G222" s="34" t="s">
        <v>302</v>
      </c>
      <c r="H222" s="34" t="s">
        <v>303</v>
      </c>
      <c r="I222" s="24" t="s">
        <v>2815</v>
      </c>
      <c r="J222" s="34">
        <v>40.733333333333334</v>
      </c>
      <c r="K222" s="34">
        <v>-77.95</v>
      </c>
      <c r="L222" s="34">
        <v>375.2</v>
      </c>
      <c r="R222" s="48">
        <v>2</v>
      </c>
      <c r="S222" s="48" t="s">
        <v>1728</v>
      </c>
      <c r="T222" s="48"/>
      <c r="U222" s="48" t="s">
        <v>1864</v>
      </c>
      <c r="V222" s="48" t="s">
        <v>1388</v>
      </c>
      <c r="W222" s="48" t="s">
        <v>1719</v>
      </c>
      <c r="X222" s="48" t="s">
        <v>1388</v>
      </c>
      <c r="Y222" s="48" t="s">
        <v>1388</v>
      </c>
      <c r="AA222" s="328"/>
      <c r="AB222" s="328"/>
      <c r="AC222" s="34" t="s">
        <v>450</v>
      </c>
      <c r="AG222" s="34" t="s">
        <v>1317</v>
      </c>
      <c r="AH222" s="34" t="s">
        <v>131</v>
      </c>
      <c r="AI222" s="138" t="s">
        <v>131</v>
      </c>
      <c r="AJ222" s="34" t="s">
        <v>132</v>
      </c>
      <c r="AK222" s="140" t="s">
        <v>132</v>
      </c>
      <c r="AO222" s="34" t="s">
        <v>218</v>
      </c>
      <c r="AP222" s="34" t="s">
        <v>218</v>
      </c>
      <c r="AQ222" s="34" t="s">
        <v>2126</v>
      </c>
      <c r="AR222" s="34" t="s">
        <v>2126</v>
      </c>
      <c r="AS222" s="34" t="s">
        <v>177</v>
      </c>
      <c r="AT222" s="34" t="s">
        <v>304</v>
      </c>
      <c r="AU222" s="34" t="s">
        <v>304</v>
      </c>
      <c r="AV222" s="34" t="s">
        <v>177</v>
      </c>
      <c r="AX222" s="34">
        <v>4</v>
      </c>
      <c r="AZ222" s="34" t="s">
        <v>174</v>
      </c>
      <c r="BB222" s="34">
        <v>3740</v>
      </c>
      <c r="BD222" s="53"/>
      <c r="BE222" s="34" t="s">
        <v>306</v>
      </c>
      <c r="BK222" s="34">
        <f>8.97*1000</f>
        <v>8970</v>
      </c>
      <c r="BL222" s="34">
        <f>7.66*1000</f>
        <v>7660</v>
      </c>
      <c r="BP222" s="404"/>
      <c r="BQ222" s="404"/>
      <c r="BU222" s="404"/>
      <c r="BV222" s="404"/>
      <c r="BZ222" s="404"/>
      <c r="CA222" s="404"/>
      <c r="CE222" s="557"/>
      <c r="CF222" s="557"/>
      <c r="CG222" s="557"/>
      <c r="CH222" s="557"/>
      <c r="FV222" s="34">
        <f>2.5*10</f>
        <v>25</v>
      </c>
      <c r="FW222" s="34">
        <f>3*10</f>
        <v>30</v>
      </c>
      <c r="FZ222" s="24" t="s">
        <v>1690</v>
      </c>
      <c r="GZ222" s="12"/>
      <c r="HD222" s="12"/>
    </row>
    <row r="223" spans="1:262" s="24" customFormat="1" x14ac:dyDescent="0.25">
      <c r="A223" s="24">
        <v>15</v>
      </c>
      <c r="B223" s="42" t="s">
        <v>3832</v>
      </c>
      <c r="C223" s="24" t="s">
        <v>300</v>
      </c>
      <c r="D223" s="24" t="s">
        <v>301</v>
      </c>
      <c r="E223" s="24">
        <v>2005</v>
      </c>
      <c r="F223" s="24">
        <v>2003</v>
      </c>
      <c r="G223" s="24" t="s">
        <v>302</v>
      </c>
      <c r="H223" s="24" t="s">
        <v>303</v>
      </c>
      <c r="I223" s="24" t="s">
        <v>2815</v>
      </c>
      <c r="J223" s="24">
        <f>40+44/60</f>
        <v>40.733333333333334</v>
      </c>
      <c r="K223" s="24">
        <f>-77-57/60</f>
        <v>-77.95</v>
      </c>
      <c r="L223" s="24">
        <v>375.2</v>
      </c>
      <c r="R223" s="42">
        <v>3</v>
      </c>
      <c r="S223" s="42" t="s">
        <v>1728</v>
      </c>
      <c r="T223" s="42"/>
      <c r="U223" s="42" t="s">
        <v>1864</v>
      </c>
      <c r="V223" s="42" t="s">
        <v>1388</v>
      </c>
      <c r="W223" s="42" t="s">
        <v>1719</v>
      </c>
      <c r="X223" s="42" t="s">
        <v>1388</v>
      </c>
      <c r="Y223" s="42" t="s">
        <v>1388</v>
      </c>
      <c r="AA223" s="321"/>
      <c r="AB223" s="321"/>
      <c r="AC223" s="24" t="s">
        <v>450</v>
      </c>
      <c r="AG223" s="24" t="s">
        <v>1317</v>
      </c>
      <c r="AH223" s="24" t="s">
        <v>131</v>
      </c>
      <c r="AI223" s="138" t="s">
        <v>131</v>
      </c>
      <c r="AJ223" s="24" t="s">
        <v>132</v>
      </c>
      <c r="AK223" s="140" t="s">
        <v>132</v>
      </c>
      <c r="AO223" s="24" t="s">
        <v>218</v>
      </c>
      <c r="AP223" s="24" t="s">
        <v>218</v>
      </c>
      <c r="AQ223" s="24" t="s">
        <v>2126</v>
      </c>
      <c r="AR223" s="24" t="s">
        <v>2126</v>
      </c>
      <c r="AS223" s="24" t="s">
        <v>177</v>
      </c>
      <c r="AT223" s="24" t="s">
        <v>304</v>
      </c>
      <c r="AU223" s="24" t="s">
        <v>304</v>
      </c>
      <c r="AV223" s="24" t="s">
        <v>177</v>
      </c>
      <c r="AX223" s="24">
        <v>4</v>
      </c>
      <c r="AZ223" s="24" t="s">
        <v>174</v>
      </c>
      <c r="BB223" s="24">
        <v>1568</v>
      </c>
      <c r="BD223" s="53"/>
      <c r="BE223" s="24" t="s">
        <v>305</v>
      </c>
      <c r="BK223" s="24">
        <f>9.94*1000</f>
        <v>9940</v>
      </c>
      <c r="BL223" s="24">
        <f>9.97*1000</f>
        <v>9970</v>
      </c>
      <c r="BP223" s="395"/>
      <c r="BQ223" s="395"/>
      <c r="BU223" s="395"/>
      <c r="BV223" s="395"/>
      <c r="BZ223" s="395"/>
      <c r="CA223" s="395"/>
      <c r="CE223" s="548"/>
      <c r="CF223" s="548"/>
      <c r="CG223" s="548"/>
      <c r="CH223" s="548"/>
      <c r="FV223" s="24">
        <f>8.8*10</f>
        <v>88</v>
      </c>
      <c r="FW223" s="24">
        <f>8.9*10</f>
        <v>89</v>
      </c>
      <c r="FZ223" s="24" t="s">
        <v>1690</v>
      </c>
      <c r="GZ223" s="12"/>
      <c r="HD223" s="12"/>
    </row>
    <row r="224" spans="1:262" s="24" customFormat="1" x14ac:dyDescent="0.25">
      <c r="A224" s="24">
        <v>15</v>
      </c>
      <c r="B224" s="42" t="s">
        <v>3832</v>
      </c>
      <c r="C224" s="24" t="s">
        <v>300</v>
      </c>
      <c r="D224" s="24" t="s">
        <v>301</v>
      </c>
      <c r="E224" s="24">
        <v>2005</v>
      </c>
      <c r="F224" s="24">
        <v>2003</v>
      </c>
      <c r="G224" s="24" t="s">
        <v>302</v>
      </c>
      <c r="H224" s="24" t="s">
        <v>303</v>
      </c>
      <c r="I224" s="24" t="s">
        <v>2815</v>
      </c>
      <c r="J224" s="24">
        <f>40+44/60</f>
        <v>40.733333333333334</v>
      </c>
      <c r="K224" s="24">
        <f>-77-57/60</f>
        <v>-77.95</v>
      </c>
      <c r="L224" s="24">
        <v>375.2</v>
      </c>
      <c r="R224" s="42">
        <v>3</v>
      </c>
      <c r="S224" s="42" t="s">
        <v>1728</v>
      </c>
      <c r="T224" s="42"/>
      <c r="U224" s="42" t="s">
        <v>1864</v>
      </c>
      <c r="V224" s="42" t="s">
        <v>1388</v>
      </c>
      <c r="W224" s="42" t="s">
        <v>1719</v>
      </c>
      <c r="X224" s="42" t="s">
        <v>1388</v>
      </c>
      <c r="Y224" s="42" t="s">
        <v>1388</v>
      </c>
      <c r="AA224" s="321"/>
      <c r="AB224" s="321"/>
      <c r="AC224" s="24" t="s">
        <v>450</v>
      </c>
      <c r="AG224" s="24" t="s">
        <v>1317</v>
      </c>
      <c r="AH224" s="24" t="s">
        <v>131</v>
      </c>
      <c r="AI224" s="138" t="s">
        <v>131</v>
      </c>
      <c r="AJ224" s="24" t="s">
        <v>132</v>
      </c>
      <c r="AK224" s="140" t="s">
        <v>132</v>
      </c>
      <c r="AO224" s="24" t="s">
        <v>218</v>
      </c>
      <c r="AP224" s="24" t="s">
        <v>218</v>
      </c>
      <c r="AQ224" s="24" t="s">
        <v>2126</v>
      </c>
      <c r="AR224" s="24" t="s">
        <v>2126</v>
      </c>
      <c r="AS224" s="24" t="s">
        <v>177</v>
      </c>
      <c r="AT224" s="24" t="s">
        <v>304</v>
      </c>
      <c r="AU224" s="24" t="s">
        <v>304</v>
      </c>
      <c r="AV224" s="24" t="s">
        <v>177</v>
      </c>
      <c r="AX224" s="24">
        <v>4</v>
      </c>
      <c r="AZ224" s="24" t="s">
        <v>174</v>
      </c>
      <c r="BB224" s="24">
        <v>7075</v>
      </c>
      <c r="BD224" s="53"/>
      <c r="BE224" s="24" t="s">
        <v>306</v>
      </c>
      <c r="BK224" s="24">
        <f>8.81*1000</f>
        <v>8810</v>
      </c>
      <c r="BL224" s="24">
        <f>9.69*1000</f>
        <v>9690</v>
      </c>
      <c r="BP224" s="395"/>
      <c r="BQ224" s="395"/>
      <c r="BU224" s="395"/>
      <c r="BV224" s="395"/>
      <c r="BZ224" s="395"/>
      <c r="CA224" s="395"/>
      <c r="CE224" s="548"/>
      <c r="CF224" s="548"/>
      <c r="CG224" s="548"/>
      <c r="CH224" s="548"/>
      <c r="FV224" s="24">
        <f>11.8*10</f>
        <v>118</v>
      </c>
      <c r="FW224" s="24">
        <f>7.6*10</f>
        <v>76</v>
      </c>
      <c r="FZ224" s="24" t="s">
        <v>1690</v>
      </c>
      <c r="GZ224" s="12"/>
      <c r="HD224" s="12"/>
    </row>
    <row r="225" spans="1:262" s="33" customFormat="1" x14ac:dyDescent="0.25">
      <c r="A225" s="33">
        <v>16</v>
      </c>
      <c r="B225" s="47" t="s">
        <v>3833</v>
      </c>
      <c r="C225" s="33" t="s">
        <v>307</v>
      </c>
      <c r="D225" s="33" t="s">
        <v>308</v>
      </c>
      <c r="E225" s="33">
        <v>1998</v>
      </c>
      <c r="F225" s="33">
        <v>1996</v>
      </c>
      <c r="G225" s="33" t="s">
        <v>309</v>
      </c>
      <c r="H225" s="33" t="s">
        <v>310</v>
      </c>
      <c r="I225" s="33" t="s">
        <v>2815</v>
      </c>
      <c r="J225" s="33">
        <v>37.200000000000003</v>
      </c>
      <c r="K225" s="33">
        <v>-80.56</v>
      </c>
      <c r="L225" s="33">
        <v>505</v>
      </c>
      <c r="R225" s="47"/>
      <c r="S225" s="47"/>
      <c r="T225" s="47"/>
      <c r="U225" s="47"/>
      <c r="V225" s="47" t="s">
        <v>1382</v>
      </c>
      <c r="W225" s="47" t="s">
        <v>1717</v>
      </c>
      <c r="X225" s="47" t="s">
        <v>1382</v>
      </c>
      <c r="Y225" s="47" t="s">
        <v>1382</v>
      </c>
      <c r="Z225" s="33">
        <f>(1.76+1.67)/2</f>
        <v>1.7149999999999999</v>
      </c>
      <c r="AA225" s="327"/>
      <c r="AB225" s="327"/>
      <c r="AC225" s="33" t="s">
        <v>450</v>
      </c>
      <c r="AG225" s="33" t="s">
        <v>1318</v>
      </c>
      <c r="AH225" s="33" t="s">
        <v>1516</v>
      </c>
      <c r="AI225" s="138" t="s">
        <v>131</v>
      </c>
      <c r="AJ225" s="33" t="s">
        <v>229</v>
      </c>
      <c r="AK225" s="141" t="s">
        <v>229</v>
      </c>
      <c r="AO225" s="33" t="s">
        <v>311</v>
      </c>
      <c r="AP225" s="33" t="s">
        <v>311</v>
      </c>
      <c r="AQ225" s="33" t="s">
        <v>2125</v>
      </c>
      <c r="AR225" s="33" t="s">
        <v>2125</v>
      </c>
      <c r="AS225" s="33" t="s">
        <v>177</v>
      </c>
      <c r="AT225" s="33" t="s">
        <v>312</v>
      </c>
      <c r="AU225" s="33" t="s">
        <v>312</v>
      </c>
      <c r="AW225" s="33" t="s">
        <v>313</v>
      </c>
      <c r="AX225" s="33">
        <v>4</v>
      </c>
      <c r="AZ225" s="33" t="s">
        <v>141</v>
      </c>
      <c r="BD225" s="54"/>
      <c r="BE225" s="33" t="s">
        <v>315</v>
      </c>
      <c r="BP225" s="402">
        <f>(1.23+1.37+1.44+1.46)/4</f>
        <v>1.375</v>
      </c>
      <c r="BQ225" s="402">
        <f>(1.25+1.33+1.37+1.41)/4</f>
        <v>1.34</v>
      </c>
      <c r="BU225" s="402"/>
      <c r="BV225" s="402"/>
      <c r="BZ225" s="402"/>
      <c r="CA225" s="402"/>
      <c r="CE225" s="555"/>
      <c r="CF225" s="555"/>
      <c r="CG225" s="555"/>
      <c r="CH225" s="555"/>
      <c r="DX225" s="33">
        <f>(24.4+14.9+11.6+10.4)/4</f>
        <v>15.324999999999999</v>
      </c>
      <c r="DY225" s="33">
        <f>(22.9+17.1+13.9+12.2)/4</f>
        <v>16.524999999999999</v>
      </c>
      <c r="EB225" s="33" t="s">
        <v>314</v>
      </c>
      <c r="EM225" s="33">
        <f>(76+22.2+2+1.5)/4</f>
        <v>25.425000000000001</v>
      </c>
      <c r="EN225" s="33">
        <f>(92.9+24.3+8.3+5.4)/4</f>
        <v>32.725000000000001</v>
      </c>
      <c r="FL225" s="33">
        <f>(16+18)/2/100</f>
        <v>0.17</v>
      </c>
      <c r="FM225" s="33">
        <f>(14.8+18.8)/2/100</f>
        <v>0.16800000000000001</v>
      </c>
      <c r="GZ225" s="12"/>
      <c r="HD225" s="12"/>
      <c r="JB225" s="33" t="s">
        <v>859</v>
      </c>
    </row>
    <row r="226" spans="1:262" s="33" customFormat="1" x14ac:dyDescent="0.25">
      <c r="A226" s="33">
        <v>16</v>
      </c>
      <c r="B226" s="47" t="s">
        <v>3833</v>
      </c>
      <c r="C226" s="33" t="s">
        <v>307</v>
      </c>
      <c r="D226" s="33" t="s">
        <v>308</v>
      </c>
      <c r="E226" s="33">
        <v>1998</v>
      </c>
      <c r="F226" s="33">
        <v>1996</v>
      </c>
      <c r="G226" s="33" t="s">
        <v>309</v>
      </c>
      <c r="H226" s="33" t="s">
        <v>310</v>
      </c>
      <c r="I226" s="33" t="s">
        <v>2815</v>
      </c>
      <c r="J226" s="33">
        <v>37.200000000000003</v>
      </c>
      <c r="K226" s="33">
        <v>-80.56</v>
      </c>
      <c r="L226" s="33">
        <v>505</v>
      </c>
      <c r="R226" s="47"/>
      <c r="S226" s="47"/>
      <c r="T226" s="47"/>
      <c r="U226" s="47"/>
      <c r="V226" s="47" t="s">
        <v>1382</v>
      </c>
      <c r="W226" s="47" t="s">
        <v>1717</v>
      </c>
      <c r="X226" s="47" t="s">
        <v>1382</v>
      </c>
      <c r="Y226" s="47" t="s">
        <v>1382</v>
      </c>
      <c r="Z226" s="33">
        <f t="shared" ref="Z226:Z227" si="37">(1.76+1.67)/2</f>
        <v>1.7149999999999999</v>
      </c>
      <c r="AA226" s="327"/>
      <c r="AB226" s="327"/>
      <c r="AC226" s="33" t="s">
        <v>450</v>
      </c>
      <c r="AG226" s="33" t="s">
        <v>1318</v>
      </c>
      <c r="AH226" s="33" t="s">
        <v>1528</v>
      </c>
      <c r="AI226" s="138" t="s">
        <v>131</v>
      </c>
      <c r="AJ226" s="33" t="s">
        <v>229</v>
      </c>
      <c r="AK226" s="141" t="s">
        <v>229</v>
      </c>
      <c r="AO226" s="33" t="s">
        <v>311</v>
      </c>
      <c r="AP226" s="33" t="s">
        <v>311</v>
      </c>
      <c r="AQ226" s="33" t="s">
        <v>2125</v>
      </c>
      <c r="AR226" s="33" t="s">
        <v>2125</v>
      </c>
      <c r="AS226" s="33" t="s">
        <v>177</v>
      </c>
      <c r="AT226" s="33" t="s">
        <v>312</v>
      </c>
      <c r="AU226" s="33" t="s">
        <v>312</v>
      </c>
      <c r="AW226" s="33" t="s">
        <v>313</v>
      </c>
      <c r="AX226" s="33">
        <v>4</v>
      </c>
      <c r="AZ226" s="33" t="s">
        <v>141</v>
      </c>
      <c r="BD226" s="54"/>
      <c r="BE226" s="33" t="s">
        <v>315</v>
      </c>
      <c r="BP226" s="402">
        <f t="shared" ref="BP226:BP227" si="38">(1.23+1.37+1.44+1.46)/4</f>
        <v>1.375</v>
      </c>
      <c r="BQ226" s="402">
        <f>(1.29+1.36+1.4+1.41)/4</f>
        <v>1.3650000000000002</v>
      </c>
      <c r="BU226" s="402"/>
      <c r="BV226" s="402"/>
      <c r="BZ226" s="402"/>
      <c r="CA226" s="402"/>
      <c r="CE226" s="555"/>
      <c r="CF226" s="555"/>
      <c r="CG226" s="555"/>
      <c r="CH226" s="555"/>
      <c r="DX226" s="33">
        <f t="shared" ref="DX226:DX227" si="39">(24.4+14.9+11.6+10.4)/4</f>
        <v>15.324999999999999</v>
      </c>
      <c r="DY226" s="33">
        <f>(19.3+16.2+12.8+12.3)/4</f>
        <v>15.149999999999999</v>
      </c>
      <c r="EB226" s="33" t="s">
        <v>314</v>
      </c>
      <c r="EM226" s="33">
        <f t="shared" ref="EM226:EM227" si="40">(76+22.2+2+1.5)/4</f>
        <v>25.425000000000001</v>
      </c>
      <c r="EN226" s="33">
        <f>(38.5+15.8+4.9+4.1)/4</f>
        <v>15.824999999999999</v>
      </c>
      <c r="FL226" s="33">
        <f t="shared" ref="FL226:FL227" si="41">(16+18)/2/100</f>
        <v>0.17</v>
      </c>
      <c r="FM226" s="33">
        <f>(12.1+16.6)/2/100</f>
        <v>0.14350000000000002</v>
      </c>
      <c r="GZ226" s="12"/>
      <c r="HD226" s="12"/>
      <c r="JB226" s="33" t="s">
        <v>859</v>
      </c>
    </row>
    <row r="227" spans="1:262" s="33" customFormat="1" x14ac:dyDescent="0.25">
      <c r="A227" s="33">
        <v>16</v>
      </c>
      <c r="B227" s="47" t="s">
        <v>3833</v>
      </c>
      <c r="C227" s="33" t="s">
        <v>307</v>
      </c>
      <c r="D227" s="33" t="s">
        <v>308</v>
      </c>
      <c r="E227" s="33">
        <v>1998</v>
      </c>
      <c r="F227" s="33">
        <v>1996</v>
      </c>
      <c r="G227" s="33" t="s">
        <v>309</v>
      </c>
      <c r="H227" s="33" t="s">
        <v>310</v>
      </c>
      <c r="I227" s="33" t="s">
        <v>2815</v>
      </c>
      <c r="J227" s="33">
        <v>37.200000000000003</v>
      </c>
      <c r="K227" s="33">
        <v>-80.56</v>
      </c>
      <c r="L227" s="33">
        <v>505</v>
      </c>
      <c r="R227" s="47"/>
      <c r="S227" s="47"/>
      <c r="T227" s="47"/>
      <c r="U227" s="47"/>
      <c r="V227" s="47" t="s">
        <v>1382</v>
      </c>
      <c r="W227" s="47" t="s">
        <v>1717</v>
      </c>
      <c r="X227" s="47" t="s">
        <v>1382</v>
      </c>
      <c r="Y227" s="47" t="s">
        <v>1382</v>
      </c>
      <c r="Z227" s="33">
        <f t="shared" si="37"/>
        <v>1.7149999999999999</v>
      </c>
      <c r="AA227" s="327"/>
      <c r="AB227" s="327"/>
      <c r="AC227" s="33" t="s">
        <v>450</v>
      </c>
      <c r="AG227" s="33" t="s">
        <v>1318</v>
      </c>
      <c r="AH227" s="33" t="s">
        <v>1529</v>
      </c>
      <c r="AI227" s="138" t="s">
        <v>131</v>
      </c>
      <c r="AJ227" s="33" t="s">
        <v>229</v>
      </c>
      <c r="AK227" s="141" t="s">
        <v>229</v>
      </c>
      <c r="AO227" s="33" t="s">
        <v>311</v>
      </c>
      <c r="AP227" s="33" t="s">
        <v>311</v>
      </c>
      <c r="AQ227" s="33" t="s">
        <v>2125</v>
      </c>
      <c r="AR227" s="33" t="s">
        <v>2125</v>
      </c>
      <c r="AS227" s="33" t="s">
        <v>177</v>
      </c>
      <c r="AT227" s="33" t="s">
        <v>312</v>
      </c>
      <c r="AU227" s="33" t="s">
        <v>312</v>
      </c>
      <c r="AW227" s="33" t="s">
        <v>313</v>
      </c>
      <c r="AX227" s="33">
        <v>4</v>
      </c>
      <c r="AZ227" s="33" t="s">
        <v>141</v>
      </c>
      <c r="BD227" s="54"/>
      <c r="BE227" s="33" t="s">
        <v>315</v>
      </c>
      <c r="BP227" s="402">
        <f t="shared" si="38"/>
        <v>1.375</v>
      </c>
      <c r="BQ227" s="402">
        <f>(1.31+1.34+1.36+1.4)/4</f>
        <v>1.3525</v>
      </c>
      <c r="BU227" s="402"/>
      <c r="BV227" s="402"/>
      <c r="BZ227" s="402"/>
      <c r="CA227" s="402"/>
      <c r="CE227" s="555"/>
      <c r="CF227" s="555"/>
      <c r="CG227" s="555"/>
      <c r="CH227" s="555"/>
      <c r="DX227" s="33">
        <f t="shared" si="39"/>
        <v>15.324999999999999</v>
      </c>
      <c r="DY227" s="33">
        <f>(18.8+16.4+15.7+13.9)/4</f>
        <v>16.200000000000003</v>
      </c>
      <c r="EB227" s="33" t="s">
        <v>314</v>
      </c>
      <c r="EM227" s="33">
        <f t="shared" si="40"/>
        <v>25.425000000000001</v>
      </c>
      <c r="EN227" s="33">
        <f>(34.8+15.1+9.1+6.5)/4</f>
        <v>16.375</v>
      </c>
      <c r="FL227" s="33">
        <f t="shared" si="41"/>
        <v>0.17</v>
      </c>
      <c r="FM227" s="33">
        <f>(13+16.2)/2/100</f>
        <v>0.14599999999999999</v>
      </c>
      <c r="GZ227" s="12"/>
      <c r="HD227" s="12"/>
      <c r="JB227" s="33" t="s">
        <v>859</v>
      </c>
    </row>
    <row r="228" spans="1:262" s="32" customFormat="1" x14ac:dyDescent="0.25">
      <c r="A228" s="32">
        <v>17</v>
      </c>
      <c r="B228" s="44" t="s">
        <v>3834</v>
      </c>
      <c r="C228" s="32" t="s">
        <v>316</v>
      </c>
      <c r="D228" s="32" t="s">
        <v>317</v>
      </c>
      <c r="E228" s="32">
        <v>2016</v>
      </c>
      <c r="F228" s="32">
        <v>2011</v>
      </c>
      <c r="G228" s="32" t="s">
        <v>302</v>
      </c>
      <c r="H228" s="32" t="s">
        <v>318</v>
      </c>
      <c r="I228" s="32" t="s">
        <v>2815</v>
      </c>
      <c r="J228" s="32">
        <f t="shared" ref="J228:J261" si="42">40+43/60</f>
        <v>40.716666666666669</v>
      </c>
      <c r="K228" s="32">
        <f t="shared" ref="K228:K261" si="43">-77-55/60</f>
        <v>-77.916666666666671</v>
      </c>
      <c r="L228" s="32">
        <v>350</v>
      </c>
      <c r="P228" s="32">
        <v>975</v>
      </c>
      <c r="R228" s="44">
        <v>1</v>
      </c>
      <c r="S228" s="44" t="s">
        <v>1847</v>
      </c>
      <c r="T228" s="44"/>
      <c r="U228" s="44" t="s">
        <v>1865</v>
      </c>
      <c r="V228" s="44" t="s">
        <v>1389</v>
      </c>
      <c r="W228" s="44" t="s">
        <v>1720</v>
      </c>
      <c r="X228" s="44" t="s">
        <v>1389</v>
      </c>
      <c r="Y228" s="44" t="s">
        <v>1389</v>
      </c>
      <c r="AA228" s="323"/>
      <c r="AB228" s="323"/>
      <c r="AC228" s="32" t="s">
        <v>450</v>
      </c>
      <c r="AG228" s="32" t="s">
        <v>1319</v>
      </c>
      <c r="AH228" s="32" t="s">
        <v>1530</v>
      </c>
      <c r="AI228" s="138" t="s">
        <v>577</v>
      </c>
      <c r="AJ228" s="32" t="s">
        <v>132</v>
      </c>
      <c r="AK228" s="140" t="s">
        <v>1620</v>
      </c>
      <c r="AL228" s="32" t="s">
        <v>319</v>
      </c>
      <c r="AM228" s="32" t="s">
        <v>319</v>
      </c>
      <c r="AN228" s="32" t="s">
        <v>177</v>
      </c>
      <c r="AT228" s="32" t="s">
        <v>320</v>
      </c>
      <c r="AU228" s="32" t="s">
        <v>320</v>
      </c>
      <c r="AV228" s="32" t="s">
        <v>177</v>
      </c>
      <c r="AW228" s="32" t="s">
        <v>160</v>
      </c>
      <c r="AX228" s="32">
        <v>4</v>
      </c>
      <c r="AZ228" s="32" t="s">
        <v>141</v>
      </c>
      <c r="BB228" s="32">
        <v>61</v>
      </c>
      <c r="BC228" s="32">
        <v>9.3000000000000007</v>
      </c>
      <c r="BD228" s="53"/>
      <c r="BK228" s="32">
        <v>6975</v>
      </c>
      <c r="BL228" s="32">
        <v>6876</v>
      </c>
      <c r="BP228" s="397"/>
      <c r="BQ228" s="397"/>
      <c r="BU228" s="397"/>
      <c r="BV228" s="397"/>
      <c r="BZ228" s="397"/>
      <c r="CA228" s="397"/>
      <c r="CE228" s="550"/>
      <c r="CF228" s="550"/>
      <c r="CG228" s="550"/>
      <c r="CH228" s="550"/>
      <c r="CJ228" s="32">
        <f>13.25*0.614</f>
        <v>8.1355000000000004</v>
      </c>
      <c r="CK228" s="32">
        <v>8.64</v>
      </c>
      <c r="CN228" s="32" t="s">
        <v>348</v>
      </c>
      <c r="CS228" s="32" t="s">
        <v>349</v>
      </c>
      <c r="FB228" s="32">
        <v>48.16</v>
      </c>
      <c r="FC228" s="32">
        <v>42.8294</v>
      </c>
      <c r="FF228" s="32" t="s">
        <v>323</v>
      </c>
      <c r="FV228" s="32">
        <v>2820.6</v>
      </c>
      <c r="FW228" s="32">
        <v>3011.35</v>
      </c>
      <c r="FX228" s="32">
        <f t="shared" ref="FX228:FY228" si="44">(2964.03-2820.6)*SQRT(4)</f>
        <v>286.86000000000058</v>
      </c>
      <c r="FY228" s="32">
        <f t="shared" si="44"/>
        <v>286.86000000000058</v>
      </c>
      <c r="FZ228" s="32" t="s">
        <v>1842</v>
      </c>
      <c r="GZ228" s="12"/>
      <c r="HD228" s="12"/>
      <c r="JB228" s="32" t="s">
        <v>349</v>
      </c>
    </row>
    <row r="229" spans="1:262" s="32" customFormat="1" x14ac:dyDescent="0.25">
      <c r="A229" s="32">
        <v>17</v>
      </c>
      <c r="B229" s="44" t="s">
        <v>3834</v>
      </c>
      <c r="C229" s="32" t="s">
        <v>316</v>
      </c>
      <c r="D229" s="32" t="s">
        <v>317</v>
      </c>
      <c r="E229" s="32">
        <v>2016</v>
      </c>
      <c r="F229" s="32">
        <v>2011</v>
      </c>
      <c r="G229" s="32" t="s">
        <v>302</v>
      </c>
      <c r="H229" s="32" t="s">
        <v>318</v>
      </c>
      <c r="I229" s="32" t="s">
        <v>2815</v>
      </c>
      <c r="J229" s="32">
        <f t="shared" si="42"/>
        <v>40.716666666666669</v>
      </c>
      <c r="K229" s="32">
        <f t="shared" si="43"/>
        <v>-77.916666666666671</v>
      </c>
      <c r="L229" s="32">
        <v>350</v>
      </c>
      <c r="P229" s="32">
        <v>975</v>
      </c>
      <c r="R229" s="44">
        <v>1</v>
      </c>
      <c r="S229" s="44" t="s">
        <v>1847</v>
      </c>
      <c r="T229" s="44"/>
      <c r="U229" s="44" t="s">
        <v>1865</v>
      </c>
      <c r="V229" s="44" t="s">
        <v>1389</v>
      </c>
      <c r="W229" s="44" t="s">
        <v>1720</v>
      </c>
      <c r="X229" s="44" t="s">
        <v>1389</v>
      </c>
      <c r="Y229" s="44" t="s">
        <v>1389</v>
      </c>
      <c r="AA229" s="323"/>
      <c r="AB229" s="323"/>
      <c r="AC229" s="32" t="s">
        <v>450</v>
      </c>
      <c r="AG229" s="32" t="s">
        <v>1319</v>
      </c>
      <c r="AH229" s="32" t="s">
        <v>1152</v>
      </c>
      <c r="AI229" s="138" t="s">
        <v>577</v>
      </c>
      <c r="AJ229" s="32" t="s">
        <v>132</v>
      </c>
      <c r="AK229" s="140" t="s">
        <v>1620</v>
      </c>
      <c r="AL229" s="32" t="s">
        <v>319</v>
      </c>
      <c r="AM229" s="32" t="s">
        <v>319</v>
      </c>
      <c r="AN229" s="32" t="s">
        <v>177</v>
      </c>
      <c r="AT229" s="32" t="s">
        <v>320</v>
      </c>
      <c r="AU229" s="32" t="s">
        <v>320</v>
      </c>
      <c r="AV229" s="32" t="s">
        <v>177</v>
      </c>
      <c r="AW229" s="32" t="s">
        <v>160</v>
      </c>
      <c r="AX229" s="32">
        <v>4</v>
      </c>
      <c r="AZ229" s="32" t="s">
        <v>141</v>
      </c>
      <c r="BB229" s="32">
        <v>418</v>
      </c>
      <c r="BC229" s="32">
        <v>9.5</v>
      </c>
      <c r="BD229" s="53"/>
      <c r="BK229" s="32">
        <v>6975</v>
      </c>
      <c r="BL229" s="32">
        <v>6678</v>
      </c>
      <c r="BP229" s="397"/>
      <c r="BQ229" s="397"/>
      <c r="BU229" s="397"/>
      <c r="BV229" s="397"/>
      <c r="BZ229" s="397"/>
      <c r="CA229" s="397"/>
      <c r="CE229" s="550"/>
      <c r="CF229" s="550"/>
      <c r="CG229" s="550"/>
      <c r="CH229" s="550"/>
      <c r="CJ229" s="32">
        <f t="shared" ref="CJ229:CJ243" si="45">13.25*0.614</f>
        <v>8.1355000000000004</v>
      </c>
      <c r="CK229" s="32">
        <v>8.43</v>
      </c>
      <c r="CN229" s="32" t="s">
        <v>348</v>
      </c>
      <c r="CS229" s="32" t="s">
        <v>349</v>
      </c>
      <c r="FB229" s="32">
        <v>48.16</v>
      </c>
      <c r="FC229" s="32">
        <v>35.291600000000003</v>
      </c>
      <c r="FF229" s="32" t="s">
        <v>323</v>
      </c>
      <c r="FV229" s="32">
        <v>2820.6</v>
      </c>
      <c r="FW229" s="32">
        <v>2322.3200000000002</v>
      </c>
      <c r="FX229" s="32">
        <f t="shared" ref="FX229:FY244" si="46">(2964.03-2820.6)*SQRT(4)</f>
        <v>286.86000000000058</v>
      </c>
      <c r="FY229" s="32">
        <f t="shared" si="46"/>
        <v>286.86000000000058</v>
      </c>
      <c r="FZ229" s="32" t="s">
        <v>1842</v>
      </c>
      <c r="GZ229" s="12"/>
      <c r="HD229" s="12"/>
      <c r="JB229" s="32" t="s">
        <v>349</v>
      </c>
    </row>
    <row r="230" spans="1:262" s="32" customFormat="1" x14ac:dyDescent="0.25">
      <c r="A230" s="32">
        <v>17</v>
      </c>
      <c r="B230" s="44" t="s">
        <v>3834</v>
      </c>
      <c r="C230" s="32" t="s">
        <v>316</v>
      </c>
      <c r="D230" s="32" t="s">
        <v>317</v>
      </c>
      <c r="E230" s="32">
        <v>2016</v>
      </c>
      <c r="F230" s="32">
        <v>2011</v>
      </c>
      <c r="G230" s="32" t="s">
        <v>302</v>
      </c>
      <c r="H230" s="32" t="s">
        <v>318</v>
      </c>
      <c r="I230" s="32" t="s">
        <v>2815</v>
      </c>
      <c r="J230" s="32">
        <f t="shared" si="42"/>
        <v>40.716666666666669</v>
      </c>
      <c r="K230" s="32">
        <f t="shared" si="43"/>
        <v>-77.916666666666671</v>
      </c>
      <c r="L230" s="32">
        <v>350</v>
      </c>
      <c r="P230" s="32">
        <v>975</v>
      </c>
      <c r="R230" s="44">
        <v>1</v>
      </c>
      <c r="S230" s="44" t="s">
        <v>1847</v>
      </c>
      <c r="T230" s="44"/>
      <c r="U230" s="44" t="s">
        <v>1865</v>
      </c>
      <c r="V230" s="44" t="s">
        <v>1389</v>
      </c>
      <c r="W230" s="44" t="s">
        <v>1720</v>
      </c>
      <c r="X230" s="44" t="s">
        <v>1389</v>
      </c>
      <c r="Y230" s="44" t="s">
        <v>1389</v>
      </c>
      <c r="AA230" s="323"/>
      <c r="AB230" s="323"/>
      <c r="AC230" s="32" t="s">
        <v>450</v>
      </c>
      <c r="AG230" s="32" t="s">
        <v>1319</v>
      </c>
      <c r="AH230" s="32" t="s">
        <v>1531</v>
      </c>
      <c r="AI230" s="138" t="s">
        <v>577</v>
      </c>
      <c r="AJ230" s="32" t="s">
        <v>132</v>
      </c>
      <c r="AK230" s="140" t="s">
        <v>1620</v>
      </c>
      <c r="AL230" s="32" t="s">
        <v>319</v>
      </c>
      <c r="AM230" s="32" t="s">
        <v>319</v>
      </c>
      <c r="AN230" s="32" t="s">
        <v>177</v>
      </c>
      <c r="AT230" s="32" t="s">
        <v>320</v>
      </c>
      <c r="AU230" s="32" t="s">
        <v>320</v>
      </c>
      <c r="AV230" s="32" t="s">
        <v>177</v>
      </c>
      <c r="AW230" s="32" t="s">
        <v>160</v>
      </c>
      <c r="AX230" s="32">
        <v>4</v>
      </c>
      <c r="AZ230" s="32" t="s">
        <v>141</v>
      </c>
      <c r="BB230" s="32">
        <v>4045</v>
      </c>
      <c r="BC230" s="32">
        <v>10.3</v>
      </c>
      <c r="BD230" s="53"/>
      <c r="BK230" s="32">
        <v>6975</v>
      </c>
      <c r="BL230" s="32">
        <v>9653</v>
      </c>
      <c r="BP230" s="397"/>
      <c r="BQ230" s="397"/>
      <c r="BU230" s="397"/>
      <c r="BV230" s="397"/>
      <c r="BZ230" s="397"/>
      <c r="CA230" s="397"/>
      <c r="CE230" s="550"/>
      <c r="CF230" s="550"/>
      <c r="CG230" s="550"/>
      <c r="CH230" s="550"/>
      <c r="CJ230" s="32">
        <f t="shared" si="45"/>
        <v>8.1355000000000004</v>
      </c>
      <c r="CK230" s="32">
        <v>18.399999999999999</v>
      </c>
      <c r="CN230" s="32" t="s">
        <v>348</v>
      </c>
      <c r="CS230" s="32" t="s">
        <v>349</v>
      </c>
      <c r="FB230" s="32">
        <v>48.16</v>
      </c>
      <c r="FC230" s="32">
        <v>33.94</v>
      </c>
      <c r="FF230" s="32" t="s">
        <v>323</v>
      </c>
      <c r="FV230" s="32">
        <v>2820.6</v>
      </c>
      <c r="FW230" s="32">
        <v>992.58</v>
      </c>
      <c r="FX230" s="32">
        <f t="shared" si="46"/>
        <v>286.86000000000058</v>
      </c>
      <c r="FY230" s="32">
        <f t="shared" si="46"/>
        <v>286.86000000000058</v>
      </c>
      <c r="FZ230" s="32" t="s">
        <v>1842</v>
      </c>
      <c r="GZ230" s="12"/>
      <c r="HD230" s="12"/>
      <c r="JB230" s="32" t="s">
        <v>349</v>
      </c>
    </row>
    <row r="231" spans="1:262" s="32" customFormat="1" x14ac:dyDescent="0.25">
      <c r="A231" s="32">
        <v>17</v>
      </c>
      <c r="B231" s="44" t="s">
        <v>3834</v>
      </c>
      <c r="C231" s="32" t="s">
        <v>316</v>
      </c>
      <c r="D231" s="32" t="s">
        <v>317</v>
      </c>
      <c r="E231" s="32">
        <v>2016</v>
      </c>
      <c r="F231" s="32">
        <v>2011</v>
      </c>
      <c r="G231" s="32" t="s">
        <v>302</v>
      </c>
      <c r="H231" s="32" t="s">
        <v>318</v>
      </c>
      <c r="I231" s="32" t="s">
        <v>2815</v>
      </c>
      <c r="J231" s="32">
        <f t="shared" si="42"/>
        <v>40.716666666666669</v>
      </c>
      <c r="K231" s="32">
        <f t="shared" si="43"/>
        <v>-77.916666666666671</v>
      </c>
      <c r="L231" s="32">
        <v>350</v>
      </c>
      <c r="P231" s="32">
        <v>975</v>
      </c>
      <c r="R231" s="44">
        <v>1</v>
      </c>
      <c r="S231" s="44" t="s">
        <v>1847</v>
      </c>
      <c r="T231" s="44"/>
      <c r="U231" s="44" t="s">
        <v>1865</v>
      </c>
      <c r="V231" s="44" t="s">
        <v>1389</v>
      </c>
      <c r="W231" s="44" t="s">
        <v>1720</v>
      </c>
      <c r="X231" s="44" t="s">
        <v>1389</v>
      </c>
      <c r="Y231" s="44" t="s">
        <v>1389</v>
      </c>
      <c r="AA231" s="323"/>
      <c r="AB231" s="323"/>
      <c r="AC231" s="32" t="s">
        <v>450</v>
      </c>
      <c r="AG231" s="32" t="s">
        <v>1319</v>
      </c>
      <c r="AH231" s="32" t="s">
        <v>243</v>
      </c>
      <c r="AI231" s="138" t="s">
        <v>577</v>
      </c>
      <c r="AJ231" s="32" t="s">
        <v>132</v>
      </c>
      <c r="AK231" s="140" t="s">
        <v>1620</v>
      </c>
      <c r="AL231" s="32" t="s">
        <v>319</v>
      </c>
      <c r="AM231" s="32" t="s">
        <v>319</v>
      </c>
      <c r="AN231" s="32" t="s">
        <v>177</v>
      </c>
      <c r="AT231" s="32" t="s">
        <v>320</v>
      </c>
      <c r="AU231" s="32" t="s">
        <v>320</v>
      </c>
      <c r="AV231" s="32" t="s">
        <v>177</v>
      </c>
      <c r="AW231" s="32" t="s">
        <v>160</v>
      </c>
      <c r="AX231" s="32">
        <v>4</v>
      </c>
      <c r="AZ231" s="32" t="s">
        <v>141</v>
      </c>
      <c r="BB231" s="32">
        <v>4531</v>
      </c>
      <c r="BC231" s="32">
        <v>9</v>
      </c>
      <c r="BD231" s="53"/>
      <c r="BK231" s="32">
        <v>6975</v>
      </c>
      <c r="BL231" s="32">
        <v>9884</v>
      </c>
      <c r="BP231" s="397"/>
      <c r="BQ231" s="397"/>
      <c r="BU231" s="397"/>
      <c r="BV231" s="397"/>
      <c r="BZ231" s="397"/>
      <c r="CA231" s="397"/>
      <c r="CE231" s="550"/>
      <c r="CF231" s="550"/>
      <c r="CG231" s="550"/>
      <c r="CH231" s="550"/>
      <c r="CJ231" s="32">
        <f t="shared" si="45"/>
        <v>8.1355000000000004</v>
      </c>
      <c r="CK231" s="32">
        <v>27.04</v>
      </c>
      <c r="CN231" s="32" t="s">
        <v>348</v>
      </c>
      <c r="CS231" s="32" t="s">
        <v>349</v>
      </c>
      <c r="FB231" s="32">
        <v>48.16</v>
      </c>
      <c r="FC231" s="32">
        <v>34.36</v>
      </c>
      <c r="FF231" s="32" t="s">
        <v>323</v>
      </c>
      <c r="FV231" s="32">
        <v>2820.6</v>
      </c>
      <c r="FW231" s="32">
        <v>236.61</v>
      </c>
      <c r="FX231" s="32">
        <f t="shared" si="46"/>
        <v>286.86000000000058</v>
      </c>
      <c r="FY231" s="32">
        <f t="shared" si="46"/>
        <v>286.86000000000058</v>
      </c>
      <c r="FZ231" s="32" t="s">
        <v>1842</v>
      </c>
      <c r="GZ231" s="12"/>
      <c r="HD231" s="12"/>
      <c r="JB231" s="32" t="s">
        <v>349</v>
      </c>
    </row>
    <row r="232" spans="1:262" s="32" customFormat="1" x14ac:dyDescent="0.25">
      <c r="A232" s="32">
        <v>17</v>
      </c>
      <c r="B232" s="44" t="s">
        <v>3835</v>
      </c>
      <c r="C232" s="32" t="s">
        <v>316</v>
      </c>
      <c r="D232" s="32" t="s">
        <v>317</v>
      </c>
      <c r="E232" s="32">
        <v>2016</v>
      </c>
      <c r="F232" s="32">
        <v>2011</v>
      </c>
      <c r="G232" s="32" t="s">
        <v>302</v>
      </c>
      <c r="H232" s="32" t="s">
        <v>318</v>
      </c>
      <c r="I232" s="32" t="s">
        <v>2815</v>
      </c>
      <c r="J232" s="32">
        <f t="shared" si="42"/>
        <v>40.716666666666669</v>
      </c>
      <c r="K232" s="32">
        <f t="shared" si="43"/>
        <v>-77.916666666666671</v>
      </c>
      <c r="L232" s="32">
        <v>350</v>
      </c>
      <c r="P232" s="32">
        <v>975</v>
      </c>
      <c r="R232" s="44">
        <v>1</v>
      </c>
      <c r="S232" s="44" t="s">
        <v>1847</v>
      </c>
      <c r="T232" s="44"/>
      <c r="U232" s="44" t="s">
        <v>1865</v>
      </c>
      <c r="V232" s="44" t="s">
        <v>1389</v>
      </c>
      <c r="W232" s="44" t="s">
        <v>1720</v>
      </c>
      <c r="X232" s="44" t="s">
        <v>1389</v>
      </c>
      <c r="Y232" s="44" t="s">
        <v>1389</v>
      </c>
      <c r="AA232" s="323"/>
      <c r="AB232" s="323"/>
      <c r="AC232" s="32" t="s">
        <v>450</v>
      </c>
      <c r="AG232" s="32" t="s">
        <v>1319</v>
      </c>
      <c r="AH232" s="32" t="s">
        <v>1577</v>
      </c>
      <c r="AI232" s="138" t="s">
        <v>1129</v>
      </c>
      <c r="AJ232" s="32" t="s">
        <v>132</v>
      </c>
      <c r="AK232" s="140" t="s">
        <v>1620</v>
      </c>
      <c r="AL232" s="32" t="s">
        <v>319</v>
      </c>
      <c r="AM232" s="32" t="s">
        <v>319</v>
      </c>
      <c r="AN232" s="32" t="s">
        <v>177</v>
      </c>
      <c r="AT232" s="32" t="s">
        <v>320</v>
      </c>
      <c r="AU232" s="32" t="s">
        <v>320</v>
      </c>
      <c r="AV232" s="32" t="s">
        <v>177</v>
      </c>
      <c r="AW232" s="32" t="s">
        <v>160</v>
      </c>
      <c r="AX232" s="32">
        <v>4</v>
      </c>
      <c r="AZ232" s="32" t="s">
        <v>141</v>
      </c>
      <c r="BB232" s="32">
        <v>1381</v>
      </c>
      <c r="BC232" s="32">
        <v>15.7</v>
      </c>
      <c r="BD232" s="53"/>
      <c r="BK232" s="32">
        <v>6975</v>
      </c>
      <c r="BL232" s="32">
        <v>8033</v>
      </c>
      <c r="BP232" s="397"/>
      <c r="BQ232" s="397"/>
      <c r="BU232" s="397"/>
      <c r="BV232" s="397"/>
      <c r="BZ232" s="397"/>
      <c r="CA232" s="397"/>
      <c r="CE232" s="550"/>
      <c r="CF232" s="550"/>
      <c r="CG232" s="550"/>
      <c r="CH232" s="550"/>
      <c r="CJ232" s="32">
        <f t="shared" si="45"/>
        <v>8.1355000000000004</v>
      </c>
      <c r="CK232" s="32">
        <v>10.45</v>
      </c>
      <c r="CN232" s="32" t="s">
        <v>348</v>
      </c>
      <c r="CS232" s="32" t="s">
        <v>349</v>
      </c>
      <c r="FB232" s="32">
        <v>48.16</v>
      </c>
      <c r="FC232" s="32">
        <v>47.6</v>
      </c>
      <c r="FF232" s="32" t="s">
        <v>323</v>
      </c>
      <c r="FV232" s="32">
        <v>2820.6</v>
      </c>
      <c r="FW232" s="32">
        <v>2225.16</v>
      </c>
      <c r="FX232" s="32">
        <f t="shared" si="46"/>
        <v>286.86000000000058</v>
      </c>
      <c r="FY232" s="32">
        <f t="shared" si="46"/>
        <v>286.86000000000058</v>
      </c>
      <c r="FZ232" s="32" t="s">
        <v>1842</v>
      </c>
      <c r="GZ232" s="12"/>
      <c r="HD232" s="12"/>
      <c r="JB232" s="32" t="s">
        <v>349</v>
      </c>
    </row>
    <row r="233" spans="1:262" s="32" customFormat="1" x14ac:dyDescent="0.25">
      <c r="A233" s="32">
        <v>17</v>
      </c>
      <c r="B233" s="44" t="s">
        <v>3836</v>
      </c>
      <c r="C233" s="32" t="s">
        <v>316</v>
      </c>
      <c r="D233" s="32" t="s">
        <v>317</v>
      </c>
      <c r="E233" s="32">
        <v>2016</v>
      </c>
      <c r="F233" s="32">
        <v>2011</v>
      </c>
      <c r="G233" s="32" t="s">
        <v>302</v>
      </c>
      <c r="H233" s="32" t="s">
        <v>318</v>
      </c>
      <c r="I233" s="32" t="s">
        <v>2815</v>
      </c>
      <c r="J233" s="32">
        <f t="shared" si="42"/>
        <v>40.716666666666669</v>
      </c>
      <c r="K233" s="32">
        <f t="shared" si="43"/>
        <v>-77.916666666666671</v>
      </c>
      <c r="L233" s="32">
        <v>350</v>
      </c>
      <c r="P233" s="32">
        <v>975</v>
      </c>
      <c r="R233" s="44">
        <v>1</v>
      </c>
      <c r="S233" s="44" t="s">
        <v>1847</v>
      </c>
      <c r="T233" s="44"/>
      <c r="U233" s="44" t="s">
        <v>1865</v>
      </c>
      <c r="V233" s="44" t="s">
        <v>1389</v>
      </c>
      <c r="W233" s="44" t="s">
        <v>1720</v>
      </c>
      <c r="X233" s="44" t="s">
        <v>1389</v>
      </c>
      <c r="Y233" s="44" t="s">
        <v>1389</v>
      </c>
      <c r="AA233" s="323"/>
      <c r="AB233" s="323"/>
      <c r="AC233" s="32" t="s">
        <v>450</v>
      </c>
      <c r="AG233" s="32" t="s">
        <v>1319</v>
      </c>
      <c r="AH233" s="32" t="s">
        <v>520</v>
      </c>
      <c r="AI233" s="138" t="s">
        <v>1581</v>
      </c>
      <c r="AJ233" s="32" t="s">
        <v>132</v>
      </c>
      <c r="AK233" s="140" t="s">
        <v>1620</v>
      </c>
      <c r="AL233" s="32" t="s">
        <v>319</v>
      </c>
      <c r="AM233" s="32" t="s">
        <v>319</v>
      </c>
      <c r="AN233" s="32" t="s">
        <v>177</v>
      </c>
      <c r="AT233" s="32" t="s">
        <v>320</v>
      </c>
      <c r="AU233" s="32" t="s">
        <v>320</v>
      </c>
      <c r="AV233" s="32" t="s">
        <v>177</v>
      </c>
      <c r="AW233" s="32" t="s">
        <v>160</v>
      </c>
      <c r="AX233" s="32">
        <v>4</v>
      </c>
      <c r="AZ233" s="32" t="s">
        <v>141</v>
      </c>
      <c r="BB233" s="32">
        <v>1901</v>
      </c>
      <c r="BC233" s="32">
        <v>17.899999999999999</v>
      </c>
      <c r="BD233" s="53"/>
      <c r="BK233" s="32">
        <v>6975</v>
      </c>
      <c r="BL233" s="32">
        <v>8033</v>
      </c>
      <c r="BP233" s="397"/>
      <c r="BQ233" s="397"/>
      <c r="BU233" s="397"/>
      <c r="BV233" s="397"/>
      <c r="BZ233" s="397"/>
      <c r="CA233" s="397"/>
      <c r="CE233" s="550"/>
      <c r="CF233" s="550"/>
      <c r="CG233" s="550"/>
      <c r="CH233" s="550"/>
      <c r="CJ233" s="32">
        <f t="shared" si="45"/>
        <v>8.1355000000000004</v>
      </c>
      <c r="CK233" s="32">
        <v>9.73</v>
      </c>
      <c r="CN233" s="32" t="s">
        <v>348</v>
      </c>
      <c r="CS233" s="32" t="s">
        <v>349</v>
      </c>
      <c r="FB233" s="32">
        <v>48.16</v>
      </c>
      <c r="FC233" s="32">
        <v>21.05</v>
      </c>
      <c r="FF233" s="32" t="s">
        <v>323</v>
      </c>
      <c r="FV233" s="32">
        <v>2820.6</v>
      </c>
      <c r="FW233" s="32">
        <v>541.59</v>
      </c>
      <c r="FX233" s="32">
        <f t="shared" si="46"/>
        <v>286.86000000000058</v>
      </c>
      <c r="FY233" s="32">
        <f t="shared" si="46"/>
        <v>286.86000000000058</v>
      </c>
      <c r="FZ233" s="32" t="s">
        <v>1842</v>
      </c>
      <c r="GZ233" s="12"/>
      <c r="HD233" s="12"/>
      <c r="JB233" s="32" t="s">
        <v>349</v>
      </c>
    </row>
    <row r="234" spans="1:262" s="32" customFormat="1" x14ac:dyDescent="0.25">
      <c r="A234" s="32">
        <v>17</v>
      </c>
      <c r="B234" s="44" t="s">
        <v>3835</v>
      </c>
      <c r="C234" s="32" t="s">
        <v>316</v>
      </c>
      <c r="D234" s="32" t="s">
        <v>317</v>
      </c>
      <c r="E234" s="32">
        <v>2016</v>
      </c>
      <c r="F234" s="32">
        <v>2011</v>
      </c>
      <c r="G234" s="32" t="s">
        <v>302</v>
      </c>
      <c r="H234" s="32" t="s">
        <v>318</v>
      </c>
      <c r="I234" s="32" t="s">
        <v>2815</v>
      </c>
      <c r="J234" s="32">
        <f t="shared" si="42"/>
        <v>40.716666666666669</v>
      </c>
      <c r="K234" s="32">
        <f t="shared" si="43"/>
        <v>-77.916666666666671</v>
      </c>
      <c r="L234" s="32">
        <v>350</v>
      </c>
      <c r="P234" s="32">
        <v>975</v>
      </c>
      <c r="R234" s="44">
        <v>1</v>
      </c>
      <c r="S234" s="44" t="s">
        <v>1847</v>
      </c>
      <c r="T234" s="44"/>
      <c r="U234" s="44" t="s">
        <v>1865</v>
      </c>
      <c r="V234" s="44" t="s">
        <v>1389</v>
      </c>
      <c r="W234" s="44" t="s">
        <v>1720</v>
      </c>
      <c r="X234" s="44" t="s">
        <v>1389</v>
      </c>
      <c r="Y234" s="44" t="s">
        <v>1389</v>
      </c>
      <c r="AA234" s="323"/>
      <c r="AB234" s="323"/>
      <c r="AC234" s="32" t="s">
        <v>450</v>
      </c>
      <c r="AG234" s="32" t="s">
        <v>1319</v>
      </c>
      <c r="AH234" s="32" t="s">
        <v>523</v>
      </c>
      <c r="AI234" s="138" t="s">
        <v>1129</v>
      </c>
      <c r="AJ234" s="32" t="s">
        <v>132</v>
      </c>
      <c r="AK234" s="140" t="s">
        <v>1620</v>
      </c>
      <c r="AL234" s="32" t="s">
        <v>319</v>
      </c>
      <c r="AM234" s="32" t="s">
        <v>319</v>
      </c>
      <c r="AN234" s="32" t="s">
        <v>177</v>
      </c>
      <c r="AT234" s="32" t="s">
        <v>320</v>
      </c>
      <c r="AU234" s="32" t="s">
        <v>320</v>
      </c>
      <c r="AV234" s="32" t="s">
        <v>177</v>
      </c>
      <c r="AW234" s="32" t="s">
        <v>160</v>
      </c>
      <c r="AX234" s="32">
        <v>4</v>
      </c>
      <c r="AZ234" s="32" t="s">
        <v>141</v>
      </c>
      <c r="BB234" s="32">
        <v>7165</v>
      </c>
      <c r="BC234" s="32">
        <v>24.2</v>
      </c>
      <c r="BD234" s="53"/>
      <c r="BK234" s="32">
        <v>6975</v>
      </c>
      <c r="BL234" s="32">
        <v>7372</v>
      </c>
      <c r="BP234" s="397"/>
      <c r="BQ234" s="397"/>
      <c r="BU234" s="397"/>
      <c r="BV234" s="397"/>
      <c r="BZ234" s="397"/>
      <c r="CA234" s="397"/>
      <c r="CE234" s="550"/>
      <c r="CF234" s="550"/>
      <c r="CG234" s="550"/>
      <c r="CH234" s="550"/>
      <c r="CJ234" s="32">
        <f t="shared" si="45"/>
        <v>8.1355000000000004</v>
      </c>
      <c r="CK234" s="32">
        <v>8.7100000000000009</v>
      </c>
      <c r="CN234" s="32" t="s">
        <v>348</v>
      </c>
      <c r="CS234" s="32" t="s">
        <v>349</v>
      </c>
      <c r="FB234" s="32">
        <v>48.16</v>
      </c>
      <c r="FC234" s="32">
        <v>2.02</v>
      </c>
      <c r="FF234" s="32" t="s">
        <v>323</v>
      </c>
      <c r="FV234" s="32">
        <v>2820.6</v>
      </c>
      <c r="FW234" s="32">
        <v>129.88999999999999</v>
      </c>
      <c r="FX234" s="32">
        <f t="shared" si="46"/>
        <v>286.86000000000058</v>
      </c>
      <c r="FY234" s="32">
        <f t="shared" si="46"/>
        <v>286.86000000000058</v>
      </c>
      <c r="FZ234" s="32" t="s">
        <v>1842</v>
      </c>
      <c r="GZ234" s="12"/>
      <c r="HD234" s="12"/>
      <c r="JB234" s="32" t="s">
        <v>349</v>
      </c>
    </row>
    <row r="235" spans="1:262" s="32" customFormat="1" x14ac:dyDescent="0.25">
      <c r="A235" s="32">
        <v>17</v>
      </c>
      <c r="B235" s="44" t="s">
        <v>3836</v>
      </c>
      <c r="C235" s="32" t="s">
        <v>316</v>
      </c>
      <c r="D235" s="32" t="s">
        <v>317</v>
      </c>
      <c r="E235" s="32">
        <v>2016</v>
      </c>
      <c r="F235" s="32">
        <v>2011</v>
      </c>
      <c r="G235" s="32" t="s">
        <v>302</v>
      </c>
      <c r="H235" s="32" t="s">
        <v>318</v>
      </c>
      <c r="I235" s="32" t="s">
        <v>2815</v>
      </c>
      <c r="J235" s="32">
        <f t="shared" si="42"/>
        <v>40.716666666666669</v>
      </c>
      <c r="K235" s="32">
        <f t="shared" si="43"/>
        <v>-77.916666666666671</v>
      </c>
      <c r="L235" s="32">
        <v>350</v>
      </c>
      <c r="P235" s="32">
        <v>975</v>
      </c>
      <c r="R235" s="44">
        <v>1</v>
      </c>
      <c r="S235" s="44" t="s">
        <v>1847</v>
      </c>
      <c r="T235" s="44"/>
      <c r="U235" s="44" t="s">
        <v>1865</v>
      </c>
      <c r="V235" s="44" t="s">
        <v>1389</v>
      </c>
      <c r="W235" s="44" t="s">
        <v>1720</v>
      </c>
      <c r="X235" s="44" t="s">
        <v>1389</v>
      </c>
      <c r="Y235" s="44" t="s">
        <v>1389</v>
      </c>
      <c r="AA235" s="323"/>
      <c r="AB235" s="323"/>
      <c r="AC235" s="32" t="s">
        <v>450</v>
      </c>
      <c r="AG235" s="32" t="s">
        <v>1319</v>
      </c>
      <c r="AH235" s="32" t="s">
        <v>131</v>
      </c>
      <c r="AI235" s="138" t="s">
        <v>131</v>
      </c>
      <c r="AJ235" s="32" t="s">
        <v>132</v>
      </c>
      <c r="AK235" s="140" t="s">
        <v>1620</v>
      </c>
      <c r="AL235" s="32" t="s">
        <v>319</v>
      </c>
      <c r="AM235" s="32" t="s">
        <v>319</v>
      </c>
      <c r="AN235" s="32" t="s">
        <v>177</v>
      </c>
      <c r="AT235" s="32" t="s">
        <v>320</v>
      </c>
      <c r="AU235" s="32" t="s">
        <v>320</v>
      </c>
      <c r="AV235" s="32" t="s">
        <v>177</v>
      </c>
      <c r="AW235" s="32" t="s">
        <v>160</v>
      </c>
      <c r="AX235" s="32">
        <v>4</v>
      </c>
      <c r="AZ235" s="32" t="s">
        <v>141</v>
      </c>
      <c r="BB235" s="32">
        <v>7343</v>
      </c>
      <c r="BC235" s="32">
        <v>42.9</v>
      </c>
      <c r="BD235" s="53"/>
      <c r="BK235" s="32">
        <v>6975</v>
      </c>
      <c r="BL235" s="32">
        <v>4876</v>
      </c>
      <c r="BP235" s="397"/>
      <c r="BQ235" s="397"/>
      <c r="BU235" s="397"/>
      <c r="BV235" s="397"/>
      <c r="BZ235" s="397"/>
      <c r="CA235" s="397"/>
      <c r="CE235" s="550"/>
      <c r="CF235" s="550"/>
      <c r="CG235" s="550"/>
      <c r="CH235" s="550"/>
      <c r="CJ235" s="32">
        <f t="shared" si="45"/>
        <v>8.1355000000000004</v>
      </c>
      <c r="CK235" s="32">
        <v>7.99</v>
      </c>
      <c r="CN235" s="32" t="s">
        <v>348</v>
      </c>
      <c r="CS235" s="32" t="s">
        <v>349</v>
      </c>
      <c r="FB235" s="32">
        <v>48.16</v>
      </c>
      <c r="FC235" s="32">
        <v>0.23</v>
      </c>
      <c r="FF235" s="32" t="s">
        <v>323</v>
      </c>
      <c r="FV235" s="32">
        <v>2820.6</v>
      </c>
      <c r="FW235" s="32">
        <v>33.74</v>
      </c>
      <c r="FX235" s="32">
        <f t="shared" si="46"/>
        <v>286.86000000000058</v>
      </c>
      <c r="FY235" s="32">
        <f t="shared" si="46"/>
        <v>286.86000000000058</v>
      </c>
      <c r="FZ235" s="32" t="s">
        <v>1842</v>
      </c>
      <c r="GZ235" s="12"/>
      <c r="HD235" s="12"/>
      <c r="JB235" s="32" t="s">
        <v>349</v>
      </c>
    </row>
    <row r="236" spans="1:262" s="32" customFormat="1" x14ac:dyDescent="0.25">
      <c r="A236" s="32">
        <v>17</v>
      </c>
      <c r="B236" s="44" t="s">
        <v>3837</v>
      </c>
      <c r="C236" s="32" t="s">
        <v>316</v>
      </c>
      <c r="D236" s="32" t="s">
        <v>317</v>
      </c>
      <c r="E236" s="32">
        <v>2016</v>
      </c>
      <c r="F236" s="32">
        <v>2011</v>
      </c>
      <c r="G236" s="32" t="s">
        <v>302</v>
      </c>
      <c r="H236" s="32" t="s">
        <v>318</v>
      </c>
      <c r="I236" s="32" t="s">
        <v>2815</v>
      </c>
      <c r="J236" s="32">
        <f t="shared" si="42"/>
        <v>40.716666666666669</v>
      </c>
      <c r="K236" s="32">
        <f t="shared" si="43"/>
        <v>-77.916666666666671</v>
      </c>
      <c r="L236" s="32">
        <v>350</v>
      </c>
      <c r="P236" s="32">
        <v>975</v>
      </c>
      <c r="R236" s="44">
        <v>1</v>
      </c>
      <c r="S236" s="44" t="s">
        <v>1847</v>
      </c>
      <c r="T236" s="44"/>
      <c r="U236" s="44" t="s">
        <v>1865</v>
      </c>
      <c r="V236" s="44" t="s">
        <v>1389</v>
      </c>
      <c r="W236" s="44" t="s">
        <v>1720</v>
      </c>
      <c r="X236" s="44" t="s">
        <v>1389</v>
      </c>
      <c r="Y236" s="44" t="s">
        <v>1389</v>
      </c>
      <c r="AA236" s="323"/>
      <c r="AB236" s="323"/>
      <c r="AC236" s="32" t="s">
        <v>450</v>
      </c>
      <c r="AG236" s="32" t="s">
        <v>1319</v>
      </c>
      <c r="AH236" s="32" t="s">
        <v>1502</v>
      </c>
      <c r="AI236" s="138" t="s">
        <v>635</v>
      </c>
      <c r="AJ236" s="32" t="s">
        <v>132</v>
      </c>
      <c r="AK236" s="140" t="s">
        <v>1620</v>
      </c>
      <c r="AL236" s="32" t="s">
        <v>319</v>
      </c>
      <c r="AM236" s="32" t="s">
        <v>319</v>
      </c>
      <c r="AN236" s="32" t="s">
        <v>177</v>
      </c>
      <c r="AT236" s="32" t="s">
        <v>320</v>
      </c>
      <c r="AU236" s="32" t="s">
        <v>320</v>
      </c>
      <c r="AV236" s="32" t="s">
        <v>177</v>
      </c>
      <c r="AW236" s="32" t="s">
        <v>160</v>
      </c>
      <c r="AX236" s="32">
        <v>4</v>
      </c>
      <c r="AZ236" s="32" t="s">
        <v>141</v>
      </c>
      <c r="BB236" s="32">
        <v>1829</v>
      </c>
      <c r="BC236" s="32">
        <v>16.399999999999999</v>
      </c>
      <c r="BD236" s="53"/>
      <c r="BK236" s="32">
        <v>6975</v>
      </c>
      <c r="BL236" s="32">
        <v>7702</v>
      </c>
      <c r="BP236" s="397"/>
      <c r="BQ236" s="397"/>
      <c r="BU236" s="397"/>
      <c r="BV236" s="397"/>
      <c r="BZ236" s="397"/>
      <c r="CA236" s="397"/>
      <c r="CE236" s="550"/>
      <c r="CF236" s="550"/>
      <c r="CG236" s="550"/>
      <c r="CH236" s="550"/>
      <c r="CJ236" s="32">
        <f t="shared" si="45"/>
        <v>8.1355000000000004</v>
      </c>
      <c r="CK236" s="32">
        <v>9.82</v>
      </c>
      <c r="CN236" s="32" t="s">
        <v>348</v>
      </c>
      <c r="CS236" s="32" t="s">
        <v>349</v>
      </c>
      <c r="FB236" s="32">
        <v>48.16</v>
      </c>
      <c r="FC236" s="32">
        <v>22.75</v>
      </c>
      <c r="FF236" s="32" t="s">
        <v>323</v>
      </c>
      <c r="FV236" s="32">
        <v>2820.6</v>
      </c>
      <c r="FW236" s="32">
        <v>444.43</v>
      </c>
      <c r="FX236" s="32">
        <f t="shared" si="46"/>
        <v>286.86000000000058</v>
      </c>
      <c r="FY236" s="32">
        <f t="shared" si="46"/>
        <v>286.86000000000058</v>
      </c>
      <c r="FZ236" s="32" t="s">
        <v>1842</v>
      </c>
      <c r="GZ236" s="12"/>
      <c r="HD236" s="12"/>
      <c r="JB236" s="32" t="s">
        <v>349</v>
      </c>
    </row>
    <row r="237" spans="1:262" s="32" customFormat="1" x14ac:dyDescent="0.25">
      <c r="A237" s="32">
        <v>17</v>
      </c>
      <c r="B237" s="44" t="s">
        <v>3837</v>
      </c>
      <c r="C237" s="32" t="s">
        <v>316</v>
      </c>
      <c r="D237" s="32" t="s">
        <v>317</v>
      </c>
      <c r="E237" s="32">
        <v>2016</v>
      </c>
      <c r="F237" s="32">
        <v>2011</v>
      </c>
      <c r="G237" s="32" t="s">
        <v>302</v>
      </c>
      <c r="H237" s="32" t="s">
        <v>318</v>
      </c>
      <c r="I237" s="32" t="s">
        <v>2815</v>
      </c>
      <c r="J237" s="32">
        <f t="shared" si="42"/>
        <v>40.716666666666669</v>
      </c>
      <c r="K237" s="32">
        <f t="shared" si="43"/>
        <v>-77.916666666666671</v>
      </c>
      <c r="L237" s="32">
        <v>350</v>
      </c>
      <c r="P237" s="32">
        <v>975</v>
      </c>
      <c r="R237" s="44">
        <v>1</v>
      </c>
      <c r="S237" s="44" t="s">
        <v>1847</v>
      </c>
      <c r="T237" s="44"/>
      <c r="U237" s="44" t="s">
        <v>1865</v>
      </c>
      <c r="V237" s="44" t="s">
        <v>1389</v>
      </c>
      <c r="W237" s="44" t="s">
        <v>1720</v>
      </c>
      <c r="X237" s="44" t="s">
        <v>1389</v>
      </c>
      <c r="Y237" s="44" t="s">
        <v>1389</v>
      </c>
      <c r="AA237" s="323"/>
      <c r="AB237" s="323"/>
      <c r="AC237" s="32" t="s">
        <v>450</v>
      </c>
      <c r="AG237" s="32" t="s">
        <v>1319</v>
      </c>
      <c r="AH237" s="32" t="s">
        <v>1503</v>
      </c>
      <c r="AI237" s="138" t="s">
        <v>635</v>
      </c>
      <c r="AJ237" s="32" t="s">
        <v>132</v>
      </c>
      <c r="AK237" s="140" t="s">
        <v>1620</v>
      </c>
      <c r="AL237" s="32" t="s">
        <v>319</v>
      </c>
      <c r="AM237" s="32" t="s">
        <v>319</v>
      </c>
      <c r="AN237" s="32" t="s">
        <v>177</v>
      </c>
      <c r="AT237" s="32" t="s">
        <v>320</v>
      </c>
      <c r="AU237" s="32" t="s">
        <v>320</v>
      </c>
      <c r="AV237" s="32" t="s">
        <v>177</v>
      </c>
      <c r="AW237" s="32" t="s">
        <v>160</v>
      </c>
      <c r="AX237" s="32">
        <v>4</v>
      </c>
      <c r="AZ237" s="32" t="s">
        <v>141</v>
      </c>
      <c r="BB237" s="32">
        <v>7415</v>
      </c>
      <c r="BC237" s="32">
        <v>43.1</v>
      </c>
      <c r="BD237" s="53"/>
      <c r="BK237" s="32">
        <v>6975</v>
      </c>
      <c r="BL237" s="32">
        <v>5917</v>
      </c>
      <c r="BP237" s="397"/>
      <c r="BQ237" s="397"/>
      <c r="BU237" s="397"/>
      <c r="BV237" s="397"/>
      <c r="BZ237" s="397"/>
      <c r="CA237" s="397"/>
      <c r="CE237" s="550"/>
      <c r="CF237" s="550"/>
      <c r="CG237" s="550"/>
      <c r="CH237" s="550"/>
      <c r="CJ237" s="32">
        <f t="shared" si="45"/>
        <v>8.1355000000000004</v>
      </c>
      <c r="CK237" s="32">
        <v>5.54</v>
      </c>
      <c r="CN237" s="32" t="s">
        <v>348</v>
      </c>
      <c r="CS237" s="32" t="s">
        <v>349</v>
      </c>
      <c r="FB237" s="32">
        <v>48.16</v>
      </c>
      <c r="FC237" s="32">
        <v>1.07</v>
      </c>
      <c r="FF237" s="32" t="s">
        <v>323</v>
      </c>
      <c r="FV237" s="32">
        <v>2820.6</v>
      </c>
      <c r="FW237" s="32">
        <v>13.61</v>
      </c>
      <c r="FX237" s="32">
        <f t="shared" si="46"/>
        <v>286.86000000000058</v>
      </c>
      <c r="FY237" s="32">
        <f t="shared" si="46"/>
        <v>286.86000000000058</v>
      </c>
      <c r="FZ237" s="32" t="s">
        <v>1842</v>
      </c>
      <c r="GZ237" s="12"/>
      <c r="HD237" s="12"/>
      <c r="JB237" s="32" t="s">
        <v>349</v>
      </c>
    </row>
    <row r="238" spans="1:262" s="32" customFormat="1" x14ac:dyDescent="0.25">
      <c r="A238" s="32">
        <v>17</v>
      </c>
      <c r="B238" s="44" t="s">
        <v>3837</v>
      </c>
      <c r="C238" s="32" t="s">
        <v>316</v>
      </c>
      <c r="D238" s="32" t="s">
        <v>317</v>
      </c>
      <c r="E238" s="32">
        <v>2016</v>
      </c>
      <c r="F238" s="32">
        <v>2011</v>
      </c>
      <c r="G238" s="32" t="s">
        <v>302</v>
      </c>
      <c r="H238" s="32" t="s">
        <v>318</v>
      </c>
      <c r="I238" s="32" t="s">
        <v>2815</v>
      </c>
      <c r="J238" s="32">
        <f t="shared" si="42"/>
        <v>40.716666666666669</v>
      </c>
      <c r="K238" s="32">
        <f t="shared" si="43"/>
        <v>-77.916666666666671</v>
      </c>
      <c r="L238" s="32">
        <v>350</v>
      </c>
      <c r="P238" s="32">
        <v>975</v>
      </c>
      <c r="R238" s="44">
        <v>1</v>
      </c>
      <c r="S238" s="44" t="s">
        <v>1847</v>
      </c>
      <c r="T238" s="44"/>
      <c r="U238" s="44" t="s">
        <v>1865</v>
      </c>
      <c r="V238" s="44" t="s">
        <v>1389</v>
      </c>
      <c r="W238" s="44" t="s">
        <v>1720</v>
      </c>
      <c r="X238" s="44" t="s">
        <v>1389</v>
      </c>
      <c r="Y238" s="44" t="s">
        <v>1389</v>
      </c>
      <c r="AA238" s="323"/>
      <c r="AB238" s="323"/>
      <c r="AC238" s="32" t="s">
        <v>450</v>
      </c>
      <c r="AG238" s="32" t="s">
        <v>1319</v>
      </c>
      <c r="AH238" s="32" t="s">
        <v>1504</v>
      </c>
      <c r="AI238" s="138" t="s">
        <v>635</v>
      </c>
      <c r="AJ238" s="32" t="s">
        <v>132</v>
      </c>
      <c r="AK238" s="140" t="s">
        <v>1620</v>
      </c>
      <c r="AL238" s="32" t="s">
        <v>319</v>
      </c>
      <c r="AM238" s="32" t="s">
        <v>319</v>
      </c>
      <c r="AN238" s="32" t="s">
        <v>177</v>
      </c>
      <c r="AT238" s="32" t="s">
        <v>320</v>
      </c>
      <c r="AU238" s="32" t="s">
        <v>320</v>
      </c>
      <c r="AV238" s="32" t="s">
        <v>177</v>
      </c>
      <c r="AW238" s="32" t="s">
        <v>160</v>
      </c>
      <c r="AX238" s="32">
        <v>4</v>
      </c>
      <c r="AZ238" s="32" t="s">
        <v>141</v>
      </c>
      <c r="BB238" s="32">
        <v>5850</v>
      </c>
      <c r="BC238" s="32">
        <v>29.9</v>
      </c>
      <c r="BD238" s="53"/>
      <c r="BK238" s="32">
        <v>6975</v>
      </c>
      <c r="BL238" s="32">
        <v>6645</v>
      </c>
      <c r="BP238" s="397"/>
      <c r="BQ238" s="397"/>
      <c r="BU238" s="397"/>
      <c r="BV238" s="397"/>
      <c r="BZ238" s="397"/>
      <c r="CA238" s="397"/>
      <c r="CE238" s="550"/>
      <c r="CF238" s="550"/>
      <c r="CG238" s="550"/>
      <c r="CH238" s="550"/>
      <c r="CJ238" s="32">
        <f t="shared" si="45"/>
        <v>8.1355000000000004</v>
      </c>
      <c r="CK238" s="32">
        <v>6.65</v>
      </c>
      <c r="CN238" s="32" t="s">
        <v>348</v>
      </c>
      <c r="CS238" s="32" t="s">
        <v>349</v>
      </c>
      <c r="FB238" s="32">
        <v>48.16</v>
      </c>
      <c r="FC238" s="32">
        <v>5.4</v>
      </c>
      <c r="FF238" s="32" t="s">
        <v>323</v>
      </c>
      <c r="FV238" s="32">
        <v>2820.6</v>
      </c>
      <c r="FW238" s="32">
        <v>22.66</v>
      </c>
      <c r="FX238" s="32">
        <f t="shared" si="46"/>
        <v>286.86000000000058</v>
      </c>
      <c r="FY238" s="32">
        <f t="shared" si="46"/>
        <v>286.86000000000058</v>
      </c>
      <c r="FZ238" s="32" t="s">
        <v>1842</v>
      </c>
      <c r="GZ238" s="12"/>
      <c r="HD238" s="12"/>
      <c r="JB238" s="32" t="s">
        <v>349</v>
      </c>
    </row>
    <row r="239" spans="1:262" s="32" customFormat="1" x14ac:dyDescent="0.25">
      <c r="A239" s="32">
        <v>17</v>
      </c>
      <c r="B239" s="44" t="s">
        <v>3837</v>
      </c>
      <c r="C239" s="32" t="s">
        <v>316</v>
      </c>
      <c r="D239" s="32" t="s">
        <v>317</v>
      </c>
      <c r="E239" s="32">
        <v>2016</v>
      </c>
      <c r="F239" s="32">
        <v>2011</v>
      </c>
      <c r="G239" s="32" t="s">
        <v>302</v>
      </c>
      <c r="H239" s="32" t="s">
        <v>318</v>
      </c>
      <c r="I239" s="32" t="s">
        <v>2815</v>
      </c>
      <c r="J239" s="32">
        <f t="shared" si="42"/>
        <v>40.716666666666669</v>
      </c>
      <c r="K239" s="32">
        <f t="shared" si="43"/>
        <v>-77.916666666666671</v>
      </c>
      <c r="L239" s="32">
        <v>350</v>
      </c>
      <c r="P239" s="32">
        <v>975</v>
      </c>
      <c r="R239" s="44">
        <v>1</v>
      </c>
      <c r="S239" s="44" t="s">
        <v>1847</v>
      </c>
      <c r="T239" s="44"/>
      <c r="U239" s="44" t="s">
        <v>1865</v>
      </c>
      <c r="V239" s="44" t="s">
        <v>1389</v>
      </c>
      <c r="W239" s="44" t="s">
        <v>1720</v>
      </c>
      <c r="X239" s="44" t="s">
        <v>1389</v>
      </c>
      <c r="Y239" s="44" t="s">
        <v>1389</v>
      </c>
      <c r="AA239" s="323"/>
      <c r="AB239" s="323"/>
      <c r="AC239" s="32" t="s">
        <v>450</v>
      </c>
      <c r="AG239" s="32" t="s">
        <v>1319</v>
      </c>
      <c r="AH239" s="32" t="s">
        <v>1505</v>
      </c>
      <c r="AI239" s="138" t="s">
        <v>635</v>
      </c>
      <c r="AJ239" s="32" t="s">
        <v>132</v>
      </c>
      <c r="AK239" s="140" t="s">
        <v>1620</v>
      </c>
      <c r="AL239" s="32" t="s">
        <v>319</v>
      </c>
      <c r="AM239" s="32" t="s">
        <v>319</v>
      </c>
      <c r="AN239" s="32" t="s">
        <v>177</v>
      </c>
      <c r="AT239" s="32" t="s">
        <v>320</v>
      </c>
      <c r="AU239" s="32" t="s">
        <v>320</v>
      </c>
      <c r="AV239" s="32" t="s">
        <v>177</v>
      </c>
      <c r="AW239" s="32" t="s">
        <v>160</v>
      </c>
      <c r="AX239" s="32">
        <v>4</v>
      </c>
      <c r="AZ239" s="32" t="s">
        <v>141</v>
      </c>
      <c r="BB239" s="32">
        <v>1724</v>
      </c>
      <c r="BC239" s="32">
        <v>15.4</v>
      </c>
      <c r="BD239" s="53"/>
      <c r="BK239" s="32">
        <v>6975</v>
      </c>
      <c r="BL239" s="32">
        <v>7636</v>
      </c>
      <c r="BP239" s="397"/>
      <c r="BQ239" s="397"/>
      <c r="BU239" s="397"/>
      <c r="BV239" s="397"/>
      <c r="BZ239" s="397"/>
      <c r="CA239" s="397"/>
      <c r="CE239" s="550"/>
      <c r="CF239" s="550"/>
      <c r="CG239" s="550"/>
      <c r="CH239" s="550"/>
      <c r="CJ239" s="32">
        <f t="shared" si="45"/>
        <v>8.1355000000000004</v>
      </c>
      <c r="CK239" s="32">
        <v>7.87</v>
      </c>
      <c r="CN239" s="32" t="s">
        <v>348</v>
      </c>
      <c r="CS239" s="32" t="s">
        <v>349</v>
      </c>
      <c r="FB239" s="32">
        <v>48.16</v>
      </c>
      <c r="FC239" s="32">
        <v>22.68</v>
      </c>
      <c r="FF239" s="32" t="s">
        <v>323</v>
      </c>
      <c r="FV239" s="32">
        <v>2820.6</v>
      </c>
      <c r="FW239" s="32">
        <v>672.42</v>
      </c>
      <c r="FX239" s="32">
        <f t="shared" si="46"/>
        <v>286.86000000000058</v>
      </c>
      <c r="FY239" s="32">
        <f t="shared" si="46"/>
        <v>286.86000000000058</v>
      </c>
      <c r="FZ239" s="32" t="s">
        <v>1842</v>
      </c>
      <c r="GZ239" s="12"/>
      <c r="HD239" s="12"/>
      <c r="JB239" s="32" t="s">
        <v>349</v>
      </c>
    </row>
    <row r="240" spans="1:262" s="32" customFormat="1" x14ac:dyDescent="0.25">
      <c r="A240" s="32">
        <v>17</v>
      </c>
      <c r="B240" s="44" t="s">
        <v>3837</v>
      </c>
      <c r="C240" s="32" t="s">
        <v>316</v>
      </c>
      <c r="D240" s="32" t="s">
        <v>317</v>
      </c>
      <c r="E240" s="32">
        <v>2016</v>
      </c>
      <c r="F240" s="32">
        <v>2011</v>
      </c>
      <c r="G240" s="32" t="s">
        <v>302</v>
      </c>
      <c r="H240" s="32" t="s">
        <v>318</v>
      </c>
      <c r="I240" s="32" t="s">
        <v>2815</v>
      </c>
      <c r="J240" s="32">
        <f t="shared" si="42"/>
        <v>40.716666666666669</v>
      </c>
      <c r="K240" s="32">
        <f t="shared" si="43"/>
        <v>-77.916666666666671</v>
      </c>
      <c r="L240" s="32">
        <v>350</v>
      </c>
      <c r="P240" s="32">
        <v>975</v>
      </c>
      <c r="R240" s="44">
        <v>1</v>
      </c>
      <c r="S240" s="44" t="s">
        <v>1847</v>
      </c>
      <c r="T240" s="44"/>
      <c r="U240" s="44" t="s">
        <v>1865</v>
      </c>
      <c r="V240" s="44" t="s">
        <v>1389</v>
      </c>
      <c r="W240" s="44" t="s">
        <v>1720</v>
      </c>
      <c r="X240" s="44" t="s">
        <v>1389</v>
      </c>
      <c r="Y240" s="44" t="s">
        <v>1389</v>
      </c>
      <c r="AA240" s="323"/>
      <c r="AB240" s="323"/>
      <c r="AC240" s="32" t="s">
        <v>450</v>
      </c>
      <c r="AG240" s="32" t="s">
        <v>1319</v>
      </c>
      <c r="AH240" s="32" t="s">
        <v>1506</v>
      </c>
      <c r="AI240" s="138" t="s">
        <v>635</v>
      </c>
      <c r="AJ240" s="32" t="s">
        <v>132</v>
      </c>
      <c r="AK240" s="140" t="s">
        <v>1620</v>
      </c>
      <c r="AL240" s="32" t="s">
        <v>319</v>
      </c>
      <c r="AM240" s="32" t="s">
        <v>319</v>
      </c>
      <c r="AN240" s="32" t="s">
        <v>177</v>
      </c>
      <c r="AT240" s="32" t="s">
        <v>320</v>
      </c>
      <c r="AU240" s="32" t="s">
        <v>320</v>
      </c>
      <c r="AV240" s="32" t="s">
        <v>177</v>
      </c>
      <c r="AW240" s="32" t="s">
        <v>160</v>
      </c>
      <c r="AX240" s="32">
        <v>4</v>
      </c>
      <c r="AZ240" s="32" t="s">
        <v>141</v>
      </c>
      <c r="BB240" s="32">
        <v>6699</v>
      </c>
      <c r="BC240" s="32">
        <v>16.399999999999999</v>
      </c>
      <c r="BD240" s="53"/>
      <c r="BK240" s="32">
        <v>6975</v>
      </c>
      <c r="BL240" s="32">
        <v>9289</v>
      </c>
      <c r="BP240" s="397"/>
      <c r="BQ240" s="397"/>
      <c r="BU240" s="397"/>
      <c r="BV240" s="397"/>
      <c r="BZ240" s="397"/>
      <c r="CA240" s="397"/>
      <c r="CE240" s="550"/>
      <c r="CF240" s="550"/>
      <c r="CG240" s="550"/>
      <c r="CH240" s="550"/>
      <c r="CJ240" s="32">
        <f t="shared" si="45"/>
        <v>8.1355000000000004</v>
      </c>
      <c r="CK240" s="32">
        <v>11.12</v>
      </c>
      <c r="CN240" s="32" t="s">
        <v>348</v>
      </c>
      <c r="CS240" s="32" t="s">
        <v>349</v>
      </c>
      <c r="FB240" s="32">
        <v>48.16</v>
      </c>
      <c r="FC240" s="32">
        <v>3.65</v>
      </c>
      <c r="FF240" s="32" t="s">
        <v>323</v>
      </c>
      <c r="FV240" s="32">
        <v>2820.6</v>
      </c>
      <c r="FW240" s="32">
        <v>21.63</v>
      </c>
      <c r="FX240" s="32">
        <f t="shared" si="46"/>
        <v>286.86000000000058</v>
      </c>
      <c r="FY240" s="32">
        <f t="shared" si="46"/>
        <v>286.86000000000058</v>
      </c>
      <c r="FZ240" s="32" t="s">
        <v>1842</v>
      </c>
      <c r="GZ240" s="12"/>
      <c r="HD240" s="12"/>
      <c r="JB240" s="32" t="s">
        <v>349</v>
      </c>
    </row>
    <row r="241" spans="1:262" s="32" customFormat="1" x14ac:dyDescent="0.25">
      <c r="A241" s="32">
        <v>17</v>
      </c>
      <c r="B241" s="44" t="s">
        <v>3837</v>
      </c>
      <c r="C241" s="32" t="s">
        <v>316</v>
      </c>
      <c r="D241" s="32" t="s">
        <v>317</v>
      </c>
      <c r="E241" s="32">
        <v>2016</v>
      </c>
      <c r="F241" s="32">
        <v>2011</v>
      </c>
      <c r="G241" s="32" t="s">
        <v>302</v>
      </c>
      <c r="H241" s="32" t="s">
        <v>318</v>
      </c>
      <c r="I241" s="32" t="s">
        <v>2815</v>
      </c>
      <c r="J241" s="32">
        <f t="shared" si="42"/>
        <v>40.716666666666669</v>
      </c>
      <c r="K241" s="32">
        <f t="shared" si="43"/>
        <v>-77.916666666666671</v>
      </c>
      <c r="L241" s="32">
        <v>350</v>
      </c>
      <c r="P241" s="32">
        <v>975</v>
      </c>
      <c r="R241" s="44">
        <v>1</v>
      </c>
      <c r="S241" s="44" t="s">
        <v>1847</v>
      </c>
      <c r="T241" s="44"/>
      <c r="U241" s="44" t="s">
        <v>1865</v>
      </c>
      <c r="V241" s="44" t="s">
        <v>1389</v>
      </c>
      <c r="W241" s="44" t="s">
        <v>1720</v>
      </c>
      <c r="X241" s="44" t="s">
        <v>1389</v>
      </c>
      <c r="Y241" s="44" t="s">
        <v>1389</v>
      </c>
      <c r="AA241" s="323"/>
      <c r="AB241" s="323"/>
      <c r="AC241" s="32" t="s">
        <v>450</v>
      </c>
      <c r="AG241" s="32" t="s">
        <v>1319</v>
      </c>
      <c r="AH241" s="32" t="s">
        <v>1507</v>
      </c>
      <c r="AI241" s="138" t="s">
        <v>635</v>
      </c>
      <c r="AJ241" s="32" t="s">
        <v>132</v>
      </c>
      <c r="AK241" s="140" t="s">
        <v>1620</v>
      </c>
      <c r="AL241" s="32" t="s">
        <v>319</v>
      </c>
      <c r="AM241" s="32" t="s">
        <v>319</v>
      </c>
      <c r="AN241" s="32" t="s">
        <v>177</v>
      </c>
      <c r="AT241" s="32" t="s">
        <v>320</v>
      </c>
      <c r="AU241" s="32" t="s">
        <v>320</v>
      </c>
      <c r="AV241" s="32" t="s">
        <v>177</v>
      </c>
      <c r="AW241" s="32" t="s">
        <v>160</v>
      </c>
      <c r="AX241" s="32">
        <v>4</v>
      </c>
      <c r="AZ241" s="32" t="s">
        <v>141</v>
      </c>
      <c r="BB241" s="32">
        <v>6997</v>
      </c>
      <c r="BC241" s="32">
        <v>35.9</v>
      </c>
      <c r="BD241" s="53"/>
      <c r="BK241" s="32">
        <v>6975</v>
      </c>
      <c r="BL241" s="32">
        <v>5818</v>
      </c>
      <c r="BP241" s="397"/>
      <c r="BQ241" s="397"/>
      <c r="BU241" s="397"/>
      <c r="BV241" s="397"/>
      <c r="BZ241" s="397"/>
      <c r="CA241" s="397"/>
      <c r="CE241" s="550"/>
      <c r="CF241" s="550"/>
      <c r="CG241" s="550"/>
      <c r="CH241" s="550"/>
      <c r="CJ241" s="32">
        <f t="shared" si="45"/>
        <v>8.1355000000000004</v>
      </c>
      <c r="CK241" s="32">
        <v>6.23</v>
      </c>
      <c r="CN241" s="32" t="s">
        <v>348</v>
      </c>
      <c r="CS241" s="32" t="s">
        <v>349</v>
      </c>
      <c r="FB241" s="32">
        <v>48.16</v>
      </c>
      <c r="FC241" s="32">
        <v>0.97</v>
      </c>
      <c r="FF241" s="32" t="s">
        <v>323</v>
      </c>
      <c r="FV241" s="32">
        <v>2820.6</v>
      </c>
      <c r="FW241" s="32">
        <v>11.57</v>
      </c>
      <c r="FX241" s="32">
        <f t="shared" si="46"/>
        <v>286.86000000000058</v>
      </c>
      <c r="FY241" s="32">
        <f t="shared" si="46"/>
        <v>286.86000000000058</v>
      </c>
      <c r="FZ241" s="32" t="s">
        <v>1842</v>
      </c>
      <c r="GZ241" s="12"/>
      <c r="HD241" s="12"/>
      <c r="JB241" s="32" t="s">
        <v>349</v>
      </c>
    </row>
    <row r="242" spans="1:262" s="32" customFormat="1" x14ac:dyDescent="0.25">
      <c r="A242" s="32">
        <v>17</v>
      </c>
      <c r="B242" s="44" t="s">
        <v>3837</v>
      </c>
      <c r="C242" s="32" t="s">
        <v>316</v>
      </c>
      <c r="D242" s="32" t="s">
        <v>317</v>
      </c>
      <c r="E242" s="32">
        <v>2016</v>
      </c>
      <c r="F242" s="32">
        <v>2011</v>
      </c>
      <c r="G242" s="32" t="s">
        <v>302</v>
      </c>
      <c r="H242" s="32" t="s">
        <v>318</v>
      </c>
      <c r="I242" s="32" t="s">
        <v>2815</v>
      </c>
      <c r="J242" s="32">
        <f t="shared" si="42"/>
        <v>40.716666666666669</v>
      </c>
      <c r="K242" s="32">
        <f t="shared" si="43"/>
        <v>-77.916666666666671</v>
      </c>
      <c r="L242" s="32">
        <v>350</v>
      </c>
      <c r="P242" s="32">
        <v>975</v>
      </c>
      <c r="R242" s="44">
        <v>1</v>
      </c>
      <c r="S242" s="44" t="s">
        <v>1847</v>
      </c>
      <c r="T242" s="44"/>
      <c r="U242" s="44" t="s">
        <v>1865</v>
      </c>
      <c r="V242" s="44" t="s">
        <v>1389</v>
      </c>
      <c r="W242" s="44" t="s">
        <v>1720</v>
      </c>
      <c r="X242" s="44" t="s">
        <v>1389</v>
      </c>
      <c r="Y242" s="44" t="s">
        <v>1389</v>
      </c>
      <c r="AA242" s="323"/>
      <c r="AB242" s="323"/>
      <c r="AC242" s="32" t="s">
        <v>450</v>
      </c>
      <c r="AG242" s="32" t="s">
        <v>1319</v>
      </c>
      <c r="AH242" s="32" t="s">
        <v>1508</v>
      </c>
      <c r="AI242" s="138" t="s">
        <v>635</v>
      </c>
      <c r="AJ242" s="32" t="s">
        <v>132</v>
      </c>
      <c r="AK242" s="140" t="s">
        <v>1620</v>
      </c>
      <c r="AL242" s="32" t="s">
        <v>319</v>
      </c>
      <c r="AM242" s="32" t="s">
        <v>319</v>
      </c>
      <c r="AN242" s="32" t="s">
        <v>177</v>
      </c>
      <c r="AT242" s="32" t="s">
        <v>320</v>
      </c>
      <c r="AU242" s="32" t="s">
        <v>320</v>
      </c>
      <c r="AV242" s="32" t="s">
        <v>177</v>
      </c>
      <c r="AW242" s="32" t="s">
        <v>160</v>
      </c>
      <c r="AX242" s="32">
        <v>4</v>
      </c>
      <c r="AZ242" s="32" t="s">
        <v>141</v>
      </c>
      <c r="BB242" s="32">
        <v>5374</v>
      </c>
      <c r="BC242" s="32">
        <v>11</v>
      </c>
      <c r="BD242" s="53"/>
      <c r="BK242" s="32">
        <v>6975</v>
      </c>
      <c r="BL242" s="32">
        <v>10281</v>
      </c>
      <c r="BP242" s="397"/>
      <c r="BQ242" s="397"/>
      <c r="BU242" s="397"/>
      <c r="BV242" s="397"/>
      <c r="BZ242" s="397"/>
      <c r="CA242" s="397"/>
      <c r="CE242" s="550"/>
      <c r="CF242" s="550"/>
      <c r="CG242" s="550"/>
      <c r="CH242" s="550"/>
      <c r="CJ242" s="32">
        <f t="shared" si="45"/>
        <v>8.1355000000000004</v>
      </c>
      <c r="CK242" s="32">
        <v>17.11</v>
      </c>
      <c r="CN242" s="32" t="s">
        <v>348</v>
      </c>
      <c r="CS242" s="32" t="s">
        <v>349</v>
      </c>
      <c r="FB242" s="32">
        <v>48.16</v>
      </c>
      <c r="FC242" s="32">
        <v>24.38</v>
      </c>
      <c r="FF242" s="32" t="s">
        <v>323</v>
      </c>
      <c r="FV242" s="32">
        <v>2820.6</v>
      </c>
      <c r="FW242" s="32">
        <v>20.62</v>
      </c>
      <c r="FX242" s="32">
        <f t="shared" si="46"/>
        <v>286.86000000000058</v>
      </c>
      <c r="FY242" s="32">
        <f t="shared" si="46"/>
        <v>286.86000000000058</v>
      </c>
      <c r="FZ242" s="32" t="s">
        <v>1842</v>
      </c>
      <c r="GZ242" s="12"/>
      <c r="HD242" s="12"/>
      <c r="JB242" s="32" t="s">
        <v>349</v>
      </c>
    </row>
    <row r="243" spans="1:262" s="32" customFormat="1" x14ac:dyDescent="0.25">
      <c r="A243" s="32">
        <v>17</v>
      </c>
      <c r="B243" s="44" t="s">
        <v>3837</v>
      </c>
      <c r="C243" s="32" t="s">
        <v>316</v>
      </c>
      <c r="D243" s="32" t="s">
        <v>317</v>
      </c>
      <c r="E243" s="32">
        <v>2016</v>
      </c>
      <c r="F243" s="32">
        <v>2011</v>
      </c>
      <c r="G243" s="32" t="s">
        <v>302</v>
      </c>
      <c r="H243" s="32" t="s">
        <v>318</v>
      </c>
      <c r="I243" s="32" t="s">
        <v>2815</v>
      </c>
      <c r="J243" s="32">
        <f t="shared" si="42"/>
        <v>40.716666666666669</v>
      </c>
      <c r="K243" s="32">
        <f t="shared" si="43"/>
        <v>-77.916666666666671</v>
      </c>
      <c r="L243" s="32">
        <v>350</v>
      </c>
      <c r="P243" s="32">
        <v>975</v>
      </c>
      <c r="R243" s="44">
        <v>1</v>
      </c>
      <c r="S243" s="44" t="s">
        <v>1847</v>
      </c>
      <c r="T243" s="44"/>
      <c r="U243" s="44" t="s">
        <v>1865</v>
      </c>
      <c r="V243" s="44" t="s">
        <v>1389</v>
      </c>
      <c r="W243" s="44" t="s">
        <v>1720</v>
      </c>
      <c r="X243" s="44" t="s">
        <v>1389</v>
      </c>
      <c r="Y243" s="44" t="s">
        <v>1389</v>
      </c>
      <c r="AA243" s="323"/>
      <c r="AB243" s="323"/>
      <c r="AC243" s="32" t="s">
        <v>450</v>
      </c>
      <c r="AG243" s="32" t="s">
        <v>1319</v>
      </c>
      <c r="AH243" s="32" t="s">
        <v>321</v>
      </c>
      <c r="AI243" s="138" t="s">
        <v>635</v>
      </c>
      <c r="AJ243" s="32" t="s">
        <v>132</v>
      </c>
      <c r="AK243" s="140" t="s">
        <v>1620</v>
      </c>
      <c r="AL243" s="32" t="s">
        <v>319</v>
      </c>
      <c r="AM243" s="32" t="s">
        <v>319</v>
      </c>
      <c r="AN243" s="32" t="s">
        <v>177</v>
      </c>
      <c r="AT243" s="32" t="s">
        <v>320</v>
      </c>
      <c r="AU243" s="32" t="s">
        <v>320</v>
      </c>
      <c r="AV243" s="32" t="s">
        <v>177</v>
      </c>
      <c r="AW243" s="32" t="s">
        <v>160</v>
      </c>
      <c r="AX243" s="32">
        <v>4</v>
      </c>
      <c r="AZ243" s="32" t="s">
        <v>141</v>
      </c>
      <c r="BB243" s="32">
        <v>7143</v>
      </c>
      <c r="BC243" s="32">
        <v>15</v>
      </c>
      <c r="BD243" s="53"/>
      <c r="BK243" s="32">
        <v>6975</v>
      </c>
      <c r="BL243" s="32">
        <v>9884</v>
      </c>
      <c r="BP243" s="397"/>
      <c r="BQ243" s="397"/>
      <c r="BU243" s="397"/>
      <c r="BV243" s="397"/>
      <c r="BZ243" s="397"/>
      <c r="CA243" s="397"/>
      <c r="CE243" s="550"/>
      <c r="CF243" s="550"/>
      <c r="CG243" s="550"/>
      <c r="CH243" s="550"/>
      <c r="CJ243" s="32">
        <f t="shared" si="45"/>
        <v>8.1355000000000004</v>
      </c>
      <c r="CK243" s="32">
        <v>13.95</v>
      </c>
      <c r="CN243" s="32" t="s">
        <v>348</v>
      </c>
      <c r="CS243" s="32" t="s">
        <v>349</v>
      </c>
      <c r="FB243" s="32">
        <v>48.16</v>
      </c>
      <c r="FC243" s="32">
        <v>11.53</v>
      </c>
      <c r="FF243" s="32" t="s">
        <v>323</v>
      </c>
      <c r="FV243" s="32">
        <v>2820.6</v>
      </c>
      <c r="FW243" s="32">
        <v>10</v>
      </c>
      <c r="FX243" s="32">
        <f t="shared" si="46"/>
        <v>286.86000000000058</v>
      </c>
      <c r="FY243" s="32">
        <f t="shared" si="46"/>
        <v>286.86000000000058</v>
      </c>
      <c r="FZ243" s="32" t="s">
        <v>1842</v>
      </c>
      <c r="GZ243" s="12"/>
      <c r="HD243" s="12"/>
      <c r="JB243" s="32" t="s">
        <v>349</v>
      </c>
    </row>
    <row r="244" spans="1:262" s="32" customFormat="1" x14ac:dyDescent="0.25">
      <c r="A244" s="32">
        <v>17</v>
      </c>
      <c r="B244" s="44" t="s">
        <v>3837</v>
      </c>
      <c r="C244" s="32" t="s">
        <v>316</v>
      </c>
      <c r="D244" s="32" t="s">
        <v>317</v>
      </c>
      <c r="E244" s="32">
        <v>2016</v>
      </c>
      <c r="F244" s="32">
        <v>2011</v>
      </c>
      <c r="G244" s="32" t="s">
        <v>302</v>
      </c>
      <c r="H244" s="32" t="s">
        <v>318</v>
      </c>
      <c r="I244" s="32" t="s">
        <v>2815</v>
      </c>
      <c r="J244" s="32">
        <f t="shared" si="42"/>
        <v>40.716666666666669</v>
      </c>
      <c r="K244" s="32">
        <f t="shared" si="43"/>
        <v>-77.916666666666671</v>
      </c>
      <c r="L244" s="32">
        <v>350</v>
      </c>
      <c r="P244" s="32">
        <v>975</v>
      </c>
      <c r="R244" s="44">
        <v>1</v>
      </c>
      <c r="S244" s="44" t="s">
        <v>1847</v>
      </c>
      <c r="T244" s="44"/>
      <c r="U244" s="44" t="s">
        <v>1865</v>
      </c>
      <c r="V244" s="44" t="s">
        <v>1389</v>
      </c>
      <c r="W244" s="44" t="s">
        <v>1720</v>
      </c>
      <c r="X244" s="44" t="s">
        <v>1389</v>
      </c>
      <c r="Y244" s="44" t="s">
        <v>1389</v>
      </c>
      <c r="AA244" s="323"/>
      <c r="AB244" s="323"/>
      <c r="AC244" s="32" t="s">
        <v>450</v>
      </c>
      <c r="AG244" s="32" t="s">
        <v>1319</v>
      </c>
      <c r="AH244" s="32" t="s">
        <v>322</v>
      </c>
      <c r="AI244" s="138" t="s">
        <v>635</v>
      </c>
      <c r="AJ244" s="32" t="s">
        <v>132</v>
      </c>
      <c r="AK244" s="140" t="s">
        <v>1620</v>
      </c>
      <c r="AL244" s="32" t="s">
        <v>319</v>
      </c>
      <c r="AM244" s="32" t="s">
        <v>319</v>
      </c>
      <c r="AN244" s="32" t="s">
        <v>177</v>
      </c>
      <c r="AT244" s="32" t="s">
        <v>320</v>
      </c>
      <c r="AU244" s="32" t="s">
        <v>320</v>
      </c>
      <c r="AV244" s="32" t="s">
        <v>177</v>
      </c>
      <c r="AW244" s="32" t="s">
        <v>160</v>
      </c>
      <c r="AX244" s="32">
        <v>4</v>
      </c>
      <c r="AZ244" s="32" t="s">
        <v>141</v>
      </c>
      <c r="BD244" s="53"/>
      <c r="BP244" s="397"/>
      <c r="BQ244" s="397"/>
      <c r="BU244" s="397"/>
      <c r="BV244" s="397"/>
      <c r="BZ244" s="397"/>
      <c r="CA244" s="397"/>
      <c r="CE244" s="550"/>
      <c r="CF244" s="550"/>
      <c r="CG244" s="550"/>
      <c r="CH244" s="550"/>
      <c r="FV244" s="32">
        <v>2820.6</v>
      </c>
      <c r="FW244" s="32">
        <v>10</v>
      </c>
      <c r="FX244" s="32">
        <f t="shared" si="46"/>
        <v>286.86000000000058</v>
      </c>
      <c r="FY244" s="32">
        <f t="shared" si="46"/>
        <v>286.86000000000058</v>
      </c>
      <c r="FZ244" s="32" t="s">
        <v>1842</v>
      </c>
      <c r="GZ244" s="12"/>
      <c r="HD244" s="12"/>
      <c r="JB244" s="32" t="s">
        <v>349</v>
      </c>
    </row>
    <row r="245" spans="1:262" s="24" customFormat="1" x14ac:dyDescent="0.25">
      <c r="A245" s="24">
        <v>17</v>
      </c>
      <c r="B245" s="42" t="s">
        <v>3834</v>
      </c>
      <c r="C245" s="24" t="s">
        <v>316</v>
      </c>
      <c r="D245" s="24" t="s">
        <v>317</v>
      </c>
      <c r="E245" s="24">
        <v>2016</v>
      </c>
      <c r="F245" s="24">
        <v>2012</v>
      </c>
      <c r="G245" s="32" t="s">
        <v>302</v>
      </c>
      <c r="H245" s="24" t="s">
        <v>318</v>
      </c>
      <c r="I245" s="32" t="s">
        <v>2815</v>
      </c>
      <c r="J245" s="24">
        <f t="shared" si="42"/>
        <v>40.716666666666669</v>
      </c>
      <c r="K245" s="24">
        <f t="shared" si="43"/>
        <v>-77.916666666666671</v>
      </c>
      <c r="L245" s="24">
        <v>350</v>
      </c>
      <c r="P245" s="24">
        <v>975</v>
      </c>
      <c r="R245" s="42">
        <v>2</v>
      </c>
      <c r="S245" s="42" t="s">
        <v>1847</v>
      </c>
      <c r="T245" s="42"/>
      <c r="U245" s="42" t="s">
        <v>1865</v>
      </c>
      <c r="V245" s="42" t="s">
        <v>1389</v>
      </c>
      <c r="W245" s="42" t="s">
        <v>1720</v>
      </c>
      <c r="X245" s="42" t="s">
        <v>1389</v>
      </c>
      <c r="Y245" s="42" t="s">
        <v>1389</v>
      </c>
      <c r="AA245" s="321"/>
      <c r="AB245" s="321"/>
      <c r="AC245" s="24" t="s">
        <v>450</v>
      </c>
      <c r="AG245" s="24" t="s">
        <v>1319</v>
      </c>
      <c r="AH245" s="24" t="s">
        <v>1530</v>
      </c>
      <c r="AI245" s="138" t="s">
        <v>577</v>
      </c>
      <c r="AJ245" s="24" t="s">
        <v>132</v>
      </c>
      <c r="AK245" s="140" t="s">
        <v>1620</v>
      </c>
      <c r="AL245" s="24" t="s">
        <v>319</v>
      </c>
      <c r="AM245" s="24" t="s">
        <v>319</v>
      </c>
      <c r="AN245" s="24" t="s">
        <v>177</v>
      </c>
      <c r="AT245" s="24" t="s">
        <v>320</v>
      </c>
      <c r="AU245" s="24" t="s">
        <v>320</v>
      </c>
      <c r="AV245" s="24" t="s">
        <v>177</v>
      </c>
      <c r="AW245" s="24" t="s">
        <v>160</v>
      </c>
      <c r="AX245" s="24">
        <v>4</v>
      </c>
      <c r="AZ245" s="24" t="s">
        <v>141</v>
      </c>
      <c r="BB245" s="24">
        <v>666</v>
      </c>
      <c r="BC245" s="24">
        <v>11.7</v>
      </c>
      <c r="BD245" s="53"/>
      <c r="BK245" s="24">
        <v>8826</v>
      </c>
      <c r="BL245" s="24">
        <v>7570</v>
      </c>
      <c r="BP245" s="395"/>
      <c r="BQ245" s="395"/>
      <c r="BU245" s="395"/>
      <c r="BV245" s="395"/>
      <c r="BZ245" s="395"/>
      <c r="CA245" s="395"/>
      <c r="CE245" s="548"/>
      <c r="CF245" s="548"/>
      <c r="CG245" s="548"/>
      <c r="CH245" s="548"/>
      <c r="CJ245" s="24">
        <f>15.23*0.614</f>
        <v>9.3512199999999996</v>
      </c>
      <c r="CK245" s="24">
        <v>8.5399999999999991</v>
      </c>
      <c r="CN245" s="24" t="s">
        <v>348</v>
      </c>
      <c r="CS245" s="32" t="s">
        <v>349</v>
      </c>
      <c r="FB245" s="24">
        <v>115.77</v>
      </c>
      <c r="FC245" s="24">
        <v>42.8294</v>
      </c>
      <c r="FF245" s="32" t="s">
        <v>323</v>
      </c>
      <c r="FV245" s="24">
        <v>190.68</v>
      </c>
      <c r="FW245" s="24">
        <v>295.35000000000002</v>
      </c>
      <c r="FX245" s="24">
        <f t="shared" ref="FX245:FX261" si="47">(267.2-FT245)*2</f>
        <v>534.4</v>
      </c>
      <c r="FY245" s="24">
        <f t="shared" ref="FY245:FY261" si="48">(267.2-FU245)*2</f>
        <v>534.4</v>
      </c>
      <c r="FZ245" s="24" t="s">
        <v>1842</v>
      </c>
      <c r="GZ245" s="12"/>
      <c r="HD245" s="12"/>
      <c r="JB245" s="32" t="s">
        <v>349</v>
      </c>
    </row>
    <row r="246" spans="1:262" s="24" customFormat="1" x14ac:dyDescent="0.25">
      <c r="A246" s="24">
        <v>17</v>
      </c>
      <c r="B246" s="42" t="s">
        <v>3834</v>
      </c>
      <c r="C246" s="24" t="s">
        <v>316</v>
      </c>
      <c r="D246" s="24" t="s">
        <v>317</v>
      </c>
      <c r="E246" s="24">
        <v>2016</v>
      </c>
      <c r="F246" s="24">
        <v>2012</v>
      </c>
      <c r="G246" s="32" t="s">
        <v>302</v>
      </c>
      <c r="H246" s="24" t="s">
        <v>318</v>
      </c>
      <c r="I246" s="32" t="s">
        <v>2815</v>
      </c>
      <c r="J246" s="24">
        <f t="shared" si="42"/>
        <v>40.716666666666669</v>
      </c>
      <c r="K246" s="24">
        <f t="shared" si="43"/>
        <v>-77.916666666666671</v>
      </c>
      <c r="L246" s="24">
        <v>350</v>
      </c>
      <c r="P246" s="24">
        <v>975</v>
      </c>
      <c r="R246" s="42">
        <v>2</v>
      </c>
      <c r="S246" s="42" t="s">
        <v>1847</v>
      </c>
      <c r="T246" s="42"/>
      <c r="U246" s="42" t="s">
        <v>1865</v>
      </c>
      <c r="V246" s="42" t="s">
        <v>1389</v>
      </c>
      <c r="W246" s="42" t="s">
        <v>1720</v>
      </c>
      <c r="X246" s="42" t="s">
        <v>1389</v>
      </c>
      <c r="Y246" s="42" t="s">
        <v>1389</v>
      </c>
      <c r="AA246" s="321"/>
      <c r="AB246" s="321"/>
      <c r="AC246" s="24" t="s">
        <v>450</v>
      </c>
      <c r="AG246" s="24" t="s">
        <v>1319</v>
      </c>
      <c r="AH246" s="24" t="s">
        <v>1152</v>
      </c>
      <c r="AI246" s="138" t="s">
        <v>577</v>
      </c>
      <c r="AJ246" s="24" t="s">
        <v>132</v>
      </c>
      <c r="AK246" s="140" t="s">
        <v>1620</v>
      </c>
      <c r="AL246" s="24" t="s">
        <v>319</v>
      </c>
      <c r="AM246" s="24" t="s">
        <v>319</v>
      </c>
      <c r="AN246" s="24" t="s">
        <v>177</v>
      </c>
      <c r="AT246" s="24" t="s">
        <v>320</v>
      </c>
      <c r="AU246" s="24" t="s">
        <v>320</v>
      </c>
      <c r="AV246" s="24" t="s">
        <v>177</v>
      </c>
      <c r="AW246" s="24" t="s">
        <v>160</v>
      </c>
      <c r="AX246" s="24">
        <v>4</v>
      </c>
      <c r="AZ246" s="24" t="s">
        <v>141</v>
      </c>
      <c r="BB246" s="24">
        <v>2086</v>
      </c>
      <c r="BC246" s="24">
        <v>11.2</v>
      </c>
      <c r="BD246" s="53"/>
      <c r="BK246" s="24">
        <v>8826</v>
      </c>
      <c r="BL246" s="24">
        <v>8165</v>
      </c>
      <c r="BP246" s="395"/>
      <c r="BQ246" s="395"/>
      <c r="BU246" s="395"/>
      <c r="BV246" s="395"/>
      <c r="BZ246" s="395"/>
      <c r="CA246" s="395"/>
      <c r="CE246" s="548"/>
      <c r="CF246" s="548"/>
      <c r="CG246" s="548"/>
      <c r="CH246" s="548"/>
      <c r="CJ246" s="24">
        <f t="shared" ref="CJ246:CJ261" si="49">15.23*0.614</f>
        <v>9.3512199999999996</v>
      </c>
      <c r="CK246" s="24">
        <v>7.31</v>
      </c>
      <c r="CN246" s="24" t="s">
        <v>348</v>
      </c>
      <c r="CS246" s="32" t="s">
        <v>349</v>
      </c>
      <c r="FB246" s="24">
        <v>115.77</v>
      </c>
      <c r="FC246" s="24">
        <v>115.73</v>
      </c>
      <c r="FF246" s="32" t="s">
        <v>323</v>
      </c>
      <c r="FV246" s="24">
        <v>190.68</v>
      </c>
      <c r="FW246" s="24">
        <v>256.60000000000002</v>
      </c>
      <c r="FX246" s="24">
        <f t="shared" si="47"/>
        <v>534.4</v>
      </c>
      <c r="FY246" s="24">
        <f t="shared" si="48"/>
        <v>534.4</v>
      </c>
      <c r="FZ246" s="24" t="s">
        <v>1842</v>
      </c>
      <c r="GZ246" s="12"/>
      <c r="HD246" s="12"/>
      <c r="JB246" s="32" t="s">
        <v>349</v>
      </c>
    </row>
    <row r="247" spans="1:262" s="24" customFormat="1" x14ac:dyDescent="0.25">
      <c r="A247" s="24">
        <v>17</v>
      </c>
      <c r="B247" s="42" t="s">
        <v>3834</v>
      </c>
      <c r="C247" s="24" t="s">
        <v>316</v>
      </c>
      <c r="D247" s="24" t="s">
        <v>317</v>
      </c>
      <c r="E247" s="24">
        <v>2016</v>
      </c>
      <c r="F247" s="24">
        <v>2012</v>
      </c>
      <c r="G247" s="32" t="s">
        <v>302</v>
      </c>
      <c r="H247" s="24" t="s">
        <v>318</v>
      </c>
      <c r="I247" s="32" t="s">
        <v>2815</v>
      </c>
      <c r="J247" s="24">
        <f t="shared" si="42"/>
        <v>40.716666666666669</v>
      </c>
      <c r="K247" s="24">
        <f t="shared" si="43"/>
        <v>-77.916666666666671</v>
      </c>
      <c r="L247" s="24">
        <v>350</v>
      </c>
      <c r="P247" s="24">
        <v>975</v>
      </c>
      <c r="R247" s="42">
        <v>2</v>
      </c>
      <c r="S247" s="42" t="s">
        <v>1847</v>
      </c>
      <c r="T247" s="42"/>
      <c r="U247" s="42" t="s">
        <v>1865</v>
      </c>
      <c r="V247" s="42" t="s">
        <v>1389</v>
      </c>
      <c r="W247" s="42" t="s">
        <v>1720</v>
      </c>
      <c r="X247" s="42" t="s">
        <v>1389</v>
      </c>
      <c r="Y247" s="42" t="s">
        <v>1389</v>
      </c>
      <c r="AA247" s="321"/>
      <c r="AB247" s="321"/>
      <c r="AC247" s="24" t="s">
        <v>450</v>
      </c>
      <c r="AG247" s="24" t="s">
        <v>1319</v>
      </c>
      <c r="AH247" s="24" t="s">
        <v>1531</v>
      </c>
      <c r="AI247" s="138" t="s">
        <v>577</v>
      </c>
      <c r="AJ247" s="24" t="s">
        <v>132</v>
      </c>
      <c r="AK247" s="140" t="s">
        <v>1620</v>
      </c>
      <c r="AL247" s="24" t="s">
        <v>319</v>
      </c>
      <c r="AM247" s="24" t="s">
        <v>319</v>
      </c>
      <c r="AN247" s="24" t="s">
        <v>177</v>
      </c>
      <c r="AT247" s="24" t="s">
        <v>320</v>
      </c>
      <c r="AU247" s="24" t="s">
        <v>320</v>
      </c>
      <c r="AV247" s="24" t="s">
        <v>177</v>
      </c>
      <c r="AW247" s="24" t="s">
        <v>160</v>
      </c>
      <c r="AX247" s="24">
        <v>4</v>
      </c>
      <c r="AZ247" s="24" t="s">
        <v>141</v>
      </c>
      <c r="BB247" s="24">
        <v>4055</v>
      </c>
      <c r="BC247" s="24">
        <v>14.5</v>
      </c>
      <c r="BD247" s="53"/>
      <c r="BK247" s="24">
        <v>8826</v>
      </c>
      <c r="BL247" s="24">
        <v>10248</v>
      </c>
      <c r="BP247" s="395"/>
      <c r="BQ247" s="395"/>
      <c r="BU247" s="395"/>
      <c r="BV247" s="395"/>
      <c r="BZ247" s="395"/>
      <c r="CA247" s="395"/>
      <c r="CE247" s="548"/>
      <c r="CF247" s="548"/>
      <c r="CG247" s="548"/>
      <c r="CH247" s="548"/>
      <c r="CJ247" s="24">
        <f t="shared" si="49"/>
        <v>9.3512199999999996</v>
      </c>
      <c r="CK247" s="24">
        <v>9.85</v>
      </c>
      <c r="CN247" s="24" t="s">
        <v>348</v>
      </c>
      <c r="CS247" s="32" t="s">
        <v>349</v>
      </c>
      <c r="FB247" s="24">
        <v>115.77</v>
      </c>
      <c r="FC247" s="24">
        <v>88.74</v>
      </c>
      <c r="FF247" s="32" t="s">
        <v>323</v>
      </c>
      <c r="FV247" s="24">
        <v>190.68</v>
      </c>
      <c r="FW247" s="24">
        <v>198.69</v>
      </c>
      <c r="FX247" s="24">
        <f t="shared" si="47"/>
        <v>534.4</v>
      </c>
      <c r="FY247" s="24">
        <f t="shared" si="48"/>
        <v>534.4</v>
      </c>
      <c r="FZ247" s="24" t="s">
        <v>1842</v>
      </c>
      <c r="GZ247" s="12"/>
      <c r="HD247" s="12"/>
      <c r="JB247" s="32" t="s">
        <v>349</v>
      </c>
    </row>
    <row r="248" spans="1:262" s="24" customFormat="1" x14ac:dyDescent="0.25">
      <c r="A248" s="24">
        <v>17</v>
      </c>
      <c r="B248" s="42" t="s">
        <v>3834</v>
      </c>
      <c r="C248" s="24" t="s">
        <v>316</v>
      </c>
      <c r="D248" s="24" t="s">
        <v>317</v>
      </c>
      <c r="E248" s="24">
        <v>2016</v>
      </c>
      <c r="F248" s="24">
        <v>2012</v>
      </c>
      <c r="G248" s="32" t="s">
        <v>302</v>
      </c>
      <c r="H248" s="24" t="s">
        <v>318</v>
      </c>
      <c r="I248" s="32" t="s">
        <v>2815</v>
      </c>
      <c r="J248" s="24">
        <f t="shared" si="42"/>
        <v>40.716666666666669</v>
      </c>
      <c r="K248" s="24">
        <f t="shared" si="43"/>
        <v>-77.916666666666671</v>
      </c>
      <c r="L248" s="24">
        <v>350</v>
      </c>
      <c r="P248" s="24">
        <v>975</v>
      </c>
      <c r="R248" s="42">
        <v>2</v>
      </c>
      <c r="S248" s="42" t="s">
        <v>1847</v>
      </c>
      <c r="T248" s="42"/>
      <c r="U248" s="42" t="s">
        <v>1865</v>
      </c>
      <c r="V248" s="42" t="s">
        <v>1389</v>
      </c>
      <c r="W248" s="42" t="s">
        <v>1720</v>
      </c>
      <c r="X248" s="42" t="s">
        <v>1389</v>
      </c>
      <c r="Y248" s="42" t="s">
        <v>1389</v>
      </c>
      <c r="AA248" s="321"/>
      <c r="AB248" s="321"/>
      <c r="AC248" s="24" t="s">
        <v>450</v>
      </c>
      <c r="AG248" s="24" t="s">
        <v>1319</v>
      </c>
      <c r="AH248" s="24" t="s">
        <v>243</v>
      </c>
      <c r="AI248" s="138" t="s">
        <v>577</v>
      </c>
      <c r="AJ248" s="24" t="s">
        <v>132</v>
      </c>
      <c r="AK248" s="140" t="s">
        <v>1620</v>
      </c>
      <c r="AL248" s="24" t="s">
        <v>319</v>
      </c>
      <c r="AM248" s="24" t="s">
        <v>319</v>
      </c>
      <c r="AN248" s="24" t="s">
        <v>177</v>
      </c>
      <c r="AT248" s="24" t="s">
        <v>320</v>
      </c>
      <c r="AU248" s="24" t="s">
        <v>320</v>
      </c>
      <c r="AV248" s="24" t="s">
        <v>177</v>
      </c>
      <c r="AW248" s="24" t="s">
        <v>160</v>
      </c>
      <c r="AX248" s="24">
        <v>4</v>
      </c>
      <c r="AZ248" s="24" t="s">
        <v>141</v>
      </c>
      <c r="BB248" s="24">
        <v>4038</v>
      </c>
      <c r="BC248" s="24">
        <v>9.9</v>
      </c>
      <c r="BD248" s="53"/>
      <c r="BK248" s="24">
        <v>8826</v>
      </c>
      <c r="BL248" s="24">
        <v>10843</v>
      </c>
      <c r="BP248" s="395"/>
      <c r="BQ248" s="395"/>
      <c r="BU248" s="395"/>
      <c r="BV248" s="395"/>
      <c r="BZ248" s="395"/>
      <c r="CA248" s="395"/>
      <c r="CE248" s="548"/>
      <c r="CF248" s="548"/>
      <c r="CG248" s="548"/>
      <c r="CH248" s="548"/>
      <c r="CJ248" s="24">
        <f t="shared" si="49"/>
        <v>9.3512199999999996</v>
      </c>
      <c r="CK248" s="24">
        <v>25.21</v>
      </c>
      <c r="CN248" s="24" t="s">
        <v>348</v>
      </c>
      <c r="CS248" s="32" t="s">
        <v>349</v>
      </c>
      <c r="FB248" s="24">
        <v>115.77</v>
      </c>
      <c r="FC248" s="24">
        <v>49.82</v>
      </c>
      <c r="FF248" s="32" t="s">
        <v>323</v>
      </c>
      <c r="FV248" s="24">
        <v>190.68</v>
      </c>
      <c r="FW248" s="24">
        <v>54.77</v>
      </c>
      <c r="FX248" s="24">
        <f t="shared" si="47"/>
        <v>534.4</v>
      </c>
      <c r="FY248" s="24">
        <f t="shared" si="48"/>
        <v>534.4</v>
      </c>
      <c r="FZ248" s="24" t="s">
        <v>1842</v>
      </c>
      <c r="GZ248" s="12"/>
      <c r="HD248" s="12"/>
      <c r="JB248" s="32" t="s">
        <v>349</v>
      </c>
    </row>
    <row r="249" spans="1:262" s="24" customFormat="1" x14ac:dyDescent="0.25">
      <c r="A249" s="24">
        <v>17</v>
      </c>
      <c r="B249" s="42" t="s">
        <v>3835</v>
      </c>
      <c r="C249" s="24" t="s">
        <v>316</v>
      </c>
      <c r="D249" s="24" t="s">
        <v>317</v>
      </c>
      <c r="E249" s="24">
        <v>2016</v>
      </c>
      <c r="F249" s="24">
        <v>2012</v>
      </c>
      <c r="G249" s="32" t="s">
        <v>302</v>
      </c>
      <c r="H249" s="24" t="s">
        <v>318</v>
      </c>
      <c r="I249" s="32" t="s">
        <v>2815</v>
      </c>
      <c r="J249" s="24">
        <f t="shared" si="42"/>
        <v>40.716666666666669</v>
      </c>
      <c r="K249" s="24">
        <f t="shared" si="43"/>
        <v>-77.916666666666671</v>
      </c>
      <c r="L249" s="24">
        <v>350</v>
      </c>
      <c r="P249" s="24">
        <v>975</v>
      </c>
      <c r="R249" s="42">
        <v>2</v>
      </c>
      <c r="S249" s="42" t="s">
        <v>1847</v>
      </c>
      <c r="T249" s="42"/>
      <c r="U249" s="42" t="s">
        <v>1865</v>
      </c>
      <c r="V249" s="42" t="s">
        <v>1389</v>
      </c>
      <c r="W249" s="42" t="s">
        <v>1720</v>
      </c>
      <c r="X249" s="42" t="s">
        <v>1389</v>
      </c>
      <c r="Y249" s="42" t="s">
        <v>1389</v>
      </c>
      <c r="AA249" s="321"/>
      <c r="AB249" s="321"/>
      <c r="AC249" s="24" t="s">
        <v>450</v>
      </c>
      <c r="AG249" s="24" t="s">
        <v>1319</v>
      </c>
      <c r="AH249" s="24" t="s">
        <v>1577</v>
      </c>
      <c r="AI249" s="138" t="s">
        <v>1129</v>
      </c>
      <c r="AJ249" s="24" t="s">
        <v>132</v>
      </c>
      <c r="AK249" s="140" t="s">
        <v>1620</v>
      </c>
      <c r="AL249" s="24" t="s">
        <v>319</v>
      </c>
      <c r="AM249" s="24" t="s">
        <v>319</v>
      </c>
      <c r="AN249" s="24" t="s">
        <v>177</v>
      </c>
      <c r="AT249" s="24" t="s">
        <v>320</v>
      </c>
      <c r="AU249" s="24" t="s">
        <v>320</v>
      </c>
      <c r="AV249" s="24" t="s">
        <v>177</v>
      </c>
      <c r="AW249" s="24" t="s">
        <v>160</v>
      </c>
      <c r="AX249" s="24">
        <v>4</v>
      </c>
      <c r="AZ249" s="24" t="s">
        <v>141</v>
      </c>
      <c r="BB249" s="24">
        <v>3122</v>
      </c>
      <c r="BC249" s="24">
        <v>15.1</v>
      </c>
      <c r="BD249" s="53"/>
      <c r="BK249" s="24">
        <v>8826</v>
      </c>
      <c r="BL249" s="24">
        <v>8793</v>
      </c>
      <c r="BP249" s="395"/>
      <c r="BQ249" s="395"/>
      <c r="BU249" s="395"/>
      <c r="BV249" s="395"/>
      <c r="BZ249" s="395"/>
      <c r="CA249" s="395"/>
      <c r="CE249" s="548"/>
      <c r="CF249" s="548"/>
      <c r="CG249" s="548"/>
      <c r="CH249" s="548"/>
      <c r="CJ249" s="24">
        <f t="shared" si="49"/>
        <v>9.3512199999999996</v>
      </c>
      <c r="CK249" s="24">
        <v>6.79</v>
      </c>
      <c r="CN249" s="24" t="s">
        <v>348</v>
      </c>
      <c r="CS249" s="32" t="s">
        <v>349</v>
      </c>
      <c r="FB249" s="24">
        <v>115.77</v>
      </c>
      <c r="FC249" s="24">
        <v>45.38</v>
      </c>
      <c r="FF249" s="32" t="s">
        <v>323</v>
      </c>
      <c r="FV249" s="24">
        <v>190.68</v>
      </c>
      <c r="FW249" s="24">
        <v>25.553000000000001</v>
      </c>
      <c r="FX249" s="24">
        <f t="shared" si="47"/>
        <v>534.4</v>
      </c>
      <c r="FY249" s="24">
        <f t="shared" si="48"/>
        <v>534.4</v>
      </c>
      <c r="FZ249" s="24" t="s">
        <v>1842</v>
      </c>
      <c r="GZ249" s="12"/>
      <c r="HD249" s="12"/>
      <c r="JB249" s="32" t="s">
        <v>349</v>
      </c>
    </row>
    <row r="250" spans="1:262" s="24" customFormat="1" x14ac:dyDescent="0.25">
      <c r="A250" s="24">
        <v>17</v>
      </c>
      <c r="B250" s="42" t="s">
        <v>3836</v>
      </c>
      <c r="C250" s="24" t="s">
        <v>316</v>
      </c>
      <c r="D250" s="24" t="s">
        <v>317</v>
      </c>
      <c r="E250" s="24">
        <v>2016</v>
      </c>
      <c r="F250" s="24">
        <v>2012</v>
      </c>
      <c r="G250" s="32" t="s">
        <v>302</v>
      </c>
      <c r="H250" s="24" t="s">
        <v>318</v>
      </c>
      <c r="I250" s="32" t="s">
        <v>2815</v>
      </c>
      <c r="J250" s="24">
        <f t="shared" si="42"/>
        <v>40.716666666666669</v>
      </c>
      <c r="K250" s="24">
        <f t="shared" si="43"/>
        <v>-77.916666666666671</v>
      </c>
      <c r="L250" s="24">
        <v>350</v>
      </c>
      <c r="P250" s="24">
        <v>975</v>
      </c>
      <c r="R250" s="42">
        <v>2</v>
      </c>
      <c r="S250" s="42" t="s">
        <v>1847</v>
      </c>
      <c r="T250" s="42"/>
      <c r="U250" s="42" t="s">
        <v>1865</v>
      </c>
      <c r="V250" s="42" t="s">
        <v>1389</v>
      </c>
      <c r="W250" s="42" t="s">
        <v>1720</v>
      </c>
      <c r="X250" s="42" t="s">
        <v>1389</v>
      </c>
      <c r="Y250" s="42" t="s">
        <v>1389</v>
      </c>
      <c r="AA250" s="321"/>
      <c r="AB250" s="321"/>
      <c r="AC250" s="24" t="s">
        <v>450</v>
      </c>
      <c r="AG250" s="24" t="s">
        <v>1319</v>
      </c>
      <c r="AH250" s="24" t="s">
        <v>520</v>
      </c>
      <c r="AI250" s="138" t="s">
        <v>1581</v>
      </c>
      <c r="AJ250" s="24" t="s">
        <v>132</v>
      </c>
      <c r="AK250" s="140" t="s">
        <v>1620</v>
      </c>
      <c r="AL250" s="24" t="s">
        <v>319</v>
      </c>
      <c r="AM250" s="24" t="s">
        <v>319</v>
      </c>
      <c r="AN250" s="24" t="s">
        <v>177</v>
      </c>
      <c r="AT250" s="24" t="s">
        <v>320</v>
      </c>
      <c r="AU250" s="24" t="s">
        <v>320</v>
      </c>
      <c r="AV250" s="24" t="s">
        <v>177</v>
      </c>
      <c r="AW250" s="24" t="s">
        <v>160</v>
      </c>
      <c r="AX250" s="24">
        <v>4</v>
      </c>
      <c r="AZ250" s="24" t="s">
        <v>141</v>
      </c>
      <c r="BB250" s="24">
        <v>2847</v>
      </c>
      <c r="BC250" s="24">
        <v>23</v>
      </c>
      <c r="BD250" s="53"/>
      <c r="BK250" s="24">
        <v>8826</v>
      </c>
      <c r="BL250" s="24">
        <v>7934</v>
      </c>
      <c r="BP250" s="395"/>
      <c r="BQ250" s="395"/>
      <c r="BU250" s="395"/>
      <c r="BV250" s="395"/>
      <c r="BZ250" s="395"/>
      <c r="CA250" s="395"/>
      <c r="CE250" s="548"/>
      <c r="CF250" s="548"/>
      <c r="CG250" s="548"/>
      <c r="CH250" s="548"/>
      <c r="CJ250" s="24">
        <f t="shared" si="49"/>
        <v>9.3512199999999996</v>
      </c>
      <c r="CK250" s="24">
        <v>8.1</v>
      </c>
      <c r="CN250" s="24" t="s">
        <v>348</v>
      </c>
      <c r="CS250" s="32" t="s">
        <v>349</v>
      </c>
      <c r="FB250" s="24">
        <v>115.77</v>
      </c>
      <c r="FC250" s="24">
        <v>29</v>
      </c>
      <c r="FF250" s="32" t="s">
        <v>323</v>
      </c>
      <c r="FV250" s="24">
        <v>190.68</v>
      </c>
      <c r="FW250" s="24">
        <v>82.42</v>
      </c>
      <c r="FX250" s="24">
        <f t="shared" si="47"/>
        <v>534.4</v>
      </c>
      <c r="FY250" s="24">
        <f t="shared" si="48"/>
        <v>534.4</v>
      </c>
      <c r="FZ250" s="24" t="s">
        <v>1842</v>
      </c>
      <c r="GZ250" s="12"/>
      <c r="HD250" s="12"/>
      <c r="JB250" s="32" t="s">
        <v>349</v>
      </c>
    </row>
    <row r="251" spans="1:262" s="24" customFormat="1" x14ac:dyDescent="0.25">
      <c r="A251" s="24">
        <v>17</v>
      </c>
      <c r="B251" s="42" t="s">
        <v>3835</v>
      </c>
      <c r="C251" s="24" t="s">
        <v>316</v>
      </c>
      <c r="D251" s="24" t="s">
        <v>317</v>
      </c>
      <c r="E251" s="24">
        <v>2016</v>
      </c>
      <c r="F251" s="24">
        <v>2012</v>
      </c>
      <c r="G251" s="32" t="s">
        <v>302</v>
      </c>
      <c r="H251" s="24" t="s">
        <v>318</v>
      </c>
      <c r="I251" s="32" t="s">
        <v>2815</v>
      </c>
      <c r="J251" s="24">
        <f t="shared" si="42"/>
        <v>40.716666666666669</v>
      </c>
      <c r="K251" s="24">
        <f t="shared" si="43"/>
        <v>-77.916666666666671</v>
      </c>
      <c r="L251" s="24">
        <v>350</v>
      </c>
      <c r="P251" s="24">
        <v>975</v>
      </c>
      <c r="R251" s="42">
        <v>2</v>
      </c>
      <c r="S251" s="42" t="s">
        <v>1847</v>
      </c>
      <c r="T251" s="42"/>
      <c r="U251" s="42" t="s">
        <v>1865</v>
      </c>
      <c r="V251" s="42" t="s">
        <v>1389</v>
      </c>
      <c r="W251" s="42" t="s">
        <v>1720</v>
      </c>
      <c r="X251" s="42" t="s">
        <v>1389</v>
      </c>
      <c r="Y251" s="42" t="s">
        <v>1389</v>
      </c>
      <c r="AA251" s="321"/>
      <c r="AB251" s="321"/>
      <c r="AC251" s="24" t="s">
        <v>450</v>
      </c>
      <c r="AG251" s="24" t="s">
        <v>1319</v>
      </c>
      <c r="AH251" s="24" t="s">
        <v>523</v>
      </c>
      <c r="AI251" s="138" t="s">
        <v>1129</v>
      </c>
      <c r="AJ251" s="24" t="s">
        <v>132</v>
      </c>
      <c r="AK251" s="140" t="s">
        <v>1620</v>
      </c>
      <c r="AL251" s="24" t="s">
        <v>319</v>
      </c>
      <c r="AM251" s="24" t="s">
        <v>319</v>
      </c>
      <c r="AN251" s="24" t="s">
        <v>177</v>
      </c>
      <c r="AT251" s="24" t="s">
        <v>320</v>
      </c>
      <c r="AU251" s="24" t="s">
        <v>320</v>
      </c>
      <c r="AV251" s="24" t="s">
        <v>177</v>
      </c>
      <c r="AW251" s="24" t="s">
        <v>160</v>
      </c>
      <c r="AX251" s="24">
        <v>4</v>
      </c>
      <c r="AZ251" s="24" t="s">
        <v>141</v>
      </c>
      <c r="BB251" s="24">
        <v>7842</v>
      </c>
      <c r="BC251" s="24">
        <v>24</v>
      </c>
      <c r="BD251" s="53"/>
      <c r="BK251" s="24">
        <v>8826</v>
      </c>
      <c r="BL251" s="24">
        <v>7074</v>
      </c>
      <c r="BP251" s="395"/>
      <c r="BQ251" s="395"/>
      <c r="BU251" s="395"/>
      <c r="BV251" s="395"/>
      <c r="BZ251" s="395"/>
      <c r="CA251" s="395"/>
      <c r="CE251" s="548"/>
      <c r="CF251" s="548"/>
      <c r="CG251" s="548"/>
      <c r="CH251" s="548"/>
      <c r="CJ251" s="24">
        <f t="shared" si="49"/>
        <v>9.3512199999999996</v>
      </c>
      <c r="CK251" s="24">
        <v>7.89</v>
      </c>
      <c r="CN251" s="24" t="s">
        <v>348</v>
      </c>
      <c r="CS251" s="32" t="s">
        <v>349</v>
      </c>
      <c r="FB251" s="24">
        <v>115.77</v>
      </c>
      <c r="FC251" s="24">
        <v>15.72</v>
      </c>
      <c r="FF251" s="32" t="s">
        <v>323</v>
      </c>
      <c r="FV251" s="24">
        <v>190.68</v>
      </c>
      <c r="FW251" s="24">
        <v>24.5</v>
      </c>
      <c r="FX251" s="24">
        <f t="shared" si="47"/>
        <v>534.4</v>
      </c>
      <c r="FY251" s="24">
        <f t="shared" si="48"/>
        <v>534.4</v>
      </c>
      <c r="FZ251" s="24" t="s">
        <v>1842</v>
      </c>
      <c r="GZ251" s="12"/>
      <c r="HD251" s="12"/>
      <c r="JB251" s="32" t="s">
        <v>349</v>
      </c>
    </row>
    <row r="252" spans="1:262" s="24" customFormat="1" x14ac:dyDescent="0.25">
      <c r="A252" s="24">
        <v>17</v>
      </c>
      <c r="B252" s="42" t="s">
        <v>3836</v>
      </c>
      <c r="C252" s="24" t="s">
        <v>316</v>
      </c>
      <c r="D252" s="24" t="s">
        <v>317</v>
      </c>
      <c r="E252" s="24">
        <v>2016</v>
      </c>
      <c r="F252" s="24">
        <v>2012</v>
      </c>
      <c r="G252" s="32" t="s">
        <v>302</v>
      </c>
      <c r="H252" s="24" t="s">
        <v>318</v>
      </c>
      <c r="I252" s="32" t="s">
        <v>2815</v>
      </c>
      <c r="J252" s="24">
        <f t="shared" si="42"/>
        <v>40.716666666666669</v>
      </c>
      <c r="K252" s="24">
        <f t="shared" si="43"/>
        <v>-77.916666666666671</v>
      </c>
      <c r="L252" s="24">
        <v>350</v>
      </c>
      <c r="P252" s="24">
        <v>975</v>
      </c>
      <c r="R252" s="42">
        <v>2</v>
      </c>
      <c r="S252" s="42" t="s">
        <v>1847</v>
      </c>
      <c r="T252" s="42"/>
      <c r="U252" s="42" t="s">
        <v>1865</v>
      </c>
      <c r="V252" s="42" t="s">
        <v>1389</v>
      </c>
      <c r="W252" s="42" t="s">
        <v>1720</v>
      </c>
      <c r="X252" s="42" t="s">
        <v>1389</v>
      </c>
      <c r="Y252" s="42" t="s">
        <v>1389</v>
      </c>
      <c r="AA252" s="321"/>
      <c r="AB252" s="321"/>
      <c r="AC252" s="24" t="s">
        <v>450</v>
      </c>
      <c r="AG252" s="24" t="s">
        <v>1319</v>
      </c>
      <c r="AH252" s="24" t="s">
        <v>131</v>
      </c>
      <c r="AI252" s="138" t="s">
        <v>131</v>
      </c>
      <c r="AJ252" s="24" t="s">
        <v>132</v>
      </c>
      <c r="AK252" s="140" t="s">
        <v>1620</v>
      </c>
      <c r="AL252" s="24" t="s">
        <v>319</v>
      </c>
      <c r="AM252" s="24" t="s">
        <v>319</v>
      </c>
      <c r="AN252" s="24" t="s">
        <v>177</v>
      </c>
      <c r="AT252" s="24" t="s">
        <v>320</v>
      </c>
      <c r="AU252" s="24" t="s">
        <v>320</v>
      </c>
      <c r="AV252" s="24" t="s">
        <v>177</v>
      </c>
      <c r="AW252" s="24" t="s">
        <v>160</v>
      </c>
      <c r="AX252" s="24">
        <v>4</v>
      </c>
      <c r="AZ252" s="24" t="s">
        <v>141</v>
      </c>
      <c r="BB252" s="24">
        <v>9675</v>
      </c>
      <c r="BC252" s="24">
        <v>46.2</v>
      </c>
      <c r="BD252" s="53"/>
      <c r="BK252" s="24">
        <v>8826</v>
      </c>
      <c r="BL252" s="24">
        <v>2578</v>
      </c>
      <c r="BP252" s="395"/>
      <c r="BQ252" s="395"/>
      <c r="BU252" s="395"/>
      <c r="BV252" s="395"/>
      <c r="BZ252" s="395"/>
      <c r="CA252" s="395"/>
      <c r="CE252" s="548"/>
      <c r="CF252" s="548"/>
      <c r="CG252" s="548"/>
      <c r="CH252" s="548"/>
      <c r="CJ252" s="24">
        <f t="shared" si="49"/>
        <v>9.3512199999999996</v>
      </c>
      <c r="CK252" s="24">
        <v>1.88</v>
      </c>
      <c r="CN252" s="24" t="s">
        <v>348</v>
      </c>
      <c r="CS252" s="32" t="s">
        <v>349</v>
      </c>
      <c r="FB252" s="24">
        <v>115.77</v>
      </c>
      <c r="FC252" s="24">
        <v>10.39</v>
      </c>
      <c r="FF252" s="32" t="s">
        <v>323</v>
      </c>
      <c r="FV252" s="24">
        <v>190.68</v>
      </c>
      <c r="FW252" s="24">
        <v>24</v>
      </c>
      <c r="FX252" s="24">
        <f t="shared" si="47"/>
        <v>534.4</v>
      </c>
      <c r="FY252" s="24">
        <f t="shared" si="48"/>
        <v>534.4</v>
      </c>
      <c r="FZ252" s="24" t="s">
        <v>1842</v>
      </c>
      <c r="GZ252" s="12"/>
      <c r="HD252" s="12"/>
      <c r="JB252" s="32" t="s">
        <v>349</v>
      </c>
    </row>
    <row r="253" spans="1:262" s="24" customFormat="1" x14ac:dyDescent="0.25">
      <c r="A253" s="24">
        <v>17</v>
      </c>
      <c r="B253" s="42" t="s">
        <v>3837</v>
      </c>
      <c r="C253" s="24" t="s">
        <v>316</v>
      </c>
      <c r="D253" s="24" t="s">
        <v>317</v>
      </c>
      <c r="E253" s="24">
        <v>2016</v>
      </c>
      <c r="F253" s="24">
        <v>2012</v>
      </c>
      <c r="G253" s="32" t="s">
        <v>302</v>
      </c>
      <c r="H253" s="24" t="s">
        <v>318</v>
      </c>
      <c r="I253" s="32" t="s">
        <v>2815</v>
      </c>
      <c r="J253" s="24">
        <f t="shared" si="42"/>
        <v>40.716666666666669</v>
      </c>
      <c r="K253" s="24">
        <f t="shared" si="43"/>
        <v>-77.916666666666671</v>
      </c>
      <c r="L253" s="24">
        <v>350</v>
      </c>
      <c r="P253" s="24">
        <v>975</v>
      </c>
      <c r="R253" s="42">
        <v>2</v>
      </c>
      <c r="S253" s="42" t="s">
        <v>1847</v>
      </c>
      <c r="T253" s="42"/>
      <c r="U253" s="42" t="s">
        <v>1865</v>
      </c>
      <c r="V253" s="42" t="s">
        <v>1389</v>
      </c>
      <c r="W253" s="42" t="s">
        <v>1720</v>
      </c>
      <c r="X253" s="42" t="s">
        <v>1389</v>
      </c>
      <c r="Y253" s="42" t="s">
        <v>1389</v>
      </c>
      <c r="AA253" s="321"/>
      <c r="AB253" s="321"/>
      <c r="AC253" s="24" t="s">
        <v>450</v>
      </c>
      <c r="AG253" s="24" t="s">
        <v>1319</v>
      </c>
      <c r="AH253" s="24" t="s">
        <v>1502</v>
      </c>
      <c r="AI253" s="138" t="s">
        <v>635</v>
      </c>
      <c r="AJ253" s="24" t="s">
        <v>132</v>
      </c>
      <c r="AK253" s="140" t="s">
        <v>1620</v>
      </c>
      <c r="AL253" s="24" t="s">
        <v>319</v>
      </c>
      <c r="AM253" s="24" t="s">
        <v>319</v>
      </c>
      <c r="AN253" s="24" t="s">
        <v>177</v>
      </c>
      <c r="AT253" s="24" t="s">
        <v>320</v>
      </c>
      <c r="AU253" s="24" t="s">
        <v>320</v>
      </c>
      <c r="AV253" s="24" t="s">
        <v>177</v>
      </c>
      <c r="AW253" s="24" t="s">
        <v>160</v>
      </c>
      <c r="AX253" s="24">
        <v>4</v>
      </c>
      <c r="AZ253" s="24" t="s">
        <v>141</v>
      </c>
      <c r="BB253" s="24">
        <v>2447</v>
      </c>
      <c r="BC253" s="24">
        <v>18.5</v>
      </c>
      <c r="BD253" s="53"/>
      <c r="BK253" s="24">
        <v>8826</v>
      </c>
      <c r="BL253" s="24">
        <v>8694</v>
      </c>
      <c r="BP253" s="395"/>
      <c r="BQ253" s="395"/>
      <c r="BU253" s="395"/>
      <c r="BV253" s="395"/>
      <c r="BZ253" s="395"/>
      <c r="CA253" s="395"/>
      <c r="CE253" s="548"/>
      <c r="CF253" s="548"/>
      <c r="CG253" s="548"/>
      <c r="CH253" s="548"/>
      <c r="CJ253" s="24">
        <f t="shared" si="49"/>
        <v>9.3512199999999996</v>
      </c>
      <c r="CK253" s="24">
        <v>8.09</v>
      </c>
      <c r="CN253" s="24" t="s">
        <v>348</v>
      </c>
      <c r="CS253" s="32" t="s">
        <v>349</v>
      </c>
      <c r="FB253" s="24">
        <v>115.77</v>
      </c>
      <c r="FC253" s="24">
        <v>104.07</v>
      </c>
      <c r="FF253" s="32" t="s">
        <v>323</v>
      </c>
      <c r="FV253" s="24">
        <v>190.68</v>
      </c>
      <c r="FW253" s="24">
        <v>52.19</v>
      </c>
      <c r="FX253" s="24">
        <f t="shared" si="47"/>
        <v>534.4</v>
      </c>
      <c r="FY253" s="24">
        <f t="shared" si="48"/>
        <v>534.4</v>
      </c>
      <c r="FZ253" s="24" t="s">
        <v>1842</v>
      </c>
      <c r="GZ253" s="12"/>
      <c r="HD253" s="12"/>
      <c r="JB253" s="32" t="s">
        <v>349</v>
      </c>
    </row>
    <row r="254" spans="1:262" s="24" customFormat="1" x14ac:dyDescent="0.25">
      <c r="A254" s="24">
        <v>17</v>
      </c>
      <c r="B254" s="42" t="s">
        <v>3837</v>
      </c>
      <c r="C254" s="24" t="s">
        <v>316</v>
      </c>
      <c r="D254" s="24" t="s">
        <v>317</v>
      </c>
      <c r="E254" s="24">
        <v>2016</v>
      </c>
      <c r="F254" s="24">
        <v>2012</v>
      </c>
      <c r="G254" s="32" t="s">
        <v>302</v>
      </c>
      <c r="H254" s="24" t="s">
        <v>318</v>
      </c>
      <c r="I254" s="32" t="s">
        <v>2815</v>
      </c>
      <c r="J254" s="24">
        <f t="shared" si="42"/>
        <v>40.716666666666669</v>
      </c>
      <c r="K254" s="24">
        <f t="shared" si="43"/>
        <v>-77.916666666666671</v>
      </c>
      <c r="L254" s="24">
        <v>350</v>
      </c>
      <c r="P254" s="24">
        <v>975</v>
      </c>
      <c r="R254" s="42">
        <v>2</v>
      </c>
      <c r="S254" s="42" t="s">
        <v>1847</v>
      </c>
      <c r="T254" s="42"/>
      <c r="U254" s="42" t="s">
        <v>1865</v>
      </c>
      <c r="V254" s="42" t="s">
        <v>1389</v>
      </c>
      <c r="W254" s="42" t="s">
        <v>1720</v>
      </c>
      <c r="X254" s="42" t="s">
        <v>1389</v>
      </c>
      <c r="Y254" s="42" t="s">
        <v>1389</v>
      </c>
      <c r="AA254" s="321"/>
      <c r="AB254" s="321"/>
      <c r="AC254" s="24" t="s">
        <v>450</v>
      </c>
      <c r="AG254" s="24" t="s">
        <v>1319</v>
      </c>
      <c r="AH254" s="24" t="s">
        <v>1503</v>
      </c>
      <c r="AI254" s="138" t="s">
        <v>635</v>
      </c>
      <c r="AJ254" s="24" t="s">
        <v>132</v>
      </c>
      <c r="AK254" s="140" t="s">
        <v>1620</v>
      </c>
      <c r="AL254" s="24" t="s">
        <v>319</v>
      </c>
      <c r="AM254" s="24" t="s">
        <v>319</v>
      </c>
      <c r="AN254" s="24" t="s">
        <v>177</v>
      </c>
      <c r="AT254" s="24" t="s">
        <v>320</v>
      </c>
      <c r="AU254" s="24" t="s">
        <v>320</v>
      </c>
      <c r="AV254" s="24" t="s">
        <v>177</v>
      </c>
      <c r="AW254" s="24" t="s">
        <v>160</v>
      </c>
      <c r="AX254" s="24">
        <v>4</v>
      </c>
      <c r="AZ254" s="24" t="s">
        <v>141</v>
      </c>
      <c r="BB254" s="24">
        <v>7425</v>
      </c>
      <c r="BC254" s="24">
        <v>40.799999999999997</v>
      </c>
      <c r="BD254" s="53"/>
      <c r="BK254" s="24">
        <v>8826</v>
      </c>
      <c r="BL254" s="24">
        <v>2876</v>
      </c>
      <c r="BP254" s="395"/>
      <c r="BQ254" s="395"/>
      <c r="BU254" s="395"/>
      <c r="BV254" s="395"/>
      <c r="BZ254" s="395"/>
      <c r="CA254" s="395"/>
      <c r="CE254" s="548"/>
      <c r="CF254" s="548"/>
      <c r="CG254" s="548"/>
      <c r="CH254" s="548"/>
      <c r="CJ254" s="24">
        <f t="shared" si="49"/>
        <v>9.3512199999999996</v>
      </c>
      <c r="CK254" s="24">
        <v>2.48</v>
      </c>
      <c r="CN254" s="24" t="s">
        <v>348</v>
      </c>
      <c r="CS254" s="32" t="s">
        <v>349</v>
      </c>
      <c r="FB254" s="24">
        <v>115.77</v>
      </c>
      <c r="FC254" s="24">
        <v>9.9</v>
      </c>
      <c r="FF254" s="32" t="s">
        <v>323</v>
      </c>
      <c r="FV254" s="24">
        <v>190.68</v>
      </c>
      <c r="FW254" s="24">
        <v>14</v>
      </c>
      <c r="FX254" s="24">
        <f t="shared" si="47"/>
        <v>534.4</v>
      </c>
      <c r="FY254" s="24">
        <f t="shared" si="48"/>
        <v>534.4</v>
      </c>
      <c r="FZ254" s="24" t="s">
        <v>1842</v>
      </c>
      <c r="GZ254" s="12"/>
      <c r="HD254" s="12"/>
      <c r="JB254" s="32" t="s">
        <v>349</v>
      </c>
    </row>
    <row r="255" spans="1:262" s="24" customFormat="1" x14ac:dyDescent="0.25">
      <c r="A255" s="24">
        <v>17</v>
      </c>
      <c r="B255" s="42" t="s">
        <v>3837</v>
      </c>
      <c r="C255" s="24" t="s">
        <v>316</v>
      </c>
      <c r="D255" s="24" t="s">
        <v>317</v>
      </c>
      <c r="E255" s="24">
        <v>2016</v>
      </c>
      <c r="F255" s="24">
        <v>2012</v>
      </c>
      <c r="G255" s="32" t="s">
        <v>302</v>
      </c>
      <c r="H255" s="24" t="s">
        <v>318</v>
      </c>
      <c r="I255" s="32" t="s">
        <v>2815</v>
      </c>
      <c r="J255" s="24">
        <f t="shared" si="42"/>
        <v>40.716666666666669</v>
      </c>
      <c r="K255" s="24">
        <f t="shared" si="43"/>
        <v>-77.916666666666671</v>
      </c>
      <c r="L255" s="24">
        <v>350</v>
      </c>
      <c r="P255" s="24">
        <v>975</v>
      </c>
      <c r="R255" s="42">
        <v>2</v>
      </c>
      <c r="S255" s="42" t="s">
        <v>1847</v>
      </c>
      <c r="T255" s="42"/>
      <c r="U255" s="42" t="s">
        <v>1865</v>
      </c>
      <c r="V255" s="42" t="s">
        <v>1389</v>
      </c>
      <c r="W255" s="42" t="s">
        <v>1720</v>
      </c>
      <c r="X255" s="42" t="s">
        <v>1389</v>
      </c>
      <c r="Y255" s="42" t="s">
        <v>1389</v>
      </c>
      <c r="AA255" s="321"/>
      <c r="AB255" s="321"/>
      <c r="AC255" s="24" t="s">
        <v>450</v>
      </c>
      <c r="AG255" s="24" t="s">
        <v>1319</v>
      </c>
      <c r="AH255" s="24" t="s">
        <v>1504</v>
      </c>
      <c r="AI255" s="138" t="s">
        <v>635</v>
      </c>
      <c r="AJ255" s="24" t="s">
        <v>132</v>
      </c>
      <c r="AK255" s="140" t="s">
        <v>1620</v>
      </c>
      <c r="AL255" s="24" t="s">
        <v>319</v>
      </c>
      <c r="AM255" s="24" t="s">
        <v>319</v>
      </c>
      <c r="AN255" s="24" t="s">
        <v>177</v>
      </c>
      <c r="AT255" s="24" t="s">
        <v>320</v>
      </c>
      <c r="AU255" s="24" t="s">
        <v>320</v>
      </c>
      <c r="AV255" s="24" t="s">
        <v>177</v>
      </c>
      <c r="AW255" s="24" t="s">
        <v>160</v>
      </c>
      <c r="AX255" s="24">
        <v>4</v>
      </c>
      <c r="AZ255" s="24" t="s">
        <v>141</v>
      </c>
      <c r="BB255" s="24">
        <v>6998</v>
      </c>
      <c r="BC255" s="24">
        <v>33.700000000000003</v>
      </c>
      <c r="BD255" s="53"/>
      <c r="BK255" s="24">
        <v>8826</v>
      </c>
      <c r="BL255" s="24">
        <v>3636</v>
      </c>
      <c r="BP255" s="395"/>
      <c r="BQ255" s="395"/>
      <c r="BU255" s="395"/>
      <c r="BV255" s="395"/>
      <c r="BZ255" s="395"/>
      <c r="CA255" s="395"/>
      <c r="CE255" s="548"/>
      <c r="CF255" s="548"/>
      <c r="CG255" s="548"/>
      <c r="CH255" s="548"/>
      <c r="CJ255" s="24">
        <f t="shared" si="49"/>
        <v>9.3512199999999996</v>
      </c>
      <c r="CK255" s="24">
        <v>2.27</v>
      </c>
      <c r="CN255" s="24" t="s">
        <v>348</v>
      </c>
      <c r="CS255" s="32" t="s">
        <v>349</v>
      </c>
      <c r="FB255" s="24">
        <v>115.77</v>
      </c>
      <c r="FC255" s="24">
        <v>5.46</v>
      </c>
      <c r="FF255" s="32" t="s">
        <v>323</v>
      </c>
      <c r="FV255" s="24">
        <v>190.68</v>
      </c>
      <c r="FW255" s="24">
        <v>22</v>
      </c>
      <c r="FX255" s="24">
        <f t="shared" si="47"/>
        <v>534.4</v>
      </c>
      <c r="FY255" s="24">
        <f t="shared" si="48"/>
        <v>534.4</v>
      </c>
      <c r="FZ255" s="24" t="s">
        <v>1842</v>
      </c>
      <c r="GZ255" s="12"/>
      <c r="HD255" s="12"/>
      <c r="JB255" s="32" t="s">
        <v>349</v>
      </c>
    </row>
    <row r="256" spans="1:262" s="24" customFormat="1" x14ac:dyDescent="0.25">
      <c r="A256" s="24">
        <v>17</v>
      </c>
      <c r="B256" s="42" t="s">
        <v>3837</v>
      </c>
      <c r="C256" s="24" t="s">
        <v>316</v>
      </c>
      <c r="D256" s="24" t="s">
        <v>317</v>
      </c>
      <c r="E256" s="24">
        <v>2016</v>
      </c>
      <c r="F256" s="24">
        <v>2012</v>
      </c>
      <c r="G256" s="32" t="s">
        <v>302</v>
      </c>
      <c r="H256" s="24" t="s">
        <v>318</v>
      </c>
      <c r="I256" s="32" t="s">
        <v>2815</v>
      </c>
      <c r="J256" s="24">
        <f t="shared" si="42"/>
        <v>40.716666666666669</v>
      </c>
      <c r="K256" s="24">
        <f t="shared" si="43"/>
        <v>-77.916666666666671</v>
      </c>
      <c r="L256" s="24">
        <v>350</v>
      </c>
      <c r="P256" s="24">
        <v>975</v>
      </c>
      <c r="R256" s="42">
        <v>2</v>
      </c>
      <c r="S256" s="42" t="s">
        <v>1847</v>
      </c>
      <c r="T256" s="42"/>
      <c r="U256" s="42" t="s">
        <v>1865</v>
      </c>
      <c r="V256" s="42" t="s">
        <v>1389</v>
      </c>
      <c r="W256" s="42" t="s">
        <v>1720</v>
      </c>
      <c r="X256" s="42" t="s">
        <v>1389</v>
      </c>
      <c r="Y256" s="42" t="s">
        <v>1389</v>
      </c>
      <c r="AA256" s="321"/>
      <c r="AB256" s="321"/>
      <c r="AC256" s="24" t="s">
        <v>450</v>
      </c>
      <c r="AG256" s="24" t="s">
        <v>1319</v>
      </c>
      <c r="AH256" s="24" t="s">
        <v>1505</v>
      </c>
      <c r="AI256" s="138" t="s">
        <v>635</v>
      </c>
      <c r="AJ256" s="24" t="s">
        <v>132</v>
      </c>
      <c r="AK256" s="140" t="s">
        <v>1620</v>
      </c>
      <c r="AL256" s="24" t="s">
        <v>319</v>
      </c>
      <c r="AM256" s="24" t="s">
        <v>319</v>
      </c>
      <c r="AN256" s="24" t="s">
        <v>177</v>
      </c>
      <c r="AT256" s="24" t="s">
        <v>320</v>
      </c>
      <c r="AU256" s="24" t="s">
        <v>320</v>
      </c>
      <c r="AV256" s="24" t="s">
        <v>177</v>
      </c>
      <c r="AW256" s="24" t="s">
        <v>160</v>
      </c>
      <c r="AX256" s="24">
        <v>4</v>
      </c>
      <c r="AZ256" s="24" t="s">
        <v>141</v>
      </c>
      <c r="BB256" s="24">
        <v>2814</v>
      </c>
      <c r="BC256" s="24">
        <v>18</v>
      </c>
      <c r="BD256" s="53"/>
      <c r="BK256" s="24">
        <v>8826</v>
      </c>
      <c r="BL256" s="24">
        <v>10248</v>
      </c>
      <c r="BP256" s="395"/>
      <c r="BQ256" s="395"/>
      <c r="BU256" s="395"/>
      <c r="BV256" s="395"/>
      <c r="BZ256" s="395"/>
      <c r="CA256" s="395"/>
      <c r="CE256" s="548"/>
      <c r="CF256" s="548"/>
      <c r="CG256" s="548"/>
      <c r="CH256" s="548"/>
      <c r="CJ256" s="24">
        <f t="shared" si="49"/>
        <v>9.3512199999999996</v>
      </c>
      <c r="CK256" s="24">
        <v>8.99</v>
      </c>
      <c r="CN256" s="24" t="s">
        <v>348</v>
      </c>
      <c r="CS256" s="32" t="s">
        <v>349</v>
      </c>
      <c r="FB256" s="24">
        <v>115.77</v>
      </c>
      <c r="FC256" s="24">
        <v>45.21</v>
      </c>
      <c r="FF256" s="32" t="s">
        <v>323</v>
      </c>
      <c r="FV256" s="24">
        <v>190.68</v>
      </c>
      <c r="FW256" s="24">
        <v>69.8</v>
      </c>
      <c r="FX256" s="24">
        <f t="shared" si="47"/>
        <v>534.4</v>
      </c>
      <c r="FY256" s="24">
        <f t="shared" si="48"/>
        <v>534.4</v>
      </c>
      <c r="FZ256" s="24" t="s">
        <v>1842</v>
      </c>
      <c r="GZ256" s="12"/>
      <c r="HD256" s="12"/>
      <c r="JB256" s="32" t="s">
        <v>349</v>
      </c>
    </row>
    <row r="257" spans="1:262" s="24" customFormat="1" x14ac:dyDescent="0.25">
      <c r="A257" s="24">
        <v>17</v>
      </c>
      <c r="B257" s="42" t="s">
        <v>3837</v>
      </c>
      <c r="C257" s="24" t="s">
        <v>316</v>
      </c>
      <c r="D257" s="24" t="s">
        <v>317</v>
      </c>
      <c r="E257" s="24">
        <v>2016</v>
      </c>
      <c r="F257" s="24">
        <v>2012</v>
      </c>
      <c r="G257" s="32" t="s">
        <v>302</v>
      </c>
      <c r="H257" s="24" t="s">
        <v>318</v>
      </c>
      <c r="I257" s="32" t="s">
        <v>2815</v>
      </c>
      <c r="J257" s="24">
        <f t="shared" si="42"/>
        <v>40.716666666666669</v>
      </c>
      <c r="K257" s="24">
        <f t="shared" si="43"/>
        <v>-77.916666666666671</v>
      </c>
      <c r="L257" s="24">
        <v>350</v>
      </c>
      <c r="P257" s="24">
        <v>975</v>
      </c>
      <c r="R257" s="42">
        <v>2</v>
      </c>
      <c r="S257" s="42" t="s">
        <v>1847</v>
      </c>
      <c r="T257" s="42"/>
      <c r="U257" s="42" t="s">
        <v>1865</v>
      </c>
      <c r="V257" s="42" t="s">
        <v>1389</v>
      </c>
      <c r="W257" s="42" t="s">
        <v>1720</v>
      </c>
      <c r="X257" s="42" t="s">
        <v>1389</v>
      </c>
      <c r="Y257" s="42" t="s">
        <v>1389</v>
      </c>
      <c r="AA257" s="321"/>
      <c r="AB257" s="321"/>
      <c r="AC257" s="24" t="s">
        <v>450</v>
      </c>
      <c r="AG257" s="24" t="s">
        <v>1319</v>
      </c>
      <c r="AH257" s="24" t="s">
        <v>1506</v>
      </c>
      <c r="AI257" s="138" t="s">
        <v>635</v>
      </c>
      <c r="AJ257" s="24" t="s">
        <v>132</v>
      </c>
      <c r="AK257" s="140" t="s">
        <v>1620</v>
      </c>
      <c r="AL257" s="24" t="s">
        <v>319</v>
      </c>
      <c r="AM257" s="24" t="s">
        <v>319</v>
      </c>
      <c r="AN257" s="24" t="s">
        <v>177</v>
      </c>
      <c r="AT257" s="24" t="s">
        <v>320</v>
      </c>
      <c r="AU257" s="24" t="s">
        <v>320</v>
      </c>
      <c r="AV257" s="24" t="s">
        <v>177</v>
      </c>
      <c r="AW257" s="24" t="s">
        <v>160</v>
      </c>
      <c r="AX257" s="24">
        <v>4</v>
      </c>
      <c r="AZ257" s="24" t="s">
        <v>141</v>
      </c>
      <c r="BB257" s="24">
        <v>9531</v>
      </c>
      <c r="BC257" s="24">
        <v>30.7</v>
      </c>
      <c r="BD257" s="53"/>
      <c r="BK257" s="24">
        <v>8826</v>
      </c>
      <c r="BL257" s="24">
        <v>6248</v>
      </c>
      <c r="BP257" s="395"/>
      <c r="BQ257" s="395"/>
      <c r="BU257" s="395"/>
      <c r="BV257" s="395"/>
      <c r="BZ257" s="395"/>
      <c r="CA257" s="395"/>
      <c r="CE257" s="548"/>
      <c r="CF257" s="548"/>
      <c r="CG257" s="548"/>
      <c r="CH257" s="548"/>
      <c r="CJ257" s="24">
        <f t="shared" si="49"/>
        <v>9.3512199999999996</v>
      </c>
      <c r="CK257" s="24">
        <v>6.74</v>
      </c>
      <c r="CN257" s="24" t="s">
        <v>348</v>
      </c>
      <c r="CS257" s="32" t="s">
        <v>349</v>
      </c>
      <c r="FB257" s="24">
        <v>115.77</v>
      </c>
      <c r="FC257" s="24">
        <v>14.25</v>
      </c>
      <c r="FF257" s="32" t="s">
        <v>323</v>
      </c>
      <c r="FV257" s="24">
        <v>190.68</v>
      </c>
      <c r="FW257" s="24">
        <v>21.63</v>
      </c>
      <c r="FX257" s="24">
        <f t="shared" si="47"/>
        <v>534.4</v>
      </c>
      <c r="FY257" s="24">
        <f t="shared" si="48"/>
        <v>534.4</v>
      </c>
      <c r="FZ257" s="24" t="s">
        <v>1842</v>
      </c>
      <c r="GZ257" s="12"/>
      <c r="HD257" s="12"/>
      <c r="JB257" s="32" t="s">
        <v>349</v>
      </c>
    </row>
    <row r="258" spans="1:262" s="24" customFormat="1" x14ac:dyDescent="0.25">
      <c r="A258" s="24">
        <v>17</v>
      </c>
      <c r="B258" s="42" t="s">
        <v>3837</v>
      </c>
      <c r="C258" s="24" t="s">
        <v>316</v>
      </c>
      <c r="D258" s="24" t="s">
        <v>317</v>
      </c>
      <c r="E258" s="24">
        <v>2016</v>
      </c>
      <c r="F258" s="24">
        <v>2012</v>
      </c>
      <c r="G258" s="32" t="s">
        <v>302</v>
      </c>
      <c r="H258" s="24" t="s">
        <v>318</v>
      </c>
      <c r="I258" s="32" t="s">
        <v>2815</v>
      </c>
      <c r="J258" s="24">
        <f t="shared" si="42"/>
        <v>40.716666666666669</v>
      </c>
      <c r="K258" s="24">
        <f t="shared" si="43"/>
        <v>-77.916666666666671</v>
      </c>
      <c r="L258" s="24">
        <v>350</v>
      </c>
      <c r="P258" s="24">
        <v>975</v>
      </c>
      <c r="R258" s="42">
        <v>2</v>
      </c>
      <c r="S258" s="42" t="s">
        <v>1847</v>
      </c>
      <c r="T258" s="42"/>
      <c r="U258" s="42" t="s">
        <v>1865</v>
      </c>
      <c r="V258" s="42" t="s">
        <v>1389</v>
      </c>
      <c r="W258" s="42" t="s">
        <v>1720</v>
      </c>
      <c r="X258" s="42" t="s">
        <v>1389</v>
      </c>
      <c r="Y258" s="42" t="s">
        <v>1389</v>
      </c>
      <c r="AA258" s="321"/>
      <c r="AB258" s="321"/>
      <c r="AC258" s="24" t="s">
        <v>450</v>
      </c>
      <c r="AG258" s="24" t="s">
        <v>1319</v>
      </c>
      <c r="AH258" s="24" t="s">
        <v>1507</v>
      </c>
      <c r="AI258" s="138" t="s">
        <v>635</v>
      </c>
      <c r="AJ258" s="24" t="s">
        <v>132</v>
      </c>
      <c r="AK258" s="140" t="s">
        <v>1620</v>
      </c>
      <c r="AL258" s="24" t="s">
        <v>319</v>
      </c>
      <c r="AM258" s="24" t="s">
        <v>319</v>
      </c>
      <c r="AN258" s="24" t="s">
        <v>177</v>
      </c>
      <c r="AT258" s="24" t="s">
        <v>320</v>
      </c>
      <c r="AU258" s="24" t="s">
        <v>320</v>
      </c>
      <c r="AV258" s="24" t="s">
        <v>177</v>
      </c>
      <c r="AW258" s="24" t="s">
        <v>160</v>
      </c>
      <c r="AX258" s="24">
        <v>4</v>
      </c>
      <c r="AZ258" s="24" t="s">
        <v>141</v>
      </c>
      <c r="BB258" s="24">
        <v>9194</v>
      </c>
      <c r="BC258" s="24">
        <v>40.200000000000003</v>
      </c>
      <c r="BD258" s="53"/>
      <c r="BK258" s="24">
        <v>8826</v>
      </c>
      <c r="BL258" s="24">
        <v>3273</v>
      </c>
      <c r="BP258" s="395"/>
      <c r="BQ258" s="395"/>
      <c r="BU258" s="395"/>
      <c r="BV258" s="395"/>
      <c r="BZ258" s="395"/>
      <c r="CA258" s="395"/>
      <c r="CE258" s="548"/>
      <c r="CF258" s="548"/>
      <c r="CG258" s="548"/>
      <c r="CH258" s="548"/>
      <c r="CJ258" s="24">
        <f t="shared" si="49"/>
        <v>9.3512199999999996</v>
      </c>
      <c r="CK258" s="24">
        <v>3.17</v>
      </c>
      <c r="CN258" s="24" t="s">
        <v>348</v>
      </c>
      <c r="CS258" s="32" t="s">
        <v>349</v>
      </c>
      <c r="FB258" s="24">
        <v>115.77</v>
      </c>
      <c r="FC258" s="24">
        <v>13.79</v>
      </c>
      <c r="FF258" s="32" t="s">
        <v>323</v>
      </c>
      <c r="FV258" s="24">
        <v>190.68</v>
      </c>
      <c r="FW258" s="24">
        <v>11.57</v>
      </c>
      <c r="FX258" s="24">
        <f t="shared" si="47"/>
        <v>534.4</v>
      </c>
      <c r="FY258" s="24">
        <f t="shared" si="48"/>
        <v>534.4</v>
      </c>
      <c r="FZ258" s="24" t="s">
        <v>1842</v>
      </c>
      <c r="GZ258" s="12"/>
      <c r="HD258" s="12"/>
      <c r="JB258" s="32" t="s">
        <v>349</v>
      </c>
    </row>
    <row r="259" spans="1:262" s="24" customFormat="1" x14ac:dyDescent="0.25">
      <c r="A259" s="24">
        <v>17</v>
      </c>
      <c r="B259" s="42" t="s">
        <v>3837</v>
      </c>
      <c r="C259" s="24" t="s">
        <v>316</v>
      </c>
      <c r="D259" s="24" t="s">
        <v>317</v>
      </c>
      <c r="E259" s="24">
        <v>2016</v>
      </c>
      <c r="F259" s="24">
        <v>2012</v>
      </c>
      <c r="G259" s="32" t="s">
        <v>302</v>
      </c>
      <c r="H259" s="24" t="s">
        <v>318</v>
      </c>
      <c r="I259" s="32" t="s">
        <v>2815</v>
      </c>
      <c r="J259" s="24">
        <f t="shared" si="42"/>
        <v>40.716666666666669</v>
      </c>
      <c r="K259" s="24">
        <f t="shared" si="43"/>
        <v>-77.916666666666671</v>
      </c>
      <c r="L259" s="24">
        <v>350</v>
      </c>
      <c r="P259" s="24">
        <v>975</v>
      </c>
      <c r="R259" s="42">
        <v>2</v>
      </c>
      <c r="S259" s="42" t="s">
        <v>1847</v>
      </c>
      <c r="T259" s="42"/>
      <c r="U259" s="42" t="s">
        <v>1865</v>
      </c>
      <c r="V259" s="42" t="s">
        <v>1389</v>
      </c>
      <c r="W259" s="42" t="s">
        <v>1720</v>
      </c>
      <c r="X259" s="42" t="s">
        <v>1389</v>
      </c>
      <c r="Y259" s="42" t="s">
        <v>1389</v>
      </c>
      <c r="AA259" s="321"/>
      <c r="AB259" s="321"/>
      <c r="AC259" s="24" t="s">
        <v>450</v>
      </c>
      <c r="AG259" s="24" t="s">
        <v>1319</v>
      </c>
      <c r="AH259" s="24" t="s">
        <v>1508</v>
      </c>
      <c r="AI259" s="138" t="s">
        <v>635</v>
      </c>
      <c r="AJ259" s="24" t="s">
        <v>132</v>
      </c>
      <c r="AK259" s="140" t="s">
        <v>1620</v>
      </c>
      <c r="AL259" s="24" t="s">
        <v>319</v>
      </c>
      <c r="AM259" s="24" t="s">
        <v>319</v>
      </c>
      <c r="AN259" s="24" t="s">
        <v>177</v>
      </c>
      <c r="AT259" s="24" t="s">
        <v>320</v>
      </c>
      <c r="AU259" s="24" t="s">
        <v>320</v>
      </c>
      <c r="AV259" s="24" t="s">
        <v>177</v>
      </c>
      <c r="AW259" s="24" t="s">
        <v>160</v>
      </c>
      <c r="AX259" s="24">
        <v>4</v>
      </c>
      <c r="AZ259" s="24" t="s">
        <v>141</v>
      </c>
      <c r="BB259" s="24">
        <v>3801</v>
      </c>
      <c r="BC259" s="24">
        <v>17.600000000000001</v>
      </c>
      <c r="BD259" s="53"/>
      <c r="BK259" s="24">
        <v>8826</v>
      </c>
      <c r="BL259" s="24">
        <v>10182</v>
      </c>
      <c r="BP259" s="395"/>
      <c r="BQ259" s="395"/>
      <c r="BU259" s="395"/>
      <c r="BV259" s="395"/>
      <c r="BZ259" s="395"/>
      <c r="CA259" s="395"/>
      <c r="CE259" s="548"/>
      <c r="CF259" s="548"/>
      <c r="CG259" s="548"/>
      <c r="CH259" s="548"/>
      <c r="CJ259" s="24">
        <f t="shared" si="49"/>
        <v>9.3512199999999996</v>
      </c>
      <c r="CK259" s="24">
        <v>7.95</v>
      </c>
      <c r="CN259" s="24" t="s">
        <v>348</v>
      </c>
      <c r="CS259" s="32" t="s">
        <v>349</v>
      </c>
      <c r="FB259" s="24">
        <v>115.77</v>
      </c>
      <c r="FC259" s="24">
        <v>22.6</v>
      </c>
      <c r="FF259" s="32" t="s">
        <v>323</v>
      </c>
      <c r="FV259" s="24">
        <v>190.68</v>
      </c>
      <c r="FW259" s="24">
        <v>10</v>
      </c>
      <c r="FX259" s="24">
        <f t="shared" si="47"/>
        <v>534.4</v>
      </c>
      <c r="FY259" s="24">
        <f t="shared" si="48"/>
        <v>534.4</v>
      </c>
      <c r="FZ259" s="24" t="s">
        <v>1842</v>
      </c>
      <c r="GZ259" s="12"/>
      <c r="HD259" s="12"/>
      <c r="JB259" s="32" t="s">
        <v>349</v>
      </c>
    </row>
    <row r="260" spans="1:262" s="24" customFormat="1" x14ac:dyDescent="0.25">
      <c r="A260" s="24">
        <v>17</v>
      </c>
      <c r="B260" s="42" t="s">
        <v>3837</v>
      </c>
      <c r="C260" s="24" t="s">
        <v>316</v>
      </c>
      <c r="D260" s="24" t="s">
        <v>317</v>
      </c>
      <c r="E260" s="24">
        <v>2016</v>
      </c>
      <c r="F260" s="24">
        <v>2012</v>
      </c>
      <c r="G260" s="32" t="s">
        <v>302</v>
      </c>
      <c r="H260" s="24" t="s">
        <v>318</v>
      </c>
      <c r="I260" s="32" t="s">
        <v>2815</v>
      </c>
      <c r="J260" s="24">
        <f t="shared" si="42"/>
        <v>40.716666666666669</v>
      </c>
      <c r="K260" s="24">
        <f t="shared" si="43"/>
        <v>-77.916666666666671</v>
      </c>
      <c r="L260" s="24">
        <v>350</v>
      </c>
      <c r="P260" s="24">
        <v>975</v>
      </c>
      <c r="R260" s="42">
        <v>2</v>
      </c>
      <c r="S260" s="42" t="s">
        <v>1847</v>
      </c>
      <c r="T260" s="42"/>
      <c r="U260" s="42" t="s">
        <v>1865</v>
      </c>
      <c r="V260" s="42" t="s">
        <v>1389</v>
      </c>
      <c r="W260" s="42" t="s">
        <v>1720</v>
      </c>
      <c r="X260" s="42" t="s">
        <v>1389</v>
      </c>
      <c r="Y260" s="42" t="s">
        <v>1389</v>
      </c>
      <c r="AA260" s="321"/>
      <c r="AB260" s="321"/>
      <c r="AC260" s="24" t="s">
        <v>450</v>
      </c>
      <c r="AG260" s="24" t="s">
        <v>1319</v>
      </c>
      <c r="AH260" s="24" t="s">
        <v>321</v>
      </c>
      <c r="AI260" s="138" t="s">
        <v>635</v>
      </c>
      <c r="AJ260" s="24" t="s">
        <v>132</v>
      </c>
      <c r="AK260" s="140" t="s">
        <v>1620</v>
      </c>
      <c r="AL260" s="24" t="s">
        <v>319</v>
      </c>
      <c r="AM260" s="24" t="s">
        <v>319</v>
      </c>
      <c r="AN260" s="24" t="s">
        <v>177</v>
      </c>
      <c r="AT260" s="24" t="s">
        <v>320</v>
      </c>
      <c r="AU260" s="24" t="s">
        <v>320</v>
      </c>
      <c r="AV260" s="24" t="s">
        <v>177</v>
      </c>
      <c r="AW260" s="24" t="s">
        <v>160</v>
      </c>
      <c r="AX260" s="24">
        <v>4</v>
      </c>
      <c r="AZ260" s="24" t="s">
        <v>141</v>
      </c>
      <c r="BB260" s="24">
        <v>8095</v>
      </c>
      <c r="BC260" s="24">
        <v>29.8</v>
      </c>
      <c r="BD260" s="53"/>
      <c r="BK260" s="24">
        <v>8826</v>
      </c>
      <c r="BL260" s="24">
        <v>6017</v>
      </c>
      <c r="BP260" s="395"/>
      <c r="BQ260" s="395"/>
      <c r="BU260" s="395"/>
      <c r="BV260" s="395"/>
      <c r="BZ260" s="395"/>
      <c r="CA260" s="395"/>
      <c r="CE260" s="548"/>
      <c r="CF260" s="548"/>
      <c r="CG260" s="548"/>
      <c r="CH260" s="548"/>
      <c r="CJ260" s="24">
        <f t="shared" si="49"/>
        <v>9.3512199999999996</v>
      </c>
      <c r="CK260" s="24">
        <v>5.61</v>
      </c>
      <c r="CN260" s="24" t="s">
        <v>348</v>
      </c>
      <c r="CS260" s="32" t="s">
        <v>349</v>
      </c>
      <c r="FB260" s="24">
        <v>115.77</v>
      </c>
      <c r="FC260" s="24">
        <v>15.06</v>
      </c>
      <c r="FF260" s="32" t="s">
        <v>323</v>
      </c>
      <c r="FV260" s="24">
        <v>190.68</v>
      </c>
      <c r="FW260" s="24">
        <v>10</v>
      </c>
      <c r="FX260" s="24">
        <f t="shared" si="47"/>
        <v>534.4</v>
      </c>
      <c r="FY260" s="24">
        <f t="shared" si="48"/>
        <v>534.4</v>
      </c>
      <c r="FZ260" s="24" t="s">
        <v>1842</v>
      </c>
      <c r="GZ260" s="12"/>
      <c r="HD260" s="12"/>
      <c r="JB260" s="32" t="s">
        <v>349</v>
      </c>
    </row>
    <row r="261" spans="1:262" s="24" customFormat="1" x14ac:dyDescent="0.25">
      <c r="A261" s="24">
        <v>17</v>
      </c>
      <c r="B261" s="42" t="s">
        <v>3837</v>
      </c>
      <c r="C261" s="24" t="s">
        <v>316</v>
      </c>
      <c r="D261" s="24" t="s">
        <v>317</v>
      </c>
      <c r="E261" s="24">
        <v>2016</v>
      </c>
      <c r="F261" s="24">
        <v>2012</v>
      </c>
      <c r="G261" s="32" t="s">
        <v>302</v>
      </c>
      <c r="H261" s="24" t="s">
        <v>318</v>
      </c>
      <c r="I261" s="32" t="s">
        <v>2815</v>
      </c>
      <c r="J261" s="24">
        <f t="shared" si="42"/>
        <v>40.716666666666669</v>
      </c>
      <c r="K261" s="24">
        <f t="shared" si="43"/>
        <v>-77.916666666666671</v>
      </c>
      <c r="L261" s="24">
        <v>350</v>
      </c>
      <c r="P261" s="24">
        <v>975</v>
      </c>
      <c r="R261" s="42">
        <v>2</v>
      </c>
      <c r="S261" s="42" t="s">
        <v>1847</v>
      </c>
      <c r="T261" s="42"/>
      <c r="U261" s="42" t="s">
        <v>1865</v>
      </c>
      <c r="V261" s="42" t="s">
        <v>1389</v>
      </c>
      <c r="W261" s="42" t="s">
        <v>1720</v>
      </c>
      <c r="X261" s="42" t="s">
        <v>1389</v>
      </c>
      <c r="Y261" s="42" t="s">
        <v>1389</v>
      </c>
      <c r="AA261" s="321"/>
      <c r="AB261" s="321"/>
      <c r="AC261" s="24" t="s">
        <v>450</v>
      </c>
      <c r="AG261" s="24" t="s">
        <v>1319</v>
      </c>
      <c r="AH261" s="24" t="s">
        <v>322</v>
      </c>
      <c r="AI261" s="138" t="s">
        <v>635</v>
      </c>
      <c r="AJ261" s="24" t="s">
        <v>132</v>
      </c>
      <c r="AK261" s="140" t="s">
        <v>1620</v>
      </c>
      <c r="AL261" s="24" t="s">
        <v>319</v>
      </c>
      <c r="AM261" s="24" t="s">
        <v>319</v>
      </c>
      <c r="AN261" s="24" t="s">
        <v>177</v>
      </c>
      <c r="AT261" s="24" t="s">
        <v>320</v>
      </c>
      <c r="AU261" s="24" t="s">
        <v>320</v>
      </c>
      <c r="AV261" s="24" t="s">
        <v>177</v>
      </c>
      <c r="AW261" s="24" t="s">
        <v>160</v>
      </c>
      <c r="AX261" s="24">
        <v>4</v>
      </c>
      <c r="AZ261" s="24" t="s">
        <v>141</v>
      </c>
      <c r="BB261" s="24">
        <v>6972</v>
      </c>
      <c r="BC261" s="24">
        <v>35.4</v>
      </c>
      <c r="BD261" s="53"/>
      <c r="BK261" s="24">
        <v>8826</v>
      </c>
      <c r="BL261" s="24">
        <v>3140</v>
      </c>
      <c r="BP261" s="395"/>
      <c r="BQ261" s="395"/>
      <c r="BU261" s="395"/>
      <c r="BV261" s="395"/>
      <c r="BZ261" s="395"/>
      <c r="CA261" s="395"/>
      <c r="CE261" s="548"/>
      <c r="CF261" s="548"/>
      <c r="CG261" s="548"/>
      <c r="CH261" s="548"/>
      <c r="CJ261" s="24">
        <f t="shared" si="49"/>
        <v>9.3512199999999996</v>
      </c>
      <c r="CK261" s="24">
        <v>2.04</v>
      </c>
      <c r="CN261" s="24" t="s">
        <v>348</v>
      </c>
      <c r="CS261" s="32" t="s">
        <v>349</v>
      </c>
      <c r="FB261" s="24">
        <v>115.77</v>
      </c>
      <c r="FC261" s="24">
        <v>9.2899999999999991</v>
      </c>
      <c r="FF261" s="32" t="s">
        <v>323</v>
      </c>
      <c r="FV261" s="24">
        <v>190.68</v>
      </c>
      <c r="FW261" s="24">
        <v>10</v>
      </c>
      <c r="FX261" s="24">
        <f t="shared" si="47"/>
        <v>534.4</v>
      </c>
      <c r="FY261" s="24">
        <f t="shared" si="48"/>
        <v>534.4</v>
      </c>
      <c r="FZ261" s="24" t="s">
        <v>1842</v>
      </c>
      <c r="GZ261" s="12"/>
      <c r="HD261" s="12"/>
      <c r="JB261" s="32" t="s">
        <v>349</v>
      </c>
    </row>
    <row r="262" spans="1:262" s="33" customFormat="1" x14ac:dyDescent="0.25">
      <c r="A262" s="33">
        <v>18</v>
      </c>
      <c r="B262" s="47" t="s">
        <v>3834</v>
      </c>
      <c r="C262" s="33" t="s">
        <v>316</v>
      </c>
      <c r="D262" s="33" t="s">
        <v>317</v>
      </c>
      <c r="E262" s="33">
        <v>2017</v>
      </c>
      <c r="F262" s="33">
        <v>2011</v>
      </c>
      <c r="G262" s="204" t="s">
        <v>329</v>
      </c>
      <c r="H262" s="33" t="s">
        <v>318</v>
      </c>
      <c r="I262" s="32" t="s">
        <v>2815</v>
      </c>
      <c r="J262" s="33">
        <v>40.716666666666669</v>
      </c>
      <c r="K262" s="33">
        <v>-77.916666666666671</v>
      </c>
      <c r="L262" s="33">
        <v>350</v>
      </c>
      <c r="P262" s="33">
        <v>975</v>
      </c>
      <c r="R262" s="47">
        <v>1</v>
      </c>
      <c r="S262" s="47" t="s">
        <v>1728</v>
      </c>
      <c r="T262" s="47"/>
      <c r="U262" s="47" t="s">
        <v>1866</v>
      </c>
      <c r="V262" s="47" t="s">
        <v>1389</v>
      </c>
      <c r="W262" s="47" t="s">
        <v>1720</v>
      </c>
      <c r="X262" s="47" t="s">
        <v>1389</v>
      </c>
      <c r="Y262" s="47" t="s">
        <v>1389</v>
      </c>
      <c r="AA262" s="327"/>
      <c r="AB262" s="327"/>
      <c r="AC262" s="33" t="s">
        <v>450</v>
      </c>
      <c r="AG262" s="33" t="s">
        <v>1319</v>
      </c>
      <c r="AH262" s="33" t="s">
        <v>1530</v>
      </c>
      <c r="AI262" s="138" t="s">
        <v>577</v>
      </c>
      <c r="AJ262" s="33" t="s">
        <v>132</v>
      </c>
      <c r="AK262" s="141" t="s">
        <v>1620</v>
      </c>
      <c r="AL262" s="33" t="s">
        <v>319</v>
      </c>
      <c r="AM262" s="33" t="s">
        <v>319</v>
      </c>
      <c r="AN262" s="33" t="s">
        <v>177</v>
      </c>
      <c r="AT262" s="33" t="s">
        <v>320</v>
      </c>
      <c r="AU262" s="33" t="s">
        <v>320</v>
      </c>
      <c r="AV262" s="33" t="s">
        <v>177</v>
      </c>
      <c r="AW262" s="33" t="s">
        <v>160</v>
      </c>
      <c r="AX262" s="33">
        <v>4</v>
      </c>
      <c r="AZ262" s="33" t="s">
        <v>141</v>
      </c>
      <c r="BB262" s="33">
        <v>61</v>
      </c>
      <c r="BC262" s="33">
        <v>9.3000000000000007</v>
      </c>
      <c r="BD262" s="54"/>
      <c r="BP262" s="402"/>
      <c r="BQ262" s="402"/>
      <c r="BU262" s="402"/>
      <c r="BV262" s="402"/>
      <c r="BZ262" s="402"/>
      <c r="CA262" s="402"/>
      <c r="CE262" s="555"/>
      <c r="CF262" s="555"/>
      <c r="CG262" s="555"/>
      <c r="CH262" s="555"/>
      <c r="GU262" s="33">
        <v>69.540000000000006</v>
      </c>
      <c r="GV262" s="33">
        <v>73.88</v>
      </c>
      <c r="GY262" s="33" t="s">
        <v>1702</v>
      </c>
      <c r="HY262" s="33">
        <v>8.06</v>
      </c>
      <c r="HZ262" s="33">
        <v>8.59</v>
      </c>
      <c r="JB262" s="33" t="s">
        <v>330</v>
      </c>
    </row>
    <row r="263" spans="1:262" s="33" customFormat="1" x14ac:dyDescent="0.25">
      <c r="A263" s="33">
        <v>18</v>
      </c>
      <c r="B263" s="47" t="s">
        <v>3834</v>
      </c>
      <c r="C263" s="33" t="s">
        <v>316</v>
      </c>
      <c r="D263" s="33" t="s">
        <v>317</v>
      </c>
      <c r="E263" s="33">
        <v>2017</v>
      </c>
      <c r="F263" s="33">
        <v>2011</v>
      </c>
      <c r="G263" s="204" t="s">
        <v>329</v>
      </c>
      <c r="H263" s="33" t="s">
        <v>318</v>
      </c>
      <c r="I263" s="32" t="s">
        <v>2815</v>
      </c>
      <c r="J263" s="33">
        <v>40.716666666666669</v>
      </c>
      <c r="K263" s="33">
        <v>-77.916666666666671</v>
      </c>
      <c r="L263" s="33">
        <v>350</v>
      </c>
      <c r="P263" s="33">
        <v>975</v>
      </c>
      <c r="R263" s="47">
        <v>1</v>
      </c>
      <c r="S263" s="47" t="s">
        <v>1728</v>
      </c>
      <c r="T263" s="47"/>
      <c r="U263" s="47" t="s">
        <v>1866</v>
      </c>
      <c r="V263" s="47" t="s">
        <v>1389</v>
      </c>
      <c r="W263" s="47" t="s">
        <v>1720</v>
      </c>
      <c r="X263" s="47" t="s">
        <v>1389</v>
      </c>
      <c r="Y263" s="47" t="s">
        <v>1389</v>
      </c>
      <c r="AA263" s="327"/>
      <c r="AB263" s="327"/>
      <c r="AC263" s="33" t="s">
        <v>450</v>
      </c>
      <c r="AG263" s="33" t="s">
        <v>1319</v>
      </c>
      <c r="AH263" s="33" t="s">
        <v>1152</v>
      </c>
      <c r="AI263" s="138" t="s">
        <v>577</v>
      </c>
      <c r="AJ263" s="33" t="s">
        <v>132</v>
      </c>
      <c r="AK263" s="141" t="s">
        <v>1620</v>
      </c>
      <c r="AL263" s="33" t="s">
        <v>319</v>
      </c>
      <c r="AM263" s="33" t="s">
        <v>319</v>
      </c>
      <c r="AN263" s="33" t="s">
        <v>177</v>
      </c>
      <c r="AT263" s="33" t="s">
        <v>320</v>
      </c>
      <c r="AU263" s="33" t="s">
        <v>320</v>
      </c>
      <c r="AV263" s="33" t="s">
        <v>177</v>
      </c>
      <c r="AW263" s="33" t="s">
        <v>160</v>
      </c>
      <c r="AX263" s="33">
        <v>4</v>
      </c>
      <c r="AZ263" s="33" t="s">
        <v>141</v>
      </c>
      <c r="BB263" s="33">
        <v>418</v>
      </c>
      <c r="BC263" s="33">
        <v>9.5</v>
      </c>
      <c r="BD263" s="54"/>
      <c r="BP263" s="402"/>
      <c r="BQ263" s="402"/>
      <c r="BU263" s="402"/>
      <c r="BV263" s="402"/>
      <c r="BZ263" s="402"/>
      <c r="CA263" s="402"/>
      <c r="CE263" s="555"/>
      <c r="CF263" s="555"/>
      <c r="CG263" s="555"/>
      <c r="CH263" s="555"/>
      <c r="GU263" s="33">
        <v>69.540000000000006</v>
      </c>
      <c r="GV263" s="33">
        <v>72.73</v>
      </c>
      <c r="GY263" s="33" t="s">
        <v>1702</v>
      </c>
      <c r="HY263" s="33">
        <v>8.06</v>
      </c>
      <c r="HZ263" s="33">
        <v>9.2200000000000006</v>
      </c>
      <c r="JB263" s="33" t="s">
        <v>330</v>
      </c>
    </row>
    <row r="264" spans="1:262" s="33" customFormat="1" x14ac:dyDescent="0.25">
      <c r="A264" s="33">
        <v>18</v>
      </c>
      <c r="B264" s="47" t="s">
        <v>3834</v>
      </c>
      <c r="C264" s="33" t="s">
        <v>316</v>
      </c>
      <c r="D264" s="33" t="s">
        <v>317</v>
      </c>
      <c r="E264" s="33">
        <v>2017</v>
      </c>
      <c r="F264" s="33">
        <v>2011</v>
      </c>
      <c r="G264" s="204" t="s">
        <v>329</v>
      </c>
      <c r="H264" s="33" t="s">
        <v>318</v>
      </c>
      <c r="I264" s="32" t="s">
        <v>2815</v>
      </c>
      <c r="J264" s="33">
        <v>40.716666666666669</v>
      </c>
      <c r="K264" s="33">
        <v>-77.916666666666671</v>
      </c>
      <c r="L264" s="33">
        <v>350</v>
      </c>
      <c r="P264" s="33">
        <v>975</v>
      </c>
      <c r="R264" s="47">
        <v>1</v>
      </c>
      <c r="S264" s="47" t="s">
        <v>1728</v>
      </c>
      <c r="T264" s="47"/>
      <c r="U264" s="47" t="s">
        <v>1866</v>
      </c>
      <c r="V264" s="47" t="s">
        <v>1389</v>
      </c>
      <c r="W264" s="47" t="s">
        <v>1720</v>
      </c>
      <c r="X264" s="47" t="s">
        <v>1389</v>
      </c>
      <c r="Y264" s="47" t="s">
        <v>1389</v>
      </c>
      <c r="AA264" s="327"/>
      <c r="AB264" s="327"/>
      <c r="AC264" s="33" t="s">
        <v>450</v>
      </c>
      <c r="AG264" s="33" t="s">
        <v>1319</v>
      </c>
      <c r="AH264" s="33" t="s">
        <v>1531</v>
      </c>
      <c r="AI264" s="138" t="s">
        <v>577</v>
      </c>
      <c r="AJ264" s="33" t="s">
        <v>132</v>
      </c>
      <c r="AK264" s="141" t="s">
        <v>1620</v>
      </c>
      <c r="AL264" s="33" t="s">
        <v>319</v>
      </c>
      <c r="AM264" s="33" t="s">
        <v>319</v>
      </c>
      <c r="AN264" s="33" t="s">
        <v>177</v>
      </c>
      <c r="AT264" s="33" t="s">
        <v>320</v>
      </c>
      <c r="AU264" s="33" t="s">
        <v>320</v>
      </c>
      <c r="AV264" s="33" t="s">
        <v>177</v>
      </c>
      <c r="AW264" s="33" t="s">
        <v>160</v>
      </c>
      <c r="AX264" s="33">
        <v>4</v>
      </c>
      <c r="AZ264" s="33" t="s">
        <v>141</v>
      </c>
      <c r="BB264" s="33">
        <v>4045</v>
      </c>
      <c r="BC264" s="33">
        <v>10.3</v>
      </c>
      <c r="BD264" s="54"/>
      <c r="BP264" s="402"/>
      <c r="BQ264" s="402"/>
      <c r="BU264" s="402"/>
      <c r="BV264" s="402"/>
      <c r="BZ264" s="402"/>
      <c r="CA264" s="402"/>
      <c r="CE264" s="555"/>
      <c r="CF264" s="555"/>
      <c r="CG264" s="555"/>
      <c r="CH264" s="555"/>
      <c r="GU264" s="33">
        <v>69.540000000000006</v>
      </c>
      <c r="GV264" s="33">
        <v>69.34</v>
      </c>
      <c r="GY264" s="33" t="s">
        <v>1702</v>
      </c>
      <c r="HY264" s="33">
        <v>8.06</v>
      </c>
      <c r="HZ264" s="33">
        <v>8.67</v>
      </c>
      <c r="JB264" s="33" t="s">
        <v>330</v>
      </c>
    </row>
    <row r="265" spans="1:262" s="33" customFormat="1" x14ac:dyDescent="0.25">
      <c r="A265" s="33">
        <v>18</v>
      </c>
      <c r="B265" s="47" t="s">
        <v>3834</v>
      </c>
      <c r="C265" s="33" t="s">
        <v>316</v>
      </c>
      <c r="D265" s="33" t="s">
        <v>317</v>
      </c>
      <c r="E265" s="33">
        <v>2017</v>
      </c>
      <c r="F265" s="33">
        <v>2011</v>
      </c>
      <c r="G265" s="204" t="s">
        <v>329</v>
      </c>
      <c r="H265" s="33" t="s">
        <v>318</v>
      </c>
      <c r="I265" s="32" t="s">
        <v>2815</v>
      </c>
      <c r="J265" s="33">
        <v>40.716666666666669</v>
      </c>
      <c r="K265" s="33">
        <v>-77.916666666666671</v>
      </c>
      <c r="L265" s="33">
        <v>350</v>
      </c>
      <c r="P265" s="33">
        <v>975</v>
      </c>
      <c r="R265" s="47">
        <v>1</v>
      </c>
      <c r="S265" s="47" t="s">
        <v>1728</v>
      </c>
      <c r="T265" s="47"/>
      <c r="U265" s="47" t="s">
        <v>1866</v>
      </c>
      <c r="V265" s="47" t="s">
        <v>1389</v>
      </c>
      <c r="W265" s="47" t="s">
        <v>1720</v>
      </c>
      <c r="X265" s="47" t="s">
        <v>1389</v>
      </c>
      <c r="Y265" s="47" t="s">
        <v>1389</v>
      </c>
      <c r="AA265" s="327"/>
      <c r="AB265" s="327"/>
      <c r="AC265" s="33" t="s">
        <v>450</v>
      </c>
      <c r="AG265" s="33" t="s">
        <v>1319</v>
      </c>
      <c r="AH265" s="33" t="s">
        <v>243</v>
      </c>
      <c r="AI265" s="138" t="s">
        <v>577</v>
      </c>
      <c r="AJ265" s="33" t="s">
        <v>132</v>
      </c>
      <c r="AK265" s="141" t="s">
        <v>1620</v>
      </c>
      <c r="AL265" s="33" t="s">
        <v>319</v>
      </c>
      <c r="AM265" s="33" t="s">
        <v>319</v>
      </c>
      <c r="AN265" s="33" t="s">
        <v>177</v>
      </c>
      <c r="AT265" s="33" t="s">
        <v>320</v>
      </c>
      <c r="AU265" s="33" t="s">
        <v>320</v>
      </c>
      <c r="AV265" s="33" t="s">
        <v>177</v>
      </c>
      <c r="AW265" s="33" t="s">
        <v>160</v>
      </c>
      <c r="AX265" s="33">
        <v>4</v>
      </c>
      <c r="AZ265" s="33" t="s">
        <v>141</v>
      </c>
      <c r="BB265" s="33">
        <v>4531</v>
      </c>
      <c r="BC265" s="33">
        <v>9</v>
      </c>
      <c r="BD265" s="54"/>
      <c r="BP265" s="402"/>
      <c r="BQ265" s="402"/>
      <c r="BU265" s="402"/>
      <c r="BV265" s="402"/>
      <c r="BZ265" s="402"/>
      <c r="CA265" s="402"/>
      <c r="CE265" s="555"/>
      <c r="CF265" s="555"/>
      <c r="CG265" s="555"/>
      <c r="CH265" s="555"/>
      <c r="GU265" s="33">
        <v>69.540000000000006</v>
      </c>
      <c r="GV265" s="33">
        <v>76.900000000000006</v>
      </c>
      <c r="GY265" s="33" t="s">
        <v>1702</v>
      </c>
      <c r="HY265" s="33">
        <v>8.06</v>
      </c>
      <c r="HZ265" s="33">
        <v>9.73</v>
      </c>
      <c r="JB265" s="33" t="s">
        <v>330</v>
      </c>
    </row>
    <row r="266" spans="1:262" s="33" customFormat="1" x14ac:dyDescent="0.25">
      <c r="A266" s="33">
        <v>18</v>
      </c>
      <c r="B266" s="47" t="s">
        <v>3835</v>
      </c>
      <c r="C266" s="33" t="s">
        <v>316</v>
      </c>
      <c r="D266" s="33" t="s">
        <v>317</v>
      </c>
      <c r="E266" s="33">
        <v>2017</v>
      </c>
      <c r="F266" s="33">
        <v>2011</v>
      </c>
      <c r="G266" s="204" t="s">
        <v>329</v>
      </c>
      <c r="H266" s="33" t="s">
        <v>318</v>
      </c>
      <c r="I266" s="32" t="s">
        <v>2815</v>
      </c>
      <c r="J266" s="33">
        <v>40.716666666666669</v>
      </c>
      <c r="K266" s="33">
        <v>-77.916666666666671</v>
      </c>
      <c r="L266" s="33">
        <v>350</v>
      </c>
      <c r="P266" s="33">
        <v>975</v>
      </c>
      <c r="R266" s="47">
        <v>1</v>
      </c>
      <c r="S266" s="47" t="s">
        <v>1728</v>
      </c>
      <c r="T266" s="47"/>
      <c r="U266" s="47" t="s">
        <v>1866</v>
      </c>
      <c r="V266" s="47" t="s">
        <v>1389</v>
      </c>
      <c r="W266" s="47" t="s">
        <v>1720</v>
      </c>
      <c r="X266" s="47" t="s">
        <v>1389</v>
      </c>
      <c r="Y266" s="47" t="s">
        <v>1389</v>
      </c>
      <c r="AA266" s="327"/>
      <c r="AB266" s="327"/>
      <c r="AC266" s="33" t="s">
        <v>450</v>
      </c>
      <c r="AG266" s="33" t="s">
        <v>1319</v>
      </c>
      <c r="AH266" s="33" t="s">
        <v>1577</v>
      </c>
      <c r="AI266" s="138" t="s">
        <v>1129</v>
      </c>
      <c r="AJ266" s="33" t="s">
        <v>132</v>
      </c>
      <c r="AK266" s="141" t="s">
        <v>1620</v>
      </c>
      <c r="AL266" s="33" t="s">
        <v>319</v>
      </c>
      <c r="AM266" s="33" t="s">
        <v>319</v>
      </c>
      <c r="AN266" s="33" t="s">
        <v>177</v>
      </c>
      <c r="AT266" s="33" t="s">
        <v>320</v>
      </c>
      <c r="AU266" s="33" t="s">
        <v>320</v>
      </c>
      <c r="AV266" s="33" t="s">
        <v>177</v>
      </c>
      <c r="AW266" s="33" t="s">
        <v>160</v>
      </c>
      <c r="AX266" s="33">
        <v>4</v>
      </c>
      <c r="AZ266" s="33" t="s">
        <v>141</v>
      </c>
      <c r="BB266" s="33">
        <v>1381</v>
      </c>
      <c r="BC266" s="33">
        <v>15.7</v>
      </c>
      <c r="BD266" s="54"/>
      <c r="BP266" s="402"/>
      <c r="BQ266" s="402"/>
      <c r="BU266" s="402"/>
      <c r="BV266" s="402"/>
      <c r="BZ266" s="402"/>
      <c r="CA266" s="402"/>
      <c r="CE266" s="555"/>
      <c r="CF266" s="555"/>
      <c r="CG266" s="555"/>
      <c r="CH266" s="555"/>
      <c r="GU266" s="33">
        <v>69.540000000000006</v>
      </c>
      <c r="GV266" s="33">
        <v>73.55</v>
      </c>
      <c r="GY266" s="33" t="s">
        <v>1702</v>
      </c>
      <c r="HY266" s="33">
        <v>8.06</v>
      </c>
      <c r="HZ266" s="33">
        <v>10.210000000000001</v>
      </c>
      <c r="JB266" s="33" t="s">
        <v>330</v>
      </c>
    </row>
    <row r="267" spans="1:262" s="33" customFormat="1" x14ac:dyDescent="0.25">
      <c r="A267" s="33">
        <v>18</v>
      </c>
      <c r="B267" s="47" t="s">
        <v>3836</v>
      </c>
      <c r="C267" s="33" t="s">
        <v>316</v>
      </c>
      <c r="D267" s="33" t="s">
        <v>317</v>
      </c>
      <c r="E267" s="33">
        <v>2017</v>
      </c>
      <c r="F267" s="33">
        <v>2011</v>
      </c>
      <c r="G267" s="204" t="s">
        <v>329</v>
      </c>
      <c r="H267" s="33" t="s">
        <v>318</v>
      </c>
      <c r="I267" s="32" t="s">
        <v>2815</v>
      </c>
      <c r="J267" s="33">
        <v>40.716666666666669</v>
      </c>
      <c r="K267" s="33">
        <v>-77.916666666666671</v>
      </c>
      <c r="L267" s="33">
        <v>350</v>
      </c>
      <c r="P267" s="33">
        <v>975</v>
      </c>
      <c r="R267" s="47">
        <v>1</v>
      </c>
      <c r="S267" s="47" t="s">
        <v>1728</v>
      </c>
      <c r="T267" s="47"/>
      <c r="U267" s="47" t="s">
        <v>1866</v>
      </c>
      <c r="V267" s="47" t="s">
        <v>1389</v>
      </c>
      <c r="W267" s="47" t="s">
        <v>1720</v>
      </c>
      <c r="X267" s="47" t="s">
        <v>1389</v>
      </c>
      <c r="Y267" s="47" t="s">
        <v>1389</v>
      </c>
      <c r="AA267" s="327"/>
      <c r="AB267" s="327"/>
      <c r="AC267" s="33" t="s">
        <v>450</v>
      </c>
      <c r="AG267" s="33" t="s">
        <v>1319</v>
      </c>
      <c r="AH267" s="33" t="s">
        <v>520</v>
      </c>
      <c r="AI267" s="138" t="s">
        <v>1581</v>
      </c>
      <c r="AJ267" s="33" t="s">
        <v>132</v>
      </c>
      <c r="AK267" s="141" t="s">
        <v>1620</v>
      </c>
      <c r="AL267" s="33" t="s">
        <v>319</v>
      </c>
      <c r="AM267" s="33" t="s">
        <v>319</v>
      </c>
      <c r="AN267" s="33" t="s">
        <v>177</v>
      </c>
      <c r="AT267" s="33" t="s">
        <v>320</v>
      </c>
      <c r="AU267" s="33" t="s">
        <v>320</v>
      </c>
      <c r="AV267" s="33" t="s">
        <v>177</v>
      </c>
      <c r="AW267" s="33" t="s">
        <v>160</v>
      </c>
      <c r="AX267" s="33">
        <v>4</v>
      </c>
      <c r="AZ267" s="33" t="s">
        <v>141</v>
      </c>
      <c r="BB267" s="33">
        <v>1901</v>
      </c>
      <c r="BC267" s="33">
        <v>17.899999999999999</v>
      </c>
      <c r="BD267" s="54"/>
      <c r="BP267" s="402"/>
      <c r="BQ267" s="402"/>
      <c r="BU267" s="402"/>
      <c r="BV267" s="402"/>
      <c r="BZ267" s="402"/>
      <c r="CA267" s="402"/>
      <c r="CE267" s="555"/>
      <c r="CF267" s="555"/>
      <c r="CG267" s="555"/>
      <c r="CH267" s="555"/>
      <c r="GU267" s="33">
        <v>69.540000000000006</v>
      </c>
      <c r="GV267" s="33">
        <v>78.150000000000006</v>
      </c>
      <c r="GY267" s="33" t="s">
        <v>1702</v>
      </c>
      <c r="HY267" s="33">
        <v>8.06</v>
      </c>
      <c r="HZ267" s="33">
        <v>11.92</v>
      </c>
      <c r="JB267" s="33" t="s">
        <v>330</v>
      </c>
    </row>
    <row r="268" spans="1:262" s="33" customFormat="1" x14ac:dyDescent="0.25">
      <c r="A268" s="33">
        <v>18</v>
      </c>
      <c r="B268" s="47" t="s">
        <v>3835</v>
      </c>
      <c r="C268" s="33" t="s">
        <v>316</v>
      </c>
      <c r="D268" s="33" t="s">
        <v>317</v>
      </c>
      <c r="E268" s="33">
        <v>2017</v>
      </c>
      <c r="F268" s="33">
        <v>2011</v>
      </c>
      <c r="G268" s="204" t="s">
        <v>329</v>
      </c>
      <c r="H268" s="33" t="s">
        <v>318</v>
      </c>
      <c r="I268" s="32" t="s">
        <v>2815</v>
      </c>
      <c r="J268" s="33">
        <v>40.716666666666669</v>
      </c>
      <c r="K268" s="33">
        <v>-77.916666666666671</v>
      </c>
      <c r="L268" s="33">
        <v>350</v>
      </c>
      <c r="P268" s="33">
        <v>975</v>
      </c>
      <c r="R268" s="47">
        <v>1</v>
      </c>
      <c r="S268" s="47" t="s">
        <v>1728</v>
      </c>
      <c r="T268" s="47"/>
      <c r="U268" s="47" t="s">
        <v>1866</v>
      </c>
      <c r="V268" s="47" t="s">
        <v>1389</v>
      </c>
      <c r="W268" s="47" t="s">
        <v>1720</v>
      </c>
      <c r="X268" s="47" t="s">
        <v>1389</v>
      </c>
      <c r="Y268" s="47" t="s">
        <v>1389</v>
      </c>
      <c r="AA268" s="327"/>
      <c r="AB268" s="327"/>
      <c r="AC268" s="33" t="s">
        <v>450</v>
      </c>
      <c r="AG268" s="33" t="s">
        <v>1319</v>
      </c>
      <c r="AH268" s="33" t="s">
        <v>523</v>
      </c>
      <c r="AI268" s="138" t="s">
        <v>1129</v>
      </c>
      <c r="AJ268" s="33" t="s">
        <v>132</v>
      </c>
      <c r="AK268" s="141" t="s">
        <v>1620</v>
      </c>
      <c r="AL268" s="33" t="s">
        <v>319</v>
      </c>
      <c r="AM268" s="33" t="s">
        <v>319</v>
      </c>
      <c r="AN268" s="33" t="s">
        <v>177</v>
      </c>
      <c r="AT268" s="33" t="s">
        <v>320</v>
      </c>
      <c r="AU268" s="33" t="s">
        <v>320</v>
      </c>
      <c r="AV268" s="33" t="s">
        <v>177</v>
      </c>
      <c r="AW268" s="33" t="s">
        <v>160</v>
      </c>
      <c r="AX268" s="33">
        <v>4</v>
      </c>
      <c r="AZ268" s="33" t="s">
        <v>141</v>
      </c>
      <c r="BB268" s="33">
        <v>7165</v>
      </c>
      <c r="BC268" s="33">
        <v>24.2</v>
      </c>
      <c r="BD268" s="54"/>
      <c r="BP268" s="402"/>
      <c r="BQ268" s="402"/>
      <c r="BU268" s="402"/>
      <c r="BV268" s="402"/>
      <c r="BZ268" s="402"/>
      <c r="CA268" s="402"/>
      <c r="CE268" s="555"/>
      <c r="CF268" s="555"/>
      <c r="CG268" s="555"/>
      <c r="CH268" s="555"/>
      <c r="GU268" s="33">
        <v>69.540000000000006</v>
      </c>
      <c r="GV268" s="33">
        <v>74.7</v>
      </c>
      <c r="GY268" s="33" t="s">
        <v>1702</v>
      </c>
      <c r="HY268" s="33">
        <v>8.06</v>
      </c>
      <c r="HZ268" s="33">
        <v>9.8000000000000007</v>
      </c>
      <c r="JB268" s="33" t="s">
        <v>330</v>
      </c>
    </row>
    <row r="269" spans="1:262" s="33" customFormat="1" x14ac:dyDescent="0.25">
      <c r="A269" s="33">
        <v>18</v>
      </c>
      <c r="B269" s="47" t="s">
        <v>3836</v>
      </c>
      <c r="C269" s="33" t="s">
        <v>316</v>
      </c>
      <c r="D269" s="33" t="s">
        <v>317</v>
      </c>
      <c r="E269" s="33">
        <v>2017</v>
      </c>
      <c r="F269" s="33">
        <v>2011</v>
      </c>
      <c r="G269" s="204" t="s">
        <v>329</v>
      </c>
      <c r="H269" s="33" t="s">
        <v>318</v>
      </c>
      <c r="I269" s="32" t="s">
        <v>2815</v>
      </c>
      <c r="J269" s="33">
        <v>40.716666666666669</v>
      </c>
      <c r="K269" s="33">
        <v>-77.916666666666671</v>
      </c>
      <c r="L269" s="33">
        <v>350</v>
      </c>
      <c r="P269" s="33">
        <v>975</v>
      </c>
      <c r="R269" s="47">
        <v>1</v>
      </c>
      <c r="S269" s="47" t="s">
        <v>1728</v>
      </c>
      <c r="T269" s="47"/>
      <c r="U269" s="47" t="s">
        <v>1866</v>
      </c>
      <c r="V269" s="47" t="s">
        <v>1389</v>
      </c>
      <c r="W269" s="47" t="s">
        <v>1720</v>
      </c>
      <c r="X269" s="47" t="s">
        <v>1389</v>
      </c>
      <c r="Y269" s="47" t="s">
        <v>1389</v>
      </c>
      <c r="AA269" s="327"/>
      <c r="AB269" s="327"/>
      <c r="AC269" s="33" t="s">
        <v>450</v>
      </c>
      <c r="AG269" s="33" t="s">
        <v>1319</v>
      </c>
      <c r="AH269" s="33" t="s">
        <v>131</v>
      </c>
      <c r="AI269" s="138" t="s">
        <v>131</v>
      </c>
      <c r="AJ269" s="33" t="s">
        <v>132</v>
      </c>
      <c r="AK269" s="141" t="s">
        <v>1620</v>
      </c>
      <c r="AL269" s="33" t="s">
        <v>319</v>
      </c>
      <c r="AM269" s="33" t="s">
        <v>319</v>
      </c>
      <c r="AN269" s="33" t="s">
        <v>177</v>
      </c>
      <c r="AT269" s="33" t="s">
        <v>320</v>
      </c>
      <c r="AU269" s="33" t="s">
        <v>320</v>
      </c>
      <c r="AV269" s="33" t="s">
        <v>177</v>
      </c>
      <c r="AW269" s="33" t="s">
        <v>160</v>
      </c>
      <c r="AX269" s="33">
        <v>4</v>
      </c>
      <c r="AZ269" s="33" t="s">
        <v>141</v>
      </c>
      <c r="BB269" s="33">
        <v>7343</v>
      </c>
      <c r="BC269" s="33">
        <v>42.9</v>
      </c>
      <c r="BD269" s="54"/>
      <c r="BP269" s="402"/>
      <c r="BQ269" s="402"/>
      <c r="BU269" s="402"/>
      <c r="BV269" s="402"/>
      <c r="BZ269" s="402"/>
      <c r="CA269" s="402"/>
      <c r="CE269" s="555"/>
      <c r="CF269" s="555"/>
      <c r="CG269" s="555"/>
      <c r="CH269" s="555"/>
      <c r="GU269" s="33">
        <v>69.540000000000006</v>
      </c>
      <c r="GV269" s="33">
        <v>74.03</v>
      </c>
      <c r="GY269" s="33" t="s">
        <v>1702</v>
      </c>
      <c r="HY269" s="33">
        <v>8.06</v>
      </c>
      <c r="HZ269" s="33">
        <v>12.28</v>
      </c>
      <c r="JB269" s="33" t="s">
        <v>330</v>
      </c>
    </row>
    <row r="270" spans="1:262" s="33" customFormat="1" x14ac:dyDescent="0.25">
      <c r="A270" s="33">
        <v>18</v>
      </c>
      <c r="B270" s="47" t="s">
        <v>3837</v>
      </c>
      <c r="C270" s="33" t="s">
        <v>316</v>
      </c>
      <c r="D270" s="33" t="s">
        <v>317</v>
      </c>
      <c r="E270" s="33">
        <v>2017</v>
      </c>
      <c r="F270" s="33">
        <v>2011</v>
      </c>
      <c r="G270" s="204" t="s">
        <v>329</v>
      </c>
      <c r="H270" s="33" t="s">
        <v>318</v>
      </c>
      <c r="I270" s="32" t="s">
        <v>2815</v>
      </c>
      <c r="J270" s="33">
        <v>40.716666666666669</v>
      </c>
      <c r="K270" s="33">
        <v>-77.916666666666671</v>
      </c>
      <c r="L270" s="33">
        <v>350</v>
      </c>
      <c r="P270" s="33">
        <v>975</v>
      </c>
      <c r="R270" s="47">
        <v>1</v>
      </c>
      <c r="S270" s="47" t="s">
        <v>1728</v>
      </c>
      <c r="T270" s="47"/>
      <c r="U270" s="47" t="s">
        <v>1866</v>
      </c>
      <c r="V270" s="47" t="s">
        <v>1389</v>
      </c>
      <c r="W270" s="47" t="s">
        <v>1720</v>
      </c>
      <c r="X270" s="47" t="s">
        <v>1389</v>
      </c>
      <c r="Y270" s="47" t="s">
        <v>1389</v>
      </c>
      <c r="AA270" s="327"/>
      <c r="AB270" s="327"/>
      <c r="AC270" s="33" t="s">
        <v>450</v>
      </c>
      <c r="AG270" s="33" t="s">
        <v>1319</v>
      </c>
      <c r="AH270" s="33" t="s">
        <v>1504</v>
      </c>
      <c r="AI270" s="138" t="s">
        <v>635</v>
      </c>
      <c r="AJ270" s="33" t="s">
        <v>132</v>
      </c>
      <c r="AK270" s="141" t="s">
        <v>1620</v>
      </c>
      <c r="AL270" s="33" t="s">
        <v>319</v>
      </c>
      <c r="AM270" s="33" t="s">
        <v>319</v>
      </c>
      <c r="AN270" s="33" t="s">
        <v>177</v>
      </c>
      <c r="AT270" s="33" t="s">
        <v>320</v>
      </c>
      <c r="AU270" s="33" t="s">
        <v>320</v>
      </c>
      <c r="AV270" s="33" t="s">
        <v>177</v>
      </c>
      <c r="AW270" s="33" t="s">
        <v>160</v>
      </c>
      <c r="AX270" s="33">
        <v>4</v>
      </c>
      <c r="AZ270" s="33" t="s">
        <v>141</v>
      </c>
      <c r="BB270" s="33">
        <v>5850</v>
      </c>
      <c r="BC270" s="33">
        <v>29.9</v>
      </c>
      <c r="BD270" s="54"/>
      <c r="BP270" s="402"/>
      <c r="BQ270" s="402"/>
      <c r="BU270" s="402"/>
      <c r="BV270" s="402"/>
      <c r="BZ270" s="402"/>
      <c r="CA270" s="402"/>
      <c r="CE270" s="555"/>
      <c r="CF270" s="555"/>
      <c r="CG270" s="555"/>
      <c r="CH270" s="555"/>
      <c r="GU270" s="33">
        <v>69.540000000000006</v>
      </c>
      <c r="GV270" s="33">
        <v>74.53</v>
      </c>
      <c r="GY270" s="33" t="s">
        <v>1702</v>
      </c>
      <c r="HY270" s="33">
        <v>8.06</v>
      </c>
      <c r="HZ270" s="33">
        <v>10.97</v>
      </c>
      <c r="JB270" s="33" t="s">
        <v>330</v>
      </c>
    </row>
    <row r="271" spans="1:262" s="33" customFormat="1" x14ac:dyDescent="0.25">
      <c r="A271" s="33">
        <v>18</v>
      </c>
      <c r="B271" s="47" t="s">
        <v>3837</v>
      </c>
      <c r="C271" s="33" t="s">
        <v>316</v>
      </c>
      <c r="D271" s="33" t="s">
        <v>317</v>
      </c>
      <c r="E271" s="33">
        <v>2017</v>
      </c>
      <c r="F271" s="33">
        <v>2011</v>
      </c>
      <c r="G271" s="204" t="s">
        <v>329</v>
      </c>
      <c r="H271" s="33" t="s">
        <v>318</v>
      </c>
      <c r="I271" s="32" t="s">
        <v>2815</v>
      </c>
      <c r="J271" s="33">
        <v>40.716666666666669</v>
      </c>
      <c r="K271" s="33">
        <v>-77.916666666666671</v>
      </c>
      <c r="L271" s="33">
        <v>350</v>
      </c>
      <c r="P271" s="33">
        <v>975</v>
      </c>
      <c r="R271" s="47">
        <v>1</v>
      </c>
      <c r="S271" s="47" t="s">
        <v>1728</v>
      </c>
      <c r="T271" s="47"/>
      <c r="U271" s="47" t="s">
        <v>1866</v>
      </c>
      <c r="V271" s="47" t="s">
        <v>1389</v>
      </c>
      <c r="W271" s="47" t="s">
        <v>1720</v>
      </c>
      <c r="X271" s="47" t="s">
        <v>1389</v>
      </c>
      <c r="Y271" s="47" t="s">
        <v>1389</v>
      </c>
      <c r="AA271" s="327"/>
      <c r="AB271" s="327"/>
      <c r="AC271" s="33" t="s">
        <v>450</v>
      </c>
      <c r="AG271" s="33" t="s">
        <v>1319</v>
      </c>
      <c r="AH271" s="33" t="s">
        <v>1505</v>
      </c>
      <c r="AI271" s="138" t="s">
        <v>635</v>
      </c>
      <c r="AJ271" s="33" t="s">
        <v>132</v>
      </c>
      <c r="AK271" s="141" t="s">
        <v>1620</v>
      </c>
      <c r="AL271" s="33" t="s">
        <v>319</v>
      </c>
      <c r="AM271" s="33" t="s">
        <v>319</v>
      </c>
      <c r="AN271" s="33" t="s">
        <v>177</v>
      </c>
      <c r="AT271" s="33" t="s">
        <v>320</v>
      </c>
      <c r="AU271" s="33" t="s">
        <v>320</v>
      </c>
      <c r="AV271" s="33" t="s">
        <v>177</v>
      </c>
      <c r="AW271" s="33" t="s">
        <v>160</v>
      </c>
      <c r="AX271" s="33">
        <v>4</v>
      </c>
      <c r="AZ271" s="33" t="s">
        <v>141</v>
      </c>
      <c r="BB271" s="33">
        <v>1724</v>
      </c>
      <c r="BC271" s="33">
        <v>15.4</v>
      </c>
      <c r="BD271" s="54"/>
      <c r="BP271" s="402"/>
      <c r="BQ271" s="402"/>
      <c r="BU271" s="402"/>
      <c r="BV271" s="402"/>
      <c r="BZ271" s="402"/>
      <c r="CA271" s="402"/>
      <c r="CE271" s="555"/>
      <c r="CF271" s="555"/>
      <c r="CG271" s="555"/>
      <c r="CH271" s="555"/>
      <c r="GU271" s="33">
        <v>69.540000000000006</v>
      </c>
      <c r="GV271" s="33">
        <v>76.25</v>
      </c>
      <c r="GY271" s="33" t="s">
        <v>1702</v>
      </c>
      <c r="HY271" s="33">
        <v>8.06</v>
      </c>
      <c r="HZ271" s="33">
        <v>12.2</v>
      </c>
      <c r="JB271" s="33" t="s">
        <v>330</v>
      </c>
    </row>
    <row r="272" spans="1:262" s="33" customFormat="1" x14ac:dyDescent="0.25">
      <c r="A272" s="33">
        <v>18</v>
      </c>
      <c r="B272" s="47" t="s">
        <v>3837</v>
      </c>
      <c r="C272" s="33" t="s">
        <v>316</v>
      </c>
      <c r="D272" s="33" t="s">
        <v>317</v>
      </c>
      <c r="E272" s="33">
        <v>2017</v>
      </c>
      <c r="F272" s="33">
        <v>2011</v>
      </c>
      <c r="G272" s="204" t="s">
        <v>329</v>
      </c>
      <c r="H272" s="33" t="s">
        <v>318</v>
      </c>
      <c r="I272" s="32" t="s">
        <v>2815</v>
      </c>
      <c r="J272" s="33">
        <v>40.716666666666669</v>
      </c>
      <c r="K272" s="33">
        <v>-77.916666666666671</v>
      </c>
      <c r="L272" s="33">
        <v>350</v>
      </c>
      <c r="P272" s="33">
        <v>975</v>
      </c>
      <c r="R272" s="47">
        <v>1</v>
      </c>
      <c r="S272" s="47" t="s">
        <v>1728</v>
      </c>
      <c r="T272" s="47"/>
      <c r="U272" s="47" t="s">
        <v>1866</v>
      </c>
      <c r="V272" s="47" t="s">
        <v>1389</v>
      </c>
      <c r="W272" s="47" t="s">
        <v>1720</v>
      </c>
      <c r="X272" s="47" t="s">
        <v>1389</v>
      </c>
      <c r="Y272" s="47" t="s">
        <v>1389</v>
      </c>
      <c r="AA272" s="327"/>
      <c r="AB272" s="327"/>
      <c r="AC272" s="33" t="s">
        <v>450</v>
      </c>
      <c r="AG272" s="33" t="s">
        <v>1319</v>
      </c>
      <c r="AH272" s="33" t="s">
        <v>1506</v>
      </c>
      <c r="AI272" s="138" t="s">
        <v>635</v>
      </c>
      <c r="AJ272" s="33" t="s">
        <v>132</v>
      </c>
      <c r="AK272" s="141" t="s">
        <v>1620</v>
      </c>
      <c r="AL272" s="33" t="s">
        <v>319</v>
      </c>
      <c r="AM272" s="33" t="s">
        <v>319</v>
      </c>
      <c r="AN272" s="33" t="s">
        <v>177</v>
      </c>
      <c r="AT272" s="33" t="s">
        <v>320</v>
      </c>
      <c r="AU272" s="33" t="s">
        <v>320</v>
      </c>
      <c r="AV272" s="33" t="s">
        <v>177</v>
      </c>
      <c r="AW272" s="33" t="s">
        <v>160</v>
      </c>
      <c r="AX272" s="33">
        <v>4</v>
      </c>
      <c r="AZ272" s="33" t="s">
        <v>141</v>
      </c>
      <c r="BB272" s="33">
        <v>6699</v>
      </c>
      <c r="BC272" s="33">
        <v>16.399999999999999</v>
      </c>
      <c r="BD272" s="54"/>
      <c r="BP272" s="402"/>
      <c r="BQ272" s="402"/>
      <c r="BU272" s="402"/>
      <c r="BV272" s="402"/>
      <c r="BZ272" s="402"/>
      <c r="CA272" s="402"/>
      <c r="CE272" s="555"/>
      <c r="CF272" s="555"/>
      <c r="CG272" s="555"/>
      <c r="CH272" s="555"/>
      <c r="GU272" s="33">
        <v>69.540000000000006</v>
      </c>
      <c r="GV272" s="33">
        <v>76.3</v>
      </c>
      <c r="GY272" s="33" t="s">
        <v>1702</v>
      </c>
      <c r="HY272" s="33">
        <v>8.06</v>
      </c>
      <c r="HZ272" s="33">
        <v>11.89</v>
      </c>
      <c r="JB272" s="33" t="s">
        <v>330</v>
      </c>
    </row>
    <row r="273" spans="1:262" s="33" customFormat="1" x14ac:dyDescent="0.25">
      <c r="A273" s="33">
        <v>18</v>
      </c>
      <c r="B273" s="47" t="s">
        <v>3837</v>
      </c>
      <c r="C273" s="33" t="s">
        <v>316</v>
      </c>
      <c r="D273" s="33" t="s">
        <v>317</v>
      </c>
      <c r="E273" s="33">
        <v>2017</v>
      </c>
      <c r="F273" s="33">
        <v>2011</v>
      </c>
      <c r="G273" s="204" t="s">
        <v>329</v>
      </c>
      <c r="H273" s="33" t="s">
        <v>318</v>
      </c>
      <c r="I273" s="32" t="s">
        <v>2815</v>
      </c>
      <c r="J273" s="33">
        <v>40.716666666666669</v>
      </c>
      <c r="K273" s="33">
        <v>-77.916666666666671</v>
      </c>
      <c r="L273" s="33">
        <v>350</v>
      </c>
      <c r="P273" s="33">
        <v>975</v>
      </c>
      <c r="R273" s="47">
        <v>1</v>
      </c>
      <c r="S273" s="47" t="s">
        <v>1728</v>
      </c>
      <c r="T273" s="47"/>
      <c r="U273" s="47" t="s">
        <v>1866</v>
      </c>
      <c r="V273" s="47" t="s">
        <v>1389</v>
      </c>
      <c r="W273" s="47" t="s">
        <v>1720</v>
      </c>
      <c r="X273" s="47" t="s">
        <v>1389</v>
      </c>
      <c r="Y273" s="47" t="s">
        <v>1389</v>
      </c>
      <c r="AA273" s="327"/>
      <c r="AB273" s="327"/>
      <c r="AC273" s="33" t="s">
        <v>450</v>
      </c>
      <c r="AG273" s="33" t="s">
        <v>1319</v>
      </c>
      <c r="AH273" s="33" t="s">
        <v>1507</v>
      </c>
      <c r="AI273" s="138" t="s">
        <v>635</v>
      </c>
      <c r="AJ273" s="33" t="s">
        <v>132</v>
      </c>
      <c r="AK273" s="141" t="s">
        <v>1620</v>
      </c>
      <c r="AL273" s="33" t="s">
        <v>319</v>
      </c>
      <c r="AM273" s="33" t="s">
        <v>319</v>
      </c>
      <c r="AN273" s="33" t="s">
        <v>177</v>
      </c>
      <c r="AT273" s="33" t="s">
        <v>320</v>
      </c>
      <c r="AU273" s="33" t="s">
        <v>320</v>
      </c>
      <c r="AV273" s="33" t="s">
        <v>177</v>
      </c>
      <c r="AW273" s="33" t="s">
        <v>160</v>
      </c>
      <c r="AX273" s="33">
        <v>4</v>
      </c>
      <c r="AZ273" s="33" t="s">
        <v>141</v>
      </c>
      <c r="BB273" s="33">
        <v>6997</v>
      </c>
      <c r="BC273" s="33">
        <v>35.9</v>
      </c>
      <c r="BD273" s="54"/>
      <c r="BP273" s="402"/>
      <c r="BQ273" s="402"/>
      <c r="BU273" s="402"/>
      <c r="BV273" s="402"/>
      <c r="BZ273" s="402"/>
      <c r="CA273" s="402"/>
      <c r="CE273" s="555"/>
      <c r="CF273" s="555"/>
      <c r="CG273" s="555"/>
      <c r="CH273" s="555"/>
      <c r="GU273" s="33">
        <v>69.540000000000006</v>
      </c>
      <c r="GV273" s="33">
        <v>73.819999999999993</v>
      </c>
      <c r="GY273" s="33" t="s">
        <v>1702</v>
      </c>
      <c r="HY273" s="33">
        <v>8.06</v>
      </c>
      <c r="HZ273" s="33">
        <v>10.119999999999999</v>
      </c>
      <c r="JB273" s="33" t="s">
        <v>330</v>
      </c>
    </row>
    <row r="274" spans="1:262" s="33" customFormat="1" x14ac:dyDescent="0.25">
      <c r="A274" s="33">
        <v>18</v>
      </c>
      <c r="B274" s="47" t="s">
        <v>3837</v>
      </c>
      <c r="C274" s="33" t="s">
        <v>316</v>
      </c>
      <c r="D274" s="33" t="s">
        <v>317</v>
      </c>
      <c r="E274" s="33">
        <v>2017</v>
      </c>
      <c r="F274" s="33">
        <v>2011</v>
      </c>
      <c r="G274" s="204" t="s">
        <v>329</v>
      </c>
      <c r="H274" s="33" t="s">
        <v>318</v>
      </c>
      <c r="I274" s="32" t="s">
        <v>2815</v>
      </c>
      <c r="J274" s="33">
        <v>40.716666666666669</v>
      </c>
      <c r="K274" s="33">
        <v>-77.916666666666671</v>
      </c>
      <c r="L274" s="33">
        <v>350</v>
      </c>
      <c r="P274" s="33">
        <v>975</v>
      </c>
      <c r="R274" s="47">
        <v>1</v>
      </c>
      <c r="S274" s="47" t="s">
        <v>1728</v>
      </c>
      <c r="T274" s="47"/>
      <c r="U274" s="47" t="s">
        <v>1866</v>
      </c>
      <c r="V274" s="47" t="s">
        <v>1389</v>
      </c>
      <c r="W274" s="47" t="s">
        <v>1720</v>
      </c>
      <c r="X274" s="47" t="s">
        <v>1389</v>
      </c>
      <c r="Y274" s="47" t="s">
        <v>1389</v>
      </c>
      <c r="AA274" s="327"/>
      <c r="AB274" s="327"/>
      <c r="AC274" s="33" t="s">
        <v>450</v>
      </c>
      <c r="AG274" s="33" t="s">
        <v>1319</v>
      </c>
      <c r="AH274" s="33" t="s">
        <v>1508</v>
      </c>
      <c r="AI274" s="138" t="s">
        <v>635</v>
      </c>
      <c r="AJ274" s="33" t="s">
        <v>132</v>
      </c>
      <c r="AK274" s="141" t="s">
        <v>1620</v>
      </c>
      <c r="AL274" s="33" t="s">
        <v>319</v>
      </c>
      <c r="AM274" s="33" t="s">
        <v>319</v>
      </c>
      <c r="AN274" s="33" t="s">
        <v>177</v>
      </c>
      <c r="AT274" s="33" t="s">
        <v>320</v>
      </c>
      <c r="AU274" s="33" t="s">
        <v>320</v>
      </c>
      <c r="AV274" s="33" t="s">
        <v>177</v>
      </c>
      <c r="AW274" s="33" t="s">
        <v>160</v>
      </c>
      <c r="AX274" s="33">
        <v>4</v>
      </c>
      <c r="AZ274" s="33" t="s">
        <v>141</v>
      </c>
      <c r="BB274" s="33">
        <v>5374</v>
      </c>
      <c r="BC274" s="33">
        <v>11</v>
      </c>
      <c r="BD274" s="54"/>
      <c r="BP274" s="402"/>
      <c r="BQ274" s="402"/>
      <c r="BU274" s="402"/>
      <c r="BV274" s="402"/>
      <c r="BZ274" s="402"/>
      <c r="CA274" s="402"/>
      <c r="CE274" s="555"/>
      <c r="CF274" s="555"/>
      <c r="CG274" s="555"/>
      <c r="CH274" s="555"/>
      <c r="GU274" s="33">
        <v>69.540000000000006</v>
      </c>
      <c r="GV274" s="33">
        <v>76.52</v>
      </c>
      <c r="GY274" s="33" t="s">
        <v>1702</v>
      </c>
      <c r="HY274" s="33">
        <v>8.06</v>
      </c>
      <c r="HZ274" s="33">
        <v>10.73</v>
      </c>
      <c r="JB274" s="33" t="s">
        <v>330</v>
      </c>
    </row>
    <row r="275" spans="1:262" s="33" customFormat="1" x14ac:dyDescent="0.25">
      <c r="A275" s="33">
        <v>18</v>
      </c>
      <c r="B275" s="47" t="s">
        <v>3837</v>
      </c>
      <c r="C275" s="33" t="s">
        <v>316</v>
      </c>
      <c r="D275" s="33" t="s">
        <v>317</v>
      </c>
      <c r="E275" s="33">
        <v>2017</v>
      </c>
      <c r="F275" s="33">
        <v>2011</v>
      </c>
      <c r="G275" s="204" t="s">
        <v>329</v>
      </c>
      <c r="H275" s="33" t="s">
        <v>318</v>
      </c>
      <c r="I275" s="32" t="s">
        <v>2815</v>
      </c>
      <c r="J275" s="33">
        <v>40.716666666666669</v>
      </c>
      <c r="K275" s="33">
        <v>-77.916666666666671</v>
      </c>
      <c r="L275" s="33">
        <v>350</v>
      </c>
      <c r="P275" s="33">
        <v>975</v>
      </c>
      <c r="R275" s="47">
        <v>1</v>
      </c>
      <c r="S275" s="47" t="s">
        <v>1728</v>
      </c>
      <c r="T275" s="47"/>
      <c r="U275" s="47" t="s">
        <v>1866</v>
      </c>
      <c r="V275" s="47" t="s">
        <v>1389</v>
      </c>
      <c r="W275" s="47" t="s">
        <v>1720</v>
      </c>
      <c r="X275" s="47" t="s">
        <v>1389</v>
      </c>
      <c r="Y275" s="47" t="s">
        <v>1389</v>
      </c>
      <c r="AA275" s="327"/>
      <c r="AB275" s="327"/>
      <c r="AC275" s="33" t="s">
        <v>450</v>
      </c>
      <c r="AG275" s="33" t="s">
        <v>1319</v>
      </c>
      <c r="AH275" s="33" t="s">
        <v>321</v>
      </c>
      <c r="AI275" s="138" t="s">
        <v>635</v>
      </c>
      <c r="AJ275" s="33" t="s">
        <v>132</v>
      </c>
      <c r="AK275" s="141" t="s">
        <v>1620</v>
      </c>
      <c r="AL275" s="33" t="s">
        <v>319</v>
      </c>
      <c r="AM275" s="33" t="s">
        <v>319</v>
      </c>
      <c r="AN275" s="33" t="s">
        <v>177</v>
      </c>
      <c r="AT275" s="33" t="s">
        <v>320</v>
      </c>
      <c r="AU275" s="33" t="s">
        <v>320</v>
      </c>
      <c r="AV275" s="33" t="s">
        <v>177</v>
      </c>
      <c r="AW275" s="33" t="s">
        <v>160</v>
      </c>
      <c r="AX275" s="33">
        <v>4</v>
      </c>
      <c r="AZ275" s="33" t="s">
        <v>141</v>
      </c>
      <c r="BB275" s="33">
        <v>7143</v>
      </c>
      <c r="BC275" s="33">
        <v>15</v>
      </c>
      <c r="BD275" s="54"/>
      <c r="BP275" s="402"/>
      <c r="BQ275" s="402"/>
      <c r="BU275" s="402"/>
      <c r="BV275" s="402"/>
      <c r="BZ275" s="402"/>
      <c r="CA275" s="402"/>
      <c r="CE275" s="555"/>
      <c r="CF275" s="555"/>
      <c r="CG275" s="555"/>
      <c r="CH275" s="555"/>
      <c r="GU275" s="33">
        <v>69.540000000000006</v>
      </c>
      <c r="GV275" s="33">
        <v>78.099999999999994</v>
      </c>
      <c r="GY275" s="33" t="s">
        <v>1702</v>
      </c>
      <c r="HY275" s="33">
        <v>8.06</v>
      </c>
      <c r="HZ275" s="33">
        <v>11.61</v>
      </c>
      <c r="JB275" s="33" t="s">
        <v>330</v>
      </c>
    </row>
    <row r="276" spans="1:262" s="28" customFormat="1" x14ac:dyDescent="0.25">
      <c r="A276" s="28">
        <v>18</v>
      </c>
      <c r="B276" s="46" t="s">
        <v>3834</v>
      </c>
      <c r="C276" s="28" t="s">
        <v>316</v>
      </c>
      <c r="D276" s="28" t="s">
        <v>317</v>
      </c>
      <c r="E276" s="28">
        <v>2017</v>
      </c>
      <c r="F276" s="28">
        <v>2012</v>
      </c>
      <c r="G276" s="205" t="s">
        <v>329</v>
      </c>
      <c r="H276" s="28" t="s">
        <v>318</v>
      </c>
      <c r="I276" s="32" t="s">
        <v>2815</v>
      </c>
      <c r="J276" s="28">
        <v>40.716666666666669</v>
      </c>
      <c r="K276" s="28">
        <v>-77.916666666666671</v>
      </c>
      <c r="L276" s="28">
        <v>350</v>
      </c>
      <c r="P276" s="28">
        <v>975</v>
      </c>
      <c r="R276" s="46">
        <v>2</v>
      </c>
      <c r="S276" s="46" t="s">
        <v>1728</v>
      </c>
      <c r="T276" s="46"/>
      <c r="U276" s="46" t="s">
        <v>1866</v>
      </c>
      <c r="V276" s="46" t="s">
        <v>1389</v>
      </c>
      <c r="W276" s="46" t="s">
        <v>1720</v>
      </c>
      <c r="X276" s="46" t="s">
        <v>1389</v>
      </c>
      <c r="Y276" s="46" t="s">
        <v>1389</v>
      </c>
      <c r="AA276" s="326"/>
      <c r="AB276" s="326"/>
      <c r="AC276" s="28" t="s">
        <v>450</v>
      </c>
      <c r="AG276" s="28" t="s">
        <v>1319</v>
      </c>
      <c r="AH276" s="28" t="s">
        <v>1530</v>
      </c>
      <c r="AI276" s="138" t="s">
        <v>577</v>
      </c>
      <c r="AJ276" s="28" t="s">
        <v>132</v>
      </c>
      <c r="AK276" s="141" t="s">
        <v>1620</v>
      </c>
      <c r="AL276" s="28" t="s">
        <v>319</v>
      </c>
      <c r="AM276" s="28" t="s">
        <v>319</v>
      </c>
      <c r="AN276" s="28" t="s">
        <v>177</v>
      </c>
      <c r="AT276" s="28" t="s">
        <v>320</v>
      </c>
      <c r="AU276" s="28" t="s">
        <v>320</v>
      </c>
      <c r="AV276" s="28" t="s">
        <v>177</v>
      </c>
      <c r="AW276" s="28" t="s">
        <v>160</v>
      </c>
      <c r="AX276" s="28">
        <v>4</v>
      </c>
      <c r="AZ276" s="28" t="s">
        <v>141</v>
      </c>
      <c r="BB276" s="28">
        <v>61</v>
      </c>
      <c r="BC276" s="28">
        <v>9.3000000000000007</v>
      </c>
      <c r="BD276" s="54"/>
      <c r="BP276" s="401"/>
      <c r="BQ276" s="401"/>
      <c r="BU276" s="401"/>
      <c r="BV276" s="401"/>
      <c r="BZ276" s="401"/>
      <c r="CA276" s="401"/>
      <c r="CE276" s="554"/>
      <c r="CF276" s="554"/>
      <c r="CG276" s="554"/>
      <c r="CH276" s="554"/>
      <c r="GU276" s="28">
        <v>77.319999999999993</v>
      </c>
      <c r="GV276" s="28">
        <v>85.89</v>
      </c>
      <c r="GY276" s="28" t="s">
        <v>1702</v>
      </c>
      <c r="HY276" s="28">
        <v>11.14</v>
      </c>
      <c r="HZ276" s="28">
        <v>9.98</v>
      </c>
      <c r="JB276" s="28" t="s">
        <v>330</v>
      </c>
    </row>
    <row r="277" spans="1:262" s="28" customFormat="1" x14ac:dyDescent="0.25">
      <c r="A277" s="28">
        <v>18</v>
      </c>
      <c r="B277" s="46" t="s">
        <v>3834</v>
      </c>
      <c r="C277" s="28" t="s">
        <v>316</v>
      </c>
      <c r="D277" s="28" t="s">
        <v>317</v>
      </c>
      <c r="E277" s="28">
        <v>2017</v>
      </c>
      <c r="F277" s="28">
        <v>2012</v>
      </c>
      <c r="G277" s="205" t="s">
        <v>329</v>
      </c>
      <c r="H277" s="28" t="s">
        <v>318</v>
      </c>
      <c r="I277" s="32" t="s">
        <v>2815</v>
      </c>
      <c r="J277" s="28">
        <v>40.716666666666669</v>
      </c>
      <c r="K277" s="28">
        <v>-77.916666666666671</v>
      </c>
      <c r="L277" s="28">
        <v>350</v>
      </c>
      <c r="P277" s="28">
        <v>975</v>
      </c>
      <c r="R277" s="46">
        <v>2</v>
      </c>
      <c r="S277" s="46" t="s">
        <v>1728</v>
      </c>
      <c r="T277" s="46"/>
      <c r="U277" s="46" t="s">
        <v>1866</v>
      </c>
      <c r="V277" s="46" t="s">
        <v>1389</v>
      </c>
      <c r="W277" s="46" t="s">
        <v>1720</v>
      </c>
      <c r="X277" s="46" t="s">
        <v>1389</v>
      </c>
      <c r="Y277" s="46" t="s">
        <v>1389</v>
      </c>
      <c r="AA277" s="326"/>
      <c r="AB277" s="326"/>
      <c r="AC277" s="28" t="s">
        <v>450</v>
      </c>
      <c r="AG277" s="28" t="s">
        <v>1319</v>
      </c>
      <c r="AH277" s="28" t="s">
        <v>1152</v>
      </c>
      <c r="AI277" s="138" t="s">
        <v>577</v>
      </c>
      <c r="AJ277" s="28" t="s">
        <v>132</v>
      </c>
      <c r="AK277" s="141" t="s">
        <v>1620</v>
      </c>
      <c r="AL277" s="28" t="s">
        <v>319</v>
      </c>
      <c r="AM277" s="28" t="s">
        <v>319</v>
      </c>
      <c r="AN277" s="28" t="s">
        <v>177</v>
      </c>
      <c r="AT277" s="28" t="s">
        <v>320</v>
      </c>
      <c r="AU277" s="28" t="s">
        <v>320</v>
      </c>
      <c r="AV277" s="28" t="s">
        <v>177</v>
      </c>
      <c r="AW277" s="28" t="s">
        <v>160</v>
      </c>
      <c r="AX277" s="28">
        <v>4</v>
      </c>
      <c r="AZ277" s="28" t="s">
        <v>141</v>
      </c>
      <c r="BB277" s="28">
        <v>418</v>
      </c>
      <c r="BC277" s="28">
        <v>9.5</v>
      </c>
      <c r="BD277" s="54"/>
      <c r="BP277" s="401"/>
      <c r="BQ277" s="401"/>
      <c r="BU277" s="401"/>
      <c r="BV277" s="401"/>
      <c r="BZ277" s="401"/>
      <c r="CA277" s="401"/>
      <c r="CE277" s="554"/>
      <c r="CF277" s="554"/>
      <c r="CG277" s="554"/>
      <c r="CH277" s="554"/>
      <c r="GU277" s="28">
        <v>77.319999999999993</v>
      </c>
      <c r="GV277" s="28">
        <v>82.78</v>
      </c>
      <c r="GY277" s="28" t="s">
        <v>1702</v>
      </c>
      <c r="HY277" s="28">
        <v>11.14</v>
      </c>
      <c r="HZ277" s="28">
        <v>9.44</v>
      </c>
      <c r="JB277" s="28" t="s">
        <v>330</v>
      </c>
    </row>
    <row r="278" spans="1:262" s="28" customFormat="1" x14ac:dyDescent="0.25">
      <c r="A278" s="28">
        <v>18</v>
      </c>
      <c r="B278" s="46" t="s">
        <v>3834</v>
      </c>
      <c r="C278" s="28" t="s">
        <v>316</v>
      </c>
      <c r="D278" s="28" t="s">
        <v>317</v>
      </c>
      <c r="E278" s="28">
        <v>2017</v>
      </c>
      <c r="F278" s="28">
        <v>2012</v>
      </c>
      <c r="G278" s="205" t="s">
        <v>329</v>
      </c>
      <c r="H278" s="28" t="s">
        <v>318</v>
      </c>
      <c r="I278" s="32" t="s">
        <v>2815</v>
      </c>
      <c r="J278" s="28">
        <v>40.716666666666669</v>
      </c>
      <c r="K278" s="28">
        <v>-77.916666666666671</v>
      </c>
      <c r="L278" s="28">
        <v>350</v>
      </c>
      <c r="P278" s="28">
        <v>975</v>
      </c>
      <c r="R278" s="46">
        <v>2</v>
      </c>
      <c r="S278" s="46" t="s">
        <v>1728</v>
      </c>
      <c r="T278" s="46"/>
      <c r="U278" s="46" t="s">
        <v>1866</v>
      </c>
      <c r="V278" s="46" t="s">
        <v>1389</v>
      </c>
      <c r="W278" s="46" t="s">
        <v>1720</v>
      </c>
      <c r="X278" s="46" t="s">
        <v>1389</v>
      </c>
      <c r="Y278" s="46" t="s">
        <v>1389</v>
      </c>
      <c r="AA278" s="326"/>
      <c r="AB278" s="326"/>
      <c r="AC278" s="28" t="s">
        <v>450</v>
      </c>
      <c r="AG278" s="28" t="s">
        <v>1319</v>
      </c>
      <c r="AH278" s="28" t="s">
        <v>1531</v>
      </c>
      <c r="AI278" s="138" t="s">
        <v>577</v>
      </c>
      <c r="AJ278" s="28" t="s">
        <v>132</v>
      </c>
      <c r="AK278" s="141" t="s">
        <v>1620</v>
      </c>
      <c r="AL278" s="28" t="s">
        <v>319</v>
      </c>
      <c r="AM278" s="28" t="s">
        <v>319</v>
      </c>
      <c r="AN278" s="28" t="s">
        <v>177</v>
      </c>
      <c r="AT278" s="28" t="s">
        <v>320</v>
      </c>
      <c r="AU278" s="28" t="s">
        <v>320</v>
      </c>
      <c r="AV278" s="28" t="s">
        <v>177</v>
      </c>
      <c r="AW278" s="28" t="s">
        <v>160</v>
      </c>
      <c r="AX278" s="28">
        <v>4</v>
      </c>
      <c r="AZ278" s="28" t="s">
        <v>141</v>
      </c>
      <c r="BB278" s="28">
        <v>4045</v>
      </c>
      <c r="BC278" s="28">
        <v>10.3</v>
      </c>
      <c r="BD278" s="54"/>
      <c r="BP278" s="401"/>
      <c r="BQ278" s="401"/>
      <c r="BU278" s="401"/>
      <c r="BV278" s="401"/>
      <c r="BZ278" s="401"/>
      <c r="CA278" s="401"/>
      <c r="CE278" s="554"/>
      <c r="CF278" s="554"/>
      <c r="CG278" s="554"/>
      <c r="CH278" s="554"/>
      <c r="GU278" s="28">
        <v>77.319999999999993</v>
      </c>
      <c r="GV278" s="28">
        <v>86.2</v>
      </c>
      <c r="GY278" s="28" t="s">
        <v>1702</v>
      </c>
      <c r="HY278" s="28">
        <v>11.14</v>
      </c>
      <c r="HZ278" s="28">
        <v>11.5</v>
      </c>
      <c r="JB278" s="28" t="s">
        <v>330</v>
      </c>
    </row>
    <row r="279" spans="1:262" s="28" customFormat="1" x14ac:dyDescent="0.25">
      <c r="A279" s="28">
        <v>18</v>
      </c>
      <c r="B279" s="46" t="s">
        <v>3834</v>
      </c>
      <c r="C279" s="28" t="s">
        <v>316</v>
      </c>
      <c r="D279" s="28" t="s">
        <v>317</v>
      </c>
      <c r="E279" s="28">
        <v>2017</v>
      </c>
      <c r="F279" s="28">
        <v>2012</v>
      </c>
      <c r="G279" s="205" t="s">
        <v>329</v>
      </c>
      <c r="H279" s="28" t="s">
        <v>318</v>
      </c>
      <c r="I279" s="32" t="s">
        <v>2815</v>
      </c>
      <c r="J279" s="28">
        <v>40.716666666666669</v>
      </c>
      <c r="K279" s="28">
        <v>-77.916666666666671</v>
      </c>
      <c r="L279" s="28">
        <v>350</v>
      </c>
      <c r="P279" s="28">
        <v>975</v>
      </c>
      <c r="R279" s="46">
        <v>2</v>
      </c>
      <c r="S279" s="46" t="s">
        <v>1728</v>
      </c>
      <c r="T279" s="46"/>
      <c r="U279" s="46" t="s">
        <v>1866</v>
      </c>
      <c r="V279" s="46" t="s">
        <v>1389</v>
      </c>
      <c r="W279" s="46" t="s">
        <v>1720</v>
      </c>
      <c r="X279" s="46" t="s">
        <v>1389</v>
      </c>
      <c r="Y279" s="46" t="s">
        <v>1389</v>
      </c>
      <c r="AA279" s="326"/>
      <c r="AB279" s="326"/>
      <c r="AC279" s="28" t="s">
        <v>450</v>
      </c>
      <c r="AG279" s="28" t="s">
        <v>1319</v>
      </c>
      <c r="AH279" s="28" t="s">
        <v>243</v>
      </c>
      <c r="AI279" s="138" t="s">
        <v>577</v>
      </c>
      <c r="AJ279" s="28" t="s">
        <v>132</v>
      </c>
      <c r="AK279" s="141" t="s">
        <v>1620</v>
      </c>
      <c r="AL279" s="28" t="s">
        <v>319</v>
      </c>
      <c r="AM279" s="28" t="s">
        <v>319</v>
      </c>
      <c r="AN279" s="28" t="s">
        <v>177</v>
      </c>
      <c r="AT279" s="28" t="s">
        <v>320</v>
      </c>
      <c r="AU279" s="28" t="s">
        <v>320</v>
      </c>
      <c r="AV279" s="28" t="s">
        <v>177</v>
      </c>
      <c r="AW279" s="28" t="s">
        <v>160</v>
      </c>
      <c r="AX279" s="28">
        <v>4</v>
      </c>
      <c r="AZ279" s="28" t="s">
        <v>141</v>
      </c>
      <c r="BB279" s="28">
        <v>4531</v>
      </c>
      <c r="BC279" s="28">
        <v>9</v>
      </c>
      <c r="BD279" s="54"/>
      <c r="BP279" s="401"/>
      <c r="BQ279" s="401"/>
      <c r="BU279" s="401"/>
      <c r="BV279" s="401"/>
      <c r="BZ279" s="401"/>
      <c r="CA279" s="401"/>
      <c r="CE279" s="554"/>
      <c r="CF279" s="554"/>
      <c r="CG279" s="554"/>
      <c r="CH279" s="554"/>
      <c r="GU279" s="28">
        <v>77.319999999999993</v>
      </c>
      <c r="GV279" s="28">
        <v>87.33</v>
      </c>
      <c r="GY279" s="28" t="s">
        <v>1702</v>
      </c>
      <c r="HY279" s="28">
        <v>11.14</v>
      </c>
      <c r="HZ279" s="28">
        <v>17.059999999999999</v>
      </c>
      <c r="JB279" s="28" t="s">
        <v>330</v>
      </c>
    </row>
    <row r="280" spans="1:262" s="28" customFormat="1" x14ac:dyDescent="0.25">
      <c r="A280" s="28">
        <v>18</v>
      </c>
      <c r="B280" s="46" t="s">
        <v>3835</v>
      </c>
      <c r="C280" s="28" t="s">
        <v>316</v>
      </c>
      <c r="D280" s="28" t="s">
        <v>317</v>
      </c>
      <c r="E280" s="28">
        <v>2017</v>
      </c>
      <c r="F280" s="28">
        <v>2012</v>
      </c>
      <c r="G280" s="205" t="s">
        <v>329</v>
      </c>
      <c r="H280" s="28" t="s">
        <v>318</v>
      </c>
      <c r="I280" s="32" t="s">
        <v>2815</v>
      </c>
      <c r="J280" s="28">
        <v>40.716666666666669</v>
      </c>
      <c r="K280" s="28">
        <v>-77.916666666666671</v>
      </c>
      <c r="L280" s="28">
        <v>350</v>
      </c>
      <c r="P280" s="28">
        <v>975</v>
      </c>
      <c r="R280" s="46">
        <v>2</v>
      </c>
      <c r="S280" s="46" t="s">
        <v>1728</v>
      </c>
      <c r="T280" s="46"/>
      <c r="U280" s="46" t="s">
        <v>1866</v>
      </c>
      <c r="V280" s="46" t="s">
        <v>1389</v>
      </c>
      <c r="W280" s="46" t="s">
        <v>1720</v>
      </c>
      <c r="X280" s="46" t="s">
        <v>1389</v>
      </c>
      <c r="Y280" s="46" t="s">
        <v>1389</v>
      </c>
      <c r="AA280" s="326"/>
      <c r="AB280" s="326"/>
      <c r="AC280" s="28" t="s">
        <v>450</v>
      </c>
      <c r="AG280" s="28" t="s">
        <v>1319</v>
      </c>
      <c r="AH280" s="28" t="s">
        <v>1577</v>
      </c>
      <c r="AI280" s="138" t="s">
        <v>1129</v>
      </c>
      <c r="AJ280" s="28" t="s">
        <v>132</v>
      </c>
      <c r="AK280" s="141" t="s">
        <v>1620</v>
      </c>
      <c r="AL280" s="28" t="s">
        <v>319</v>
      </c>
      <c r="AM280" s="28" t="s">
        <v>319</v>
      </c>
      <c r="AN280" s="28" t="s">
        <v>177</v>
      </c>
      <c r="AT280" s="28" t="s">
        <v>320</v>
      </c>
      <c r="AU280" s="28" t="s">
        <v>320</v>
      </c>
      <c r="AV280" s="28" t="s">
        <v>177</v>
      </c>
      <c r="AW280" s="28" t="s">
        <v>160</v>
      </c>
      <c r="AX280" s="28">
        <v>4</v>
      </c>
      <c r="AZ280" s="28" t="s">
        <v>141</v>
      </c>
      <c r="BB280" s="28">
        <v>1381</v>
      </c>
      <c r="BC280" s="28">
        <v>15.7</v>
      </c>
      <c r="BD280" s="54"/>
      <c r="BP280" s="401"/>
      <c r="BQ280" s="401"/>
      <c r="BU280" s="401"/>
      <c r="BV280" s="401"/>
      <c r="BZ280" s="401"/>
      <c r="CA280" s="401"/>
      <c r="CE280" s="554"/>
      <c r="CF280" s="554"/>
      <c r="CG280" s="554"/>
      <c r="CH280" s="554"/>
      <c r="GU280" s="28">
        <v>77.319999999999993</v>
      </c>
      <c r="GV280" s="28">
        <v>84.98</v>
      </c>
      <c r="GY280" s="28" t="s">
        <v>1702</v>
      </c>
      <c r="HY280" s="28">
        <v>11.14</v>
      </c>
      <c r="HZ280" s="28">
        <v>10.33</v>
      </c>
      <c r="JB280" s="28" t="s">
        <v>330</v>
      </c>
    </row>
    <row r="281" spans="1:262" s="28" customFormat="1" x14ac:dyDescent="0.25">
      <c r="A281" s="28">
        <v>18</v>
      </c>
      <c r="B281" s="46" t="s">
        <v>3836</v>
      </c>
      <c r="C281" s="28" t="s">
        <v>316</v>
      </c>
      <c r="D281" s="28" t="s">
        <v>317</v>
      </c>
      <c r="E281" s="28">
        <v>2017</v>
      </c>
      <c r="F281" s="28">
        <v>2012</v>
      </c>
      <c r="G281" s="205" t="s">
        <v>329</v>
      </c>
      <c r="H281" s="28" t="s">
        <v>318</v>
      </c>
      <c r="I281" s="32" t="s">
        <v>2815</v>
      </c>
      <c r="J281" s="28">
        <v>40.716666666666669</v>
      </c>
      <c r="K281" s="28">
        <v>-77.916666666666671</v>
      </c>
      <c r="L281" s="28">
        <v>350</v>
      </c>
      <c r="P281" s="28">
        <v>975</v>
      </c>
      <c r="R281" s="46">
        <v>2</v>
      </c>
      <c r="S281" s="46" t="s">
        <v>1728</v>
      </c>
      <c r="T281" s="46"/>
      <c r="U281" s="46" t="s">
        <v>1866</v>
      </c>
      <c r="V281" s="46" t="s">
        <v>1389</v>
      </c>
      <c r="W281" s="46" t="s">
        <v>1720</v>
      </c>
      <c r="X281" s="46" t="s">
        <v>1389</v>
      </c>
      <c r="Y281" s="46" t="s">
        <v>1389</v>
      </c>
      <c r="AA281" s="326"/>
      <c r="AB281" s="326"/>
      <c r="AC281" s="28" t="s">
        <v>450</v>
      </c>
      <c r="AG281" s="28" t="s">
        <v>1319</v>
      </c>
      <c r="AH281" s="28" t="s">
        <v>520</v>
      </c>
      <c r="AI281" s="138" t="s">
        <v>1581</v>
      </c>
      <c r="AJ281" s="28" t="s">
        <v>132</v>
      </c>
      <c r="AK281" s="141" t="s">
        <v>1620</v>
      </c>
      <c r="AL281" s="28" t="s">
        <v>319</v>
      </c>
      <c r="AM281" s="28" t="s">
        <v>319</v>
      </c>
      <c r="AN281" s="28" t="s">
        <v>177</v>
      </c>
      <c r="AT281" s="28" t="s">
        <v>320</v>
      </c>
      <c r="AU281" s="28" t="s">
        <v>320</v>
      </c>
      <c r="AV281" s="28" t="s">
        <v>177</v>
      </c>
      <c r="AW281" s="28" t="s">
        <v>160</v>
      </c>
      <c r="AX281" s="28">
        <v>4</v>
      </c>
      <c r="AZ281" s="28" t="s">
        <v>141</v>
      </c>
      <c r="BB281" s="28">
        <v>1901</v>
      </c>
      <c r="BC281" s="28">
        <v>17.899999999999999</v>
      </c>
      <c r="BD281" s="54"/>
      <c r="BP281" s="401"/>
      <c r="BQ281" s="401"/>
      <c r="BU281" s="401"/>
      <c r="BV281" s="401"/>
      <c r="BZ281" s="401"/>
      <c r="CA281" s="401"/>
      <c r="CE281" s="554"/>
      <c r="CF281" s="554"/>
      <c r="CG281" s="554"/>
      <c r="CH281" s="554"/>
      <c r="GU281" s="28">
        <v>77.319999999999993</v>
      </c>
      <c r="GV281" s="28">
        <v>88.13</v>
      </c>
      <c r="GY281" s="28" t="s">
        <v>1702</v>
      </c>
      <c r="HY281" s="28">
        <v>11.14</v>
      </c>
      <c r="HZ281" s="28">
        <v>12.67</v>
      </c>
      <c r="JB281" s="28" t="s">
        <v>330</v>
      </c>
    </row>
    <row r="282" spans="1:262" s="28" customFormat="1" x14ac:dyDescent="0.25">
      <c r="A282" s="28">
        <v>18</v>
      </c>
      <c r="B282" s="46" t="s">
        <v>3835</v>
      </c>
      <c r="C282" s="28" t="s">
        <v>316</v>
      </c>
      <c r="D282" s="28" t="s">
        <v>317</v>
      </c>
      <c r="E282" s="28">
        <v>2017</v>
      </c>
      <c r="F282" s="28">
        <v>2012</v>
      </c>
      <c r="G282" s="205" t="s">
        <v>329</v>
      </c>
      <c r="H282" s="28" t="s">
        <v>318</v>
      </c>
      <c r="I282" s="32" t="s">
        <v>2815</v>
      </c>
      <c r="J282" s="28">
        <v>40.716666666666669</v>
      </c>
      <c r="K282" s="28">
        <v>-77.916666666666671</v>
      </c>
      <c r="L282" s="28">
        <v>350</v>
      </c>
      <c r="P282" s="28">
        <v>975</v>
      </c>
      <c r="R282" s="46">
        <v>2</v>
      </c>
      <c r="S282" s="46" t="s">
        <v>1728</v>
      </c>
      <c r="T282" s="46"/>
      <c r="U282" s="46" t="s">
        <v>1866</v>
      </c>
      <c r="V282" s="46" t="s">
        <v>1389</v>
      </c>
      <c r="W282" s="46" t="s">
        <v>1720</v>
      </c>
      <c r="X282" s="46" t="s">
        <v>1389</v>
      </c>
      <c r="Y282" s="46" t="s">
        <v>1389</v>
      </c>
      <c r="AA282" s="326"/>
      <c r="AB282" s="326"/>
      <c r="AC282" s="28" t="s">
        <v>450</v>
      </c>
      <c r="AG282" s="28" t="s">
        <v>1319</v>
      </c>
      <c r="AH282" s="28" t="s">
        <v>523</v>
      </c>
      <c r="AI282" s="138" t="s">
        <v>1129</v>
      </c>
      <c r="AJ282" s="28" t="s">
        <v>132</v>
      </c>
      <c r="AK282" s="141" t="s">
        <v>1620</v>
      </c>
      <c r="AL282" s="28" t="s">
        <v>319</v>
      </c>
      <c r="AM282" s="28" t="s">
        <v>319</v>
      </c>
      <c r="AN282" s="28" t="s">
        <v>177</v>
      </c>
      <c r="AT282" s="28" t="s">
        <v>320</v>
      </c>
      <c r="AU282" s="28" t="s">
        <v>320</v>
      </c>
      <c r="AV282" s="28" t="s">
        <v>177</v>
      </c>
      <c r="AW282" s="28" t="s">
        <v>160</v>
      </c>
      <c r="AX282" s="28">
        <v>4</v>
      </c>
      <c r="AZ282" s="28" t="s">
        <v>141</v>
      </c>
      <c r="BB282" s="28">
        <v>7165</v>
      </c>
      <c r="BC282" s="28">
        <v>24.2</v>
      </c>
      <c r="BD282" s="54"/>
      <c r="BP282" s="401"/>
      <c r="BQ282" s="401"/>
      <c r="BU282" s="401"/>
      <c r="BV282" s="401"/>
      <c r="BZ282" s="401"/>
      <c r="CA282" s="401"/>
      <c r="CE282" s="554"/>
      <c r="CF282" s="554"/>
      <c r="CG282" s="554"/>
      <c r="CH282" s="554"/>
      <c r="GU282" s="28">
        <v>77.319999999999993</v>
      </c>
      <c r="GV282" s="28">
        <v>89.74</v>
      </c>
      <c r="GY282" s="28" t="s">
        <v>1702</v>
      </c>
      <c r="HY282" s="28">
        <v>11.14</v>
      </c>
      <c r="HZ282" s="28">
        <v>11.23</v>
      </c>
      <c r="JB282" s="28" t="s">
        <v>330</v>
      </c>
    </row>
    <row r="283" spans="1:262" s="28" customFormat="1" x14ac:dyDescent="0.25">
      <c r="A283" s="28">
        <v>18</v>
      </c>
      <c r="B283" s="46" t="s">
        <v>3836</v>
      </c>
      <c r="C283" s="28" t="s">
        <v>316</v>
      </c>
      <c r="D283" s="28" t="s">
        <v>317</v>
      </c>
      <c r="E283" s="28">
        <v>2017</v>
      </c>
      <c r="F283" s="28">
        <v>2012</v>
      </c>
      <c r="G283" s="205" t="s">
        <v>329</v>
      </c>
      <c r="H283" s="28" t="s">
        <v>318</v>
      </c>
      <c r="I283" s="32" t="s">
        <v>2815</v>
      </c>
      <c r="J283" s="28">
        <v>40.716666666666669</v>
      </c>
      <c r="K283" s="28">
        <v>-77.916666666666671</v>
      </c>
      <c r="L283" s="28">
        <v>350</v>
      </c>
      <c r="P283" s="28">
        <v>975</v>
      </c>
      <c r="R283" s="46">
        <v>2</v>
      </c>
      <c r="S283" s="46" t="s">
        <v>1728</v>
      </c>
      <c r="T283" s="46"/>
      <c r="U283" s="46" t="s">
        <v>1866</v>
      </c>
      <c r="V283" s="46" t="s">
        <v>1389</v>
      </c>
      <c r="W283" s="46" t="s">
        <v>1720</v>
      </c>
      <c r="X283" s="46" t="s">
        <v>1389</v>
      </c>
      <c r="Y283" s="46" t="s">
        <v>1389</v>
      </c>
      <c r="AA283" s="326"/>
      <c r="AB283" s="326"/>
      <c r="AC283" s="28" t="s">
        <v>450</v>
      </c>
      <c r="AG283" s="28" t="s">
        <v>1319</v>
      </c>
      <c r="AH283" s="28" t="s">
        <v>131</v>
      </c>
      <c r="AI283" s="138" t="s">
        <v>131</v>
      </c>
      <c r="AJ283" s="28" t="s">
        <v>132</v>
      </c>
      <c r="AK283" s="141" t="s">
        <v>1620</v>
      </c>
      <c r="AL283" s="28" t="s">
        <v>319</v>
      </c>
      <c r="AM283" s="28" t="s">
        <v>319</v>
      </c>
      <c r="AN283" s="28" t="s">
        <v>177</v>
      </c>
      <c r="AT283" s="28" t="s">
        <v>320</v>
      </c>
      <c r="AU283" s="28" t="s">
        <v>320</v>
      </c>
      <c r="AV283" s="28" t="s">
        <v>177</v>
      </c>
      <c r="AW283" s="28" t="s">
        <v>160</v>
      </c>
      <c r="AX283" s="28">
        <v>4</v>
      </c>
      <c r="AZ283" s="28" t="s">
        <v>141</v>
      </c>
      <c r="BB283" s="28">
        <v>7343</v>
      </c>
      <c r="BC283" s="28">
        <v>42.9</v>
      </c>
      <c r="BD283" s="54"/>
      <c r="BP283" s="401"/>
      <c r="BQ283" s="401"/>
      <c r="BU283" s="401"/>
      <c r="BV283" s="401"/>
      <c r="BZ283" s="401"/>
      <c r="CA283" s="401"/>
      <c r="CE283" s="554"/>
      <c r="CF283" s="554"/>
      <c r="CG283" s="554"/>
      <c r="CH283" s="554"/>
      <c r="GU283" s="28">
        <v>77.319999999999993</v>
      </c>
      <c r="GV283" s="28">
        <v>87.96</v>
      </c>
      <c r="GY283" s="28" t="s">
        <v>1702</v>
      </c>
      <c r="HY283" s="28">
        <v>11.14</v>
      </c>
      <c r="HZ283" s="28">
        <v>16.989999999999998</v>
      </c>
      <c r="JB283" s="28" t="s">
        <v>330</v>
      </c>
    </row>
    <row r="284" spans="1:262" s="28" customFormat="1" x14ac:dyDescent="0.25">
      <c r="A284" s="28">
        <v>18</v>
      </c>
      <c r="B284" s="46" t="s">
        <v>3837</v>
      </c>
      <c r="C284" s="28" t="s">
        <v>316</v>
      </c>
      <c r="D284" s="28" t="s">
        <v>317</v>
      </c>
      <c r="E284" s="28">
        <v>2017</v>
      </c>
      <c r="F284" s="28">
        <v>2012</v>
      </c>
      <c r="G284" s="205" t="s">
        <v>329</v>
      </c>
      <c r="H284" s="28" t="s">
        <v>318</v>
      </c>
      <c r="I284" s="32" t="s">
        <v>2815</v>
      </c>
      <c r="J284" s="28">
        <v>40.716666666666669</v>
      </c>
      <c r="K284" s="28">
        <v>-77.916666666666671</v>
      </c>
      <c r="L284" s="28">
        <v>350</v>
      </c>
      <c r="P284" s="28">
        <v>975</v>
      </c>
      <c r="R284" s="46">
        <v>2</v>
      </c>
      <c r="S284" s="46" t="s">
        <v>1728</v>
      </c>
      <c r="T284" s="46"/>
      <c r="U284" s="46" t="s">
        <v>1866</v>
      </c>
      <c r="V284" s="46" t="s">
        <v>1389</v>
      </c>
      <c r="W284" s="46" t="s">
        <v>1720</v>
      </c>
      <c r="X284" s="46" t="s">
        <v>1389</v>
      </c>
      <c r="Y284" s="46" t="s">
        <v>1389</v>
      </c>
      <c r="AA284" s="326"/>
      <c r="AB284" s="326"/>
      <c r="AC284" s="28" t="s">
        <v>450</v>
      </c>
      <c r="AG284" s="28" t="s">
        <v>1319</v>
      </c>
      <c r="AH284" s="28" t="s">
        <v>1504</v>
      </c>
      <c r="AI284" s="138" t="s">
        <v>635</v>
      </c>
      <c r="AJ284" s="28" t="s">
        <v>132</v>
      </c>
      <c r="AK284" s="141" t="s">
        <v>1620</v>
      </c>
      <c r="AL284" s="28" t="s">
        <v>319</v>
      </c>
      <c r="AM284" s="28" t="s">
        <v>319</v>
      </c>
      <c r="AN284" s="28" t="s">
        <v>177</v>
      </c>
      <c r="AT284" s="28" t="s">
        <v>320</v>
      </c>
      <c r="AU284" s="28" t="s">
        <v>320</v>
      </c>
      <c r="AV284" s="28" t="s">
        <v>177</v>
      </c>
      <c r="AW284" s="28" t="s">
        <v>160</v>
      </c>
      <c r="AX284" s="28">
        <v>4</v>
      </c>
      <c r="AZ284" s="28" t="s">
        <v>141</v>
      </c>
      <c r="BB284" s="28">
        <v>5850</v>
      </c>
      <c r="BC284" s="28">
        <v>29.9</v>
      </c>
      <c r="BD284" s="54"/>
      <c r="BP284" s="401"/>
      <c r="BQ284" s="401"/>
      <c r="BU284" s="401"/>
      <c r="BV284" s="401"/>
      <c r="BZ284" s="401"/>
      <c r="CA284" s="401"/>
      <c r="CE284" s="554"/>
      <c r="CF284" s="554"/>
      <c r="CG284" s="554"/>
      <c r="CH284" s="554"/>
      <c r="GU284" s="28">
        <v>77.319999999999993</v>
      </c>
      <c r="GV284" s="28">
        <v>84.98</v>
      </c>
      <c r="GY284" s="28" t="s">
        <v>1702</v>
      </c>
      <c r="HY284" s="28">
        <v>11.14</v>
      </c>
      <c r="HZ284" s="28">
        <v>12.37</v>
      </c>
      <c r="JB284" s="28" t="s">
        <v>330</v>
      </c>
    </row>
    <row r="285" spans="1:262" s="28" customFormat="1" x14ac:dyDescent="0.25">
      <c r="A285" s="28">
        <v>18</v>
      </c>
      <c r="B285" s="46" t="s">
        <v>3837</v>
      </c>
      <c r="C285" s="28" t="s">
        <v>316</v>
      </c>
      <c r="D285" s="28" t="s">
        <v>317</v>
      </c>
      <c r="E285" s="28">
        <v>2017</v>
      </c>
      <c r="F285" s="28">
        <v>2012</v>
      </c>
      <c r="G285" s="205" t="s">
        <v>329</v>
      </c>
      <c r="H285" s="28" t="s">
        <v>318</v>
      </c>
      <c r="I285" s="32" t="s">
        <v>2815</v>
      </c>
      <c r="J285" s="28">
        <v>40.716666666666669</v>
      </c>
      <c r="K285" s="28">
        <v>-77.916666666666671</v>
      </c>
      <c r="L285" s="28">
        <v>350</v>
      </c>
      <c r="P285" s="28">
        <v>975</v>
      </c>
      <c r="R285" s="46">
        <v>2</v>
      </c>
      <c r="S285" s="46" t="s">
        <v>1728</v>
      </c>
      <c r="T285" s="46"/>
      <c r="U285" s="46" t="s">
        <v>1866</v>
      </c>
      <c r="V285" s="46" t="s">
        <v>1389</v>
      </c>
      <c r="W285" s="46" t="s">
        <v>1720</v>
      </c>
      <c r="X285" s="46" t="s">
        <v>1389</v>
      </c>
      <c r="Y285" s="46" t="s">
        <v>1389</v>
      </c>
      <c r="AA285" s="326"/>
      <c r="AB285" s="326"/>
      <c r="AC285" s="28" t="s">
        <v>450</v>
      </c>
      <c r="AG285" s="28" t="s">
        <v>1319</v>
      </c>
      <c r="AH285" s="28" t="s">
        <v>1505</v>
      </c>
      <c r="AI285" s="138" t="s">
        <v>635</v>
      </c>
      <c r="AJ285" s="28" t="s">
        <v>132</v>
      </c>
      <c r="AK285" s="141" t="s">
        <v>1620</v>
      </c>
      <c r="AL285" s="28" t="s">
        <v>319</v>
      </c>
      <c r="AM285" s="28" t="s">
        <v>319</v>
      </c>
      <c r="AN285" s="28" t="s">
        <v>177</v>
      </c>
      <c r="AT285" s="28" t="s">
        <v>320</v>
      </c>
      <c r="AU285" s="28" t="s">
        <v>320</v>
      </c>
      <c r="AV285" s="28" t="s">
        <v>177</v>
      </c>
      <c r="AW285" s="28" t="s">
        <v>160</v>
      </c>
      <c r="AX285" s="28">
        <v>4</v>
      </c>
      <c r="AZ285" s="28" t="s">
        <v>141</v>
      </c>
      <c r="BB285" s="28">
        <v>1724</v>
      </c>
      <c r="BC285" s="28">
        <v>15.4</v>
      </c>
      <c r="BD285" s="54"/>
      <c r="BP285" s="401"/>
      <c r="BQ285" s="401"/>
      <c r="BU285" s="401"/>
      <c r="BV285" s="401"/>
      <c r="BZ285" s="401"/>
      <c r="CA285" s="401"/>
      <c r="CE285" s="554"/>
      <c r="CF285" s="554"/>
      <c r="CG285" s="554"/>
      <c r="CH285" s="554"/>
      <c r="GU285" s="28">
        <v>77.319999999999993</v>
      </c>
      <c r="GV285" s="28">
        <v>89.25</v>
      </c>
      <c r="GY285" s="28" t="s">
        <v>1702</v>
      </c>
      <c r="HY285" s="28">
        <v>11.14</v>
      </c>
      <c r="HZ285" s="28">
        <v>11.31</v>
      </c>
      <c r="JB285" s="28" t="s">
        <v>330</v>
      </c>
    </row>
    <row r="286" spans="1:262" s="28" customFormat="1" x14ac:dyDescent="0.25">
      <c r="A286" s="28">
        <v>18</v>
      </c>
      <c r="B286" s="46" t="s">
        <v>3837</v>
      </c>
      <c r="C286" s="28" t="s">
        <v>316</v>
      </c>
      <c r="D286" s="28" t="s">
        <v>317</v>
      </c>
      <c r="E286" s="28">
        <v>2017</v>
      </c>
      <c r="F286" s="28">
        <v>2012</v>
      </c>
      <c r="G286" s="205" t="s">
        <v>329</v>
      </c>
      <c r="H286" s="28" t="s">
        <v>318</v>
      </c>
      <c r="I286" s="32" t="s">
        <v>2815</v>
      </c>
      <c r="J286" s="28">
        <v>40.716666666666669</v>
      </c>
      <c r="K286" s="28">
        <v>-77.916666666666671</v>
      </c>
      <c r="L286" s="28">
        <v>350</v>
      </c>
      <c r="P286" s="28">
        <v>975</v>
      </c>
      <c r="R286" s="46">
        <v>2</v>
      </c>
      <c r="S286" s="46" t="s">
        <v>1728</v>
      </c>
      <c r="T286" s="46"/>
      <c r="U286" s="46" t="s">
        <v>1866</v>
      </c>
      <c r="V286" s="46" t="s">
        <v>1389</v>
      </c>
      <c r="W286" s="46" t="s">
        <v>1720</v>
      </c>
      <c r="X286" s="46" t="s">
        <v>1389</v>
      </c>
      <c r="Y286" s="46" t="s">
        <v>1389</v>
      </c>
      <c r="AA286" s="326"/>
      <c r="AB286" s="326"/>
      <c r="AC286" s="28" t="s">
        <v>450</v>
      </c>
      <c r="AG286" s="28" t="s">
        <v>1319</v>
      </c>
      <c r="AH286" s="28" t="s">
        <v>1506</v>
      </c>
      <c r="AI286" s="138" t="s">
        <v>635</v>
      </c>
      <c r="AJ286" s="28" t="s">
        <v>132</v>
      </c>
      <c r="AK286" s="141" t="s">
        <v>1620</v>
      </c>
      <c r="AL286" s="28" t="s">
        <v>319</v>
      </c>
      <c r="AM286" s="28" t="s">
        <v>319</v>
      </c>
      <c r="AN286" s="28" t="s">
        <v>177</v>
      </c>
      <c r="AT286" s="28" t="s">
        <v>320</v>
      </c>
      <c r="AU286" s="28" t="s">
        <v>320</v>
      </c>
      <c r="AV286" s="28" t="s">
        <v>177</v>
      </c>
      <c r="AW286" s="28" t="s">
        <v>160</v>
      </c>
      <c r="AX286" s="28">
        <v>4</v>
      </c>
      <c r="AZ286" s="28" t="s">
        <v>141</v>
      </c>
      <c r="BB286" s="28">
        <v>6699</v>
      </c>
      <c r="BC286" s="28">
        <v>16.399999999999999</v>
      </c>
      <c r="BD286" s="54"/>
      <c r="BP286" s="401"/>
      <c r="BQ286" s="401"/>
      <c r="BU286" s="401"/>
      <c r="BV286" s="401"/>
      <c r="BZ286" s="401"/>
      <c r="CA286" s="401"/>
      <c r="CE286" s="554"/>
      <c r="CF286" s="554"/>
      <c r="CG286" s="554"/>
      <c r="CH286" s="554"/>
      <c r="GU286" s="28">
        <v>77.319999999999993</v>
      </c>
      <c r="GV286" s="28">
        <v>87.97</v>
      </c>
      <c r="GY286" s="28" t="s">
        <v>1702</v>
      </c>
      <c r="HY286" s="28">
        <v>11.14</v>
      </c>
      <c r="HZ286" s="28">
        <v>17.8</v>
      </c>
      <c r="JB286" s="28" t="s">
        <v>330</v>
      </c>
    </row>
    <row r="287" spans="1:262" s="28" customFormat="1" x14ac:dyDescent="0.25">
      <c r="A287" s="28">
        <v>18</v>
      </c>
      <c r="B287" s="46" t="s">
        <v>3837</v>
      </c>
      <c r="C287" s="28" t="s">
        <v>316</v>
      </c>
      <c r="D287" s="28" t="s">
        <v>317</v>
      </c>
      <c r="E287" s="28">
        <v>2017</v>
      </c>
      <c r="F287" s="28">
        <v>2012</v>
      </c>
      <c r="G287" s="205" t="s">
        <v>329</v>
      </c>
      <c r="H287" s="28" t="s">
        <v>318</v>
      </c>
      <c r="I287" s="32" t="s">
        <v>2815</v>
      </c>
      <c r="J287" s="28">
        <v>40.716666666666669</v>
      </c>
      <c r="K287" s="28">
        <v>-77.916666666666671</v>
      </c>
      <c r="L287" s="28">
        <v>350</v>
      </c>
      <c r="P287" s="28">
        <v>975</v>
      </c>
      <c r="R287" s="46">
        <v>2</v>
      </c>
      <c r="S287" s="46" t="s">
        <v>1728</v>
      </c>
      <c r="T287" s="46"/>
      <c r="U287" s="46" t="s">
        <v>1866</v>
      </c>
      <c r="V287" s="46" t="s">
        <v>1389</v>
      </c>
      <c r="W287" s="46" t="s">
        <v>1720</v>
      </c>
      <c r="X287" s="46" t="s">
        <v>1389</v>
      </c>
      <c r="Y287" s="46" t="s">
        <v>1389</v>
      </c>
      <c r="AA287" s="326"/>
      <c r="AB287" s="326"/>
      <c r="AC287" s="28" t="s">
        <v>450</v>
      </c>
      <c r="AG287" s="28" t="s">
        <v>1319</v>
      </c>
      <c r="AH287" s="28" t="s">
        <v>1507</v>
      </c>
      <c r="AI287" s="138" t="s">
        <v>635</v>
      </c>
      <c r="AJ287" s="28" t="s">
        <v>132</v>
      </c>
      <c r="AK287" s="141" t="s">
        <v>1620</v>
      </c>
      <c r="AL287" s="28" t="s">
        <v>319</v>
      </c>
      <c r="AM287" s="28" t="s">
        <v>319</v>
      </c>
      <c r="AN287" s="28" t="s">
        <v>177</v>
      </c>
      <c r="AT287" s="28" t="s">
        <v>320</v>
      </c>
      <c r="AU287" s="28" t="s">
        <v>320</v>
      </c>
      <c r="AV287" s="28" t="s">
        <v>177</v>
      </c>
      <c r="AW287" s="28" t="s">
        <v>160</v>
      </c>
      <c r="AX287" s="28">
        <v>4</v>
      </c>
      <c r="AZ287" s="28" t="s">
        <v>141</v>
      </c>
      <c r="BB287" s="28">
        <v>6997</v>
      </c>
      <c r="BC287" s="28">
        <v>35.9</v>
      </c>
      <c r="BD287" s="54"/>
      <c r="BP287" s="401"/>
      <c r="BQ287" s="401"/>
      <c r="BU287" s="401"/>
      <c r="BV287" s="401"/>
      <c r="BZ287" s="401"/>
      <c r="CA287" s="401"/>
      <c r="CE287" s="554"/>
      <c r="CF287" s="554"/>
      <c r="CG287" s="554"/>
      <c r="CH287" s="554"/>
      <c r="GU287" s="28">
        <v>77.319999999999993</v>
      </c>
      <c r="GV287" s="28">
        <v>86.26</v>
      </c>
      <c r="GY287" s="28" t="s">
        <v>1702</v>
      </c>
      <c r="HY287" s="28">
        <v>11.14</v>
      </c>
      <c r="HZ287" s="28">
        <v>14</v>
      </c>
      <c r="JB287" s="28" t="s">
        <v>330</v>
      </c>
    </row>
    <row r="288" spans="1:262" s="28" customFormat="1" x14ac:dyDescent="0.25">
      <c r="A288" s="28">
        <v>18</v>
      </c>
      <c r="B288" s="46" t="s">
        <v>3837</v>
      </c>
      <c r="C288" s="28" t="s">
        <v>316</v>
      </c>
      <c r="D288" s="28" t="s">
        <v>317</v>
      </c>
      <c r="E288" s="28">
        <v>2017</v>
      </c>
      <c r="F288" s="28">
        <v>2012</v>
      </c>
      <c r="G288" s="205" t="s">
        <v>329</v>
      </c>
      <c r="H288" s="28" t="s">
        <v>318</v>
      </c>
      <c r="I288" s="32" t="s">
        <v>2815</v>
      </c>
      <c r="J288" s="28">
        <v>40.716666666666669</v>
      </c>
      <c r="K288" s="28">
        <v>-77.916666666666671</v>
      </c>
      <c r="L288" s="28">
        <v>350</v>
      </c>
      <c r="P288" s="28">
        <v>975</v>
      </c>
      <c r="R288" s="46">
        <v>2</v>
      </c>
      <c r="S288" s="46" t="s">
        <v>1728</v>
      </c>
      <c r="T288" s="46"/>
      <c r="U288" s="46" t="s">
        <v>1866</v>
      </c>
      <c r="V288" s="46" t="s">
        <v>1389</v>
      </c>
      <c r="W288" s="46" t="s">
        <v>1720</v>
      </c>
      <c r="X288" s="46" t="s">
        <v>1389</v>
      </c>
      <c r="Y288" s="46" t="s">
        <v>1389</v>
      </c>
      <c r="AA288" s="326"/>
      <c r="AB288" s="326"/>
      <c r="AC288" s="28" t="s">
        <v>450</v>
      </c>
      <c r="AG288" s="28" t="s">
        <v>1319</v>
      </c>
      <c r="AH288" s="28" t="s">
        <v>1508</v>
      </c>
      <c r="AI288" s="138" t="s">
        <v>635</v>
      </c>
      <c r="AJ288" s="28" t="s">
        <v>132</v>
      </c>
      <c r="AK288" s="141" t="s">
        <v>1620</v>
      </c>
      <c r="AL288" s="28" t="s">
        <v>319</v>
      </c>
      <c r="AM288" s="28" t="s">
        <v>319</v>
      </c>
      <c r="AN288" s="28" t="s">
        <v>177</v>
      </c>
      <c r="AT288" s="28" t="s">
        <v>320</v>
      </c>
      <c r="AU288" s="28" t="s">
        <v>320</v>
      </c>
      <c r="AV288" s="28" t="s">
        <v>177</v>
      </c>
      <c r="AW288" s="28" t="s">
        <v>160</v>
      </c>
      <c r="AX288" s="28">
        <v>4</v>
      </c>
      <c r="AZ288" s="28" t="s">
        <v>141</v>
      </c>
      <c r="BB288" s="28">
        <v>5374</v>
      </c>
      <c r="BC288" s="28">
        <v>11</v>
      </c>
      <c r="BD288" s="54"/>
      <c r="BP288" s="401"/>
      <c r="BQ288" s="401"/>
      <c r="BU288" s="401"/>
      <c r="BV288" s="401"/>
      <c r="BZ288" s="401"/>
      <c r="CA288" s="401"/>
      <c r="CE288" s="554"/>
      <c r="CF288" s="554"/>
      <c r="CG288" s="554"/>
      <c r="CH288" s="554"/>
      <c r="GU288" s="28">
        <v>77.319999999999993</v>
      </c>
      <c r="GV288" s="28">
        <v>89.26</v>
      </c>
      <c r="GY288" s="28" t="s">
        <v>1702</v>
      </c>
      <c r="HY288" s="28">
        <v>11.14</v>
      </c>
      <c r="HZ288" s="28">
        <v>14.56</v>
      </c>
      <c r="JB288" s="28" t="s">
        <v>330</v>
      </c>
    </row>
    <row r="289" spans="1:262" s="28" customFormat="1" x14ac:dyDescent="0.25">
      <c r="A289" s="28">
        <v>18</v>
      </c>
      <c r="B289" s="46" t="s">
        <v>3837</v>
      </c>
      <c r="C289" s="28" t="s">
        <v>316</v>
      </c>
      <c r="D289" s="28" t="s">
        <v>317</v>
      </c>
      <c r="E289" s="28">
        <v>2017</v>
      </c>
      <c r="F289" s="28">
        <v>2012</v>
      </c>
      <c r="G289" s="205" t="s">
        <v>329</v>
      </c>
      <c r="H289" s="28" t="s">
        <v>318</v>
      </c>
      <c r="I289" s="32" t="s">
        <v>2815</v>
      </c>
      <c r="J289" s="28">
        <v>40.716666666666669</v>
      </c>
      <c r="K289" s="28">
        <v>-77.916666666666671</v>
      </c>
      <c r="L289" s="28">
        <v>350</v>
      </c>
      <c r="P289" s="28">
        <v>975</v>
      </c>
      <c r="R289" s="46">
        <v>2</v>
      </c>
      <c r="S289" s="46" t="s">
        <v>1728</v>
      </c>
      <c r="T289" s="46"/>
      <c r="U289" s="46" t="s">
        <v>1866</v>
      </c>
      <c r="V289" s="46" t="s">
        <v>1389</v>
      </c>
      <c r="W289" s="46" t="s">
        <v>1720</v>
      </c>
      <c r="X289" s="46" t="s">
        <v>1389</v>
      </c>
      <c r="Y289" s="46" t="s">
        <v>1389</v>
      </c>
      <c r="AA289" s="326"/>
      <c r="AB289" s="326"/>
      <c r="AC289" s="28" t="s">
        <v>450</v>
      </c>
      <c r="AG289" s="28" t="s">
        <v>1319</v>
      </c>
      <c r="AH289" s="28" t="s">
        <v>321</v>
      </c>
      <c r="AI289" s="138" t="s">
        <v>635</v>
      </c>
      <c r="AJ289" s="28" t="s">
        <v>132</v>
      </c>
      <c r="AK289" s="141" t="s">
        <v>1620</v>
      </c>
      <c r="AL289" s="28" t="s">
        <v>319</v>
      </c>
      <c r="AM289" s="28" t="s">
        <v>319</v>
      </c>
      <c r="AN289" s="28" t="s">
        <v>177</v>
      </c>
      <c r="AT289" s="28" t="s">
        <v>320</v>
      </c>
      <c r="AU289" s="28" t="s">
        <v>320</v>
      </c>
      <c r="AV289" s="28" t="s">
        <v>177</v>
      </c>
      <c r="AW289" s="28" t="s">
        <v>160</v>
      </c>
      <c r="AX289" s="28">
        <v>4</v>
      </c>
      <c r="AZ289" s="28" t="s">
        <v>141</v>
      </c>
      <c r="BB289" s="28">
        <v>7143</v>
      </c>
      <c r="BC289" s="28">
        <v>15</v>
      </c>
      <c r="BD289" s="54"/>
      <c r="BP289" s="401"/>
      <c r="BQ289" s="401"/>
      <c r="BU289" s="401"/>
      <c r="BV289" s="401"/>
      <c r="BZ289" s="401"/>
      <c r="CA289" s="401"/>
      <c r="CE289" s="554"/>
      <c r="CF289" s="554"/>
      <c r="CG289" s="554"/>
      <c r="CH289" s="554"/>
      <c r="GU289" s="28">
        <v>77.319999999999993</v>
      </c>
      <c r="GV289" s="28">
        <v>94.47</v>
      </c>
      <c r="GY289" s="28" t="s">
        <v>1702</v>
      </c>
      <c r="HY289" s="28">
        <v>11.14</v>
      </c>
      <c r="HZ289" s="28">
        <v>15.92</v>
      </c>
      <c r="JB289" s="28" t="s">
        <v>330</v>
      </c>
    </row>
    <row r="290" spans="1:262" s="34" customFormat="1" x14ac:dyDescent="0.25">
      <c r="A290" s="34">
        <v>19</v>
      </c>
      <c r="B290" s="48" t="s">
        <v>3838</v>
      </c>
      <c r="C290" s="34" t="s">
        <v>332</v>
      </c>
      <c r="D290" s="34" t="s">
        <v>333</v>
      </c>
      <c r="E290" s="34">
        <v>1986</v>
      </c>
      <c r="F290" s="34">
        <v>1981</v>
      </c>
      <c r="G290" s="34" t="s">
        <v>302</v>
      </c>
      <c r="H290" s="34" t="s">
        <v>334</v>
      </c>
      <c r="I290" s="32" t="s">
        <v>2815</v>
      </c>
      <c r="J290" s="34">
        <v>33.32</v>
      </c>
      <c r="K290" s="34">
        <v>-84.43</v>
      </c>
      <c r="L290" s="34">
        <v>246.5</v>
      </c>
      <c r="R290" s="48">
        <v>1</v>
      </c>
      <c r="S290" s="48" t="s">
        <v>1728</v>
      </c>
      <c r="T290" s="48"/>
      <c r="U290" s="48" t="s">
        <v>1867</v>
      </c>
      <c r="V290" s="48" t="s">
        <v>1380</v>
      </c>
      <c r="W290" s="48" t="s">
        <v>1716</v>
      </c>
      <c r="X290" s="48" t="s">
        <v>1380</v>
      </c>
      <c r="Y290" s="48" t="s">
        <v>1389</v>
      </c>
      <c r="AA290" s="328"/>
      <c r="AB290" s="328"/>
      <c r="AC290" s="34" t="s">
        <v>240</v>
      </c>
      <c r="AG290" s="34" t="s">
        <v>1320</v>
      </c>
      <c r="AH290" s="34" t="s">
        <v>131</v>
      </c>
      <c r="AI290" s="138" t="s">
        <v>131</v>
      </c>
      <c r="AJ290" s="34" t="s">
        <v>220</v>
      </c>
      <c r="AK290" s="140" t="s">
        <v>220</v>
      </c>
      <c r="AO290" s="34" t="s">
        <v>218</v>
      </c>
      <c r="AP290" s="34" t="s">
        <v>218</v>
      </c>
      <c r="AQ290" s="34" t="s">
        <v>2126</v>
      </c>
      <c r="AR290" s="34" t="s">
        <v>2126</v>
      </c>
      <c r="AS290" s="34" t="s">
        <v>177</v>
      </c>
      <c r="AT290" s="34" t="s">
        <v>338</v>
      </c>
      <c r="AU290" s="34" t="s">
        <v>338</v>
      </c>
      <c r="AW290" s="34" t="s">
        <v>119</v>
      </c>
      <c r="AX290" s="34">
        <v>4</v>
      </c>
      <c r="AZ290" s="34" t="s">
        <v>335</v>
      </c>
      <c r="BB290" s="34">
        <f>3.33*1000</f>
        <v>3330</v>
      </c>
      <c r="BC290" s="34">
        <f>3.33/1.09*10</f>
        <v>30.550458715596328</v>
      </c>
      <c r="BD290" s="53"/>
      <c r="BE290" s="34" t="s">
        <v>340</v>
      </c>
      <c r="BK290" s="34">
        <f>3.43*1000</f>
        <v>3430</v>
      </c>
      <c r="BL290" s="34">
        <f>2.83*1000</f>
        <v>2830</v>
      </c>
      <c r="BO290" s="34" t="s">
        <v>336</v>
      </c>
      <c r="BP290" s="404"/>
      <c r="BQ290" s="404"/>
      <c r="BU290" s="404">
        <f>7.9/1000*100</f>
        <v>0.79</v>
      </c>
      <c r="BV290" s="404">
        <v>0.87</v>
      </c>
      <c r="BY290" s="34" t="s">
        <v>163</v>
      </c>
      <c r="BZ290" s="404"/>
      <c r="CA290" s="404"/>
      <c r="CD290" s="34" t="s">
        <v>3120</v>
      </c>
      <c r="CE290" s="557">
        <v>0.79</v>
      </c>
      <c r="CF290" s="557">
        <v>0.87</v>
      </c>
      <c r="CG290" s="557"/>
      <c r="CH290" s="557"/>
      <c r="CI290" s="34" t="s">
        <v>4542</v>
      </c>
      <c r="CJ290" s="34">
        <f>0.58*1000</f>
        <v>580</v>
      </c>
      <c r="CK290" s="34">
        <v>650</v>
      </c>
      <c r="CN290" s="34" t="s">
        <v>1679</v>
      </c>
      <c r="CO290" s="34">
        <v>55</v>
      </c>
      <c r="CP290" s="34">
        <v>57</v>
      </c>
      <c r="CT290" s="34">
        <v>105</v>
      </c>
      <c r="CU290" s="34">
        <v>97</v>
      </c>
      <c r="CY290" s="34">
        <v>6.7</v>
      </c>
      <c r="CZ290" s="34">
        <v>6.7</v>
      </c>
      <c r="GZ290" s="12"/>
      <c r="HD290" s="12"/>
      <c r="JB290" s="34" t="s">
        <v>350</v>
      </c>
    </row>
    <row r="291" spans="1:262" s="34" customFormat="1" x14ac:dyDescent="0.25">
      <c r="A291" s="34">
        <v>19</v>
      </c>
      <c r="B291" s="48" t="s">
        <v>3839</v>
      </c>
      <c r="C291" s="34" t="s">
        <v>332</v>
      </c>
      <c r="D291" s="34" t="s">
        <v>333</v>
      </c>
      <c r="E291" s="34">
        <v>1986</v>
      </c>
      <c r="F291" s="34">
        <v>1981</v>
      </c>
      <c r="G291" s="34" t="s">
        <v>302</v>
      </c>
      <c r="H291" s="34" t="s">
        <v>334</v>
      </c>
      <c r="I291" s="32" t="s">
        <v>2815</v>
      </c>
      <c r="J291" s="34">
        <v>33.32</v>
      </c>
      <c r="K291" s="34">
        <v>-84.43</v>
      </c>
      <c r="L291" s="34">
        <v>246.5</v>
      </c>
      <c r="R291" s="48">
        <v>1</v>
      </c>
      <c r="S291" s="48" t="s">
        <v>1728</v>
      </c>
      <c r="T291" s="48"/>
      <c r="U291" s="48" t="s">
        <v>1867</v>
      </c>
      <c r="V291" s="48" t="s">
        <v>1380</v>
      </c>
      <c r="W291" s="48" t="s">
        <v>1716</v>
      </c>
      <c r="X291" s="48" t="s">
        <v>1380</v>
      </c>
      <c r="Y291" s="48" t="s">
        <v>1389</v>
      </c>
      <c r="AA291" s="328"/>
      <c r="AB291" s="328"/>
      <c r="AC291" s="34" t="s">
        <v>240</v>
      </c>
      <c r="AG291" s="34" t="s">
        <v>1320</v>
      </c>
      <c r="AH291" s="34" t="s">
        <v>1521</v>
      </c>
      <c r="AI291" s="138" t="s">
        <v>577</v>
      </c>
      <c r="AJ291" s="34" t="s">
        <v>220</v>
      </c>
      <c r="AK291" s="140" t="s">
        <v>220</v>
      </c>
      <c r="AO291" s="34" t="s">
        <v>218</v>
      </c>
      <c r="AP291" s="34" t="s">
        <v>218</v>
      </c>
      <c r="AQ291" s="34" t="s">
        <v>2126</v>
      </c>
      <c r="AR291" s="34" t="s">
        <v>2126</v>
      </c>
      <c r="AS291" s="34" t="s">
        <v>177</v>
      </c>
      <c r="AT291" s="34" t="s">
        <v>338</v>
      </c>
      <c r="AU291" s="34" t="s">
        <v>338</v>
      </c>
      <c r="AW291" s="34" t="s">
        <v>119</v>
      </c>
      <c r="AX291" s="34">
        <v>4</v>
      </c>
      <c r="AZ291" s="34" t="s">
        <v>335</v>
      </c>
      <c r="BB291" s="34">
        <f>3.53*1000</f>
        <v>3530</v>
      </c>
      <c r="BC291" s="34">
        <f>3.53*10/2.92</f>
        <v>12.08904109589041</v>
      </c>
      <c r="BD291" s="53"/>
      <c r="BE291" s="34" t="s">
        <v>340</v>
      </c>
      <c r="BK291" s="34">
        <f t="shared" ref="BK291:BK294" si="50">3.43*1000</f>
        <v>3430</v>
      </c>
      <c r="BL291" s="34">
        <f>3.68*1000</f>
        <v>3680</v>
      </c>
      <c r="BO291" s="34" t="s">
        <v>336</v>
      </c>
      <c r="BP291" s="404"/>
      <c r="BQ291" s="404"/>
      <c r="BU291" s="404">
        <f t="shared" ref="BU291:BU294" si="51">7.9/1000*100</f>
        <v>0.79</v>
      </c>
      <c r="BV291" s="404">
        <v>0.84</v>
      </c>
      <c r="BY291" s="34" t="s">
        <v>163</v>
      </c>
      <c r="BZ291" s="404"/>
      <c r="CA291" s="404"/>
      <c r="CD291" s="34" t="s">
        <v>3120</v>
      </c>
      <c r="CE291" s="557">
        <v>0.79</v>
      </c>
      <c r="CF291" s="557">
        <v>0.84</v>
      </c>
      <c r="CG291" s="557"/>
      <c r="CH291" s="557"/>
      <c r="CI291" s="34" t="s">
        <v>4542</v>
      </c>
      <c r="CJ291" s="34">
        <f t="shared" ref="CJ291:CJ294" si="52">0.58*1000</f>
        <v>580</v>
      </c>
      <c r="CK291" s="34">
        <v>650</v>
      </c>
      <c r="CN291" s="34" t="s">
        <v>1679</v>
      </c>
      <c r="CO291" s="34">
        <v>55</v>
      </c>
      <c r="CP291" s="34">
        <v>38</v>
      </c>
      <c r="CT291" s="34">
        <v>105</v>
      </c>
      <c r="CU291" s="34">
        <v>96</v>
      </c>
      <c r="CY291" s="34">
        <v>6.7</v>
      </c>
      <c r="CZ291" s="34">
        <v>6.2</v>
      </c>
      <c r="GZ291" s="12"/>
      <c r="HD291" s="12"/>
      <c r="JB291" s="34" t="s">
        <v>350</v>
      </c>
    </row>
    <row r="292" spans="1:262" s="34" customFormat="1" x14ac:dyDescent="0.25">
      <c r="A292" s="34">
        <v>19</v>
      </c>
      <c r="B292" s="48" t="s">
        <v>3839</v>
      </c>
      <c r="C292" s="34" t="s">
        <v>332</v>
      </c>
      <c r="D292" s="34" t="s">
        <v>333</v>
      </c>
      <c r="E292" s="34">
        <v>1986</v>
      </c>
      <c r="F292" s="34">
        <v>1981</v>
      </c>
      <c r="G292" s="34" t="s">
        <v>302</v>
      </c>
      <c r="H292" s="34" t="s">
        <v>334</v>
      </c>
      <c r="I292" s="32" t="s">
        <v>2815</v>
      </c>
      <c r="J292" s="34">
        <v>33.32</v>
      </c>
      <c r="K292" s="34">
        <v>-84.43</v>
      </c>
      <c r="L292" s="34">
        <v>246.5</v>
      </c>
      <c r="R292" s="48">
        <v>1</v>
      </c>
      <c r="S292" s="48" t="s">
        <v>1728</v>
      </c>
      <c r="T292" s="48"/>
      <c r="U292" s="48" t="s">
        <v>1867</v>
      </c>
      <c r="V292" s="48" t="s">
        <v>1380</v>
      </c>
      <c r="W292" s="48" t="s">
        <v>1716</v>
      </c>
      <c r="X292" s="48" t="s">
        <v>1380</v>
      </c>
      <c r="Y292" s="48" t="s">
        <v>1389</v>
      </c>
      <c r="AA292" s="328"/>
      <c r="AB292" s="328"/>
      <c r="AC292" s="34" t="s">
        <v>240</v>
      </c>
      <c r="AG292" s="34" t="s">
        <v>1320</v>
      </c>
      <c r="AH292" s="34" t="s">
        <v>1532</v>
      </c>
      <c r="AI292" s="138" t="s">
        <v>577</v>
      </c>
      <c r="AJ292" s="34" t="s">
        <v>220</v>
      </c>
      <c r="AK292" s="140" t="s">
        <v>220</v>
      </c>
      <c r="AO292" s="34" t="s">
        <v>218</v>
      </c>
      <c r="AP292" s="34" t="s">
        <v>218</v>
      </c>
      <c r="AQ292" s="34" t="s">
        <v>2126</v>
      </c>
      <c r="AR292" s="34" t="s">
        <v>2126</v>
      </c>
      <c r="AS292" s="34" t="s">
        <v>177</v>
      </c>
      <c r="AT292" s="34" t="s">
        <v>338</v>
      </c>
      <c r="AU292" s="34" t="s">
        <v>338</v>
      </c>
      <c r="AW292" s="34" t="s">
        <v>119</v>
      </c>
      <c r="AX292" s="34">
        <v>4</v>
      </c>
      <c r="AZ292" s="34" t="s">
        <v>335</v>
      </c>
      <c r="BB292" s="34">
        <f>2.96*1000</f>
        <v>2960</v>
      </c>
      <c r="BC292" s="34">
        <f>2.96/2.77*10</f>
        <v>10.685920577617329</v>
      </c>
      <c r="BD292" s="53"/>
      <c r="BE292" s="34" t="s">
        <v>340</v>
      </c>
      <c r="BK292" s="34">
        <f t="shared" si="50"/>
        <v>3430</v>
      </c>
      <c r="BL292" s="34">
        <f>3.47*1000</f>
        <v>3470</v>
      </c>
      <c r="BO292" s="34" t="s">
        <v>336</v>
      </c>
      <c r="BP292" s="404"/>
      <c r="BQ292" s="404"/>
      <c r="BU292" s="404">
        <f t="shared" si="51"/>
        <v>0.79</v>
      </c>
      <c r="BV292" s="404">
        <v>1</v>
      </c>
      <c r="BY292" s="34" t="s">
        <v>163</v>
      </c>
      <c r="BZ292" s="404"/>
      <c r="CA292" s="404"/>
      <c r="CD292" s="34" t="s">
        <v>3120</v>
      </c>
      <c r="CE292" s="557">
        <v>0.79</v>
      </c>
      <c r="CF292" s="557">
        <v>1</v>
      </c>
      <c r="CG292" s="557"/>
      <c r="CH292" s="557"/>
      <c r="CI292" s="34" t="s">
        <v>4542</v>
      </c>
      <c r="CJ292" s="34">
        <f t="shared" si="52"/>
        <v>580</v>
      </c>
      <c r="CK292" s="34">
        <v>810</v>
      </c>
      <c r="CN292" s="34" t="s">
        <v>1679</v>
      </c>
      <c r="CO292" s="34">
        <v>55</v>
      </c>
      <c r="CP292" s="34">
        <v>38</v>
      </c>
      <c r="CT292" s="34">
        <v>105</v>
      </c>
      <c r="CU292" s="34">
        <v>130</v>
      </c>
      <c r="CY292" s="34">
        <v>6.7</v>
      </c>
      <c r="CZ292" s="34">
        <v>6.3</v>
      </c>
      <c r="GZ292" s="12"/>
      <c r="HD292" s="12"/>
      <c r="JB292" s="34" t="s">
        <v>350</v>
      </c>
    </row>
    <row r="293" spans="1:262" s="34" customFormat="1" x14ac:dyDescent="0.25">
      <c r="A293" s="34">
        <v>19</v>
      </c>
      <c r="B293" s="48" t="s">
        <v>3839</v>
      </c>
      <c r="C293" s="34" t="s">
        <v>332</v>
      </c>
      <c r="D293" s="34" t="s">
        <v>333</v>
      </c>
      <c r="E293" s="34">
        <v>1986</v>
      </c>
      <c r="F293" s="34">
        <v>1981</v>
      </c>
      <c r="G293" s="34" t="s">
        <v>302</v>
      </c>
      <c r="H293" s="34" t="s">
        <v>334</v>
      </c>
      <c r="I293" s="32" t="s">
        <v>2815</v>
      </c>
      <c r="J293" s="34">
        <v>33.32</v>
      </c>
      <c r="K293" s="34">
        <v>-84.43</v>
      </c>
      <c r="L293" s="34">
        <v>246.5</v>
      </c>
      <c r="R293" s="48">
        <v>1</v>
      </c>
      <c r="S293" s="48" t="s">
        <v>1728</v>
      </c>
      <c r="T293" s="48"/>
      <c r="U293" s="48" t="s">
        <v>1867</v>
      </c>
      <c r="V293" s="48" t="s">
        <v>1380</v>
      </c>
      <c r="W293" s="48" t="s">
        <v>1716</v>
      </c>
      <c r="X293" s="48" t="s">
        <v>1380</v>
      </c>
      <c r="Y293" s="48" t="s">
        <v>1389</v>
      </c>
      <c r="AA293" s="328"/>
      <c r="AB293" s="328"/>
      <c r="AC293" s="34" t="s">
        <v>240</v>
      </c>
      <c r="AG293" s="34" t="s">
        <v>1320</v>
      </c>
      <c r="AH293" s="34" t="s">
        <v>243</v>
      </c>
      <c r="AI293" s="138" t="s">
        <v>577</v>
      </c>
      <c r="AJ293" s="34" t="s">
        <v>220</v>
      </c>
      <c r="AK293" s="140" t="s">
        <v>220</v>
      </c>
      <c r="AO293" s="34" t="s">
        <v>218</v>
      </c>
      <c r="AP293" s="34" t="s">
        <v>218</v>
      </c>
      <c r="AQ293" s="34" t="s">
        <v>2126</v>
      </c>
      <c r="AR293" s="34" t="s">
        <v>2126</v>
      </c>
      <c r="AS293" s="34" t="s">
        <v>177</v>
      </c>
      <c r="AT293" s="34" t="s">
        <v>338</v>
      </c>
      <c r="AU293" s="34" t="s">
        <v>338</v>
      </c>
      <c r="AW293" s="34" t="s">
        <v>119</v>
      </c>
      <c r="AX293" s="34">
        <v>4</v>
      </c>
      <c r="AZ293" s="34" t="s">
        <v>335</v>
      </c>
      <c r="BB293" s="34">
        <f>4.06*1000</f>
        <v>4059.9999999999995</v>
      </c>
      <c r="BC293" s="34">
        <f>4.06/3.01*10</f>
        <v>13.488372093023255</v>
      </c>
      <c r="BD293" s="53"/>
      <c r="BE293" s="34" t="s">
        <v>340</v>
      </c>
      <c r="BK293" s="34">
        <f t="shared" si="50"/>
        <v>3430</v>
      </c>
      <c r="BL293" s="34">
        <f>4.17*1000</f>
        <v>4170</v>
      </c>
      <c r="BO293" s="34" t="s">
        <v>336</v>
      </c>
      <c r="BP293" s="404"/>
      <c r="BQ293" s="404"/>
      <c r="BU293" s="404">
        <f t="shared" si="51"/>
        <v>0.79</v>
      </c>
      <c r="BV293" s="404">
        <v>0.97</v>
      </c>
      <c r="BY293" s="34" t="s">
        <v>163</v>
      </c>
      <c r="BZ293" s="404"/>
      <c r="CA293" s="404"/>
      <c r="CD293" s="34" t="s">
        <v>3120</v>
      </c>
      <c r="CE293" s="557">
        <v>0.79</v>
      </c>
      <c r="CF293" s="557">
        <v>0.97</v>
      </c>
      <c r="CG293" s="557"/>
      <c r="CH293" s="557"/>
      <c r="CI293" s="34" t="s">
        <v>4542</v>
      </c>
      <c r="CJ293" s="34">
        <f t="shared" si="52"/>
        <v>580</v>
      </c>
      <c r="CK293" s="34">
        <v>800</v>
      </c>
      <c r="CN293" s="34" t="s">
        <v>1679</v>
      </c>
      <c r="CO293" s="34">
        <v>55</v>
      </c>
      <c r="CP293" s="34">
        <v>33</v>
      </c>
      <c r="CT293" s="34">
        <v>105</v>
      </c>
      <c r="CU293" s="34">
        <v>127</v>
      </c>
      <c r="CY293" s="34">
        <v>6.7</v>
      </c>
      <c r="CZ293" s="34">
        <v>6.3</v>
      </c>
      <c r="GZ293" s="12"/>
      <c r="HD293" s="12"/>
      <c r="JB293" s="34" t="s">
        <v>350</v>
      </c>
    </row>
    <row r="294" spans="1:262" s="34" customFormat="1" x14ac:dyDescent="0.25">
      <c r="A294" s="34">
        <v>19</v>
      </c>
      <c r="B294" s="48" t="s">
        <v>3839</v>
      </c>
      <c r="C294" s="34" t="s">
        <v>332</v>
      </c>
      <c r="D294" s="34" t="s">
        <v>333</v>
      </c>
      <c r="E294" s="34">
        <v>1986</v>
      </c>
      <c r="F294" s="34">
        <v>1981</v>
      </c>
      <c r="G294" s="34" t="s">
        <v>302</v>
      </c>
      <c r="H294" s="34" t="s">
        <v>334</v>
      </c>
      <c r="I294" s="32" t="s">
        <v>2815</v>
      </c>
      <c r="J294" s="34">
        <v>33.32</v>
      </c>
      <c r="K294" s="34">
        <v>-84.43</v>
      </c>
      <c r="L294" s="34">
        <v>246.5</v>
      </c>
      <c r="R294" s="48">
        <v>1</v>
      </c>
      <c r="S294" s="48" t="s">
        <v>1728</v>
      </c>
      <c r="T294" s="48"/>
      <c r="U294" s="48" t="s">
        <v>1867</v>
      </c>
      <c r="V294" s="48" t="s">
        <v>1380</v>
      </c>
      <c r="W294" s="48" t="s">
        <v>1716</v>
      </c>
      <c r="X294" s="48" t="s">
        <v>1380</v>
      </c>
      <c r="Y294" s="48" t="s">
        <v>1389</v>
      </c>
      <c r="AA294" s="328"/>
      <c r="AB294" s="328"/>
      <c r="AC294" s="34" t="s">
        <v>240</v>
      </c>
      <c r="AG294" s="34" t="s">
        <v>1320</v>
      </c>
      <c r="AH294" s="34" t="s">
        <v>1533</v>
      </c>
      <c r="AI294" s="138" t="s">
        <v>577</v>
      </c>
      <c r="AJ294" s="34" t="s">
        <v>220</v>
      </c>
      <c r="AK294" s="140" t="s">
        <v>220</v>
      </c>
      <c r="AO294" s="34" t="s">
        <v>218</v>
      </c>
      <c r="AP294" s="34" t="s">
        <v>218</v>
      </c>
      <c r="AQ294" s="34" t="s">
        <v>2126</v>
      </c>
      <c r="AR294" s="34" t="s">
        <v>2126</v>
      </c>
      <c r="AS294" s="34" t="s">
        <v>177</v>
      </c>
      <c r="AT294" s="34" t="s">
        <v>338</v>
      </c>
      <c r="AU294" s="34" t="s">
        <v>338</v>
      </c>
      <c r="AW294" s="34" t="s">
        <v>119</v>
      </c>
      <c r="AX294" s="34">
        <v>4</v>
      </c>
      <c r="AZ294" s="34" t="s">
        <v>335</v>
      </c>
      <c r="BB294" s="34">
        <f>3.96*1000</f>
        <v>3960</v>
      </c>
      <c r="BC294" s="34">
        <f>3.96/2.96*10</f>
        <v>13.378378378378379</v>
      </c>
      <c r="BD294" s="53"/>
      <c r="BE294" s="34" t="s">
        <v>340</v>
      </c>
      <c r="BK294" s="34">
        <f t="shared" si="50"/>
        <v>3430</v>
      </c>
      <c r="BL294" s="34">
        <f>3.81*1000</f>
        <v>3810</v>
      </c>
      <c r="BO294" s="34" t="s">
        <v>336</v>
      </c>
      <c r="BP294" s="404"/>
      <c r="BQ294" s="404"/>
      <c r="BU294" s="404">
        <f t="shared" si="51"/>
        <v>0.79</v>
      </c>
      <c r="BV294" s="404">
        <v>1.02</v>
      </c>
      <c r="BY294" s="34" t="s">
        <v>163</v>
      </c>
      <c r="BZ294" s="404"/>
      <c r="CA294" s="404"/>
      <c r="CD294" s="34" t="s">
        <v>3120</v>
      </c>
      <c r="CE294" s="557">
        <v>0.79</v>
      </c>
      <c r="CF294" s="557">
        <v>1.02</v>
      </c>
      <c r="CG294" s="557"/>
      <c r="CH294" s="557"/>
      <c r="CI294" s="34" t="s">
        <v>4542</v>
      </c>
      <c r="CJ294" s="34">
        <f t="shared" si="52"/>
        <v>580</v>
      </c>
      <c r="CK294" s="34">
        <v>630</v>
      </c>
      <c r="CN294" s="34" t="s">
        <v>1679</v>
      </c>
      <c r="CO294" s="34">
        <v>55</v>
      </c>
      <c r="CP294" s="34">
        <v>43</v>
      </c>
      <c r="CT294" s="34">
        <v>105</v>
      </c>
      <c r="CU294" s="34">
        <v>104</v>
      </c>
      <c r="CY294" s="34">
        <v>6.7</v>
      </c>
      <c r="CZ294" s="34">
        <v>6.3</v>
      </c>
      <c r="GZ294" s="12"/>
      <c r="HD294" s="12"/>
      <c r="JB294" s="34" t="s">
        <v>350</v>
      </c>
    </row>
    <row r="295" spans="1:262" s="24" customFormat="1" x14ac:dyDescent="0.25">
      <c r="A295" s="24">
        <v>19</v>
      </c>
      <c r="B295" s="42" t="s">
        <v>3840</v>
      </c>
      <c r="C295" s="24" t="s">
        <v>332</v>
      </c>
      <c r="D295" s="24" t="s">
        <v>333</v>
      </c>
      <c r="E295" s="24">
        <v>1986</v>
      </c>
      <c r="F295" s="24">
        <v>1982</v>
      </c>
      <c r="G295" s="24" t="s">
        <v>302</v>
      </c>
      <c r="H295" s="24" t="s">
        <v>334</v>
      </c>
      <c r="I295" s="32" t="s">
        <v>2815</v>
      </c>
      <c r="J295" s="24">
        <v>33.32</v>
      </c>
      <c r="K295" s="24">
        <v>-84.43</v>
      </c>
      <c r="L295" s="24">
        <v>246.5</v>
      </c>
      <c r="R295" s="42">
        <v>2</v>
      </c>
      <c r="S295" s="42" t="s">
        <v>1728</v>
      </c>
      <c r="T295" s="42"/>
      <c r="U295" s="42" t="s">
        <v>1867</v>
      </c>
      <c r="V295" s="42" t="s">
        <v>1381</v>
      </c>
      <c r="W295" s="42" t="s">
        <v>1716</v>
      </c>
      <c r="X295" s="42" t="s">
        <v>1380</v>
      </c>
      <c r="Y295" s="42" t="s">
        <v>1389</v>
      </c>
      <c r="AA295" s="321"/>
      <c r="AB295" s="321"/>
      <c r="AC295" s="24" t="s">
        <v>240</v>
      </c>
      <c r="AG295" s="24" t="s">
        <v>1320</v>
      </c>
      <c r="AH295" s="24" t="s">
        <v>131</v>
      </c>
      <c r="AI295" s="138" t="s">
        <v>131</v>
      </c>
      <c r="AJ295" s="24" t="s">
        <v>220</v>
      </c>
      <c r="AK295" s="140" t="s">
        <v>220</v>
      </c>
      <c r="AO295" s="24" t="s">
        <v>218</v>
      </c>
      <c r="AP295" s="24" t="s">
        <v>218</v>
      </c>
      <c r="AQ295" s="24" t="s">
        <v>2126</v>
      </c>
      <c r="AR295" s="24" t="s">
        <v>2126</v>
      </c>
      <c r="AS295" s="24" t="s">
        <v>177</v>
      </c>
      <c r="AT295" s="34" t="s">
        <v>338</v>
      </c>
      <c r="AU295" s="34" t="s">
        <v>338</v>
      </c>
      <c r="AV295" s="34"/>
      <c r="AW295" s="24" t="s">
        <v>119</v>
      </c>
      <c r="AX295" s="24">
        <v>4</v>
      </c>
      <c r="AZ295" s="24" t="s">
        <v>335</v>
      </c>
      <c r="BB295" s="24">
        <f>3.93*1000</f>
        <v>3930</v>
      </c>
      <c r="BC295" s="24">
        <f>3.93/0.89*10</f>
        <v>44.157303370786522</v>
      </c>
      <c r="BD295" s="53"/>
      <c r="BE295" s="34" t="s">
        <v>340</v>
      </c>
      <c r="BK295" s="24">
        <f>2.92*1000</f>
        <v>2920</v>
      </c>
      <c r="BL295" s="24">
        <f>2.81*1000</f>
        <v>2810</v>
      </c>
      <c r="BM295" s="34"/>
      <c r="BN295" s="34"/>
      <c r="BO295" s="34" t="s">
        <v>336</v>
      </c>
      <c r="BP295" s="395"/>
      <c r="BQ295" s="395"/>
      <c r="BU295" s="395">
        <v>0.48</v>
      </c>
      <c r="BV295" s="395">
        <v>0.54</v>
      </c>
      <c r="BY295" s="24" t="s">
        <v>163</v>
      </c>
      <c r="BZ295" s="395"/>
      <c r="CA295" s="395"/>
      <c r="CD295" s="24" t="s">
        <v>3120</v>
      </c>
      <c r="CE295" s="548">
        <v>0.48</v>
      </c>
      <c r="CF295" s="548">
        <v>0.54</v>
      </c>
      <c r="CG295" s="548"/>
      <c r="CH295" s="548"/>
      <c r="CI295" s="24" t="s">
        <v>4542</v>
      </c>
      <c r="CJ295" s="24">
        <f>0.37*1000</f>
        <v>370</v>
      </c>
      <c r="CK295" s="24">
        <v>420</v>
      </c>
      <c r="CL295" s="34"/>
      <c r="CM295" s="34"/>
      <c r="CN295" s="34" t="s">
        <v>1679</v>
      </c>
      <c r="CO295" s="24">
        <v>19</v>
      </c>
      <c r="CP295" s="24">
        <v>23</v>
      </c>
      <c r="CT295" s="24">
        <v>100</v>
      </c>
      <c r="CU295" s="24">
        <v>89</v>
      </c>
      <c r="CY295" s="24">
        <v>6.5</v>
      </c>
      <c r="CZ295" s="24">
        <v>6.6</v>
      </c>
      <c r="GZ295" s="12"/>
      <c r="HD295" s="12"/>
      <c r="JB295" s="34" t="s">
        <v>350</v>
      </c>
    </row>
    <row r="296" spans="1:262" s="24" customFormat="1" x14ac:dyDescent="0.25">
      <c r="A296" s="24">
        <v>19</v>
      </c>
      <c r="B296" s="42" t="s">
        <v>3841</v>
      </c>
      <c r="C296" s="24" t="s">
        <v>332</v>
      </c>
      <c r="D296" s="24" t="s">
        <v>333</v>
      </c>
      <c r="E296" s="24">
        <v>1986</v>
      </c>
      <c r="F296" s="24">
        <v>1982</v>
      </c>
      <c r="G296" s="24" t="s">
        <v>302</v>
      </c>
      <c r="H296" s="24" t="s">
        <v>334</v>
      </c>
      <c r="I296" s="32" t="s">
        <v>2815</v>
      </c>
      <c r="J296" s="24">
        <v>33.32</v>
      </c>
      <c r="K296" s="24">
        <v>-84.43</v>
      </c>
      <c r="L296" s="24">
        <v>246.5</v>
      </c>
      <c r="R296" s="42">
        <v>2</v>
      </c>
      <c r="S296" s="42" t="s">
        <v>1728</v>
      </c>
      <c r="T296" s="42"/>
      <c r="U296" s="42" t="s">
        <v>1867</v>
      </c>
      <c r="V296" s="42" t="s">
        <v>1381</v>
      </c>
      <c r="W296" s="42" t="s">
        <v>1716</v>
      </c>
      <c r="X296" s="42" t="s">
        <v>1380</v>
      </c>
      <c r="Y296" s="42" t="s">
        <v>1389</v>
      </c>
      <c r="AA296" s="321"/>
      <c r="AB296" s="321"/>
      <c r="AC296" s="24" t="s">
        <v>240</v>
      </c>
      <c r="AG296" s="24" t="s">
        <v>1320</v>
      </c>
      <c r="AH296" s="24" t="s">
        <v>1521</v>
      </c>
      <c r="AI296" s="138" t="s">
        <v>577</v>
      </c>
      <c r="AJ296" s="24" t="s">
        <v>220</v>
      </c>
      <c r="AK296" s="140" t="s">
        <v>220</v>
      </c>
      <c r="AO296" s="24" t="s">
        <v>218</v>
      </c>
      <c r="AP296" s="24" t="s">
        <v>218</v>
      </c>
      <c r="AQ296" s="24" t="s">
        <v>2126</v>
      </c>
      <c r="AR296" s="24" t="s">
        <v>2126</v>
      </c>
      <c r="AS296" s="24" t="s">
        <v>177</v>
      </c>
      <c r="AT296" s="34" t="s">
        <v>338</v>
      </c>
      <c r="AU296" s="34" t="s">
        <v>338</v>
      </c>
      <c r="AV296" s="34"/>
      <c r="AW296" s="24" t="s">
        <v>119</v>
      </c>
      <c r="AX296" s="24">
        <v>4</v>
      </c>
      <c r="AZ296" s="24" t="s">
        <v>335</v>
      </c>
      <c r="BD296" s="53"/>
      <c r="BE296" s="34" t="s">
        <v>340</v>
      </c>
      <c r="BK296" s="24">
        <f t="shared" ref="BK296:BK299" si="53">2.92*1000</f>
        <v>2920</v>
      </c>
      <c r="BL296" s="24">
        <f>4.96*1000</f>
        <v>4960</v>
      </c>
      <c r="BM296" s="34"/>
      <c r="BN296" s="34"/>
      <c r="BO296" s="34" t="s">
        <v>336</v>
      </c>
      <c r="BP296" s="395"/>
      <c r="BQ296" s="395"/>
      <c r="BU296" s="395">
        <v>0.48</v>
      </c>
      <c r="BV296" s="395">
        <v>0.49</v>
      </c>
      <c r="BY296" s="24" t="s">
        <v>163</v>
      </c>
      <c r="BZ296" s="395"/>
      <c r="CA296" s="395"/>
      <c r="CD296" s="24" t="s">
        <v>3120</v>
      </c>
      <c r="CE296" s="548">
        <v>0.48</v>
      </c>
      <c r="CF296" s="548">
        <v>0.49</v>
      </c>
      <c r="CG296" s="548"/>
      <c r="CH296" s="548"/>
      <c r="CI296" s="24" t="s">
        <v>4542</v>
      </c>
      <c r="CJ296" s="24">
        <f t="shared" ref="CJ296:CJ299" si="54">0.37*1000</f>
        <v>370</v>
      </c>
      <c r="CK296" s="24">
        <v>410</v>
      </c>
      <c r="CL296" s="34"/>
      <c r="CM296" s="34"/>
      <c r="CN296" s="34" t="s">
        <v>1679</v>
      </c>
      <c r="CO296" s="24">
        <v>19</v>
      </c>
      <c r="CP296" s="24">
        <v>16</v>
      </c>
      <c r="CT296" s="24">
        <v>100</v>
      </c>
      <c r="CU296" s="24">
        <v>72</v>
      </c>
      <c r="CY296" s="24">
        <v>6.5</v>
      </c>
      <c r="CZ296" s="24">
        <v>6.1</v>
      </c>
      <c r="GZ296" s="12"/>
      <c r="HD296" s="12"/>
      <c r="JB296" s="34" t="s">
        <v>350</v>
      </c>
    </row>
    <row r="297" spans="1:262" s="24" customFormat="1" x14ac:dyDescent="0.25">
      <c r="A297" s="24">
        <v>19</v>
      </c>
      <c r="B297" s="42" t="s">
        <v>3841</v>
      </c>
      <c r="C297" s="24" t="s">
        <v>332</v>
      </c>
      <c r="D297" s="24" t="s">
        <v>333</v>
      </c>
      <c r="E297" s="24">
        <v>1986</v>
      </c>
      <c r="F297" s="24">
        <v>1982</v>
      </c>
      <c r="G297" s="24" t="s">
        <v>302</v>
      </c>
      <c r="H297" s="24" t="s">
        <v>334</v>
      </c>
      <c r="I297" s="32" t="s">
        <v>2815</v>
      </c>
      <c r="J297" s="24">
        <v>33.32</v>
      </c>
      <c r="K297" s="24">
        <v>-84.43</v>
      </c>
      <c r="L297" s="24">
        <v>246.5</v>
      </c>
      <c r="R297" s="42">
        <v>2</v>
      </c>
      <c r="S297" s="42" t="s">
        <v>1728</v>
      </c>
      <c r="T297" s="42"/>
      <c r="U297" s="42" t="s">
        <v>1867</v>
      </c>
      <c r="V297" s="42" t="s">
        <v>1381</v>
      </c>
      <c r="W297" s="42" t="s">
        <v>1716</v>
      </c>
      <c r="X297" s="42" t="s">
        <v>1380</v>
      </c>
      <c r="Y297" s="42" t="s">
        <v>1389</v>
      </c>
      <c r="AA297" s="321"/>
      <c r="AB297" s="321"/>
      <c r="AC297" s="24" t="s">
        <v>240</v>
      </c>
      <c r="AG297" s="24" t="s">
        <v>1320</v>
      </c>
      <c r="AH297" s="24" t="s">
        <v>1532</v>
      </c>
      <c r="AI297" s="138" t="s">
        <v>577</v>
      </c>
      <c r="AJ297" s="24" t="s">
        <v>220</v>
      </c>
      <c r="AK297" s="140" t="s">
        <v>220</v>
      </c>
      <c r="AO297" s="24" t="s">
        <v>218</v>
      </c>
      <c r="AP297" s="24" t="s">
        <v>218</v>
      </c>
      <c r="AQ297" s="24" t="s">
        <v>2126</v>
      </c>
      <c r="AR297" s="24" t="s">
        <v>2126</v>
      </c>
      <c r="AS297" s="24" t="s">
        <v>177</v>
      </c>
      <c r="AT297" s="34" t="s">
        <v>338</v>
      </c>
      <c r="AU297" s="34" t="s">
        <v>338</v>
      </c>
      <c r="AV297" s="34"/>
      <c r="AW297" s="24" t="s">
        <v>119</v>
      </c>
      <c r="AX297" s="24">
        <v>4</v>
      </c>
      <c r="AZ297" s="24" t="s">
        <v>335</v>
      </c>
      <c r="BB297" s="24">
        <f>4.06*1000</f>
        <v>4059.9999999999995</v>
      </c>
      <c r="BC297" s="24">
        <f>4.06/2.77*10</f>
        <v>14.657039711191334</v>
      </c>
      <c r="BD297" s="53"/>
      <c r="BE297" s="34" t="s">
        <v>340</v>
      </c>
      <c r="BK297" s="24">
        <f t="shared" si="53"/>
        <v>2920</v>
      </c>
      <c r="BL297" s="24">
        <f>5.44*1000</f>
        <v>5440</v>
      </c>
      <c r="BM297" s="34"/>
      <c r="BN297" s="34"/>
      <c r="BO297" s="34" t="s">
        <v>336</v>
      </c>
      <c r="BP297" s="395"/>
      <c r="BQ297" s="395"/>
      <c r="BU297" s="395">
        <v>0.48</v>
      </c>
      <c r="BV297" s="395">
        <v>0.55000000000000004</v>
      </c>
      <c r="BY297" s="24" t="s">
        <v>163</v>
      </c>
      <c r="BZ297" s="395"/>
      <c r="CA297" s="395"/>
      <c r="CD297" s="24" t="s">
        <v>3120</v>
      </c>
      <c r="CE297" s="548">
        <v>0.48</v>
      </c>
      <c r="CF297" s="548">
        <v>0.55000000000000004</v>
      </c>
      <c r="CG297" s="548"/>
      <c r="CH297" s="548"/>
      <c r="CI297" s="24" t="s">
        <v>4542</v>
      </c>
      <c r="CJ297" s="24">
        <f t="shared" si="54"/>
        <v>370</v>
      </c>
      <c r="CK297" s="24">
        <v>480</v>
      </c>
      <c r="CL297" s="34"/>
      <c r="CM297" s="34"/>
      <c r="CN297" s="34" t="s">
        <v>1679</v>
      </c>
      <c r="CO297" s="24">
        <v>19</v>
      </c>
      <c r="CP297" s="24">
        <v>18</v>
      </c>
      <c r="CT297" s="24">
        <v>100</v>
      </c>
      <c r="CU297" s="24">
        <v>90</v>
      </c>
      <c r="CY297" s="24">
        <v>6.5</v>
      </c>
      <c r="CZ297" s="24">
        <v>6.2</v>
      </c>
      <c r="GZ297" s="12"/>
      <c r="HD297" s="12"/>
      <c r="JB297" s="34" t="s">
        <v>350</v>
      </c>
    </row>
    <row r="298" spans="1:262" s="24" customFormat="1" x14ac:dyDescent="0.25">
      <c r="A298" s="24">
        <v>19</v>
      </c>
      <c r="B298" s="42" t="s">
        <v>3841</v>
      </c>
      <c r="C298" s="24" t="s">
        <v>332</v>
      </c>
      <c r="D298" s="24" t="s">
        <v>333</v>
      </c>
      <c r="E298" s="24">
        <v>1986</v>
      </c>
      <c r="F298" s="24">
        <v>1982</v>
      </c>
      <c r="G298" s="24" t="s">
        <v>302</v>
      </c>
      <c r="H298" s="24" t="s">
        <v>334</v>
      </c>
      <c r="I298" s="32" t="s">
        <v>2815</v>
      </c>
      <c r="J298" s="24">
        <v>33.32</v>
      </c>
      <c r="K298" s="24">
        <v>-84.43</v>
      </c>
      <c r="L298" s="24">
        <v>246.5</v>
      </c>
      <c r="R298" s="42">
        <v>2</v>
      </c>
      <c r="S298" s="42" t="s">
        <v>1728</v>
      </c>
      <c r="T298" s="42"/>
      <c r="U298" s="42" t="s">
        <v>1867</v>
      </c>
      <c r="V298" s="42" t="s">
        <v>1381</v>
      </c>
      <c r="W298" s="42" t="s">
        <v>1716</v>
      </c>
      <c r="X298" s="42" t="s">
        <v>1380</v>
      </c>
      <c r="Y298" s="42" t="s">
        <v>1389</v>
      </c>
      <c r="AA298" s="321"/>
      <c r="AB298" s="321"/>
      <c r="AC298" s="24" t="s">
        <v>240</v>
      </c>
      <c r="AG298" s="24" t="s">
        <v>1320</v>
      </c>
      <c r="AH298" s="24" t="s">
        <v>243</v>
      </c>
      <c r="AI298" s="138" t="s">
        <v>577</v>
      </c>
      <c r="AJ298" s="24" t="s">
        <v>220</v>
      </c>
      <c r="AK298" s="140" t="s">
        <v>220</v>
      </c>
      <c r="AO298" s="24" t="s">
        <v>218</v>
      </c>
      <c r="AP298" s="24" t="s">
        <v>218</v>
      </c>
      <c r="AQ298" s="24" t="s">
        <v>2126</v>
      </c>
      <c r="AR298" s="24" t="s">
        <v>2126</v>
      </c>
      <c r="AS298" s="24" t="s">
        <v>177</v>
      </c>
      <c r="AT298" s="34" t="s">
        <v>338</v>
      </c>
      <c r="AU298" s="34" t="s">
        <v>338</v>
      </c>
      <c r="AV298" s="34"/>
      <c r="AW298" s="24" t="s">
        <v>119</v>
      </c>
      <c r="AX298" s="24">
        <v>4</v>
      </c>
      <c r="AZ298" s="24" t="s">
        <v>335</v>
      </c>
      <c r="BB298" s="24">
        <f>4.54*1000</f>
        <v>4540</v>
      </c>
      <c r="BC298" s="24">
        <f>4.54/3.38*10</f>
        <v>13.431952662721894</v>
      </c>
      <c r="BD298" s="53"/>
      <c r="BE298" s="34" t="s">
        <v>340</v>
      </c>
      <c r="BK298" s="24">
        <f t="shared" si="53"/>
        <v>2920</v>
      </c>
      <c r="BL298" s="24">
        <f>4.73*1000</f>
        <v>4730</v>
      </c>
      <c r="BM298" s="34"/>
      <c r="BN298" s="34"/>
      <c r="BO298" s="34" t="s">
        <v>336</v>
      </c>
      <c r="BP298" s="395"/>
      <c r="BQ298" s="395"/>
      <c r="BU298" s="395">
        <v>0.48</v>
      </c>
      <c r="BV298" s="395">
        <v>0.55000000000000004</v>
      </c>
      <c r="BY298" s="24" t="s">
        <v>163</v>
      </c>
      <c r="BZ298" s="395"/>
      <c r="CA298" s="395"/>
      <c r="CD298" s="24" t="s">
        <v>3120</v>
      </c>
      <c r="CE298" s="548">
        <v>0.48</v>
      </c>
      <c r="CF298" s="548">
        <v>0.55000000000000004</v>
      </c>
      <c r="CG298" s="548"/>
      <c r="CH298" s="548"/>
      <c r="CI298" s="24" t="s">
        <v>4542</v>
      </c>
      <c r="CJ298" s="24">
        <f t="shared" si="54"/>
        <v>370</v>
      </c>
      <c r="CK298" s="24">
        <v>510</v>
      </c>
      <c r="CL298" s="34"/>
      <c r="CM298" s="34"/>
      <c r="CN298" s="34" t="s">
        <v>1679</v>
      </c>
      <c r="CO298" s="24">
        <v>19</v>
      </c>
      <c r="CP298" s="24">
        <v>8</v>
      </c>
      <c r="CT298" s="24">
        <v>100</v>
      </c>
      <c r="CU298" s="24">
        <v>108</v>
      </c>
      <c r="CY298" s="24">
        <v>6.5</v>
      </c>
      <c r="CZ298" s="24">
        <v>6.3</v>
      </c>
      <c r="GZ298" s="12"/>
      <c r="HD298" s="12"/>
      <c r="JB298" s="34" t="s">
        <v>350</v>
      </c>
    </row>
    <row r="299" spans="1:262" s="24" customFormat="1" x14ac:dyDescent="0.25">
      <c r="A299" s="24">
        <v>19</v>
      </c>
      <c r="B299" s="42" t="s">
        <v>3841</v>
      </c>
      <c r="C299" s="24" t="s">
        <v>332</v>
      </c>
      <c r="D299" s="24" t="s">
        <v>333</v>
      </c>
      <c r="E299" s="24">
        <v>1986</v>
      </c>
      <c r="F299" s="24">
        <v>1982</v>
      </c>
      <c r="G299" s="24" t="s">
        <v>302</v>
      </c>
      <c r="H299" s="24" t="s">
        <v>334</v>
      </c>
      <c r="I299" s="32" t="s">
        <v>2815</v>
      </c>
      <c r="J299" s="24">
        <v>33.32</v>
      </c>
      <c r="K299" s="24">
        <v>-84.43</v>
      </c>
      <c r="L299" s="24">
        <v>246.5</v>
      </c>
      <c r="R299" s="42">
        <v>2</v>
      </c>
      <c r="S299" s="42" t="s">
        <v>1728</v>
      </c>
      <c r="T299" s="42"/>
      <c r="U299" s="42" t="s">
        <v>1867</v>
      </c>
      <c r="V299" s="42" t="s">
        <v>1381</v>
      </c>
      <c r="W299" s="42" t="s">
        <v>1716</v>
      </c>
      <c r="X299" s="42" t="s">
        <v>1380</v>
      </c>
      <c r="Y299" s="42" t="s">
        <v>1389</v>
      </c>
      <c r="AA299" s="321"/>
      <c r="AB299" s="321"/>
      <c r="AC299" s="24" t="s">
        <v>240</v>
      </c>
      <c r="AG299" s="24" t="s">
        <v>1320</v>
      </c>
      <c r="AH299" s="24" t="s">
        <v>1533</v>
      </c>
      <c r="AI299" s="138" t="s">
        <v>577</v>
      </c>
      <c r="AJ299" s="24" t="s">
        <v>220</v>
      </c>
      <c r="AK299" s="140" t="s">
        <v>220</v>
      </c>
      <c r="AO299" s="24" t="s">
        <v>218</v>
      </c>
      <c r="AP299" s="24" t="s">
        <v>218</v>
      </c>
      <c r="AQ299" s="24" t="s">
        <v>2126</v>
      </c>
      <c r="AR299" s="24" t="s">
        <v>2126</v>
      </c>
      <c r="AS299" s="24" t="s">
        <v>177</v>
      </c>
      <c r="AT299" s="34" t="s">
        <v>338</v>
      </c>
      <c r="AU299" s="34" t="s">
        <v>338</v>
      </c>
      <c r="AV299" s="34"/>
      <c r="AW299" s="24" t="s">
        <v>119</v>
      </c>
      <c r="AX299" s="24">
        <v>4</v>
      </c>
      <c r="AZ299" s="24" t="s">
        <v>335</v>
      </c>
      <c r="BB299" s="24">
        <f>4.7*1000</f>
        <v>4700</v>
      </c>
      <c r="BC299" s="24">
        <f>4.7/3*10</f>
        <v>15.666666666666666</v>
      </c>
      <c r="BD299" s="53"/>
      <c r="BE299" s="34" t="s">
        <v>340</v>
      </c>
      <c r="BK299" s="24">
        <f t="shared" si="53"/>
        <v>2920</v>
      </c>
      <c r="BL299" s="24">
        <f>4.34*1000</f>
        <v>4340</v>
      </c>
      <c r="BM299" s="34"/>
      <c r="BN299" s="34"/>
      <c r="BO299" s="34" t="s">
        <v>336</v>
      </c>
      <c r="BP299" s="395"/>
      <c r="BQ299" s="395"/>
      <c r="BU299" s="395">
        <v>0.48</v>
      </c>
      <c r="BV299" s="395">
        <v>0.51</v>
      </c>
      <c r="BY299" s="24" t="s">
        <v>163</v>
      </c>
      <c r="BZ299" s="395"/>
      <c r="CA299" s="395"/>
      <c r="CD299" s="24" t="s">
        <v>3120</v>
      </c>
      <c r="CE299" s="548">
        <v>0.48</v>
      </c>
      <c r="CF299" s="548">
        <v>0.51</v>
      </c>
      <c r="CG299" s="548"/>
      <c r="CH299" s="548"/>
      <c r="CI299" s="24" t="s">
        <v>4542</v>
      </c>
      <c r="CJ299" s="24">
        <f t="shared" si="54"/>
        <v>370</v>
      </c>
      <c r="CK299" s="24">
        <v>450</v>
      </c>
      <c r="CL299" s="34"/>
      <c r="CM299" s="34"/>
      <c r="CN299" s="34" t="s">
        <v>1679</v>
      </c>
      <c r="CO299" s="24">
        <v>19</v>
      </c>
      <c r="CP299" s="24">
        <v>17</v>
      </c>
      <c r="CT299" s="24">
        <v>100</v>
      </c>
      <c r="CU299" s="24">
        <v>85</v>
      </c>
      <c r="CY299" s="24">
        <v>6.5</v>
      </c>
      <c r="CZ299" s="24">
        <v>6.3</v>
      </c>
      <c r="GZ299" s="12"/>
      <c r="HD299" s="12"/>
      <c r="JB299" s="34" t="s">
        <v>350</v>
      </c>
    </row>
    <row r="300" spans="1:262" s="34" customFormat="1" x14ac:dyDescent="0.25">
      <c r="A300" s="34">
        <v>19</v>
      </c>
      <c r="B300" s="48" t="s">
        <v>3842</v>
      </c>
      <c r="C300" s="34" t="s">
        <v>332</v>
      </c>
      <c r="D300" s="34" t="s">
        <v>333</v>
      </c>
      <c r="E300" s="34">
        <v>1986</v>
      </c>
      <c r="F300" s="34">
        <v>1983</v>
      </c>
      <c r="G300" s="34" t="s">
        <v>302</v>
      </c>
      <c r="H300" s="34" t="s">
        <v>334</v>
      </c>
      <c r="I300" s="32" t="s">
        <v>2815</v>
      </c>
      <c r="J300" s="34">
        <v>33.32</v>
      </c>
      <c r="K300" s="34">
        <v>-84.43</v>
      </c>
      <c r="L300" s="34">
        <v>246.5</v>
      </c>
      <c r="R300" s="48">
        <v>3</v>
      </c>
      <c r="S300" s="48" t="s">
        <v>1728</v>
      </c>
      <c r="T300" s="48"/>
      <c r="U300" s="48" t="s">
        <v>1867</v>
      </c>
      <c r="V300" s="48" t="s">
        <v>1390</v>
      </c>
      <c r="W300" s="48" t="s">
        <v>1717</v>
      </c>
      <c r="X300" s="48" t="s">
        <v>1380</v>
      </c>
      <c r="Y300" s="48" t="s">
        <v>1389</v>
      </c>
      <c r="AA300" s="328"/>
      <c r="AB300" s="328"/>
      <c r="AC300" s="34" t="s">
        <v>240</v>
      </c>
      <c r="AG300" s="34" t="s">
        <v>1320</v>
      </c>
      <c r="AH300" s="34" t="s">
        <v>131</v>
      </c>
      <c r="AI300" s="138" t="s">
        <v>131</v>
      </c>
      <c r="AJ300" s="34" t="s">
        <v>220</v>
      </c>
      <c r="AK300" s="140" t="s">
        <v>220</v>
      </c>
      <c r="AO300" s="34" t="s">
        <v>218</v>
      </c>
      <c r="AP300" s="34" t="s">
        <v>218</v>
      </c>
      <c r="AQ300" s="34" t="s">
        <v>2126</v>
      </c>
      <c r="AR300" s="34" t="s">
        <v>2126</v>
      </c>
      <c r="AS300" s="34" t="s">
        <v>177</v>
      </c>
      <c r="AT300" s="34" t="s">
        <v>338</v>
      </c>
      <c r="AU300" s="34" t="s">
        <v>338</v>
      </c>
      <c r="AW300" s="34" t="s">
        <v>119</v>
      </c>
      <c r="AX300" s="34">
        <v>4</v>
      </c>
      <c r="AZ300" s="34" t="s">
        <v>335</v>
      </c>
      <c r="BB300" s="34">
        <f>4.83*1000</f>
        <v>4830</v>
      </c>
      <c r="BC300" s="34">
        <f>4.83/0.97*10</f>
        <v>49.793814432989691</v>
      </c>
      <c r="BD300" s="53"/>
      <c r="BE300" s="34" t="s">
        <v>340</v>
      </c>
      <c r="BK300" s="34">
        <f>2.33*1000</f>
        <v>2330</v>
      </c>
      <c r="BL300" s="34">
        <f>2.03*1000</f>
        <v>2029.9999999999998</v>
      </c>
      <c r="BO300" s="34" t="s">
        <v>336</v>
      </c>
      <c r="BP300" s="404"/>
      <c r="BQ300" s="404"/>
      <c r="BU300" s="404">
        <v>0.37</v>
      </c>
      <c r="BV300" s="404">
        <v>0.39</v>
      </c>
      <c r="BY300" s="34" t="s">
        <v>163</v>
      </c>
      <c r="BZ300" s="404"/>
      <c r="CA300" s="404"/>
      <c r="CD300" s="34" t="s">
        <v>3120</v>
      </c>
      <c r="CE300" s="557">
        <v>0.37</v>
      </c>
      <c r="CF300" s="557">
        <v>0.39</v>
      </c>
      <c r="CG300" s="557"/>
      <c r="CH300" s="557"/>
      <c r="CI300" s="34" t="s">
        <v>4542</v>
      </c>
      <c r="CJ300" s="34">
        <f>0.34*1000</f>
        <v>340</v>
      </c>
      <c r="CK300" s="34">
        <v>340</v>
      </c>
      <c r="CN300" s="34" t="s">
        <v>1679</v>
      </c>
      <c r="CO300" s="34">
        <v>3.4</v>
      </c>
      <c r="CP300" s="34">
        <v>4.5999999999999996</v>
      </c>
      <c r="CT300" s="34">
        <v>109</v>
      </c>
      <c r="CU300" s="34">
        <v>96</v>
      </c>
      <c r="CY300" s="34">
        <v>6.2</v>
      </c>
      <c r="CZ300" s="34">
        <v>6.2</v>
      </c>
      <c r="GZ300" s="12"/>
      <c r="HD300" s="12"/>
      <c r="JB300" s="34" t="s">
        <v>350</v>
      </c>
    </row>
    <row r="301" spans="1:262" s="34" customFormat="1" x14ac:dyDescent="0.25">
      <c r="A301" s="34">
        <v>19</v>
      </c>
      <c r="B301" s="48" t="s">
        <v>3843</v>
      </c>
      <c r="C301" s="34" t="s">
        <v>332</v>
      </c>
      <c r="D301" s="34" t="s">
        <v>333</v>
      </c>
      <c r="E301" s="34">
        <v>1986</v>
      </c>
      <c r="F301" s="34">
        <v>1983</v>
      </c>
      <c r="G301" s="34" t="s">
        <v>302</v>
      </c>
      <c r="H301" s="34" t="s">
        <v>334</v>
      </c>
      <c r="I301" s="32" t="s">
        <v>2815</v>
      </c>
      <c r="J301" s="34">
        <v>33.32</v>
      </c>
      <c r="K301" s="34">
        <v>-84.43</v>
      </c>
      <c r="L301" s="34">
        <v>246.5</v>
      </c>
      <c r="R301" s="48">
        <v>3</v>
      </c>
      <c r="S301" s="48" t="s">
        <v>1728</v>
      </c>
      <c r="T301" s="48"/>
      <c r="U301" s="48" t="s">
        <v>1867</v>
      </c>
      <c r="V301" s="48" t="s">
        <v>1390</v>
      </c>
      <c r="W301" s="48" t="s">
        <v>1717</v>
      </c>
      <c r="X301" s="48" t="s">
        <v>1380</v>
      </c>
      <c r="Y301" s="48" t="s">
        <v>1389</v>
      </c>
      <c r="AA301" s="328"/>
      <c r="AB301" s="328"/>
      <c r="AC301" s="34" t="s">
        <v>240</v>
      </c>
      <c r="AG301" s="34" t="s">
        <v>1320</v>
      </c>
      <c r="AH301" s="34" t="s">
        <v>1521</v>
      </c>
      <c r="AI301" s="138" t="s">
        <v>577</v>
      </c>
      <c r="AJ301" s="34" t="s">
        <v>220</v>
      </c>
      <c r="AK301" s="140" t="s">
        <v>220</v>
      </c>
      <c r="AO301" s="34" t="s">
        <v>218</v>
      </c>
      <c r="AP301" s="34" t="s">
        <v>218</v>
      </c>
      <c r="AQ301" s="34" t="s">
        <v>2126</v>
      </c>
      <c r="AR301" s="34" t="s">
        <v>2126</v>
      </c>
      <c r="AS301" s="34" t="s">
        <v>177</v>
      </c>
      <c r="AT301" s="34" t="s">
        <v>338</v>
      </c>
      <c r="AU301" s="34" t="s">
        <v>338</v>
      </c>
      <c r="AW301" s="34" t="s">
        <v>119</v>
      </c>
      <c r="AX301" s="34">
        <v>4</v>
      </c>
      <c r="AZ301" s="34" t="s">
        <v>335</v>
      </c>
      <c r="BD301" s="53"/>
      <c r="BE301" s="34" t="s">
        <v>340</v>
      </c>
      <c r="BK301" s="34">
        <f t="shared" ref="BK301:BK304" si="55">2.33*1000</f>
        <v>2330</v>
      </c>
      <c r="BL301" s="34">
        <f>3.18*1000</f>
        <v>3180</v>
      </c>
      <c r="BO301" s="34" t="s">
        <v>336</v>
      </c>
      <c r="BP301" s="404"/>
      <c r="BQ301" s="404"/>
      <c r="BU301" s="404">
        <v>0.37</v>
      </c>
      <c r="BV301" s="404">
        <v>0.36</v>
      </c>
      <c r="BY301" s="34" t="s">
        <v>163</v>
      </c>
      <c r="BZ301" s="404"/>
      <c r="CA301" s="404"/>
      <c r="CD301" s="34" t="s">
        <v>3120</v>
      </c>
      <c r="CE301" s="557">
        <v>0.37</v>
      </c>
      <c r="CF301" s="557">
        <v>0.36</v>
      </c>
      <c r="CG301" s="557"/>
      <c r="CH301" s="557"/>
      <c r="CI301" s="34" t="s">
        <v>4542</v>
      </c>
      <c r="CJ301" s="34">
        <f t="shared" ref="CJ301:CJ304" si="56">0.34*1000</f>
        <v>340</v>
      </c>
      <c r="CK301" s="34">
        <v>340</v>
      </c>
      <c r="CN301" s="34" t="s">
        <v>1679</v>
      </c>
      <c r="CO301" s="34">
        <v>3.4</v>
      </c>
      <c r="CP301" s="34">
        <v>3</v>
      </c>
      <c r="CT301" s="34">
        <v>109</v>
      </c>
      <c r="CU301" s="34">
        <v>71</v>
      </c>
      <c r="CY301" s="34">
        <v>6.2</v>
      </c>
      <c r="CZ301" s="34">
        <v>5.9</v>
      </c>
      <c r="GZ301" s="12"/>
      <c r="HD301" s="12"/>
      <c r="JB301" s="34" t="s">
        <v>350</v>
      </c>
    </row>
    <row r="302" spans="1:262" s="34" customFormat="1" x14ac:dyDescent="0.25">
      <c r="A302" s="34">
        <v>19</v>
      </c>
      <c r="B302" s="48" t="s">
        <v>3843</v>
      </c>
      <c r="C302" s="34" t="s">
        <v>332</v>
      </c>
      <c r="D302" s="34" t="s">
        <v>333</v>
      </c>
      <c r="E302" s="34">
        <v>1986</v>
      </c>
      <c r="F302" s="34">
        <v>1983</v>
      </c>
      <c r="G302" s="34" t="s">
        <v>302</v>
      </c>
      <c r="H302" s="34" t="s">
        <v>334</v>
      </c>
      <c r="I302" s="32" t="s">
        <v>2815</v>
      </c>
      <c r="J302" s="34">
        <v>33.32</v>
      </c>
      <c r="K302" s="34">
        <v>-84.43</v>
      </c>
      <c r="L302" s="34">
        <v>246.5</v>
      </c>
      <c r="R302" s="48">
        <v>3</v>
      </c>
      <c r="S302" s="48" t="s">
        <v>1728</v>
      </c>
      <c r="T302" s="48"/>
      <c r="U302" s="48" t="s">
        <v>1867</v>
      </c>
      <c r="V302" s="48" t="s">
        <v>1390</v>
      </c>
      <c r="W302" s="48" t="s">
        <v>1717</v>
      </c>
      <c r="X302" s="48" t="s">
        <v>1380</v>
      </c>
      <c r="Y302" s="48" t="s">
        <v>1389</v>
      </c>
      <c r="AA302" s="328"/>
      <c r="AB302" s="328"/>
      <c r="AC302" s="34" t="s">
        <v>240</v>
      </c>
      <c r="AG302" s="34" t="s">
        <v>1320</v>
      </c>
      <c r="AH302" s="34" t="s">
        <v>1532</v>
      </c>
      <c r="AI302" s="138" t="s">
        <v>577</v>
      </c>
      <c r="AJ302" s="34" t="s">
        <v>220</v>
      </c>
      <c r="AK302" s="140" t="s">
        <v>220</v>
      </c>
      <c r="AO302" s="34" t="s">
        <v>218</v>
      </c>
      <c r="AP302" s="34" t="s">
        <v>218</v>
      </c>
      <c r="AQ302" s="34" t="s">
        <v>2126</v>
      </c>
      <c r="AR302" s="34" t="s">
        <v>2126</v>
      </c>
      <c r="AS302" s="34" t="s">
        <v>177</v>
      </c>
      <c r="AT302" s="34" t="s">
        <v>338</v>
      </c>
      <c r="AU302" s="34" t="s">
        <v>338</v>
      </c>
      <c r="AW302" s="34" t="s">
        <v>119</v>
      </c>
      <c r="AX302" s="34">
        <v>4</v>
      </c>
      <c r="AZ302" s="34" t="s">
        <v>335</v>
      </c>
      <c r="BB302" s="34">
        <f>4.97*1000</f>
        <v>4970</v>
      </c>
      <c r="BC302" s="34">
        <f>4.97/2.99*10</f>
        <v>16.622073578595316</v>
      </c>
      <c r="BD302" s="53"/>
      <c r="BE302" s="34" t="s">
        <v>340</v>
      </c>
      <c r="BK302" s="34">
        <f t="shared" si="55"/>
        <v>2330</v>
      </c>
      <c r="BL302" s="34">
        <f>2.72*1000</f>
        <v>2720</v>
      </c>
      <c r="BO302" s="34" t="s">
        <v>336</v>
      </c>
      <c r="BP302" s="404"/>
      <c r="BQ302" s="404"/>
      <c r="BU302" s="404">
        <v>0.37</v>
      </c>
      <c r="BV302" s="404">
        <v>0.37</v>
      </c>
      <c r="BY302" s="34" t="s">
        <v>163</v>
      </c>
      <c r="BZ302" s="404"/>
      <c r="CA302" s="404"/>
      <c r="CD302" s="34" t="s">
        <v>3120</v>
      </c>
      <c r="CE302" s="557">
        <v>0.37</v>
      </c>
      <c r="CF302" s="557">
        <v>0.37</v>
      </c>
      <c r="CG302" s="557"/>
      <c r="CH302" s="557"/>
      <c r="CI302" s="34" t="s">
        <v>4542</v>
      </c>
      <c r="CJ302" s="34">
        <f t="shared" si="56"/>
        <v>340</v>
      </c>
      <c r="CK302" s="34">
        <v>350</v>
      </c>
      <c r="CN302" s="34" t="s">
        <v>1679</v>
      </c>
      <c r="CO302" s="34">
        <v>3.4</v>
      </c>
      <c r="CP302" s="34">
        <v>5.2</v>
      </c>
      <c r="CT302" s="34">
        <v>109</v>
      </c>
      <c r="CU302" s="34">
        <v>79</v>
      </c>
      <c r="CY302" s="34">
        <v>6.2</v>
      </c>
      <c r="CZ302" s="34">
        <v>5.9</v>
      </c>
      <c r="GZ302" s="12"/>
      <c r="HD302" s="12"/>
      <c r="JB302" s="34" t="s">
        <v>350</v>
      </c>
    </row>
    <row r="303" spans="1:262" s="34" customFormat="1" x14ac:dyDescent="0.25">
      <c r="A303" s="34">
        <v>19</v>
      </c>
      <c r="B303" s="48" t="s">
        <v>3843</v>
      </c>
      <c r="C303" s="34" t="s">
        <v>332</v>
      </c>
      <c r="D303" s="34" t="s">
        <v>333</v>
      </c>
      <c r="E303" s="34">
        <v>1986</v>
      </c>
      <c r="F303" s="34">
        <v>1983</v>
      </c>
      <c r="G303" s="34" t="s">
        <v>302</v>
      </c>
      <c r="H303" s="34" t="s">
        <v>334</v>
      </c>
      <c r="I303" s="32" t="s">
        <v>2815</v>
      </c>
      <c r="J303" s="34">
        <v>33.32</v>
      </c>
      <c r="K303" s="34">
        <v>-84.43</v>
      </c>
      <c r="L303" s="34">
        <v>246.5</v>
      </c>
      <c r="R303" s="48">
        <v>3</v>
      </c>
      <c r="S303" s="48" t="s">
        <v>1728</v>
      </c>
      <c r="T303" s="48"/>
      <c r="U303" s="48" t="s">
        <v>1867</v>
      </c>
      <c r="V303" s="48" t="s">
        <v>1390</v>
      </c>
      <c r="W303" s="48" t="s">
        <v>1717</v>
      </c>
      <c r="X303" s="48" t="s">
        <v>1380</v>
      </c>
      <c r="Y303" s="48" t="s">
        <v>1389</v>
      </c>
      <c r="AA303" s="328"/>
      <c r="AB303" s="328"/>
      <c r="AC303" s="34" t="s">
        <v>240</v>
      </c>
      <c r="AG303" s="34" t="s">
        <v>1320</v>
      </c>
      <c r="AH303" s="34" t="s">
        <v>243</v>
      </c>
      <c r="AI303" s="138" t="s">
        <v>577</v>
      </c>
      <c r="AJ303" s="34" t="s">
        <v>220</v>
      </c>
      <c r="AK303" s="140" t="s">
        <v>220</v>
      </c>
      <c r="AO303" s="34" t="s">
        <v>218</v>
      </c>
      <c r="AP303" s="34" t="s">
        <v>218</v>
      </c>
      <c r="AQ303" s="34" t="s">
        <v>2126</v>
      </c>
      <c r="AR303" s="34" t="s">
        <v>2126</v>
      </c>
      <c r="AS303" s="34" t="s">
        <v>177</v>
      </c>
      <c r="AT303" s="34" t="s">
        <v>338</v>
      </c>
      <c r="AU303" s="34" t="s">
        <v>338</v>
      </c>
      <c r="AW303" s="34" t="s">
        <v>119</v>
      </c>
      <c r="AX303" s="34">
        <v>4</v>
      </c>
      <c r="AZ303" s="34" t="s">
        <v>335</v>
      </c>
      <c r="BB303" s="34">
        <f>4.15*1000</f>
        <v>4150</v>
      </c>
      <c r="BC303" s="34">
        <f>4.15/4.5*10</f>
        <v>9.2222222222222232</v>
      </c>
      <c r="BD303" s="53"/>
      <c r="BE303" s="34" t="s">
        <v>340</v>
      </c>
      <c r="BK303" s="34">
        <f t="shared" si="55"/>
        <v>2330</v>
      </c>
      <c r="BL303" s="34">
        <f>2.99*1000</f>
        <v>2990</v>
      </c>
      <c r="BO303" s="34" t="s">
        <v>336</v>
      </c>
      <c r="BP303" s="404"/>
      <c r="BQ303" s="404"/>
      <c r="BU303" s="404">
        <v>0.37</v>
      </c>
      <c r="BV303" s="404">
        <v>0.39</v>
      </c>
      <c r="BY303" s="34" t="s">
        <v>163</v>
      </c>
      <c r="BZ303" s="404"/>
      <c r="CA303" s="404"/>
      <c r="CD303" s="34" t="s">
        <v>3120</v>
      </c>
      <c r="CE303" s="557">
        <v>0.37</v>
      </c>
      <c r="CF303" s="557">
        <v>0.39</v>
      </c>
      <c r="CG303" s="557"/>
      <c r="CH303" s="557"/>
      <c r="CI303" s="34" t="s">
        <v>4542</v>
      </c>
      <c r="CJ303" s="34">
        <f t="shared" si="56"/>
        <v>340</v>
      </c>
      <c r="CK303" s="34">
        <v>390</v>
      </c>
      <c r="CN303" s="34" t="s">
        <v>1679</v>
      </c>
      <c r="CO303" s="34">
        <v>3.4</v>
      </c>
      <c r="CP303" s="34">
        <v>2.2000000000000002</v>
      </c>
      <c r="CT303" s="34">
        <v>109</v>
      </c>
      <c r="CU303" s="34">
        <v>86</v>
      </c>
      <c r="CY303" s="34">
        <v>6.2</v>
      </c>
      <c r="CZ303" s="34">
        <v>6.1</v>
      </c>
      <c r="GZ303" s="12"/>
      <c r="HD303" s="12"/>
      <c r="JB303" s="34" t="s">
        <v>350</v>
      </c>
    </row>
    <row r="304" spans="1:262" s="34" customFormat="1" x14ac:dyDescent="0.25">
      <c r="A304" s="34">
        <v>19</v>
      </c>
      <c r="B304" s="48" t="s">
        <v>3843</v>
      </c>
      <c r="C304" s="34" t="s">
        <v>332</v>
      </c>
      <c r="D304" s="34" t="s">
        <v>333</v>
      </c>
      <c r="E304" s="34">
        <v>1986</v>
      </c>
      <c r="F304" s="34">
        <v>1983</v>
      </c>
      <c r="G304" s="34" t="s">
        <v>302</v>
      </c>
      <c r="H304" s="34" t="s">
        <v>334</v>
      </c>
      <c r="I304" s="32" t="s">
        <v>2815</v>
      </c>
      <c r="J304" s="34">
        <v>33.32</v>
      </c>
      <c r="K304" s="34">
        <v>-84.43</v>
      </c>
      <c r="L304" s="34">
        <v>246.5</v>
      </c>
      <c r="R304" s="48">
        <v>3</v>
      </c>
      <c r="S304" s="48" t="s">
        <v>1728</v>
      </c>
      <c r="T304" s="48"/>
      <c r="U304" s="48" t="s">
        <v>1867</v>
      </c>
      <c r="V304" s="48" t="s">
        <v>1390</v>
      </c>
      <c r="W304" s="48" t="s">
        <v>1717</v>
      </c>
      <c r="X304" s="48" t="s">
        <v>1380</v>
      </c>
      <c r="Y304" s="48" t="s">
        <v>1389</v>
      </c>
      <c r="AA304" s="328"/>
      <c r="AB304" s="328"/>
      <c r="AC304" s="34" t="s">
        <v>240</v>
      </c>
      <c r="AG304" s="34" t="s">
        <v>1320</v>
      </c>
      <c r="AH304" s="34" t="s">
        <v>1533</v>
      </c>
      <c r="AI304" s="138" t="s">
        <v>577</v>
      </c>
      <c r="AJ304" s="34" t="s">
        <v>220</v>
      </c>
      <c r="AK304" s="140" t="s">
        <v>220</v>
      </c>
      <c r="AO304" s="34" t="s">
        <v>218</v>
      </c>
      <c r="AP304" s="34" t="s">
        <v>218</v>
      </c>
      <c r="AQ304" s="34" t="s">
        <v>2126</v>
      </c>
      <c r="AR304" s="34" t="s">
        <v>2126</v>
      </c>
      <c r="AS304" s="34" t="s">
        <v>177</v>
      </c>
      <c r="AT304" s="34" t="s">
        <v>338</v>
      </c>
      <c r="AU304" s="34" t="s">
        <v>338</v>
      </c>
      <c r="AW304" s="34" t="s">
        <v>119</v>
      </c>
      <c r="AX304" s="34">
        <v>4</v>
      </c>
      <c r="AZ304" s="34" t="s">
        <v>335</v>
      </c>
      <c r="BB304" s="34">
        <f>4.23*1000</f>
        <v>4230</v>
      </c>
      <c r="BC304" s="34">
        <f>4.23/3.36*10</f>
        <v>12.589285714285715</v>
      </c>
      <c r="BD304" s="53"/>
      <c r="BE304" s="34" t="s">
        <v>340</v>
      </c>
      <c r="BK304" s="34">
        <f t="shared" si="55"/>
        <v>2330</v>
      </c>
      <c r="BL304" s="34">
        <f>2.83*1000</f>
        <v>2830</v>
      </c>
      <c r="BO304" s="34" t="s">
        <v>336</v>
      </c>
      <c r="BP304" s="404"/>
      <c r="BQ304" s="404"/>
      <c r="BU304" s="404">
        <v>0.37</v>
      </c>
      <c r="BV304" s="404">
        <v>0.39</v>
      </c>
      <c r="BY304" s="34" t="s">
        <v>163</v>
      </c>
      <c r="BZ304" s="404"/>
      <c r="CA304" s="404"/>
      <c r="CD304" s="34" t="s">
        <v>3120</v>
      </c>
      <c r="CE304" s="557">
        <v>0.37</v>
      </c>
      <c r="CF304" s="557">
        <v>0.39</v>
      </c>
      <c r="CG304" s="557"/>
      <c r="CH304" s="557"/>
      <c r="CI304" s="34" t="s">
        <v>4542</v>
      </c>
      <c r="CJ304" s="34">
        <f t="shared" si="56"/>
        <v>340</v>
      </c>
      <c r="CK304" s="34">
        <v>370</v>
      </c>
      <c r="CN304" s="34" t="s">
        <v>1679</v>
      </c>
      <c r="CO304" s="34">
        <v>3.4</v>
      </c>
      <c r="CP304" s="34">
        <v>2.4</v>
      </c>
      <c r="CT304" s="34">
        <v>109</v>
      </c>
      <c r="CU304" s="34">
        <v>97</v>
      </c>
      <c r="CY304" s="34">
        <v>6.2</v>
      </c>
      <c r="CZ304" s="34">
        <v>6.2</v>
      </c>
      <c r="GZ304" s="12"/>
      <c r="HD304" s="12"/>
      <c r="JB304" s="34" t="s">
        <v>350</v>
      </c>
    </row>
    <row r="305" spans="1:262" s="32" customFormat="1" x14ac:dyDescent="0.25">
      <c r="A305" s="32">
        <v>19</v>
      </c>
      <c r="B305" s="44" t="s">
        <v>3844</v>
      </c>
      <c r="C305" s="32" t="s">
        <v>332</v>
      </c>
      <c r="D305" s="32" t="s">
        <v>333</v>
      </c>
      <c r="E305" s="32">
        <v>1986</v>
      </c>
      <c r="F305" s="32">
        <v>1981</v>
      </c>
      <c r="G305" s="32" t="s">
        <v>302</v>
      </c>
      <c r="H305" s="32" t="s">
        <v>334</v>
      </c>
      <c r="I305" s="32" t="s">
        <v>2815</v>
      </c>
      <c r="J305" s="32">
        <v>33.32</v>
      </c>
      <c r="K305" s="32">
        <v>-84.43</v>
      </c>
      <c r="L305" s="32">
        <v>246.5</v>
      </c>
      <c r="R305" s="44">
        <v>1</v>
      </c>
      <c r="S305" s="44" t="s">
        <v>1728</v>
      </c>
      <c r="T305" s="44"/>
      <c r="U305" s="44" t="s">
        <v>1867</v>
      </c>
      <c r="V305" s="44" t="s">
        <v>1380</v>
      </c>
      <c r="W305" s="48" t="s">
        <v>1716</v>
      </c>
      <c r="X305" s="42" t="s">
        <v>1380</v>
      </c>
      <c r="Y305" s="44" t="s">
        <v>1389</v>
      </c>
      <c r="AA305" s="323"/>
      <c r="AB305" s="323"/>
      <c r="AC305" s="32" t="s">
        <v>240</v>
      </c>
      <c r="AG305" s="32" t="s">
        <v>1320</v>
      </c>
      <c r="AH305" s="32" t="s">
        <v>131</v>
      </c>
      <c r="AI305" s="138" t="s">
        <v>131</v>
      </c>
      <c r="AJ305" s="32" t="s">
        <v>220</v>
      </c>
      <c r="AK305" s="140" t="s">
        <v>220</v>
      </c>
      <c r="AO305" s="32" t="s">
        <v>218</v>
      </c>
      <c r="AP305" s="32" t="s">
        <v>218</v>
      </c>
      <c r="AQ305" s="32" t="s">
        <v>2126</v>
      </c>
      <c r="AR305" s="32" t="s">
        <v>2126</v>
      </c>
      <c r="AS305" s="32" t="s">
        <v>177</v>
      </c>
      <c r="AT305" s="32" t="s">
        <v>339</v>
      </c>
      <c r="AU305" s="32" t="s">
        <v>339</v>
      </c>
      <c r="AW305" s="32" t="s">
        <v>119</v>
      </c>
      <c r="AX305" s="32">
        <v>4</v>
      </c>
      <c r="AZ305" s="32" t="s">
        <v>335</v>
      </c>
      <c r="BB305" s="34">
        <f>3.33*1000</f>
        <v>3330</v>
      </c>
      <c r="BC305" s="34">
        <f>3.33/1.09*10</f>
        <v>30.550458715596328</v>
      </c>
      <c r="BD305" s="53"/>
      <c r="BE305" s="34" t="s">
        <v>340</v>
      </c>
      <c r="BK305" s="32">
        <f>4.79*1000</f>
        <v>4790</v>
      </c>
      <c r="BL305" s="32">
        <f>4.1*1000</f>
        <v>4100</v>
      </c>
      <c r="BO305" s="32" t="s">
        <v>337</v>
      </c>
      <c r="BP305" s="397"/>
      <c r="BQ305" s="397"/>
      <c r="BU305" s="397"/>
      <c r="BV305" s="397"/>
      <c r="BZ305" s="397"/>
      <c r="CA305" s="397"/>
      <c r="CE305" s="550"/>
      <c r="CF305" s="550"/>
      <c r="CG305" s="550"/>
      <c r="CH305" s="550"/>
      <c r="GZ305" s="12"/>
      <c r="HD305" s="12"/>
      <c r="JB305" s="34" t="s">
        <v>350</v>
      </c>
    </row>
    <row r="306" spans="1:262" s="32" customFormat="1" x14ac:dyDescent="0.25">
      <c r="A306" s="32">
        <v>19</v>
      </c>
      <c r="B306" s="44" t="s">
        <v>3845</v>
      </c>
      <c r="C306" s="32" t="s">
        <v>332</v>
      </c>
      <c r="D306" s="32" t="s">
        <v>333</v>
      </c>
      <c r="E306" s="32">
        <v>1986</v>
      </c>
      <c r="F306" s="32">
        <v>1981</v>
      </c>
      <c r="G306" s="32" t="s">
        <v>302</v>
      </c>
      <c r="H306" s="32" t="s">
        <v>334</v>
      </c>
      <c r="I306" s="32" t="s">
        <v>2815</v>
      </c>
      <c r="J306" s="32">
        <v>33.32</v>
      </c>
      <c r="K306" s="32">
        <v>-84.43</v>
      </c>
      <c r="L306" s="32">
        <v>246.5</v>
      </c>
      <c r="R306" s="44">
        <v>1</v>
      </c>
      <c r="S306" s="44" t="s">
        <v>1728</v>
      </c>
      <c r="T306" s="44"/>
      <c r="U306" s="44" t="s">
        <v>1867</v>
      </c>
      <c r="V306" s="44" t="s">
        <v>1380</v>
      </c>
      <c r="W306" s="48" t="s">
        <v>1716</v>
      </c>
      <c r="X306" s="42" t="s">
        <v>1380</v>
      </c>
      <c r="Y306" s="44" t="s">
        <v>1389</v>
      </c>
      <c r="AA306" s="323"/>
      <c r="AB306" s="323"/>
      <c r="AC306" s="32" t="s">
        <v>240</v>
      </c>
      <c r="AG306" s="32" t="s">
        <v>1320</v>
      </c>
      <c r="AH306" s="32" t="s">
        <v>1521</v>
      </c>
      <c r="AI306" s="138" t="s">
        <v>577</v>
      </c>
      <c r="AJ306" s="32" t="s">
        <v>220</v>
      </c>
      <c r="AK306" s="140" t="s">
        <v>220</v>
      </c>
      <c r="AO306" s="32" t="s">
        <v>218</v>
      </c>
      <c r="AP306" s="32" t="s">
        <v>218</v>
      </c>
      <c r="AQ306" s="32" t="s">
        <v>2126</v>
      </c>
      <c r="AR306" s="32" t="s">
        <v>2126</v>
      </c>
      <c r="AS306" s="32" t="s">
        <v>177</v>
      </c>
      <c r="AT306" s="32" t="s">
        <v>339</v>
      </c>
      <c r="AU306" s="32" t="s">
        <v>339</v>
      </c>
      <c r="AW306" s="32" t="s">
        <v>119</v>
      </c>
      <c r="AX306" s="32">
        <v>4</v>
      </c>
      <c r="AZ306" s="32" t="s">
        <v>335</v>
      </c>
      <c r="BB306" s="34">
        <f>3.53*1000</f>
        <v>3530</v>
      </c>
      <c r="BC306" s="34">
        <f>3.53*10/2.92</f>
        <v>12.08904109589041</v>
      </c>
      <c r="BD306" s="53"/>
      <c r="BE306" s="34" t="s">
        <v>340</v>
      </c>
      <c r="BK306" s="32">
        <f t="shared" ref="BK306:BK309" si="57">4.79*1000</f>
        <v>4790</v>
      </c>
      <c r="BL306" s="32">
        <f>4.38*1000</f>
        <v>4380</v>
      </c>
      <c r="BO306" s="32" t="s">
        <v>337</v>
      </c>
      <c r="BP306" s="397"/>
      <c r="BQ306" s="397"/>
      <c r="BU306" s="397"/>
      <c r="BV306" s="397"/>
      <c r="BZ306" s="397"/>
      <c r="CA306" s="397"/>
      <c r="CE306" s="550"/>
      <c r="CF306" s="550"/>
      <c r="CG306" s="550"/>
      <c r="CH306" s="550"/>
      <c r="GZ306" s="12"/>
      <c r="HD306" s="12"/>
      <c r="JB306" s="34" t="s">
        <v>350</v>
      </c>
    </row>
    <row r="307" spans="1:262" s="32" customFormat="1" x14ac:dyDescent="0.25">
      <c r="A307" s="32">
        <v>19</v>
      </c>
      <c r="B307" s="44" t="s">
        <v>3845</v>
      </c>
      <c r="C307" s="32" t="s">
        <v>332</v>
      </c>
      <c r="D307" s="32" t="s">
        <v>333</v>
      </c>
      <c r="E307" s="32">
        <v>1986</v>
      </c>
      <c r="F307" s="32">
        <v>1981</v>
      </c>
      <c r="G307" s="32" t="s">
        <v>302</v>
      </c>
      <c r="H307" s="32" t="s">
        <v>334</v>
      </c>
      <c r="I307" s="32" t="s">
        <v>2815</v>
      </c>
      <c r="J307" s="32">
        <v>33.32</v>
      </c>
      <c r="K307" s="32">
        <v>-84.43</v>
      </c>
      <c r="L307" s="32">
        <v>246.5</v>
      </c>
      <c r="R307" s="44">
        <v>1</v>
      </c>
      <c r="S307" s="44" t="s">
        <v>1728</v>
      </c>
      <c r="T307" s="44"/>
      <c r="U307" s="44" t="s">
        <v>1867</v>
      </c>
      <c r="V307" s="44" t="s">
        <v>1380</v>
      </c>
      <c r="W307" s="48" t="s">
        <v>1716</v>
      </c>
      <c r="X307" s="42" t="s">
        <v>1380</v>
      </c>
      <c r="Y307" s="44" t="s">
        <v>1389</v>
      </c>
      <c r="AA307" s="323"/>
      <c r="AB307" s="323"/>
      <c r="AC307" s="32" t="s">
        <v>240</v>
      </c>
      <c r="AG307" s="32" t="s">
        <v>1320</v>
      </c>
      <c r="AH307" s="32" t="s">
        <v>1532</v>
      </c>
      <c r="AI307" s="138" t="s">
        <v>577</v>
      </c>
      <c r="AJ307" s="32" t="s">
        <v>220</v>
      </c>
      <c r="AK307" s="140" t="s">
        <v>220</v>
      </c>
      <c r="AO307" s="32" t="s">
        <v>218</v>
      </c>
      <c r="AP307" s="32" t="s">
        <v>218</v>
      </c>
      <c r="AQ307" s="32" t="s">
        <v>2126</v>
      </c>
      <c r="AR307" s="32" t="s">
        <v>2126</v>
      </c>
      <c r="AS307" s="32" t="s">
        <v>177</v>
      </c>
      <c r="AT307" s="32" t="s">
        <v>339</v>
      </c>
      <c r="AU307" s="32" t="s">
        <v>339</v>
      </c>
      <c r="AW307" s="32" t="s">
        <v>119</v>
      </c>
      <c r="AX307" s="32">
        <v>4</v>
      </c>
      <c r="AZ307" s="32" t="s">
        <v>335</v>
      </c>
      <c r="BB307" s="34">
        <f>2.96*1000</f>
        <v>2960</v>
      </c>
      <c r="BC307" s="34">
        <f>2.96/2.77*10</f>
        <v>10.685920577617329</v>
      </c>
      <c r="BD307" s="53"/>
      <c r="BE307" s="34" t="s">
        <v>340</v>
      </c>
      <c r="BK307" s="32">
        <f t="shared" si="57"/>
        <v>4790</v>
      </c>
      <c r="BL307" s="32">
        <f>4.12*1000</f>
        <v>4120</v>
      </c>
      <c r="BO307" s="32" t="s">
        <v>337</v>
      </c>
      <c r="BP307" s="397"/>
      <c r="BQ307" s="397"/>
      <c r="BU307" s="397"/>
      <c r="BV307" s="397"/>
      <c r="BZ307" s="397"/>
      <c r="CA307" s="397"/>
      <c r="CE307" s="550"/>
      <c r="CF307" s="550"/>
      <c r="CG307" s="550"/>
      <c r="CH307" s="550"/>
      <c r="GZ307" s="12"/>
      <c r="HD307" s="12"/>
      <c r="JB307" s="34" t="s">
        <v>350</v>
      </c>
    </row>
    <row r="308" spans="1:262" s="32" customFormat="1" x14ac:dyDescent="0.25">
      <c r="A308" s="32">
        <v>19</v>
      </c>
      <c r="B308" s="44" t="s">
        <v>3845</v>
      </c>
      <c r="C308" s="32" t="s">
        <v>332</v>
      </c>
      <c r="D308" s="32" t="s">
        <v>333</v>
      </c>
      <c r="E308" s="32">
        <v>1986</v>
      </c>
      <c r="F308" s="32">
        <v>1981</v>
      </c>
      <c r="G308" s="32" t="s">
        <v>302</v>
      </c>
      <c r="H308" s="32" t="s">
        <v>334</v>
      </c>
      <c r="I308" s="32" t="s">
        <v>2815</v>
      </c>
      <c r="J308" s="32">
        <v>33.32</v>
      </c>
      <c r="K308" s="32">
        <v>-84.43</v>
      </c>
      <c r="L308" s="32">
        <v>246.5</v>
      </c>
      <c r="R308" s="44">
        <v>1</v>
      </c>
      <c r="S308" s="44" t="s">
        <v>1728</v>
      </c>
      <c r="T308" s="44"/>
      <c r="U308" s="44" t="s">
        <v>1867</v>
      </c>
      <c r="V308" s="44" t="s">
        <v>1380</v>
      </c>
      <c r="W308" s="48" t="s">
        <v>1716</v>
      </c>
      <c r="X308" s="42" t="s">
        <v>1380</v>
      </c>
      <c r="Y308" s="44" t="s">
        <v>1389</v>
      </c>
      <c r="AA308" s="323"/>
      <c r="AB308" s="323"/>
      <c r="AC308" s="32" t="s">
        <v>240</v>
      </c>
      <c r="AG308" s="32" t="s">
        <v>1320</v>
      </c>
      <c r="AH308" s="32" t="s">
        <v>243</v>
      </c>
      <c r="AI308" s="138" t="s">
        <v>577</v>
      </c>
      <c r="AJ308" s="32" t="s">
        <v>220</v>
      </c>
      <c r="AK308" s="140" t="s">
        <v>220</v>
      </c>
      <c r="AO308" s="32" t="s">
        <v>218</v>
      </c>
      <c r="AP308" s="32" t="s">
        <v>218</v>
      </c>
      <c r="AQ308" s="32" t="s">
        <v>2126</v>
      </c>
      <c r="AR308" s="32" t="s">
        <v>2126</v>
      </c>
      <c r="AS308" s="32" t="s">
        <v>177</v>
      </c>
      <c r="AT308" s="32" t="s">
        <v>339</v>
      </c>
      <c r="AU308" s="32" t="s">
        <v>339</v>
      </c>
      <c r="AW308" s="32" t="s">
        <v>119</v>
      </c>
      <c r="AX308" s="32">
        <v>4</v>
      </c>
      <c r="AZ308" s="32" t="s">
        <v>335</v>
      </c>
      <c r="BB308" s="34">
        <f>4.06*1000</f>
        <v>4059.9999999999995</v>
      </c>
      <c r="BC308" s="34">
        <f>4.06/3.01*10</f>
        <v>13.488372093023255</v>
      </c>
      <c r="BD308" s="53"/>
      <c r="BE308" s="34" t="s">
        <v>340</v>
      </c>
      <c r="BK308" s="32">
        <f t="shared" si="57"/>
        <v>4790</v>
      </c>
      <c r="BL308" s="32">
        <f>4.53*1000</f>
        <v>4530</v>
      </c>
      <c r="BO308" s="32" t="s">
        <v>337</v>
      </c>
      <c r="BP308" s="397"/>
      <c r="BQ308" s="397"/>
      <c r="BU308" s="397"/>
      <c r="BV308" s="397"/>
      <c r="BZ308" s="397"/>
      <c r="CA308" s="397"/>
      <c r="CE308" s="550"/>
      <c r="CF308" s="550"/>
      <c r="CG308" s="550"/>
      <c r="CH308" s="550"/>
      <c r="GZ308" s="12"/>
      <c r="HD308" s="12"/>
      <c r="JB308" s="34" t="s">
        <v>350</v>
      </c>
    </row>
    <row r="309" spans="1:262" s="32" customFormat="1" x14ac:dyDescent="0.25">
      <c r="A309" s="32">
        <v>19</v>
      </c>
      <c r="B309" s="44" t="s">
        <v>3845</v>
      </c>
      <c r="C309" s="32" t="s">
        <v>332</v>
      </c>
      <c r="D309" s="32" t="s">
        <v>333</v>
      </c>
      <c r="E309" s="32">
        <v>1986</v>
      </c>
      <c r="F309" s="32">
        <v>1981</v>
      </c>
      <c r="G309" s="32" t="s">
        <v>302</v>
      </c>
      <c r="H309" s="32" t="s">
        <v>334</v>
      </c>
      <c r="I309" s="32" t="s">
        <v>2815</v>
      </c>
      <c r="J309" s="32">
        <v>33.32</v>
      </c>
      <c r="K309" s="32">
        <v>-84.43</v>
      </c>
      <c r="L309" s="32">
        <v>246.5</v>
      </c>
      <c r="R309" s="44">
        <v>1</v>
      </c>
      <c r="S309" s="44" t="s">
        <v>1728</v>
      </c>
      <c r="T309" s="44"/>
      <c r="U309" s="44" t="s">
        <v>1867</v>
      </c>
      <c r="V309" s="44" t="s">
        <v>1380</v>
      </c>
      <c r="W309" s="48" t="s">
        <v>1716</v>
      </c>
      <c r="X309" s="42" t="s">
        <v>1380</v>
      </c>
      <c r="Y309" s="44" t="s">
        <v>1389</v>
      </c>
      <c r="AA309" s="323"/>
      <c r="AB309" s="323"/>
      <c r="AC309" s="32" t="s">
        <v>240</v>
      </c>
      <c r="AG309" s="32" t="s">
        <v>1320</v>
      </c>
      <c r="AH309" s="32" t="s">
        <v>1533</v>
      </c>
      <c r="AI309" s="138" t="s">
        <v>577</v>
      </c>
      <c r="AJ309" s="32" t="s">
        <v>220</v>
      </c>
      <c r="AK309" s="140" t="s">
        <v>220</v>
      </c>
      <c r="AO309" s="32" t="s">
        <v>218</v>
      </c>
      <c r="AP309" s="32" t="s">
        <v>218</v>
      </c>
      <c r="AQ309" s="32" t="s">
        <v>2126</v>
      </c>
      <c r="AR309" s="32" t="s">
        <v>2126</v>
      </c>
      <c r="AS309" s="32" t="s">
        <v>177</v>
      </c>
      <c r="AT309" s="32" t="s">
        <v>339</v>
      </c>
      <c r="AU309" s="32" t="s">
        <v>339</v>
      </c>
      <c r="AW309" s="32" t="s">
        <v>119</v>
      </c>
      <c r="AX309" s="32">
        <v>4</v>
      </c>
      <c r="AZ309" s="32" t="s">
        <v>335</v>
      </c>
      <c r="BB309" s="34">
        <f>3.96*1000</f>
        <v>3960</v>
      </c>
      <c r="BC309" s="34">
        <f>3.96/2.96*10</f>
        <v>13.378378378378379</v>
      </c>
      <c r="BD309" s="53"/>
      <c r="BE309" s="34" t="s">
        <v>340</v>
      </c>
      <c r="BK309" s="32">
        <f t="shared" si="57"/>
        <v>4790</v>
      </c>
      <c r="BL309" s="32">
        <f>4.1*1000</f>
        <v>4100</v>
      </c>
      <c r="BO309" s="32" t="s">
        <v>337</v>
      </c>
      <c r="BP309" s="397"/>
      <c r="BQ309" s="397"/>
      <c r="BU309" s="397"/>
      <c r="BV309" s="397"/>
      <c r="BZ309" s="397"/>
      <c r="CA309" s="397"/>
      <c r="CE309" s="550"/>
      <c r="CF309" s="550"/>
      <c r="CG309" s="550"/>
      <c r="CH309" s="550"/>
      <c r="GZ309" s="12"/>
      <c r="HD309" s="12"/>
      <c r="JB309" s="34" t="s">
        <v>350</v>
      </c>
    </row>
    <row r="310" spans="1:262" s="24" customFormat="1" x14ac:dyDescent="0.25">
      <c r="A310" s="24">
        <v>19</v>
      </c>
      <c r="B310" s="42" t="s">
        <v>3846</v>
      </c>
      <c r="C310" s="24" t="s">
        <v>332</v>
      </c>
      <c r="D310" s="24" t="s">
        <v>333</v>
      </c>
      <c r="E310" s="24">
        <v>1986</v>
      </c>
      <c r="F310" s="24">
        <v>1982</v>
      </c>
      <c r="G310" s="24" t="s">
        <v>302</v>
      </c>
      <c r="H310" s="24" t="s">
        <v>334</v>
      </c>
      <c r="I310" s="32" t="s">
        <v>2815</v>
      </c>
      <c r="J310" s="24">
        <v>33.32</v>
      </c>
      <c r="K310" s="24">
        <v>-84.43</v>
      </c>
      <c r="L310" s="24">
        <v>246.5</v>
      </c>
      <c r="R310" s="42">
        <v>2</v>
      </c>
      <c r="S310" s="42" t="s">
        <v>1728</v>
      </c>
      <c r="T310" s="42"/>
      <c r="U310" s="42" t="s">
        <v>1867</v>
      </c>
      <c r="V310" s="42" t="s">
        <v>1381</v>
      </c>
      <c r="W310" s="42" t="s">
        <v>1716</v>
      </c>
      <c r="X310" s="42" t="s">
        <v>1380</v>
      </c>
      <c r="Y310" s="42" t="s">
        <v>1389</v>
      </c>
      <c r="AA310" s="321"/>
      <c r="AB310" s="321"/>
      <c r="AC310" s="24" t="s">
        <v>240</v>
      </c>
      <c r="AG310" s="24" t="s">
        <v>1320</v>
      </c>
      <c r="AH310" s="24" t="s">
        <v>131</v>
      </c>
      <c r="AI310" s="138" t="s">
        <v>131</v>
      </c>
      <c r="AJ310" s="24" t="s">
        <v>220</v>
      </c>
      <c r="AK310" s="140" t="s">
        <v>220</v>
      </c>
      <c r="AO310" s="24" t="s">
        <v>218</v>
      </c>
      <c r="AP310" s="24" t="s">
        <v>218</v>
      </c>
      <c r="AQ310" s="24" t="s">
        <v>2126</v>
      </c>
      <c r="AR310" s="24" t="s">
        <v>2126</v>
      </c>
      <c r="AS310" s="24" t="s">
        <v>177</v>
      </c>
      <c r="AT310" s="32" t="s">
        <v>339</v>
      </c>
      <c r="AU310" s="32" t="s">
        <v>339</v>
      </c>
      <c r="AV310" s="32"/>
      <c r="AW310" s="24" t="s">
        <v>119</v>
      </c>
      <c r="AX310" s="24">
        <v>4</v>
      </c>
      <c r="AZ310" s="24" t="s">
        <v>335</v>
      </c>
      <c r="BB310" s="24">
        <f>3.93*1000</f>
        <v>3930</v>
      </c>
      <c r="BC310" s="24">
        <f>3.93/0.89*10</f>
        <v>44.157303370786522</v>
      </c>
      <c r="BD310" s="53"/>
      <c r="BE310" s="34" t="s">
        <v>340</v>
      </c>
      <c r="BK310" s="24">
        <f>4.06*1000</f>
        <v>4059.9999999999995</v>
      </c>
      <c r="BL310" s="24">
        <f>4.55*1000</f>
        <v>4550</v>
      </c>
      <c r="BM310" s="32"/>
      <c r="BN310" s="32"/>
      <c r="BO310" s="32" t="s">
        <v>337</v>
      </c>
      <c r="BP310" s="395"/>
      <c r="BQ310" s="395"/>
      <c r="BU310" s="395"/>
      <c r="BV310" s="395"/>
      <c r="BZ310" s="395"/>
      <c r="CA310" s="395"/>
      <c r="CE310" s="548"/>
      <c r="CF310" s="548"/>
      <c r="CG310" s="548"/>
      <c r="CH310" s="548"/>
      <c r="GZ310" s="12"/>
      <c r="HD310" s="12"/>
      <c r="JB310" s="34" t="s">
        <v>350</v>
      </c>
    </row>
    <row r="311" spans="1:262" s="24" customFormat="1" x14ac:dyDescent="0.25">
      <c r="A311" s="24">
        <v>19</v>
      </c>
      <c r="B311" s="42" t="s">
        <v>3847</v>
      </c>
      <c r="C311" s="24" t="s">
        <v>332</v>
      </c>
      <c r="D311" s="24" t="s">
        <v>333</v>
      </c>
      <c r="E311" s="24">
        <v>1986</v>
      </c>
      <c r="F311" s="24">
        <v>1982</v>
      </c>
      <c r="G311" s="24" t="s">
        <v>302</v>
      </c>
      <c r="H311" s="24" t="s">
        <v>334</v>
      </c>
      <c r="I311" s="32" t="s">
        <v>2815</v>
      </c>
      <c r="J311" s="24">
        <v>33.32</v>
      </c>
      <c r="K311" s="24">
        <v>-84.43</v>
      </c>
      <c r="L311" s="24">
        <v>246.5</v>
      </c>
      <c r="R311" s="42">
        <v>2</v>
      </c>
      <c r="S311" s="42" t="s">
        <v>1728</v>
      </c>
      <c r="T311" s="42"/>
      <c r="U311" s="42" t="s">
        <v>1867</v>
      </c>
      <c r="V311" s="42" t="s">
        <v>1381</v>
      </c>
      <c r="W311" s="42" t="s">
        <v>1716</v>
      </c>
      <c r="X311" s="42" t="s">
        <v>1380</v>
      </c>
      <c r="Y311" s="42" t="s">
        <v>1389</v>
      </c>
      <c r="AA311" s="321"/>
      <c r="AB311" s="321"/>
      <c r="AC311" s="24" t="s">
        <v>240</v>
      </c>
      <c r="AG311" s="24" t="s">
        <v>1320</v>
      </c>
      <c r="AH311" s="24" t="s">
        <v>1521</v>
      </c>
      <c r="AI311" s="138" t="s">
        <v>577</v>
      </c>
      <c r="AJ311" s="24" t="s">
        <v>220</v>
      </c>
      <c r="AK311" s="140" t="s">
        <v>220</v>
      </c>
      <c r="AO311" s="24" t="s">
        <v>218</v>
      </c>
      <c r="AP311" s="24" t="s">
        <v>218</v>
      </c>
      <c r="AQ311" s="24" t="s">
        <v>2126</v>
      </c>
      <c r="AR311" s="24" t="s">
        <v>2126</v>
      </c>
      <c r="AS311" s="24" t="s">
        <v>177</v>
      </c>
      <c r="AT311" s="32" t="s">
        <v>339</v>
      </c>
      <c r="AU311" s="32" t="s">
        <v>339</v>
      </c>
      <c r="AV311" s="32"/>
      <c r="AW311" s="24" t="s">
        <v>119</v>
      </c>
      <c r="AX311" s="24">
        <v>4</v>
      </c>
      <c r="AZ311" s="24" t="s">
        <v>335</v>
      </c>
      <c r="BD311" s="53"/>
      <c r="BE311" s="34" t="s">
        <v>340</v>
      </c>
      <c r="BK311" s="24">
        <f t="shared" ref="BK311:BK314" si="58">4.06*1000</f>
        <v>4059.9999999999995</v>
      </c>
      <c r="BL311" s="24">
        <f>4.73*1000</f>
        <v>4730</v>
      </c>
      <c r="BM311" s="32"/>
      <c r="BN311" s="32"/>
      <c r="BO311" s="32" t="s">
        <v>337</v>
      </c>
      <c r="BP311" s="395"/>
      <c r="BQ311" s="395"/>
      <c r="BU311" s="395"/>
      <c r="BV311" s="395"/>
      <c r="BZ311" s="395"/>
      <c r="CA311" s="395"/>
      <c r="CE311" s="548"/>
      <c r="CF311" s="548"/>
      <c r="CG311" s="548"/>
      <c r="CH311" s="548"/>
      <c r="GZ311" s="12"/>
      <c r="HD311" s="12"/>
      <c r="JB311" s="34" t="s">
        <v>350</v>
      </c>
    </row>
    <row r="312" spans="1:262" s="24" customFormat="1" x14ac:dyDescent="0.25">
      <c r="A312" s="24">
        <v>19</v>
      </c>
      <c r="B312" s="42" t="s">
        <v>3847</v>
      </c>
      <c r="C312" s="24" t="s">
        <v>332</v>
      </c>
      <c r="D312" s="24" t="s">
        <v>333</v>
      </c>
      <c r="E312" s="24">
        <v>1986</v>
      </c>
      <c r="F312" s="24">
        <v>1982</v>
      </c>
      <c r="G312" s="24" t="s">
        <v>302</v>
      </c>
      <c r="H312" s="24" t="s">
        <v>334</v>
      </c>
      <c r="I312" s="32" t="s">
        <v>2815</v>
      </c>
      <c r="J312" s="24">
        <v>33.32</v>
      </c>
      <c r="K312" s="24">
        <v>-84.43</v>
      </c>
      <c r="L312" s="24">
        <v>246.5</v>
      </c>
      <c r="R312" s="42">
        <v>2</v>
      </c>
      <c r="S312" s="42" t="s">
        <v>1728</v>
      </c>
      <c r="T312" s="42"/>
      <c r="U312" s="42" t="s">
        <v>1867</v>
      </c>
      <c r="V312" s="42" t="s">
        <v>1381</v>
      </c>
      <c r="W312" s="42" t="s">
        <v>1716</v>
      </c>
      <c r="X312" s="42" t="s">
        <v>1380</v>
      </c>
      <c r="Y312" s="42" t="s">
        <v>1389</v>
      </c>
      <c r="AA312" s="321"/>
      <c r="AB312" s="321"/>
      <c r="AC312" s="24" t="s">
        <v>240</v>
      </c>
      <c r="AG312" s="24" t="s">
        <v>1320</v>
      </c>
      <c r="AH312" s="24" t="s">
        <v>1532</v>
      </c>
      <c r="AI312" s="138" t="s">
        <v>577</v>
      </c>
      <c r="AJ312" s="24" t="s">
        <v>220</v>
      </c>
      <c r="AK312" s="140" t="s">
        <v>220</v>
      </c>
      <c r="AO312" s="24" t="s">
        <v>218</v>
      </c>
      <c r="AP312" s="24" t="s">
        <v>218</v>
      </c>
      <c r="AQ312" s="24" t="s">
        <v>2126</v>
      </c>
      <c r="AR312" s="24" t="s">
        <v>2126</v>
      </c>
      <c r="AS312" s="24" t="s">
        <v>177</v>
      </c>
      <c r="AT312" s="32" t="s">
        <v>339</v>
      </c>
      <c r="AU312" s="32" t="s">
        <v>339</v>
      </c>
      <c r="AV312" s="32"/>
      <c r="AW312" s="24" t="s">
        <v>119</v>
      </c>
      <c r="AX312" s="24">
        <v>4</v>
      </c>
      <c r="AZ312" s="24" t="s">
        <v>335</v>
      </c>
      <c r="BB312" s="24">
        <f>4.06*1000</f>
        <v>4059.9999999999995</v>
      </c>
      <c r="BC312" s="24">
        <f>4.06/2.77*10</f>
        <v>14.657039711191334</v>
      </c>
      <c r="BD312" s="53"/>
      <c r="BE312" s="34" t="s">
        <v>340</v>
      </c>
      <c r="BK312" s="24">
        <f t="shared" si="58"/>
        <v>4059.9999999999995</v>
      </c>
      <c r="BL312" s="24">
        <f>4.96*1000</f>
        <v>4960</v>
      </c>
      <c r="BM312" s="32"/>
      <c r="BN312" s="32"/>
      <c r="BO312" s="32" t="s">
        <v>337</v>
      </c>
      <c r="BP312" s="395"/>
      <c r="BQ312" s="395"/>
      <c r="BU312" s="395"/>
      <c r="BV312" s="395"/>
      <c r="BZ312" s="395"/>
      <c r="CA312" s="395"/>
      <c r="CE312" s="548"/>
      <c r="CF312" s="548"/>
      <c r="CG312" s="548"/>
      <c r="CH312" s="548"/>
      <c r="GZ312" s="12"/>
      <c r="HD312" s="12"/>
      <c r="JB312" s="34" t="s">
        <v>350</v>
      </c>
    </row>
    <row r="313" spans="1:262" s="24" customFormat="1" x14ac:dyDescent="0.25">
      <c r="A313" s="24">
        <v>19</v>
      </c>
      <c r="B313" s="42" t="s">
        <v>3847</v>
      </c>
      <c r="C313" s="24" t="s">
        <v>332</v>
      </c>
      <c r="D313" s="24" t="s">
        <v>333</v>
      </c>
      <c r="E313" s="24">
        <v>1986</v>
      </c>
      <c r="F313" s="24">
        <v>1982</v>
      </c>
      <c r="G313" s="24" t="s">
        <v>302</v>
      </c>
      <c r="H313" s="24" t="s">
        <v>334</v>
      </c>
      <c r="I313" s="32" t="s">
        <v>2815</v>
      </c>
      <c r="J313" s="24">
        <v>33.32</v>
      </c>
      <c r="K313" s="24">
        <v>-84.43</v>
      </c>
      <c r="L313" s="24">
        <v>246.5</v>
      </c>
      <c r="R313" s="42">
        <v>2</v>
      </c>
      <c r="S313" s="42" t="s">
        <v>1728</v>
      </c>
      <c r="T313" s="42"/>
      <c r="U313" s="42" t="s">
        <v>1867</v>
      </c>
      <c r="V313" s="42" t="s">
        <v>1381</v>
      </c>
      <c r="W313" s="42" t="s">
        <v>1716</v>
      </c>
      <c r="X313" s="42" t="s">
        <v>1380</v>
      </c>
      <c r="Y313" s="42" t="s">
        <v>1389</v>
      </c>
      <c r="AA313" s="321"/>
      <c r="AB313" s="321"/>
      <c r="AC313" s="24" t="s">
        <v>240</v>
      </c>
      <c r="AG313" s="24" t="s">
        <v>1320</v>
      </c>
      <c r="AH313" s="24" t="s">
        <v>243</v>
      </c>
      <c r="AI313" s="138" t="s">
        <v>577</v>
      </c>
      <c r="AJ313" s="24" t="s">
        <v>220</v>
      </c>
      <c r="AK313" s="140" t="s">
        <v>220</v>
      </c>
      <c r="AO313" s="24" t="s">
        <v>218</v>
      </c>
      <c r="AP313" s="24" t="s">
        <v>218</v>
      </c>
      <c r="AQ313" s="24" t="s">
        <v>2126</v>
      </c>
      <c r="AR313" s="24" t="s">
        <v>2126</v>
      </c>
      <c r="AS313" s="24" t="s">
        <v>177</v>
      </c>
      <c r="AT313" s="32" t="s">
        <v>339</v>
      </c>
      <c r="AU313" s="32" t="s">
        <v>339</v>
      </c>
      <c r="AV313" s="32"/>
      <c r="AW313" s="24" t="s">
        <v>119</v>
      </c>
      <c r="AX313" s="24">
        <v>4</v>
      </c>
      <c r="AZ313" s="24" t="s">
        <v>335</v>
      </c>
      <c r="BB313" s="24">
        <f>4.54*1000</f>
        <v>4540</v>
      </c>
      <c r="BC313" s="24">
        <f>4.54/3.38*10</f>
        <v>13.431952662721894</v>
      </c>
      <c r="BD313" s="53"/>
      <c r="BE313" s="34" t="s">
        <v>340</v>
      </c>
      <c r="BK313" s="24">
        <f t="shared" si="58"/>
        <v>4059.9999999999995</v>
      </c>
      <c r="BL313" s="24">
        <f>4.86*1000</f>
        <v>4860</v>
      </c>
      <c r="BM313" s="32"/>
      <c r="BN313" s="32"/>
      <c r="BO313" s="32" t="s">
        <v>337</v>
      </c>
      <c r="BP313" s="395"/>
      <c r="BQ313" s="395"/>
      <c r="BU313" s="395"/>
      <c r="BV313" s="395"/>
      <c r="BZ313" s="395"/>
      <c r="CA313" s="395"/>
      <c r="CE313" s="548"/>
      <c r="CF313" s="548"/>
      <c r="CG313" s="548"/>
      <c r="CH313" s="548"/>
      <c r="GZ313" s="12"/>
      <c r="HD313" s="12"/>
      <c r="JB313" s="34" t="s">
        <v>350</v>
      </c>
    </row>
    <row r="314" spans="1:262" s="24" customFormat="1" x14ac:dyDescent="0.25">
      <c r="A314" s="24">
        <v>19</v>
      </c>
      <c r="B314" s="42" t="s">
        <v>3847</v>
      </c>
      <c r="C314" s="24" t="s">
        <v>332</v>
      </c>
      <c r="D314" s="24" t="s">
        <v>333</v>
      </c>
      <c r="E314" s="24">
        <v>1986</v>
      </c>
      <c r="F314" s="24">
        <v>1982</v>
      </c>
      <c r="G314" s="24" t="s">
        <v>302</v>
      </c>
      <c r="H314" s="24" t="s">
        <v>334</v>
      </c>
      <c r="I314" s="32" t="s">
        <v>2815</v>
      </c>
      <c r="J314" s="24">
        <v>33.32</v>
      </c>
      <c r="K314" s="24">
        <v>-84.43</v>
      </c>
      <c r="L314" s="24">
        <v>246.5</v>
      </c>
      <c r="R314" s="42">
        <v>2</v>
      </c>
      <c r="S314" s="42" t="s">
        <v>1728</v>
      </c>
      <c r="T314" s="42"/>
      <c r="U314" s="42" t="s">
        <v>1867</v>
      </c>
      <c r="V314" s="42" t="s">
        <v>1381</v>
      </c>
      <c r="W314" s="42" t="s">
        <v>1716</v>
      </c>
      <c r="X314" s="42" t="s">
        <v>1380</v>
      </c>
      <c r="Y314" s="42" t="s">
        <v>1389</v>
      </c>
      <c r="AA314" s="321"/>
      <c r="AB314" s="321"/>
      <c r="AC314" s="24" t="s">
        <v>240</v>
      </c>
      <c r="AG314" s="24" t="s">
        <v>1320</v>
      </c>
      <c r="AH314" s="24" t="s">
        <v>1533</v>
      </c>
      <c r="AI314" s="138" t="s">
        <v>577</v>
      </c>
      <c r="AJ314" s="24" t="s">
        <v>220</v>
      </c>
      <c r="AK314" s="140" t="s">
        <v>220</v>
      </c>
      <c r="AO314" s="24" t="s">
        <v>218</v>
      </c>
      <c r="AP314" s="24" t="s">
        <v>218</v>
      </c>
      <c r="AQ314" s="24" t="s">
        <v>2126</v>
      </c>
      <c r="AR314" s="24" t="s">
        <v>2126</v>
      </c>
      <c r="AS314" s="24" t="s">
        <v>177</v>
      </c>
      <c r="AT314" s="32" t="s">
        <v>339</v>
      </c>
      <c r="AU314" s="32" t="s">
        <v>339</v>
      </c>
      <c r="AV314" s="32"/>
      <c r="AW314" s="24" t="s">
        <v>119</v>
      </c>
      <c r="AX314" s="24">
        <v>4</v>
      </c>
      <c r="AZ314" s="24" t="s">
        <v>335</v>
      </c>
      <c r="BB314" s="24">
        <f>4.7*1000</f>
        <v>4700</v>
      </c>
      <c r="BC314" s="24">
        <f>4.7/3*10</f>
        <v>15.666666666666666</v>
      </c>
      <c r="BD314" s="53"/>
      <c r="BE314" s="34" t="s">
        <v>340</v>
      </c>
      <c r="BK314" s="24">
        <f t="shared" si="58"/>
        <v>4059.9999999999995</v>
      </c>
      <c r="BL314" s="24">
        <f>4.97*1000</f>
        <v>4970</v>
      </c>
      <c r="BM314" s="32"/>
      <c r="BN314" s="32"/>
      <c r="BO314" s="32" t="s">
        <v>337</v>
      </c>
      <c r="BP314" s="395"/>
      <c r="BQ314" s="395"/>
      <c r="BU314" s="395"/>
      <c r="BV314" s="395"/>
      <c r="BZ314" s="395"/>
      <c r="CA314" s="395"/>
      <c r="CE314" s="548"/>
      <c r="CF314" s="548"/>
      <c r="CG314" s="548"/>
      <c r="CH314" s="548"/>
      <c r="GZ314" s="12"/>
      <c r="HD314" s="12"/>
      <c r="JB314" s="34" t="s">
        <v>350</v>
      </c>
    </row>
    <row r="315" spans="1:262" s="34" customFormat="1" x14ac:dyDescent="0.25">
      <c r="A315" s="34">
        <v>19</v>
      </c>
      <c r="B315" s="48" t="s">
        <v>3848</v>
      </c>
      <c r="C315" s="34" t="s">
        <v>332</v>
      </c>
      <c r="D315" s="34" t="s">
        <v>333</v>
      </c>
      <c r="E315" s="34">
        <v>1986</v>
      </c>
      <c r="F315" s="34">
        <v>1983</v>
      </c>
      <c r="G315" s="34" t="s">
        <v>302</v>
      </c>
      <c r="H315" s="34" t="s">
        <v>334</v>
      </c>
      <c r="I315" s="32" t="s">
        <v>2815</v>
      </c>
      <c r="J315" s="34">
        <v>33.32</v>
      </c>
      <c r="K315" s="34">
        <v>-84.43</v>
      </c>
      <c r="L315" s="34">
        <v>246.5</v>
      </c>
      <c r="R315" s="48">
        <v>3</v>
      </c>
      <c r="S315" s="48" t="s">
        <v>1728</v>
      </c>
      <c r="T315" s="48"/>
      <c r="U315" s="48" t="s">
        <v>1867</v>
      </c>
      <c r="V315" s="48" t="s">
        <v>1390</v>
      </c>
      <c r="W315" s="48" t="s">
        <v>1717</v>
      </c>
      <c r="X315" s="48" t="s">
        <v>1380</v>
      </c>
      <c r="Y315" s="48" t="s">
        <v>1389</v>
      </c>
      <c r="AA315" s="328"/>
      <c r="AB315" s="328"/>
      <c r="AC315" s="34" t="s">
        <v>240</v>
      </c>
      <c r="AG315" s="34" t="s">
        <v>1320</v>
      </c>
      <c r="AH315" s="34" t="s">
        <v>131</v>
      </c>
      <c r="AI315" s="138" t="s">
        <v>131</v>
      </c>
      <c r="AJ315" s="34" t="s">
        <v>220</v>
      </c>
      <c r="AK315" s="140" t="s">
        <v>220</v>
      </c>
      <c r="AO315" s="34" t="s">
        <v>218</v>
      </c>
      <c r="AP315" s="34" t="s">
        <v>218</v>
      </c>
      <c r="AQ315" s="34" t="s">
        <v>2126</v>
      </c>
      <c r="AR315" s="34" t="s">
        <v>2126</v>
      </c>
      <c r="AS315" s="34" t="s">
        <v>177</v>
      </c>
      <c r="AT315" s="32" t="s">
        <v>339</v>
      </c>
      <c r="AU315" s="32" t="s">
        <v>339</v>
      </c>
      <c r="AV315" s="32"/>
      <c r="AW315" s="34" t="s">
        <v>119</v>
      </c>
      <c r="AX315" s="34">
        <v>4</v>
      </c>
      <c r="AZ315" s="34" t="s">
        <v>335</v>
      </c>
      <c r="BB315" s="34">
        <f>4.83*1000</f>
        <v>4830</v>
      </c>
      <c r="BC315" s="34">
        <f>4.83/0.97*10</f>
        <v>49.793814432989691</v>
      </c>
      <c r="BD315" s="53"/>
      <c r="BE315" s="34" t="s">
        <v>340</v>
      </c>
      <c r="BK315" s="34">
        <f>2.87*1000</f>
        <v>2870</v>
      </c>
      <c r="BL315" s="34">
        <f>2.96*1000</f>
        <v>2960</v>
      </c>
      <c r="BM315" s="32"/>
      <c r="BN315" s="32"/>
      <c r="BO315" s="32" t="s">
        <v>337</v>
      </c>
      <c r="BP315" s="404"/>
      <c r="BQ315" s="404"/>
      <c r="BU315" s="404"/>
      <c r="BV315" s="404"/>
      <c r="BZ315" s="404"/>
      <c r="CA315" s="404"/>
      <c r="CE315" s="557"/>
      <c r="CF315" s="557"/>
      <c r="CG315" s="557"/>
      <c r="CH315" s="557"/>
      <c r="GZ315" s="12"/>
      <c r="HD315" s="12"/>
      <c r="JB315" s="34" t="s">
        <v>350</v>
      </c>
    </row>
    <row r="316" spans="1:262" s="34" customFormat="1" x14ac:dyDescent="0.25">
      <c r="A316" s="34">
        <v>19</v>
      </c>
      <c r="B316" s="48" t="s">
        <v>3849</v>
      </c>
      <c r="C316" s="34" t="s">
        <v>332</v>
      </c>
      <c r="D316" s="34" t="s">
        <v>333</v>
      </c>
      <c r="E316" s="34">
        <v>1986</v>
      </c>
      <c r="F316" s="34">
        <v>1983</v>
      </c>
      <c r="G316" s="34" t="s">
        <v>302</v>
      </c>
      <c r="H316" s="34" t="s">
        <v>334</v>
      </c>
      <c r="I316" s="32" t="s">
        <v>2815</v>
      </c>
      <c r="J316" s="34">
        <v>33.32</v>
      </c>
      <c r="K316" s="34">
        <v>-84.43</v>
      </c>
      <c r="L316" s="34">
        <v>246.5</v>
      </c>
      <c r="R316" s="48">
        <v>3</v>
      </c>
      <c r="S316" s="48" t="s">
        <v>1728</v>
      </c>
      <c r="T316" s="48"/>
      <c r="U316" s="48" t="s">
        <v>1867</v>
      </c>
      <c r="V316" s="48" t="s">
        <v>1390</v>
      </c>
      <c r="W316" s="48" t="s">
        <v>1717</v>
      </c>
      <c r="X316" s="48" t="s">
        <v>1380</v>
      </c>
      <c r="Y316" s="48" t="s">
        <v>1389</v>
      </c>
      <c r="AA316" s="328"/>
      <c r="AB316" s="328"/>
      <c r="AC316" s="34" t="s">
        <v>240</v>
      </c>
      <c r="AG316" s="34" t="s">
        <v>1320</v>
      </c>
      <c r="AH316" s="34" t="s">
        <v>1521</v>
      </c>
      <c r="AI316" s="138" t="s">
        <v>577</v>
      </c>
      <c r="AJ316" s="34" t="s">
        <v>220</v>
      </c>
      <c r="AK316" s="140" t="s">
        <v>220</v>
      </c>
      <c r="AO316" s="34" t="s">
        <v>218</v>
      </c>
      <c r="AP316" s="34" t="s">
        <v>218</v>
      </c>
      <c r="AQ316" s="34" t="s">
        <v>2126</v>
      </c>
      <c r="AR316" s="34" t="s">
        <v>2126</v>
      </c>
      <c r="AS316" s="34" t="s">
        <v>177</v>
      </c>
      <c r="AT316" s="32" t="s">
        <v>339</v>
      </c>
      <c r="AU316" s="32" t="s">
        <v>339</v>
      </c>
      <c r="AV316" s="32"/>
      <c r="AW316" s="34" t="s">
        <v>119</v>
      </c>
      <c r="AX316" s="34">
        <v>4</v>
      </c>
      <c r="AZ316" s="34" t="s">
        <v>335</v>
      </c>
      <c r="BD316" s="53"/>
      <c r="BE316" s="34" t="s">
        <v>340</v>
      </c>
      <c r="BK316" s="34">
        <f t="shared" ref="BK316:BK319" si="59">2.87*1000</f>
        <v>2870</v>
      </c>
      <c r="BL316" s="34">
        <f>3.56*1000</f>
        <v>3560</v>
      </c>
      <c r="BM316" s="32"/>
      <c r="BN316" s="32"/>
      <c r="BO316" s="32" t="s">
        <v>337</v>
      </c>
      <c r="BP316" s="404"/>
      <c r="BQ316" s="404"/>
      <c r="BU316" s="404"/>
      <c r="BV316" s="404"/>
      <c r="BZ316" s="404"/>
      <c r="CA316" s="404"/>
      <c r="CE316" s="557"/>
      <c r="CF316" s="557"/>
      <c r="CG316" s="557"/>
      <c r="CH316" s="557"/>
      <c r="GZ316" s="12"/>
      <c r="HD316" s="12"/>
      <c r="JB316" s="34" t="s">
        <v>350</v>
      </c>
    </row>
    <row r="317" spans="1:262" s="34" customFormat="1" x14ac:dyDescent="0.25">
      <c r="A317" s="34">
        <v>19</v>
      </c>
      <c r="B317" s="48" t="s">
        <v>3849</v>
      </c>
      <c r="C317" s="34" t="s">
        <v>332</v>
      </c>
      <c r="D317" s="34" t="s">
        <v>333</v>
      </c>
      <c r="E317" s="34">
        <v>1986</v>
      </c>
      <c r="F317" s="34">
        <v>1983</v>
      </c>
      <c r="G317" s="34" t="s">
        <v>302</v>
      </c>
      <c r="H317" s="34" t="s">
        <v>334</v>
      </c>
      <c r="I317" s="32" t="s">
        <v>2815</v>
      </c>
      <c r="J317" s="34">
        <v>33.32</v>
      </c>
      <c r="K317" s="34">
        <v>-84.43</v>
      </c>
      <c r="L317" s="34">
        <v>246.5</v>
      </c>
      <c r="R317" s="48">
        <v>3</v>
      </c>
      <c r="S317" s="48" t="s">
        <v>1728</v>
      </c>
      <c r="T317" s="48"/>
      <c r="U317" s="48" t="s">
        <v>1867</v>
      </c>
      <c r="V317" s="48" t="s">
        <v>1390</v>
      </c>
      <c r="W317" s="48" t="s">
        <v>1717</v>
      </c>
      <c r="X317" s="48" t="s">
        <v>1380</v>
      </c>
      <c r="Y317" s="48" t="s">
        <v>1389</v>
      </c>
      <c r="AA317" s="328"/>
      <c r="AB317" s="328"/>
      <c r="AC317" s="34" t="s">
        <v>240</v>
      </c>
      <c r="AG317" s="34" t="s">
        <v>1320</v>
      </c>
      <c r="AH317" s="34" t="s">
        <v>1532</v>
      </c>
      <c r="AI317" s="138" t="s">
        <v>577</v>
      </c>
      <c r="AJ317" s="34" t="s">
        <v>220</v>
      </c>
      <c r="AK317" s="140" t="s">
        <v>220</v>
      </c>
      <c r="AO317" s="34" t="s">
        <v>218</v>
      </c>
      <c r="AP317" s="34" t="s">
        <v>218</v>
      </c>
      <c r="AQ317" s="34" t="s">
        <v>2126</v>
      </c>
      <c r="AR317" s="34" t="s">
        <v>2126</v>
      </c>
      <c r="AS317" s="34" t="s">
        <v>177</v>
      </c>
      <c r="AT317" s="32" t="s">
        <v>339</v>
      </c>
      <c r="AU317" s="32" t="s">
        <v>339</v>
      </c>
      <c r="AV317" s="32"/>
      <c r="AW317" s="34" t="s">
        <v>119</v>
      </c>
      <c r="AX317" s="34">
        <v>4</v>
      </c>
      <c r="AZ317" s="34" t="s">
        <v>335</v>
      </c>
      <c r="BB317" s="34">
        <f>4.97*1000</f>
        <v>4970</v>
      </c>
      <c r="BC317" s="34">
        <f>4.97/2.99*10</f>
        <v>16.622073578595316</v>
      </c>
      <c r="BD317" s="53"/>
      <c r="BE317" s="34" t="s">
        <v>340</v>
      </c>
      <c r="BK317" s="34">
        <f t="shared" si="59"/>
        <v>2870</v>
      </c>
      <c r="BL317" s="34">
        <f>2.5*1000</f>
        <v>2500</v>
      </c>
      <c r="BM317" s="32"/>
      <c r="BN317" s="32"/>
      <c r="BO317" s="32" t="s">
        <v>337</v>
      </c>
      <c r="BP317" s="404"/>
      <c r="BQ317" s="404"/>
      <c r="BU317" s="404"/>
      <c r="BV317" s="404"/>
      <c r="BZ317" s="404"/>
      <c r="CA317" s="404"/>
      <c r="CE317" s="557"/>
      <c r="CF317" s="557"/>
      <c r="CG317" s="557"/>
      <c r="CH317" s="557"/>
      <c r="GZ317" s="12"/>
      <c r="HD317" s="12"/>
      <c r="JB317" s="34" t="s">
        <v>350</v>
      </c>
    </row>
    <row r="318" spans="1:262" s="34" customFormat="1" x14ac:dyDescent="0.25">
      <c r="A318" s="34">
        <v>19</v>
      </c>
      <c r="B318" s="48" t="s">
        <v>3849</v>
      </c>
      <c r="C318" s="34" t="s">
        <v>332</v>
      </c>
      <c r="D318" s="34" t="s">
        <v>333</v>
      </c>
      <c r="E318" s="34">
        <v>1986</v>
      </c>
      <c r="F318" s="34">
        <v>1983</v>
      </c>
      <c r="G318" s="34" t="s">
        <v>302</v>
      </c>
      <c r="H318" s="34" t="s">
        <v>334</v>
      </c>
      <c r="I318" s="32" t="s">
        <v>2815</v>
      </c>
      <c r="J318" s="34">
        <v>33.32</v>
      </c>
      <c r="K318" s="34">
        <v>-84.43</v>
      </c>
      <c r="L318" s="34">
        <v>246.5</v>
      </c>
      <c r="R318" s="48">
        <v>3</v>
      </c>
      <c r="S318" s="48" t="s">
        <v>1728</v>
      </c>
      <c r="T318" s="48"/>
      <c r="U318" s="48" t="s">
        <v>1867</v>
      </c>
      <c r="V318" s="48" t="s">
        <v>1390</v>
      </c>
      <c r="W318" s="48" t="s">
        <v>1717</v>
      </c>
      <c r="X318" s="48" t="s">
        <v>1380</v>
      </c>
      <c r="Y318" s="48" t="s">
        <v>1389</v>
      </c>
      <c r="AA318" s="328"/>
      <c r="AB318" s="328"/>
      <c r="AC318" s="34" t="s">
        <v>240</v>
      </c>
      <c r="AG318" s="34" t="s">
        <v>1320</v>
      </c>
      <c r="AH318" s="34" t="s">
        <v>243</v>
      </c>
      <c r="AI318" s="138" t="s">
        <v>577</v>
      </c>
      <c r="AJ318" s="34" t="s">
        <v>220</v>
      </c>
      <c r="AK318" s="140" t="s">
        <v>220</v>
      </c>
      <c r="AO318" s="34" t="s">
        <v>218</v>
      </c>
      <c r="AP318" s="34" t="s">
        <v>218</v>
      </c>
      <c r="AQ318" s="34" t="s">
        <v>2126</v>
      </c>
      <c r="AR318" s="34" t="s">
        <v>2126</v>
      </c>
      <c r="AS318" s="34" t="s">
        <v>177</v>
      </c>
      <c r="AT318" s="32" t="s">
        <v>339</v>
      </c>
      <c r="AU318" s="32" t="s">
        <v>339</v>
      </c>
      <c r="AV318" s="32"/>
      <c r="AW318" s="34" t="s">
        <v>119</v>
      </c>
      <c r="AX318" s="34">
        <v>4</v>
      </c>
      <c r="AZ318" s="34" t="s">
        <v>335</v>
      </c>
      <c r="BB318" s="34">
        <f>4.15*1000</f>
        <v>4150</v>
      </c>
      <c r="BC318" s="34">
        <f>4.15/4.5*10</f>
        <v>9.2222222222222232</v>
      </c>
      <c r="BD318" s="53"/>
      <c r="BE318" s="34" t="s">
        <v>340</v>
      </c>
      <c r="BK318" s="34">
        <f t="shared" si="59"/>
        <v>2870</v>
      </c>
      <c r="BL318" s="34">
        <f>1.98*1000</f>
        <v>1980</v>
      </c>
      <c r="BM318" s="32"/>
      <c r="BN318" s="32"/>
      <c r="BO318" s="32" t="s">
        <v>337</v>
      </c>
      <c r="BP318" s="404"/>
      <c r="BQ318" s="404"/>
      <c r="BU318" s="404"/>
      <c r="BV318" s="404"/>
      <c r="BZ318" s="404"/>
      <c r="CA318" s="404"/>
      <c r="CE318" s="557"/>
      <c r="CF318" s="557"/>
      <c r="CG318" s="557"/>
      <c r="CH318" s="557"/>
      <c r="GZ318" s="12"/>
      <c r="HD318" s="12"/>
      <c r="JB318" s="34" t="s">
        <v>350</v>
      </c>
    </row>
    <row r="319" spans="1:262" s="34" customFormat="1" x14ac:dyDescent="0.25">
      <c r="A319" s="34">
        <v>19</v>
      </c>
      <c r="B319" s="48" t="s">
        <v>3849</v>
      </c>
      <c r="C319" s="34" t="s">
        <v>332</v>
      </c>
      <c r="D319" s="34" t="s">
        <v>333</v>
      </c>
      <c r="E319" s="34">
        <v>1986</v>
      </c>
      <c r="F319" s="34">
        <v>1983</v>
      </c>
      <c r="G319" s="34" t="s">
        <v>302</v>
      </c>
      <c r="H319" s="34" t="s">
        <v>334</v>
      </c>
      <c r="I319" s="32" t="s">
        <v>2815</v>
      </c>
      <c r="J319" s="34">
        <v>33.32</v>
      </c>
      <c r="K319" s="34">
        <v>-84.43</v>
      </c>
      <c r="L319" s="34">
        <v>246.5</v>
      </c>
      <c r="R319" s="48">
        <v>3</v>
      </c>
      <c r="S319" s="48" t="s">
        <v>1728</v>
      </c>
      <c r="T319" s="48"/>
      <c r="U319" s="48" t="s">
        <v>1867</v>
      </c>
      <c r="V319" s="48" t="s">
        <v>1390</v>
      </c>
      <c r="W319" s="48" t="s">
        <v>1717</v>
      </c>
      <c r="X319" s="48" t="s">
        <v>1380</v>
      </c>
      <c r="Y319" s="48" t="s">
        <v>1389</v>
      </c>
      <c r="AA319" s="328"/>
      <c r="AB319" s="328"/>
      <c r="AC319" s="34" t="s">
        <v>240</v>
      </c>
      <c r="AG319" s="34" t="s">
        <v>1320</v>
      </c>
      <c r="AH319" s="34" t="s">
        <v>1533</v>
      </c>
      <c r="AI319" s="138" t="s">
        <v>577</v>
      </c>
      <c r="AJ319" s="34" t="s">
        <v>220</v>
      </c>
      <c r="AK319" s="140" t="s">
        <v>220</v>
      </c>
      <c r="AO319" s="34" t="s">
        <v>218</v>
      </c>
      <c r="AP319" s="34" t="s">
        <v>218</v>
      </c>
      <c r="AQ319" s="34" t="s">
        <v>2126</v>
      </c>
      <c r="AR319" s="34" t="s">
        <v>2126</v>
      </c>
      <c r="AS319" s="34" t="s">
        <v>177</v>
      </c>
      <c r="AT319" s="32" t="s">
        <v>339</v>
      </c>
      <c r="AU319" s="32" t="s">
        <v>339</v>
      </c>
      <c r="AV319" s="32"/>
      <c r="AW319" s="34" t="s">
        <v>119</v>
      </c>
      <c r="AX319" s="34">
        <v>4</v>
      </c>
      <c r="AZ319" s="34" t="s">
        <v>335</v>
      </c>
      <c r="BB319" s="34">
        <f>4.23*1000</f>
        <v>4230</v>
      </c>
      <c r="BC319" s="34">
        <f>4.23/3.36*10</f>
        <v>12.589285714285715</v>
      </c>
      <c r="BD319" s="53"/>
      <c r="BE319" s="34" t="s">
        <v>340</v>
      </c>
      <c r="BK319" s="34">
        <f t="shared" si="59"/>
        <v>2870</v>
      </c>
      <c r="BL319" s="34">
        <f>2.77*1000</f>
        <v>2770</v>
      </c>
      <c r="BM319" s="32"/>
      <c r="BN319" s="32"/>
      <c r="BO319" s="32" t="s">
        <v>337</v>
      </c>
      <c r="BP319" s="404"/>
      <c r="BQ319" s="404"/>
      <c r="BU319" s="404"/>
      <c r="BV319" s="404"/>
      <c r="BZ319" s="404"/>
      <c r="CA319" s="404"/>
      <c r="CE319" s="557"/>
      <c r="CF319" s="557"/>
      <c r="CG319" s="557"/>
      <c r="CH319" s="557"/>
      <c r="GZ319" s="12"/>
      <c r="HD319" s="12"/>
      <c r="JB319" s="34" t="s">
        <v>350</v>
      </c>
    </row>
    <row r="320" spans="1:262" s="33" customFormat="1" x14ac:dyDescent="0.25">
      <c r="A320" s="33">
        <v>20</v>
      </c>
      <c r="B320" s="47" t="s">
        <v>3850</v>
      </c>
      <c r="C320" s="33" t="s">
        <v>352</v>
      </c>
      <c r="D320" s="33" t="s">
        <v>353</v>
      </c>
      <c r="E320" s="33">
        <v>2014</v>
      </c>
      <c r="F320" s="33">
        <v>2010</v>
      </c>
      <c r="G320" s="33" t="s">
        <v>354</v>
      </c>
      <c r="H320" s="33" t="s">
        <v>351</v>
      </c>
      <c r="I320" s="32" t="s">
        <v>2815</v>
      </c>
      <c r="J320" s="33">
        <f t="shared" ref="J320:J333" si="60">42+40/60</f>
        <v>42.666666666666664</v>
      </c>
      <c r="K320" s="33">
        <f t="shared" ref="K320:K333" si="61">-84-28/60</f>
        <v>-84.466666666666669</v>
      </c>
      <c r="L320" s="33">
        <v>268.5</v>
      </c>
      <c r="R320" s="47">
        <v>1</v>
      </c>
      <c r="S320" s="47" t="s">
        <v>1847</v>
      </c>
      <c r="T320" s="47" t="s">
        <v>1155</v>
      </c>
      <c r="U320" s="47" t="s">
        <v>1868</v>
      </c>
      <c r="V320" s="47" t="s">
        <v>1377</v>
      </c>
      <c r="W320" s="47" t="s">
        <v>1377</v>
      </c>
      <c r="X320" s="47" t="s">
        <v>1377</v>
      </c>
      <c r="Y320" s="47" t="s">
        <v>1377</v>
      </c>
      <c r="AA320" s="327"/>
      <c r="AB320" s="327"/>
      <c r="AC320" s="33" t="s">
        <v>175</v>
      </c>
      <c r="AD320" s="33">
        <v>6.6</v>
      </c>
      <c r="AG320" s="33" t="s">
        <v>1321</v>
      </c>
      <c r="AH320" s="33" t="s">
        <v>243</v>
      </c>
      <c r="AI320" s="138" t="s">
        <v>577</v>
      </c>
      <c r="AJ320" s="33" t="s">
        <v>220</v>
      </c>
      <c r="AK320" s="140" t="s">
        <v>220</v>
      </c>
      <c r="AO320" s="33" t="s">
        <v>231</v>
      </c>
      <c r="AP320" s="33" t="s">
        <v>231</v>
      </c>
      <c r="AQ320" s="33" t="s">
        <v>2125</v>
      </c>
      <c r="AR320" s="33" t="s">
        <v>2125</v>
      </c>
      <c r="AS320" s="33" t="s">
        <v>177</v>
      </c>
      <c r="AT320" s="33">
        <v>0</v>
      </c>
      <c r="AU320" s="33">
        <v>0</v>
      </c>
      <c r="AV320" s="33" t="s">
        <v>177</v>
      </c>
      <c r="AW320" s="33" t="s">
        <v>160</v>
      </c>
      <c r="AX320" s="33">
        <v>4</v>
      </c>
      <c r="AZ320" s="33" t="s">
        <v>141</v>
      </c>
      <c r="BA320" s="33">
        <v>5422</v>
      </c>
      <c r="BD320" s="54"/>
      <c r="BP320" s="402"/>
      <c r="BQ320" s="402"/>
      <c r="BU320" s="402"/>
      <c r="BV320" s="402"/>
      <c r="BZ320" s="402"/>
      <c r="CA320" s="402"/>
      <c r="CE320" s="555"/>
      <c r="CF320" s="555"/>
      <c r="CG320" s="555"/>
      <c r="CH320" s="555"/>
      <c r="FV320" s="33">
        <v>100</v>
      </c>
      <c r="FW320" s="33">
        <v>11.715999999999999</v>
      </c>
      <c r="FZ320" s="33" t="s">
        <v>355</v>
      </c>
      <c r="GZ320" s="12"/>
      <c r="HD320" s="12"/>
    </row>
    <row r="321" spans="1:263" s="33" customFormat="1" x14ac:dyDescent="0.25">
      <c r="A321" s="33">
        <v>20</v>
      </c>
      <c r="B321" s="47" t="s">
        <v>3851</v>
      </c>
      <c r="C321" s="33" t="s">
        <v>352</v>
      </c>
      <c r="D321" s="33" t="s">
        <v>353</v>
      </c>
      <c r="E321" s="33">
        <v>2014</v>
      </c>
      <c r="F321" s="33">
        <v>2010</v>
      </c>
      <c r="G321" s="33" t="s">
        <v>354</v>
      </c>
      <c r="H321" s="33" t="s">
        <v>351</v>
      </c>
      <c r="I321" s="32" t="s">
        <v>2815</v>
      </c>
      <c r="J321" s="33">
        <f t="shared" si="60"/>
        <v>42.666666666666664</v>
      </c>
      <c r="K321" s="33">
        <f t="shared" si="61"/>
        <v>-84.466666666666669</v>
      </c>
      <c r="L321" s="33">
        <v>268.5</v>
      </c>
      <c r="R321" s="47">
        <v>1</v>
      </c>
      <c r="S321" s="47" t="s">
        <v>1847</v>
      </c>
      <c r="T321" s="47" t="s">
        <v>1155</v>
      </c>
      <c r="U321" s="47" t="s">
        <v>1868</v>
      </c>
      <c r="V321" s="47" t="s">
        <v>1377</v>
      </c>
      <c r="W321" s="47" t="s">
        <v>1377</v>
      </c>
      <c r="X321" s="47" t="s">
        <v>1377</v>
      </c>
      <c r="Y321" s="47" t="s">
        <v>1377</v>
      </c>
      <c r="AA321" s="327"/>
      <c r="AB321" s="327"/>
      <c r="AC321" s="33" t="s">
        <v>175</v>
      </c>
      <c r="AD321" s="33">
        <v>6.6</v>
      </c>
      <c r="AG321" s="33" t="s">
        <v>1321</v>
      </c>
      <c r="AH321" s="33" t="s">
        <v>1551</v>
      </c>
      <c r="AI321" s="138" t="s">
        <v>1582</v>
      </c>
      <c r="AJ321" s="33" t="s">
        <v>220</v>
      </c>
      <c r="AK321" s="140" t="s">
        <v>220</v>
      </c>
      <c r="AO321" s="33" t="s">
        <v>231</v>
      </c>
      <c r="AP321" s="33" t="s">
        <v>231</v>
      </c>
      <c r="AQ321" s="33" t="s">
        <v>2125</v>
      </c>
      <c r="AR321" s="33" t="s">
        <v>2125</v>
      </c>
      <c r="AS321" s="33" t="s">
        <v>177</v>
      </c>
      <c r="AT321" s="33">
        <v>0</v>
      </c>
      <c r="AU321" s="33">
        <v>0</v>
      </c>
      <c r="AV321" s="33" t="s">
        <v>177</v>
      </c>
      <c r="AW321" s="33" t="s">
        <v>160</v>
      </c>
      <c r="AX321" s="33">
        <v>4</v>
      </c>
      <c r="AZ321" s="33" t="s">
        <v>141</v>
      </c>
      <c r="BA321" s="33">
        <v>6205</v>
      </c>
      <c r="BD321" s="54"/>
      <c r="BP321" s="402"/>
      <c r="BQ321" s="402"/>
      <c r="BU321" s="402"/>
      <c r="BV321" s="402"/>
      <c r="BZ321" s="402"/>
      <c r="CA321" s="402"/>
      <c r="CE321" s="555"/>
      <c r="CF321" s="555"/>
      <c r="CG321" s="555"/>
      <c r="CH321" s="555"/>
      <c r="FV321" s="33">
        <v>100</v>
      </c>
      <c r="FW321" s="33">
        <v>14.13</v>
      </c>
      <c r="FZ321" s="33" t="s">
        <v>355</v>
      </c>
      <c r="GZ321" s="12"/>
      <c r="HD321" s="12"/>
    </row>
    <row r="322" spans="1:263" s="33" customFormat="1" x14ac:dyDescent="0.25">
      <c r="A322" s="33">
        <v>20</v>
      </c>
      <c r="B322" s="47" t="s">
        <v>3851</v>
      </c>
      <c r="C322" s="33" t="s">
        <v>352</v>
      </c>
      <c r="D322" s="33" t="s">
        <v>353</v>
      </c>
      <c r="E322" s="33">
        <v>2014</v>
      </c>
      <c r="F322" s="33">
        <v>2010</v>
      </c>
      <c r="G322" s="33" t="s">
        <v>354</v>
      </c>
      <c r="H322" s="33" t="s">
        <v>351</v>
      </c>
      <c r="I322" s="32" t="s">
        <v>2815</v>
      </c>
      <c r="J322" s="33">
        <f t="shared" si="60"/>
        <v>42.666666666666664</v>
      </c>
      <c r="K322" s="33">
        <f t="shared" si="61"/>
        <v>-84.466666666666669</v>
      </c>
      <c r="L322" s="33">
        <v>268.5</v>
      </c>
      <c r="R322" s="47">
        <v>1</v>
      </c>
      <c r="S322" s="47" t="s">
        <v>1847</v>
      </c>
      <c r="T322" s="47" t="s">
        <v>1155</v>
      </c>
      <c r="U322" s="47" t="s">
        <v>1868</v>
      </c>
      <c r="V322" s="47" t="s">
        <v>1377</v>
      </c>
      <c r="W322" s="47" t="s">
        <v>1377</v>
      </c>
      <c r="X322" s="47" t="s">
        <v>1377</v>
      </c>
      <c r="Y322" s="47" t="s">
        <v>1377</v>
      </c>
      <c r="AA322" s="327"/>
      <c r="AB322" s="327"/>
      <c r="AC322" s="33" t="s">
        <v>175</v>
      </c>
      <c r="AD322" s="33">
        <v>6.6</v>
      </c>
      <c r="AG322" s="33" t="s">
        <v>1321</v>
      </c>
      <c r="AH322" s="33" t="s">
        <v>1552</v>
      </c>
      <c r="AI322" s="138" t="s">
        <v>1582</v>
      </c>
      <c r="AJ322" s="33" t="s">
        <v>220</v>
      </c>
      <c r="AK322" s="140" t="s">
        <v>220</v>
      </c>
      <c r="AO322" s="33" t="s">
        <v>231</v>
      </c>
      <c r="AP322" s="33" t="s">
        <v>231</v>
      </c>
      <c r="AQ322" s="33" t="s">
        <v>2125</v>
      </c>
      <c r="AR322" s="33" t="s">
        <v>2125</v>
      </c>
      <c r="AS322" s="33" t="s">
        <v>177</v>
      </c>
      <c r="AT322" s="33">
        <v>0</v>
      </c>
      <c r="AU322" s="33">
        <v>0</v>
      </c>
      <c r="AV322" s="33" t="s">
        <v>177</v>
      </c>
      <c r="AW322" s="33" t="s">
        <v>160</v>
      </c>
      <c r="AX322" s="33">
        <v>4</v>
      </c>
      <c r="AZ322" s="33" t="s">
        <v>141</v>
      </c>
      <c r="BA322" s="33">
        <v>5939</v>
      </c>
      <c r="BD322" s="54"/>
      <c r="BP322" s="402"/>
      <c r="BQ322" s="402"/>
      <c r="BU322" s="402"/>
      <c r="BV322" s="402"/>
      <c r="BZ322" s="402"/>
      <c r="CA322" s="402"/>
      <c r="CE322" s="555"/>
      <c r="CF322" s="555"/>
      <c r="CG322" s="555"/>
      <c r="CH322" s="555"/>
      <c r="FV322" s="33">
        <v>100</v>
      </c>
      <c r="FW322" s="33">
        <v>9.5299999999999994</v>
      </c>
      <c r="FZ322" s="33" t="s">
        <v>355</v>
      </c>
      <c r="GZ322" s="12"/>
      <c r="HD322" s="12"/>
    </row>
    <row r="323" spans="1:263" s="33" customFormat="1" x14ac:dyDescent="0.25">
      <c r="A323" s="33">
        <v>20</v>
      </c>
      <c r="B323" s="47" t="s">
        <v>3851</v>
      </c>
      <c r="C323" s="33" t="s">
        <v>352</v>
      </c>
      <c r="D323" s="33" t="s">
        <v>353</v>
      </c>
      <c r="E323" s="33">
        <v>2014</v>
      </c>
      <c r="F323" s="33">
        <v>2010</v>
      </c>
      <c r="G323" s="33" t="s">
        <v>354</v>
      </c>
      <c r="H323" s="33" t="s">
        <v>351</v>
      </c>
      <c r="I323" s="32" t="s">
        <v>2815</v>
      </c>
      <c r="J323" s="33">
        <f t="shared" si="60"/>
        <v>42.666666666666664</v>
      </c>
      <c r="K323" s="33">
        <f t="shared" si="61"/>
        <v>-84.466666666666669</v>
      </c>
      <c r="L323" s="33">
        <v>268.5</v>
      </c>
      <c r="R323" s="47">
        <v>1</v>
      </c>
      <c r="S323" s="47" t="s">
        <v>1847</v>
      </c>
      <c r="T323" s="47" t="s">
        <v>1155</v>
      </c>
      <c r="U323" s="47" t="s">
        <v>1868</v>
      </c>
      <c r="V323" s="47" t="s">
        <v>1377</v>
      </c>
      <c r="W323" s="47" t="s">
        <v>1377</v>
      </c>
      <c r="X323" s="47" t="s">
        <v>1377</v>
      </c>
      <c r="Y323" s="47" t="s">
        <v>1377</v>
      </c>
      <c r="AA323" s="327"/>
      <c r="AB323" s="327"/>
      <c r="AC323" s="33" t="s">
        <v>175</v>
      </c>
      <c r="AD323" s="33">
        <v>6.6</v>
      </c>
      <c r="AG323" s="33" t="s">
        <v>1321</v>
      </c>
      <c r="AH323" s="33" t="s">
        <v>1553</v>
      </c>
      <c r="AI323" s="138" t="s">
        <v>1582</v>
      </c>
      <c r="AJ323" s="33" t="s">
        <v>220</v>
      </c>
      <c r="AK323" s="140" t="s">
        <v>220</v>
      </c>
      <c r="AO323" s="33" t="s">
        <v>231</v>
      </c>
      <c r="AP323" s="33" t="s">
        <v>231</v>
      </c>
      <c r="AQ323" s="33" t="s">
        <v>2125</v>
      </c>
      <c r="AR323" s="33" t="s">
        <v>2125</v>
      </c>
      <c r="AS323" s="33" t="s">
        <v>177</v>
      </c>
      <c r="AT323" s="33">
        <v>0</v>
      </c>
      <c r="AU323" s="33">
        <v>0</v>
      </c>
      <c r="AV323" s="33" t="s">
        <v>177</v>
      </c>
      <c r="AW323" s="33" t="s">
        <v>160</v>
      </c>
      <c r="AX323" s="33">
        <v>4</v>
      </c>
      <c r="AZ323" s="33" t="s">
        <v>141</v>
      </c>
      <c r="BA323" s="33">
        <v>5064</v>
      </c>
      <c r="BD323" s="54"/>
      <c r="BP323" s="402"/>
      <c r="BQ323" s="402"/>
      <c r="BU323" s="402"/>
      <c r="BV323" s="402"/>
      <c r="BZ323" s="402"/>
      <c r="CA323" s="402"/>
      <c r="CE323" s="555"/>
      <c r="CF323" s="555"/>
      <c r="CG323" s="555"/>
      <c r="CH323" s="555"/>
      <c r="FV323" s="33">
        <v>100</v>
      </c>
      <c r="FW323" s="33">
        <v>7.8</v>
      </c>
      <c r="FZ323" s="33" t="s">
        <v>355</v>
      </c>
      <c r="GZ323" s="12"/>
      <c r="HD323" s="12"/>
    </row>
    <row r="324" spans="1:263" s="33" customFormat="1" x14ac:dyDescent="0.25">
      <c r="A324" s="33">
        <v>20</v>
      </c>
      <c r="B324" s="47" t="s">
        <v>3851</v>
      </c>
      <c r="C324" s="33" t="s">
        <v>352</v>
      </c>
      <c r="D324" s="33" t="s">
        <v>353</v>
      </c>
      <c r="E324" s="33">
        <v>2014</v>
      </c>
      <c r="F324" s="33">
        <v>2010</v>
      </c>
      <c r="G324" s="33" t="s">
        <v>354</v>
      </c>
      <c r="H324" s="33" t="s">
        <v>351</v>
      </c>
      <c r="I324" s="32" t="s">
        <v>2815</v>
      </c>
      <c r="J324" s="33">
        <f t="shared" si="60"/>
        <v>42.666666666666664</v>
      </c>
      <c r="K324" s="33">
        <f t="shared" si="61"/>
        <v>-84.466666666666669</v>
      </c>
      <c r="L324" s="33">
        <v>268.5</v>
      </c>
      <c r="R324" s="47">
        <v>1</v>
      </c>
      <c r="S324" s="47" t="s">
        <v>1847</v>
      </c>
      <c r="T324" s="47" t="s">
        <v>1155</v>
      </c>
      <c r="U324" s="47" t="s">
        <v>1868</v>
      </c>
      <c r="V324" s="47" t="s">
        <v>1377</v>
      </c>
      <c r="W324" s="47" t="s">
        <v>1377</v>
      </c>
      <c r="X324" s="47" t="s">
        <v>1377</v>
      </c>
      <c r="Y324" s="47" t="s">
        <v>1377</v>
      </c>
      <c r="AA324" s="327"/>
      <c r="AB324" s="327"/>
      <c r="AC324" s="33" t="s">
        <v>175</v>
      </c>
      <c r="AD324" s="33">
        <v>6.6</v>
      </c>
      <c r="AG324" s="33" t="s">
        <v>1321</v>
      </c>
      <c r="AH324" s="33" t="s">
        <v>1554</v>
      </c>
      <c r="AI324" s="138" t="s">
        <v>1582</v>
      </c>
      <c r="AJ324" s="33" t="s">
        <v>220</v>
      </c>
      <c r="AK324" s="140" t="s">
        <v>220</v>
      </c>
      <c r="AO324" s="33" t="s">
        <v>231</v>
      </c>
      <c r="AP324" s="33" t="s">
        <v>231</v>
      </c>
      <c r="AQ324" s="33" t="s">
        <v>2125</v>
      </c>
      <c r="AR324" s="33" t="s">
        <v>2125</v>
      </c>
      <c r="AS324" s="33" t="s">
        <v>177</v>
      </c>
      <c r="AT324" s="33">
        <v>0</v>
      </c>
      <c r="AU324" s="33">
        <v>0</v>
      </c>
      <c r="AV324" s="33" t="s">
        <v>177</v>
      </c>
      <c r="AW324" s="33" t="s">
        <v>160</v>
      </c>
      <c r="AX324" s="33">
        <v>4</v>
      </c>
      <c r="AZ324" s="33" t="s">
        <v>141</v>
      </c>
      <c r="BA324" s="33">
        <v>5489</v>
      </c>
      <c r="BD324" s="54"/>
      <c r="BP324" s="402"/>
      <c r="BQ324" s="402"/>
      <c r="BU324" s="402"/>
      <c r="BV324" s="402"/>
      <c r="BZ324" s="402"/>
      <c r="CA324" s="402"/>
      <c r="CE324" s="555"/>
      <c r="CF324" s="555"/>
      <c r="CG324" s="555"/>
      <c r="CH324" s="555"/>
      <c r="FV324" s="33">
        <v>100</v>
      </c>
      <c r="FW324" s="33">
        <v>5.41</v>
      </c>
      <c r="FZ324" s="33" t="s">
        <v>355</v>
      </c>
      <c r="GZ324" s="12"/>
      <c r="HD324" s="12"/>
    </row>
    <row r="325" spans="1:263" s="33" customFormat="1" x14ac:dyDescent="0.25">
      <c r="A325" s="33">
        <v>20</v>
      </c>
      <c r="B325" s="47" t="s">
        <v>3851</v>
      </c>
      <c r="C325" s="33" t="s">
        <v>352</v>
      </c>
      <c r="D325" s="33" t="s">
        <v>353</v>
      </c>
      <c r="E325" s="33">
        <v>2014</v>
      </c>
      <c r="F325" s="33">
        <v>2010</v>
      </c>
      <c r="G325" s="33" t="s">
        <v>354</v>
      </c>
      <c r="H325" s="33" t="s">
        <v>351</v>
      </c>
      <c r="I325" s="32" t="s">
        <v>2815</v>
      </c>
      <c r="J325" s="33">
        <f t="shared" si="60"/>
        <v>42.666666666666664</v>
      </c>
      <c r="K325" s="33">
        <f t="shared" si="61"/>
        <v>-84.466666666666669</v>
      </c>
      <c r="L325" s="33">
        <v>268.5</v>
      </c>
      <c r="R325" s="47">
        <v>1</v>
      </c>
      <c r="S325" s="47" t="s">
        <v>1847</v>
      </c>
      <c r="T325" s="47" t="s">
        <v>1155</v>
      </c>
      <c r="U325" s="47" t="s">
        <v>1868</v>
      </c>
      <c r="V325" s="47" t="s">
        <v>1377</v>
      </c>
      <c r="W325" s="47" t="s">
        <v>1377</v>
      </c>
      <c r="X325" s="47" t="s">
        <v>1377</v>
      </c>
      <c r="Y325" s="47" t="s">
        <v>1377</v>
      </c>
      <c r="AA325" s="327"/>
      <c r="AB325" s="327"/>
      <c r="AC325" s="33" t="s">
        <v>175</v>
      </c>
      <c r="AD325" s="33">
        <v>6.6</v>
      </c>
      <c r="AG325" s="33" t="s">
        <v>1321</v>
      </c>
      <c r="AH325" s="33" t="s">
        <v>1555</v>
      </c>
      <c r="AI325" s="138" t="s">
        <v>1582</v>
      </c>
      <c r="AJ325" s="33" t="s">
        <v>220</v>
      </c>
      <c r="AK325" s="140" t="s">
        <v>220</v>
      </c>
      <c r="AO325" s="33" t="s">
        <v>231</v>
      </c>
      <c r="AP325" s="33" t="s">
        <v>231</v>
      </c>
      <c r="AQ325" s="33" t="s">
        <v>2125</v>
      </c>
      <c r="AR325" s="33" t="s">
        <v>2125</v>
      </c>
      <c r="AS325" s="33" t="s">
        <v>177</v>
      </c>
      <c r="AT325" s="33">
        <v>0</v>
      </c>
      <c r="AU325" s="33">
        <v>0</v>
      </c>
      <c r="AV325" s="33" t="s">
        <v>177</v>
      </c>
      <c r="AW325" s="33" t="s">
        <v>160</v>
      </c>
      <c r="AX325" s="33">
        <v>4</v>
      </c>
      <c r="AZ325" s="33" t="s">
        <v>141</v>
      </c>
      <c r="BA325" s="33">
        <v>4985</v>
      </c>
      <c r="BD325" s="54"/>
      <c r="BP325" s="402"/>
      <c r="BQ325" s="402"/>
      <c r="BU325" s="402"/>
      <c r="BV325" s="402"/>
      <c r="BZ325" s="402"/>
      <c r="CA325" s="402"/>
      <c r="CE325" s="555"/>
      <c r="CF325" s="555"/>
      <c r="CG325" s="555"/>
      <c r="CH325" s="555"/>
      <c r="FV325" s="33">
        <v>100</v>
      </c>
      <c r="FW325" s="33">
        <v>6.35</v>
      </c>
      <c r="FZ325" s="33" t="s">
        <v>355</v>
      </c>
      <c r="GZ325" s="12"/>
      <c r="HD325" s="12"/>
    </row>
    <row r="326" spans="1:263" s="33" customFormat="1" x14ac:dyDescent="0.25">
      <c r="A326" s="33">
        <v>20</v>
      </c>
      <c r="B326" s="47" t="s">
        <v>3852</v>
      </c>
      <c r="C326" s="33" t="s">
        <v>352</v>
      </c>
      <c r="D326" s="33" t="s">
        <v>353</v>
      </c>
      <c r="E326" s="33">
        <v>2014</v>
      </c>
      <c r="F326" s="33">
        <v>2010</v>
      </c>
      <c r="G326" s="33" t="s">
        <v>354</v>
      </c>
      <c r="H326" s="33" t="s">
        <v>351</v>
      </c>
      <c r="I326" s="32" t="s">
        <v>2815</v>
      </c>
      <c r="J326" s="33">
        <f t="shared" si="60"/>
        <v>42.666666666666664</v>
      </c>
      <c r="K326" s="33">
        <f t="shared" si="61"/>
        <v>-84.466666666666669</v>
      </c>
      <c r="L326" s="33">
        <v>268.5</v>
      </c>
      <c r="R326" s="47">
        <v>1</v>
      </c>
      <c r="S326" s="47" t="s">
        <v>1847</v>
      </c>
      <c r="T326" s="47" t="s">
        <v>1155</v>
      </c>
      <c r="U326" s="47" t="s">
        <v>1868</v>
      </c>
      <c r="V326" s="47" t="s">
        <v>1377</v>
      </c>
      <c r="W326" s="47" t="s">
        <v>1377</v>
      </c>
      <c r="X326" s="47" t="s">
        <v>1377</v>
      </c>
      <c r="Y326" s="47" t="s">
        <v>1377</v>
      </c>
      <c r="AA326" s="327"/>
      <c r="AB326" s="327"/>
      <c r="AC326" s="33" t="s">
        <v>175</v>
      </c>
      <c r="AD326" s="33">
        <v>6.6</v>
      </c>
      <c r="AG326" s="33" t="s">
        <v>1321</v>
      </c>
      <c r="AH326" s="33" t="s">
        <v>131</v>
      </c>
      <c r="AI326" s="138" t="s">
        <v>131</v>
      </c>
      <c r="AJ326" s="33" t="s">
        <v>220</v>
      </c>
      <c r="AK326" s="140" t="s">
        <v>220</v>
      </c>
      <c r="AO326" s="33" t="s">
        <v>231</v>
      </c>
      <c r="AP326" s="33" t="s">
        <v>231</v>
      </c>
      <c r="AQ326" s="33" t="s">
        <v>2125</v>
      </c>
      <c r="AR326" s="33" t="s">
        <v>2125</v>
      </c>
      <c r="AS326" s="33" t="s">
        <v>177</v>
      </c>
      <c r="AT326" s="33">
        <v>0</v>
      </c>
      <c r="AU326" s="33">
        <v>0</v>
      </c>
      <c r="AV326" s="33" t="s">
        <v>177</v>
      </c>
      <c r="AW326" s="33" t="s">
        <v>160</v>
      </c>
      <c r="AX326" s="33">
        <v>4</v>
      </c>
      <c r="AZ326" s="33" t="s">
        <v>141</v>
      </c>
      <c r="BA326" s="33">
        <v>4057</v>
      </c>
      <c r="BD326" s="54"/>
      <c r="BP326" s="402"/>
      <c r="BQ326" s="402"/>
      <c r="BU326" s="402"/>
      <c r="BV326" s="402"/>
      <c r="BZ326" s="402"/>
      <c r="CA326" s="402"/>
      <c r="CE326" s="555"/>
      <c r="CF326" s="555"/>
      <c r="CG326" s="555"/>
      <c r="CH326" s="555"/>
      <c r="FV326" s="33">
        <v>100</v>
      </c>
      <c r="FW326" s="33">
        <v>4.8</v>
      </c>
      <c r="FZ326" s="33" t="s">
        <v>355</v>
      </c>
      <c r="GZ326" s="12"/>
      <c r="HD326" s="12"/>
    </row>
    <row r="327" spans="1:263" s="28" customFormat="1" x14ac:dyDescent="0.25">
      <c r="A327" s="28">
        <v>20</v>
      </c>
      <c r="B327" s="46" t="s">
        <v>3850</v>
      </c>
      <c r="C327" s="28" t="s">
        <v>352</v>
      </c>
      <c r="D327" s="28" t="s">
        <v>353</v>
      </c>
      <c r="E327" s="28">
        <v>2014</v>
      </c>
      <c r="F327" s="28">
        <v>2011</v>
      </c>
      <c r="G327" s="28" t="s">
        <v>354</v>
      </c>
      <c r="H327" s="28" t="s">
        <v>351</v>
      </c>
      <c r="I327" s="32" t="s">
        <v>2815</v>
      </c>
      <c r="J327" s="28">
        <f t="shared" si="60"/>
        <v>42.666666666666664</v>
      </c>
      <c r="K327" s="28">
        <f t="shared" si="61"/>
        <v>-84.466666666666669</v>
      </c>
      <c r="L327" s="28">
        <v>268.5</v>
      </c>
      <c r="R327" s="46">
        <v>2</v>
      </c>
      <c r="S327" s="46" t="s">
        <v>1847</v>
      </c>
      <c r="T327" s="46" t="s">
        <v>1155</v>
      </c>
      <c r="U327" s="46" t="s">
        <v>1868</v>
      </c>
      <c r="V327" s="46" t="s">
        <v>1377</v>
      </c>
      <c r="W327" s="46" t="s">
        <v>1377</v>
      </c>
      <c r="X327" s="46" t="s">
        <v>1377</v>
      </c>
      <c r="Y327" s="46" t="s">
        <v>1377</v>
      </c>
      <c r="AA327" s="326"/>
      <c r="AB327" s="326"/>
      <c r="AC327" s="28" t="s">
        <v>175</v>
      </c>
      <c r="AD327" s="28">
        <v>6.6</v>
      </c>
      <c r="AG327" s="28" t="s">
        <v>1321</v>
      </c>
      <c r="AH327" s="28" t="s">
        <v>243</v>
      </c>
      <c r="AI327" s="138" t="s">
        <v>577</v>
      </c>
      <c r="AJ327" s="28" t="s">
        <v>220</v>
      </c>
      <c r="AK327" s="140" t="s">
        <v>220</v>
      </c>
      <c r="AO327" s="28" t="s">
        <v>231</v>
      </c>
      <c r="AP327" s="28" t="s">
        <v>231</v>
      </c>
      <c r="AQ327" s="28" t="s">
        <v>2125</v>
      </c>
      <c r="AR327" s="28" t="s">
        <v>2125</v>
      </c>
      <c r="AS327" s="28" t="s">
        <v>177</v>
      </c>
      <c r="AT327" s="28">
        <v>0</v>
      </c>
      <c r="AU327" s="28">
        <v>0</v>
      </c>
      <c r="AV327" s="28" t="s">
        <v>177</v>
      </c>
      <c r="AW327" s="28" t="s">
        <v>160</v>
      </c>
      <c r="AX327" s="28">
        <v>4</v>
      </c>
      <c r="AZ327" s="28" t="s">
        <v>141</v>
      </c>
      <c r="BA327" s="28">
        <v>3023</v>
      </c>
      <c r="BD327" s="54"/>
      <c r="BP327" s="401"/>
      <c r="BQ327" s="401"/>
      <c r="BU327" s="401"/>
      <c r="BV327" s="401"/>
      <c r="BZ327" s="401"/>
      <c r="CA327" s="401"/>
      <c r="CE327" s="554"/>
      <c r="CF327" s="554"/>
      <c r="CG327" s="554"/>
      <c r="CH327" s="554"/>
      <c r="FV327" s="28">
        <v>100</v>
      </c>
      <c r="FW327" s="28">
        <v>37.82</v>
      </c>
      <c r="FZ327" s="28" t="s">
        <v>355</v>
      </c>
      <c r="GZ327" s="12"/>
      <c r="HD327" s="12"/>
    </row>
    <row r="328" spans="1:263" s="28" customFormat="1" x14ac:dyDescent="0.25">
      <c r="A328" s="28">
        <v>20</v>
      </c>
      <c r="B328" s="46" t="s">
        <v>3851</v>
      </c>
      <c r="C328" s="28" t="s">
        <v>352</v>
      </c>
      <c r="D328" s="28" t="s">
        <v>353</v>
      </c>
      <c r="E328" s="28">
        <v>2014</v>
      </c>
      <c r="F328" s="28">
        <v>2011</v>
      </c>
      <c r="G328" s="28" t="s">
        <v>354</v>
      </c>
      <c r="H328" s="28" t="s">
        <v>351</v>
      </c>
      <c r="I328" s="32" t="s">
        <v>2815</v>
      </c>
      <c r="J328" s="28">
        <f t="shared" si="60"/>
        <v>42.666666666666664</v>
      </c>
      <c r="K328" s="28">
        <f t="shared" si="61"/>
        <v>-84.466666666666669</v>
      </c>
      <c r="L328" s="28">
        <v>268.5</v>
      </c>
      <c r="R328" s="46">
        <v>2</v>
      </c>
      <c r="S328" s="46" t="s">
        <v>1847</v>
      </c>
      <c r="T328" s="46" t="s">
        <v>1155</v>
      </c>
      <c r="U328" s="46" t="s">
        <v>1868</v>
      </c>
      <c r="V328" s="46" t="s">
        <v>1377</v>
      </c>
      <c r="W328" s="46" t="s">
        <v>1377</v>
      </c>
      <c r="X328" s="46" t="s">
        <v>1377</v>
      </c>
      <c r="Y328" s="46" t="s">
        <v>1377</v>
      </c>
      <c r="AA328" s="326"/>
      <c r="AB328" s="326"/>
      <c r="AC328" s="28" t="s">
        <v>175</v>
      </c>
      <c r="AD328" s="28">
        <v>6.6</v>
      </c>
      <c r="AG328" s="28" t="s">
        <v>1321</v>
      </c>
      <c r="AH328" s="28" t="s">
        <v>1551</v>
      </c>
      <c r="AI328" s="138" t="s">
        <v>1582</v>
      </c>
      <c r="AJ328" s="28" t="s">
        <v>220</v>
      </c>
      <c r="AK328" s="140" t="s">
        <v>220</v>
      </c>
      <c r="AO328" s="28" t="s">
        <v>231</v>
      </c>
      <c r="AP328" s="28" t="s">
        <v>231</v>
      </c>
      <c r="AQ328" s="28" t="s">
        <v>2125</v>
      </c>
      <c r="AR328" s="28" t="s">
        <v>2125</v>
      </c>
      <c r="AS328" s="28" t="s">
        <v>177</v>
      </c>
      <c r="AT328" s="28">
        <v>0</v>
      </c>
      <c r="AU328" s="28">
        <v>0</v>
      </c>
      <c r="AV328" s="28" t="s">
        <v>177</v>
      </c>
      <c r="AW328" s="28" t="s">
        <v>160</v>
      </c>
      <c r="AX328" s="28">
        <v>4</v>
      </c>
      <c r="AZ328" s="28" t="s">
        <v>141</v>
      </c>
      <c r="BA328" s="28">
        <v>4216</v>
      </c>
      <c r="BD328" s="54"/>
      <c r="BP328" s="401"/>
      <c r="BQ328" s="401"/>
      <c r="BU328" s="401"/>
      <c r="BV328" s="401"/>
      <c r="BZ328" s="401"/>
      <c r="CA328" s="401"/>
      <c r="CE328" s="554"/>
      <c r="CF328" s="554"/>
      <c r="CG328" s="554"/>
      <c r="CH328" s="554"/>
      <c r="FV328" s="28">
        <v>100</v>
      </c>
      <c r="FW328" s="28">
        <v>34.700000000000003</v>
      </c>
      <c r="FZ328" s="28" t="s">
        <v>355</v>
      </c>
      <c r="GZ328" s="12"/>
      <c r="HD328" s="12"/>
    </row>
    <row r="329" spans="1:263" s="28" customFormat="1" x14ac:dyDescent="0.25">
      <c r="A329" s="28">
        <v>20</v>
      </c>
      <c r="B329" s="46" t="s">
        <v>3851</v>
      </c>
      <c r="C329" s="28" t="s">
        <v>352</v>
      </c>
      <c r="D329" s="28" t="s">
        <v>353</v>
      </c>
      <c r="E329" s="28">
        <v>2014</v>
      </c>
      <c r="F329" s="28">
        <v>2011</v>
      </c>
      <c r="G329" s="28" t="s">
        <v>354</v>
      </c>
      <c r="H329" s="28" t="s">
        <v>351</v>
      </c>
      <c r="I329" s="32" t="s">
        <v>2815</v>
      </c>
      <c r="J329" s="28">
        <f t="shared" si="60"/>
        <v>42.666666666666664</v>
      </c>
      <c r="K329" s="28">
        <f t="shared" si="61"/>
        <v>-84.466666666666669</v>
      </c>
      <c r="L329" s="28">
        <v>268.5</v>
      </c>
      <c r="R329" s="46">
        <v>2</v>
      </c>
      <c r="S329" s="46" t="s">
        <v>1847</v>
      </c>
      <c r="T329" s="46" t="s">
        <v>1155</v>
      </c>
      <c r="U329" s="46" t="s">
        <v>1868</v>
      </c>
      <c r="V329" s="46" t="s">
        <v>1377</v>
      </c>
      <c r="W329" s="46" t="s">
        <v>1377</v>
      </c>
      <c r="X329" s="46" t="s">
        <v>1377</v>
      </c>
      <c r="Y329" s="46" t="s">
        <v>1377</v>
      </c>
      <c r="AA329" s="326"/>
      <c r="AB329" s="326"/>
      <c r="AC329" s="28" t="s">
        <v>175</v>
      </c>
      <c r="AD329" s="28">
        <v>6.6</v>
      </c>
      <c r="AG329" s="28" t="s">
        <v>1321</v>
      </c>
      <c r="AH329" s="28" t="s">
        <v>1552</v>
      </c>
      <c r="AI329" s="138" t="s">
        <v>1582</v>
      </c>
      <c r="AJ329" s="28" t="s">
        <v>220</v>
      </c>
      <c r="AK329" s="140" t="s">
        <v>220</v>
      </c>
      <c r="AO329" s="28" t="s">
        <v>231</v>
      </c>
      <c r="AP329" s="28" t="s">
        <v>231</v>
      </c>
      <c r="AQ329" s="28" t="s">
        <v>2125</v>
      </c>
      <c r="AR329" s="28" t="s">
        <v>2125</v>
      </c>
      <c r="AS329" s="28" t="s">
        <v>177</v>
      </c>
      <c r="AT329" s="28">
        <v>0</v>
      </c>
      <c r="AU329" s="28">
        <v>0</v>
      </c>
      <c r="AV329" s="28" t="s">
        <v>177</v>
      </c>
      <c r="AW329" s="28" t="s">
        <v>160</v>
      </c>
      <c r="AX329" s="28">
        <v>4</v>
      </c>
      <c r="AZ329" s="28" t="s">
        <v>141</v>
      </c>
      <c r="BA329" s="28">
        <v>4375</v>
      </c>
      <c r="BD329" s="54"/>
      <c r="BP329" s="401"/>
      <c r="BQ329" s="401"/>
      <c r="BU329" s="401"/>
      <c r="BV329" s="401"/>
      <c r="BZ329" s="401"/>
      <c r="CA329" s="401"/>
      <c r="CE329" s="554"/>
      <c r="CF329" s="554"/>
      <c r="CG329" s="554"/>
      <c r="CH329" s="554"/>
      <c r="FV329" s="28">
        <v>100</v>
      </c>
      <c r="FW329" s="28">
        <v>30.66</v>
      </c>
      <c r="FZ329" s="28" t="s">
        <v>355</v>
      </c>
      <c r="GZ329" s="12"/>
      <c r="HD329" s="12"/>
    </row>
    <row r="330" spans="1:263" s="28" customFormat="1" x14ac:dyDescent="0.25">
      <c r="A330" s="28">
        <v>20</v>
      </c>
      <c r="B330" s="46" t="s">
        <v>3851</v>
      </c>
      <c r="C330" s="28" t="s">
        <v>352</v>
      </c>
      <c r="D330" s="28" t="s">
        <v>353</v>
      </c>
      <c r="E330" s="28">
        <v>2014</v>
      </c>
      <c r="F330" s="28">
        <v>2011</v>
      </c>
      <c r="G330" s="28" t="s">
        <v>354</v>
      </c>
      <c r="H330" s="28" t="s">
        <v>351</v>
      </c>
      <c r="I330" s="32" t="s">
        <v>2815</v>
      </c>
      <c r="J330" s="28">
        <f t="shared" si="60"/>
        <v>42.666666666666664</v>
      </c>
      <c r="K330" s="28">
        <f t="shared" si="61"/>
        <v>-84.466666666666669</v>
      </c>
      <c r="L330" s="28">
        <v>268.5</v>
      </c>
      <c r="R330" s="46">
        <v>2</v>
      </c>
      <c r="S330" s="46" t="s">
        <v>1847</v>
      </c>
      <c r="T330" s="46" t="s">
        <v>1155</v>
      </c>
      <c r="U330" s="46" t="s">
        <v>1868</v>
      </c>
      <c r="V330" s="46" t="s">
        <v>1377</v>
      </c>
      <c r="W330" s="46" t="s">
        <v>1377</v>
      </c>
      <c r="X330" s="46" t="s">
        <v>1377</v>
      </c>
      <c r="Y330" s="46" t="s">
        <v>1377</v>
      </c>
      <c r="AA330" s="326"/>
      <c r="AB330" s="326"/>
      <c r="AC330" s="28" t="s">
        <v>175</v>
      </c>
      <c r="AD330" s="28">
        <v>6.6</v>
      </c>
      <c r="AG330" s="28" t="s">
        <v>1321</v>
      </c>
      <c r="AH330" s="28" t="s">
        <v>1553</v>
      </c>
      <c r="AI330" s="138" t="s">
        <v>1582</v>
      </c>
      <c r="AJ330" s="28" t="s">
        <v>220</v>
      </c>
      <c r="AK330" s="140" t="s">
        <v>220</v>
      </c>
      <c r="AO330" s="28" t="s">
        <v>231</v>
      </c>
      <c r="AP330" s="28" t="s">
        <v>231</v>
      </c>
      <c r="AQ330" s="28" t="s">
        <v>2125</v>
      </c>
      <c r="AR330" s="28" t="s">
        <v>2125</v>
      </c>
      <c r="AS330" s="28" t="s">
        <v>177</v>
      </c>
      <c r="AT330" s="28">
        <v>0</v>
      </c>
      <c r="AU330" s="28">
        <v>0</v>
      </c>
      <c r="AV330" s="28" t="s">
        <v>177</v>
      </c>
      <c r="AW330" s="28" t="s">
        <v>160</v>
      </c>
      <c r="AX330" s="28">
        <v>4</v>
      </c>
      <c r="AZ330" s="28" t="s">
        <v>141</v>
      </c>
      <c r="BA330" s="28">
        <v>3500</v>
      </c>
      <c r="BD330" s="54"/>
      <c r="BP330" s="401"/>
      <c r="BQ330" s="401"/>
      <c r="BU330" s="401"/>
      <c r="BV330" s="401"/>
      <c r="BZ330" s="401"/>
      <c r="CA330" s="401"/>
      <c r="CE330" s="554"/>
      <c r="CF330" s="554"/>
      <c r="CG330" s="554"/>
      <c r="CH330" s="554"/>
      <c r="FV330" s="28">
        <v>100</v>
      </c>
      <c r="FW330" s="28">
        <v>8.5</v>
      </c>
      <c r="FZ330" s="28" t="s">
        <v>355</v>
      </c>
      <c r="GZ330" s="12"/>
      <c r="HD330" s="12"/>
    </row>
    <row r="331" spans="1:263" s="28" customFormat="1" x14ac:dyDescent="0.25">
      <c r="A331" s="28">
        <v>20</v>
      </c>
      <c r="B331" s="46" t="s">
        <v>3851</v>
      </c>
      <c r="C331" s="28" t="s">
        <v>352</v>
      </c>
      <c r="D331" s="28" t="s">
        <v>353</v>
      </c>
      <c r="E331" s="28">
        <v>2014</v>
      </c>
      <c r="F331" s="28">
        <v>2011</v>
      </c>
      <c r="G331" s="28" t="s">
        <v>354</v>
      </c>
      <c r="H331" s="28" t="s">
        <v>351</v>
      </c>
      <c r="I331" s="32" t="s">
        <v>2815</v>
      </c>
      <c r="J331" s="28">
        <f t="shared" si="60"/>
        <v>42.666666666666664</v>
      </c>
      <c r="K331" s="28">
        <f t="shared" si="61"/>
        <v>-84.466666666666669</v>
      </c>
      <c r="L331" s="28">
        <v>268.5</v>
      </c>
      <c r="R331" s="46">
        <v>2</v>
      </c>
      <c r="S331" s="46" t="s">
        <v>1847</v>
      </c>
      <c r="T331" s="46" t="s">
        <v>1155</v>
      </c>
      <c r="U331" s="46" t="s">
        <v>1868</v>
      </c>
      <c r="V331" s="46" t="s">
        <v>1377</v>
      </c>
      <c r="W331" s="46" t="s">
        <v>1377</v>
      </c>
      <c r="X331" s="46" t="s">
        <v>1377</v>
      </c>
      <c r="Y331" s="46" t="s">
        <v>1377</v>
      </c>
      <c r="AA331" s="326"/>
      <c r="AB331" s="326"/>
      <c r="AC331" s="28" t="s">
        <v>175</v>
      </c>
      <c r="AD331" s="28">
        <v>6.6</v>
      </c>
      <c r="AG331" s="28" t="s">
        <v>1321</v>
      </c>
      <c r="AH331" s="28" t="s">
        <v>1554</v>
      </c>
      <c r="AI331" s="138" t="s">
        <v>1582</v>
      </c>
      <c r="AJ331" s="28" t="s">
        <v>220</v>
      </c>
      <c r="AK331" s="140" t="s">
        <v>220</v>
      </c>
      <c r="AO331" s="28" t="s">
        <v>231</v>
      </c>
      <c r="AP331" s="28" t="s">
        <v>231</v>
      </c>
      <c r="AQ331" s="28" t="s">
        <v>2125</v>
      </c>
      <c r="AR331" s="28" t="s">
        <v>2125</v>
      </c>
      <c r="AS331" s="28" t="s">
        <v>177</v>
      </c>
      <c r="AT331" s="28">
        <v>0</v>
      </c>
      <c r="AU331" s="28">
        <v>0</v>
      </c>
      <c r="AV331" s="28" t="s">
        <v>177</v>
      </c>
      <c r="AW331" s="28" t="s">
        <v>160</v>
      </c>
      <c r="AX331" s="28">
        <v>4</v>
      </c>
      <c r="AZ331" s="28" t="s">
        <v>141</v>
      </c>
      <c r="BA331" s="28">
        <v>4322</v>
      </c>
      <c r="BD331" s="54"/>
      <c r="BP331" s="401"/>
      <c r="BQ331" s="401"/>
      <c r="BU331" s="401"/>
      <c r="BV331" s="401"/>
      <c r="BZ331" s="401"/>
      <c r="CA331" s="401"/>
      <c r="CE331" s="554"/>
      <c r="CF331" s="554"/>
      <c r="CG331" s="554"/>
      <c r="CH331" s="554"/>
      <c r="FV331" s="28">
        <v>100</v>
      </c>
      <c r="FW331" s="28">
        <v>13.16</v>
      </c>
      <c r="FZ331" s="28" t="s">
        <v>355</v>
      </c>
      <c r="GZ331" s="12"/>
      <c r="HD331" s="12"/>
    </row>
    <row r="332" spans="1:263" s="28" customFormat="1" x14ac:dyDescent="0.25">
      <c r="A332" s="28">
        <v>20</v>
      </c>
      <c r="B332" s="46" t="s">
        <v>3851</v>
      </c>
      <c r="C332" s="28" t="s">
        <v>352</v>
      </c>
      <c r="D332" s="28" t="s">
        <v>353</v>
      </c>
      <c r="E332" s="28">
        <v>2014</v>
      </c>
      <c r="F332" s="28">
        <v>2011</v>
      </c>
      <c r="G332" s="28" t="s">
        <v>354</v>
      </c>
      <c r="H332" s="28" t="s">
        <v>351</v>
      </c>
      <c r="I332" s="32" t="s">
        <v>2815</v>
      </c>
      <c r="J332" s="28">
        <f t="shared" si="60"/>
        <v>42.666666666666664</v>
      </c>
      <c r="K332" s="28">
        <f t="shared" si="61"/>
        <v>-84.466666666666669</v>
      </c>
      <c r="L332" s="28">
        <v>268.5</v>
      </c>
      <c r="R332" s="46">
        <v>2</v>
      </c>
      <c r="S332" s="46" t="s">
        <v>1847</v>
      </c>
      <c r="T332" s="46" t="s">
        <v>1155</v>
      </c>
      <c r="U332" s="46" t="s">
        <v>1868</v>
      </c>
      <c r="V332" s="46" t="s">
        <v>1377</v>
      </c>
      <c r="W332" s="46" t="s">
        <v>1377</v>
      </c>
      <c r="X332" s="46" t="s">
        <v>1377</v>
      </c>
      <c r="Y332" s="46" t="s">
        <v>1377</v>
      </c>
      <c r="AA332" s="326"/>
      <c r="AB332" s="326"/>
      <c r="AC332" s="28" t="s">
        <v>175</v>
      </c>
      <c r="AD332" s="28">
        <v>6.6</v>
      </c>
      <c r="AG332" s="28" t="s">
        <v>1321</v>
      </c>
      <c r="AH332" s="28" t="s">
        <v>1555</v>
      </c>
      <c r="AI332" s="138" t="s">
        <v>1582</v>
      </c>
      <c r="AJ332" s="28" t="s">
        <v>220</v>
      </c>
      <c r="AK332" s="140" t="s">
        <v>220</v>
      </c>
      <c r="AO332" s="28" t="s">
        <v>231</v>
      </c>
      <c r="AP332" s="28" t="s">
        <v>231</v>
      </c>
      <c r="AQ332" s="28" t="s">
        <v>2125</v>
      </c>
      <c r="AR332" s="28" t="s">
        <v>2125</v>
      </c>
      <c r="AS332" s="28" t="s">
        <v>177</v>
      </c>
      <c r="AT332" s="28">
        <v>0</v>
      </c>
      <c r="AU332" s="28">
        <v>0</v>
      </c>
      <c r="AV332" s="28" t="s">
        <v>177</v>
      </c>
      <c r="AW332" s="28" t="s">
        <v>160</v>
      </c>
      <c r="AX332" s="28">
        <v>4</v>
      </c>
      <c r="AZ332" s="28" t="s">
        <v>141</v>
      </c>
      <c r="BA332" s="28">
        <v>3606</v>
      </c>
      <c r="BD332" s="54"/>
      <c r="BP332" s="401"/>
      <c r="BQ332" s="401"/>
      <c r="BU332" s="401"/>
      <c r="BV332" s="401"/>
      <c r="BZ332" s="401"/>
      <c r="CA332" s="401"/>
      <c r="CE332" s="554"/>
      <c r="CF332" s="554"/>
      <c r="CG332" s="554"/>
      <c r="CH332" s="554"/>
      <c r="FV332" s="28">
        <v>100</v>
      </c>
      <c r="FW332" s="28">
        <v>8.3800000000000008</v>
      </c>
      <c r="FZ332" s="28" t="s">
        <v>355</v>
      </c>
      <c r="GZ332" s="12"/>
      <c r="HD332" s="12"/>
    </row>
    <row r="333" spans="1:263" s="28" customFormat="1" x14ac:dyDescent="0.25">
      <c r="A333" s="28">
        <v>20</v>
      </c>
      <c r="B333" s="46" t="s">
        <v>3852</v>
      </c>
      <c r="C333" s="28" t="s">
        <v>352</v>
      </c>
      <c r="D333" s="28" t="s">
        <v>353</v>
      </c>
      <c r="E333" s="28">
        <v>2014</v>
      </c>
      <c r="F333" s="28">
        <v>2011</v>
      </c>
      <c r="G333" s="28" t="s">
        <v>354</v>
      </c>
      <c r="H333" s="28" t="s">
        <v>351</v>
      </c>
      <c r="I333" s="32" t="s">
        <v>2815</v>
      </c>
      <c r="J333" s="28">
        <f t="shared" si="60"/>
        <v>42.666666666666664</v>
      </c>
      <c r="K333" s="28">
        <f t="shared" si="61"/>
        <v>-84.466666666666669</v>
      </c>
      <c r="L333" s="28">
        <v>268.5</v>
      </c>
      <c r="R333" s="46">
        <v>2</v>
      </c>
      <c r="S333" s="46" t="s">
        <v>1847</v>
      </c>
      <c r="T333" s="46" t="s">
        <v>1155</v>
      </c>
      <c r="U333" s="46" t="s">
        <v>1868</v>
      </c>
      <c r="V333" s="46" t="s">
        <v>1377</v>
      </c>
      <c r="W333" s="46" t="s">
        <v>1377</v>
      </c>
      <c r="X333" s="46" t="s">
        <v>1377</v>
      </c>
      <c r="Y333" s="46" t="s">
        <v>1377</v>
      </c>
      <c r="AA333" s="326"/>
      <c r="AB333" s="326"/>
      <c r="AC333" s="28" t="s">
        <v>175</v>
      </c>
      <c r="AD333" s="28">
        <v>6.6</v>
      </c>
      <c r="AG333" s="28" t="s">
        <v>1321</v>
      </c>
      <c r="AH333" s="28" t="s">
        <v>131</v>
      </c>
      <c r="AI333" s="138" t="s">
        <v>131</v>
      </c>
      <c r="AJ333" s="28" t="s">
        <v>220</v>
      </c>
      <c r="AK333" s="140" t="s">
        <v>220</v>
      </c>
      <c r="AO333" s="28" t="s">
        <v>231</v>
      </c>
      <c r="AP333" s="28" t="s">
        <v>231</v>
      </c>
      <c r="AQ333" s="28" t="s">
        <v>2125</v>
      </c>
      <c r="AR333" s="28" t="s">
        <v>2125</v>
      </c>
      <c r="AS333" s="28" t="s">
        <v>177</v>
      </c>
      <c r="AT333" s="28">
        <v>0</v>
      </c>
      <c r="AU333" s="28">
        <v>0</v>
      </c>
      <c r="AV333" s="28" t="s">
        <v>177</v>
      </c>
      <c r="AW333" s="28" t="s">
        <v>160</v>
      </c>
      <c r="AX333" s="28">
        <v>4</v>
      </c>
      <c r="AZ333" s="28" t="s">
        <v>141</v>
      </c>
      <c r="BA333" s="28">
        <v>3235</v>
      </c>
      <c r="BD333" s="54"/>
      <c r="BP333" s="401"/>
      <c r="BQ333" s="401"/>
      <c r="BU333" s="401"/>
      <c r="BV333" s="401"/>
      <c r="BZ333" s="401"/>
      <c r="CA333" s="401"/>
      <c r="CE333" s="554"/>
      <c r="CF333" s="554"/>
      <c r="CG333" s="554"/>
      <c r="CH333" s="554"/>
      <c r="FV333" s="28">
        <v>100</v>
      </c>
      <c r="FW333" s="28">
        <v>5.72</v>
      </c>
      <c r="FZ333" s="28" t="s">
        <v>355</v>
      </c>
      <c r="GZ333" s="12"/>
      <c r="HD333" s="12"/>
    </row>
    <row r="334" spans="1:263" s="35" customFormat="1" x14ac:dyDescent="0.25">
      <c r="A334" s="35">
        <v>21</v>
      </c>
      <c r="B334" s="49" t="s">
        <v>3853</v>
      </c>
      <c r="C334" s="35" t="s">
        <v>356</v>
      </c>
      <c r="D334" s="35" t="s">
        <v>357</v>
      </c>
      <c r="E334" s="35">
        <v>2013</v>
      </c>
      <c r="F334" s="35">
        <v>2009</v>
      </c>
      <c r="G334" s="35" t="s">
        <v>358</v>
      </c>
      <c r="H334" s="35" t="s">
        <v>361</v>
      </c>
      <c r="I334" s="32" t="s">
        <v>2815</v>
      </c>
      <c r="J334" s="35">
        <v>38.92</v>
      </c>
      <c r="K334" s="35">
        <v>-76.150000000000006</v>
      </c>
      <c r="L334" s="35">
        <v>4.8</v>
      </c>
      <c r="R334" s="49">
        <v>1</v>
      </c>
      <c r="S334" s="49" t="s">
        <v>1728</v>
      </c>
      <c r="T334" s="49"/>
      <c r="U334" s="49" t="s">
        <v>1869</v>
      </c>
      <c r="V334" s="49" t="s">
        <v>1379</v>
      </c>
      <c r="W334" s="49" t="s">
        <v>1715</v>
      </c>
      <c r="X334" s="49" t="s">
        <v>1379</v>
      </c>
      <c r="Y334" s="49" t="s">
        <v>1379</v>
      </c>
      <c r="AA334" s="329"/>
      <c r="AB334" s="329"/>
      <c r="AC334" s="35" t="s">
        <v>1608</v>
      </c>
      <c r="AH334" s="35" t="s">
        <v>1530</v>
      </c>
      <c r="AI334" s="138" t="s">
        <v>577</v>
      </c>
      <c r="AJ334" s="35" t="s">
        <v>366</v>
      </c>
      <c r="AK334" s="140" t="s">
        <v>229</v>
      </c>
      <c r="AT334" s="35" t="s">
        <v>359</v>
      </c>
      <c r="AU334" s="35" t="s">
        <v>359</v>
      </c>
      <c r="AV334" s="35" t="s">
        <v>177</v>
      </c>
      <c r="AW334" s="35" t="s">
        <v>160</v>
      </c>
      <c r="AX334" s="35">
        <v>4</v>
      </c>
      <c r="AZ334" s="35" t="s">
        <v>141</v>
      </c>
      <c r="BD334" s="53"/>
      <c r="BP334" s="405"/>
      <c r="BQ334" s="405"/>
      <c r="BU334" s="405"/>
      <c r="BV334" s="405"/>
      <c r="BZ334" s="405"/>
      <c r="CA334" s="405"/>
      <c r="CE334" s="558"/>
      <c r="CF334" s="558"/>
      <c r="CG334" s="558"/>
      <c r="CH334" s="558"/>
      <c r="GF334" s="35">
        <v>0.2</v>
      </c>
      <c r="GG334" s="35">
        <v>0.2</v>
      </c>
      <c r="GJ334" s="35" t="s">
        <v>364</v>
      </c>
      <c r="GZ334" s="12"/>
      <c r="HD334" s="12"/>
      <c r="JB334" s="35" t="s">
        <v>365</v>
      </c>
      <c r="JC334" s="35" t="s">
        <v>711</v>
      </c>
    </row>
    <row r="335" spans="1:263" s="35" customFormat="1" x14ac:dyDescent="0.25">
      <c r="A335" s="35">
        <v>21</v>
      </c>
      <c r="B335" s="49" t="s">
        <v>3853</v>
      </c>
      <c r="C335" s="35" t="s">
        <v>356</v>
      </c>
      <c r="D335" s="35" t="s">
        <v>357</v>
      </c>
      <c r="E335" s="35">
        <v>2013</v>
      </c>
      <c r="F335" s="35">
        <v>2009</v>
      </c>
      <c r="G335" s="35" t="s">
        <v>358</v>
      </c>
      <c r="H335" s="35" t="s">
        <v>361</v>
      </c>
      <c r="I335" s="32" t="s">
        <v>2815</v>
      </c>
      <c r="J335" s="35">
        <v>38.92</v>
      </c>
      <c r="K335" s="35">
        <v>-76.150000000000006</v>
      </c>
      <c r="L335" s="35">
        <v>4.8</v>
      </c>
      <c r="R335" s="49">
        <v>1</v>
      </c>
      <c r="S335" s="49" t="s">
        <v>1728</v>
      </c>
      <c r="T335" s="49"/>
      <c r="U335" s="49" t="s">
        <v>1870</v>
      </c>
      <c r="V335" s="49" t="s">
        <v>1379</v>
      </c>
      <c r="W335" s="49" t="s">
        <v>1715</v>
      </c>
      <c r="X335" s="49" t="s">
        <v>1379</v>
      </c>
      <c r="Y335" s="49" t="s">
        <v>1379</v>
      </c>
      <c r="AA335" s="329"/>
      <c r="AB335" s="329"/>
      <c r="AC335" s="35" t="s">
        <v>1608</v>
      </c>
      <c r="AH335" s="35" t="s">
        <v>1530</v>
      </c>
      <c r="AI335" s="138" t="s">
        <v>577</v>
      </c>
      <c r="AJ335" s="35" t="s">
        <v>366</v>
      </c>
      <c r="AK335" s="140" t="s">
        <v>229</v>
      </c>
      <c r="AT335" s="35" t="s">
        <v>359</v>
      </c>
      <c r="AU335" s="35" t="s">
        <v>359</v>
      </c>
      <c r="AV335" s="35" t="s">
        <v>177</v>
      </c>
      <c r="AW335" s="35" t="s">
        <v>160</v>
      </c>
      <c r="AX335" s="35">
        <v>4</v>
      </c>
      <c r="AZ335" s="35" t="s">
        <v>141</v>
      </c>
      <c r="BD335" s="53"/>
      <c r="BP335" s="405"/>
      <c r="BQ335" s="405"/>
      <c r="BU335" s="405"/>
      <c r="BV335" s="405"/>
      <c r="BZ335" s="405"/>
      <c r="CA335" s="405"/>
      <c r="CE335" s="558"/>
      <c r="CF335" s="558"/>
      <c r="CG335" s="558"/>
      <c r="CH335" s="558"/>
      <c r="GF335" s="35">
        <v>1.79</v>
      </c>
      <c r="GG335" s="35">
        <v>2.71</v>
      </c>
      <c r="GJ335" s="35" t="s">
        <v>364</v>
      </c>
      <c r="GZ335" s="12"/>
      <c r="HD335" s="12"/>
      <c r="JB335" s="35" t="s">
        <v>365</v>
      </c>
      <c r="JC335" s="35" t="s">
        <v>711</v>
      </c>
    </row>
    <row r="336" spans="1:263" s="35" customFormat="1" x14ac:dyDescent="0.25">
      <c r="A336" s="35">
        <v>21</v>
      </c>
      <c r="B336" s="49" t="s">
        <v>3853</v>
      </c>
      <c r="C336" s="35" t="s">
        <v>356</v>
      </c>
      <c r="D336" s="35" t="s">
        <v>357</v>
      </c>
      <c r="E336" s="35">
        <v>2013</v>
      </c>
      <c r="F336" s="35">
        <v>2009</v>
      </c>
      <c r="G336" s="35" t="s">
        <v>358</v>
      </c>
      <c r="H336" s="35" t="s">
        <v>361</v>
      </c>
      <c r="I336" s="32" t="s">
        <v>2815</v>
      </c>
      <c r="J336" s="35">
        <v>38.92</v>
      </c>
      <c r="K336" s="35">
        <v>-76.150000000000006</v>
      </c>
      <c r="L336" s="35">
        <v>4.8</v>
      </c>
      <c r="R336" s="49">
        <v>1</v>
      </c>
      <c r="S336" s="49" t="s">
        <v>1728</v>
      </c>
      <c r="T336" s="49"/>
      <c r="U336" s="49" t="s">
        <v>1871</v>
      </c>
      <c r="V336" s="49" t="s">
        <v>1379</v>
      </c>
      <c r="W336" s="49" t="s">
        <v>1715</v>
      </c>
      <c r="X336" s="49" t="s">
        <v>1379</v>
      </c>
      <c r="Y336" s="49" t="s">
        <v>1379</v>
      </c>
      <c r="AA336" s="329"/>
      <c r="AB336" s="329"/>
      <c r="AC336" s="35" t="s">
        <v>1608</v>
      </c>
      <c r="AH336" s="35" t="s">
        <v>1530</v>
      </c>
      <c r="AI336" s="138" t="s">
        <v>577</v>
      </c>
      <c r="AJ336" s="35" t="s">
        <v>366</v>
      </c>
      <c r="AK336" s="140" t="s">
        <v>229</v>
      </c>
      <c r="AT336" s="35" t="s">
        <v>359</v>
      </c>
      <c r="AU336" s="35" t="s">
        <v>359</v>
      </c>
      <c r="AV336" s="35" t="s">
        <v>177</v>
      </c>
      <c r="AW336" s="35" t="s">
        <v>160</v>
      </c>
      <c r="AX336" s="35">
        <v>4</v>
      </c>
      <c r="AZ336" s="35" t="s">
        <v>141</v>
      </c>
      <c r="BD336" s="53"/>
      <c r="BP336" s="405"/>
      <c r="BQ336" s="405"/>
      <c r="BU336" s="405"/>
      <c r="BV336" s="405"/>
      <c r="BZ336" s="405"/>
      <c r="CA336" s="405"/>
      <c r="CE336" s="558"/>
      <c r="CF336" s="558"/>
      <c r="CG336" s="558"/>
      <c r="CH336" s="558"/>
      <c r="GF336" s="35">
        <v>4.59</v>
      </c>
      <c r="GG336" s="35">
        <v>3.62</v>
      </c>
      <c r="GJ336" s="35" t="s">
        <v>364</v>
      </c>
      <c r="GZ336" s="12"/>
      <c r="HD336" s="12"/>
      <c r="JB336" s="35" t="s">
        <v>365</v>
      </c>
      <c r="JC336" s="35" t="s">
        <v>711</v>
      </c>
    </row>
    <row r="337" spans="1:263" s="35" customFormat="1" x14ac:dyDescent="0.25">
      <c r="A337" s="35">
        <v>21</v>
      </c>
      <c r="B337" s="49" t="s">
        <v>3853</v>
      </c>
      <c r="C337" s="35" t="s">
        <v>356</v>
      </c>
      <c r="D337" s="35" t="s">
        <v>357</v>
      </c>
      <c r="E337" s="35">
        <v>2013</v>
      </c>
      <c r="F337" s="35">
        <v>2009</v>
      </c>
      <c r="G337" s="35" t="s">
        <v>358</v>
      </c>
      <c r="H337" s="35" t="s">
        <v>361</v>
      </c>
      <c r="I337" s="32" t="s">
        <v>2815</v>
      </c>
      <c r="J337" s="35">
        <v>38.92</v>
      </c>
      <c r="K337" s="35">
        <v>-76.150000000000006</v>
      </c>
      <c r="L337" s="35">
        <v>4.8</v>
      </c>
      <c r="R337" s="49">
        <v>1</v>
      </c>
      <c r="S337" s="49" t="s">
        <v>1728</v>
      </c>
      <c r="T337" s="49"/>
      <c r="U337" s="49" t="s">
        <v>1872</v>
      </c>
      <c r="V337" s="49" t="s">
        <v>1379</v>
      </c>
      <c r="W337" s="49" t="s">
        <v>1715</v>
      </c>
      <c r="X337" s="49" t="s">
        <v>1379</v>
      </c>
      <c r="Y337" s="49" t="s">
        <v>1379</v>
      </c>
      <c r="AA337" s="329"/>
      <c r="AB337" s="329"/>
      <c r="AC337" s="35" t="s">
        <v>1608</v>
      </c>
      <c r="AH337" s="35" t="s">
        <v>1530</v>
      </c>
      <c r="AI337" s="138" t="s">
        <v>577</v>
      </c>
      <c r="AJ337" s="35" t="s">
        <v>366</v>
      </c>
      <c r="AK337" s="140" t="s">
        <v>229</v>
      </c>
      <c r="AT337" s="35" t="s">
        <v>359</v>
      </c>
      <c r="AU337" s="35" t="s">
        <v>359</v>
      </c>
      <c r="AV337" s="35" t="s">
        <v>177</v>
      </c>
      <c r="AW337" s="35" t="s">
        <v>160</v>
      </c>
      <c r="AX337" s="35">
        <v>4</v>
      </c>
      <c r="AZ337" s="35" t="s">
        <v>141</v>
      </c>
      <c r="BD337" s="53"/>
      <c r="BP337" s="405"/>
      <c r="BQ337" s="405"/>
      <c r="BU337" s="405"/>
      <c r="BV337" s="405"/>
      <c r="BZ337" s="405"/>
      <c r="CA337" s="405"/>
      <c r="CE337" s="558"/>
      <c r="CF337" s="558"/>
      <c r="CG337" s="558"/>
      <c r="CH337" s="558"/>
      <c r="GF337" s="35">
        <v>5.23</v>
      </c>
      <c r="GG337" s="35">
        <v>3.39</v>
      </c>
      <c r="GJ337" s="35" t="s">
        <v>364</v>
      </c>
      <c r="GZ337" s="12"/>
      <c r="HD337" s="12"/>
      <c r="JB337" s="35" t="s">
        <v>365</v>
      </c>
      <c r="JC337" s="35" t="s">
        <v>711</v>
      </c>
    </row>
    <row r="338" spans="1:263" s="35" customFormat="1" x14ac:dyDescent="0.25">
      <c r="A338" s="35">
        <v>21</v>
      </c>
      <c r="B338" s="49" t="s">
        <v>3853</v>
      </c>
      <c r="C338" s="35" t="s">
        <v>356</v>
      </c>
      <c r="D338" s="35" t="s">
        <v>357</v>
      </c>
      <c r="E338" s="35">
        <v>2013</v>
      </c>
      <c r="F338" s="35">
        <v>2009</v>
      </c>
      <c r="G338" s="35" t="s">
        <v>358</v>
      </c>
      <c r="H338" s="35" t="s">
        <v>361</v>
      </c>
      <c r="I338" s="32" t="s">
        <v>2815</v>
      </c>
      <c r="J338" s="35">
        <v>38.92</v>
      </c>
      <c r="K338" s="35">
        <v>-76.150000000000006</v>
      </c>
      <c r="L338" s="35">
        <v>4.8</v>
      </c>
      <c r="R338" s="49">
        <v>1</v>
      </c>
      <c r="S338" s="49" t="s">
        <v>1728</v>
      </c>
      <c r="T338" s="49"/>
      <c r="U338" s="49" t="s">
        <v>1873</v>
      </c>
      <c r="V338" s="49" t="s">
        <v>1379</v>
      </c>
      <c r="W338" s="49" t="s">
        <v>1715</v>
      </c>
      <c r="X338" s="49" t="s">
        <v>1379</v>
      </c>
      <c r="Y338" s="49" t="s">
        <v>1379</v>
      </c>
      <c r="AA338" s="329"/>
      <c r="AB338" s="329"/>
      <c r="AC338" s="35" t="s">
        <v>1608</v>
      </c>
      <c r="AH338" s="35" t="s">
        <v>1530</v>
      </c>
      <c r="AI338" s="138" t="s">
        <v>577</v>
      </c>
      <c r="AJ338" s="35" t="s">
        <v>366</v>
      </c>
      <c r="AK338" s="140" t="s">
        <v>229</v>
      </c>
      <c r="AT338" s="35" t="s">
        <v>359</v>
      </c>
      <c r="AU338" s="35" t="s">
        <v>359</v>
      </c>
      <c r="AV338" s="35" t="s">
        <v>177</v>
      </c>
      <c r="AW338" s="35" t="s">
        <v>160</v>
      </c>
      <c r="AX338" s="35">
        <v>4</v>
      </c>
      <c r="AZ338" s="35" t="s">
        <v>141</v>
      </c>
      <c r="BD338" s="53"/>
      <c r="BP338" s="405"/>
      <c r="BQ338" s="405"/>
      <c r="BU338" s="405"/>
      <c r="BV338" s="405"/>
      <c r="BZ338" s="405"/>
      <c r="CA338" s="405"/>
      <c r="CE338" s="558"/>
      <c r="CF338" s="558"/>
      <c r="CG338" s="558"/>
      <c r="CH338" s="558"/>
      <c r="GF338" s="35">
        <v>1.19</v>
      </c>
      <c r="GG338" s="35">
        <v>0.5</v>
      </c>
      <c r="GJ338" s="35" t="s">
        <v>364</v>
      </c>
      <c r="GZ338" s="12"/>
      <c r="HD338" s="12"/>
      <c r="JB338" s="35" t="s">
        <v>365</v>
      </c>
      <c r="JC338" s="35" t="s">
        <v>711</v>
      </c>
    </row>
    <row r="339" spans="1:263" s="24" customFormat="1" x14ac:dyDescent="0.25">
      <c r="A339" s="24">
        <v>21</v>
      </c>
      <c r="B339" s="42" t="s">
        <v>3853</v>
      </c>
      <c r="C339" s="24" t="s">
        <v>356</v>
      </c>
      <c r="D339" s="24" t="s">
        <v>357</v>
      </c>
      <c r="E339" s="24">
        <v>2013</v>
      </c>
      <c r="F339" s="24">
        <v>2010</v>
      </c>
      <c r="G339" s="24" t="s">
        <v>358</v>
      </c>
      <c r="H339" s="24" t="s">
        <v>361</v>
      </c>
      <c r="I339" s="32" t="s">
        <v>2815</v>
      </c>
      <c r="J339" s="24">
        <v>38.92</v>
      </c>
      <c r="K339" s="24">
        <v>-76.150000000000006</v>
      </c>
      <c r="L339" s="24">
        <v>4.8</v>
      </c>
      <c r="R339" s="42">
        <v>2</v>
      </c>
      <c r="S339" s="42" t="s">
        <v>1728</v>
      </c>
      <c r="T339" s="42"/>
      <c r="U339" s="42" t="s">
        <v>1869</v>
      </c>
      <c r="V339" s="42" t="s">
        <v>1379</v>
      </c>
      <c r="W339" s="42" t="s">
        <v>1715</v>
      </c>
      <c r="X339" s="42" t="s">
        <v>1379</v>
      </c>
      <c r="Y339" s="42" t="s">
        <v>1379</v>
      </c>
      <c r="AA339" s="321"/>
      <c r="AB339" s="321"/>
      <c r="AC339" s="24" t="s">
        <v>1608</v>
      </c>
      <c r="AH339" s="24" t="s">
        <v>1530</v>
      </c>
      <c r="AI339" s="138" t="s">
        <v>577</v>
      </c>
      <c r="AJ339" s="24" t="s">
        <v>366</v>
      </c>
      <c r="AK339" s="140" t="s">
        <v>229</v>
      </c>
      <c r="AT339" s="24" t="s">
        <v>359</v>
      </c>
      <c r="AU339" s="24" t="s">
        <v>359</v>
      </c>
      <c r="AV339" s="24" t="s">
        <v>177</v>
      </c>
      <c r="AW339" s="24" t="s">
        <v>160</v>
      </c>
      <c r="AX339" s="24">
        <v>4</v>
      </c>
      <c r="AZ339" s="24" t="s">
        <v>141</v>
      </c>
      <c r="BD339" s="53"/>
      <c r="BP339" s="395"/>
      <c r="BQ339" s="395"/>
      <c r="BU339" s="395"/>
      <c r="BV339" s="395"/>
      <c r="BZ339" s="395"/>
      <c r="CA339" s="395"/>
      <c r="CE339" s="548"/>
      <c r="CF339" s="548"/>
      <c r="CG339" s="548"/>
      <c r="CH339" s="548"/>
      <c r="GF339" s="24">
        <v>0.01</v>
      </c>
      <c r="GG339" s="24">
        <v>0.01</v>
      </c>
      <c r="GJ339" s="24" t="s">
        <v>364</v>
      </c>
      <c r="GZ339" s="12"/>
      <c r="HD339" s="12"/>
      <c r="JB339" s="24" t="s">
        <v>365</v>
      </c>
      <c r="JC339" s="24" t="s">
        <v>711</v>
      </c>
    </row>
    <row r="340" spans="1:263" s="24" customFormat="1" x14ac:dyDescent="0.25">
      <c r="A340" s="24">
        <v>21</v>
      </c>
      <c r="B340" s="42" t="s">
        <v>3853</v>
      </c>
      <c r="C340" s="24" t="s">
        <v>356</v>
      </c>
      <c r="D340" s="24" t="s">
        <v>357</v>
      </c>
      <c r="E340" s="24">
        <v>2013</v>
      </c>
      <c r="F340" s="24">
        <v>2010</v>
      </c>
      <c r="G340" s="24" t="s">
        <v>358</v>
      </c>
      <c r="H340" s="24" t="s">
        <v>361</v>
      </c>
      <c r="I340" s="32" t="s">
        <v>2815</v>
      </c>
      <c r="J340" s="24">
        <v>38.92</v>
      </c>
      <c r="K340" s="24">
        <v>-76.150000000000006</v>
      </c>
      <c r="L340" s="24">
        <v>4.8</v>
      </c>
      <c r="R340" s="42">
        <v>2</v>
      </c>
      <c r="S340" s="42" t="s">
        <v>1728</v>
      </c>
      <c r="T340" s="42"/>
      <c r="U340" s="42" t="s">
        <v>1870</v>
      </c>
      <c r="V340" s="42" t="s">
        <v>1379</v>
      </c>
      <c r="W340" s="42" t="s">
        <v>1715</v>
      </c>
      <c r="X340" s="42" t="s">
        <v>1379</v>
      </c>
      <c r="Y340" s="42" t="s">
        <v>1379</v>
      </c>
      <c r="AA340" s="321"/>
      <c r="AB340" s="321"/>
      <c r="AC340" s="24" t="s">
        <v>1608</v>
      </c>
      <c r="AH340" s="24" t="s">
        <v>1530</v>
      </c>
      <c r="AI340" s="138" t="s">
        <v>577</v>
      </c>
      <c r="AJ340" s="24" t="s">
        <v>366</v>
      </c>
      <c r="AK340" s="140" t="s">
        <v>229</v>
      </c>
      <c r="AT340" s="24" t="s">
        <v>359</v>
      </c>
      <c r="AU340" s="24" t="s">
        <v>359</v>
      </c>
      <c r="AV340" s="24" t="s">
        <v>177</v>
      </c>
      <c r="AW340" s="24" t="s">
        <v>160</v>
      </c>
      <c r="AX340" s="24">
        <v>4</v>
      </c>
      <c r="AZ340" s="24" t="s">
        <v>141</v>
      </c>
      <c r="BD340" s="53"/>
      <c r="BP340" s="395"/>
      <c r="BQ340" s="395"/>
      <c r="BU340" s="395"/>
      <c r="BV340" s="395"/>
      <c r="BZ340" s="395"/>
      <c r="CA340" s="395"/>
      <c r="CE340" s="548"/>
      <c r="CF340" s="548"/>
      <c r="CG340" s="548"/>
      <c r="CH340" s="548"/>
      <c r="GF340" s="24">
        <v>0.18</v>
      </c>
      <c r="GG340" s="24">
        <v>0.09</v>
      </c>
      <c r="GJ340" s="24" t="s">
        <v>364</v>
      </c>
      <c r="GZ340" s="12"/>
      <c r="HD340" s="12"/>
      <c r="JB340" s="24" t="s">
        <v>365</v>
      </c>
      <c r="JC340" s="24" t="s">
        <v>711</v>
      </c>
    </row>
    <row r="341" spans="1:263" s="24" customFormat="1" x14ac:dyDescent="0.25">
      <c r="A341" s="24">
        <v>21</v>
      </c>
      <c r="B341" s="42" t="s">
        <v>3853</v>
      </c>
      <c r="C341" s="24" t="s">
        <v>356</v>
      </c>
      <c r="D341" s="24" t="s">
        <v>357</v>
      </c>
      <c r="E341" s="24">
        <v>2013</v>
      </c>
      <c r="F341" s="24">
        <v>2010</v>
      </c>
      <c r="G341" s="24" t="s">
        <v>358</v>
      </c>
      <c r="H341" s="24" t="s">
        <v>361</v>
      </c>
      <c r="I341" s="32" t="s">
        <v>2815</v>
      </c>
      <c r="J341" s="24">
        <v>38.92</v>
      </c>
      <c r="K341" s="24">
        <v>-76.150000000000006</v>
      </c>
      <c r="L341" s="24">
        <v>4.8</v>
      </c>
      <c r="R341" s="42">
        <v>2</v>
      </c>
      <c r="S341" s="42" t="s">
        <v>1728</v>
      </c>
      <c r="T341" s="42"/>
      <c r="U341" s="42" t="s">
        <v>1871</v>
      </c>
      <c r="V341" s="42" t="s">
        <v>1379</v>
      </c>
      <c r="W341" s="42" t="s">
        <v>1715</v>
      </c>
      <c r="X341" s="42" t="s">
        <v>1379</v>
      </c>
      <c r="Y341" s="42" t="s">
        <v>1379</v>
      </c>
      <c r="AA341" s="321"/>
      <c r="AB341" s="321"/>
      <c r="AC341" s="24" t="s">
        <v>1608</v>
      </c>
      <c r="AH341" s="24" t="s">
        <v>1530</v>
      </c>
      <c r="AI341" s="138" t="s">
        <v>577</v>
      </c>
      <c r="AJ341" s="24" t="s">
        <v>366</v>
      </c>
      <c r="AK341" s="140" t="s">
        <v>229</v>
      </c>
      <c r="AT341" s="24" t="s">
        <v>359</v>
      </c>
      <c r="AU341" s="24" t="s">
        <v>359</v>
      </c>
      <c r="AV341" s="24" t="s">
        <v>177</v>
      </c>
      <c r="AW341" s="24" t="s">
        <v>160</v>
      </c>
      <c r="AX341" s="24">
        <v>4</v>
      </c>
      <c r="AZ341" s="24" t="s">
        <v>141</v>
      </c>
      <c r="BD341" s="53"/>
      <c r="BP341" s="395"/>
      <c r="BQ341" s="395"/>
      <c r="BU341" s="395"/>
      <c r="BV341" s="395"/>
      <c r="BZ341" s="395"/>
      <c r="CA341" s="395"/>
      <c r="CE341" s="548"/>
      <c r="CF341" s="548"/>
      <c r="CG341" s="548"/>
      <c r="CH341" s="548"/>
      <c r="GF341" s="24">
        <v>1.83</v>
      </c>
      <c r="GG341" s="24">
        <v>1.06</v>
      </c>
      <c r="GJ341" s="24" t="s">
        <v>364</v>
      </c>
      <c r="GZ341" s="12"/>
      <c r="HD341" s="12"/>
      <c r="JB341" s="24" t="s">
        <v>365</v>
      </c>
      <c r="JC341" s="24" t="s">
        <v>711</v>
      </c>
    </row>
    <row r="342" spans="1:263" s="24" customFormat="1" x14ac:dyDescent="0.25">
      <c r="A342" s="24">
        <v>21</v>
      </c>
      <c r="B342" s="42" t="s">
        <v>3853</v>
      </c>
      <c r="C342" s="24" t="s">
        <v>356</v>
      </c>
      <c r="D342" s="24" t="s">
        <v>357</v>
      </c>
      <c r="E342" s="24">
        <v>2013</v>
      </c>
      <c r="F342" s="24">
        <v>2010</v>
      </c>
      <c r="G342" s="24" t="s">
        <v>358</v>
      </c>
      <c r="H342" s="24" t="s">
        <v>361</v>
      </c>
      <c r="I342" s="32" t="s">
        <v>2815</v>
      </c>
      <c r="J342" s="24">
        <v>38.92</v>
      </c>
      <c r="K342" s="24">
        <v>-76.150000000000006</v>
      </c>
      <c r="L342" s="24">
        <v>4.8</v>
      </c>
      <c r="R342" s="42">
        <v>2</v>
      </c>
      <c r="S342" s="42" t="s">
        <v>1728</v>
      </c>
      <c r="T342" s="42"/>
      <c r="U342" s="42" t="s">
        <v>1872</v>
      </c>
      <c r="V342" s="42" t="s">
        <v>1379</v>
      </c>
      <c r="W342" s="42" t="s">
        <v>1715</v>
      </c>
      <c r="X342" s="42" t="s">
        <v>1379</v>
      </c>
      <c r="Y342" s="42" t="s">
        <v>1379</v>
      </c>
      <c r="AA342" s="321"/>
      <c r="AB342" s="321"/>
      <c r="AC342" s="24" t="s">
        <v>1608</v>
      </c>
      <c r="AH342" s="24" t="s">
        <v>1530</v>
      </c>
      <c r="AI342" s="138" t="s">
        <v>577</v>
      </c>
      <c r="AJ342" s="24" t="s">
        <v>366</v>
      </c>
      <c r="AK342" s="140" t="s">
        <v>229</v>
      </c>
      <c r="AT342" s="24" t="s">
        <v>359</v>
      </c>
      <c r="AU342" s="24" t="s">
        <v>359</v>
      </c>
      <c r="AV342" s="24" t="s">
        <v>177</v>
      </c>
      <c r="AW342" s="24" t="s">
        <v>160</v>
      </c>
      <c r="AX342" s="24">
        <v>4</v>
      </c>
      <c r="AZ342" s="24" t="s">
        <v>141</v>
      </c>
      <c r="BD342" s="53"/>
      <c r="BP342" s="395"/>
      <c r="BQ342" s="395"/>
      <c r="BU342" s="395"/>
      <c r="BV342" s="395"/>
      <c r="BZ342" s="395"/>
      <c r="CA342" s="395"/>
      <c r="CE342" s="548"/>
      <c r="CF342" s="548"/>
      <c r="CG342" s="548"/>
      <c r="CH342" s="548"/>
      <c r="GF342" s="24">
        <v>2.71</v>
      </c>
      <c r="GG342" s="24">
        <v>3.39</v>
      </c>
      <c r="GJ342" s="24" t="s">
        <v>364</v>
      </c>
      <c r="GZ342" s="12"/>
      <c r="HD342" s="12"/>
      <c r="JB342" s="24" t="s">
        <v>365</v>
      </c>
      <c r="JC342" s="24" t="s">
        <v>711</v>
      </c>
    </row>
    <row r="343" spans="1:263" s="24" customFormat="1" x14ac:dyDescent="0.25">
      <c r="A343" s="24">
        <v>21</v>
      </c>
      <c r="B343" s="42" t="s">
        <v>3853</v>
      </c>
      <c r="C343" s="24" t="s">
        <v>356</v>
      </c>
      <c r="D343" s="24" t="s">
        <v>357</v>
      </c>
      <c r="E343" s="24">
        <v>2013</v>
      </c>
      <c r="F343" s="24">
        <v>2010</v>
      </c>
      <c r="G343" s="24" t="s">
        <v>358</v>
      </c>
      <c r="H343" s="24" t="s">
        <v>361</v>
      </c>
      <c r="I343" s="32" t="s">
        <v>2815</v>
      </c>
      <c r="J343" s="24">
        <v>38.92</v>
      </c>
      <c r="K343" s="24">
        <v>-76.150000000000006</v>
      </c>
      <c r="L343" s="24">
        <v>4.8</v>
      </c>
      <c r="R343" s="42">
        <v>2</v>
      </c>
      <c r="S343" s="42" t="s">
        <v>1728</v>
      </c>
      <c r="T343" s="42"/>
      <c r="U343" s="42" t="s">
        <v>1873</v>
      </c>
      <c r="V343" s="42" t="s">
        <v>1379</v>
      </c>
      <c r="W343" s="42" t="s">
        <v>1715</v>
      </c>
      <c r="X343" s="42" t="s">
        <v>1379</v>
      </c>
      <c r="Y343" s="42" t="s">
        <v>1379</v>
      </c>
      <c r="AA343" s="321"/>
      <c r="AB343" s="321"/>
      <c r="AC343" s="24" t="s">
        <v>1608</v>
      </c>
      <c r="AH343" s="24" t="s">
        <v>1530</v>
      </c>
      <c r="AI343" s="138" t="s">
        <v>577</v>
      </c>
      <c r="AJ343" s="24" t="s">
        <v>366</v>
      </c>
      <c r="AK343" s="140" t="s">
        <v>229</v>
      </c>
      <c r="AT343" s="24" t="s">
        <v>359</v>
      </c>
      <c r="AU343" s="24" t="s">
        <v>359</v>
      </c>
      <c r="AV343" s="24" t="s">
        <v>177</v>
      </c>
      <c r="AW343" s="24" t="s">
        <v>160</v>
      </c>
      <c r="AX343" s="24">
        <v>4</v>
      </c>
      <c r="AZ343" s="24" t="s">
        <v>141</v>
      </c>
      <c r="BD343" s="53"/>
      <c r="BP343" s="395"/>
      <c r="BQ343" s="395"/>
      <c r="BU343" s="395"/>
      <c r="BV343" s="395"/>
      <c r="BZ343" s="395"/>
      <c r="CA343" s="395"/>
      <c r="CE343" s="548"/>
      <c r="CF343" s="548"/>
      <c r="CG343" s="548"/>
      <c r="CH343" s="548"/>
      <c r="GF343" s="24">
        <v>2.75</v>
      </c>
      <c r="GG343" s="24">
        <v>1.65</v>
      </c>
      <c r="GJ343" s="24" t="s">
        <v>364</v>
      </c>
      <c r="GZ343" s="12"/>
      <c r="HD343" s="12"/>
      <c r="JB343" s="24" t="s">
        <v>365</v>
      </c>
      <c r="JC343" s="24" t="s">
        <v>711</v>
      </c>
    </row>
    <row r="344" spans="1:263" s="24" customFormat="1" x14ac:dyDescent="0.25">
      <c r="A344" s="24">
        <v>21</v>
      </c>
      <c r="B344" s="42" t="s">
        <v>3853</v>
      </c>
      <c r="C344" s="24" t="s">
        <v>356</v>
      </c>
      <c r="D344" s="24" t="s">
        <v>357</v>
      </c>
      <c r="E344" s="24">
        <v>2013</v>
      </c>
      <c r="F344" s="24">
        <v>2010</v>
      </c>
      <c r="G344" s="24" t="s">
        <v>358</v>
      </c>
      <c r="H344" s="24" t="s">
        <v>361</v>
      </c>
      <c r="I344" s="32" t="s">
        <v>2815</v>
      </c>
      <c r="J344" s="24">
        <v>38.92</v>
      </c>
      <c r="K344" s="24">
        <v>-76.150000000000006</v>
      </c>
      <c r="L344" s="24">
        <v>4.8</v>
      </c>
      <c r="R344" s="42">
        <v>2</v>
      </c>
      <c r="S344" s="42" t="s">
        <v>1728</v>
      </c>
      <c r="T344" s="42"/>
      <c r="U344" s="42" t="s">
        <v>1874</v>
      </c>
      <c r="V344" s="42" t="s">
        <v>1379</v>
      </c>
      <c r="W344" s="42" t="s">
        <v>1715</v>
      </c>
      <c r="X344" s="42" t="s">
        <v>1379</v>
      </c>
      <c r="Y344" s="42" t="s">
        <v>1379</v>
      </c>
      <c r="AA344" s="321"/>
      <c r="AB344" s="321"/>
      <c r="AC344" s="24" t="s">
        <v>1608</v>
      </c>
      <c r="AH344" s="24" t="s">
        <v>1530</v>
      </c>
      <c r="AI344" s="138" t="s">
        <v>577</v>
      </c>
      <c r="AJ344" s="24" t="s">
        <v>366</v>
      </c>
      <c r="AK344" s="140" t="s">
        <v>229</v>
      </c>
      <c r="AT344" s="24" t="s">
        <v>359</v>
      </c>
      <c r="AU344" s="24" t="s">
        <v>359</v>
      </c>
      <c r="AV344" s="24" t="s">
        <v>177</v>
      </c>
      <c r="AW344" s="24" t="s">
        <v>160</v>
      </c>
      <c r="AX344" s="24">
        <v>4</v>
      </c>
      <c r="AZ344" s="24" t="s">
        <v>141</v>
      </c>
      <c r="BD344" s="53"/>
      <c r="BP344" s="395"/>
      <c r="BQ344" s="395"/>
      <c r="BU344" s="395"/>
      <c r="BV344" s="395"/>
      <c r="BZ344" s="395"/>
      <c r="CA344" s="395"/>
      <c r="CE344" s="548"/>
      <c r="CF344" s="548"/>
      <c r="CG344" s="548"/>
      <c r="CH344" s="548"/>
      <c r="GF344" s="24">
        <v>1.19</v>
      </c>
      <c r="GG344" s="24">
        <v>0.5</v>
      </c>
      <c r="GJ344" s="24" t="s">
        <v>364</v>
      </c>
      <c r="GZ344" s="12"/>
      <c r="HD344" s="12"/>
      <c r="JB344" s="24" t="s">
        <v>365</v>
      </c>
      <c r="JC344" s="24" t="s">
        <v>711</v>
      </c>
    </row>
    <row r="345" spans="1:263" s="35" customFormat="1" x14ac:dyDescent="0.25">
      <c r="A345" s="35">
        <v>21</v>
      </c>
      <c r="B345" s="49" t="s">
        <v>3854</v>
      </c>
      <c r="C345" s="35" t="s">
        <v>356</v>
      </c>
      <c r="D345" s="35" t="s">
        <v>357</v>
      </c>
      <c r="E345" s="35">
        <v>2013</v>
      </c>
      <c r="F345" s="35">
        <v>2009</v>
      </c>
      <c r="G345" s="35" t="s">
        <v>358</v>
      </c>
      <c r="H345" s="35" t="s">
        <v>360</v>
      </c>
      <c r="I345" s="32" t="s">
        <v>2815</v>
      </c>
      <c r="J345" s="35">
        <v>38.82</v>
      </c>
      <c r="K345" s="35">
        <v>-76.75</v>
      </c>
      <c r="L345" s="35">
        <v>5.5</v>
      </c>
      <c r="R345" s="49">
        <v>1</v>
      </c>
      <c r="S345" s="49" t="s">
        <v>1728</v>
      </c>
      <c r="T345" s="49"/>
      <c r="U345" s="49" t="s">
        <v>1869</v>
      </c>
      <c r="V345" s="49" t="s">
        <v>1379</v>
      </c>
      <c r="W345" s="49" t="s">
        <v>1715</v>
      </c>
      <c r="X345" s="49" t="s">
        <v>1379</v>
      </c>
      <c r="Y345" s="49" t="s">
        <v>1379</v>
      </c>
      <c r="AA345" s="329"/>
      <c r="AB345" s="329"/>
      <c r="AC345" s="35" t="s">
        <v>1608</v>
      </c>
      <c r="AH345" s="35" t="s">
        <v>1530</v>
      </c>
      <c r="AI345" s="138" t="s">
        <v>577</v>
      </c>
      <c r="AJ345" s="35" t="s">
        <v>366</v>
      </c>
      <c r="AK345" s="140" t="s">
        <v>229</v>
      </c>
      <c r="AT345" s="35" t="s">
        <v>359</v>
      </c>
      <c r="AU345" s="35" t="s">
        <v>359</v>
      </c>
      <c r="AV345" s="35" t="s">
        <v>177</v>
      </c>
      <c r="AW345" s="35" t="s">
        <v>160</v>
      </c>
      <c r="AX345" s="35">
        <v>4</v>
      </c>
      <c r="AZ345" s="35" t="s">
        <v>141</v>
      </c>
      <c r="BD345" s="53"/>
      <c r="BP345" s="405"/>
      <c r="BQ345" s="405"/>
      <c r="BU345" s="405"/>
      <c r="BV345" s="405"/>
      <c r="BZ345" s="405"/>
      <c r="CA345" s="405"/>
      <c r="CE345" s="558"/>
      <c r="CF345" s="558"/>
      <c r="CG345" s="558"/>
      <c r="CH345" s="558"/>
      <c r="GF345" s="35">
        <v>0.25</v>
      </c>
      <c r="GG345" s="35">
        <v>0.25</v>
      </c>
      <c r="GJ345" s="35" t="s">
        <v>364</v>
      </c>
      <c r="GZ345" s="12"/>
      <c r="HD345" s="12"/>
      <c r="JB345" s="35" t="s">
        <v>365</v>
      </c>
      <c r="JC345" s="35" t="s">
        <v>711</v>
      </c>
    </row>
    <row r="346" spans="1:263" s="35" customFormat="1" x14ac:dyDescent="0.25">
      <c r="A346" s="35">
        <v>21</v>
      </c>
      <c r="B346" s="49" t="s">
        <v>3854</v>
      </c>
      <c r="C346" s="35" t="s">
        <v>356</v>
      </c>
      <c r="D346" s="35" t="s">
        <v>357</v>
      </c>
      <c r="E346" s="35">
        <v>2013</v>
      </c>
      <c r="F346" s="35">
        <v>2009</v>
      </c>
      <c r="G346" s="35" t="s">
        <v>358</v>
      </c>
      <c r="H346" s="35" t="s">
        <v>360</v>
      </c>
      <c r="I346" s="32" t="s">
        <v>2815</v>
      </c>
      <c r="J346" s="35">
        <v>38.82</v>
      </c>
      <c r="K346" s="35">
        <v>-76.75</v>
      </c>
      <c r="L346" s="35">
        <v>5.5</v>
      </c>
      <c r="R346" s="49">
        <v>1</v>
      </c>
      <c r="S346" s="49" t="s">
        <v>1728</v>
      </c>
      <c r="T346" s="49"/>
      <c r="U346" s="49" t="s">
        <v>1870</v>
      </c>
      <c r="V346" s="49" t="s">
        <v>1379</v>
      </c>
      <c r="W346" s="49" t="s">
        <v>1715</v>
      </c>
      <c r="X346" s="49" t="s">
        <v>1379</v>
      </c>
      <c r="Y346" s="49" t="s">
        <v>1379</v>
      </c>
      <c r="AA346" s="329"/>
      <c r="AB346" s="329"/>
      <c r="AC346" s="35" t="s">
        <v>1608</v>
      </c>
      <c r="AH346" s="35" t="s">
        <v>1530</v>
      </c>
      <c r="AI346" s="138" t="s">
        <v>577</v>
      </c>
      <c r="AJ346" s="35" t="s">
        <v>366</v>
      </c>
      <c r="AK346" s="140" t="s">
        <v>229</v>
      </c>
      <c r="AT346" s="35" t="s">
        <v>359</v>
      </c>
      <c r="AU346" s="35" t="s">
        <v>359</v>
      </c>
      <c r="AV346" s="35" t="s">
        <v>177</v>
      </c>
      <c r="AW346" s="35" t="s">
        <v>160</v>
      </c>
      <c r="AX346" s="35">
        <v>4</v>
      </c>
      <c r="AZ346" s="35" t="s">
        <v>141</v>
      </c>
      <c r="BD346" s="53"/>
      <c r="BP346" s="405"/>
      <c r="BQ346" s="405"/>
      <c r="BU346" s="405"/>
      <c r="BV346" s="405"/>
      <c r="BZ346" s="405"/>
      <c r="CA346" s="405"/>
      <c r="CE346" s="558"/>
      <c r="CF346" s="558"/>
      <c r="CG346" s="558"/>
      <c r="CH346" s="558"/>
      <c r="GF346" s="35">
        <v>0.65</v>
      </c>
      <c r="GG346" s="35">
        <v>0.4</v>
      </c>
      <c r="GJ346" s="35" t="s">
        <v>364</v>
      </c>
      <c r="GZ346" s="12"/>
      <c r="HD346" s="12"/>
      <c r="JB346" s="35" t="s">
        <v>365</v>
      </c>
      <c r="JC346" s="35" t="s">
        <v>711</v>
      </c>
    </row>
    <row r="347" spans="1:263" s="35" customFormat="1" x14ac:dyDescent="0.25">
      <c r="A347" s="35">
        <v>21</v>
      </c>
      <c r="B347" s="49" t="s">
        <v>3854</v>
      </c>
      <c r="C347" s="35" t="s">
        <v>356</v>
      </c>
      <c r="D347" s="35" t="s">
        <v>357</v>
      </c>
      <c r="E347" s="35">
        <v>2013</v>
      </c>
      <c r="F347" s="35">
        <v>2009</v>
      </c>
      <c r="G347" s="35" t="s">
        <v>358</v>
      </c>
      <c r="H347" s="35" t="s">
        <v>360</v>
      </c>
      <c r="I347" s="32" t="s">
        <v>2815</v>
      </c>
      <c r="J347" s="35">
        <v>38.82</v>
      </c>
      <c r="K347" s="35">
        <v>-76.75</v>
      </c>
      <c r="L347" s="35">
        <v>5.5</v>
      </c>
      <c r="R347" s="49">
        <v>1</v>
      </c>
      <c r="S347" s="49" t="s">
        <v>1728</v>
      </c>
      <c r="T347" s="49"/>
      <c r="U347" s="49" t="s">
        <v>1871</v>
      </c>
      <c r="V347" s="49" t="s">
        <v>1379</v>
      </c>
      <c r="W347" s="49" t="s">
        <v>1715</v>
      </c>
      <c r="X347" s="49" t="s">
        <v>1379</v>
      </c>
      <c r="Y347" s="49" t="s">
        <v>1379</v>
      </c>
      <c r="AA347" s="329"/>
      <c r="AB347" s="329"/>
      <c r="AC347" s="35" t="s">
        <v>1608</v>
      </c>
      <c r="AH347" s="35" t="s">
        <v>1530</v>
      </c>
      <c r="AI347" s="138" t="s">
        <v>577</v>
      </c>
      <c r="AJ347" s="35" t="s">
        <v>366</v>
      </c>
      <c r="AK347" s="140" t="s">
        <v>229</v>
      </c>
      <c r="AT347" s="35" t="s">
        <v>359</v>
      </c>
      <c r="AU347" s="35" t="s">
        <v>359</v>
      </c>
      <c r="AV347" s="35" t="s">
        <v>177</v>
      </c>
      <c r="AW347" s="35" t="s">
        <v>160</v>
      </c>
      <c r="AX347" s="35">
        <v>4</v>
      </c>
      <c r="AZ347" s="35" t="s">
        <v>141</v>
      </c>
      <c r="BD347" s="53"/>
      <c r="BP347" s="405"/>
      <c r="BQ347" s="405"/>
      <c r="BU347" s="405"/>
      <c r="BV347" s="405"/>
      <c r="BZ347" s="405"/>
      <c r="CA347" s="405"/>
      <c r="CE347" s="558"/>
      <c r="CF347" s="558"/>
      <c r="CG347" s="558"/>
      <c r="CH347" s="558"/>
      <c r="GF347" s="35">
        <v>4.32</v>
      </c>
      <c r="GG347" s="35">
        <v>4.32</v>
      </c>
      <c r="GJ347" s="35" t="s">
        <v>364</v>
      </c>
      <c r="GZ347" s="12"/>
      <c r="HD347" s="12"/>
      <c r="JB347" s="35" t="s">
        <v>365</v>
      </c>
      <c r="JC347" s="35" t="s">
        <v>711</v>
      </c>
    </row>
    <row r="348" spans="1:263" s="35" customFormat="1" x14ac:dyDescent="0.25">
      <c r="A348" s="35">
        <v>21</v>
      </c>
      <c r="B348" s="49" t="s">
        <v>3854</v>
      </c>
      <c r="C348" s="35" t="s">
        <v>356</v>
      </c>
      <c r="D348" s="35" t="s">
        <v>357</v>
      </c>
      <c r="E348" s="35">
        <v>2013</v>
      </c>
      <c r="F348" s="35">
        <v>2009</v>
      </c>
      <c r="G348" s="35" t="s">
        <v>358</v>
      </c>
      <c r="H348" s="35" t="s">
        <v>360</v>
      </c>
      <c r="I348" s="32" t="s">
        <v>2815</v>
      </c>
      <c r="J348" s="35">
        <v>38.82</v>
      </c>
      <c r="K348" s="35">
        <v>-76.75</v>
      </c>
      <c r="L348" s="35">
        <v>5.5</v>
      </c>
      <c r="R348" s="49">
        <v>1</v>
      </c>
      <c r="S348" s="49" t="s">
        <v>1728</v>
      </c>
      <c r="T348" s="49"/>
      <c r="U348" s="49" t="s">
        <v>1872</v>
      </c>
      <c r="V348" s="49" t="s">
        <v>1379</v>
      </c>
      <c r="W348" s="49" t="s">
        <v>1715</v>
      </c>
      <c r="X348" s="49" t="s">
        <v>1379</v>
      </c>
      <c r="Y348" s="49" t="s">
        <v>1379</v>
      </c>
      <c r="AA348" s="329"/>
      <c r="AB348" s="329"/>
      <c r="AC348" s="35" t="s">
        <v>1608</v>
      </c>
      <c r="AH348" s="35" t="s">
        <v>1530</v>
      </c>
      <c r="AI348" s="138" t="s">
        <v>577</v>
      </c>
      <c r="AJ348" s="35" t="s">
        <v>366</v>
      </c>
      <c r="AK348" s="140" t="s">
        <v>229</v>
      </c>
      <c r="AT348" s="35" t="s">
        <v>359</v>
      </c>
      <c r="AU348" s="35" t="s">
        <v>359</v>
      </c>
      <c r="AV348" s="35" t="s">
        <v>177</v>
      </c>
      <c r="AW348" s="35" t="s">
        <v>160</v>
      </c>
      <c r="AX348" s="35">
        <v>4</v>
      </c>
      <c r="AZ348" s="35" t="s">
        <v>141</v>
      </c>
      <c r="BD348" s="53"/>
      <c r="BP348" s="405"/>
      <c r="BQ348" s="405"/>
      <c r="BU348" s="405"/>
      <c r="BV348" s="405"/>
      <c r="BZ348" s="405"/>
      <c r="CA348" s="405"/>
      <c r="CE348" s="558"/>
      <c r="CF348" s="558"/>
      <c r="CG348" s="558"/>
      <c r="CH348" s="558"/>
      <c r="GF348" s="35">
        <v>5.68</v>
      </c>
      <c r="GG348" s="35">
        <v>2.56</v>
      </c>
      <c r="GJ348" s="35" t="s">
        <v>364</v>
      </c>
      <c r="GZ348" s="12"/>
      <c r="HD348" s="12"/>
      <c r="JB348" s="35" t="s">
        <v>365</v>
      </c>
      <c r="JC348" s="35" t="s">
        <v>711</v>
      </c>
    </row>
    <row r="349" spans="1:263" s="35" customFormat="1" x14ac:dyDescent="0.25">
      <c r="A349" s="35">
        <v>21</v>
      </c>
      <c r="B349" s="49" t="s">
        <v>3854</v>
      </c>
      <c r="C349" s="35" t="s">
        <v>356</v>
      </c>
      <c r="D349" s="35" t="s">
        <v>357</v>
      </c>
      <c r="E349" s="35">
        <v>2013</v>
      </c>
      <c r="F349" s="35">
        <v>2009</v>
      </c>
      <c r="G349" s="35" t="s">
        <v>358</v>
      </c>
      <c r="H349" s="35" t="s">
        <v>360</v>
      </c>
      <c r="I349" s="32" t="s">
        <v>2815</v>
      </c>
      <c r="J349" s="35">
        <v>38.82</v>
      </c>
      <c r="K349" s="35">
        <v>-76.75</v>
      </c>
      <c r="L349" s="35">
        <v>5.5</v>
      </c>
      <c r="R349" s="49">
        <v>1</v>
      </c>
      <c r="S349" s="49" t="s">
        <v>1728</v>
      </c>
      <c r="T349" s="49"/>
      <c r="U349" s="49" t="s">
        <v>1873</v>
      </c>
      <c r="V349" s="49" t="s">
        <v>1379</v>
      </c>
      <c r="W349" s="49" t="s">
        <v>1715</v>
      </c>
      <c r="X349" s="49" t="s">
        <v>1379</v>
      </c>
      <c r="Y349" s="49" t="s">
        <v>1379</v>
      </c>
      <c r="AA349" s="329"/>
      <c r="AB349" s="329"/>
      <c r="AC349" s="35" t="s">
        <v>1608</v>
      </c>
      <c r="AH349" s="35" t="s">
        <v>1530</v>
      </c>
      <c r="AI349" s="138" t="s">
        <v>577</v>
      </c>
      <c r="AJ349" s="35" t="s">
        <v>366</v>
      </c>
      <c r="AK349" s="140" t="s">
        <v>229</v>
      </c>
      <c r="AT349" s="35" t="s">
        <v>359</v>
      </c>
      <c r="AU349" s="35" t="s">
        <v>359</v>
      </c>
      <c r="AV349" s="35" t="s">
        <v>177</v>
      </c>
      <c r="AW349" s="35" t="s">
        <v>160</v>
      </c>
      <c r="AX349" s="35">
        <v>4</v>
      </c>
      <c r="AZ349" s="35" t="s">
        <v>141</v>
      </c>
      <c r="BD349" s="53"/>
      <c r="BP349" s="405"/>
      <c r="BQ349" s="405"/>
      <c r="BU349" s="405"/>
      <c r="BV349" s="405"/>
      <c r="BZ349" s="405"/>
      <c r="CA349" s="405"/>
      <c r="CE349" s="558"/>
      <c r="CF349" s="558"/>
      <c r="CG349" s="558"/>
      <c r="CH349" s="558"/>
      <c r="GF349" s="35">
        <v>3.47</v>
      </c>
      <c r="GG349" s="35">
        <v>0.8</v>
      </c>
      <c r="GJ349" s="35" t="s">
        <v>364</v>
      </c>
      <c r="GZ349" s="12"/>
      <c r="HD349" s="12"/>
      <c r="JB349" s="35" t="s">
        <v>365</v>
      </c>
      <c r="JC349" s="35" t="s">
        <v>711</v>
      </c>
    </row>
    <row r="350" spans="1:263" s="24" customFormat="1" x14ac:dyDescent="0.25">
      <c r="A350" s="24">
        <v>21</v>
      </c>
      <c r="B350" s="42" t="s">
        <v>3854</v>
      </c>
      <c r="C350" s="24" t="s">
        <v>356</v>
      </c>
      <c r="D350" s="24" t="s">
        <v>357</v>
      </c>
      <c r="E350" s="24">
        <v>2013</v>
      </c>
      <c r="F350" s="24">
        <v>2010</v>
      </c>
      <c r="G350" s="24" t="s">
        <v>358</v>
      </c>
      <c r="H350" s="24" t="s">
        <v>360</v>
      </c>
      <c r="I350" s="32" t="s">
        <v>2815</v>
      </c>
      <c r="J350" s="24">
        <v>38.82</v>
      </c>
      <c r="K350" s="24">
        <v>-76.75</v>
      </c>
      <c r="L350" s="24">
        <v>5.5</v>
      </c>
      <c r="R350" s="42">
        <v>2</v>
      </c>
      <c r="S350" s="42" t="s">
        <v>1728</v>
      </c>
      <c r="T350" s="42"/>
      <c r="U350" s="42" t="s">
        <v>1869</v>
      </c>
      <c r="V350" s="42" t="s">
        <v>1379</v>
      </c>
      <c r="W350" s="42" t="s">
        <v>1715</v>
      </c>
      <c r="X350" s="42" t="s">
        <v>1379</v>
      </c>
      <c r="Y350" s="42" t="s">
        <v>1379</v>
      </c>
      <c r="AA350" s="321"/>
      <c r="AB350" s="321"/>
      <c r="AC350" s="24" t="s">
        <v>1608</v>
      </c>
      <c r="AH350" s="24" t="s">
        <v>1530</v>
      </c>
      <c r="AI350" s="138" t="s">
        <v>577</v>
      </c>
      <c r="AJ350" s="24" t="s">
        <v>366</v>
      </c>
      <c r="AK350" s="140" t="s">
        <v>229</v>
      </c>
      <c r="AT350" s="24" t="s">
        <v>359</v>
      </c>
      <c r="AU350" s="24" t="s">
        <v>359</v>
      </c>
      <c r="AV350" s="24" t="s">
        <v>177</v>
      </c>
      <c r="AW350" s="24" t="s">
        <v>160</v>
      </c>
      <c r="AX350" s="24">
        <v>4</v>
      </c>
      <c r="AZ350" s="24" t="s">
        <v>141</v>
      </c>
      <c r="BD350" s="53"/>
      <c r="BP350" s="395"/>
      <c r="BQ350" s="395"/>
      <c r="BU350" s="395"/>
      <c r="BV350" s="395"/>
      <c r="BZ350" s="395"/>
      <c r="CA350" s="395"/>
      <c r="CE350" s="548"/>
      <c r="CF350" s="548"/>
      <c r="CG350" s="548"/>
      <c r="CH350" s="548"/>
      <c r="GF350" s="24">
        <v>0.01</v>
      </c>
      <c r="GG350" s="24">
        <v>0.01</v>
      </c>
      <c r="GJ350" s="24" t="s">
        <v>364</v>
      </c>
      <c r="GZ350" s="12"/>
      <c r="HD350" s="12"/>
      <c r="JB350" s="24" t="s">
        <v>365</v>
      </c>
      <c r="JC350" s="24" t="s">
        <v>711</v>
      </c>
    </row>
    <row r="351" spans="1:263" s="24" customFormat="1" x14ac:dyDescent="0.25">
      <c r="A351" s="24">
        <v>21</v>
      </c>
      <c r="B351" s="42" t="s">
        <v>3854</v>
      </c>
      <c r="C351" s="24" t="s">
        <v>356</v>
      </c>
      <c r="D351" s="24" t="s">
        <v>357</v>
      </c>
      <c r="E351" s="24">
        <v>2013</v>
      </c>
      <c r="F351" s="24">
        <v>2010</v>
      </c>
      <c r="G351" s="24" t="s">
        <v>358</v>
      </c>
      <c r="H351" s="24" t="s">
        <v>360</v>
      </c>
      <c r="I351" s="32" t="s">
        <v>2815</v>
      </c>
      <c r="J351" s="24">
        <v>38.82</v>
      </c>
      <c r="K351" s="24">
        <v>-76.75</v>
      </c>
      <c r="L351" s="24">
        <v>5.5</v>
      </c>
      <c r="R351" s="42">
        <v>2</v>
      </c>
      <c r="S351" s="42" t="s">
        <v>1728</v>
      </c>
      <c r="T351" s="42"/>
      <c r="U351" s="42" t="s">
        <v>1870</v>
      </c>
      <c r="V351" s="42" t="s">
        <v>1379</v>
      </c>
      <c r="W351" s="42" t="s">
        <v>1715</v>
      </c>
      <c r="X351" s="42" t="s">
        <v>1379</v>
      </c>
      <c r="Y351" s="42" t="s">
        <v>1379</v>
      </c>
      <c r="AA351" s="321"/>
      <c r="AB351" s="321"/>
      <c r="AC351" s="24" t="s">
        <v>1608</v>
      </c>
      <c r="AH351" s="24" t="s">
        <v>1530</v>
      </c>
      <c r="AI351" s="138" t="s">
        <v>577</v>
      </c>
      <c r="AJ351" s="24" t="s">
        <v>366</v>
      </c>
      <c r="AK351" s="140" t="s">
        <v>229</v>
      </c>
      <c r="AT351" s="24" t="s">
        <v>359</v>
      </c>
      <c r="AU351" s="24" t="s">
        <v>359</v>
      </c>
      <c r="AV351" s="24" t="s">
        <v>177</v>
      </c>
      <c r="AW351" s="24" t="s">
        <v>160</v>
      </c>
      <c r="AX351" s="24">
        <v>4</v>
      </c>
      <c r="AZ351" s="24" t="s">
        <v>141</v>
      </c>
      <c r="BD351" s="53"/>
      <c r="BP351" s="395"/>
      <c r="BQ351" s="395"/>
      <c r="BU351" s="395"/>
      <c r="BV351" s="395"/>
      <c r="BZ351" s="395"/>
      <c r="CA351" s="395"/>
      <c r="CE351" s="548"/>
      <c r="CF351" s="548"/>
      <c r="CG351" s="548"/>
      <c r="CH351" s="548"/>
      <c r="GF351" s="24">
        <v>0.14000000000000001</v>
      </c>
      <c r="GG351" s="24">
        <v>0.09</v>
      </c>
      <c r="GJ351" s="24" t="s">
        <v>364</v>
      </c>
      <c r="GZ351" s="12"/>
      <c r="HD351" s="12"/>
      <c r="JB351" s="24" t="s">
        <v>365</v>
      </c>
      <c r="JC351" s="24" t="s">
        <v>711</v>
      </c>
    </row>
    <row r="352" spans="1:263" s="24" customFormat="1" x14ac:dyDescent="0.25">
      <c r="A352" s="24">
        <v>21</v>
      </c>
      <c r="B352" s="42" t="s">
        <v>3854</v>
      </c>
      <c r="C352" s="24" t="s">
        <v>356</v>
      </c>
      <c r="D352" s="24" t="s">
        <v>357</v>
      </c>
      <c r="E352" s="24">
        <v>2013</v>
      </c>
      <c r="F352" s="24">
        <v>2010</v>
      </c>
      <c r="G352" s="24" t="s">
        <v>358</v>
      </c>
      <c r="H352" s="24" t="s">
        <v>360</v>
      </c>
      <c r="I352" s="32" t="s">
        <v>2815</v>
      </c>
      <c r="J352" s="24">
        <v>38.82</v>
      </c>
      <c r="K352" s="24">
        <v>-76.75</v>
      </c>
      <c r="L352" s="24">
        <v>5.5</v>
      </c>
      <c r="R352" s="42">
        <v>2</v>
      </c>
      <c r="S352" s="42" t="s">
        <v>1728</v>
      </c>
      <c r="T352" s="42"/>
      <c r="U352" s="42" t="s">
        <v>1871</v>
      </c>
      <c r="V352" s="42" t="s">
        <v>1379</v>
      </c>
      <c r="W352" s="42" t="s">
        <v>1715</v>
      </c>
      <c r="X352" s="42" t="s">
        <v>1379</v>
      </c>
      <c r="Y352" s="42" t="s">
        <v>1379</v>
      </c>
      <c r="AA352" s="321"/>
      <c r="AB352" s="321"/>
      <c r="AC352" s="24" t="s">
        <v>1608</v>
      </c>
      <c r="AH352" s="24" t="s">
        <v>1530</v>
      </c>
      <c r="AI352" s="138" t="s">
        <v>577</v>
      </c>
      <c r="AJ352" s="24" t="s">
        <v>366</v>
      </c>
      <c r="AK352" s="140" t="s">
        <v>229</v>
      </c>
      <c r="AT352" s="24" t="s">
        <v>359</v>
      </c>
      <c r="AU352" s="24" t="s">
        <v>359</v>
      </c>
      <c r="AV352" s="24" t="s">
        <v>177</v>
      </c>
      <c r="AW352" s="24" t="s">
        <v>160</v>
      </c>
      <c r="AX352" s="24">
        <v>4</v>
      </c>
      <c r="AZ352" s="24" t="s">
        <v>141</v>
      </c>
      <c r="BD352" s="53"/>
      <c r="BP352" s="395"/>
      <c r="BQ352" s="395"/>
      <c r="BU352" s="395"/>
      <c r="BV352" s="395"/>
      <c r="BZ352" s="395"/>
      <c r="CA352" s="395"/>
      <c r="CE352" s="548"/>
      <c r="CF352" s="548"/>
      <c r="CG352" s="548"/>
      <c r="CH352" s="548"/>
      <c r="GF352" s="24">
        <v>4.29</v>
      </c>
      <c r="GG352" s="24">
        <v>1.37</v>
      </c>
      <c r="GJ352" s="24" t="s">
        <v>364</v>
      </c>
      <c r="GZ352" s="12"/>
      <c r="HD352" s="12"/>
      <c r="JB352" s="24" t="s">
        <v>365</v>
      </c>
      <c r="JC352" s="24" t="s">
        <v>711</v>
      </c>
    </row>
    <row r="353" spans="1:264" s="24" customFormat="1" x14ac:dyDescent="0.25">
      <c r="A353" s="24">
        <v>21</v>
      </c>
      <c r="B353" s="42" t="s">
        <v>3854</v>
      </c>
      <c r="C353" s="24" t="s">
        <v>356</v>
      </c>
      <c r="D353" s="24" t="s">
        <v>357</v>
      </c>
      <c r="E353" s="24">
        <v>2013</v>
      </c>
      <c r="F353" s="24">
        <v>2010</v>
      </c>
      <c r="G353" s="24" t="s">
        <v>358</v>
      </c>
      <c r="H353" s="24" t="s">
        <v>360</v>
      </c>
      <c r="I353" s="32" t="s">
        <v>2815</v>
      </c>
      <c r="J353" s="24">
        <v>38.82</v>
      </c>
      <c r="K353" s="24">
        <v>-76.75</v>
      </c>
      <c r="L353" s="24">
        <v>5.5</v>
      </c>
      <c r="R353" s="42">
        <v>2</v>
      </c>
      <c r="S353" s="42" t="s">
        <v>1728</v>
      </c>
      <c r="T353" s="42"/>
      <c r="U353" s="42" t="s">
        <v>1872</v>
      </c>
      <c r="V353" s="42" t="s">
        <v>1379</v>
      </c>
      <c r="W353" s="42" t="s">
        <v>1715</v>
      </c>
      <c r="X353" s="42" t="s">
        <v>1379</v>
      </c>
      <c r="Y353" s="42" t="s">
        <v>1379</v>
      </c>
      <c r="AA353" s="321"/>
      <c r="AB353" s="321"/>
      <c r="AC353" s="24" t="s">
        <v>1608</v>
      </c>
      <c r="AH353" s="24" t="s">
        <v>1530</v>
      </c>
      <c r="AI353" s="138" t="s">
        <v>577</v>
      </c>
      <c r="AJ353" s="24" t="s">
        <v>366</v>
      </c>
      <c r="AK353" s="140" t="s">
        <v>229</v>
      </c>
      <c r="AT353" s="24" t="s">
        <v>359</v>
      </c>
      <c r="AU353" s="24" t="s">
        <v>359</v>
      </c>
      <c r="AV353" s="24" t="s">
        <v>177</v>
      </c>
      <c r="AW353" s="24" t="s">
        <v>160</v>
      </c>
      <c r="AX353" s="24">
        <v>4</v>
      </c>
      <c r="AZ353" s="24" t="s">
        <v>141</v>
      </c>
      <c r="BD353" s="53"/>
      <c r="BP353" s="395"/>
      <c r="BQ353" s="395"/>
      <c r="BU353" s="395"/>
      <c r="BV353" s="395"/>
      <c r="BZ353" s="395"/>
      <c r="CA353" s="395"/>
      <c r="CE353" s="548"/>
      <c r="CF353" s="548"/>
      <c r="CG353" s="548"/>
      <c r="CH353" s="548"/>
      <c r="GF353" s="24">
        <v>1.28</v>
      </c>
      <c r="GG353" s="24">
        <v>0.27</v>
      </c>
      <c r="GJ353" s="24" t="s">
        <v>364</v>
      </c>
      <c r="GZ353" s="12"/>
      <c r="HD353" s="12"/>
      <c r="JB353" s="24" t="s">
        <v>365</v>
      </c>
      <c r="JC353" s="24" t="s">
        <v>711</v>
      </c>
    </row>
    <row r="354" spans="1:264" s="24" customFormat="1" x14ac:dyDescent="0.25">
      <c r="A354" s="24">
        <v>21</v>
      </c>
      <c r="B354" s="42" t="s">
        <v>3854</v>
      </c>
      <c r="C354" s="24" t="s">
        <v>356</v>
      </c>
      <c r="D354" s="24" t="s">
        <v>357</v>
      </c>
      <c r="E354" s="24">
        <v>2013</v>
      </c>
      <c r="F354" s="24">
        <v>2010</v>
      </c>
      <c r="G354" s="24" t="s">
        <v>358</v>
      </c>
      <c r="H354" s="24" t="s">
        <v>360</v>
      </c>
      <c r="I354" s="32" t="s">
        <v>2815</v>
      </c>
      <c r="J354" s="24">
        <v>38.82</v>
      </c>
      <c r="K354" s="24">
        <v>-76.75</v>
      </c>
      <c r="L354" s="24">
        <v>5.5</v>
      </c>
      <c r="R354" s="42">
        <v>2</v>
      </c>
      <c r="S354" s="42" t="s">
        <v>1728</v>
      </c>
      <c r="T354" s="42"/>
      <c r="U354" s="42" t="s">
        <v>1873</v>
      </c>
      <c r="V354" s="42" t="s">
        <v>1379</v>
      </c>
      <c r="W354" s="42" t="s">
        <v>1715</v>
      </c>
      <c r="X354" s="42" t="s">
        <v>1379</v>
      </c>
      <c r="Y354" s="42" t="s">
        <v>1379</v>
      </c>
      <c r="AA354" s="321"/>
      <c r="AB354" s="321"/>
      <c r="AC354" s="24" t="s">
        <v>1608</v>
      </c>
      <c r="AH354" s="24" t="s">
        <v>1530</v>
      </c>
      <c r="AI354" s="138" t="s">
        <v>577</v>
      </c>
      <c r="AJ354" s="24" t="s">
        <v>366</v>
      </c>
      <c r="AK354" s="140" t="s">
        <v>229</v>
      </c>
      <c r="AT354" s="24" t="s">
        <v>359</v>
      </c>
      <c r="AU354" s="24" t="s">
        <v>359</v>
      </c>
      <c r="AV354" s="24" t="s">
        <v>177</v>
      </c>
      <c r="AW354" s="24" t="s">
        <v>160</v>
      </c>
      <c r="AX354" s="24">
        <v>4</v>
      </c>
      <c r="AZ354" s="24" t="s">
        <v>141</v>
      </c>
      <c r="BD354" s="53"/>
      <c r="BP354" s="395"/>
      <c r="BQ354" s="395"/>
      <c r="BU354" s="395"/>
      <c r="BV354" s="395"/>
      <c r="BZ354" s="395"/>
      <c r="CA354" s="395"/>
      <c r="CE354" s="548"/>
      <c r="CF354" s="548"/>
      <c r="CG354" s="548"/>
      <c r="CH354" s="548"/>
      <c r="GF354" s="24">
        <v>2.19</v>
      </c>
      <c r="GG354" s="24">
        <v>1.23</v>
      </c>
      <c r="GJ354" s="24" t="s">
        <v>364</v>
      </c>
      <c r="GZ354" s="12"/>
      <c r="HD354" s="12"/>
      <c r="JB354" s="24" t="s">
        <v>365</v>
      </c>
      <c r="JC354" s="24" t="s">
        <v>711</v>
      </c>
    </row>
    <row r="355" spans="1:264" s="24" customFormat="1" x14ac:dyDescent="0.25">
      <c r="A355" s="24">
        <v>21</v>
      </c>
      <c r="B355" s="42" t="s">
        <v>3854</v>
      </c>
      <c r="C355" s="24" t="s">
        <v>356</v>
      </c>
      <c r="D355" s="24" t="s">
        <v>357</v>
      </c>
      <c r="E355" s="24">
        <v>2013</v>
      </c>
      <c r="F355" s="24">
        <v>2010</v>
      </c>
      <c r="G355" s="24" t="s">
        <v>358</v>
      </c>
      <c r="H355" s="24" t="s">
        <v>360</v>
      </c>
      <c r="I355" s="32" t="s">
        <v>2815</v>
      </c>
      <c r="J355" s="24">
        <v>38.82</v>
      </c>
      <c r="K355" s="24">
        <v>-76.75</v>
      </c>
      <c r="L355" s="24">
        <v>5.5</v>
      </c>
      <c r="R355" s="42">
        <v>2</v>
      </c>
      <c r="S355" s="42" t="s">
        <v>1728</v>
      </c>
      <c r="T355" s="42"/>
      <c r="U355" s="42" t="s">
        <v>1874</v>
      </c>
      <c r="V355" s="42" t="s">
        <v>1379</v>
      </c>
      <c r="W355" s="42" t="s">
        <v>1715</v>
      </c>
      <c r="X355" s="42" t="s">
        <v>1379</v>
      </c>
      <c r="Y355" s="42" t="s">
        <v>1379</v>
      </c>
      <c r="AA355" s="321"/>
      <c r="AB355" s="321"/>
      <c r="AC355" s="24" t="s">
        <v>1608</v>
      </c>
      <c r="AH355" s="24" t="s">
        <v>1530</v>
      </c>
      <c r="AI355" s="138" t="s">
        <v>577</v>
      </c>
      <c r="AJ355" s="24" t="s">
        <v>366</v>
      </c>
      <c r="AK355" s="140" t="s">
        <v>229</v>
      </c>
      <c r="AT355" s="24" t="s">
        <v>359</v>
      </c>
      <c r="AU355" s="24" t="s">
        <v>359</v>
      </c>
      <c r="AV355" s="24" t="s">
        <v>177</v>
      </c>
      <c r="AW355" s="24" t="s">
        <v>160</v>
      </c>
      <c r="AX355" s="24">
        <v>4</v>
      </c>
      <c r="AZ355" s="24" t="s">
        <v>141</v>
      </c>
      <c r="BD355" s="53"/>
      <c r="BP355" s="395"/>
      <c r="BQ355" s="395"/>
      <c r="BU355" s="395"/>
      <c r="BV355" s="395"/>
      <c r="BZ355" s="395"/>
      <c r="CA355" s="395"/>
      <c r="CE355" s="548"/>
      <c r="CF355" s="548"/>
      <c r="CG355" s="548"/>
      <c r="CH355" s="548"/>
      <c r="GF355" s="24">
        <v>0.96</v>
      </c>
      <c r="GG355" s="24">
        <v>0.09</v>
      </c>
      <c r="GJ355" s="24" t="s">
        <v>364</v>
      </c>
      <c r="GZ355" s="12"/>
      <c r="HD355" s="12"/>
      <c r="JB355" s="24" t="s">
        <v>365</v>
      </c>
      <c r="JC355" s="24" t="s">
        <v>711</v>
      </c>
    </row>
    <row r="356" spans="1:264" s="35" customFormat="1" x14ac:dyDescent="0.25">
      <c r="A356" s="35">
        <v>21</v>
      </c>
      <c r="B356" s="49" t="s">
        <v>3854</v>
      </c>
      <c r="C356" s="35" t="s">
        <v>356</v>
      </c>
      <c r="D356" s="35" t="s">
        <v>357</v>
      </c>
      <c r="E356" s="35">
        <v>2013</v>
      </c>
      <c r="F356" s="35">
        <v>2011</v>
      </c>
      <c r="G356" s="35" t="s">
        <v>358</v>
      </c>
      <c r="H356" s="35" t="s">
        <v>360</v>
      </c>
      <c r="I356" s="32" t="s">
        <v>2815</v>
      </c>
      <c r="J356" s="35">
        <v>38.82</v>
      </c>
      <c r="K356" s="35">
        <v>-76.75</v>
      </c>
      <c r="L356" s="35">
        <v>5.5</v>
      </c>
      <c r="R356" s="49">
        <v>3</v>
      </c>
      <c r="S356" s="49" t="s">
        <v>1728</v>
      </c>
      <c r="T356" s="49"/>
      <c r="U356" s="49" t="s">
        <v>1869</v>
      </c>
      <c r="V356" s="49" t="s">
        <v>1379</v>
      </c>
      <c r="W356" s="49" t="s">
        <v>1715</v>
      </c>
      <c r="X356" s="49" t="s">
        <v>1379</v>
      </c>
      <c r="Y356" s="49" t="s">
        <v>1379</v>
      </c>
      <c r="AA356" s="329"/>
      <c r="AB356" s="329"/>
      <c r="AC356" s="35" t="s">
        <v>1608</v>
      </c>
      <c r="AH356" s="35" t="s">
        <v>1530</v>
      </c>
      <c r="AI356" s="138" t="s">
        <v>577</v>
      </c>
      <c r="AJ356" s="35" t="s">
        <v>366</v>
      </c>
      <c r="AK356" s="140" t="s">
        <v>229</v>
      </c>
      <c r="AT356" s="35" t="s">
        <v>359</v>
      </c>
      <c r="AU356" s="35" t="s">
        <v>359</v>
      </c>
      <c r="AV356" s="35" t="s">
        <v>177</v>
      </c>
      <c r="AW356" s="35" t="s">
        <v>160</v>
      </c>
      <c r="AX356" s="35">
        <v>4</v>
      </c>
      <c r="AZ356" s="35" t="s">
        <v>141</v>
      </c>
      <c r="BD356" s="53"/>
      <c r="BP356" s="405"/>
      <c r="BQ356" s="405"/>
      <c r="BU356" s="405"/>
      <c r="BV356" s="405"/>
      <c r="BZ356" s="405"/>
      <c r="CA356" s="405"/>
      <c r="CE356" s="558"/>
      <c r="CF356" s="558"/>
      <c r="CG356" s="558"/>
      <c r="CH356" s="558"/>
      <c r="GF356" s="35">
        <v>0.05</v>
      </c>
      <c r="GG356" s="35">
        <v>0.05</v>
      </c>
      <c r="GJ356" s="35" t="s">
        <v>364</v>
      </c>
      <c r="GZ356" s="12"/>
      <c r="HD356" s="12"/>
      <c r="JB356" s="35" t="s">
        <v>365</v>
      </c>
      <c r="JC356" s="35" t="s">
        <v>711</v>
      </c>
    </row>
    <row r="357" spans="1:264" s="35" customFormat="1" x14ac:dyDescent="0.25">
      <c r="A357" s="35">
        <v>21</v>
      </c>
      <c r="B357" s="49" t="s">
        <v>3854</v>
      </c>
      <c r="C357" s="35" t="s">
        <v>356</v>
      </c>
      <c r="D357" s="35" t="s">
        <v>357</v>
      </c>
      <c r="E357" s="35">
        <v>2013</v>
      </c>
      <c r="F357" s="35">
        <v>2011</v>
      </c>
      <c r="G357" s="35" t="s">
        <v>358</v>
      </c>
      <c r="H357" s="35" t="s">
        <v>360</v>
      </c>
      <c r="I357" s="32" t="s">
        <v>2815</v>
      </c>
      <c r="J357" s="35">
        <v>38.82</v>
      </c>
      <c r="K357" s="35">
        <v>-76.75</v>
      </c>
      <c r="L357" s="35">
        <v>5.5</v>
      </c>
      <c r="R357" s="49">
        <v>3</v>
      </c>
      <c r="S357" s="49" t="s">
        <v>1728</v>
      </c>
      <c r="T357" s="49"/>
      <c r="U357" s="49" t="s">
        <v>1870</v>
      </c>
      <c r="V357" s="49" t="s">
        <v>1379</v>
      </c>
      <c r="W357" s="49" t="s">
        <v>1715</v>
      </c>
      <c r="X357" s="49" t="s">
        <v>1379</v>
      </c>
      <c r="Y357" s="49" t="s">
        <v>1379</v>
      </c>
      <c r="AA357" s="329"/>
      <c r="AB357" s="329"/>
      <c r="AC357" s="35" t="s">
        <v>1608</v>
      </c>
      <c r="AH357" s="35" t="s">
        <v>1530</v>
      </c>
      <c r="AI357" s="138" t="s">
        <v>577</v>
      </c>
      <c r="AJ357" s="35" t="s">
        <v>366</v>
      </c>
      <c r="AK357" s="140" t="s">
        <v>229</v>
      </c>
      <c r="AT357" s="35" t="s">
        <v>359</v>
      </c>
      <c r="AU357" s="35" t="s">
        <v>359</v>
      </c>
      <c r="AV357" s="35" t="s">
        <v>177</v>
      </c>
      <c r="AW357" s="35" t="s">
        <v>160</v>
      </c>
      <c r="AX357" s="35">
        <v>4</v>
      </c>
      <c r="AZ357" s="35" t="s">
        <v>141</v>
      </c>
      <c r="BD357" s="53"/>
      <c r="BP357" s="405"/>
      <c r="BQ357" s="405"/>
      <c r="BU357" s="405"/>
      <c r="BV357" s="405"/>
      <c r="BZ357" s="405"/>
      <c r="CA357" s="405"/>
      <c r="CE357" s="558"/>
      <c r="CF357" s="558"/>
      <c r="CG357" s="558"/>
      <c r="CH357" s="558"/>
      <c r="GF357" s="35">
        <v>0.09</v>
      </c>
      <c r="GG357" s="35">
        <v>0.09</v>
      </c>
      <c r="GJ357" s="35" t="s">
        <v>364</v>
      </c>
      <c r="GZ357" s="12"/>
      <c r="HD357" s="12"/>
      <c r="JB357" s="35" t="s">
        <v>365</v>
      </c>
      <c r="JC357" s="35" t="s">
        <v>711</v>
      </c>
    </row>
    <row r="358" spans="1:264" s="35" customFormat="1" x14ac:dyDescent="0.25">
      <c r="A358" s="35">
        <v>21</v>
      </c>
      <c r="B358" s="49" t="s">
        <v>3854</v>
      </c>
      <c r="C358" s="35" t="s">
        <v>356</v>
      </c>
      <c r="D358" s="35" t="s">
        <v>357</v>
      </c>
      <c r="E358" s="35">
        <v>2013</v>
      </c>
      <c r="F358" s="35">
        <v>2011</v>
      </c>
      <c r="G358" s="35" t="s">
        <v>358</v>
      </c>
      <c r="H358" s="35" t="s">
        <v>360</v>
      </c>
      <c r="I358" s="32" t="s">
        <v>2815</v>
      </c>
      <c r="J358" s="35">
        <v>38.82</v>
      </c>
      <c r="K358" s="35">
        <v>-76.75</v>
      </c>
      <c r="L358" s="35">
        <v>5.5</v>
      </c>
      <c r="R358" s="49">
        <v>3</v>
      </c>
      <c r="S358" s="49" t="s">
        <v>1728</v>
      </c>
      <c r="T358" s="49"/>
      <c r="U358" s="49" t="s">
        <v>1871</v>
      </c>
      <c r="V358" s="49" t="s">
        <v>1379</v>
      </c>
      <c r="W358" s="49" t="s">
        <v>1715</v>
      </c>
      <c r="X358" s="49" t="s">
        <v>1379</v>
      </c>
      <c r="Y358" s="49" t="s">
        <v>1379</v>
      </c>
      <c r="AA358" s="329"/>
      <c r="AB358" s="329"/>
      <c r="AC358" s="35" t="s">
        <v>1608</v>
      </c>
      <c r="AH358" s="35" t="s">
        <v>1530</v>
      </c>
      <c r="AI358" s="138" t="s">
        <v>577</v>
      </c>
      <c r="AJ358" s="35" t="s">
        <v>366</v>
      </c>
      <c r="AK358" s="140" t="s">
        <v>229</v>
      </c>
      <c r="AT358" s="35" t="s">
        <v>359</v>
      </c>
      <c r="AU358" s="35" t="s">
        <v>359</v>
      </c>
      <c r="AV358" s="35" t="s">
        <v>177</v>
      </c>
      <c r="AW358" s="35" t="s">
        <v>160</v>
      </c>
      <c r="AX358" s="35">
        <v>4</v>
      </c>
      <c r="AZ358" s="35" t="s">
        <v>141</v>
      </c>
      <c r="BD358" s="53"/>
      <c r="BP358" s="405"/>
      <c r="BQ358" s="405"/>
      <c r="BU358" s="405"/>
      <c r="BV358" s="405"/>
      <c r="BZ358" s="405"/>
      <c r="CA358" s="405"/>
      <c r="CE358" s="558"/>
      <c r="CF358" s="558"/>
      <c r="CG358" s="558"/>
      <c r="CH358" s="558"/>
      <c r="GF358" s="35">
        <v>0.56000000000000005</v>
      </c>
      <c r="GG358" s="35">
        <v>0.37</v>
      </c>
      <c r="GJ358" s="35" t="s">
        <v>364</v>
      </c>
      <c r="GZ358" s="12"/>
      <c r="HD358" s="12"/>
      <c r="JB358" s="35" t="s">
        <v>365</v>
      </c>
      <c r="JC358" s="35" t="s">
        <v>711</v>
      </c>
    </row>
    <row r="359" spans="1:264" s="35" customFormat="1" x14ac:dyDescent="0.25">
      <c r="A359" s="35">
        <v>21</v>
      </c>
      <c r="B359" s="49" t="s">
        <v>3854</v>
      </c>
      <c r="C359" s="35" t="s">
        <v>356</v>
      </c>
      <c r="D359" s="35" t="s">
        <v>357</v>
      </c>
      <c r="E359" s="35">
        <v>2013</v>
      </c>
      <c r="F359" s="35">
        <v>2011</v>
      </c>
      <c r="G359" s="35" t="s">
        <v>358</v>
      </c>
      <c r="H359" s="35" t="s">
        <v>360</v>
      </c>
      <c r="I359" s="32" t="s">
        <v>2815</v>
      </c>
      <c r="J359" s="35">
        <v>38.82</v>
      </c>
      <c r="K359" s="35">
        <v>-76.75</v>
      </c>
      <c r="L359" s="35">
        <v>5.5</v>
      </c>
      <c r="R359" s="49">
        <v>3</v>
      </c>
      <c r="S359" s="49" t="s">
        <v>1728</v>
      </c>
      <c r="T359" s="49"/>
      <c r="U359" s="49" t="s">
        <v>1872</v>
      </c>
      <c r="V359" s="49" t="s">
        <v>1379</v>
      </c>
      <c r="W359" s="49" t="s">
        <v>1715</v>
      </c>
      <c r="X359" s="49" t="s">
        <v>1379</v>
      </c>
      <c r="Y359" s="49" t="s">
        <v>1379</v>
      </c>
      <c r="AA359" s="329"/>
      <c r="AB359" s="329"/>
      <c r="AC359" s="35" t="s">
        <v>1608</v>
      </c>
      <c r="AH359" s="35" t="s">
        <v>1530</v>
      </c>
      <c r="AI359" s="138" t="s">
        <v>577</v>
      </c>
      <c r="AJ359" s="35" t="s">
        <v>366</v>
      </c>
      <c r="AK359" s="140" t="s">
        <v>229</v>
      </c>
      <c r="AT359" s="35" t="s">
        <v>359</v>
      </c>
      <c r="AU359" s="35" t="s">
        <v>359</v>
      </c>
      <c r="AV359" s="35" t="s">
        <v>177</v>
      </c>
      <c r="AW359" s="35" t="s">
        <v>160</v>
      </c>
      <c r="AX359" s="35">
        <v>4</v>
      </c>
      <c r="AZ359" s="35" t="s">
        <v>141</v>
      </c>
      <c r="BD359" s="53"/>
      <c r="BP359" s="405"/>
      <c r="BQ359" s="405"/>
      <c r="BU359" s="405"/>
      <c r="BV359" s="405"/>
      <c r="BZ359" s="405"/>
      <c r="CA359" s="405"/>
      <c r="CE359" s="558"/>
      <c r="CF359" s="558"/>
      <c r="CG359" s="558"/>
      <c r="CH359" s="558"/>
      <c r="GF359" s="35">
        <v>3.43</v>
      </c>
      <c r="GG359" s="35">
        <v>6.48</v>
      </c>
      <c r="GJ359" s="35" t="s">
        <v>364</v>
      </c>
      <c r="GZ359" s="12"/>
      <c r="HD359" s="12"/>
      <c r="JB359" s="35" t="s">
        <v>365</v>
      </c>
      <c r="JC359" s="35" t="s">
        <v>711</v>
      </c>
    </row>
    <row r="360" spans="1:264" s="35" customFormat="1" x14ac:dyDescent="0.25">
      <c r="A360" s="35">
        <v>21</v>
      </c>
      <c r="B360" s="49" t="s">
        <v>3854</v>
      </c>
      <c r="C360" s="35" t="s">
        <v>356</v>
      </c>
      <c r="D360" s="35" t="s">
        <v>357</v>
      </c>
      <c r="E360" s="35">
        <v>2013</v>
      </c>
      <c r="F360" s="35">
        <v>2011</v>
      </c>
      <c r="G360" s="35" t="s">
        <v>358</v>
      </c>
      <c r="H360" s="35" t="s">
        <v>360</v>
      </c>
      <c r="I360" s="32" t="s">
        <v>2815</v>
      </c>
      <c r="J360" s="35">
        <v>38.82</v>
      </c>
      <c r="K360" s="35">
        <v>-76.75</v>
      </c>
      <c r="L360" s="35">
        <v>5.5</v>
      </c>
      <c r="R360" s="49">
        <v>3</v>
      </c>
      <c r="S360" s="49" t="s">
        <v>1728</v>
      </c>
      <c r="T360" s="49"/>
      <c r="U360" s="49" t="s">
        <v>1873</v>
      </c>
      <c r="V360" s="49" t="s">
        <v>1379</v>
      </c>
      <c r="W360" s="49" t="s">
        <v>1715</v>
      </c>
      <c r="X360" s="49" t="s">
        <v>1379</v>
      </c>
      <c r="Y360" s="49" t="s">
        <v>1379</v>
      </c>
      <c r="AA360" s="329"/>
      <c r="AB360" s="329"/>
      <c r="AC360" s="35" t="s">
        <v>1608</v>
      </c>
      <c r="AH360" s="35" t="s">
        <v>1530</v>
      </c>
      <c r="AI360" s="138" t="s">
        <v>577</v>
      </c>
      <c r="AJ360" s="35" t="s">
        <v>366</v>
      </c>
      <c r="AK360" s="140" t="s">
        <v>229</v>
      </c>
      <c r="AT360" s="35" t="s">
        <v>359</v>
      </c>
      <c r="AU360" s="35" t="s">
        <v>359</v>
      </c>
      <c r="AV360" s="35" t="s">
        <v>177</v>
      </c>
      <c r="AW360" s="35" t="s">
        <v>160</v>
      </c>
      <c r="AX360" s="35">
        <v>4</v>
      </c>
      <c r="AZ360" s="35" t="s">
        <v>141</v>
      </c>
      <c r="BD360" s="53"/>
      <c r="BP360" s="405"/>
      <c r="BQ360" s="405"/>
      <c r="BU360" s="405"/>
      <c r="BV360" s="405"/>
      <c r="BZ360" s="405"/>
      <c r="CA360" s="405"/>
      <c r="CE360" s="558"/>
      <c r="CF360" s="558"/>
      <c r="CG360" s="558"/>
      <c r="CH360" s="558"/>
      <c r="GF360" s="35">
        <v>6.02</v>
      </c>
      <c r="GG360" s="35">
        <v>7.96</v>
      </c>
      <c r="GJ360" s="35" t="s">
        <v>364</v>
      </c>
      <c r="GZ360" s="12"/>
      <c r="HD360" s="12"/>
      <c r="JB360" s="35" t="s">
        <v>365</v>
      </c>
      <c r="JC360" s="35" t="s">
        <v>711</v>
      </c>
    </row>
    <row r="361" spans="1:264" x14ac:dyDescent="0.25">
      <c r="A361" s="37">
        <v>22</v>
      </c>
      <c r="B361" s="50" t="s">
        <v>3855</v>
      </c>
      <c r="C361" s="37" t="s">
        <v>356</v>
      </c>
      <c r="D361" s="37" t="s">
        <v>357</v>
      </c>
      <c r="E361" s="37">
        <v>2013</v>
      </c>
      <c r="F361" s="37">
        <v>2009</v>
      </c>
      <c r="G361" s="37" t="s">
        <v>373</v>
      </c>
      <c r="H361" s="37" t="s">
        <v>360</v>
      </c>
      <c r="I361" s="32" t="s">
        <v>2815</v>
      </c>
      <c r="J361" s="37">
        <v>38.82</v>
      </c>
      <c r="K361" s="37">
        <v>-76.75</v>
      </c>
      <c r="L361" s="37">
        <v>5.5</v>
      </c>
      <c r="R361" s="50">
        <v>1</v>
      </c>
      <c r="S361" s="50" t="s">
        <v>1728</v>
      </c>
      <c r="U361" s="50" t="s">
        <v>1875</v>
      </c>
      <c r="V361" s="50" t="s">
        <v>1379</v>
      </c>
      <c r="W361" s="49" t="s">
        <v>1715</v>
      </c>
      <c r="X361" s="50" t="s">
        <v>1379</v>
      </c>
      <c r="Y361" s="50" t="s">
        <v>1379</v>
      </c>
      <c r="AC361" s="35" t="s">
        <v>1608</v>
      </c>
      <c r="AH361" s="37" t="s">
        <v>1530</v>
      </c>
      <c r="AI361" s="138" t="s">
        <v>577</v>
      </c>
      <c r="AJ361" s="37" t="s">
        <v>366</v>
      </c>
      <c r="AK361" s="142" t="s">
        <v>229</v>
      </c>
      <c r="AT361" s="37" t="s">
        <v>359</v>
      </c>
      <c r="AU361" s="37" t="s">
        <v>359</v>
      </c>
      <c r="AV361" s="37" t="s">
        <v>177</v>
      </c>
      <c r="AW361" s="37" t="s">
        <v>160</v>
      </c>
      <c r="AX361" s="37">
        <v>4</v>
      </c>
      <c r="AZ361" s="37" t="s">
        <v>141</v>
      </c>
      <c r="BD361" s="55"/>
      <c r="CE361" s="559"/>
      <c r="CF361" s="559"/>
      <c r="CG361" s="556"/>
      <c r="CH361" s="556"/>
      <c r="GK361" s="37">
        <v>53</v>
      </c>
      <c r="GL361" s="37">
        <v>41</v>
      </c>
      <c r="GO361" s="37" t="s">
        <v>369</v>
      </c>
      <c r="JB361" s="37" t="s">
        <v>370</v>
      </c>
      <c r="JD361" s="37"/>
    </row>
    <row r="362" spans="1:264" x14ac:dyDescent="0.25">
      <c r="A362" s="37">
        <v>22</v>
      </c>
      <c r="B362" s="50" t="s">
        <v>3856</v>
      </c>
      <c r="C362" s="37" t="s">
        <v>356</v>
      </c>
      <c r="D362" s="37" t="s">
        <v>357</v>
      </c>
      <c r="E362" s="37">
        <v>2013</v>
      </c>
      <c r="F362" s="37">
        <v>2010</v>
      </c>
      <c r="G362" s="37" t="s">
        <v>373</v>
      </c>
      <c r="H362" s="37" t="s">
        <v>360</v>
      </c>
      <c r="I362" s="32" t="s">
        <v>2815</v>
      </c>
      <c r="J362" s="37">
        <v>38.82</v>
      </c>
      <c r="K362" s="37">
        <v>-76.75</v>
      </c>
      <c r="L362" s="37">
        <v>5.5</v>
      </c>
      <c r="R362" s="50">
        <v>2</v>
      </c>
      <c r="S362" s="50" t="s">
        <v>1728</v>
      </c>
      <c r="U362" s="50" t="s">
        <v>1876</v>
      </c>
      <c r="V362" s="50" t="s">
        <v>1379</v>
      </c>
      <c r="W362" s="49" t="s">
        <v>1715</v>
      </c>
      <c r="X362" s="50" t="s">
        <v>1379</v>
      </c>
      <c r="Y362" s="50" t="s">
        <v>1379</v>
      </c>
      <c r="AC362" s="35" t="s">
        <v>1608</v>
      </c>
      <c r="AH362" s="37" t="s">
        <v>1530</v>
      </c>
      <c r="AI362" s="138" t="s">
        <v>577</v>
      </c>
      <c r="AJ362" s="37" t="s">
        <v>366</v>
      </c>
      <c r="AK362" s="142" t="s">
        <v>229</v>
      </c>
      <c r="AT362" s="37" t="s">
        <v>367</v>
      </c>
      <c r="AU362" s="37" t="s">
        <v>367</v>
      </c>
      <c r="AV362" s="37" t="s">
        <v>177</v>
      </c>
      <c r="AW362" s="37" t="s">
        <v>160</v>
      </c>
      <c r="AX362" s="37">
        <v>4</v>
      </c>
      <c r="AZ362" s="37" t="s">
        <v>141</v>
      </c>
      <c r="BD362" s="55"/>
      <c r="CE362" s="559"/>
      <c r="CF362" s="559"/>
      <c r="CG362" s="556"/>
      <c r="CH362" s="556"/>
      <c r="GK362" s="37">
        <v>43.2</v>
      </c>
      <c r="GL362" s="37">
        <v>47.9</v>
      </c>
      <c r="GO362" s="37" t="s">
        <v>369</v>
      </c>
      <c r="JB362" s="37" t="s">
        <v>370</v>
      </c>
      <c r="JD362" s="37"/>
    </row>
    <row r="363" spans="1:264" x14ac:dyDescent="0.25">
      <c r="A363" s="37">
        <v>22</v>
      </c>
      <c r="B363" s="50" t="s">
        <v>3857</v>
      </c>
      <c r="C363" s="37" t="s">
        <v>356</v>
      </c>
      <c r="D363" s="37" t="s">
        <v>357</v>
      </c>
      <c r="E363" s="37">
        <v>2013</v>
      </c>
      <c r="F363" s="37">
        <v>2010</v>
      </c>
      <c r="G363" s="37" t="s">
        <v>373</v>
      </c>
      <c r="H363" s="37" t="s">
        <v>360</v>
      </c>
      <c r="I363" s="32" t="s">
        <v>2815</v>
      </c>
      <c r="J363" s="37">
        <v>38.82</v>
      </c>
      <c r="K363" s="37">
        <v>-76.75</v>
      </c>
      <c r="L363" s="37">
        <v>5.5</v>
      </c>
      <c r="R363" s="50">
        <v>2</v>
      </c>
      <c r="S363" s="50" t="s">
        <v>1728</v>
      </c>
      <c r="U363" s="50" t="s">
        <v>1876</v>
      </c>
      <c r="V363" s="50" t="s">
        <v>1379</v>
      </c>
      <c r="W363" s="49" t="s">
        <v>1715</v>
      </c>
      <c r="X363" s="50" t="s">
        <v>1379</v>
      </c>
      <c r="Y363" s="50" t="s">
        <v>1379</v>
      </c>
      <c r="AC363" s="35" t="s">
        <v>1608</v>
      </c>
      <c r="AH363" s="37" t="s">
        <v>1530</v>
      </c>
      <c r="AI363" s="138" t="s">
        <v>577</v>
      </c>
      <c r="AJ363" s="37" t="s">
        <v>366</v>
      </c>
      <c r="AK363" s="142" t="s">
        <v>229</v>
      </c>
      <c r="AT363" s="37" t="s">
        <v>368</v>
      </c>
      <c r="AU363" s="37" t="s">
        <v>368</v>
      </c>
      <c r="AV363" s="37" t="s">
        <v>177</v>
      </c>
      <c r="AW363" s="37" t="s">
        <v>160</v>
      </c>
      <c r="AX363" s="37">
        <v>4</v>
      </c>
      <c r="AZ363" s="37" t="s">
        <v>141</v>
      </c>
      <c r="BD363" s="55"/>
      <c r="CE363" s="559"/>
      <c r="CF363" s="559"/>
      <c r="CG363" s="556"/>
      <c r="CH363" s="556"/>
      <c r="GK363" s="37">
        <v>43</v>
      </c>
      <c r="GL363" s="37">
        <v>44.8</v>
      </c>
      <c r="GO363" s="37" t="s">
        <v>369</v>
      </c>
      <c r="JB363" s="37" t="s">
        <v>370</v>
      </c>
      <c r="JD363" s="37"/>
    </row>
    <row r="364" spans="1:264" s="36" customFormat="1" x14ac:dyDescent="0.25">
      <c r="A364" s="36">
        <v>22</v>
      </c>
      <c r="B364" s="51" t="s">
        <v>3856</v>
      </c>
      <c r="C364" s="36" t="s">
        <v>356</v>
      </c>
      <c r="D364" s="36" t="s">
        <v>357</v>
      </c>
      <c r="E364" s="36">
        <v>2013</v>
      </c>
      <c r="F364" s="36">
        <v>2011</v>
      </c>
      <c r="G364" s="36" t="s">
        <v>373</v>
      </c>
      <c r="H364" s="36" t="s">
        <v>360</v>
      </c>
      <c r="I364" s="32" t="s">
        <v>2815</v>
      </c>
      <c r="J364" s="36">
        <v>38.82</v>
      </c>
      <c r="K364" s="36">
        <v>-76.75</v>
      </c>
      <c r="L364" s="36">
        <v>5.5</v>
      </c>
      <c r="R364" s="51">
        <v>3</v>
      </c>
      <c r="S364" s="51" t="s">
        <v>1728</v>
      </c>
      <c r="T364" s="51"/>
      <c r="U364" s="51" t="s">
        <v>1876</v>
      </c>
      <c r="V364" s="51" t="s">
        <v>1379</v>
      </c>
      <c r="W364" s="51" t="s">
        <v>1715</v>
      </c>
      <c r="X364" s="51" t="s">
        <v>1379</v>
      </c>
      <c r="Y364" s="51" t="s">
        <v>1379</v>
      </c>
      <c r="AA364" s="331"/>
      <c r="AB364" s="331"/>
      <c r="AC364" s="36" t="s">
        <v>1608</v>
      </c>
      <c r="AH364" s="36" t="s">
        <v>1530</v>
      </c>
      <c r="AI364" s="138" t="s">
        <v>577</v>
      </c>
      <c r="AJ364" s="36" t="s">
        <v>366</v>
      </c>
      <c r="AK364" s="142" t="s">
        <v>229</v>
      </c>
      <c r="AT364" s="36" t="s">
        <v>367</v>
      </c>
      <c r="AU364" s="36" t="s">
        <v>367</v>
      </c>
      <c r="AV364" s="36" t="s">
        <v>177</v>
      </c>
      <c r="AW364" s="36" t="s">
        <v>160</v>
      </c>
      <c r="AX364" s="36">
        <v>4</v>
      </c>
      <c r="AZ364" s="36" t="s">
        <v>141</v>
      </c>
      <c r="BD364" s="55"/>
      <c r="BP364" s="407"/>
      <c r="BQ364" s="407"/>
      <c r="BU364" s="407"/>
      <c r="BV364" s="407"/>
      <c r="BZ364" s="407"/>
      <c r="CA364" s="407"/>
      <c r="CE364" s="560"/>
      <c r="CF364" s="560"/>
      <c r="CG364" s="560"/>
      <c r="CH364" s="560"/>
      <c r="GK364" s="36">
        <v>65.7</v>
      </c>
      <c r="GL364" s="36">
        <v>62.5</v>
      </c>
      <c r="GO364" s="36" t="s">
        <v>369</v>
      </c>
      <c r="JB364" s="36" t="s">
        <v>370</v>
      </c>
    </row>
    <row r="365" spans="1:264" s="36" customFormat="1" x14ac:dyDescent="0.25">
      <c r="A365" s="36">
        <v>22</v>
      </c>
      <c r="B365" s="51" t="s">
        <v>3857</v>
      </c>
      <c r="C365" s="36" t="s">
        <v>356</v>
      </c>
      <c r="D365" s="36" t="s">
        <v>357</v>
      </c>
      <c r="E365" s="36">
        <v>2013</v>
      </c>
      <c r="F365" s="36">
        <v>2011</v>
      </c>
      <c r="G365" s="36" t="s">
        <v>373</v>
      </c>
      <c r="H365" s="36" t="s">
        <v>360</v>
      </c>
      <c r="I365" s="32" t="s">
        <v>2815</v>
      </c>
      <c r="J365" s="36">
        <v>38.82</v>
      </c>
      <c r="K365" s="36">
        <v>-76.75</v>
      </c>
      <c r="L365" s="36">
        <v>5.5</v>
      </c>
      <c r="R365" s="51">
        <v>3</v>
      </c>
      <c r="S365" s="51" t="s">
        <v>1728</v>
      </c>
      <c r="T365" s="51"/>
      <c r="U365" s="51" t="s">
        <v>1876</v>
      </c>
      <c r="V365" s="51" t="s">
        <v>1379</v>
      </c>
      <c r="W365" s="51" t="s">
        <v>1715</v>
      </c>
      <c r="X365" s="51" t="s">
        <v>1379</v>
      </c>
      <c r="Y365" s="51" t="s">
        <v>1379</v>
      </c>
      <c r="AA365" s="331"/>
      <c r="AB365" s="331"/>
      <c r="AC365" s="36" t="s">
        <v>1608</v>
      </c>
      <c r="AH365" s="36" t="s">
        <v>1530</v>
      </c>
      <c r="AI365" s="138" t="s">
        <v>577</v>
      </c>
      <c r="AJ365" s="36" t="s">
        <v>366</v>
      </c>
      <c r="AK365" s="142" t="s">
        <v>229</v>
      </c>
      <c r="AT365" s="36" t="s">
        <v>368</v>
      </c>
      <c r="AU365" s="36" t="s">
        <v>368</v>
      </c>
      <c r="AV365" s="36" t="s">
        <v>177</v>
      </c>
      <c r="AW365" s="36" t="s">
        <v>160</v>
      </c>
      <c r="AX365" s="36">
        <v>4</v>
      </c>
      <c r="AZ365" s="36" t="s">
        <v>141</v>
      </c>
      <c r="BD365" s="55"/>
      <c r="BP365" s="407"/>
      <c r="BQ365" s="407"/>
      <c r="BU365" s="407"/>
      <c r="BV365" s="407"/>
      <c r="BZ365" s="407"/>
      <c r="CA365" s="407"/>
      <c r="CE365" s="560"/>
      <c r="CF365" s="560"/>
      <c r="CG365" s="560"/>
      <c r="CH365" s="560"/>
      <c r="GK365" s="36">
        <v>62</v>
      </c>
      <c r="GL365" s="36">
        <v>69</v>
      </c>
      <c r="GO365" s="36" t="s">
        <v>369</v>
      </c>
      <c r="JB365" s="36" t="s">
        <v>370</v>
      </c>
    </row>
    <row r="366" spans="1:264" s="36" customFormat="1" x14ac:dyDescent="0.25">
      <c r="A366" s="36">
        <v>22</v>
      </c>
      <c r="B366" s="51" t="s">
        <v>3856</v>
      </c>
      <c r="C366" s="36" t="s">
        <v>356</v>
      </c>
      <c r="D366" s="36" t="s">
        <v>357</v>
      </c>
      <c r="E366" s="36">
        <v>2013</v>
      </c>
      <c r="F366" s="36">
        <v>2011</v>
      </c>
      <c r="G366" s="36" t="s">
        <v>373</v>
      </c>
      <c r="H366" s="36" t="s">
        <v>360</v>
      </c>
      <c r="I366" s="32" t="s">
        <v>2815</v>
      </c>
      <c r="J366" s="36">
        <v>38.82</v>
      </c>
      <c r="K366" s="36">
        <v>-76.75</v>
      </c>
      <c r="L366" s="36">
        <v>5.5</v>
      </c>
      <c r="R366" s="51">
        <v>3</v>
      </c>
      <c r="S366" s="51" t="s">
        <v>1728</v>
      </c>
      <c r="T366" s="51"/>
      <c r="U366" s="51" t="s">
        <v>1877</v>
      </c>
      <c r="V366" s="51" t="s">
        <v>1379</v>
      </c>
      <c r="W366" s="51" t="s">
        <v>1715</v>
      </c>
      <c r="X366" s="51" t="s">
        <v>1379</v>
      </c>
      <c r="Y366" s="51" t="s">
        <v>1379</v>
      </c>
      <c r="AA366" s="331"/>
      <c r="AB366" s="331"/>
      <c r="AC366" s="36" t="s">
        <v>1608</v>
      </c>
      <c r="AH366" s="36" t="s">
        <v>1530</v>
      </c>
      <c r="AI366" s="138" t="s">
        <v>577</v>
      </c>
      <c r="AJ366" s="36" t="s">
        <v>366</v>
      </c>
      <c r="AK366" s="142" t="s">
        <v>229</v>
      </c>
      <c r="AT366" s="36" t="s">
        <v>367</v>
      </c>
      <c r="AU366" s="36" t="s">
        <v>367</v>
      </c>
      <c r="AV366" s="36" t="s">
        <v>177</v>
      </c>
      <c r="AW366" s="36" t="s">
        <v>160</v>
      </c>
      <c r="AX366" s="36">
        <v>4</v>
      </c>
      <c r="AZ366" s="36" t="s">
        <v>141</v>
      </c>
      <c r="BD366" s="55"/>
      <c r="BP366" s="407"/>
      <c r="BQ366" s="407"/>
      <c r="BU366" s="407"/>
      <c r="BV366" s="407"/>
      <c r="BZ366" s="407"/>
      <c r="CA366" s="407"/>
      <c r="CE366" s="560"/>
      <c r="CF366" s="560"/>
      <c r="CG366" s="560"/>
      <c r="CH366" s="560"/>
      <c r="GK366" s="36">
        <v>57.9</v>
      </c>
      <c r="GL366" s="36">
        <v>66.7</v>
      </c>
      <c r="GO366" s="36" t="s">
        <v>369</v>
      </c>
      <c r="JB366" s="36" t="s">
        <v>370</v>
      </c>
    </row>
    <row r="367" spans="1:264" s="36" customFormat="1" x14ac:dyDescent="0.25">
      <c r="A367" s="36">
        <v>22</v>
      </c>
      <c r="B367" s="51" t="s">
        <v>3857</v>
      </c>
      <c r="C367" s="36" t="s">
        <v>356</v>
      </c>
      <c r="D367" s="36" t="s">
        <v>357</v>
      </c>
      <c r="E367" s="36">
        <v>2013</v>
      </c>
      <c r="F367" s="36">
        <v>2011</v>
      </c>
      <c r="G367" s="36" t="s">
        <v>373</v>
      </c>
      <c r="H367" s="36" t="s">
        <v>360</v>
      </c>
      <c r="I367" s="32" t="s">
        <v>2815</v>
      </c>
      <c r="J367" s="36">
        <v>38.82</v>
      </c>
      <c r="K367" s="36">
        <v>-76.75</v>
      </c>
      <c r="L367" s="36">
        <v>5.5</v>
      </c>
      <c r="R367" s="51">
        <v>3</v>
      </c>
      <c r="S367" s="51" t="s">
        <v>1728</v>
      </c>
      <c r="T367" s="51"/>
      <c r="U367" s="51" t="s">
        <v>1877</v>
      </c>
      <c r="V367" s="51" t="s">
        <v>1379</v>
      </c>
      <c r="W367" s="51" t="s">
        <v>1715</v>
      </c>
      <c r="X367" s="51" t="s">
        <v>1379</v>
      </c>
      <c r="Y367" s="51" t="s">
        <v>1379</v>
      </c>
      <c r="AA367" s="331"/>
      <c r="AB367" s="331"/>
      <c r="AC367" s="36" t="s">
        <v>1608</v>
      </c>
      <c r="AH367" s="36" t="s">
        <v>1530</v>
      </c>
      <c r="AI367" s="138" t="s">
        <v>577</v>
      </c>
      <c r="AJ367" s="36" t="s">
        <v>366</v>
      </c>
      <c r="AK367" s="142" t="s">
        <v>229</v>
      </c>
      <c r="AT367" s="36" t="s">
        <v>368</v>
      </c>
      <c r="AU367" s="36" t="s">
        <v>368</v>
      </c>
      <c r="AV367" s="36" t="s">
        <v>177</v>
      </c>
      <c r="AW367" s="36" t="s">
        <v>160</v>
      </c>
      <c r="AX367" s="36">
        <v>4</v>
      </c>
      <c r="AZ367" s="36" t="s">
        <v>141</v>
      </c>
      <c r="BD367" s="55"/>
      <c r="BP367" s="407"/>
      <c r="BQ367" s="407"/>
      <c r="BU367" s="407"/>
      <c r="BV367" s="407"/>
      <c r="BZ367" s="407"/>
      <c r="CA367" s="407"/>
      <c r="CE367" s="560"/>
      <c r="CF367" s="560"/>
      <c r="CG367" s="560"/>
      <c r="CH367" s="560"/>
      <c r="GK367" s="36">
        <v>58.4</v>
      </c>
      <c r="GL367" s="36">
        <v>65.2</v>
      </c>
      <c r="GO367" s="36" t="s">
        <v>369</v>
      </c>
      <c r="JB367" s="36" t="s">
        <v>370</v>
      </c>
    </row>
    <row r="368" spans="1:264" s="36" customFormat="1" x14ac:dyDescent="0.25">
      <c r="A368" s="36">
        <v>22</v>
      </c>
      <c r="B368" s="51" t="s">
        <v>3856</v>
      </c>
      <c r="C368" s="36" t="s">
        <v>356</v>
      </c>
      <c r="D368" s="36" t="s">
        <v>357</v>
      </c>
      <c r="E368" s="36">
        <v>2013</v>
      </c>
      <c r="F368" s="36">
        <v>2011</v>
      </c>
      <c r="G368" s="36" t="s">
        <v>373</v>
      </c>
      <c r="H368" s="36" t="s">
        <v>360</v>
      </c>
      <c r="I368" s="32" t="s">
        <v>2815</v>
      </c>
      <c r="J368" s="36">
        <v>38.82</v>
      </c>
      <c r="K368" s="36">
        <v>-76.75</v>
      </c>
      <c r="L368" s="36">
        <v>5.5</v>
      </c>
      <c r="R368" s="51">
        <v>3</v>
      </c>
      <c r="S368" s="51" t="s">
        <v>1728</v>
      </c>
      <c r="T368" s="51"/>
      <c r="U368" s="51" t="s">
        <v>1878</v>
      </c>
      <c r="V368" s="51" t="s">
        <v>1379</v>
      </c>
      <c r="W368" s="51" t="s">
        <v>1715</v>
      </c>
      <c r="X368" s="51" t="s">
        <v>1379</v>
      </c>
      <c r="Y368" s="51" t="s">
        <v>1379</v>
      </c>
      <c r="AA368" s="331"/>
      <c r="AB368" s="331"/>
      <c r="AC368" s="36" t="s">
        <v>1608</v>
      </c>
      <c r="AH368" s="36" t="s">
        <v>1530</v>
      </c>
      <c r="AI368" s="138" t="s">
        <v>577</v>
      </c>
      <c r="AJ368" s="36" t="s">
        <v>366</v>
      </c>
      <c r="AK368" s="142" t="s">
        <v>229</v>
      </c>
      <c r="AT368" s="36" t="s">
        <v>367</v>
      </c>
      <c r="AU368" s="36" t="s">
        <v>367</v>
      </c>
      <c r="AV368" s="36" t="s">
        <v>177</v>
      </c>
      <c r="AW368" s="36" t="s">
        <v>160</v>
      </c>
      <c r="AX368" s="36">
        <v>4</v>
      </c>
      <c r="AZ368" s="36" t="s">
        <v>141</v>
      </c>
      <c r="BD368" s="55"/>
      <c r="BP368" s="407"/>
      <c r="BQ368" s="407"/>
      <c r="BU368" s="407"/>
      <c r="BV368" s="407"/>
      <c r="BZ368" s="407"/>
      <c r="CA368" s="407"/>
      <c r="CE368" s="560"/>
      <c r="CF368" s="560"/>
      <c r="CG368" s="560"/>
      <c r="CH368" s="560"/>
      <c r="GK368" s="36">
        <v>75.900000000000006</v>
      </c>
      <c r="GL368" s="36">
        <v>74.599999999999994</v>
      </c>
      <c r="GO368" s="36" t="s">
        <v>369</v>
      </c>
      <c r="JB368" s="36" t="s">
        <v>370</v>
      </c>
    </row>
    <row r="369" spans="1:262" s="36" customFormat="1" x14ac:dyDescent="0.25">
      <c r="A369" s="36">
        <v>22</v>
      </c>
      <c r="B369" s="51" t="s">
        <v>3857</v>
      </c>
      <c r="C369" s="36" t="s">
        <v>356</v>
      </c>
      <c r="D369" s="36" t="s">
        <v>357</v>
      </c>
      <c r="E369" s="36">
        <v>2013</v>
      </c>
      <c r="F369" s="36">
        <v>2011</v>
      </c>
      <c r="G369" s="36" t="s">
        <v>373</v>
      </c>
      <c r="H369" s="36" t="s">
        <v>360</v>
      </c>
      <c r="I369" s="32" t="s">
        <v>2815</v>
      </c>
      <c r="J369" s="36">
        <v>38.82</v>
      </c>
      <c r="K369" s="36">
        <v>-76.75</v>
      </c>
      <c r="L369" s="36">
        <v>5.5</v>
      </c>
      <c r="R369" s="51">
        <v>3</v>
      </c>
      <c r="S369" s="51" t="s">
        <v>1728</v>
      </c>
      <c r="T369" s="51"/>
      <c r="U369" s="51" t="s">
        <v>1878</v>
      </c>
      <c r="V369" s="51" t="s">
        <v>1379</v>
      </c>
      <c r="W369" s="51" t="s">
        <v>1715</v>
      </c>
      <c r="X369" s="51" t="s">
        <v>1379</v>
      </c>
      <c r="Y369" s="51" t="s">
        <v>1379</v>
      </c>
      <c r="AA369" s="331"/>
      <c r="AB369" s="331"/>
      <c r="AC369" s="36" t="s">
        <v>1608</v>
      </c>
      <c r="AH369" s="36" t="s">
        <v>1530</v>
      </c>
      <c r="AI369" s="138" t="s">
        <v>577</v>
      </c>
      <c r="AJ369" s="36" t="s">
        <v>366</v>
      </c>
      <c r="AK369" s="142" t="s">
        <v>229</v>
      </c>
      <c r="AT369" s="36" t="s">
        <v>368</v>
      </c>
      <c r="AU369" s="36" t="s">
        <v>368</v>
      </c>
      <c r="AV369" s="36" t="s">
        <v>177</v>
      </c>
      <c r="AW369" s="36" t="s">
        <v>160</v>
      </c>
      <c r="AX369" s="36">
        <v>4</v>
      </c>
      <c r="AZ369" s="36" t="s">
        <v>141</v>
      </c>
      <c r="BD369" s="55"/>
      <c r="BP369" s="407"/>
      <c r="BQ369" s="407"/>
      <c r="BU369" s="407"/>
      <c r="BV369" s="407"/>
      <c r="BZ369" s="407"/>
      <c r="CA369" s="407"/>
      <c r="CE369" s="560"/>
      <c r="CF369" s="560"/>
      <c r="CG369" s="560"/>
      <c r="CH369" s="560"/>
      <c r="GK369" s="36">
        <v>62.6</v>
      </c>
      <c r="GL369" s="36">
        <v>60.1</v>
      </c>
      <c r="GO369" s="36" t="s">
        <v>369</v>
      </c>
      <c r="JB369" s="36" t="s">
        <v>370</v>
      </c>
    </row>
    <row r="370" spans="1:262" s="35" customFormat="1" x14ac:dyDescent="0.25">
      <c r="A370" s="35">
        <v>23</v>
      </c>
      <c r="B370" s="49" t="s">
        <v>3853</v>
      </c>
      <c r="C370" s="35" t="s">
        <v>356</v>
      </c>
      <c r="D370" s="35" t="s">
        <v>357</v>
      </c>
      <c r="E370" s="35">
        <v>2016</v>
      </c>
      <c r="F370" s="35">
        <v>2009</v>
      </c>
      <c r="G370" s="35" t="s">
        <v>371</v>
      </c>
      <c r="H370" s="35" t="s">
        <v>361</v>
      </c>
      <c r="I370" s="32" t="s">
        <v>2815</v>
      </c>
      <c r="J370" s="35">
        <v>38.92</v>
      </c>
      <c r="K370" s="35">
        <v>-76.150000000000006</v>
      </c>
      <c r="L370" s="35">
        <v>4.8</v>
      </c>
      <c r="R370" s="49">
        <v>1</v>
      </c>
      <c r="S370" s="49" t="s">
        <v>1728</v>
      </c>
      <c r="T370" s="49"/>
      <c r="U370" s="49" t="s">
        <v>1879</v>
      </c>
      <c r="V370" s="49" t="s">
        <v>1379</v>
      </c>
      <c r="W370" s="49" t="s">
        <v>1715</v>
      </c>
      <c r="X370" s="49" t="s">
        <v>1379</v>
      </c>
      <c r="Y370" s="49" t="s">
        <v>1379</v>
      </c>
      <c r="AA370" s="329"/>
      <c r="AB370" s="329"/>
      <c r="AC370" s="35" t="s">
        <v>1608</v>
      </c>
      <c r="AH370" s="35" t="s">
        <v>1530</v>
      </c>
      <c r="AI370" s="138" t="s">
        <v>577</v>
      </c>
      <c r="AJ370" s="35" t="s">
        <v>366</v>
      </c>
      <c r="AK370" s="140" t="s">
        <v>229</v>
      </c>
      <c r="AT370" s="35" t="s">
        <v>359</v>
      </c>
      <c r="AU370" s="35" t="s">
        <v>359</v>
      </c>
      <c r="AV370" s="35" t="s">
        <v>177</v>
      </c>
      <c r="AW370" s="35" t="s">
        <v>160</v>
      </c>
      <c r="AX370" s="35">
        <v>4</v>
      </c>
      <c r="AZ370" s="35" t="s">
        <v>141</v>
      </c>
      <c r="BD370" s="53"/>
      <c r="BK370" s="35">
        <v>48.34</v>
      </c>
      <c r="BL370" s="35">
        <v>137.63</v>
      </c>
      <c r="BP370" s="405"/>
      <c r="BQ370" s="405"/>
      <c r="BU370" s="405"/>
      <c r="BV370" s="405"/>
      <c r="BZ370" s="405"/>
      <c r="CA370" s="405"/>
      <c r="CE370" s="558"/>
      <c r="CF370" s="558"/>
      <c r="CG370" s="558"/>
      <c r="CH370" s="558"/>
      <c r="GZ370" s="12"/>
      <c r="HD370" s="12"/>
    </row>
    <row r="371" spans="1:262" s="35" customFormat="1" x14ac:dyDescent="0.25">
      <c r="A371" s="35">
        <v>23</v>
      </c>
      <c r="B371" s="49" t="s">
        <v>3853</v>
      </c>
      <c r="C371" s="35" t="s">
        <v>356</v>
      </c>
      <c r="D371" s="35" t="s">
        <v>357</v>
      </c>
      <c r="E371" s="35">
        <v>2016</v>
      </c>
      <c r="F371" s="35">
        <v>2009</v>
      </c>
      <c r="G371" s="35" t="s">
        <v>371</v>
      </c>
      <c r="H371" s="35" t="s">
        <v>361</v>
      </c>
      <c r="I371" s="32" t="s">
        <v>2815</v>
      </c>
      <c r="J371" s="35">
        <v>38.92</v>
      </c>
      <c r="K371" s="35">
        <v>-76.150000000000006</v>
      </c>
      <c r="L371" s="35">
        <v>4.8</v>
      </c>
      <c r="R371" s="49">
        <v>1</v>
      </c>
      <c r="S371" s="49" t="s">
        <v>1728</v>
      </c>
      <c r="T371" s="49"/>
      <c r="U371" s="49" t="s">
        <v>1880</v>
      </c>
      <c r="V371" s="49" t="s">
        <v>1379</v>
      </c>
      <c r="W371" s="49" t="s">
        <v>1715</v>
      </c>
      <c r="X371" s="49" t="s">
        <v>1379</v>
      </c>
      <c r="Y371" s="49" t="s">
        <v>1379</v>
      </c>
      <c r="AA371" s="329"/>
      <c r="AB371" s="329"/>
      <c r="AC371" s="35" t="s">
        <v>1608</v>
      </c>
      <c r="AH371" s="35" t="s">
        <v>1530</v>
      </c>
      <c r="AI371" s="138" t="s">
        <v>577</v>
      </c>
      <c r="AJ371" s="35" t="s">
        <v>366</v>
      </c>
      <c r="AK371" s="140" t="s">
        <v>229</v>
      </c>
      <c r="AT371" s="35" t="s">
        <v>359</v>
      </c>
      <c r="AU371" s="35" t="s">
        <v>359</v>
      </c>
      <c r="AV371" s="35" t="s">
        <v>177</v>
      </c>
      <c r="AW371" s="35" t="s">
        <v>160</v>
      </c>
      <c r="AX371" s="35">
        <v>4</v>
      </c>
      <c r="AZ371" s="35" t="s">
        <v>141</v>
      </c>
      <c r="BD371" s="53"/>
      <c r="BK371" s="35">
        <v>380.767</v>
      </c>
      <c r="BL371" s="35">
        <v>486.28</v>
      </c>
      <c r="BP371" s="405"/>
      <c r="BQ371" s="405"/>
      <c r="BU371" s="405"/>
      <c r="BV371" s="405"/>
      <c r="BZ371" s="405"/>
      <c r="CA371" s="405"/>
      <c r="CE371" s="558"/>
      <c r="CF371" s="558"/>
      <c r="CG371" s="558"/>
      <c r="CH371" s="558"/>
      <c r="GZ371" s="12"/>
      <c r="HD371" s="12"/>
    </row>
    <row r="372" spans="1:262" s="35" customFormat="1" x14ac:dyDescent="0.25">
      <c r="A372" s="35">
        <v>23</v>
      </c>
      <c r="B372" s="49" t="s">
        <v>3853</v>
      </c>
      <c r="C372" s="35" t="s">
        <v>356</v>
      </c>
      <c r="D372" s="35" t="s">
        <v>357</v>
      </c>
      <c r="E372" s="35">
        <v>2016</v>
      </c>
      <c r="F372" s="35">
        <v>2009</v>
      </c>
      <c r="G372" s="35" t="s">
        <v>371</v>
      </c>
      <c r="H372" s="35" t="s">
        <v>361</v>
      </c>
      <c r="I372" s="32" t="s">
        <v>2815</v>
      </c>
      <c r="J372" s="35">
        <v>38.92</v>
      </c>
      <c r="K372" s="35">
        <v>-76.150000000000006</v>
      </c>
      <c r="L372" s="35">
        <v>4.8</v>
      </c>
      <c r="R372" s="49">
        <v>1</v>
      </c>
      <c r="S372" s="49" t="s">
        <v>1728</v>
      </c>
      <c r="T372" s="49"/>
      <c r="U372" s="49" t="s">
        <v>1881</v>
      </c>
      <c r="V372" s="49" t="s">
        <v>1379</v>
      </c>
      <c r="W372" s="49" t="s">
        <v>1715</v>
      </c>
      <c r="X372" s="49" t="s">
        <v>1379</v>
      </c>
      <c r="Y372" s="49" t="s">
        <v>1379</v>
      </c>
      <c r="AA372" s="329"/>
      <c r="AB372" s="329"/>
      <c r="AC372" s="35" t="s">
        <v>1608</v>
      </c>
      <c r="AH372" s="35" t="s">
        <v>1530</v>
      </c>
      <c r="AI372" s="138" t="s">
        <v>577</v>
      </c>
      <c r="AJ372" s="35" t="s">
        <v>366</v>
      </c>
      <c r="AK372" s="140" t="s">
        <v>229</v>
      </c>
      <c r="AT372" s="35" t="s">
        <v>359</v>
      </c>
      <c r="AU372" s="35" t="s">
        <v>359</v>
      </c>
      <c r="AV372" s="35" t="s">
        <v>177</v>
      </c>
      <c r="AW372" s="35" t="s">
        <v>160</v>
      </c>
      <c r="AX372" s="35">
        <v>4</v>
      </c>
      <c r="AZ372" s="35" t="s">
        <v>141</v>
      </c>
      <c r="BD372" s="53"/>
      <c r="BK372" s="35">
        <v>173.48</v>
      </c>
      <c r="BL372" s="35">
        <v>165.37</v>
      </c>
      <c r="BP372" s="405"/>
      <c r="BQ372" s="405"/>
      <c r="BU372" s="405"/>
      <c r="BV372" s="405"/>
      <c r="BZ372" s="405"/>
      <c r="CA372" s="405"/>
      <c r="CE372" s="558"/>
      <c r="CF372" s="558"/>
      <c r="CG372" s="558"/>
      <c r="CH372" s="558"/>
      <c r="GZ372" s="12"/>
      <c r="HD372" s="12"/>
    </row>
    <row r="373" spans="1:262" s="35" customFormat="1" x14ac:dyDescent="0.25">
      <c r="A373" s="35">
        <v>23</v>
      </c>
      <c r="B373" s="49" t="s">
        <v>3853</v>
      </c>
      <c r="C373" s="35" t="s">
        <v>356</v>
      </c>
      <c r="D373" s="35" t="s">
        <v>357</v>
      </c>
      <c r="E373" s="35">
        <v>2016</v>
      </c>
      <c r="F373" s="35">
        <v>2009</v>
      </c>
      <c r="G373" s="35" t="s">
        <v>371</v>
      </c>
      <c r="H373" s="35" t="s">
        <v>361</v>
      </c>
      <c r="I373" s="32" t="s">
        <v>2815</v>
      </c>
      <c r="J373" s="35">
        <v>38.92</v>
      </c>
      <c r="K373" s="35">
        <v>-76.150000000000006</v>
      </c>
      <c r="L373" s="35">
        <v>4.8</v>
      </c>
      <c r="R373" s="49">
        <v>1</v>
      </c>
      <c r="S373" s="49" t="s">
        <v>1728</v>
      </c>
      <c r="T373" s="49"/>
      <c r="U373" s="49" t="s">
        <v>1882</v>
      </c>
      <c r="V373" s="49" t="s">
        <v>1379</v>
      </c>
      <c r="W373" s="49" t="s">
        <v>1715</v>
      </c>
      <c r="X373" s="49" t="s">
        <v>1379</v>
      </c>
      <c r="Y373" s="49" t="s">
        <v>1379</v>
      </c>
      <c r="AA373" s="329"/>
      <c r="AB373" s="329"/>
      <c r="AC373" s="35" t="s">
        <v>1608</v>
      </c>
      <c r="AH373" s="35" t="s">
        <v>1530</v>
      </c>
      <c r="AI373" s="138" t="s">
        <v>577</v>
      </c>
      <c r="AJ373" s="35" t="s">
        <v>366</v>
      </c>
      <c r="AK373" s="140" t="s">
        <v>229</v>
      </c>
      <c r="AT373" s="35" t="s">
        <v>359</v>
      </c>
      <c r="AU373" s="35" t="s">
        <v>359</v>
      </c>
      <c r="AV373" s="35" t="s">
        <v>177</v>
      </c>
      <c r="AW373" s="35" t="s">
        <v>160</v>
      </c>
      <c r="AX373" s="35">
        <v>4</v>
      </c>
      <c r="AZ373" s="35" t="s">
        <v>141</v>
      </c>
      <c r="BD373" s="53"/>
      <c r="BK373" s="35">
        <v>205.76</v>
      </c>
      <c r="BL373" s="35">
        <v>148.96</v>
      </c>
      <c r="BP373" s="405"/>
      <c r="BQ373" s="405"/>
      <c r="BU373" s="405"/>
      <c r="BV373" s="405"/>
      <c r="BZ373" s="405"/>
      <c r="CA373" s="405"/>
      <c r="CE373" s="558"/>
      <c r="CF373" s="558"/>
      <c r="CG373" s="558"/>
      <c r="CH373" s="558"/>
      <c r="GZ373" s="12"/>
      <c r="HD373" s="12"/>
    </row>
    <row r="374" spans="1:262" s="35" customFormat="1" x14ac:dyDescent="0.25">
      <c r="A374" s="35">
        <v>23</v>
      </c>
      <c r="B374" s="49" t="s">
        <v>3853</v>
      </c>
      <c r="C374" s="35" t="s">
        <v>356</v>
      </c>
      <c r="D374" s="35" t="s">
        <v>357</v>
      </c>
      <c r="E374" s="35">
        <v>2016</v>
      </c>
      <c r="F374" s="35">
        <v>2009</v>
      </c>
      <c r="G374" s="35" t="s">
        <v>371</v>
      </c>
      <c r="H374" s="35" t="s">
        <v>361</v>
      </c>
      <c r="I374" s="32" t="s">
        <v>2815</v>
      </c>
      <c r="J374" s="35">
        <v>38.92</v>
      </c>
      <c r="K374" s="35">
        <v>-76.150000000000006</v>
      </c>
      <c r="L374" s="35">
        <v>4.8</v>
      </c>
      <c r="R374" s="49">
        <v>1</v>
      </c>
      <c r="S374" s="49" t="s">
        <v>1728</v>
      </c>
      <c r="T374" s="49"/>
      <c r="U374" s="49" t="s">
        <v>1883</v>
      </c>
      <c r="V374" s="49" t="s">
        <v>1379</v>
      </c>
      <c r="W374" s="49" t="s">
        <v>1715</v>
      </c>
      <c r="X374" s="49" t="s">
        <v>1379</v>
      </c>
      <c r="Y374" s="49" t="s">
        <v>1379</v>
      </c>
      <c r="AA374" s="329"/>
      <c r="AB374" s="329"/>
      <c r="AC374" s="35" t="s">
        <v>1608</v>
      </c>
      <c r="AH374" s="35" t="s">
        <v>1530</v>
      </c>
      <c r="AI374" s="138" t="s">
        <v>577</v>
      </c>
      <c r="AJ374" s="35" t="s">
        <v>366</v>
      </c>
      <c r="AK374" s="140" t="s">
        <v>229</v>
      </c>
      <c r="AT374" s="35" t="s">
        <v>359</v>
      </c>
      <c r="AU374" s="35" t="s">
        <v>359</v>
      </c>
      <c r="AV374" s="35" t="s">
        <v>177</v>
      </c>
      <c r="AW374" s="35" t="s">
        <v>160</v>
      </c>
      <c r="AX374" s="35">
        <v>4</v>
      </c>
      <c r="AZ374" s="35" t="s">
        <v>141</v>
      </c>
      <c r="BD374" s="53"/>
      <c r="BK374" s="35">
        <v>773.56</v>
      </c>
      <c r="BL374" s="35">
        <v>375.87</v>
      </c>
      <c r="BP374" s="405"/>
      <c r="BQ374" s="405"/>
      <c r="BU374" s="405"/>
      <c r="BV374" s="405"/>
      <c r="BZ374" s="405"/>
      <c r="CA374" s="405"/>
      <c r="CE374" s="558"/>
      <c r="CF374" s="558"/>
      <c r="CG374" s="558"/>
      <c r="CH374" s="558"/>
      <c r="GZ374" s="12"/>
      <c r="HD374" s="12"/>
    </row>
    <row r="375" spans="1:262" s="35" customFormat="1" x14ac:dyDescent="0.25">
      <c r="A375" s="35">
        <v>23</v>
      </c>
      <c r="B375" s="49" t="s">
        <v>3853</v>
      </c>
      <c r="C375" s="35" t="s">
        <v>356</v>
      </c>
      <c r="D375" s="35" t="s">
        <v>357</v>
      </c>
      <c r="E375" s="35">
        <v>2016</v>
      </c>
      <c r="F375" s="35">
        <v>2009</v>
      </c>
      <c r="G375" s="35" t="s">
        <v>371</v>
      </c>
      <c r="H375" s="35" t="s">
        <v>361</v>
      </c>
      <c r="I375" s="32" t="s">
        <v>2815</v>
      </c>
      <c r="J375" s="35">
        <v>38.92</v>
      </c>
      <c r="K375" s="35">
        <v>-76.150000000000006</v>
      </c>
      <c r="L375" s="35">
        <v>4.8</v>
      </c>
      <c r="R375" s="49">
        <v>1</v>
      </c>
      <c r="S375" s="49" t="s">
        <v>1728</v>
      </c>
      <c r="T375" s="49"/>
      <c r="U375" s="49" t="s">
        <v>1884</v>
      </c>
      <c r="V375" s="49" t="s">
        <v>1379</v>
      </c>
      <c r="W375" s="49" t="s">
        <v>1715</v>
      </c>
      <c r="X375" s="49" t="s">
        <v>1379</v>
      </c>
      <c r="Y375" s="49" t="s">
        <v>1379</v>
      </c>
      <c r="AA375" s="329"/>
      <c r="AB375" s="329"/>
      <c r="AC375" s="35" t="s">
        <v>1608</v>
      </c>
      <c r="AH375" s="35" t="s">
        <v>1530</v>
      </c>
      <c r="AI375" s="138" t="s">
        <v>577</v>
      </c>
      <c r="AJ375" s="35" t="s">
        <v>366</v>
      </c>
      <c r="AK375" s="140" t="s">
        <v>229</v>
      </c>
      <c r="AT375" s="35" t="s">
        <v>359</v>
      </c>
      <c r="AU375" s="35" t="s">
        <v>359</v>
      </c>
      <c r="AV375" s="35" t="s">
        <v>177</v>
      </c>
      <c r="AW375" s="35" t="s">
        <v>160</v>
      </c>
      <c r="AX375" s="35">
        <v>4</v>
      </c>
      <c r="AZ375" s="35" t="s">
        <v>141</v>
      </c>
      <c r="BD375" s="53"/>
      <c r="BK375" s="35">
        <v>980.16</v>
      </c>
      <c r="BL375" s="35">
        <v>631.19000000000005</v>
      </c>
      <c r="BP375" s="405"/>
      <c r="BQ375" s="405"/>
      <c r="BU375" s="405"/>
      <c r="BV375" s="405"/>
      <c r="BZ375" s="405"/>
      <c r="CA375" s="405"/>
      <c r="CE375" s="558"/>
      <c r="CF375" s="558"/>
      <c r="CG375" s="558"/>
      <c r="CH375" s="558"/>
      <c r="GZ375" s="12"/>
      <c r="HD375" s="12"/>
    </row>
    <row r="376" spans="1:262" s="35" customFormat="1" x14ac:dyDescent="0.25">
      <c r="A376" s="35">
        <v>23</v>
      </c>
      <c r="B376" s="49" t="s">
        <v>3853</v>
      </c>
      <c r="C376" s="35" t="s">
        <v>356</v>
      </c>
      <c r="D376" s="35" t="s">
        <v>357</v>
      </c>
      <c r="E376" s="35">
        <v>2016</v>
      </c>
      <c r="F376" s="35">
        <v>2009</v>
      </c>
      <c r="G376" s="35" t="s">
        <v>371</v>
      </c>
      <c r="H376" s="35" t="s">
        <v>361</v>
      </c>
      <c r="I376" s="32" t="s">
        <v>2815</v>
      </c>
      <c r="J376" s="35">
        <v>38.92</v>
      </c>
      <c r="K376" s="35">
        <v>-76.150000000000006</v>
      </c>
      <c r="L376" s="35">
        <v>4.8</v>
      </c>
      <c r="R376" s="49">
        <v>1</v>
      </c>
      <c r="S376" s="49" t="s">
        <v>1728</v>
      </c>
      <c r="T376" s="49"/>
      <c r="U376" s="49" t="s">
        <v>1885</v>
      </c>
      <c r="V376" s="49" t="s">
        <v>1379</v>
      </c>
      <c r="W376" s="49" t="s">
        <v>1715</v>
      </c>
      <c r="X376" s="49" t="s">
        <v>1379</v>
      </c>
      <c r="Y376" s="49" t="s">
        <v>1379</v>
      </c>
      <c r="AA376" s="329"/>
      <c r="AB376" s="329"/>
      <c r="AC376" s="35" t="s">
        <v>1608</v>
      </c>
      <c r="AH376" s="35" t="s">
        <v>1530</v>
      </c>
      <c r="AI376" s="138" t="s">
        <v>577</v>
      </c>
      <c r="AJ376" s="35" t="s">
        <v>366</v>
      </c>
      <c r="AK376" s="140" t="s">
        <v>229</v>
      </c>
      <c r="AT376" s="35" t="s">
        <v>359</v>
      </c>
      <c r="AU376" s="35" t="s">
        <v>359</v>
      </c>
      <c r="AV376" s="35" t="s">
        <v>177</v>
      </c>
      <c r="AW376" s="35" t="s">
        <v>160</v>
      </c>
      <c r="AX376" s="35">
        <v>4</v>
      </c>
      <c r="AZ376" s="35" t="s">
        <v>141</v>
      </c>
      <c r="BD376" s="53"/>
      <c r="BK376" s="35">
        <v>1158.3800000000001</v>
      </c>
      <c r="BL376" s="35">
        <v>358.94</v>
      </c>
      <c r="BP376" s="405"/>
      <c r="BQ376" s="405"/>
      <c r="BU376" s="405"/>
      <c r="BV376" s="405"/>
      <c r="BZ376" s="405"/>
      <c r="CA376" s="405"/>
      <c r="CE376" s="558"/>
      <c r="CF376" s="558"/>
      <c r="CG376" s="558"/>
      <c r="CH376" s="558"/>
      <c r="GZ376" s="12"/>
      <c r="HD376" s="12"/>
    </row>
    <row r="377" spans="1:262" s="35" customFormat="1" x14ac:dyDescent="0.25">
      <c r="A377" s="35">
        <v>23</v>
      </c>
      <c r="B377" s="49" t="s">
        <v>3853</v>
      </c>
      <c r="C377" s="35" t="s">
        <v>356</v>
      </c>
      <c r="D377" s="35" t="s">
        <v>357</v>
      </c>
      <c r="E377" s="35">
        <v>2016</v>
      </c>
      <c r="F377" s="35">
        <v>2009</v>
      </c>
      <c r="G377" s="35" t="s">
        <v>371</v>
      </c>
      <c r="H377" s="35" t="s">
        <v>361</v>
      </c>
      <c r="I377" s="32" t="s">
        <v>2815</v>
      </c>
      <c r="J377" s="35">
        <v>38.92</v>
      </c>
      <c r="K377" s="35">
        <v>-76.150000000000006</v>
      </c>
      <c r="L377" s="35">
        <v>4.8</v>
      </c>
      <c r="R377" s="49">
        <v>1</v>
      </c>
      <c r="S377" s="49" t="s">
        <v>1728</v>
      </c>
      <c r="T377" s="49"/>
      <c r="U377" s="49" t="s">
        <v>1886</v>
      </c>
      <c r="V377" s="49" t="s">
        <v>1379</v>
      </c>
      <c r="W377" s="49" t="s">
        <v>1715</v>
      </c>
      <c r="X377" s="49" t="s">
        <v>1379</v>
      </c>
      <c r="Y377" s="49" t="s">
        <v>1379</v>
      </c>
      <c r="AA377" s="329"/>
      <c r="AB377" s="329"/>
      <c r="AC377" s="35" t="s">
        <v>1608</v>
      </c>
      <c r="AH377" s="35" t="s">
        <v>1530</v>
      </c>
      <c r="AI377" s="138" t="s">
        <v>577</v>
      </c>
      <c r="AJ377" s="35" t="s">
        <v>366</v>
      </c>
      <c r="AK377" s="140" t="s">
        <v>229</v>
      </c>
      <c r="AT377" s="35" t="s">
        <v>359</v>
      </c>
      <c r="AU377" s="35" t="s">
        <v>359</v>
      </c>
      <c r="AV377" s="35" t="s">
        <v>177</v>
      </c>
      <c r="AW377" s="35" t="s">
        <v>160</v>
      </c>
      <c r="AX377" s="35">
        <v>4</v>
      </c>
      <c r="AZ377" s="35" t="s">
        <v>141</v>
      </c>
      <c r="BD377" s="53"/>
      <c r="BK377" s="35">
        <v>573.70000000000005</v>
      </c>
      <c r="BL377" s="35">
        <v>131.72999999999999</v>
      </c>
      <c r="BP377" s="405"/>
      <c r="BQ377" s="405"/>
      <c r="BU377" s="405"/>
      <c r="BV377" s="405"/>
      <c r="BZ377" s="405"/>
      <c r="CA377" s="405"/>
      <c r="CE377" s="558"/>
      <c r="CF377" s="558"/>
      <c r="CG377" s="558"/>
      <c r="CH377" s="558"/>
      <c r="GZ377" s="12"/>
      <c r="HD377" s="12"/>
    </row>
    <row r="378" spans="1:262" s="35" customFormat="1" x14ac:dyDescent="0.25">
      <c r="A378" s="35">
        <v>23</v>
      </c>
      <c r="B378" s="49" t="s">
        <v>3853</v>
      </c>
      <c r="C378" s="35" t="s">
        <v>356</v>
      </c>
      <c r="D378" s="35" t="s">
        <v>357</v>
      </c>
      <c r="E378" s="35">
        <v>2016</v>
      </c>
      <c r="F378" s="35">
        <v>2009</v>
      </c>
      <c r="G378" s="35" t="s">
        <v>371</v>
      </c>
      <c r="H378" s="35" t="s">
        <v>361</v>
      </c>
      <c r="I378" s="32" t="s">
        <v>2815</v>
      </c>
      <c r="J378" s="35">
        <v>38.92</v>
      </c>
      <c r="K378" s="35">
        <v>-76.150000000000006</v>
      </c>
      <c r="L378" s="35">
        <v>4.8</v>
      </c>
      <c r="R378" s="49">
        <v>1</v>
      </c>
      <c r="S378" s="49" t="s">
        <v>1728</v>
      </c>
      <c r="T378" s="49"/>
      <c r="U378" s="49" t="s">
        <v>1887</v>
      </c>
      <c r="V378" s="49" t="s">
        <v>1379</v>
      </c>
      <c r="W378" s="49" t="s">
        <v>1715</v>
      </c>
      <c r="X378" s="49" t="s">
        <v>1379</v>
      </c>
      <c r="Y378" s="49" t="s">
        <v>1379</v>
      </c>
      <c r="AA378" s="329"/>
      <c r="AB378" s="329"/>
      <c r="AC378" s="35" t="s">
        <v>1608</v>
      </c>
      <c r="AH378" s="35" t="s">
        <v>1530</v>
      </c>
      <c r="AI378" s="138" t="s">
        <v>577</v>
      </c>
      <c r="AJ378" s="35" t="s">
        <v>366</v>
      </c>
      <c r="AK378" s="140" t="s">
        <v>229</v>
      </c>
      <c r="AT378" s="35" t="s">
        <v>359</v>
      </c>
      <c r="AU378" s="35" t="s">
        <v>359</v>
      </c>
      <c r="AV378" s="35" t="s">
        <v>177</v>
      </c>
      <c r="AW378" s="35" t="s">
        <v>160</v>
      </c>
      <c r="AX378" s="35">
        <v>4</v>
      </c>
      <c r="AZ378" s="35" t="s">
        <v>141</v>
      </c>
      <c r="BD378" s="53"/>
      <c r="BK378" s="35">
        <v>800.61</v>
      </c>
      <c r="BL378" s="35">
        <v>191.9</v>
      </c>
      <c r="BP378" s="405"/>
      <c r="BQ378" s="405"/>
      <c r="BU378" s="405"/>
      <c r="BV378" s="405"/>
      <c r="BZ378" s="405"/>
      <c r="CA378" s="405"/>
      <c r="CE378" s="558"/>
      <c r="CF378" s="558"/>
      <c r="CG378" s="558"/>
      <c r="CH378" s="558"/>
      <c r="GZ378" s="12"/>
      <c r="HD378" s="12"/>
    </row>
    <row r="379" spans="1:262" s="35" customFormat="1" x14ac:dyDescent="0.25">
      <c r="A379" s="35">
        <v>23</v>
      </c>
      <c r="B379" s="49" t="s">
        <v>3853</v>
      </c>
      <c r="C379" s="35" t="s">
        <v>356</v>
      </c>
      <c r="D379" s="35" t="s">
        <v>357</v>
      </c>
      <c r="E379" s="35">
        <v>2016</v>
      </c>
      <c r="F379" s="35">
        <v>2009</v>
      </c>
      <c r="G379" s="35" t="s">
        <v>371</v>
      </c>
      <c r="H379" s="35" t="s">
        <v>361</v>
      </c>
      <c r="I379" s="32" t="s">
        <v>2815</v>
      </c>
      <c r="J379" s="35">
        <v>38.92</v>
      </c>
      <c r="K379" s="35">
        <v>-76.150000000000006</v>
      </c>
      <c r="L379" s="35">
        <v>4.8</v>
      </c>
      <c r="R379" s="49">
        <v>1</v>
      </c>
      <c r="S379" s="49" t="s">
        <v>1728</v>
      </c>
      <c r="T379" s="49"/>
      <c r="U379" s="49" t="s">
        <v>1888</v>
      </c>
      <c r="V379" s="49" t="s">
        <v>1379</v>
      </c>
      <c r="W379" s="49" t="s">
        <v>1715</v>
      </c>
      <c r="X379" s="49" t="s">
        <v>1379</v>
      </c>
      <c r="Y379" s="49" t="s">
        <v>1379</v>
      </c>
      <c r="AA379" s="329"/>
      <c r="AB379" s="329"/>
      <c r="AC379" s="35" t="s">
        <v>1608</v>
      </c>
      <c r="AH379" s="35" t="s">
        <v>1530</v>
      </c>
      <c r="AI379" s="138" t="s">
        <v>577</v>
      </c>
      <c r="AJ379" s="35" t="s">
        <v>366</v>
      </c>
      <c r="AK379" s="140" t="s">
        <v>229</v>
      </c>
      <c r="AT379" s="35" t="s">
        <v>359</v>
      </c>
      <c r="AU379" s="35" t="s">
        <v>359</v>
      </c>
      <c r="AV379" s="35" t="s">
        <v>177</v>
      </c>
      <c r="AW379" s="35" t="s">
        <v>160</v>
      </c>
      <c r="AX379" s="35">
        <v>4</v>
      </c>
      <c r="AZ379" s="35" t="s">
        <v>141</v>
      </c>
      <c r="BD379" s="53"/>
      <c r="BK379" s="35">
        <v>893.59</v>
      </c>
      <c r="BL379" s="35">
        <v>240.28</v>
      </c>
      <c r="BP379" s="405"/>
      <c r="BQ379" s="405"/>
      <c r="BU379" s="405"/>
      <c r="BV379" s="405"/>
      <c r="BZ379" s="405"/>
      <c r="CA379" s="405"/>
      <c r="CE379" s="558"/>
      <c r="CF379" s="558"/>
      <c r="CG379" s="558"/>
      <c r="CH379" s="558"/>
      <c r="GZ379" s="12"/>
      <c r="HD379" s="12"/>
    </row>
    <row r="380" spans="1:262" s="35" customFormat="1" x14ac:dyDescent="0.25">
      <c r="A380" s="35">
        <v>23</v>
      </c>
      <c r="B380" s="49" t="s">
        <v>3853</v>
      </c>
      <c r="C380" s="35" t="s">
        <v>356</v>
      </c>
      <c r="D380" s="35" t="s">
        <v>357</v>
      </c>
      <c r="E380" s="35">
        <v>2016</v>
      </c>
      <c r="F380" s="35">
        <v>2009</v>
      </c>
      <c r="G380" s="35" t="s">
        <v>371</v>
      </c>
      <c r="H380" s="35" t="s">
        <v>361</v>
      </c>
      <c r="I380" s="32" t="s">
        <v>2815</v>
      </c>
      <c r="J380" s="35">
        <v>38.92</v>
      </c>
      <c r="K380" s="35">
        <v>-76.150000000000006</v>
      </c>
      <c r="L380" s="35">
        <v>4.8</v>
      </c>
      <c r="R380" s="49">
        <v>1</v>
      </c>
      <c r="S380" s="49" t="s">
        <v>1728</v>
      </c>
      <c r="T380" s="49"/>
      <c r="U380" s="49" t="s">
        <v>1889</v>
      </c>
      <c r="V380" s="49" t="s">
        <v>1379</v>
      </c>
      <c r="W380" s="49" t="s">
        <v>1715</v>
      </c>
      <c r="X380" s="49" t="s">
        <v>1379</v>
      </c>
      <c r="Y380" s="49" t="s">
        <v>1379</v>
      </c>
      <c r="AA380" s="329"/>
      <c r="AB380" s="329"/>
      <c r="AC380" s="35" t="s">
        <v>1608</v>
      </c>
      <c r="AH380" s="35" t="s">
        <v>1530</v>
      </c>
      <c r="AI380" s="138" t="s">
        <v>577</v>
      </c>
      <c r="AJ380" s="35" t="s">
        <v>366</v>
      </c>
      <c r="AK380" s="140" t="s">
        <v>229</v>
      </c>
      <c r="AT380" s="35" t="s">
        <v>359</v>
      </c>
      <c r="AU380" s="35" t="s">
        <v>359</v>
      </c>
      <c r="AV380" s="35" t="s">
        <v>177</v>
      </c>
      <c r="AW380" s="35" t="s">
        <v>160</v>
      </c>
      <c r="AX380" s="35">
        <v>4</v>
      </c>
      <c r="AZ380" s="35" t="s">
        <v>141</v>
      </c>
      <c r="BD380" s="53"/>
      <c r="BK380" s="35">
        <v>787.75</v>
      </c>
      <c r="BL380" s="35">
        <v>183.11</v>
      </c>
      <c r="BP380" s="405"/>
      <c r="BQ380" s="405"/>
      <c r="BU380" s="405"/>
      <c r="BV380" s="405"/>
      <c r="BZ380" s="405"/>
      <c r="CA380" s="405"/>
      <c r="CE380" s="558"/>
      <c r="CF380" s="558"/>
      <c r="CG380" s="558"/>
      <c r="CH380" s="558"/>
      <c r="GZ380" s="12"/>
      <c r="HD380" s="12"/>
    </row>
    <row r="381" spans="1:262" s="35" customFormat="1" x14ac:dyDescent="0.25">
      <c r="A381" s="35">
        <v>23</v>
      </c>
      <c r="B381" s="49" t="s">
        <v>3853</v>
      </c>
      <c r="C381" s="35" t="s">
        <v>356</v>
      </c>
      <c r="D381" s="35" t="s">
        <v>357</v>
      </c>
      <c r="E381" s="35">
        <v>2016</v>
      </c>
      <c r="F381" s="35">
        <v>2009</v>
      </c>
      <c r="G381" s="35" t="s">
        <v>371</v>
      </c>
      <c r="H381" s="35" t="s">
        <v>361</v>
      </c>
      <c r="I381" s="32" t="s">
        <v>2815</v>
      </c>
      <c r="J381" s="35">
        <v>38.92</v>
      </c>
      <c r="K381" s="35">
        <v>-76.150000000000006</v>
      </c>
      <c r="L381" s="35">
        <v>4.8</v>
      </c>
      <c r="R381" s="49">
        <v>1</v>
      </c>
      <c r="S381" s="49" t="s">
        <v>1728</v>
      </c>
      <c r="T381" s="49"/>
      <c r="U381" s="49" t="s">
        <v>1890</v>
      </c>
      <c r="V381" s="49" t="s">
        <v>1379</v>
      </c>
      <c r="W381" s="49" t="s">
        <v>1715</v>
      </c>
      <c r="X381" s="49" t="s">
        <v>1379</v>
      </c>
      <c r="Y381" s="49" t="s">
        <v>1379</v>
      </c>
      <c r="AA381" s="329"/>
      <c r="AB381" s="329"/>
      <c r="AC381" s="35" t="s">
        <v>1608</v>
      </c>
      <c r="AH381" s="35" t="s">
        <v>1530</v>
      </c>
      <c r="AI381" s="138" t="s">
        <v>577</v>
      </c>
      <c r="AJ381" s="35" t="s">
        <v>366</v>
      </c>
      <c r="AK381" s="140" t="s">
        <v>229</v>
      </c>
      <c r="AT381" s="35" t="s">
        <v>359</v>
      </c>
      <c r="AU381" s="35" t="s">
        <v>359</v>
      </c>
      <c r="AV381" s="35" t="s">
        <v>177</v>
      </c>
      <c r="AW381" s="35" t="s">
        <v>160</v>
      </c>
      <c r="AX381" s="35">
        <v>4</v>
      </c>
      <c r="AZ381" s="35" t="s">
        <v>141</v>
      </c>
      <c r="BD381" s="53"/>
      <c r="BK381" s="35">
        <v>414.26</v>
      </c>
      <c r="BL381" s="35">
        <v>158.61000000000001</v>
      </c>
      <c r="BP381" s="405"/>
      <c r="BQ381" s="405"/>
      <c r="BU381" s="405"/>
      <c r="BV381" s="405"/>
      <c r="BZ381" s="405"/>
      <c r="CA381" s="405"/>
      <c r="CE381" s="558"/>
      <c r="CF381" s="558"/>
      <c r="CG381" s="558"/>
      <c r="CH381" s="558"/>
      <c r="GZ381" s="12"/>
      <c r="HD381" s="12"/>
    </row>
    <row r="382" spans="1:262" s="24" customFormat="1" x14ac:dyDescent="0.25">
      <c r="A382" s="24">
        <v>23</v>
      </c>
      <c r="B382" s="42" t="s">
        <v>3853</v>
      </c>
      <c r="C382" s="24" t="s">
        <v>356</v>
      </c>
      <c r="D382" s="24" t="s">
        <v>357</v>
      </c>
      <c r="E382" s="24">
        <v>2016</v>
      </c>
      <c r="F382" s="24">
        <v>2009</v>
      </c>
      <c r="G382" s="24" t="s">
        <v>371</v>
      </c>
      <c r="H382" s="24" t="s">
        <v>360</v>
      </c>
      <c r="I382" s="32" t="s">
        <v>2815</v>
      </c>
      <c r="J382" s="24">
        <v>38.82</v>
      </c>
      <c r="K382" s="24">
        <v>-76.75</v>
      </c>
      <c r="L382" s="24">
        <v>5.5</v>
      </c>
      <c r="R382" s="42">
        <v>1</v>
      </c>
      <c r="S382" s="42" t="s">
        <v>1728</v>
      </c>
      <c r="T382" s="42"/>
      <c r="U382" s="42" t="s">
        <v>1879</v>
      </c>
      <c r="V382" s="42" t="s">
        <v>1379</v>
      </c>
      <c r="W382" s="42" t="s">
        <v>1715</v>
      </c>
      <c r="X382" s="42" t="s">
        <v>1379</v>
      </c>
      <c r="Y382" s="42" t="s">
        <v>1379</v>
      </c>
      <c r="AA382" s="321"/>
      <c r="AB382" s="321"/>
      <c r="AC382" s="24" t="s">
        <v>1608</v>
      </c>
      <c r="AH382" s="24" t="s">
        <v>1530</v>
      </c>
      <c r="AI382" s="138" t="s">
        <v>577</v>
      </c>
      <c r="AJ382" s="24" t="s">
        <v>366</v>
      </c>
      <c r="AK382" s="140" t="s">
        <v>229</v>
      </c>
      <c r="AT382" s="24" t="s">
        <v>359</v>
      </c>
      <c r="AU382" s="24" t="s">
        <v>359</v>
      </c>
      <c r="AV382" s="24" t="s">
        <v>177</v>
      </c>
      <c r="AW382" s="24" t="s">
        <v>160</v>
      </c>
      <c r="AX382" s="24">
        <v>4</v>
      </c>
      <c r="AZ382" s="24" t="s">
        <v>141</v>
      </c>
      <c r="BD382" s="53"/>
      <c r="BK382" s="24">
        <v>134.26</v>
      </c>
      <c r="BL382" s="24">
        <v>124.87</v>
      </c>
      <c r="BP382" s="395"/>
      <c r="BQ382" s="395"/>
      <c r="BU382" s="395"/>
      <c r="BV382" s="395"/>
      <c r="BZ382" s="395"/>
      <c r="CA382" s="395"/>
      <c r="CE382" s="548"/>
      <c r="CF382" s="548"/>
      <c r="CG382" s="548"/>
      <c r="CH382" s="548"/>
      <c r="GZ382" s="12"/>
      <c r="HD382" s="12"/>
    </row>
    <row r="383" spans="1:262" s="24" customFormat="1" x14ac:dyDescent="0.25">
      <c r="A383" s="24">
        <v>23</v>
      </c>
      <c r="B383" s="42" t="s">
        <v>3853</v>
      </c>
      <c r="C383" s="24" t="s">
        <v>356</v>
      </c>
      <c r="D383" s="24" t="s">
        <v>357</v>
      </c>
      <c r="E383" s="24">
        <v>2016</v>
      </c>
      <c r="F383" s="24">
        <v>2009</v>
      </c>
      <c r="G383" s="24" t="s">
        <v>371</v>
      </c>
      <c r="H383" s="24" t="s">
        <v>360</v>
      </c>
      <c r="I383" s="32" t="s">
        <v>2815</v>
      </c>
      <c r="J383" s="24">
        <v>38.82</v>
      </c>
      <c r="K383" s="24">
        <v>-76.75</v>
      </c>
      <c r="L383" s="24">
        <v>5.5</v>
      </c>
      <c r="R383" s="42">
        <v>1</v>
      </c>
      <c r="S383" s="42" t="s">
        <v>1728</v>
      </c>
      <c r="T383" s="42"/>
      <c r="U383" s="42" t="s">
        <v>1880</v>
      </c>
      <c r="V383" s="42" t="s">
        <v>1379</v>
      </c>
      <c r="W383" s="42" t="s">
        <v>1715</v>
      </c>
      <c r="X383" s="42" t="s">
        <v>1379</v>
      </c>
      <c r="Y383" s="42" t="s">
        <v>1379</v>
      </c>
      <c r="AA383" s="321"/>
      <c r="AB383" s="321"/>
      <c r="AC383" s="24" t="s">
        <v>1608</v>
      </c>
      <c r="AH383" s="24" t="s">
        <v>1530</v>
      </c>
      <c r="AI383" s="138" t="s">
        <v>577</v>
      </c>
      <c r="AJ383" s="24" t="s">
        <v>366</v>
      </c>
      <c r="AK383" s="140" t="s">
        <v>229</v>
      </c>
      <c r="AT383" s="24" t="s">
        <v>359</v>
      </c>
      <c r="AU383" s="24" t="s">
        <v>359</v>
      </c>
      <c r="AV383" s="24" t="s">
        <v>177</v>
      </c>
      <c r="AW383" s="24" t="s">
        <v>160</v>
      </c>
      <c r="AX383" s="24">
        <v>4</v>
      </c>
      <c r="AZ383" s="24" t="s">
        <v>141</v>
      </c>
      <c r="BD383" s="53"/>
      <c r="BK383" s="24">
        <v>145.25</v>
      </c>
      <c r="BL383" s="24">
        <v>134.22999999999999</v>
      </c>
      <c r="BP383" s="395"/>
      <c r="BQ383" s="395"/>
      <c r="BU383" s="395"/>
      <c r="BV383" s="395"/>
      <c r="BZ383" s="395"/>
      <c r="CA383" s="395"/>
      <c r="CE383" s="548"/>
      <c r="CF383" s="548"/>
      <c r="CG383" s="548"/>
      <c r="CH383" s="548"/>
      <c r="GZ383" s="12"/>
      <c r="HD383" s="12"/>
    </row>
    <row r="384" spans="1:262" s="24" customFormat="1" x14ac:dyDescent="0.25">
      <c r="A384" s="24">
        <v>23</v>
      </c>
      <c r="B384" s="42" t="s">
        <v>3853</v>
      </c>
      <c r="C384" s="24" t="s">
        <v>356</v>
      </c>
      <c r="D384" s="24" t="s">
        <v>357</v>
      </c>
      <c r="E384" s="24">
        <v>2016</v>
      </c>
      <c r="F384" s="24">
        <v>2009</v>
      </c>
      <c r="G384" s="24" t="s">
        <v>371</v>
      </c>
      <c r="H384" s="24" t="s">
        <v>360</v>
      </c>
      <c r="I384" s="32" t="s">
        <v>2815</v>
      </c>
      <c r="J384" s="24">
        <v>38.82</v>
      </c>
      <c r="K384" s="24">
        <v>-76.75</v>
      </c>
      <c r="L384" s="24">
        <v>5.5</v>
      </c>
      <c r="R384" s="42">
        <v>1</v>
      </c>
      <c r="S384" s="42" t="s">
        <v>1728</v>
      </c>
      <c r="T384" s="42"/>
      <c r="U384" s="42" t="s">
        <v>1881</v>
      </c>
      <c r="V384" s="42" t="s">
        <v>1379</v>
      </c>
      <c r="W384" s="42" t="s">
        <v>1715</v>
      </c>
      <c r="X384" s="42" t="s">
        <v>1379</v>
      </c>
      <c r="Y384" s="42" t="s">
        <v>1379</v>
      </c>
      <c r="AA384" s="321"/>
      <c r="AB384" s="321"/>
      <c r="AC384" s="24" t="s">
        <v>1608</v>
      </c>
      <c r="AH384" s="24" t="s">
        <v>1530</v>
      </c>
      <c r="AI384" s="138" t="s">
        <v>577</v>
      </c>
      <c r="AJ384" s="24" t="s">
        <v>366</v>
      </c>
      <c r="AK384" s="140" t="s">
        <v>229</v>
      </c>
      <c r="AT384" s="24" t="s">
        <v>359</v>
      </c>
      <c r="AU384" s="24" t="s">
        <v>359</v>
      </c>
      <c r="AV384" s="24" t="s">
        <v>177</v>
      </c>
      <c r="AW384" s="24" t="s">
        <v>160</v>
      </c>
      <c r="AX384" s="24">
        <v>4</v>
      </c>
      <c r="AZ384" s="24" t="s">
        <v>141</v>
      </c>
      <c r="BD384" s="53"/>
      <c r="BK384" s="24">
        <v>95.83</v>
      </c>
      <c r="BL384" s="24">
        <v>95.83</v>
      </c>
      <c r="BP384" s="395"/>
      <c r="BQ384" s="395"/>
      <c r="BU384" s="395"/>
      <c r="BV384" s="395"/>
      <c r="BZ384" s="395"/>
      <c r="CA384" s="395"/>
      <c r="CE384" s="548"/>
      <c r="CF384" s="548"/>
      <c r="CG384" s="548"/>
      <c r="CH384" s="548"/>
      <c r="GZ384" s="12"/>
      <c r="HD384" s="12"/>
    </row>
    <row r="385" spans="1:212" s="24" customFormat="1" x14ac:dyDescent="0.25">
      <c r="A385" s="24">
        <v>23</v>
      </c>
      <c r="B385" s="42" t="s">
        <v>3853</v>
      </c>
      <c r="C385" s="24" t="s">
        <v>356</v>
      </c>
      <c r="D385" s="24" t="s">
        <v>357</v>
      </c>
      <c r="E385" s="24">
        <v>2016</v>
      </c>
      <c r="F385" s="24">
        <v>2009</v>
      </c>
      <c r="G385" s="24" t="s">
        <v>371</v>
      </c>
      <c r="H385" s="24" t="s">
        <v>360</v>
      </c>
      <c r="I385" s="32" t="s">
        <v>2815</v>
      </c>
      <c r="J385" s="24">
        <v>38.82</v>
      </c>
      <c r="K385" s="24">
        <v>-76.75</v>
      </c>
      <c r="L385" s="24">
        <v>5.5</v>
      </c>
      <c r="R385" s="42">
        <v>1</v>
      </c>
      <c r="S385" s="42" t="s">
        <v>1728</v>
      </c>
      <c r="T385" s="42"/>
      <c r="U385" s="42" t="s">
        <v>1882</v>
      </c>
      <c r="V385" s="42" t="s">
        <v>1379</v>
      </c>
      <c r="W385" s="42" t="s">
        <v>1715</v>
      </c>
      <c r="X385" s="42" t="s">
        <v>1379</v>
      </c>
      <c r="Y385" s="42" t="s">
        <v>1379</v>
      </c>
      <c r="AA385" s="321"/>
      <c r="AB385" s="321"/>
      <c r="AC385" s="24" t="s">
        <v>1608</v>
      </c>
      <c r="AH385" s="24" t="s">
        <v>1530</v>
      </c>
      <c r="AI385" s="138" t="s">
        <v>577</v>
      </c>
      <c r="AJ385" s="24" t="s">
        <v>366</v>
      </c>
      <c r="AK385" s="140" t="s">
        <v>229</v>
      </c>
      <c r="AT385" s="24" t="s">
        <v>359</v>
      </c>
      <c r="AU385" s="24" t="s">
        <v>359</v>
      </c>
      <c r="AV385" s="24" t="s">
        <v>177</v>
      </c>
      <c r="AW385" s="24" t="s">
        <v>160</v>
      </c>
      <c r="AX385" s="24">
        <v>4</v>
      </c>
      <c r="AZ385" s="24" t="s">
        <v>141</v>
      </c>
      <c r="BD385" s="53"/>
      <c r="BK385" s="24">
        <v>131.72</v>
      </c>
      <c r="BL385" s="24">
        <v>115.8</v>
      </c>
      <c r="BP385" s="395"/>
      <c r="BQ385" s="395"/>
      <c r="BU385" s="395"/>
      <c r="BV385" s="395"/>
      <c r="BZ385" s="395"/>
      <c r="CA385" s="395"/>
      <c r="CE385" s="548"/>
      <c r="CF385" s="548"/>
      <c r="CG385" s="548"/>
      <c r="CH385" s="548"/>
      <c r="GZ385" s="12"/>
      <c r="HD385" s="12"/>
    </row>
    <row r="386" spans="1:212" s="24" customFormat="1" x14ac:dyDescent="0.25">
      <c r="A386" s="24">
        <v>23</v>
      </c>
      <c r="B386" s="42" t="s">
        <v>3853</v>
      </c>
      <c r="C386" s="24" t="s">
        <v>356</v>
      </c>
      <c r="D386" s="24" t="s">
        <v>357</v>
      </c>
      <c r="E386" s="24">
        <v>2016</v>
      </c>
      <c r="F386" s="24">
        <v>2009</v>
      </c>
      <c r="G386" s="24" t="s">
        <v>371</v>
      </c>
      <c r="H386" s="24" t="s">
        <v>360</v>
      </c>
      <c r="I386" s="32" t="s">
        <v>2815</v>
      </c>
      <c r="J386" s="24">
        <v>38.82</v>
      </c>
      <c r="K386" s="24">
        <v>-76.75</v>
      </c>
      <c r="L386" s="24">
        <v>5.5</v>
      </c>
      <c r="R386" s="42">
        <v>1</v>
      </c>
      <c r="S386" s="42" t="s">
        <v>1728</v>
      </c>
      <c r="T386" s="42"/>
      <c r="U386" s="42" t="s">
        <v>1883</v>
      </c>
      <c r="V386" s="42" t="s">
        <v>1379</v>
      </c>
      <c r="W386" s="42" t="s">
        <v>1715</v>
      </c>
      <c r="X386" s="42" t="s">
        <v>1379</v>
      </c>
      <c r="Y386" s="42" t="s">
        <v>1379</v>
      </c>
      <c r="AA386" s="321"/>
      <c r="AB386" s="321"/>
      <c r="AC386" s="24" t="s">
        <v>1608</v>
      </c>
      <c r="AH386" s="24" t="s">
        <v>1530</v>
      </c>
      <c r="AI386" s="138" t="s">
        <v>577</v>
      </c>
      <c r="AJ386" s="24" t="s">
        <v>366</v>
      </c>
      <c r="AK386" s="140" t="s">
        <v>229</v>
      </c>
      <c r="AT386" s="24" t="s">
        <v>359</v>
      </c>
      <c r="AU386" s="24" t="s">
        <v>359</v>
      </c>
      <c r="AV386" s="24" t="s">
        <v>177</v>
      </c>
      <c r="AW386" s="24" t="s">
        <v>160</v>
      </c>
      <c r="AX386" s="24">
        <v>4</v>
      </c>
      <c r="AZ386" s="24" t="s">
        <v>141</v>
      </c>
      <c r="BD386" s="53"/>
      <c r="BK386" s="24">
        <v>136.16999999999999</v>
      </c>
      <c r="BL386" s="24">
        <v>142.71</v>
      </c>
      <c r="BP386" s="395"/>
      <c r="BQ386" s="395"/>
      <c r="BU386" s="395"/>
      <c r="BV386" s="395"/>
      <c r="BZ386" s="395"/>
      <c r="CA386" s="395"/>
      <c r="CE386" s="548"/>
      <c r="CF386" s="548"/>
      <c r="CG386" s="548"/>
      <c r="CH386" s="548"/>
      <c r="GZ386" s="12"/>
      <c r="HD386" s="12"/>
    </row>
    <row r="387" spans="1:212" s="24" customFormat="1" x14ac:dyDescent="0.25">
      <c r="A387" s="24">
        <v>23</v>
      </c>
      <c r="B387" s="42" t="s">
        <v>3853</v>
      </c>
      <c r="C387" s="24" t="s">
        <v>356</v>
      </c>
      <c r="D387" s="24" t="s">
        <v>357</v>
      </c>
      <c r="E387" s="24">
        <v>2016</v>
      </c>
      <c r="F387" s="24">
        <v>2009</v>
      </c>
      <c r="G387" s="24" t="s">
        <v>371</v>
      </c>
      <c r="H387" s="24" t="s">
        <v>360</v>
      </c>
      <c r="I387" s="32" t="s">
        <v>2815</v>
      </c>
      <c r="J387" s="24">
        <v>38.82</v>
      </c>
      <c r="K387" s="24">
        <v>-76.75</v>
      </c>
      <c r="L387" s="24">
        <v>5.5</v>
      </c>
      <c r="R387" s="42">
        <v>1</v>
      </c>
      <c r="S387" s="42" t="s">
        <v>1728</v>
      </c>
      <c r="T387" s="42"/>
      <c r="U387" s="42" t="s">
        <v>1884</v>
      </c>
      <c r="V387" s="42" t="s">
        <v>1379</v>
      </c>
      <c r="W387" s="42" t="s">
        <v>1715</v>
      </c>
      <c r="X387" s="42" t="s">
        <v>1379</v>
      </c>
      <c r="Y387" s="42" t="s">
        <v>1379</v>
      </c>
      <c r="AA387" s="321"/>
      <c r="AB387" s="321"/>
      <c r="AC387" s="24" t="s">
        <v>1608</v>
      </c>
      <c r="AH387" s="24" t="s">
        <v>1530</v>
      </c>
      <c r="AI387" s="138" t="s">
        <v>577</v>
      </c>
      <c r="AJ387" s="24" t="s">
        <v>366</v>
      </c>
      <c r="AK387" s="140" t="s">
        <v>229</v>
      </c>
      <c r="AT387" s="24" t="s">
        <v>359</v>
      </c>
      <c r="AU387" s="24" t="s">
        <v>359</v>
      </c>
      <c r="AV387" s="24" t="s">
        <v>177</v>
      </c>
      <c r="AW387" s="24" t="s">
        <v>160</v>
      </c>
      <c r="AX387" s="24">
        <v>4</v>
      </c>
      <c r="AZ387" s="24" t="s">
        <v>141</v>
      </c>
      <c r="BD387" s="53"/>
      <c r="BK387" s="24">
        <v>156.55000000000001</v>
      </c>
      <c r="BL387" s="24">
        <v>143.08000000000001</v>
      </c>
      <c r="BP387" s="395"/>
      <c r="BQ387" s="395"/>
      <c r="BU387" s="395"/>
      <c r="BV387" s="395"/>
      <c r="BZ387" s="395"/>
      <c r="CA387" s="395"/>
      <c r="CE387" s="548"/>
      <c r="CF387" s="548"/>
      <c r="CG387" s="548"/>
      <c r="CH387" s="548"/>
      <c r="GZ387" s="12"/>
      <c r="HD387" s="12"/>
    </row>
    <row r="388" spans="1:212" s="24" customFormat="1" x14ac:dyDescent="0.25">
      <c r="A388" s="24">
        <v>23</v>
      </c>
      <c r="B388" s="42" t="s">
        <v>3853</v>
      </c>
      <c r="C388" s="24" t="s">
        <v>356</v>
      </c>
      <c r="D388" s="24" t="s">
        <v>357</v>
      </c>
      <c r="E388" s="24">
        <v>2016</v>
      </c>
      <c r="F388" s="24">
        <v>2009</v>
      </c>
      <c r="G388" s="24" t="s">
        <v>371</v>
      </c>
      <c r="H388" s="24" t="s">
        <v>360</v>
      </c>
      <c r="I388" s="32" t="s">
        <v>2815</v>
      </c>
      <c r="J388" s="24">
        <v>38.82</v>
      </c>
      <c r="K388" s="24">
        <v>-76.75</v>
      </c>
      <c r="L388" s="24">
        <v>5.5</v>
      </c>
      <c r="R388" s="42">
        <v>1</v>
      </c>
      <c r="S388" s="42" t="s">
        <v>1728</v>
      </c>
      <c r="T388" s="42"/>
      <c r="U388" s="42" t="s">
        <v>1885</v>
      </c>
      <c r="V388" s="42" t="s">
        <v>1379</v>
      </c>
      <c r="W388" s="42" t="s">
        <v>1715</v>
      </c>
      <c r="X388" s="42" t="s">
        <v>1379</v>
      </c>
      <c r="Y388" s="42" t="s">
        <v>1379</v>
      </c>
      <c r="AA388" s="321"/>
      <c r="AB388" s="321"/>
      <c r="AC388" s="24" t="s">
        <v>1608</v>
      </c>
      <c r="AH388" s="24" t="s">
        <v>1530</v>
      </c>
      <c r="AI388" s="138" t="s">
        <v>577</v>
      </c>
      <c r="AJ388" s="24" t="s">
        <v>366</v>
      </c>
      <c r="AK388" s="140" t="s">
        <v>229</v>
      </c>
      <c r="AT388" s="24" t="s">
        <v>359</v>
      </c>
      <c r="AU388" s="24" t="s">
        <v>359</v>
      </c>
      <c r="AV388" s="24" t="s">
        <v>177</v>
      </c>
      <c r="AW388" s="24" t="s">
        <v>160</v>
      </c>
      <c r="AX388" s="24">
        <v>4</v>
      </c>
      <c r="AZ388" s="24" t="s">
        <v>141</v>
      </c>
      <c r="BD388" s="53"/>
      <c r="BK388" s="24">
        <v>213.67</v>
      </c>
      <c r="BL388" s="24">
        <v>208.77</v>
      </c>
      <c r="BP388" s="395"/>
      <c r="BQ388" s="395"/>
      <c r="BU388" s="395"/>
      <c r="BV388" s="395"/>
      <c r="BZ388" s="395"/>
      <c r="CA388" s="395"/>
      <c r="CE388" s="548"/>
      <c r="CF388" s="548"/>
      <c r="CG388" s="548"/>
      <c r="CH388" s="548"/>
      <c r="GZ388" s="12"/>
      <c r="HD388" s="12"/>
    </row>
    <row r="389" spans="1:212" s="24" customFormat="1" x14ac:dyDescent="0.25">
      <c r="A389" s="24">
        <v>23</v>
      </c>
      <c r="B389" s="42" t="s">
        <v>3853</v>
      </c>
      <c r="C389" s="24" t="s">
        <v>356</v>
      </c>
      <c r="D389" s="24" t="s">
        <v>357</v>
      </c>
      <c r="E389" s="24">
        <v>2016</v>
      </c>
      <c r="F389" s="24">
        <v>2009</v>
      </c>
      <c r="G389" s="24" t="s">
        <v>371</v>
      </c>
      <c r="H389" s="24" t="s">
        <v>360</v>
      </c>
      <c r="I389" s="32" t="s">
        <v>2815</v>
      </c>
      <c r="J389" s="24">
        <v>38.82</v>
      </c>
      <c r="K389" s="24">
        <v>-76.75</v>
      </c>
      <c r="L389" s="24">
        <v>5.5</v>
      </c>
      <c r="R389" s="42">
        <v>1</v>
      </c>
      <c r="S389" s="42" t="s">
        <v>1728</v>
      </c>
      <c r="T389" s="42"/>
      <c r="U389" s="42" t="s">
        <v>1886</v>
      </c>
      <c r="V389" s="42" t="s">
        <v>1379</v>
      </c>
      <c r="W389" s="42" t="s">
        <v>1715</v>
      </c>
      <c r="X389" s="42" t="s">
        <v>1379</v>
      </c>
      <c r="Y389" s="42" t="s">
        <v>1379</v>
      </c>
      <c r="AA389" s="321"/>
      <c r="AB389" s="321"/>
      <c r="AC389" s="24" t="s">
        <v>1608</v>
      </c>
      <c r="AH389" s="24" t="s">
        <v>1530</v>
      </c>
      <c r="AI389" s="138" t="s">
        <v>577</v>
      </c>
      <c r="AJ389" s="24" t="s">
        <v>366</v>
      </c>
      <c r="AK389" s="140" t="s">
        <v>229</v>
      </c>
      <c r="AT389" s="24" t="s">
        <v>359</v>
      </c>
      <c r="AU389" s="24" t="s">
        <v>359</v>
      </c>
      <c r="AV389" s="24" t="s">
        <v>177</v>
      </c>
      <c r="AW389" s="24" t="s">
        <v>160</v>
      </c>
      <c r="AX389" s="24">
        <v>4</v>
      </c>
      <c r="AZ389" s="24" t="s">
        <v>141</v>
      </c>
      <c r="BD389" s="53"/>
      <c r="BK389" s="24">
        <v>147.91999999999999</v>
      </c>
      <c r="BL389" s="24">
        <v>125.47</v>
      </c>
      <c r="BP389" s="395"/>
      <c r="BQ389" s="395"/>
      <c r="BU389" s="395"/>
      <c r="BV389" s="395"/>
      <c r="BZ389" s="395"/>
      <c r="CA389" s="395"/>
      <c r="CE389" s="548"/>
      <c r="CF389" s="548"/>
      <c r="CG389" s="548"/>
      <c r="CH389" s="548"/>
      <c r="GZ389" s="12"/>
      <c r="HD389" s="12"/>
    </row>
    <row r="390" spans="1:212" s="24" customFormat="1" x14ac:dyDescent="0.25">
      <c r="A390" s="24">
        <v>23</v>
      </c>
      <c r="B390" s="42" t="s">
        <v>3853</v>
      </c>
      <c r="C390" s="24" t="s">
        <v>356</v>
      </c>
      <c r="D390" s="24" t="s">
        <v>357</v>
      </c>
      <c r="E390" s="24">
        <v>2016</v>
      </c>
      <c r="F390" s="24">
        <v>2009</v>
      </c>
      <c r="G390" s="24" t="s">
        <v>371</v>
      </c>
      <c r="H390" s="24" t="s">
        <v>360</v>
      </c>
      <c r="I390" s="32" t="s">
        <v>2815</v>
      </c>
      <c r="J390" s="24">
        <v>38.82</v>
      </c>
      <c r="K390" s="24">
        <v>-76.75</v>
      </c>
      <c r="L390" s="24">
        <v>5.5</v>
      </c>
      <c r="R390" s="42">
        <v>1</v>
      </c>
      <c r="S390" s="42" t="s">
        <v>1728</v>
      </c>
      <c r="T390" s="42"/>
      <c r="U390" s="42" t="s">
        <v>1887</v>
      </c>
      <c r="V390" s="42" t="s">
        <v>1379</v>
      </c>
      <c r="W390" s="42" t="s">
        <v>1715</v>
      </c>
      <c r="X390" s="42" t="s">
        <v>1379</v>
      </c>
      <c r="Y390" s="42" t="s">
        <v>1379</v>
      </c>
      <c r="AA390" s="321"/>
      <c r="AB390" s="321"/>
      <c r="AC390" s="24" t="s">
        <v>1608</v>
      </c>
      <c r="AH390" s="24" t="s">
        <v>1530</v>
      </c>
      <c r="AI390" s="138" t="s">
        <v>577</v>
      </c>
      <c r="AJ390" s="24" t="s">
        <v>366</v>
      </c>
      <c r="AK390" s="140" t="s">
        <v>229</v>
      </c>
      <c r="AT390" s="24" t="s">
        <v>359</v>
      </c>
      <c r="AU390" s="24" t="s">
        <v>359</v>
      </c>
      <c r="AV390" s="24" t="s">
        <v>177</v>
      </c>
      <c r="AW390" s="24" t="s">
        <v>160</v>
      </c>
      <c r="AX390" s="24">
        <v>4</v>
      </c>
      <c r="AZ390" s="24" t="s">
        <v>141</v>
      </c>
      <c r="BD390" s="53"/>
      <c r="BK390" s="24">
        <v>176.87</v>
      </c>
      <c r="BL390" s="24">
        <v>107.89</v>
      </c>
      <c r="BP390" s="395"/>
      <c r="BQ390" s="395"/>
      <c r="BU390" s="395"/>
      <c r="BV390" s="395"/>
      <c r="BZ390" s="395"/>
      <c r="CA390" s="395"/>
      <c r="CE390" s="548"/>
      <c r="CF390" s="548"/>
      <c r="CG390" s="548"/>
      <c r="CH390" s="548"/>
      <c r="GZ390" s="12"/>
      <c r="HD390" s="12"/>
    </row>
    <row r="391" spans="1:212" s="24" customFormat="1" x14ac:dyDescent="0.25">
      <c r="A391" s="24">
        <v>23</v>
      </c>
      <c r="B391" s="42" t="s">
        <v>3853</v>
      </c>
      <c r="C391" s="24" t="s">
        <v>356</v>
      </c>
      <c r="D391" s="24" t="s">
        <v>357</v>
      </c>
      <c r="E391" s="24">
        <v>2016</v>
      </c>
      <c r="F391" s="24">
        <v>2009</v>
      </c>
      <c r="G391" s="24" t="s">
        <v>371</v>
      </c>
      <c r="H391" s="24" t="s">
        <v>360</v>
      </c>
      <c r="I391" s="32" t="s">
        <v>2815</v>
      </c>
      <c r="J391" s="24">
        <v>38.82</v>
      </c>
      <c r="K391" s="24">
        <v>-76.75</v>
      </c>
      <c r="L391" s="24">
        <v>5.5</v>
      </c>
      <c r="R391" s="42">
        <v>1</v>
      </c>
      <c r="S391" s="42" t="s">
        <v>1728</v>
      </c>
      <c r="T391" s="42"/>
      <c r="U391" s="42" t="s">
        <v>1888</v>
      </c>
      <c r="V391" s="42" t="s">
        <v>1379</v>
      </c>
      <c r="W391" s="42" t="s">
        <v>1715</v>
      </c>
      <c r="X391" s="42" t="s">
        <v>1379</v>
      </c>
      <c r="Y391" s="42" t="s">
        <v>1379</v>
      </c>
      <c r="AA391" s="321"/>
      <c r="AB391" s="321"/>
      <c r="AC391" s="24" t="s">
        <v>1608</v>
      </c>
      <c r="AH391" s="24" t="s">
        <v>1530</v>
      </c>
      <c r="AI391" s="138" t="s">
        <v>577</v>
      </c>
      <c r="AJ391" s="24" t="s">
        <v>366</v>
      </c>
      <c r="AK391" s="140" t="s">
        <v>229</v>
      </c>
      <c r="AT391" s="24" t="s">
        <v>359</v>
      </c>
      <c r="AU391" s="24" t="s">
        <v>359</v>
      </c>
      <c r="AV391" s="24" t="s">
        <v>177</v>
      </c>
      <c r="AW391" s="24" t="s">
        <v>160</v>
      </c>
      <c r="AX391" s="24">
        <v>4</v>
      </c>
      <c r="AZ391" s="24" t="s">
        <v>141</v>
      </c>
      <c r="BD391" s="53"/>
      <c r="BK391" s="24">
        <v>205.41</v>
      </c>
      <c r="BL391" s="24">
        <v>123.37</v>
      </c>
      <c r="BP391" s="395"/>
      <c r="BQ391" s="395"/>
      <c r="BU391" s="395"/>
      <c r="BV391" s="395"/>
      <c r="BZ391" s="395"/>
      <c r="CA391" s="395"/>
      <c r="CE391" s="548"/>
      <c r="CF391" s="548"/>
      <c r="CG391" s="548"/>
      <c r="CH391" s="548"/>
      <c r="GZ391" s="12"/>
      <c r="HD391" s="12"/>
    </row>
    <row r="392" spans="1:212" s="24" customFormat="1" x14ac:dyDescent="0.25">
      <c r="A392" s="24">
        <v>23</v>
      </c>
      <c r="B392" s="42" t="s">
        <v>3853</v>
      </c>
      <c r="C392" s="24" t="s">
        <v>356</v>
      </c>
      <c r="D392" s="24" t="s">
        <v>357</v>
      </c>
      <c r="E392" s="24">
        <v>2016</v>
      </c>
      <c r="F392" s="24">
        <v>2009</v>
      </c>
      <c r="G392" s="24" t="s">
        <v>371</v>
      </c>
      <c r="H392" s="24" t="s">
        <v>360</v>
      </c>
      <c r="I392" s="32" t="s">
        <v>2815</v>
      </c>
      <c r="J392" s="24">
        <v>38.82</v>
      </c>
      <c r="K392" s="24">
        <v>-76.75</v>
      </c>
      <c r="L392" s="24">
        <v>5.5</v>
      </c>
      <c r="R392" s="42">
        <v>1</v>
      </c>
      <c r="S392" s="42" t="s">
        <v>1728</v>
      </c>
      <c r="T392" s="42"/>
      <c r="U392" s="42" t="s">
        <v>1889</v>
      </c>
      <c r="V392" s="42" t="s">
        <v>1379</v>
      </c>
      <c r="W392" s="42" t="s">
        <v>1715</v>
      </c>
      <c r="X392" s="42" t="s">
        <v>1379</v>
      </c>
      <c r="Y392" s="42" t="s">
        <v>1379</v>
      </c>
      <c r="AA392" s="321"/>
      <c r="AB392" s="321"/>
      <c r="AC392" s="24" t="s">
        <v>1608</v>
      </c>
      <c r="AH392" s="24" t="s">
        <v>1530</v>
      </c>
      <c r="AI392" s="138" t="s">
        <v>577</v>
      </c>
      <c r="AJ392" s="24" t="s">
        <v>366</v>
      </c>
      <c r="AK392" s="140" t="s">
        <v>229</v>
      </c>
      <c r="AT392" s="24" t="s">
        <v>359</v>
      </c>
      <c r="AU392" s="24" t="s">
        <v>359</v>
      </c>
      <c r="AV392" s="24" t="s">
        <v>177</v>
      </c>
      <c r="AW392" s="24" t="s">
        <v>160</v>
      </c>
      <c r="AX392" s="24">
        <v>4</v>
      </c>
      <c r="AZ392" s="24" t="s">
        <v>141</v>
      </c>
      <c r="BD392" s="53"/>
      <c r="BK392" s="24">
        <v>184.57</v>
      </c>
      <c r="BL392" s="24">
        <v>143.34</v>
      </c>
      <c r="BP392" s="395"/>
      <c r="BQ392" s="395"/>
      <c r="BU392" s="395"/>
      <c r="BV392" s="395"/>
      <c r="BZ392" s="395"/>
      <c r="CA392" s="395"/>
      <c r="CE392" s="548"/>
      <c r="CF392" s="548"/>
      <c r="CG392" s="548"/>
      <c r="CH392" s="548"/>
      <c r="GZ392" s="12"/>
      <c r="HD392" s="12"/>
    </row>
    <row r="393" spans="1:212" s="24" customFormat="1" x14ac:dyDescent="0.25">
      <c r="A393" s="24">
        <v>23</v>
      </c>
      <c r="B393" s="42" t="s">
        <v>3853</v>
      </c>
      <c r="C393" s="24" t="s">
        <v>356</v>
      </c>
      <c r="D393" s="24" t="s">
        <v>357</v>
      </c>
      <c r="E393" s="24">
        <v>2016</v>
      </c>
      <c r="F393" s="24">
        <v>2009</v>
      </c>
      <c r="G393" s="24" t="s">
        <v>371</v>
      </c>
      <c r="H393" s="24" t="s">
        <v>360</v>
      </c>
      <c r="I393" s="32" t="s">
        <v>2815</v>
      </c>
      <c r="J393" s="24">
        <v>38.82</v>
      </c>
      <c r="K393" s="24">
        <v>-76.75</v>
      </c>
      <c r="L393" s="24">
        <v>5.5</v>
      </c>
      <c r="R393" s="42">
        <v>1</v>
      </c>
      <c r="S393" s="42" t="s">
        <v>1728</v>
      </c>
      <c r="T393" s="42"/>
      <c r="U393" s="42" t="s">
        <v>1890</v>
      </c>
      <c r="V393" s="42" t="s">
        <v>1379</v>
      </c>
      <c r="W393" s="42" t="s">
        <v>1715</v>
      </c>
      <c r="X393" s="42" t="s">
        <v>1379</v>
      </c>
      <c r="Y393" s="42" t="s">
        <v>1379</v>
      </c>
      <c r="AA393" s="321"/>
      <c r="AB393" s="321"/>
      <c r="AC393" s="24" t="s">
        <v>1608</v>
      </c>
      <c r="AH393" s="24" t="s">
        <v>1530</v>
      </c>
      <c r="AI393" s="138" t="s">
        <v>577</v>
      </c>
      <c r="AJ393" s="24" t="s">
        <v>366</v>
      </c>
      <c r="AK393" s="140" t="s">
        <v>229</v>
      </c>
      <c r="AT393" s="24" t="s">
        <v>359</v>
      </c>
      <c r="AU393" s="24" t="s">
        <v>359</v>
      </c>
      <c r="AV393" s="24" t="s">
        <v>177</v>
      </c>
      <c r="AW393" s="24" t="s">
        <v>160</v>
      </c>
      <c r="AX393" s="24">
        <v>4</v>
      </c>
      <c r="AZ393" s="24" t="s">
        <v>141</v>
      </c>
      <c r="BD393" s="53"/>
      <c r="BK393" s="24">
        <v>125.35</v>
      </c>
      <c r="BL393" s="24">
        <v>115.56</v>
      </c>
      <c r="BP393" s="395"/>
      <c r="BQ393" s="395"/>
      <c r="BU393" s="395"/>
      <c r="BV393" s="395"/>
      <c r="BZ393" s="395"/>
      <c r="CA393" s="395"/>
      <c r="CE393" s="548"/>
      <c r="CF393" s="548"/>
      <c r="CG393" s="548"/>
      <c r="CH393" s="548"/>
      <c r="GZ393" s="12"/>
      <c r="HD393" s="12"/>
    </row>
    <row r="394" spans="1:212" s="35" customFormat="1" x14ac:dyDescent="0.25">
      <c r="A394" s="35">
        <v>23</v>
      </c>
      <c r="B394" s="49" t="s">
        <v>3853</v>
      </c>
      <c r="C394" s="35" t="s">
        <v>356</v>
      </c>
      <c r="D394" s="35" t="s">
        <v>357</v>
      </c>
      <c r="E394" s="35">
        <v>2016</v>
      </c>
      <c r="F394" s="35">
        <v>2010</v>
      </c>
      <c r="G394" s="35" t="s">
        <v>371</v>
      </c>
      <c r="H394" s="35" t="s">
        <v>361</v>
      </c>
      <c r="I394" s="32" t="s">
        <v>2815</v>
      </c>
      <c r="J394" s="35">
        <v>38.92</v>
      </c>
      <c r="K394" s="35">
        <v>-76.150000000000006</v>
      </c>
      <c r="L394" s="35">
        <v>4.8</v>
      </c>
      <c r="R394" s="49">
        <v>2</v>
      </c>
      <c r="S394" s="49" t="s">
        <v>1728</v>
      </c>
      <c r="T394" s="49"/>
      <c r="U394" s="49" t="s">
        <v>1881</v>
      </c>
      <c r="V394" s="49" t="s">
        <v>1379</v>
      </c>
      <c r="W394" s="49" t="s">
        <v>1715</v>
      </c>
      <c r="X394" s="49" t="s">
        <v>1379</v>
      </c>
      <c r="Y394" s="49" t="s">
        <v>1379</v>
      </c>
      <c r="AA394" s="329"/>
      <c r="AB394" s="329"/>
      <c r="AC394" s="35" t="s">
        <v>1608</v>
      </c>
      <c r="AH394" s="35" t="s">
        <v>1530</v>
      </c>
      <c r="AI394" s="138" t="s">
        <v>577</v>
      </c>
      <c r="AJ394" s="35" t="s">
        <v>366</v>
      </c>
      <c r="AK394" s="140" t="s">
        <v>229</v>
      </c>
      <c r="AT394" s="35" t="s">
        <v>359</v>
      </c>
      <c r="AU394" s="35" t="s">
        <v>359</v>
      </c>
      <c r="AV394" s="35" t="s">
        <v>177</v>
      </c>
      <c r="AW394" s="35" t="s">
        <v>160</v>
      </c>
      <c r="AX394" s="35">
        <v>4</v>
      </c>
      <c r="AZ394" s="35" t="s">
        <v>141</v>
      </c>
      <c r="BD394" s="53"/>
      <c r="BK394" s="35">
        <v>143.54</v>
      </c>
      <c r="BL394" s="35">
        <v>111.54</v>
      </c>
      <c r="BP394" s="405"/>
      <c r="BQ394" s="405"/>
      <c r="BU394" s="405"/>
      <c r="BV394" s="405"/>
      <c r="BZ394" s="405"/>
      <c r="CA394" s="405"/>
      <c r="CE394" s="558"/>
      <c r="CF394" s="558"/>
      <c r="CG394" s="558"/>
      <c r="CH394" s="558"/>
      <c r="GZ394" s="12"/>
      <c r="HD394" s="12"/>
    </row>
    <row r="395" spans="1:212" s="35" customFormat="1" x14ac:dyDescent="0.25">
      <c r="A395" s="35">
        <v>23</v>
      </c>
      <c r="B395" s="49" t="s">
        <v>3853</v>
      </c>
      <c r="C395" s="35" t="s">
        <v>356</v>
      </c>
      <c r="D395" s="35" t="s">
        <v>357</v>
      </c>
      <c r="E395" s="35">
        <v>2016</v>
      </c>
      <c r="F395" s="35">
        <v>2010</v>
      </c>
      <c r="G395" s="35" t="s">
        <v>371</v>
      </c>
      <c r="H395" s="35" t="s">
        <v>361</v>
      </c>
      <c r="I395" s="32" t="s">
        <v>2815</v>
      </c>
      <c r="J395" s="35">
        <v>38.92</v>
      </c>
      <c r="K395" s="35">
        <v>-76.150000000000006</v>
      </c>
      <c r="L395" s="35">
        <v>4.8</v>
      </c>
      <c r="R395" s="49">
        <v>2</v>
      </c>
      <c r="S395" s="49" t="s">
        <v>1728</v>
      </c>
      <c r="T395" s="49"/>
      <c r="U395" s="49" t="s">
        <v>1891</v>
      </c>
      <c r="V395" s="49" t="s">
        <v>1379</v>
      </c>
      <c r="W395" s="49" t="s">
        <v>1715</v>
      </c>
      <c r="X395" s="49" t="s">
        <v>1379</v>
      </c>
      <c r="Y395" s="49" t="s">
        <v>1379</v>
      </c>
      <c r="AA395" s="329"/>
      <c r="AB395" s="329"/>
      <c r="AC395" s="35" t="s">
        <v>1608</v>
      </c>
      <c r="AH395" s="35" t="s">
        <v>1530</v>
      </c>
      <c r="AI395" s="138" t="s">
        <v>577</v>
      </c>
      <c r="AJ395" s="35" t="s">
        <v>366</v>
      </c>
      <c r="AK395" s="140" t="s">
        <v>229</v>
      </c>
      <c r="AT395" s="35" t="s">
        <v>359</v>
      </c>
      <c r="AU395" s="35" t="s">
        <v>359</v>
      </c>
      <c r="AV395" s="35" t="s">
        <v>177</v>
      </c>
      <c r="AW395" s="35" t="s">
        <v>160</v>
      </c>
      <c r="AX395" s="35">
        <v>4</v>
      </c>
      <c r="AZ395" s="35" t="s">
        <v>141</v>
      </c>
      <c r="BD395" s="53"/>
      <c r="BK395" s="35">
        <v>199.11</v>
      </c>
      <c r="BL395" s="35">
        <v>128.12</v>
      </c>
      <c r="BP395" s="405"/>
      <c r="BQ395" s="405"/>
      <c r="BU395" s="405"/>
      <c r="BV395" s="405"/>
      <c r="BZ395" s="405"/>
      <c r="CA395" s="405"/>
      <c r="CE395" s="558"/>
      <c r="CF395" s="558"/>
      <c r="CG395" s="558"/>
      <c r="CH395" s="558"/>
      <c r="GZ395" s="12"/>
      <c r="HD395" s="12"/>
    </row>
    <row r="396" spans="1:212" s="35" customFormat="1" x14ac:dyDescent="0.25">
      <c r="A396" s="35">
        <v>23</v>
      </c>
      <c r="B396" s="49" t="s">
        <v>3853</v>
      </c>
      <c r="C396" s="35" t="s">
        <v>356</v>
      </c>
      <c r="D396" s="35" t="s">
        <v>357</v>
      </c>
      <c r="E396" s="35">
        <v>2016</v>
      </c>
      <c r="F396" s="35">
        <v>2010</v>
      </c>
      <c r="G396" s="35" t="s">
        <v>371</v>
      </c>
      <c r="H396" s="35" t="s">
        <v>361</v>
      </c>
      <c r="I396" s="32" t="s">
        <v>2815</v>
      </c>
      <c r="J396" s="35">
        <v>38.92</v>
      </c>
      <c r="K396" s="35">
        <v>-76.150000000000006</v>
      </c>
      <c r="L396" s="35">
        <v>4.8</v>
      </c>
      <c r="R396" s="49">
        <v>2</v>
      </c>
      <c r="S396" s="49" t="s">
        <v>1728</v>
      </c>
      <c r="T396" s="49"/>
      <c r="U396" s="49" t="s">
        <v>1892</v>
      </c>
      <c r="V396" s="49" t="s">
        <v>1379</v>
      </c>
      <c r="W396" s="49" t="s">
        <v>1715</v>
      </c>
      <c r="X396" s="49" t="s">
        <v>1379</v>
      </c>
      <c r="Y396" s="49" t="s">
        <v>1379</v>
      </c>
      <c r="AA396" s="329"/>
      <c r="AB396" s="329"/>
      <c r="AC396" s="35" t="s">
        <v>1608</v>
      </c>
      <c r="AH396" s="35" t="s">
        <v>1530</v>
      </c>
      <c r="AI396" s="138" t="s">
        <v>577</v>
      </c>
      <c r="AJ396" s="35" t="s">
        <v>366</v>
      </c>
      <c r="AK396" s="140" t="s">
        <v>229</v>
      </c>
      <c r="AT396" s="35" t="s">
        <v>359</v>
      </c>
      <c r="AU396" s="35" t="s">
        <v>359</v>
      </c>
      <c r="AV396" s="35" t="s">
        <v>177</v>
      </c>
      <c r="AW396" s="35" t="s">
        <v>160</v>
      </c>
      <c r="AX396" s="35">
        <v>4</v>
      </c>
      <c r="AZ396" s="35" t="s">
        <v>141</v>
      </c>
      <c r="BD396" s="53"/>
      <c r="BK396" s="35">
        <v>147.15</v>
      </c>
      <c r="BL396" s="35">
        <v>135.15</v>
      </c>
      <c r="BP396" s="405"/>
      <c r="BQ396" s="405"/>
      <c r="BU396" s="405"/>
      <c r="BV396" s="405"/>
      <c r="BZ396" s="405"/>
      <c r="CA396" s="405"/>
      <c r="CE396" s="558"/>
      <c r="CF396" s="558"/>
      <c r="CG396" s="558"/>
      <c r="CH396" s="558"/>
      <c r="GZ396" s="12"/>
      <c r="HD396" s="12"/>
    </row>
    <row r="397" spans="1:212" s="35" customFormat="1" x14ac:dyDescent="0.25">
      <c r="A397" s="35">
        <v>23</v>
      </c>
      <c r="B397" s="49" t="s">
        <v>3853</v>
      </c>
      <c r="C397" s="35" t="s">
        <v>356</v>
      </c>
      <c r="D397" s="35" t="s">
        <v>357</v>
      </c>
      <c r="E397" s="35">
        <v>2016</v>
      </c>
      <c r="F397" s="35">
        <v>2010</v>
      </c>
      <c r="G397" s="35" t="s">
        <v>371</v>
      </c>
      <c r="H397" s="35" t="s">
        <v>361</v>
      </c>
      <c r="I397" s="32" t="s">
        <v>2815</v>
      </c>
      <c r="J397" s="35">
        <v>38.92</v>
      </c>
      <c r="K397" s="35">
        <v>-76.150000000000006</v>
      </c>
      <c r="L397" s="35">
        <v>4.8</v>
      </c>
      <c r="R397" s="49">
        <v>2</v>
      </c>
      <c r="S397" s="49" t="s">
        <v>1728</v>
      </c>
      <c r="T397" s="49"/>
      <c r="U397" s="49" t="s">
        <v>1886</v>
      </c>
      <c r="V397" s="49" t="s">
        <v>1379</v>
      </c>
      <c r="W397" s="49" t="s">
        <v>1715</v>
      </c>
      <c r="X397" s="49" t="s">
        <v>1379</v>
      </c>
      <c r="Y397" s="49" t="s">
        <v>1379</v>
      </c>
      <c r="AA397" s="329"/>
      <c r="AB397" s="329"/>
      <c r="AC397" s="35" t="s">
        <v>1608</v>
      </c>
      <c r="AH397" s="35" t="s">
        <v>1530</v>
      </c>
      <c r="AI397" s="138" t="s">
        <v>577</v>
      </c>
      <c r="AJ397" s="35" t="s">
        <v>366</v>
      </c>
      <c r="AK397" s="140" t="s">
        <v>229</v>
      </c>
      <c r="AT397" s="35" t="s">
        <v>359</v>
      </c>
      <c r="AU397" s="35" t="s">
        <v>359</v>
      </c>
      <c r="AV397" s="35" t="s">
        <v>177</v>
      </c>
      <c r="AW397" s="35" t="s">
        <v>160</v>
      </c>
      <c r="AX397" s="35">
        <v>4</v>
      </c>
      <c r="AZ397" s="35" t="s">
        <v>141</v>
      </c>
      <c r="BD397" s="53"/>
      <c r="BK397" s="35">
        <v>212.21</v>
      </c>
      <c r="BL397" s="35">
        <v>177.71</v>
      </c>
      <c r="BP397" s="405"/>
      <c r="BQ397" s="405"/>
      <c r="BU397" s="405"/>
      <c r="BV397" s="405"/>
      <c r="BZ397" s="405"/>
      <c r="CA397" s="405"/>
      <c r="CE397" s="558"/>
      <c r="CF397" s="558"/>
      <c r="CG397" s="558"/>
      <c r="CH397" s="558"/>
      <c r="GZ397" s="12"/>
      <c r="HD397" s="12"/>
    </row>
    <row r="398" spans="1:212" s="35" customFormat="1" x14ac:dyDescent="0.25">
      <c r="A398" s="35">
        <v>23</v>
      </c>
      <c r="B398" s="49" t="s">
        <v>3853</v>
      </c>
      <c r="C398" s="35" t="s">
        <v>356</v>
      </c>
      <c r="D398" s="35" t="s">
        <v>357</v>
      </c>
      <c r="E398" s="35">
        <v>2016</v>
      </c>
      <c r="F398" s="35">
        <v>2010</v>
      </c>
      <c r="G398" s="35" t="s">
        <v>371</v>
      </c>
      <c r="H398" s="35" t="s">
        <v>361</v>
      </c>
      <c r="I398" s="32" t="s">
        <v>2815</v>
      </c>
      <c r="J398" s="35">
        <v>38.92</v>
      </c>
      <c r="K398" s="35">
        <v>-76.150000000000006</v>
      </c>
      <c r="L398" s="35">
        <v>4.8</v>
      </c>
      <c r="R398" s="49">
        <v>2</v>
      </c>
      <c r="S398" s="49" t="s">
        <v>1728</v>
      </c>
      <c r="T398" s="49"/>
      <c r="U398" s="49" t="s">
        <v>1887</v>
      </c>
      <c r="V398" s="49" t="s">
        <v>1379</v>
      </c>
      <c r="W398" s="49" t="s">
        <v>1715</v>
      </c>
      <c r="X398" s="49" t="s">
        <v>1379</v>
      </c>
      <c r="Y398" s="49" t="s">
        <v>1379</v>
      </c>
      <c r="AA398" s="329"/>
      <c r="AB398" s="329"/>
      <c r="AC398" s="35" t="s">
        <v>1608</v>
      </c>
      <c r="AH398" s="35" t="s">
        <v>1530</v>
      </c>
      <c r="AI398" s="138" t="s">
        <v>577</v>
      </c>
      <c r="AJ398" s="35" t="s">
        <v>366</v>
      </c>
      <c r="AK398" s="140" t="s">
        <v>229</v>
      </c>
      <c r="AT398" s="35" t="s">
        <v>359</v>
      </c>
      <c r="AU398" s="35" t="s">
        <v>359</v>
      </c>
      <c r="AV398" s="35" t="s">
        <v>177</v>
      </c>
      <c r="AW398" s="35" t="s">
        <v>160</v>
      </c>
      <c r="AX398" s="35">
        <v>4</v>
      </c>
      <c r="AZ398" s="35" t="s">
        <v>141</v>
      </c>
      <c r="BD398" s="53"/>
      <c r="BK398" s="35">
        <v>215.25</v>
      </c>
      <c r="BL398" s="35">
        <v>163.25</v>
      </c>
      <c r="BP398" s="405"/>
      <c r="BQ398" s="405"/>
      <c r="BU398" s="405"/>
      <c r="BV398" s="405"/>
      <c r="BZ398" s="405"/>
      <c r="CA398" s="405"/>
      <c r="CE398" s="558"/>
      <c r="CF398" s="558"/>
      <c r="CG398" s="558"/>
      <c r="CH398" s="558"/>
      <c r="GZ398" s="12"/>
      <c r="HD398" s="12"/>
    </row>
    <row r="399" spans="1:212" s="35" customFormat="1" x14ac:dyDescent="0.25">
      <c r="A399" s="35">
        <v>23</v>
      </c>
      <c r="B399" s="49" t="s">
        <v>3853</v>
      </c>
      <c r="C399" s="35" t="s">
        <v>356</v>
      </c>
      <c r="D399" s="35" t="s">
        <v>357</v>
      </c>
      <c r="E399" s="35">
        <v>2016</v>
      </c>
      <c r="F399" s="35">
        <v>2010</v>
      </c>
      <c r="G399" s="35" t="s">
        <v>371</v>
      </c>
      <c r="H399" s="35" t="s">
        <v>361</v>
      </c>
      <c r="I399" s="32" t="s">
        <v>2815</v>
      </c>
      <c r="J399" s="35">
        <v>38.92</v>
      </c>
      <c r="K399" s="35">
        <v>-76.150000000000006</v>
      </c>
      <c r="L399" s="35">
        <v>4.8</v>
      </c>
      <c r="R399" s="49">
        <v>2</v>
      </c>
      <c r="S399" s="49" t="s">
        <v>1728</v>
      </c>
      <c r="T399" s="49"/>
      <c r="U399" s="49" t="s">
        <v>1888</v>
      </c>
      <c r="V399" s="49" t="s">
        <v>1379</v>
      </c>
      <c r="W399" s="49" t="s">
        <v>1715</v>
      </c>
      <c r="X399" s="49" t="s">
        <v>1379</v>
      </c>
      <c r="Y399" s="49" t="s">
        <v>1379</v>
      </c>
      <c r="AA399" s="329"/>
      <c r="AB399" s="329"/>
      <c r="AC399" s="35" t="s">
        <v>1608</v>
      </c>
      <c r="AH399" s="35" t="s">
        <v>1530</v>
      </c>
      <c r="AI399" s="138" t="s">
        <v>577</v>
      </c>
      <c r="AJ399" s="35" t="s">
        <v>366</v>
      </c>
      <c r="AK399" s="140" t="s">
        <v>229</v>
      </c>
      <c r="AT399" s="35" t="s">
        <v>359</v>
      </c>
      <c r="AU399" s="35" t="s">
        <v>359</v>
      </c>
      <c r="AV399" s="35" t="s">
        <v>177</v>
      </c>
      <c r="AW399" s="35" t="s">
        <v>160</v>
      </c>
      <c r="AX399" s="35">
        <v>4</v>
      </c>
      <c r="AZ399" s="35" t="s">
        <v>141</v>
      </c>
      <c r="BD399" s="53"/>
      <c r="BK399" s="35">
        <v>182.28</v>
      </c>
      <c r="BL399" s="35">
        <v>130.79</v>
      </c>
      <c r="BP399" s="405"/>
      <c r="BQ399" s="405"/>
      <c r="BU399" s="405"/>
      <c r="BV399" s="405"/>
      <c r="BZ399" s="405"/>
      <c r="CA399" s="405"/>
      <c r="CE399" s="558"/>
      <c r="CF399" s="558"/>
      <c r="CG399" s="558"/>
      <c r="CH399" s="558"/>
      <c r="GZ399" s="12"/>
      <c r="HD399" s="12"/>
    </row>
    <row r="400" spans="1:212" s="35" customFormat="1" x14ac:dyDescent="0.25">
      <c r="A400" s="35">
        <v>23</v>
      </c>
      <c r="B400" s="49" t="s">
        <v>3853</v>
      </c>
      <c r="C400" s="35" t="s">
        <v>356</v>
      </c>
      <c r="D400" s="35" t="s">
        <v>357</v>
      </c>
      <c r="E400" s="35">
        <v>2016</v>
      </c>
      <c r="F400" s="35">
        <v>2010</v>
      </c>
      <c r="G400" s="35" t="s">
        <v>371</v>
      </c>
      <c r="H400" s="35" t="s">
        <v>361</v>
      </c>
      <c r="I400" s="32" t="s">
        <v>2815</v>
      </c>
      <c r="J400" s="35">
        <v>38.92</v>
      </c>
      <c r="K400" s="35">
        <v>-76.150000000000006</v>
      </c>
      <c r="L400" s="35">
        <v>4.8</v>
      </c>
      <c r="R400" s="49">
        <v>2</v>
      </c>
      <c r="S400" s="49" t="s">
        <v>1728</v>
      </c>
      <c r="T400" s="49"/>
      <c r="U400" s="49" t="s">
        <v>1890</v>
      </c>
      <c r="V400" s="49" t="s">
        <v>1379</v>
      </c>
      <c r="W400" s="49" t="s">
        <v>1715</v>
      </c>
      <c r="X400" s="49" t="s">
        <v>1379</v>
      </c>
      <c r="Y400" s="49" t="s">
        <v>1379</v>
      </c>
      <c r="AA400" s="329"/>
      <c r="AB400" s="329"/>
      <c r="AC400" s="35" t="s">
        <v>1608</v>
      </c>
      <c r="AH400" s="35" t="s">
        <v>1530</v>
      </c>
      <c r="AI400" s="138" t="s">
        <v>577</v>
      </c>
      <c r="AJ400" s="35" t="s">
        <v>366</v>
      </c>
      <c r="AK400" s="140" t="s">
        <v>229</v>
      </c>
      <c r="AT400" s="35" t="s">
        <v>359</v>
      </c>
      <c r="AU400" s="35" t="s">
        <v>359</v>
      </c>
      <c r="AV400" s="35" t="s">
        <v>177</v>
      </c>
      <c r="AW400" s="35" t="s">
        <v>160</v>
      </c>
      <c r="AX400" s="35">
        <v>4</v>
      </c>
      <c r="AZ400" s="35" t="s">
        <v>141</v>
      </c>
      <c r="BD400" s="53"/>
      <c r="BK400" s="35">
        <v>163.34</v>
      </c>
      <c r="BL400" s="35">
        <v>163.34</v>
      </c>
      <c r="BP400" s="405"/>
      <c r="BQ400" s="405"/>
      <c r="BU400" s="405"/>
      <c r="BV400" s="405"/>
      <c r="BZ400" s="405"/>
      <c r="CA400" s="405"/>
      <c r="CE400" s="558"/>
      <c r="CF400" s="558"/>
      <c r="CG400" s="558"/>
      <c r="CH400" s="558"/>
      <c r="GZ400" s="12"/>
      <c r="HD400" s="12"/>
    </row>
    <row r="401" spans="1:212" s="35" customFormat="1" x14ac:dyDescent="0.25">
      <c r="A401" s="35">
        <v>23</v>
      </c>
      <c r="B401" s="49" t="s">
        <v>3853</v>
      </c>
      <c r="C401" s="35" t="s">
        <v>356</v>
      </c>
      <c r="D401" s="35" t="s">
        <v>357</v>
      </c>
      <c r="E401" s="35">
        <v>2016</v>
      </c>
      <c r="F401" s="35">
        <v>2010</v>
      </c>
      <c r="G401" s="35" t="s">
        <v>371</v>
      </c>
      <c r="H401" s="35" t="s">
        <v>361</v>
      </c>
      <c r="I401" s="32" t="s">
        <v>2815</v>
      </c>
      <c r="J401" s="35">
        <v>38.92</v>
      </c>
      <c r="K401" s="35">
        <v>-76.150000000000006</v>
      </c>
      <c r="L401" s="35">
        <v>4.8</v>
      </c>
      <c r="R401" s="49">
        <v>2</v>
      </c>
      <c r="S401" s="49" t="s">
        <v>1728</v>
      </c>
      <c r="T401" s="49"/>
      <c r="U401" s="49" t="s">
        <v>1893</v>
      </c>
      <c r="V401" s="49" t="s">
        <v>1379</v>
      </c>
      <c r="W401" s="49" t="s">
        <v>1715</v>
      </c>
      <c r="X401" s="49" t="s">
        <v>1379</v>
      </c>
      <c r="Y401" s="49" t="s">
        <v>1379</v>
      </c>
      <c r="AA401" s="329"/>
      <c r="AB401" s="329"/>
      <c r="AC401" s="35" t="s">
        <v>1608</v>
      </c>
      <c r="AH401" s="35" t="s">
        <v>1530</v>
      </c>
      <c r="AI401" s="138" t="s">
        <v>577</v>
      </c>
      <c r="AJ401" s="35" t="s">
        <v>366</v>
      </c>
      <c r="AK401" s="140" t="s">
        <v>229</v>
      </c>
      <c r="AT401" s="35" t="s">
        <v>359</v>
      </c>
      <c r="AU401" s="35" t="s">
        <v>359</v>
      </c>
      <c r="AV401" s="35" t="s">
        <v>177</v>
      </c>
      <c r="AW401" s="35" t="s">
        <v>160</v>
      </c>
      <c r="AX401" s="35">
        <v>4</v>
      </c>
      <c r="AZ401" s="35" t="s">
        <v>141</v>
      </c>
      <c r="BD401" s="53"/>
      <c r="BK401" s="35">
        <v>160.38</v>
      </c>
      <c r="BL401" s="35">
        <v>101.88</v>
      </c>
      <c r="BP401" s="405"/>
      <c r="BQ401" s="405"/>
      <c r="BU401" s="405"/>
      <c r="BV401" s="405"/>
      <c r="BZ401" s="405"/>
      <c r="CA401" s="405"/>
      <c r="CE401" s="558"/>
      <c r="CF401" s="558"/>
      <c r="CG401" s="558"/>
      <c r="CH401" s="558"/>
      <c r="GZ401" s="12"/>
      <c r="HD401" s="12"/>
    </row>
    <row r="402" spans="1:212" s="35" customFormat="1" x14ac:dyDescent="0.25">
      <c r="A402" s="35">
        <v>23</v>
      </c>
      <c r="B402" s="49" t="s">
        <v>3853</v>
      </c>
      <c r="C402" s="35" t="s">
        <v>356</v>
      </c>
      <c r="D402" s="35" t="s">
        <v>357</v>
      </c>
      <c r="E402" s="35">
        <v>2016</v>
      </c>
      <c r="F402" s="35">
        <v>2010</v>
      </c>
      <c r="G402" s="35" t="s">
        <v>371</v>
      </c>
      <c r="H402" s="35" t="s">
        <v>361</v>
      </c>
      <c r="I402" s="32" t="s">
        <v>2815</v>
      </c>
      <c r="J402" s="35">
        <v>38.92</v>
      </c>
      <c r="K402" s="35">
        <v>-76.150000000000006</v>
      </c>
      <c r="L402" s="35">
        <v>4.8</v>
      </c>
      <c r="R402" s="49">
        <v>2</v>
      </c>
      <c r="S402" s="49" t="s">
        <v>1728</v>
      </c>
      <c r="T402" s="49"/>
      <c r="U402" s="49" t="s">
        <v>1894</v>
      </c>
      <c r="V402" s="49" t="s">
        <v>1379</v>
      </c>
      <c r="W402" s="49" t="s">
        <v>1715</v>
      </c>
      <c r="X402" s="49" t="s">
        <v>1379</v>
      </c>
      <c r="Y402" s="49" t="s">
        <v>1379</v>
      </c>
      <c r="AA402" s="329"/>
      <c r="AB402" s="329"/>
      <c r="AC402" s="35" t="s">
        <v>1608</v>
      </c>
      <c r="AH402" s="35" t="s">
        <v>1530</v>
      </c>
      <c r="AI402" s="138" t="s">
        <v>577</v>
      </c>
      <c r="AJ402" s="35" t="s">
        <v>366</v>
      </c>
      <c r="AK402" s="140" t="s">
        <v>229</v>
      </c>
      <c r="AT402" s="35" t="s">
        <v>359</v>
      </c>
      <c r="AU402" s="35" t="s">
        <v>359</v>
      </c>
      <c r="AV402" s="35" t="s">
        <v>177</v>
      </c>
      <c r="AW402" s="35" t="s">
        <v>160</v>
      </c>
      <c r="AX402" s="35">
        <v>4</v>
      </c>
      <c r="AZ402" s="35" t="s">
        <v>141</v>
      </c>
      <c r="BD402" s="53"/>
      <c r="BK402" s="35">
        <v>160.44</v>
      </c>
      <c r="BL402" s="35">
        <v>95.94</v>
      </c>
      <c r="BP402" s="405"/>
      <c r="BQ402" s="405"/>
      <c r="BU402" s="405"/>
      <c r="BV402" s="405"/>
      <c r="BZ402" s="405"/>
      <c r="CA402" s="405"/>
      <c r="CE402" s="558"/>
      <c r="CF402" s="558"/>
      <c r="CG402" s="558"/>
      <c r="CH402" s="558"/>
      <c r="GZ402" s="12"/>
      <c r="HD402" s="12"/>
    </row>
    <row r="403" spans="1:212" s="24" customFormat="1" x14ac:dyDescent="0.25">
      <c r="A403" s="24">
        <v>23</v>
      </c>
      <c r="B403" s="42" t="s">
        <v>3853</v>
      </c>
      <c r="C403" s="24" t="s">
        <v>356</v>
      </c>
      <c r="D403" s="24" t="s">
        <v>357</v>
      </c>
      <c r="E403" s="24">
        <v>2016</v>
      </c>
      <c r="F403" s="24">
        <v>2010</v>
      </c>
      <c r="G403" s="24" t="s">
        <v>371</v>
      </c>
      <c r="H403" s="24" t="s">
        <v>360</v>
      </c>
      <c r="I403" s="32" t="s">
        <v>2815</v>
      </c>
      <c r="J403" s="24">
        <v>38.82</v>
      </c>
      <c r="K403" s="24">
        <v>-76.75</v>
      </c>
      <c r="L403" s="24">
        <v>5.5</v>
      </c>
      <c r="R403" s="42">
        <v>2</v>
      </c>
      <c r="S403" s="42" t="s">
        <v>1728</v>
      </c>
      <c r="T403" s="42"/>
      <c r="U403" s="42" t="s">
        <v>1895</v>
      </c>
      <c r="V403" s="42" t="s">
        <v>1379</v>
      </c>
      <c r="W403" s="42" t="s">
        <v>1715</v>
      </c>
      <c r="X403" s="42" t="s">
        <v>1379</v>
      </c>
      <c r="Y403" s="42" t="s">
        <v>1379</v>
      </c>
      <c r="AA403" s="321"/>
      <c r="AB403" s="321"/>
      <c r="AC403" s="24" t="s">
        <v>1608</v>
      </c>
      <c r="AH403" s="24" t="s">
        <v>1530</v>
      </c>
      <c r="AI403" s="138" t="s">
        <v>577</v>
      </c>
      <c r="AJ403" s="24" t="s">
        <v>366</v>
      </c>
      <c r="AK403" s="140" t="s">
        <v>229</v>
      </c>
      <c r="AT403" s="24" t="s">
        <v>359</v>
      </c>
      <c r="AU403" s="24" t="s">
        <v>359</v>
      </c>
      <c r="AV403" s="24" t="s">
        <v>177</v>
      </c>
      <c r="AW403" s="24" t="s">
        <v>160</v>
      </c>
      <c r="AX403" s="24">
        <v>4</v>
      </c>
      <c r="AZ403" s="24" t="s">
        <v>141</v>
      </c>
      <c r="BD403" s="53"/>
      <c r="BK403" s="24">
        <v>129.25</v>
      </c>
      <c r="BL403" s="24">
        <v>1</v>
      </c>
      <c r="BP403" s="395"/>
      <c r="BQ403" s="395"/>
      <c r="BU403" s="395"/>
      <c r="BV403" s="395"/>
      <c r="BZ403" s="395"/>
      <c r="CA403" s="395"/>
      <c r="CE403" s="548"/>
      <c r="CF403" s="548"/>
      <c r="CG403" s="548"/>
      <c r="CH403" s="548"/>
      <c r="GZ403" s="12"/>
      <c r="HD403" s="12"/>
    </row>
    <row r="404" spans="1:212" s="24" customFormat="1" x14ac:dyDescent="0.25">
      <c r="A404" s="24">
        <v>23</v>
      </c>
      <c r="B404" s="42" t="s">
        <v>3853</v>
      </c>
      <c r="C404" s="24" t="s">
        <v>356</v>
      </c>
      <c r="D404" s="24" t="s">
        <v>357</v>
      </c>
      <c r="E404" s="24">
        <v>2016</v>
      </c>
      <c r="F404" s="24">
        <v>2010</v>
      </c>
      <c r="G404" s="24" t="s">
        <v>371</v>
      </c>
      <c r="H404" s="24" t="s">
        <v>360</v>
      </c>
      <c r="I404" s="32" t="s">
        <v>2815</v>
      </c>
      <c r="J404" s="24">
        <v>38.82</v>
      </c>
      <c r="K404" s="24">
        <v>-76.75</v>
      </c>
      <c r="L404" s="24">
        <v>5.5</v>
      </c>
      <c r="R404" s="42">
        <v>2</v>
      </c>
      <c r="S404" s="42" t="s">
        <v>1728</v>
      </c>
      <c r="T404" s="42"/>
      <c r="U404" s="42" t="s">
        <v>1896</v>
      </c>
      <c r="V404" s="42" t="s">
        <v>1379</v>
      </c>
      <c r="W404" s="42" t="s">
        <v>1715</v>
      </c>
      <c r="X404" s="42" t="s">
        <v>1379</v>
      </c>
      <c r="Y404" s="42" t="s">
        <v>1379</v>
      </c>
      <c r="AA404" s="321"/>
      <c r="AB404" s="321"/>
      <c r="AC404" s="24" t="s">
        <v>1608</v>
      </c>
      <c r="AH404" s="24" t="s">
        <v>1530</v>
      </c>
      <c r="AI404" s="138" t="s">
        <v>577</v>
      </c>
      <c r="AJ404" s="24" t="s">
        <v>366</v>
      </c>
      <c r="AK404" s="140" t="s">
        <v>229</v>
      </c>
      <c r="AT404" s="24" t="s">
        <v>359</v>
      </c>
      <c r="AU404" s="24" t="s">
        <v>359</v>
      </c>
      <c r="AV404" s="24" t="s">
        <v>177</v>
      </c>
      <c r="AW404" s="24" t="s">
        <v>160</v>
      </c>
      <c r="AX404" s="24">
        <v>4</v>
      </c>
      <c r="AZ404" s="24" t="s">
        <v>141</v>
      </c>
      <c r="BD404" s="53"/>
      <c r="BK404" s="24">
        <v>727.89</v>
      </c>
      <c r="BL404" s="24">
        <v>68.03</v>
      </c>
      <c r="BP404" s="395"/>
      <c r="BQ404" s="395"/>
      <c r="BU404" s="395"/>
      <c r="BV404" s="395"/>
      <c r="BZ404" s="395"/>
      <c r="CA404" s="395"/>
      <c r="CE404" s="548"/>
      <c r="CF404" s="548"/>
      <c r="CG404" s="548"/>
      <c r="CH404" s="548"/>
      <c r="GZ404" s="12"/>
      <c r="HD404" s="12"/>
    </row>
    <row r="405" spans="1:212" s="24" customFormat="1" x14ac:dyDescent="0.25">
      <c r="A405" s="24">
        <v>23</v>
      </c>
      <c r="B405" s="42" t="s">
        <v>3853</v>
      </c>
      <c r="C405" s="24" t="s">
        <v>356</v>
      </c>
      <c r="D405" s="24" t="s">
        <v>357</v>
      </c>
      <c r="E405" s="24">
        <v>2016</v>
      </c>
      <c r="F405" s="24">
        <v>2010</v>
      </c>
      <c r="G405" s="24" t="s">
        <v>371</v>
      </c>
      <c r="H405" s="24" t="s">
        <v>360</v>
      </c>
      <c r="I405" s="32" t="s">
        <v>2815</v>
      </c>
      <c r="J405" s="24">
        <v>38.82</v>
      </c>
      <c r="K405" s="24">
        <v>-76.75</v>
      </c>
      <c r="L405" s="24">
        <v>5.5</v>
      </c>
      <c r="R405" s="42">
        <v>2</v>
      </c>
      <c r="S405" s="42" t="s">
        <v>1728</v>
      </c>
      <c r="T405" s="42"/>
      <c r="U405" s="42" t="s">
        <v>1884</v>
      </c>
      <c r="V405" s="42" t="s">
        <v>1379</v>
      </c>
      <c r="W405" s="42" t="s">
        <v>1715</v>
      </c>
      <c r="X405" s="42" t="s">
        <v>1379</v>
      </c>
      <c r="Y405" s="42" t="s">
        <v>1379</v>
      </c>
      <c r="AA405" s="321"/>
      <c r="AB405" s="321"/>
      <c r="AC405" s="24" t="s">
        <v>1608</v>
      </c>
      <c r="AH405" s="24" t="s">
        <v>1530</v>
      </c>
      <c r="AI405" s="138" t="s">
        <v>577</v>
      </c>
      <c r="AJ405" s="24" t="s">
        <v>366</v>
      </c>
      <c r="AK405" s="140" t="s">
        <v>229</v>
      </c>
      <c r="AT405" s="24" t="s">
        <v>359</v>
      </c>
      <c r="AU405" s="24" t="s">
        <v>359</v>
      </c>
      <c r="AV405" s="24" t="s">
        <v>177</v>
      </c>
      <c r="AW405" s="24" t="s">
        <v>160</v>
      </c>
      <c r="AX405" s="24">
        <v>4</v>
      </c>
      <c r="AZ405" s="24" t="s">
        <v>141</v>
      </c>
      <c r="BD405" s="53"/>
      <c r="BK405" s="24">
        <v>619.04999999999995</v>
      </c>
      <c r="BL405" s="24">
        <v>231.29</v>
      </c>
      <c r="BP405" s="395"/>
      <c r="BQ405" s="395"/>
      <c r="BU405" s="395"/>
      <c r="BV405" s="395"/>
      <c r="BZ405" s="395"/>
      <c r="CA405" s="395"/>
      <c r="CE405" s="548"/>
      <c r="CF405" s="548"/>
      <c r="CG405" s="548"/>
      <c r="CH405" s="548"/>
      <c r="GZ405" s="12"/>
      <c r="HD405" s="12"/>
    </row>
    <row r="406" spans="1:212" s="24" customFormat="1" x14ac:dyDescent="0.25">
      <c r="A406" s="24">
        <v>23</v>
      </c>
      <c r="B406" s="42" t="s">
        <v>3853</v>
      </c>
      <c r="C406" s="24" t="s">
        <v>356</v>
      </c>
      <c r="D406" s="24" t="s">
        <v>357</v>
      </c>
      <c r="E406" s="24">
        <v>2016</v>
      </c>
      <c r="F406" s="24">
        <v>2010</v>
      </c>
      <c r="G406" s="24" t="s">
        <v>371</v>
      </c>
      <c r="H406" s="24" t="s">
        <v>360</v>
      </c>
      <c r="I406" s="32" t="s">
        <v>2815</v>
      </c>
      <c r="J406" s="24">
        <v>38.82</v>
      </c>
      <c r="K406" s="24">
        <v>-76.75</v>
      </c>
      <c r="L406" s="24">
        <v>5.5</v>
      </c>
      <c r="R406" s="42">
        <v>2</v>
      </c>
      <c r="S406" s="42" t="s">
        <v>1728</v>
      </c>
      <c r="T406" s="42"/>
      <c r="U406" s="42" t="s">
        <v>1885</v>
      </c>
      <c r="V406" s="42" t="s">
        <v>1379</v>
      </c>
      <c r="W406" s="42" t="s">
        <v>1715</v>
      </c>
      <c r="X406" s="42" t="s">
        <v>1379</v>
      </c>
      <c r="Y406" s="42" t="s">
        <v>1379</v>
      </c>
      <c r="AA406" s="321"/>
      <c r="AB406" s="321"/>
      <c r="AC406" s="24" t="s">
        <v>1608</v>
      </c>
      <c r="AH406" s="24" t="s">
        <v>1530</v>
      </c>
      <c r="AI406" s="138" t="s">
        <v>577</v>
      </c>
      <c r="AJ406" s="24" t="s">
        <v>366</v>
      </c>
      <c r="AK406" s="140" t="s">
        <v>229</v>
      </c>
      <c r="AT406" s="24" t="s">
        <v>359</v>
      </c>
      <c r="AU406" s="24" t="s">
        <v>359</v>
      </c>
      <c r="AV406" s="24" t="s">
        <v>177</v>
      </c>
      <c r="AW406" s="24" t="s">
        <v>160</v>
      </c>
      <c r="AX406" s="24">
        <v>4</v>
      </c>
      <c r="AZ406" s="24" t="s">
        <v>141</v>
      </c>
      <c r="BD406" s="53"/>
      <c r="BK406" s="24">
        <v>591.84</v>
      </c>
      <c r="BL406" s="24">
        <v>81.63</v>
      </c>
      <c r="BP406" s="395"/>
      <c r="BQ406" s="395"/>
      <c r="BU406" s="395"/>
      <c r="BV406" s="395"/>
      <c r="BZ406" s="395"/>
      <c r="CA406" s="395"/>
      <c r="CE406" s="548"/>
      <c r="CF406" s="548"/>
      <c r="CG406" s="548"/>
      <c r="CH406" s="548"/>
      <c r="GZ406" s="12"/>
      <c r="HD406" s="12"/>
    </row>
    <row r="407" spans="1:212" s="24" customFormat="1" x14ac:dyDescent="0.25">
      <c r="A407" s="24">
        <v>23</v>
      </c>
      <c r="B407" s="42" t="s">
        <v>3853</v>
      </c>
      <c r="C407" s="24" t="s">
        <v>356</v>
      </c>
      <c r="D407" s="24" t="s">
        <v>357</v>
      </c>
      <c r="E407" s="24">
        <v>2016</v>
      </c>
      <c r="F407" s="24">
        <v>2010</v>
      </c>
      <c r="G407" s="24" t="s">
        <v>371</v>
      </c>
      <c r="H407" s="24" t="s">
        <v>360</v>
      </c>
      <c r="I407" s="32" t="s">
        <v>2815</v>
      </c>
      <c r="J407" s="24">
        <v>38.82</v>
      </c>
      <c r="K407" s="24">
        <v>-76.75</v>
      </c>
      <c r="L407" s="24">
        <v>5.5</v>
      </c>
      <c r="R407" s="42">
        <v>2</v>
      </c>
      <c r="S407" s="42" t="s">
        <v>1728</v>
      </c>
      <c r="T407" s="42"/>
      <c r="U407" s="42" t="s">
        <v>1897</v>
      </c>
      <c r="V407" s="42" t="s">
        <v>1379</v>
      </c>
      <c r="W407" s="42" t="s">
        <v>1715</v>
      </c>
      <c r="X407" s="42" t="s">
        <v>1379</v>
      </c>
      <c r="Y407" s="42" t="s">
        <v>1379</v>
      </c>
      <c r="AA407" s="321"/>
      <c r="AB407" s="321"/>
      <c r="AC407" s="24" t="s">
        <v>1608</v>
      </c>
      <c r="AH407" s="24" t="s">
        <v>1530</v>
      </c>
      <c r="AI407" s="138" t="s">
        <v>577</v>
      </c>
      <c r="AJ407" s="24" t="s">
        <v>366</v>
      </c>
      <c r="AK407" s="140" t="s">
        <v>229</v>
      </c>
      <c r="AT407" s="24" t="s">
        <v>359</v>
      </c>
      <c r="AU407" s="24" t="s">
        <v>359</v>
      </c>
      <c r="AV407" s="24" t="s">
        <v>177</v>
      </c>
      <c r="AW407" s="24" t="s">
        <v>160</v>
      </c>
      <c r="AX407" s="24">
        <v>4</v>
      </c>
      <c r="AZ407" s="24" t="s">
        <v>141</v>
      </c>
      <c r="BD407" s="53"/>
      <c r="BK407" s="24">
        <v>401.36</v>
      </c>
      <c r="BL407" s="24">
        <v>142.86000000000001</v>
      </c>
      <c r="BP407" s="395"/>
      <c r="BQ407" s="395"/>
      <c r="BU407" s="395"/>
      <c r="BV407" s="395"/>
      <c r="BZ407" s="395"/>
      <c r="CA407" s="395"/>
      <c r="CE407" s="548"/>
      <c r="CF407" s="548"/>
      <c r="CG407" s="548"/>
      <c r="CH407" s="548"/>
      <c r="GZ407" s="12"/>
      <c r="HD407" s="12"/>
    </row>
    <row r="408" spans="1:212" s="24" customFormat="1" x14ac:dyDescent="0.25">
      <c r="A408" s="24">
        <v>23</v>
      </c>
      <c r="B408" s="42" t="s">
        <v>3853</v>
      </c>
      <c r="C408" s="24" t="s">
        <v>356</v>
      </c>
      <c r="D408" s="24" t="s">
        <v>357</v>
      </c>
      <c r="E408" s="24">
        <v>2016</v>
      </c>
      <c r="F408" s="24">
        <v>2010</v>
      </c>
      <c r="G408" s="24" t="s">
        <v>371</v>
      </c>
      <c r="H408" s="24" t="s">
        <v>360</v>
      </c>
      <c r="I408" s="32" t="s">
        <v>2815</v>
      </c>
      <c r="J408" s="24">
        <v>38.82</v>
      </c>
      <c r="K408" s="24">
        <v>-76.75</v>
      </c>
      <c r="L408" s="24">
        <v>5.5</v>
      </c>
      <c r="R408" s="42">
        <v>2</v>
      </c>
      <c r="S408" s="42" t="s">
        <v>1728</v>
      </c>
      <c r="T408" s="42"/>
      <c r="U408" s="42" t="s">
        <v>1898</v>
      </c>
      <c r="V408" s="42" t="s">
        <v>1379</v>
      </c>
      <c r="W408" s="42" t="s">
        <v>1715</v>
      </c>
      <c r="X408" s="42" t="s">
        <v>1379</v>
      </c>
      <c r="Y408" s="42" t="s">
        <v>1379</v>
      </c>
      <c r="AA408" s="321"/>
      <c r="AB408" s="321"/>
      <c r="AC408" s="24" t="s">
        <v>1608</v>
      </c>
      <c r="AH408" s="24" t="s">
        <v>1530</v>
      </c>
      <c r="AI408" s="138" t="s">
        <v>577</v>
      </c>
      <c r="AJ408" s="24" t="s">
        <v>366</v>
      </c>
      <c r="AK408" s="140" t="s">
        <v>229</v>
      </c>
      <c r="AT408" s="24" t="s">
        <v>359</v>
      </c>
      <c r="AU408" s="24" t="s">
        <v>359</v>
      </c>
      <c r="AV408" s="24" t="s">
        <v>177</v>
      </c>
      <c r="AW408" s="24" t="s">
        <v>160</v>
      </c>
      <c r="AX408" s="24">
        <v>4</v>
      </c>
      <c r="AZ408" s="24" t="s">
        <v>141</v>
      </c>
      <c r="BD408" s="53"/>
      <c r="BK408" s="24">
        <v>1095.24</v>
      </c>
      <c r="BL408" s="24">
        <v>204.08</v>
      </c>
      <c r="BP408" s="395"/>
      <c r="BQ408" s="395"/>
      <c r="BU408" s="395"/>
      <c r="BV408" s="395"/>
      <c r="BZ408" s="395"/>
      <c r="CA408" s="395"/>
      <c r="CE408" s="548"/>
      <c r="CF408" s="548"/>
      <c r="CG408" s="548"/>
      <c r="CH408" s="548"/>
      <c r="GZ408" s="12"/>
      <c r="HD408" s="12"/>
    </row>
    <row r="409" spans="1:212" s="24" customFormat="1" x14ac:dyDescent="0.25">
      <c r="A409" s="24">
        <v>23</v>
      </c>
      <c r="B409" s="42" t="s">
        <v>3853</v>
      </c>
      <c r="C409" s="24" t="s">
        <v>356</v>
      </c>
      <c r="D409" s="24" t="s">
        <v>357</v>
      </c>
      <c r="E409" s="24">
        <v>2016</v>
      </c>
      <c r="F409" s="24">
        <v>2010</v>
      </c>
      <c r="G409" s="24" t="s">
        <v>371</v>
      </c>
      <c r="H409" s="24" t="s">
        <v>360</v>
      </c>
      <c r="I409" s="32" t="s">
        <v>2815</v>
      </c>
      <c r="J409" s="24">
        <v>38.82</v>
      </c>
      <c r="K409" s="24">
        <v>-76.75</v>
      </c>
      <c r="L409" s="24">
        <v>5.5</v>
      </c>
      <c r="R409" s="42">
        <v>2</v>
      </c>
      <c r="S409" s="42" t="s">
        <v>1728</v>
      </c>
      <c r="T409" s="42"/>
      <c r="U409" s="42" t="s">
        <v>1899</v>
      </c>
      <c r="V409" s="42" t="s">
        <v>1379</v>
      </c>
      <c r="W409" s="42" t="s">
        <v>1715</v>
      </c>
      <c r="X409" s="42" t="s">
        <v>1379</v>
      </c>
      <c r="Y409" s="42" t="s">
        <v>1379</v>
      </c>
      <c r="AA409" s="321"/>
      <c r="AB409" s="321"/>
      <c r="AC409" s="24" t="s">
        <v>1608</v>
      </c>
      <c r="AH409" s="24" t="s">
        <v>1530</v>
      </c>
      <c r="AI409" s="138" t="s">
        <v>577</v>
      </c>
      <c r="AJ409" s="24" t="s">
        <v>366</v>
      </c>
      <c r="AK409" s="140" t="s">
        <v>229</v>
      </c>
      <c r="AT409" s="24" t="s">
        <v>359</v>
      </c>
      <c r="AU409" s="24" t="s">
        <v>359</v>
      </c>
      <c r="AV409" s="24" t="s">
        <v>177</v>
      </c>
      <c r="AW409" s="24" t="s">
        <v>160</v>
      </c>
      <c r="AX409" s="24">
        <v>4</v>
      </c>
      <c r="AZ409" s="24" t="s">
        <v>141</v>
      </c>
      <c r="BD409" s="53"/>
      <c r="BK409" s="24">
        <v>1482.99</v>
      </c>
      <c r="BL409" s="24">
        <v>489.8</v>
      </c>
      <c r="BP409" s="395"/>
      <c r="BQ409" s="395"/>
      <c r="BU409" s="395"/>
      <c r="BV409" s="395"/>
      <c r="BZ409" s="395"/>
      <c r="CA409" s="395"/>
      <c r="CE409" s="548"/>
      <c r="CF409" s="548"/>
      <c r="CG409" s="548"/>
      <c r="CH409" s="548"/>
      <c r="GZ409" s="12"/>
      <c r="HD409" s="12"/>
    </row>
    <row r="410" spans="1:212" s="24" customFormat="1" x14ac:dyDescent="0.25">
      <c r="A410" s="24">
        <v>23</v>
      </c>
      <c r="B410" s="42" t="s">
        <v>3853</v>
      </c>
      <c r="C410" s="24" t="s">
        <v>356</v>
      </c>
      <c r="D410" s="24" t="s">
        <v>357</v>
      </c>
      <c r="E410" s="24">
        <v>2016</v>
      </c>
      <c r="F410" s="24">
        <v>2010</v>
      </c>
      <c r="G410" s="24" t="s">
        <v>371</v>
      </c>
      <c r="H410" s="24" t="s">
        <v>360</v>
      </c>
      <c r="I410" s="32" t="s">
        <v>2815</v>
      </c>
      <c r="J410" s="24">
        <v>38.82</v>
      </c>
      <c r="K410" s="24">
        <v>-76.75</v>
      </c>
      <c r="L410" s="24">
        <v>5.5</v>
      </c>
      <c r="R410" s="42">
        <v>2</v>
      </c>
      <c r="S410" s="42" t="s">
        <v>1728</v>
      </c>
      <c r="T410" s="42"/>
      <c r="U410" s="42" t="s">
        <v>1888</v>
      </c>
      <c r="V410" s="42" t="s">
        <v>1379</v>
      </c>
      <c r="W410" s="42" t="s">
        <v>1715</v>
      </c>
      <c r="X410" s="42" t="s">
        <v>1379</v>
      </c>
      <c r="Y410" s="42" t="s">
        <v>1379</v>
      </c>
      <c r="AA410" s="321"/>
      <c r="AB410" s="321"/>
      <c r="AC410" s="24" t="s">
        <v>1608</v>
      </c>
      <c r="AH410" s="24" t="s">
        <v>1530</v>
      </c>
      <c r="AI410" s="138" t="s">
        <v>577</v>
      </c>
      <c r="AJ410" s="24" t="s">
        <v>366</v>
      </c>
      <c r="AK410" s="140" t="s">
        <v>229</v>
      </c>
      <c r="AT410" s="24" t="s">
        <v>359</v>
      </c>
      <c r="AU410" s="24" t="s">
        <v>359</v>
      </c>
      <c r="AV410" s="24" t="s">
        <v>177</v>
      </c>
      <c r="AW410" s="24" t="s">
        <v>160</v>
      </c>
      <c r="AX410" s="24">
        <v>4</v>
      </c>
      <c r="AZ410" s="24" t="s">
        <v>141</v>
      </c>
      <c r="BD410" s="53"/>
      <c r="BK410" s="24">
        <v>353.74</v>
      </c>
      <c r="BL410" s="24">
        <v>136.05000000000001</v>
      </c>
      <c r="BP410" s="395"/>
      <c r="BQ410" s="395"/>
      <c r="BU410" s="395"/>
      <c r="BV410" s="395"/>
      <c r="BZ410" s="395"/>
      <c r="CA410" s="395"/>
      <c r="CE410" s="548"/>
      <c r="CF410" s="548"/>
      <c r="CG410" s="548"/>
      <c r="CH410" s="548"/>
      <c r="GZ410" s="12"/>
      <c r="HD410" s="12"/>
    </row>
    <row r="411" spans="1:212" s="24" customFormat="1" x14ac:dyDescent="0.25">
      <c r="A411" s="24">
        <v>23</v>
      </c>
      <c r="B411" s="42" t="s">
        <v>3853</v>
      </c>
      <c r="C411" s="24" t="s">
        <v>356</v>
      </c>
      <c r="D411" s="24" t="s">
        <v>357</v>
      </c>
      <c r="E411" s="24">
        <v>2016</v>
      </c>
      <c r="F411" s="24">
        <v>2010</v>
      </c>
      <c r="G411" s="24" t="s">
        <v>371</v>
      </c>
      <c r="H411" s="24" t="s">
        <v>360</v>
      </c>
      <c r="I411" s="32" t="s">
        <v>2815</v>
      </c>
      <c r="J411" s="24">
        <v>38.82</v>
      </c>
      <c r="K411" s="24">
        <v>-76.75</v>
      </c>
      <c r="L411" s="24">
        <v>5.5</v>
      </c>
      <c r="R411" s="42">
        <v>2</v>
      </c>
      <c r="S411" s="42" t="s">
        <v>1728</v>
      </c>
      <c r="T411" s="42"/>
      <c r="U411" s="42" t="s">
        <v>1900</v>
      </c>
      <c r="V411" s="42" t="s">
        <v>1379</v>
      </c>
      <c r="W411" s="42" t="s">
        <v>1715</v>
      </c>
      <c r="X411" s="42" t="s">
        <v>1379</v>
      </c>
      <c r="Y411" s="42" t="s">
        <v>1379</v>
      </c>
      <c r="AA411" s="321"/>
      <c r="AB411" s="321"/>
      <c r="AC411" s="24" t="s">
        <v>1608</v>
      </c>
      <c r="AH411" s="24" t="s">
        <v>1530</v>
      </c>
      <c r="AI411" s="138" t="s">
        <v>577</v>
      </c>
      <c r="AJ411" s="24" t="s">
        <v>366</v>
      </c>
      <c r="AK411" s="140" t="s">
        <v>229</v>
      </c>
      <c r="AT411" s="24" t="s">
        <v>359</v>
      </c>
      <c r="AU411" s="24" t="s">
        <v>359</v>
      </c>
      <c r="AV411" s="24" t="s">
        <v>177</v>
      </c>
      <c r="AW411" s="24" t="s">
        <v>160</v>
      </c>
      <c r="AX411" s="24">
        <v>4</v>
      </c>
      <c r="AZ411" s="24" t="s">
        <v>141</v>
      </c>
      <c r="BD411" s="53"/>
      <c r="BK411" s="24">
        <v>544.22</v>
      </c>
      <c r="BL411" s="24">
        <v>122.45</v>
      </c>
      <c r="BP411" s="395"/>
      <c r="BQ411" s="395"/>
      <c r="BU411" s="395"/>
      <c r="BV411" s="395"/>
      <c r="BZ411" s="395"/>
      <c r="CA411" s="395"/>
      <c r="CE411" s="548"/>
      <c r="CF411" s="548"/>
      <c r="CG411" s="548"/>
      <c r="CH411" s="548"/>
      <c r="GZ411" s="12"/>
      <c r="HD411" s="12"/>
    </row>
    <row r="412" spans="1:212" s="24" customFormat="1" x14ac:dyDescent="0.25">
      <c r="A412" s="24">
        <v>23</v>
      </c>
      <c r="B412" s="42" t="s">
        <v>3853</v>
      </c>
      <c r="C412" s="24" t="s">
        <v>356</v>
      </c>
      <c r="D412" s="24" t="s">
        <v>357</v>
      </c>
      <c r="E412" s="24">
        <v>2016</v>
      </c>
      <c r="F412" s="24">
        <v>2010</v>
      </c>
      <c r="G412" s="24" t="s">
        <v>371</v>
      </c>
      <c r="H412" s="24" t="s">
        <v>360</v>
      </c>
      <c r="I412" s="32" t="s">
        <v>2815</v>
      </c>
      <c r="J412" s="24">
        <v>38.82</v>
      </c>
      <c r="K412" s="24">
        <v>-76.75</v>
      </c>
      <c r="L412" s="24">
        <v>5.5</v>
      </c>
      <c r="R412" s="42">
        <v>2</v>
      </c>
      <c r="S412" s="42" t="s">
        <v>1728</v>
      </c>
      <c r="T412" s="42"/>
      <c r="U412" s="42" t="s">
        <v>1889</v>
      </c>
      <c r="V412" s="42" t="s">
        <v>1379</v>
      </c>
      <c r="W412" s="42" t="s">
        <v>1715</v>
      </c>
      <c r="X412" s="42" t="s">
        <v>1379</v>
      </c>
      <c r="Y412" s="42" t="s">
        <v>1379</v>
      </c>
      <c r="AA412" s="321"/>
      <c r="AB412" s="321"/>
      <c r="AC412" s="24" t="s">
        <v>1608</v>
      </c>
      <c r="AH412" s="24" t="s">
        <v>1530</v>
      </c>
      <c r="AI412" s="138" t="s">
        <v>577</v>
      </c>
      <c r="AJ412" s="24" t="s">
        <v>366</v>
      </c>
      <c r="AK412" s="140" t="s">
        <v>229</v>
      </c>
      <c r="AT412" s="24" t="s">
        <v>359</v>
      </c>
      <c r="AU412" s="24" t="s">
        <v>359</v>
      </c>
      <c r="AV412" s="24" t="s">
        <v>177</v>
      </c>
      <c r="AW412" s="24" t="s">
        <v>160</v>
      </c>
      <c r="AX412" s="24">
        <v>4</v>
      </c>
      <c r="AZ412" s="24" t="s">
        <v>141</v>
      </c>
      <c r="BD412" s="53"/>
      <c r="BK412" s="24">
        <v>272.11</v>
      </c>
      <c r="BL412" s="24">
        <v>81.63</v>
      </c>
      <c r="BP412" s="395"/>
      <c r="BQ412" s="395"/>
      <c r="BU412" s="395"/>
      <c r="BV412" s="395"/>
      <c r="BZ412" s="395"/>
      <c r="CA412" s="395"/>
      <c r="CE412" s="548"/>
      <c r="CF412" s="548"/>
      <c r="CG412" s="548"/>
      <c r="CH412" s="548"/>
      <c r="GZ412" s="12"/>
      <c r="HD412" s="12"/>
    </row>
    <row r="413" spans="1:212" s="24" customFormat="1" x14ac:dyDescent="0.25">
      <c r="A413" s="24">
        <v>23</v>
      </c>
      <c r="B413" s="42" t="s">
        <v>3853</v>
      </c>
      <c r="C413" s="24" t="s">
        <v>356</v>
      </c>
      <c r="D413" s="24" t="s">
        <v>357</v>
      </c>
      <c r="E413" s="24">
        <v>2016</v>
      </c>
      <c r="F413" s="24">
        <v>2010</v>
      </c>
      <c r="G413" s="24" t="s">
        <v>371</v>
      </c>
      <c r="H413" s="24" t="s">
        <v>360</v>
      </c>
      <c r="I413" s="32" t="s">
        <v>2815</v>
      </c>
      <c r="J413" s="24">
        <v>38.82</v>
      </c>
      <c r="K413" s="24">
        <v>-76.75</v>
      </c>
      <c r="L413" s="24">
        <v>5.5</v>
      </c>
      <c r="R413" s="42">
        <v>2</v>
      </c>
      <c r="S413" s="42" t="s">
        <v>1728</v>
      </c>
      <c r="T413" s="42"/>
      <c r="U413" s="42" t="s">
        <v>1890</v>
      </c>
      <c r="V413" s="42" t="s">
        <v>1379</v>
      </c>
      <c r="W413" s="42" t="s">
        <v>1715</v>
      </c>
      <c r="X413" s="42" t="s">
        <v>1379</v>
      </c>
      <c r="Y413" s="42" t="s">
        <v>1379</v>
      </c>
      <c r="AA413" s="321"/>
      <c r="AB413" s="321"/>
      <c r="AC413" s="24" t="s">
        <v>1608</v>
      </c>
      <c r="AH413" s="24" t="s">
        <v>1530</v>
      </c>
      <c r="AI413" s="138" t="s">
        <v>577</v>
      </c>
      <c r="AJ413" s="24" t="s">
        <v>366</v>
      </c>
      <c r="AK413" s="140" t="s">
        <v>229</v>
      </c>
      <c r="AT413" s="24" t="s">
        <v>359</v>
      </c>
      <c r="AU413" s="24" t="s">
        <v>359</v>
      </c>
      <c r="AV413" s="24" t="s">
        <v>177</v>
      </c>
      <c r="AW413" s="24" t="s">
        <v>160</v>
      </c>
      <c r="AX413" s="24">
        <v>4</v>
      </c>
      <c r="AZ413" s="24" t="s">
        <v>141</v>
      </c>
      <c r="BD413" s="53"/>
      <c r="BK413" s="24">
        <v>653.05999999999995</v>
      </c>
      <c r="BL413" s="24">
        <v>326.52999999999997</v>
      </c>
      <c r="BP413" s="395"/>
      <c r="BQ413" s="395"/>
      <c r="BU413" s="395"/>
      <c r="BV413" s="395"/>
      <c r="BZ413" s="395"/>
      <c r="CA413" s="395"/>
      <c r="CE413" s="548"/>
      <c r="CF413" s="548"/>
      <c r="CG413" s="548"/>
      <c r="CH413" s="548"/>
      <c r="GZ413" s="12"/>
      <c r="HD413" s="12"/>
    </row>
    <row r="414" spans="1:212" s="24" customFormat="1" x14ac:dyDescent="0.25">
      <c r="A414" s="24">
        <v>23</v>
      </c>
      <c r="B414" s="42" t="s">
        <v>3853</v>
      </c>
      <c r="C414" s="24" t="s">
        <v>356</v>
      </c>
      <c r="D414" s="24" t="s">
        <v>357</v>
      </c>
      <c r="E414" s="24">
        <v>2016</v>
      </c>
      <c r="F414" s="24">
        <v>2010</v>
      </c>
      <c r="G414" s="24" t="s">
        <v>371</v>
      </c>
      <c r="H414" s="24" t="s">
        <v>360</v>
      </c>
      <c r="I414" s="32" t="s">
        <v>2815</v>
      </c>
      <c r="J414" s="24">
        <v>38.82</v>
      </c>
      <c r="K414" s="24">
        <v>-76.75</v>
      </c>
      <c r="L414" s="24">
        <v>5.5</v>
      </c>
      <c r="R414" s="42">
        <v>2</v>
      </c>
      <c r="S414" s="42" t="s">
        <v>1728</v>
      </c>
      <c r="T414" s="42"/>
      <c r="U414" s="42" t="s">
        <v>1893</v>
      </c>
      <c r="V414" s="42" t="s">
        <v>1379</v>
      </c>
      <c r="W414" s="42" t="s">
        <v>1715</v>
      </c>
      <c r="X414" s="42" t="s">
        <v>1379</v>
      </c>
      <c r="Y414" s="42" t="s">
        <v>1379</v>
      </c>
      <c r="AA414" s="321"/>
      <c r="AB414" s="321"/>
      <c r="AC414" s="24" t="s">
        <v>1608</v>
      </c>
      <c r="AH414" s="24" t="s">
        <v>1530</v>
      </c>
      <c r="AI414" s="138" t="s">
        <v>577</v>
      </c>
      <c r="AJ414" s="24" t="s">
        <v>366</v>
      </c>
      <c r="AK414" s="140" t="s">
        <v>229</v>
      </c>
      <c r="AT414" s="24" t="s">
        <v>359</v>
      </c>
      <c r="AU414" s="24" t="s">
        <v>359</v>
      </c>
      <c r="AV414" s="24" t="s">
        <v>177</v>
      </c>
      <c r="AW414" s="24" t="s">
        <v>160</v>
      </c>
      <c r="AX414" s="24">
        <v>4</v>
      </c>
      <c r="AZ414" s="24" t="s">
        <v>141</v>
      </c>
      <c r="BD414" s="53"/>
      <c r="BK414" s="24">
        <v>1721.09</v>
      </c>
      <c r="BL414" s="24">
        <v>238.1</v>
      </c>
      <c r="BP414" s="395"/>
      <c r="BQ414" s="395"/>
      <c r="BU414" s="395"/>
      <c r="BV414" s="395"/>
      <c r="BZ414" s="395"/>
      <c r="CA414" s="395"/>
      <c r="CE414" s="548"/>
      <c r="CF414" s="548"/>
      <c r="CG414" s="548"/>
      <c r="CH414" s="548"/>
      <c r="GZ414" s="12"/>
      <c r="HD414" s="12"/>
    </row>
    <row r="415" spans="1:212" s="24" customFormat="1" x14ac:dyDescent="0.25">
      <c r="A415" s="24">
        <v>23</v>
      </c>
      <c r="B415" s="42" t="s">
        <v>3853</v>
      </c>
      <c r="C415" s="24" t="s">
        <v>356</v>
      </c>
      <c r="D415" s="24" t="s">
        <v>357</v>
      </c>
      <c r="E415" s="24">
        <v>2016</v>
      </c>
      <c r="F415" s="24">
        <v>2010</v>
      </c>
      <c r="G415" s="24" t="s">
        <v>371</v>
      </c>
      <c r="H415" s="24" t="s">
        <v>360</v>
      </c>
      <c r="I415" s="32" t="s">
        <v>2815</v>
      </c>
      <c r="J415" s="24">
        <v>38.82</v>
      </c>
      <c r="K415" s="24">
        <v>-76.75</v>
      </c>
      <c r="L415" s="24">
        <v>5.5</v>
      </c>
      <c r="R415" s="42">
        <v>2</v>
      </c>
      <c r="S415" s="42" t="s">
        <v>1728</v>
      </c>
      <c r="T415" s="42"/>
      <c r="U415" s="42" t="s">
        <v>1901</v>
      </c>
      <c r="V415" s="42" t="s">
        <v>1379</v>
      </c>
      <c r="W415" s="42" t="s">
        <v>1715</v>
      </c>
      <c r="X415" s="42" t="s">
        <v>1379</v>
      </c>
      <c r="Y415" s="42" t="s">
        <v>1379</v>
      </c>
      <c r="AA415" s="321"/>
      <c r="AB415" s="321"/>
      <c r="AC415" s="24" t="s">
        <v>1608</v>
      </c>
      <c r="AH415" s="24" t="s">
        <v>1530</v>
      </c>
      <c r="AI415" s="138" t="s">
        <v>577</v>
      </c>
      <c r="AJ415" s="24" t="s">
        <v>366</v>
      </c>
      <c r="AK415" s="140" t="s">
        <v>229</v>
      </c>
      <c r="AT415" s="24" t="s">
        <v>359</v>
      </c>
      <c r="AU415" s="24" t="s">
        <v>359</v>
      </c>
      <c r="AV415" s="24" t="s">
        <v>177</v>
      </c>
      <c r="AW415" s="24" t="s">
        <v>160</v>
      </c>
      <c r="AX415" s="24">
        <v>4</v>
      </c>
      <c r="AZ415" s="24" t="s">
        <v>141</v>
      </c>
      <c r="BD415" s="53"/>
      <c r="BK415" s="24">
        <v>659.86</v>
      </c>
      <c r="BL415" s="24">
        <v>210.88</v>
      </c>
      <c r="BP415" s="395"/>
      <c r="BQ415" s="395"/>
      <c r="BU415" s="395"/>
      <c r="BV415" s="395"/>
      <c r="BZ415" s="395"/>
      <c r="CA415" s="395"/>
      <c r="CE415" s="548"/>
      <c r="CF415" s="548"/>
      <c r="CG415" s="548"/>
      <c r="CH415" s="548"/>
      <c r="GZ415" s="12"/>
      <c r="HD415" s="12"/>
    </row>
    <row r="416" spans="1:212" s="24" customFormat="1" x14ac:dyDescent="0.25">
      <c r="A416" s="24">
        <v>23</v>
      </c>
      <c r="B416" s="42" t="s">
        <v>3853</v>
      </c>
      <c r="C416" s="24" t="s">
        <v>356</v>
      </c>
      <c r="D416" s="24" t="s">
        <v>357</v>
      </c>
      <c r="E416" s="24">
        <v>2016</v>
      </c>
      <c r="F416" s="24">
        <v>2010</v>
      </c>
      <c r="G416" s="24" t="s">
        <v>371</v>
      </c>
      <c r="H416" s="24" t="s">
        <v>360</v>
      </c>
      <c r="I416" s="32" t="s">
        <v>2815</v>
      </c>
      <c r="J416" s="24">
        <v>38.82</v>
      </c>
      <c r="K416" s="24">
        <v>-76.75</v>
      </c>
      <c r="L416" s="24">
        <v>5.5</v>
      </c>
      <c r="R416" s="42">
        <v>2</v>
      </c>
      <c r="S416" s="42" t="s">
        <v>1728</v>
      </c>
      <c r="T416" s="42"/>
      <c r="U416" s="42" t="s">
        <v>1902</v>
      </c>
      <c r="V416" s="42" t="s">
        <v>1379</v>
      </c>
      <c r="W416" s="42" t="s">
        <v>1715</v>
      </c>
      <c r="X416" s="42" t="s">
        <v>1379</v>
      </c>
      <c r="Y416" s="42" t="s">
        <v>1379</v>
      </c>
      <c r="AA416" s="321"/>
      <c r="AB416" s="321"/>
      <c r="AC416" s="24" t="s">
        <v>1608</v>
      </c>
      <c r="AH416" s="24" t="s">
        <v>1530</v>
      </c>
      <c r="AI416" s="138" t="s">
        <v>577</v>
      </c>
      <c r="AJ416" s="24" t="s">
        <v>366</v>
      </c>
      <c r="AK416" s="140" t="s">
        <v>229</v>
      </c>
      <c r="AT416" s="24" t="s">
        <v>359</v>
      </c>
      <c r="AU416" s="24" t="s">
        <v>359</v>
      </c>
      <c r="AV416" s="24" t="s">
        <v>177</v>
      </c>
      <c r="AW416" s="24" t="s">
        <v>160</v>
      </c>
      <c r="AX416" s="24">
        <v>4</v>
      </c>
      <c r="AZ416" s="24" t="s">
        <v>141</v>
      </c>
      <c r="BD416" s="53"/>
      <c r="BK416" s="24">
        <v>537.41999999999996</v>
      </c>
      <c r="BL416" s="24">
        <v>360.54</v>
      </c>
      <c r="BP416" s="395"/>
      <c r="BQ416" s="395"/>
      <c r="BU416" s="395"/>
      <c r="BV416" s="395"/>
      <c r="BZ416" s="395"/>
      <c r="CA416" s="395"/>
      <c r="CE416" s="548"/>
      <c r="CF416" s="548"/>
      <c r="CG416" s="548"/>
      <c r="CH416" s="548"/>
      <c r="GZ416" s="12"/>
      <c r="HD416" s="12"/>
    </row>
    <row r="417" spans="1:262" s="35" customFormat="1" x14ac:dyDescent="0.25">
      <c r="A417" s="35">
        <v>23</v>
      </c>
      <c r="B417" s="49" t="s">
        <v>3853</v>
      </c>
      <c r="C417" s="35" t="s">
        <v>356</v>
      </c>
      <c r="D417" s="35" t="s">
        <v>357</v>
      </c>
      <c r="E417" s="35">
        <v>2016</v>
      </c>
      <c r="F417" s="35">
        <v>2011</v>
      </c>
      <c r="G417" s="35" t="s">
        <v>371</v>
      </c>
      <c r="H417" s="35" t="s">
        <v>361</v>
      </c>
      <c r="I417" s="32" t="s">
        <v>2815</v>
      </c>
      <c r="J417" s="35">
        <v>38.92</v>
      </c>
      <c r="K417" s="35">
        <v>-76.150000000000006</v>
      </c>
      <c r="L417" s="35">
        <v>4.8</v>
      </c>
      <c r="R417" s="49">
        <v>3</v>
      </c>
      <c r="S417" s="49" t="s">
        <v>1728</v>
      </c>
      <c r="T417" s="49"/>
      <c r="U417" s="49" t="s">
        <v>1896</v>
      </c>
      <c r="V417" s="49" t="s">
        <v>1379</v>
      </c>
      <c r="W417" s="49" t="s">
        <v>1715</v>
      </c>
      <c r="X417" s="49" t="s">
        <v>1379</v>
      </c>
      <c r="Y417" s="49" t="s">
        <v>1379</v>
      </c>
      <c r="AA417" s="329"/>
      <c r="AB417" s="329"/>
      <c r="AC417" s="35" t="s">
        <v>1608</v>
      </c>
      <c r="AH417" s="35" t="s">
        <v>1530</v>
      </c>
      <c r="AI417" s="138" t="s">
        <v>577</v>
      </c>
      <c r="AJ417" s="35" t="s">
        <v>366</v>
      </c>
      <c r="AK417" s="140" t="s">
        <v>229</v>
      </c>
      <c r="AT417" s="35" t="s">
        <v>359</v>
      </c>
      <c r="AU417" s="35" t="s">
        <v>359</v>
      </c>
      <c r="AV417" s="35" t="s">
        <v>177</v>
      </c>
      <c r="AW417" s="35" t="s">
        <v>160</v>
      </c>
      <c r="AX417" s="35">
        <v>4</v>
      </c>
      <c r="AZ417" s="35" t="s">
        <v>141</v>
      </c>
      <c r="BD417" s="53"/>
      <c r="BK417" s="35">
        <v>1.5</v>
      </c>
      <c r="BL417" s="35">
        <v>1.5</v>
      </c>
      <c r="BP417" s="405"/>
      <c r="BQ417" s="405"/>
      <c r="BU417" s="405"/>
      <c r="BV417" s="405"/>
      <c r="BZ417" s="405"/>
      <c r="CA417" s="405"/>
      <c r="CE417" s="558"/>
      <c r="CF417" s="558"/>
      <c r="CG417" s="558"/>
      <c r="CH417" s="558"/>
      <c r="GZ417" s="12"/>
      <c r="HD417" s="12"/>
    </row>
    <row r="418" spans="1:262" s="35" customFormat="1" x14ac:dyDescent="0.25">
      <c r="A418" s="35">
        <v>23</v>
      </c>
      <c r="B418" s="49" t="s">
        <v>3853</v>
      </c>
      <c r="C418" s="35" t="s">
        <v>356</v>
      </c>
      <c r="D418" s="35" t="s">
        <v>357</v>
      </c>
      <c r="E418" s="35">
        <v>2016</v>
      </c>
      <c r="F418" s="35">
        <v>2011</v>
      </c>
      <c r="G418" s="35" t="s">
        <v>371</v>
      </c>
      <c r="H418" s="35" t="s">
        <v>361</v>
      </c>
      <c r="I418" s="32" t="s">
        <v>2815</v>
      </c>
      <c r="J418" s="35">
        <v>38.92</v>
      </c>
      <c r="K418" s="35">
        <v>-76.150000000000006</v>
      </c>
      <c r="L418" s="35">
        <v>4.8</v>
      </c>
      <c r="R418" s="49">
        <v>3</v>
      </c>
      <c r="S418" s="49" t="s">
        <v>1728</v>
      </c>
      <c r="T418" s="49"/>
      <c r="U418" s="49" t="s">
        <v>1891</v>
      </c>
      <c r="V418" s="49" t="s">
        <v>1379</v>
      </c>
      <c r="W418" s="49" t="s">
        <v>1715</v>
      </c>
      <c r="X418" s="49" t="s">
        <v>1379</v>
      </c>
      <c r="Y418" s="49" t="s">
        <v>1379</v>
      </c>
      <c r="AA418" s="329"/>
      <c r="AB418" s="329"/>
      <c r="AC418" s="35" t="s">
        <v>1608</v>
      </c>
      <c r="AH418" s="35" t="s">
        <v>1530</v>
      </c>
      <c r="AI418" s="138" t="s">
        <v>577</v>
      </c>
      <c r="AJ418" s="35" t="s">
        <v>366</v>
      </c>
      <c r="AK418" s="140" t="s">
        <v>229</v>
      </c>
      <c r="AT418" s="35" t="s">
        <v>359</v>
      </c>
      <c r="AU418" s="35" t="s">
        <v>359</v>
      </c>
      <c r="AV418" s="35" t="s">
        <v>177</v>
      </c>
      <c r="AW418" s="35" t="s">
        <v>160</v>
      </c>
      <c r="AX418" s="35">
        <v>4</v>
      </c>
      <c r="AZ418" s="35" t="s">
        <v>141</v>
      </c>
      <c r="BD418" s="53"/>
      <c r="BK418" s="35">
        <v>1.5</v>
      </c>
      <c r="BL418" s="35">
        <v>1.5</v>
      </c>
      <c r="BP418" s="405"/>
      <c r="BQ418" s="405"/>
      <c r="BU418" s="405"/>
      <c r="BV418" s="405"/>
      <c r="BZ418" s="405"/>
      <c r="CA418" s="405"/>
      <c r="CE418" s="558"/>
      <c r="CF418" s="558"/>
      <c r="CG418" s="558"/>
      <c r="CH418" s="558"/>
      <c r="GZ418" s="12"/>
      <c r="HD418" s="12"/>
    </row>
    <row r="419" spans="1:262" s="35" customFormat="1" x14ac:dyDescent="0.25">
      <c r="A419" s="35">
        <v>23</v>
      </c>
      <c r="B419" s="49" t="s">
        <v>3853</v>
      </c>
      <c r="C419" s="35" t="s">
        <v>356</v>
      </c>
      <c r="D419" s="35" t="s">
        <v>357</v>
      </c>
      <c r="E419" s="35">
        <v>2016</v>
      </c>
      <c r="F419" s="35">
        <v>2011</v>
      </c>
      <c r="G419" s="35" t="s">
        <v>371</v>
      </c>
      <c r="H419" s="35" t="s">
        <v>361</v>
      </c>
      <c r="I419" s="32" t="s">
        <v>2815</v>
      </c>
      <c r="J419" s="35">
        <v>38.92</v>
      </c>
      <c r="K419" s="35">
        <v>-76.150000000000006</v>
      </c>
      <c r="L419" s="35">
        <v>4.8</v>
      </c>
      <c r="R419" s="49">
        <v>3</v>
      </c>
      <c r="S419" s="49" t="s">
        <v>1728</v>
      </c>
      <c r="T419" s="49"/>
      <c r="U419" s="49" t="s">
        <v>1892</v>
      </c>
      <c r="V419" s="49" t="s">
        <v>1379</v>
      </c>
      <c r="W419" s="49" t="s">
        <v>1715</v>
      </c>
      <c r="X419" s="49" t="s">
        <v>1379</v>
      </c>
      <c r="Y419" s="49" t="s">
        <v>1379</v>
      </c>
      <c r="AA419" s="329"/>
      <c r="AB419" s="329"/>
      <c r="AC419" s="35" t="s">
        <v>1608</v>
      </c>
      <c r="AH419" s="35" t="s">
        <v>1530</v>
      </c>
      <c r="AI419" s="138" t="s">
        <v>577</v>
      </c>
      <c r="AJ419" s="35" t="s">
        <v>366</v>
      </c>
      <c r="AK419" s="140" t="s">
        <v>229</v>
      </c>
      <c r="AT419" s="35" t="s">
        <v>359</v>
      </c>
      <c r="AU419" s="35" t="s">
        <v>359</v>
      </c>
      <c r="AV419" s="35" t="s">
        <v>177</v>
      </c>
      <c r="AW419" s="35" t="s">
        <v>160</v>
      </c>
      <c r="AX419" s="35">
        <v>4</v>
      </c>
      <c r="AZ419" s="35" t="s">
        <v>141</v>
      </c>
      <c r="BD419" s="53"/>
      <c r="BK419" s="35">
        <v>1.5</v>
      </c>
      <c r="BL419" s="35">
        <v>1.5</v>
      </c>
      <c r="BP419" s="405"/>
      <c r="BQ419" s="405"/>
      <c r="BU419" s="405"/>
      <c r="BV419" s="405"/>
      <c r="BZ419" s="405"/>
      <c r="CA419" s="405"/>
      <c r="CE419" s="558"/>
      <c r="CF419" s="558"/>
      <c r="CG419" s="558"/>
      <c r="CH419" s="558"/>
      <c r="GZ419" s="12"/>
      <c r="HD419" s="12"/>
    </row>
    <row r="420" spans="1:262" s="35" customFormat="1" x14ac:dyDescent="0.25">
      <c r="A420" s="35">
        <v>23</v>
      </c>
      <c r="B420" s="49" t="s">
        <v>3853</v>
      </c>
      <c r="C420" s="35" t="s">
        <v>356</v>
      </c>
      <c r="D420" s="35" t="s">
        <v>357</v>
      </c>
      <c r="E420" s="35">
        <v>2016</v>
      </c>
      <c r="F420" s="35">
        <v>2011</v>
      </c>
      <c r="G420" s="35" t="s">
        <v>371</v>
      </c>
      <c r="H420" s="35" t="s">
        <v>361</v>
      </c>
      <c r="I420" s="32" t="s">
        <v>2815</v>
      </c>
      <c r="J420" s="35">
        <v>38.92</v>
      </c>
      <c r="K420" s="35">
        <v>-76.150000000000006</v>
      </c>
      <c r="L420" s="35">
        <v>4.8</v>
      </c>
      <c r="R420" s="49">
        <v>3</v>
      </c>
      <c r="S420" s="49" t="s">
        <v>1728</v>
      </c>
      <c r="T420" s="49"/>
      <c r="U420" s="49" t="s">
        <v>1897</v>
      </c>
      <c r="V420" s="49" t="s">
        <v>1379</v>
      </c>
      <c r="W420" s="49" t="s">
        <v>1715</v>
      </c>
      <c r="X420" s="49" t="s">
        <v>1379</v>
      </c>
      <c r="Y420" s="49" t="s">
        <v>1379</v>
      </c>
      <c r="AA420" s="329"/>
      <c r="AB420" s="329"/>
      <c r="AC420" s="35" t="s">
        <v>1608</v>
      </c>
      <c r="AH420" s="35" t="s">
        <v>1530</v>
      </c>
      <c r="AI420" s="138" t="s">
        <v>577</v>
      </c>
      <c r="AJ420" s="35" t="s">
        <v>366</v>
      </c>
      <c r="AK420" s="140" t="s">
        <v>229</v>
      </c>
      <c r="AT420" s="35" t="s">
        <v>359</v>
      </c>
      <c r="AU420" s="35" t="s">
        <v>359</v>
      </c>
      <c r="AV420" s="35" t="s">
        <v>177</v>
      </c>
      <c r="AW420" s="35" t="s">
        <v>160</v>
      </c>
      <c r="AX420" s="35">
        <v>4</v>
      </c>
      <c r="AZ420" s="35" t="s">
        <v>141</v>
      </c>
      <c r="BD420" s="53"/>
      <c r="BK420" s="35">
        <v>174.25</v>
      </c>
      <c r="BL420" s="35">
        <v>415.72</v>
      </c>
      <c r="BP420" s="405"/>
      <c r="BQ420" s="405"/>
      <c r="BU420" s="405"/>
      <c r="BV420" s="405"/>
      <c r="BZ420" s="405"/>
      <c r="CA420" s="405"/>
      <c r="CE420" s="558"/>
      <c r="CF420" s="558"/>
      <c r="CG420" s="558"/>
      <c r="CH420" s="558"/>
      <c r="GZ420" s="12"/>
      <c r="HD420" s="12"/>
    </row>
    <row r="421" spans="1:262" s="35" customFormat="1" x14ac:dyDescent="0.25">
      <c r="A421" s="35">
        <v>23</v>
      </c>
      <c r="B421" s="49" t="s">
        <v>3853</v>
      </c>
      <c r="C421" s="35" t="s">
        <v>356</v>
      </c>
      <c r="D421" s="35" t="s">
        <v>357</v>
      </c>
      <c r="E421" s="35">
        <v>2016</v>
      </c>
      <c r="F421" s="35">
        <v>2011</v>
      </c>
      <c r="G421" s="35" t="s">
        <v>371</v>
      </c>
      <c r="H421" s="35" t="s">
        <v>361</v>
      </c>
      <c r="I421" s="32" t="s">
        <v>2815</v>
      </c>
      <c r="J421" s="35">
        <v>38.92</v>
      </c>
      <c r="K421" s="35">
        <v>-76.150000000000006</v>
      </c>
      <c r="L421" s="35">
        <v>4.8</v>
      </c>
      <c r="R421" s="49">
        <v>3</v>
      </c>
      <c r="S421" s="49" t="s">
        <v>1728</v>
      </c>
      <c r="T421" s="49"/>
      <c r="U421" s="49" t="s">
        <v>1898</v>
      </c>
      <c r="V421" s="49" t="s">
        <v>1379</v>
      </c>
      <c r="W421" s="49" t="s">
        <v>1715</v>
      </c>
      <c r="X421" s="49" t="s">
        <v>1379</v>
      </c>
      <c r="Y421" s="49" t="s">
        <v>1379</v>
      </c>
      <c r="AA421" s="329"/>
      <c r="AB421" s="329"/>
      <c r="AC421" s="35" t="s">
        <v>1608</v>
      </c>
      <c r="AH421" s="35" t="s">
        <v>1530</v>
      </c>
      <c r="AI421" s="138" t="s">
        <v>577</v>
      </c>
      <c r="AJ421" s="35" t="s">
        <v>366</v>
      </c>
      <c r="AK421" s="140" t="s">
        <v>229</v>
      </c>
      <c r="AT421" s="35" t="s">
        <v>359</v>
      </c>
      <c r="AU421" s="35" t="s">
        <v>359</v>
      </c>
      <c r="AV421" s="35" t="s">
        <v>177</v>
      </c>
      <c r="AW421" s="35" t="s">
        <v>160</v>
      </c>
      <c r="AX421" s="35">
        <v>4</v>
      </c>
      <c r="AZ421" s="35" t="s">
        <v>141</v>
      </c>
      <c r="BD421" s="53"/>
      <c r="BK421" s="35">
        <v>302.44</v>
      </c>
      <c r="BL421" s="35">
        <v>508.13</v>
      </c>
      <c r="BP421" s="405"/>
      <c r="BQ421" s="405"/>
      <c r="BU421" s="405"/>
      <c r="BV421" s="405"/>
      <c r="BZ421" s="405"/>
      <c r="CA421" s="405"/>
      <c r="CE421" s="558"/>
      <c r="CF421" s="558"/>
      <c r="CG421" s="558"/>
      <c r="CH421" s="558"/>
      <c r="GZ421" s="12"/>
      <c r="HD421" s="12"/>
    </row>
    <row r="422" spans="1:262" s="35" customFormat="1" x14ac:dyDescent="0.25">
      <c r="A422" s="35">
        <v>23</v>
      </c>
      <c r="B422" s="49" t="s">
        <v>3853</v>
      </c>
      <c r="C422" s="35" t="s">
        <v>356</v>
      </c>
      <c r="D422" s="35" t="s">
        <v>357</v>
      </c>
      <c r="E422" s="35">
        <v>2016</v>
      </c>
      <c r="F422" s="35">
        <v>2011</v>
      </c>
      <c r="G422" s="35" t="s">
        <v>371</v>
      </c>
      <c r="H422" s="35" t="s">
        <v>361</v>
      </c>
      <c r="I422" s="32" t="s">
        <v>2815</v>
      </c>
      <c r="J422" s="35">
        <v>38.92</v>
      </c>
      <c r="K422" s="35">
        <v>-76.150000000000006</v>
      </c>
      <c r="L422" s="35">
        <v>4.8</v>
      </c>
      <c r="R422" s="49">
        <v>3</v>
      </c>
      <c r="S422" s="49" t="s">
        <v>1728</v>
      </c>
      <c r="T422" s="49"/>
      <c r="U422" s="49" t="s">
        <v>1899</v>
      </c>
      <c r="V422" s="49" t="s">
        <v>1379</v>
      </c>
      <c r="W422" s="49" t="s">
        <v>1715</v>
      </c>
      <c r="X422" s="49" t="s">
        <v>1379</v>
      </c>
      <c r="Y422" s="49" t="s">
        <v>1379</v>
      </c>
      <c r="AA422" s="329"/>
      <c r="AB422" s="329"/>
      <c r="AC422" s="35" t="s">
        <v>1608</v>
      </c>
      <c r="AH422" s="35" t="s">
        <v>1530</v>
      </c>
      <c r="AI422" s="138" t="s">
        <v>577</v>
      </c>
      <c r="AJ422" s="35" t="s">
        <v>366</v>
      </c>
      <c r="AK422" s="140" t="s">
        <v>229</v>
      </c>
      <c r="AT422" s="35" t="s">
        <v>359</v>
      </c>
      <c r="AU422" s="35" t="s">
        <v>359</v>
      </c>
      <c r="AV422" s="35" t="s">
        <v>177</v>
      </c>
      <c r="AW422" s="35" t="s">
        <v>160</v>
      </c>
      <c r="AX422" s="35">
        <v>4</v>
      </c>
      <c r="AZ422" s="35" t="s">
        <v>141</v>
      </c>
      <c r="BD422" s="53"/>
      <c r="BK422" s="35">
        <v>624.39</v>
      </c>
      <c r="BL422" s="35">
        <v>716.8</v>
      </c>
      <c r="BP422" s="405"/>
      <c r="BQ422" s="405"/>
      <c r="BU422" s="405"/>
      <c r="BV422" s="405"/>
      <c r="BZ422" s="405"/>
      <c r="CA422" s="405"/>
      <c r="CE422" s="558"/>
      <c r="CF422" s="558"/>
      <c r="CG422" s="558"/>
      <c r="CH422" s="558"/>
      <c r="GZ422" s="12"/>
      <c r="HD422" s="12"/>
    </row>
    <row r="423" spans="1:262" s="35" customFormat="1" x14ac:dyDescent="0.25">
      <c r="A423" s="35">
        <v>23</v>
      </c>
      <c r="B423" s="49" t="s">
        <v>3853</v>
      </c>
      <c r="C423" s="35" t="s">
        <v>356</v>
      </c>
      <c r="D423" s="35" t="s">
        <v>357</v>
      </c>
      <c r="E423" s="35">
        <v>2016</v>
      </c>
      <c r="F423" s="35">
        <v>2011</v>
      </c>
      <c r="G423" s="35" t="s">
        <v>371</v>
      </c>
      <c r="H423" s="35" t="s">
        <v>361</v>
      </c>
      <c r="I423" s="32" t="s">
        <v>2815</v>
      </c>
      <c r="J423" s="35">
        <v>38.92</v>
      </c>
      <c r="K423" s="35">
        <v>-76.150000000000006</v>
      </c>
      <c r="L423" s="35">
        <v>4.8</v>
      </c>
      <c r="R423" s="49">
        <v>3</v>
      </c>
      <c r="S423" s="49" t="s">
        <v>1728</v>
      </c>
      <c r="T423" s="49"/>
      <c r="U423" s="49" t="s">
        <v>1889</v>
      </c>
      <c r="V423" s="49" t="s">
        <v>1379</v>
      </c>
      <c r="W423" s="49" t="s">
        <v>1715</v>
      </c>
      <c r="X423" s="49" t="s">
        <v>1379</v>
      </c>
      <c r="Y423" s="49" t="s">
        <v>1379</v>
      </c>
      <c r="AA423" s="329"/>
      <c r="AB423" s="329"/>
      <c r="AC423" s="35" t="s">
        <v>1608</v>
      </c>
      <c r="AH423" s="35" t="s">
        <v>1530</v>
      </c>
      <c r="AI423" s="138" t="s">
        <v>577</v>
      </c>
      <c r="AJ423" s="35" t="s">
        <v>366</v>
      </c>
      <c r="AK423" s="140" t="s">
        <v>229</v>
      </c>
      <c r="AT423" s="35" t="s">
        <v>359</v>
      </c>
      <c r="AU423" s="35" t="s">
        <v>359</v>
      </c>
      <c r="AV423" s="35" t="s">
        <v>177</v>
      </c>
      <c r="AW423" s="35" t="s">
        <v>160</v>
      </c>
      <c r="AX423" s="35">
        <v>4</v>
      </c>
      <c r="AZ423" s="35" t="s">
        <v>141</v>
      </c>
      <c r="BD423" s="53"/>
      <c r="BK423" s="35">
        <v>663.14</v>
      </c>
      <c r="BL423" s="35">
        <v>603.52</v>
      </c>
      <c r="BP423" s="405"/>
      <c r="BQ423" s="405"/>
      <c r="BU423" s="405"/>
      <c r="BV423" s="405"/>
      <c r="BZ423" s="405"/>
      <c r="CA423" s="405"/>
      <c r="CE423" s="558"/>
      <c r="CF423" s="558"/>
      <c r="CG423" s="558"/>
      <c r="CH423" s="558"/>
      <c r="GZ423" s="12"/>
      <c r="HD423" s="12"/>
    </row>
    <row r="424" spans="1:262" s="35" customFormat="1" x14ac:dyDescent="0.25">
      <c r="A424" s="35">
        <v>23</v>
      </c>
      <c r="B424" s="49" t="s">
        <v>3853</v>
      </c>
      <c r="C424" s="35" t="s">
        <v>356</v>
      </c>
      <c r="D424" s="35" t="s">
        <v>357</v>
      </c>
      <c r="E424" s="35">
        <v>2016</v>
      </c>
      <c r="F424" s="35">
        <v>2011</v>
      </c>
      <c r="G424" s="35" t="s">
        <v>371</v>
      </c>
      <c r="H424" s="35" t="s">
        <v>361</v>
      </c>
      <c r="I424" s="32" t="s">
        <v>2815</v>
      </c>
      <c r="J424" s="35">
        <v>38.92</v>
      </c>
      <c r="K424" s="35">
        <v>-76.150000000000006</v>
      </c>
      <c r="L424" s="35">
        <v>4.8</v>
      </c>
      <c r="R424" s="49">
        <v>3</v>
      </c>
      <c r="S424" s="49" t="s">
        <v>1728</v>
      </c>
      <c r="T424" s="49"/>
      <c r="U424" s="49" t="s">
        <v>1903</v>
      </c>
      <c r="V424" s="49" t="s">
        <v>1379</v>
      </c>
      <c r="W424" s="49" t="s">
        <v>1715</v>
      </c>
      <c r="X424" s="49" t="s">
        <v>1379</v>
      </c>
      <c r="Y424" s="49" t="s">
        <v>1379</v>
      </c>
      <c r="AA424" s="329"/>
      <c r="AB424" s="329"/>
      <c r="AC424" s="35" t="s">
        <v>1608</v>
      </c>
      <c r="AH424" s="35" t="s">
        <v>1530</v>
      </c>
      <c r="AI424" s="138" t="s">
        <v>577</v>
      </c>
      <c r="AJ424" s="35" t="s">
        <v>366</v>
      </c>
      <c r="AK424" s="140" t="s">
        <v>229</v>
      </c>
      <c r="AT424" s="35" t="s">
        <v>359</v>
      </c>
      <c r="AU424" s="35" t="s">
        <v>359</v>
      </c>
      <c r="AV424" s="35" t="s">
        <v>177</v>
      </c>
      <c r="AW424" s="35" t="s">
        <v>160</v>
      </c>
      <c r="AX424" s="35">
        <v>4</v>
      </c>
      <c r="AZ424" s="35" t="s">
        <v>141</v>
      </c>
      <c r="BD424" s="53"/>
      <c r="BK424" s="35">
        <v>147.43</v>
      </c>
      <c r="BL424" s="35">
        <v>138.47999999999999</v>
      </c>
      <c r="BP424" s="405"/>
      <c r="BQ424" s="405"/>
      <c r="BU424" s="405"/>
      <c r="BV424" s="405"/>
      <c r="BZ424" s="405"/>
      <c r="CA424" s="405"/>
      <c r="CE424" s="558"/>
      <c r="CF424" s="558"/>
      <c r="CG424" s="558"/>
      <c r="CH424" s="558"/>
      <c r="GZ424" s="12"/>
      <c r="HD424" s="12"/>
    </row>
    <row r="425" spans="1:262" s="35" customFormat="1" x14ac:dyDescent="0.25">
      <c r="A425" s="35">
        <v>23</v>
      </c>
      <c r="B425" s="49" t="s">
        <v>3853</v>
      </c>
      <c r="C425" s="35" t="s">
        <v>356</v>
      </c>
      <c r="D425" s="35" t="s">
        <v>357</v>
      </c>
      <c r="E425" s="35">
        <v>2016</v>
      </c>
      <c r="F425" s="35">
        <v>2011</v>
      </c>
      <c r="G425" s="35" t="s">
        <v>371</v>
      </c>
      <c r="H425" s="35" t="s">
        <v>361</v>
      </c>
      <c r="I425" s="32" t="s">
        <v>2815</v>
      </c>
      <c r="J425" s="35">
        <v>38.92</v>
      </c>
      <c r="K425" s="35">
        <v>-76.150000000000006</v>
      </c>
      <c r="L425" s="35">
        <v>4.8</v>
      </c>
      <c r="R425" s="49">
        <v>3</v>
      </c>
      <c r="S425" s="49" t="s">
        <v>1728</v>
      </c>
      <c r="T425" s="49"/>
      <c r="U425" s="49" t="s">
        <v>1901</v>
      </c>
      <c r="V425" s="49" t="s">
        <v>1379</v>
      </c>
      <c r="W425" s="49" t="s">
        <v>1715</v>
      </c>
      <c r="X425" s="49" t="s">
        <v>1379</v>
      </c>
      <c r="Y425" s="49" t="s">
        <v>1379</v>
      </c>
      <c r="AA425" s="329"/>
      <c r="AB425" s="329"/>
      <c r="AC425" s="35" t="s">
        <v>1608</v>
      </c>
      <c r="AH425" s="35" t="s">
        <v>1530</v>
      </c>
      <c r="AI425" s="138" t="s">
        <v>577</v>
      </c>
      <c r="AJ425" s="35" t="s">
        <v>366</v>
      </c>
      <c r="AK425" s="140" t="s">
        <v>229</v>
      </c>
      <c r="AT425" s="35" t="s">
        <v>359</v>
      </c>
      <c r="AU425" s="35" t="s">
        <v>359</v>
      </c>
      <c r="AV425" s="35" t="s">
        <v>177</v>
      </c>
      <c r="AW425" s="35" t="s">
        <v>160</v>
      </c>
      <c r="AX425" s="35">
        <v>4</v>
      </c>
      <c r="AZ425" s="35" t="s">
        <v>141</v>
      </c>
      <c r="BD425" s="53"/>
      <c r="BK425" s="35">
        <v>108.67</v>
      </c>
      <c r="BL425" s="35">
        <v>96.75</v>
      </c>
      <c r="BP425" s="405"/>
      <c r="BQ425" s="405"/>
      <c r="BU425" s="405"/>
      <c r="BV425" s="405"/>
      <c r="BZ425" s="405"/>
      <c r="CA425" s="405"/>
      <c r="CE425" s="558"/>
      <c r="CF425" s="558"/>
      <c r="CG425" s="558"/>
      <c r="CH425" s="558"/>
      <c r="GZ425" s="12"/>
      <c r="HD425" s="12"/>
    </row>
    <row r="426" spans="1:262" s="33" customFormat="1" x14ac:dyDescent="0.25">
      <c r="A426" s="33">
        <v>24</v>
      </c>
      <c r="B426" s="47" t="s">
        <v>3858</v>
      </c>
      <c r="C426" s="33" t="s">
        <v>374</v>
      </c>
      <c r="D426" s="33" t="s">
        <v>375</v>
      </c>
      <c r="E426" s="33">
        <v>2013</v>
      </c>
      <c r="F426" s="33">
        <v>2003</v>
      </c>
      <c r="G426" s="33" t="s">
        <v>267</v>
      </c>
      <c r="H426" s="33" t="s">
        <v>376</v>
      </c>
      <c r="I426" s="32" t="s">
        <v>2815</v>
      </c>
      <c r="J426" s="33">
        <v>31.48</v>
      </c>
      <c r="K426" s="33">
        <v>-83.53</v>
      </c>
      <c r="L426" s="33">
        <v>108.4</v>
      </c>
      <c r="M426" s="33">
        <v>19.600000000000001</v>
      </c>
      <c r="N426" s="33">
        <v>18.600000000000001</v>
      </c>
      <c r="O426" s="33">
        <v>976</v>
      </c>
      <c r="P426" s="33">
        <v>1192</v>
      </c>
      <c r="R426" s="47">
        <v>2</v>
      </c>
      <c r="S426" s="47" t="s">
        <v>1858</v>
      </c>
      <c r="T426" s="47"/>
      <c r="U426" s="47" t="s">
        <v>1904</v>
      </c>
      <c r="V426" s="47" t="s">
        <v>1380</v>
      </c>
      <c r="W426" s="47" t="s">
        <v>1716</v>
      </c>
      <c r="X426" s="47" t="s">
        <v>1380</v>
      </c>
      <c r="Y426" s="47" t="s">
        <v>1380</v>
      </c>
      <c r="Z426" s="33">
        <f t="shared" ref="Z426:Z434" si="62">(1.55+1.78)/2</f>
        <v>1.665</v>
      </c>
      <c r="AA426" s="327"/>
      <c r="AB426" s="327"/>
      <c r="AC426" s="33" t="s">
        <v>175</v>
      </c>
      <c r="AG426" s="33" t="s">
        <v>1322</v>
      </c>
      <c r="AH426" s="33" t="s">
        <v>1550</v>
      </c>
      <c r="AI426" s="138" t="s">
        <v>1583</v>
      </c>
      <c r="AJ426" s="33" t="s">
        <v>797</v>
      </c>
      <c r="AK426" s="141" t="s">
        <v>132</v>
      </c>
      <c r="AL426" s="33" t="s">
        <v>378</v>
      </c>
      <c r="AM426" s="33" t="s">
        <v>378</v>
      </c>
      <c r="AN426" s="33" t="s">
        <v>177</v>
      </c>
      <c r="AO426" s="33" t="s">
        <v>231</v>
      </c>
      <c r="AP426" s="33" t="s">
        <v>377</v>
      </c>
      <c r="AQ426" s="33" t="s">
        <v>2125</v>
      </c>
      <c r="AR426" s="33" t="s">
        <v>2125</v>
      </c>
      <c r="AS426" s="33" t="s">
        <v>502</v>
      </c>
      <c r="AT426" s="33" t="s">
        <v>338</v>
      </c>
      <c r="AU426" s="33" t="s">
        <v>338</v>
      </c>
      <c r="AV426" s="33" t="s">
        <v>177</v>
      </c>
      <c r="AW426" s="33" t="s">
        <v>119</v>
      </c>
      <c r="AX426" s="33">
        <v>4</v>
      </c>
      <c r="AZ426" s="33" t="s">
        <v>141</v>
      </c>
      <c r="BB426" s="33">
        <f>(4.4+7.5)/2*1000</f>
        <v>5950</v>
      </c>
      <c r="BD426" s="54"/>
      <c r="BK426" s="33">
        <f>1.3*1000</f>
        <v>1300</v>
      </c>
      <c r="BL426" s="33">
        <f>3.2*1000</f>
        <v>3200</v>
      </c>
      <c r="BP426" s="402">
        <f>(1.64+1.65+1.63+1.65+1.69+1.73+1.66)/7</f>
        <v>1.6642857142857144</v>
      </c>
      <c r="BQ426" s="402">
        <f>(1.65+1.63+1.61+1.64+1.65+1.71+1.64)/7</f>
        <v>1.6471428571428572</v>
      </c>
      <c r="BU426" s="402">
        <f>4.6/1000*100</f>
        <v>0.45999999999999996</v>
      </c>
      <c r="BV426" s="402">
        <v>0.74</v>
      </c>
      <c r="BY426" s="33" t="s">
        <v>618</v>
      </c>
      <c r="BZ426" s="402"/>
      <c r="CA426" s="402"/>
      <c r="CD426" s="33" t="s">
        <v>3121</v>
      </c>
      <c r="CE426" s="555">
        <v>0.45999999999999996</v>
      </c>
      <c r="CF426" s="555">
        <v>0.74</v>
      </c>
      <c r="CG426" s="555"/>
      <c r="CH426" s="555"/>
      <c r="CI426" s="33" t="s">
        <v>4544</v>
      </c>
      <c r="CJ426" s="33">
        <v>0.2</v>
      </c>
      <c r="CK426" s="33">
        <v>0.5</v>
      </c>
      <c r="CN426" s="33" t="s">
        <v>234</v>
      </c>
      <c r="EM426" s="33">
        <f>(24.8+17.7)/2</f>
        <v>21.25</v>
      </c>
      <c r="EN426" s="33">
        <f>(23.1+21)/2</f>
        <v>22.05</v>
      </c>
      <c r="FL426" s="33">
        <v>13.8</v>
      </c>
      <c r="FM426" s="33">
        <v>14.1</v>
      </c>
      <c r="FP426" s="167">
        <v>37599</v>
      </c>
      <c r="GZ426" s="12"/>
      <c r="HD426" s="12"/>
      <c r="JB426" s="33" t="s">
        <v>712</v>
      </c>
    </row>
    <row r="427" spans="1:262" s="33" customFormat="1" x14ac:dyDescent="0.25">
      <c r="A427" s="33">
        <v>24</v>
      </c>
      <c r="B427" s="47" t="s">
        <v>3859</v>
      </c>
      <c r="C427" s="33" t="s">
        <v>374</v>
      </c>
      <c r="D427" s="33" t="s">
        <v>375</v>
      </c>
      <c r="E427" s="33">
        <v>2013</v>
      </c>
      <c r="F427" s="33">
        <v>2003</v>
      </c>
      <c r="G427" s="33" t="s">
        <v>267</v>
      </c>
      <c r="H427" s="33" t="s">
        <v>376</v>
      </c>
      <c r="I427" s="32" t="s">
        <v>2815</v>
      </c>
      <c r="J427" s="33">
        <v>31.48</v>
      </c>
      <c r="K427" s="33">
        <v>-83.53</v>
      </c>
      <c r="L427" s="33">
        <v>108.4</v>
      </c>
      <c r="M427" s="33">
        <v>19.600000000000001</v>
      </c>
      <c r="N427" s="33">
        <v>18.600000000000001</v>
      </c>
      <c r="O427" s="33">
        <v>976</v>
      </c>
      <c r="P427" s="33">
        <v>1192</v>
      </c>
      <c r="R427" s="47">
        <v>2</v>
      </c>
      <c r="S427" s="47" t="s">
        <v>1858</v>
      </c>
      <c r="T427" s="47"/>
      <c r="U427" s="47" t="s">
        <v>1904</v>
      </c>
      <c r="V427" s="47" t="s">
        <v>1380</v>
      </c>
      <c r="W427" s="47" t="s">
        <v>1716</v>
      </c>
      <c r="X427" s="47" t="s">
        <v>1380</v>
      </c>
      <c r="Y427" s="47" t="s">
        <v>1380</v>
      </c>
      <c r="Z427" s="33">
        <f t="shared" si="62"/>
        <v>1.665</v>
      </c>
      <c r="AA427" s="327"/>
      <c r="AB427" s="327"/>
      <c r="AC427" s="33" t="s">
        <v>175</v>
      </c>
      <c r="AG427" s="33" t="s">
        <v>1322</v>
      </c>
      <c r="AH427" s="33" t="s">
        <v>1530</v>
      </c>
      <c r="AI427" s="138" t="s">
        <v>577</v>
      </c>
      <c r="AJ427" s="33" t="s">
        <v>797</v>
      </c>
      <c r="AK427" s="141" t="s">
        <v>132</v>
      </c>
      <c r="AL427" s="33" t="s">
        <v>378</v>
      </c>
      <c r="AM427" s="33" t="s">
        <v>378</v>
      </c>
      <c r="AN427" s="33" t="s">
        <v>177</v>
      </c>
      <c r="AO427" s="33" t="s">
        <v>231</v>
      </c>
      <c r="AP427" s="33" t="s">
        <v>377</v>
      </c>
      <c r="AQ427" s="33" t="s">
        <v>2125</v>
      </c>
      <c r="AR427" s="33" t="s">
        <v>2125</v>
      </c>
      <c r="AS427" s="33" t="s">
        <v>502</v>
      </c>
      <c r="AT427" s="33" t="s">
        <v>338</v>
      </c>
      <c r="AU427" s="33" t="s">
        <v>338</v>
      </c>
      <c r="AV427" s="33" t="s">
        <v>177</v>
      </c>
      <c r="AW427" s="33" t="s">
        <v>119</v>
      </c>
      <c r="AX427" s="33">
        <v>4</v>
      </c>
      <c r="AZ427" s="33" t="s">
        <v>141</v>
      </c>
      <c r="BB427" s="33">
        <f>8.8/2*1000</f>
        <v>4400</v>
      </c>
      <c r="BD427" s="54"/>
      <c r="BK427" s="33">
        <f t="shared" ref="BK427:BK428" si="63">1.3*1000</f>
        <v>1300</v>
      </c>
      <c r="BL427" s="33">
        <f>2.4*1000</f>
        <v>2400</v>
      </c>
      <c r="BP427" s="402"/>
      <c r="BQ427" s="402"/>
      <c r="BU427" s="402">
        <f t="shared" ref="BU427:BU428" si="64">4.6/1000*100</f>
        <v>0.45999999999999996</v>
      </c>
      <c r="BV427" s="402">
        <v>0.7</v>
      </c>
      <c r="BY427" s="33" t="s">
        <v>618</v>
      </c>
      <c r="BZ427" s="402"/>
      <c r="CA427" s="402"/>
      <c r="CD427" s="33" t="s">
        <v>3121</v>
      </c>
      <c r="CE427" s="555">
        <v>0.45999999999999996</v>
      </c>
      <c r="CF427" s="555">
        <v>0.7</v>
      </c>
      <c r="CG427" s="555"/>
      <c r="CH427" s="555"/>
      <c r="CI427" s="33" t="s">
        <v>4544</v>
      </c>
      <c r="CJ427" s="33">
        <v>0.2</v>
      </c>
      <c r="CK427" s="33">
        <v>0.5</v>
      </c>
      <c r="CN427" s="33" t="s">
        <v>234</v>
      </c>
      <c r="FL427" s="33">
        <v>13.8</v>
      </c>
      <c r="FM427" s="33">
        <v>14.8</v>
      </c>
      <c r="FP427" s="167">
        <v>37748</v>
      </c>
      <c r="GZ427" s="12"/>
      <c r="HD427" s="12"/>
      <c r="JB427" s="33" t="s">
        <v>712</v>
      </c>
    </row>
    <row r="428" spans="1:262" s="33" customFormat="1" x14ac:dyDescent="0.25">
      <c r="A428" s="33">
        <v>24</v>
      </c>
      <c r="B428" s="47" t="s">
        <v>3859</v>
      </c>
      <c r="C428" s="33" t="s">
        <v>374</v>
      </c>
      <c r="D428" s="33" t="s">
        <v>375</v>
      </c>
      <c r="E428" s="33">
        <v>2013</v>
      </c>
      <c r="F428" s="33">
        <v>2003</v>
      </c>
      <c r="G428" s="33" t="s">
        <v>267</v>
      </c>
      <c r="H428" s="33" t="s">
        <v>376</v>
      </c>
      <c r="I428" s="32" t="s">
        <v>2815</v>
      </c>
      <c r="J428" s="33">
        <v>31.48</v>
      </c>
      <c r="K428" s="33">
        <v>-83.53</v>
      </c>
      <c r="L428" s="33">
        <v>108.4</v>
      </c>
      <c r="M428" s="33">
        <v>19.600000000000001</v>
      </c>
      <c r="N428" s="33">
        <v>18.600000000000001</v>
      </c>
      <c r="O428" s="33">
        <v>976</v>
      </c>
      <c r="P428" s="33">
        <v>1192</v>
      </c>
      <c r="R428" s="47">
        <v>2</v>
      </c>
      <c r="S428" s="47" t="s">
        <v>1858</v>
      </c>
      <c r="T428" s="47"/>
      <c r="U428" s="47" t="s">
        <v>1904</v>
      </c>
      <c r="V428" s="47" t="s">
        <v>1380</v>
      </c>
      <c r="W428" s="47" t="s">
        <v>1716</v>
      </c>
      <c r="X428" s="47" t="s">
        <v>1380</v>
      </c>
      <c r="Y428" s="47" t="s">
        <v>1380</v>
      </c>
      <c r="Z428" s="33">
        <f t="shared" si="62"/>
        <v>1.665</v>
      </c>
      <c r="AA428" s="327"/>
      <c r="AB428" s="327"/>
      <c r="AC428" s="33" t="s">
        <v>175</v>
      </c>
      <c r="AG428" s="33" t="s">
        <v>1322</v>
      </c>
      <c r="AH428" s="33" t="s">
        <v>1521</v>
      </c>
      <c r="AI428" s="138" t="s">
        <v>577</v>
      </c>
      <c r="AJ428" s="33" t="s">
        <v>797</v>
      </c>
      <c r="AK428" s="141" t="s">
        <v>132</v>
      </c>
      <c r="AL428" s="33" t="s">
        <v>378</v>
      </c>
      <c r="AM428" s="33" t="s">
        <v>378</v>
      </c>
      <c r="AN428" s="33" t="s">
        <v>177</v>
      </c>
      <c r="AO428" s="33" t="s">
        <v>231</v>
      </c>
      <c r="AP428" s="33" t="s">
        <v>377</v>
      </c>
      <c r="AQ428" s="33" t="s">
        <v>2125</v>
      </c>
      <c r="AR428" s="33" t="s">
        <v>2125</v>
      </c>
      <c r="AS428" s="33" t="s">
        <v>502</v>
      </c>
      <c r="AT428" s="33" t="s">
        <v>338</v>
      </c>
      <c r="AU428" s="33" t="s">
        <v>338</v>
      </c>
      <c r="AV428" s="33" t="s">
        <v>177</v>
      </c>
      <c r="AW428" s="33" t="s">
        <v>119</v>
      </c>
      <c r="AX428" s="33">
        <v>4</v>
      </c>
      <c r="AZ428" s="33" t="s">
        <v>141</v>
      </c>
      <c r="BB428" s="33">
        <f>5/2*1000</f>
        <v>2500</v>
      </c>
      <c r="BD428" s="54"/>
      <c r="BK428" s="33">
        <f t="shared" si="63"/>
        <v>1300</v>
      </c>
      <c r="BL428" s="33">
        <f>1.3*1000</f>
        <v>1300</v>
      </c>
      <c r="BP428" s="402"/>
      <c r="BQ428" s="402"/>
      <c r="BU428" s="402">
        <f t="shared" si="64"/>
        <v>0.45999999999999996</v>
      </c>
      <c r="BV428" s="402">
        <v>0.59</v>
      </c>
      <c r="BY428" s="33" t="s">
        <v>618</v>
      </c>
      <c r="BZ428" s="402"/>
      <c r="CA428" s="402"/>
      <c r="CD428" s="33" t="s">
        <v>3121</v>
      </c>
      <c r="CE428" s="555">
        <v>0.45999999999999996</v>
      </c>
      <c r="CF428" s="555">
        <v>0.59</v>
      </c>
      <c r="CG428" s="555"/>
      <c r="CH428" s="555"/>
      <c r="CI428" s="33" t="s">
        <v>4544</v>
      </c>
      <c r="CJ428" s="33">
        <v>0.2</v>
      </c>
      <c r="CK428" s="33">
        <v>0.4</v>
      </c>
      <c r="CN428" s="33" t="s">
        <v>234</v>
      </c>
      <c r="FL428" s="33">
        <v>12.8</v>
      </c>
      <c r="FM428" s="33">
        <v>13.1</v>
      </c>
      <c r="FP428" s="167">
        <v>37875</v>
      </c>
      <c r="GZ428" s="12"/>
      <c r="HD428" s="12"/>
      <c r="JB428" s="33" t="s">
        <v>712</v>
      </c>
    </row>
    <row r="429" spans="1:262" s="33" customFormat="1" x14ac:dyDescent="0.25">
      <c r="A429" s="33">
        <v>24</v>
      </c>
      <c r="B429" s="47" t="s">
        <v>3860</v>
      </c>
      <c r="C429" s="33" t="s">
        <v>374</v>
      </c>
      <c r="D429" s="33" t="s">
        <v>375</v>
      </c>
      <c r="E429" s="33">
        <v>2013</v>
      </c>
      <c r="F429" s="33">
        <v>2003</v>
      </c>
      <c r="G429" s="33" t="s">
        <v>267</v>
      </c>
      <c r="H429" s="33" t="s">
        <v>376</v>
      </c>
      <c r="I429" s="32" t="s">
        <v>2815</v>
      </c>
      <c r="J429" s="33">
        <v>31.48</v>
      </c>
      <c r="K429" s="33">
        <v>-83.53</v>
      </c>
      <c r="L429" s="33">
        <v>108.4</v>
      </c>
      <c r="M429" s="33">
        <v>19.600000000000001</v>
      </c>
      <c r="N429" s="33">
        <v>18.600000000000001</v>
      </c>
      <c r="O429" s="33">
        <v>976</v>
      </c>
      <c r="P429" s="33">
        <v>1192</v>
      </c>
      <c r="R429" s="47">
        <v>2</v>
      </c>
      <c r="S429" s="47" t="s">
        <v>1858</v>
      </c>
      <c r="T429" s="47"/>
      <c r="U429" s="47" t="s">
        <v>1904</v>
      </c>
      <c r="V429" s="47" t="s">
        <v>1380</v>
      </c>
      <c r="W429" s="47" t="s">
        <v>1716</v>
      </c>
      <c r="X429" s="47" t="s">
        <v>1380</v>
      </c>
      <c r="Y429" s="47" t="s">
        <v>1380</v>
      </c>
      <c r="Z429" s="33">
        <f t="shared" si="62"/>
        <v>1.665</v>
      </c>
      <c r="AA429" s="327"/>
      <c r="AB429" s="327"/>
      <c r="AC429" s="33" t="s">
        <v>175</v>
      </c>
      <c r="AG429" s="33" t="s">
        <v>1322</v>
      </c>
      <c r="AH429" s="33" t="s">
        <v>1550</v>
      </c>
      <c r="AI429" s="138" t="s">
        <v>1583</v>
      </c>
      <c r="AJ429" s="33" t="s">
        <v>797</v>
      </c>
      <c r="AK429" s="141" t="s">
        <v>132</v>
      </c>
      <c r="AL429" s="33" t="s">
        <v>378</v>
      </c>
      <c r="AM429" s="33" t="s">
        <v>378</v>
      </c>
      <c r="AN429" s="33" t="s">
        <v>177</v>
      </c>
      <c r="AO429" s="33" t="s">
        <v>231</v>
      </c>
      <c r="AP429" s="33" t="s">
        <v>377</v>
      </c>
      <c r="AQ429" s="33" t="s">
        <v>2125</v>
      </c>
      <c r="AR429" s="33" t="s">
        <v>2125</v>
      </c>
      <c r="AS429" s="33" t="s">
        <v>502</v>
      </c>
      <c r="AT429" s="33" t="s">
        <v>380</v>
      </c>
      <c r="AU429" s="33" t="s">
        <v>380</v>
      </c>
      <c r="AV429" s="33" t="s">
        <v>177</v>
      </c>
      <c r="AW429" s="33" t="s">
        <v>119</v>
      </c>
      <c r="AX429" s="33">
        <v>4</v>
      </c>
      <c r="AZ429" s="33" t="s">
        <v>141</v>
      </c>
      <c r="BB429" s="33">
        <f>(4.2+6.9)/2*1000</f>
        <v>5550.0000000000009</v>
      </c>
      <c r="BD429" s="54"/>
      <c r="BK429" s="33">
        <f>3.4*1000</f>
        <v>3400</v>
      </c>
      <c r="BL429" s="33">
        <f>3.1*1000</f>
        <v>3100</v>
      </c>
      <c r="BP429" s="402">
        <v>1.65</v>
      </c>
      <c r="BQ429" s="402">
        <v>1.63</v>
      </c>
      <c r="BU429" s="402">
        <v>0.5</v>
      </c>
      <c r="BV429" s="402">
        <v>0.73</v>
      </c>
      <c r="BY429" s="33" t="s">
        <v>618</v>
      </c>
      <c r="BZ429" s="402"/>
      <c r="CA429" s="402"/>
      <c r="CD429" s="33" t="s">
        <v>3121</v>
      </c>
      <c r="CE429" s="555">
        <v>0.5</v>
      </c>
      <c r="CF429" s="555">
        <v>0.73</v>
      </c>
      <c r="CG429" s="555"/>
      <c r="CH429" s="555"/>
      <c r="CI429" s="33" t="s">
        <v>4544</v>
      </c>
      <c r="CJ429" s="33">
        <v>0.3</v>
      </c>
      <c r="CK429" s="33">
        <v>0.5</v>
      </c>
      <c r="CN429" s="33" t="s">
        <v>234</v>
      </c>
      <c r="EM429" s="33">
        <f>(28.5+37.6)/2</f>
        <v>33.049999999999997</v>
      </c>
      <c r="EN429" s="33">
        <f>(27.2+36.5)/2</f>
        <v>31.85</v>
      </c>
      <c r="FL429" s="33">
        <v>12.9</v>
      </c>
      <c r="FM429" s="33">
        <v>13.8</v>
      </c>
      <c r="FP429" s="167">
        <v>37957</v>
      </c>
      <c r="GZ429" s="12"/>
      <c r="HD429" s="12"/>
      <c r="JB429" s="33" t="s">
        <v>712</v>
      </c>
    </row>
    <row r="430" spans="1:262" s="33" customFormat="1" x14ac:dyDescent="0.25">
      <c r="A430" s="33">
        <v>24</v>
      </c>
      <c r="B430" s="47" t="s">
        <v>3861</v>
      </c>
      <c r="C430" s="33" t="s">
        <v>374</v>
      </c>
      <c r="D430" s="33" t="s">
        <v>375</v>
      </c>
      <c r="E430" s="33">
        <v>2013</v>
      </c>
      <c r="F430" s="33">
        <v>2003</v>
      </c>
      <c r="G430" s="33" t="s">
        <v>267</v>
      </c>
      <c r="H430" s="33" t="s">
        <v>376</v>
      </c>
      <c r="I430" s="32" t="s">
        <v>2815</v>
      </c>
      <c r="J430" s="33">
        <v>31.48</v>
      </c>
      <c r="K430" s="33">
        <v>-83.53</v>
      </c>
      <c r="L430" s="33">
        <v>108.4</v>
      </c>
      <c r="M430" s="33">
        <v>19.600000000000001</v>
      </c>
      <c r="N430" s="33">
        <v>18.600000000000001</v>
      </c>
      <c r="O430" s="33">
        <v>976</v>
      </c>
      <c r="P430" s="33">
        <v>1192</v>
      </c>
      <c r="R430" s="47">
        <v>2</v>
      </c>
      <c r="S430" s="47" t="s">
        <v>1858</v>
      </c>
      <c r="T430" s="47"/>
      <c r="U430" s="47" t="s">
        <v>1904</v>
      </c>
      <c r="V430" s="47" t="s">
        <v>1380</v>
      </c>
      <c r="W430" s="47" t="s">
        <v>1716</v>
      </c>
      <c r="X430" s="47" t="s">
        <v>1380</v>
      </c>
      <c r="Y430" s="47" t="s">
        <v>1380</v>
      </c>
      <c r="Z430" s="33">
        <f t="shared" si="62"/>
        <v>1.665</v>
      </c>
      <c r="AA430" s="327"/>
      <c r="AB430" s="327"/>
      <c r="AC430" s="33" t="s">
        <v>175</v>
      </c>
      <c r="AG430" s="33" t="s">
        <v>1322</v>
      </c>
      <c r="AH430" s="33" t="s">
        <v>1530</v>
      </c>
      <c r="AI430" s="138" t="s">
        <v>577</v>
      </c>
      <c r="AJ430" s="33" t="s">
        <v>797</v>
      </c>
      <c r="AK430" s="141" t="s">
        <v>132</v>
      </c>
      <c r="AL430" s="33" t="s">
        <v>378</v>
      </c>
      <c r="AM430" s="33" t="s">
        <v>378</v>
      </c>
      <c r="AN430" s="33" t="s">
        <v>177</v>
      </c>
      <c r="AO430" s="33" t="s">
        <v>231</v>
      </c>
      <c r="AP430" s="33" t="s">
        <v>377</v>
      </c>
      <c r="AQ430" s="33" t="s">
        <v>2125</v>
      </c>
      <c r="AR430" s="33" t="s">
        <v>2125</v>
      </c>
      <c r="AS430" s="33" t="s">
        <v>502</v>
      </c>
      <c r="AT430" s="33" t="s">
        <v>380</v>
      </c>
      <c r="AU430" s="33" t="s">
        <v>380</v>
      </c>
      <c r="AV430" s="33" t="s">
        <v>177</v>
      </c>
      <c r="AW430" s="33" t="s">
        <v>119</v>
      </c>
      <c r="AX430" s="33">
        <v>4</v>
      </c>
      <c r="AZ430" s="33" t="s">
        <v>141</v>
      </c>
      <c r="BB430" s="33">
        <f>9.8/2*1000</f>
        <v>4900</v>
      </c>
      <c r="BD430" s="54"/>
      <c r="BK430" s="33">
        <f t="shared" ref="BK430:BK431" si="65">3.4*1000</f>
        <v>3400</v>
      </c>
      <c r="BL430" s="33">
        <f>3.8*1000</f>
        <v>3800</v>
      </c>
      <c r="BP430" s="402"/>
      <c r="BQ430" s="402"/>
      <c r="BU430" s="402">
        <v>0.5</v>
      </c>
      <c r="BV430" s="402">
        <v>0.74</v>
      </c>
      <c r="BY430" s="33" t="s">
        <v>618</v>
      </c>
      <c r="BZ430" s="402"/>
      <c r="CA430" s="402"/>
      <c r="CD430" s="33" t="s">
        <v>3121</v>
      </c>
      <c r="CE430" s="555">
        <v>0.5</v>
      </c>
      <c r="CF430" s="555">
        <v>0.74</v>
      </c>
      <c r="CG430" s="555"/>
      <c r="CH430" s="555"/>
      <c r="CI430" s="33" t="s">
        <v>4544</v>
      </c>
      <c r="CJ430" s="33">
        <v>0.3</v>
      </c>
      <c r="CK430" s="33">
        <v>0.5</v>
      </c>
      <c r="CN430" s="33" t="s">
        <v>234</v>
      </c>
      <c r="FL430" s="33">
        <v>13.2</v>
      </c>
      <c r="FM430" s="33">
        <v>13.4</v>
      </c>
      <c r="FP430" s="167">
        <v>38113</v>
      </c>
      <c r="GZ430" s="12"/>
      <c r="HD430" s="12"/>
      <c r="JB430" s="33" t="s">
        <v>712</v>
      </c>
    </row>
    <row r="431" spans="1:262" s="33" customFormat="1" x14ac:dyDescent="0.25">
      <c r="A431" s="33">
        <v>24</v>
      </c>
      <c r="B431" s="47" t="s">
        <v>3861</v>
      </c>
      <c r="C431" s="33" t="s">
        <v>374</v>
      </c>
      <c r="D431" s="33" t="s">
        <v>375</v>
      </c>
      <c r="E431" s="33">
        <v>2013</v>
      </c>
      <c r="F431" s="33">
        <v>2003</v>
      </c>
      <c r="G431" s="33" t="s">
        <v>267</v>
      </c>
      <c r="H431" s="33" t="s">
        <v>376</v>
      </c>
      <c r="I431" s="32" t="s">
        <v>2815</v>
      </c>
      <c r="J431" s="33">
        <v>31.48</v>
      </c>
      <c r="K431" s="33">
        <v>-83.53</v>
      </c>
      <c r="L431" s="33">
        <v>108.4</v>
      </c>
      <c r="M431" s="33">
        <v>19.600000000000001</v>
      </c>
      <c r="N431" s="33">
        <v>18.600000000000001</v>
      </c>
      <c r="O431" s="33">
        <v>976</v>
      </c>
      <c r="P431" s="33">
        <v>1192</v>
      </c>
      <c r="R431" s="47">
        <v>2</v>
      </c>
      <c r="S431" s="47" t="s">
        <v>1858</v>
      </c>
      <c r="T431" s="47"/>
      <c r="U431" s="47" t="s">
        <v>1904</v>
      </c>
      <c r="V431" s="47" t="s">
        <v>1380</v>
      </c>
      <c r="W431" s="47" t="s">
        <v>1716</v>
      </c>
      <c r="X431" s="47" t="s">
        <v>1380</v>
      </c>
      <c r="Y431" s="47" t="s">
        <v>1380</v>
      </c>
      <c r="Z431" s="33">
        <f t="shared" si="62"/>
        <v>1.665</v>
      </c>
      <c r="AA431" s="327"/>
      <c r="AB431" s="327"/>
      <c r="AC431" s="33" t="s">
        <v>175</v>
      </c>
      <c r="AG431" s="33" t="s">
        <v>1322</v>
      </c>
      <c r="AH431" s="33" t="s">
        <v>1521</v>
      </c>
      <c r="AI431" s="138" t="s">
        <v>577</v>
      </c>
      <c r="AJ431" s="33" t="s">
        <v>797</v>
      </c>
      <c r="AK431" s="141" t="s">
        <v>132</v>
      </c>
      <c r="AL431" s="33" t="s">
        <v>378</v>
      </c>
      <c r="AM431" s="33" t="s">
        <v>378</v>
      </c>
      <c r="AN431" s="33" t="s">
        <v>177</v>
      </c>
      <c r="AO431" s="33" t="s">
        <v>231</v>
      </c>
      <c r="AP431" s="33" t="s">
        <v>377</v>
      </c>
      <c r="AQ431" s="33" t="s">
        <v>2125</v>
      </c>
      <c r="AR431" s="33" t="s">
        <v>2125</v>
      </c>
      <c r="AS431" s="33" t="s">
        <v>502</v>
      </c>
      <c r="AT431" s="33" t="s">
        <v>380</v>
      </c>
      <c r="AU431" s="33" t="s">
        <v>380</v>
      </c>
      <c r="AV431" s="33" t="s">
        <v>177</v>
      </c>
      <c r="AW431" s="33" t="s">
        <v>119</v>
      </c>
      <c r="AX431" s="33">
        <v>4</v>
      </c>
      <c r="AZ431" s="33" t="s">
        <v>141</v>
      </c>
      <c r="BB431" s="33">
        <f>3.3/2*1000</f>
        <v>1650</v>
      </c>
      <c r="BD431" s="54"/>
      <c r="BK431" s="33">
        <f t="shared" si="65"/>
        <v>3400</v>
      </c>
      <c r="BL431" s="33">
        <f>2.5*1000</f>
        <v>2500</v>
      </c>
      <c r="BP431" s="402"/>
      <c r="BQ431" s="402"/>
      <c r="BU431" s="402">
        <v>0.5</v>
      </c>
      <c r="BV431" s="402">
        <v>0.54</v>
      </c>
      <c r="BY431" s="33" t="s">
        <v>618</v>
      </c>
      <c r="BZ431" s="402"/>
      <c r="CA431" s="402"/>
      <c r="CD431" s="33" t="s">
        <v>3121</v>
      </c>
      <c r="CE431" s="555">
        <v>0.5</v>
      </c>
      <c r="CF431" s="555">
        <v>0.54</v>
      </c>
      <c r="CG431" s="555"/>
      <c r="CH431" s="555"/>
      <c r="CI431" s="33" t="s">
        <v>4544</v>
      </c>
      <c r="CJ431" s="33">
        <v>0.3</v>
      </c>
      <c r="CK431" s="33">
        <v>0.3</v>
      </c>
      <c r="CN431" s="33" t="s">
        <v>234</v>
      </c>
      <c r="FL431" s="33">
        <v>14.2</v>
      </c>
      <c r="FM431" s="33">
        <v>15</v>
      </c>
      <c r="FP431" s="167">
        <v>38232</v>
      </c>
      <c r="GZ431" s="12"/>
      <c r="HD431" s="12"/>
      <c r="JB431" s="33" t="s">
        <v>712</v>
      </c>
    </row>
    <row r="432" spans="1:262" s="33" customFormat="1" x14ac:dyDescent="0.25">
      <c r="A432" s="33">
        <v>24</v>
      </c>
      <c r="B432" s="47" t="s">
        <v>3862</v>
      </c>
      <c r="C432" s="33" t="s">
        <v>374</v>
      </c>
      <c r="D432" s="33" t="s">
        <v>375</v>
      </c>
      <c r="E432" s="33">
        <v>2013</v>
      </c>
      <c r="F432" s="33">
        <v>2003</v>
      </c>
      <c r="G432" s="33" t="s">
        <v>267</v>
      </c>
      <c r="H432" s="33" t="s">
        <v>376</v>
      </c>
      <c r="I432" s="32" t="s">
        <v>2815</v>
      </c>
      <c r="J432" s="33">
        <v>31.48</v>
      </c>
      <c r="K432" s="33">
        <v>-83.53</v>
      </c>
      <c r="L432" s="33">
        <v>108.4</v>
      </c>
      <c r="M432" s="33">
        <v>19.600000000000001</v>
      </c>
      <c r="N432" s="33">
        <v>18.600000000000001</v>
      </c>
      <c r="O432" s="33">
        <v>976</v>
      </c>
      <c r="P432" s="33">
        <v>1192</v>
      </c>
      <c r="R432" s="47">
        <v>2</v>
      </c>
      <c r="S432" s="47" t="s">
        <v>1858</v>
      </c>
      <c r="T432" s="47"/>
      <c r="U432" s="47" t="s">
        <v>1904</v>
      </c>
      <c r="V432" s="47" t="s">
        <v>1380</v>
      </c>
      <c r="W432" s="47" t="s">
        <v>1716</v>
      </c>
      <c r="X432" s="47" t="s">
        <v>1380</v>
      </c>
      <c r="Y432" s="47" t="s">
        <v>1380</v>
      </c>
      <c r="Z432" s="33">
        <f t="shared" si="62"/>
        <v>1.665</v>
      </c>
      <c r="AA432" s="327"/>
      <c r="AB432" s="327"/>
      <c r="AC432" s="33" t="s">
        <v>175</v>
      </c>
      <c r="AG432" s="33" t="s">
        <v>1322</v>
      </c>
      <c r="AH432" s="33" t="s">
        <v>1550</v>
      </c>
      <c r="AI432" s="138" t="s">
        <v>1583</v>
      </c>
      <c r="AJ432" s="33" t="s">
        <v>797</v>
      </c>
      <c r="AK432" s="141" t="s">
        <v>132</v>
      </c>
      <c r="AL432" s="33" t="s">
        <v>378</v>
      </c>
      <c r="AM432" s="33" t="s">
        <v>378</v>
      </c>
      <c r="AN432" s="33" t="s">
        <v>177</v>
      </c>
      <c r="AO432" s="33" t="s">
        <v>231</v>
      </c>
      <c r="AP432" s="33" t="s">
        <v>377</v>
      </c>
      <c r="AQ432" s="33" t="s">
        <v>2125</v>
      </c>
      <c r="AR432" s="33" t="s">
        <v>2125</v>
      </c>
      <c r="AS432" s="33" t="s">
        <v>502</v>
      </c>
      <c r="AT432" s="33" t="s">
        <v>379</v>
      </c>
      <c r="AU432" s="33" t="s">
        <v>379</v>
      </c>
      <c r="AV432" s="33" t="s">
        <v>177</v>
      </c>
      <c r="AW432" s="33" t="s">
        <v>119</v>
      </c>
      <c r="AX432" s="33">
        <v>4</v>
      </c>
      <c r="AZ432" s="33" t="s">
        <v>141</v>
      </c>
      <c r="BB432" s="33">
        <f>(4.9+7.6)/2*1000</f>
        <v>6250</v>
      </c>
      <c r="BD432" s="54"/>
      <c r="BK432" s="33">
        <f>3.9*1000</f>
        <v>3900</v>
      </c>
      <c r="BL432" s="33">
        <f>4.6*1000</f>
        <v>4600</v>
      </c>
      <c r="BP432" s="402">
        <v>1.73</v>
      </c>
      <c r="BQ432" s="402">
        <v>1.71</v>
      </c>
      <c r="BU432" s="402">
        <v>0.56000000000000005</v>
      </c>
      <c r="BV432" s="402">
        <v>0.7</v>
      </c>
      <c r="BY432" s="33" t="s">
        <v>618</v>
      </c>
      <c r="BZ432" s="402"/>
      <c r="CA432" s="402"/>
      <c r="CD432" s="33" t="s">
        <v>3121</v>
      </c>
      <c r="CE432" s="555">
        <v>0.56000000000000005</v>
      </c>
      <c r="CF432" s="555">
        <v>0.7</v>
      </c>
      <c r="CG432" s="555"/>
      <c r="CH432" s="555"/>
      <c r="CI432" s="33" t="s">
        <v>4544</v>
      </c>
      <c r="CJ432" s="33">
        <v>0.3</v>
      </c>
      <c r="CK432" s="33">
        <v>1.5</v>
      </c>
      <c r="CN432" s="33" t="s">
        <v>234</v>
      </c>
      <c r="EM432" s="33">
        <f>(27+22.8+18)/3</f>
        <v>22.599999999999998</v>
      </c>
      <c r="EN432" s="33">
        <f>(33.1+24.1+19.4)/3</f>
        <v>25.533333333333331</v>
      </c>
      <c r="FL432" s="33">
        <v>18.899999999999999</v>
      </c>
      <c r="FM432" s="33">
        <v>19.2</v>
      </c>
      <c r="FP432" s="167">
        <v>38505</v>
      </c>
      <c r="GZ432" s="12"/>
      <c r="HD432" s="12"/>
      <c r="JB432" s="33" t="s">
        <v>712</v>
      </c>
    </row>
    <row r="433" spans="1:263" s="33" customFormat="1" x14ac:dyDescent="0.25">
      <c r="A433" s="33">
        <v>24</v>
      </c>
      <c r="B433" s="47" t="s">
        <v>3863</v>
      </c>
      <c r="C433" s="33" t="s">
        <v>374</v>
      </c>
      <c r="D433" s="33" t="s">
        <v>375</v>
      </c>
      <c r="E433" s="33">
        <v>2013</v>
      </c>
      <c r="F433" s="33">
        <v>2003</v>
      </c>
      <c r="G433" s="33" t="s">
        <v>267</v>
      </c>
      <c r="H433" s="33" t="s">
        <v>376</v>
      </c>
      <c r="I433" s="32" t="s">
        <v>2815</v>
      </c>
      <c r="J433" s="33">
        <v>31.48</v>
      </c>
      <c r="K433" s="33">
        <v>-83.53</v>
      </c>
      <c r="L433" s="33">
        <v>108.4</v>
      </c>
      <c r="M433" s="33">
        <v>19.600000000000001</v>
      </c>
      <c r="N433" s="33">
        <v>18.600000000000001</v>
      </c>
      <c r="O433" s="33">
        <v>976</v>
      </c>
      <c r="P433" s="33">
        <v>1192</v>
      </c>
      <c r="R433" s="47">
        <v>2</v>
      </c>
      <c r="S433" s="47" t="s">
        <v>1858</v>
      </c>
      <c r="T433" s="47"/>
      <c r="U433" s="47" t="s">
        <v>1904</v>
      </c>
      <c r="V433" s="47" t="s">
        <v>1380</v>
      </c>
      <c r="W433" s="47" t="s">
        <v>1716</v>
      </c>
      <c r="X433" s="47" t="s">
        <v>1380</v>
      </c>
      <c r="Y433" s="47" t="s">
        <v>1380</v>
      </c>
      <c r="Z433" s="33">
        <f t="shared" si="62"/>
        <v>1.665</v>
      </c>
      <c r="AA433" s="327"/>
      <c r="AB433" s="327"/>
      <c r="AC433" s="33" t="s">
        <v>175</v>
      </c>
      <c r="AG433" s="33" t="s">
        <v>1322</v>
      </c>
      <c r="AH433" s="33" t="s">
        <v>1530</v>
      </c>
      <c r="AI433" s="138" t="s">
        <v>577</v>
      </c>
      <c r="AJ433" s="33" t="s">
        <v>797</v>
      </c>
      <c r="AK433" s="141" t="s">
        <v>132</v>
      </c>
      <c r="AL433" s="33" t="s">
        <v>378</v>
      </c>
      <c r="AM433" s="33" t="s">
        <v>378</v>
      </c>
      <c r="AN433" s="33" t="s">
        <v>177</v>
      </c>
      <c r="AO433" s="33" t="s">
        <v>231</v>
      </c>
      <c r="AP433" s="33" t="s">
        <v>377</v>
      </c>
      <c r="AQ433" s="33" t="s">
        <v>2125</v>
      </c>
      <c r="AR433" s="33" t="s">
        <v>2125</v>
      </c>
      <c r="AS433" s="33" t="s">
        <v>502</v>
      </c>
      <c r="AT433" s="33" t="s">
        <v>379</v>
      </c>
      <c r="AU433" s="33" t="s">
        <v>379</v>
      </c>
      <c r="AV433" s="33" t="s">
        <v>177</v>
      </c>
      <c r="AW433" s="33" t="s">
        <v>119</v>
      </c>
      <c r="AX433" s="33">
        <v>4</v>
      </c>
      <c r="AZ433" s="33" t="s">
        <v>141</v>
      </c>
      <c r="BB433" s="33">
        <f>9.3/2*1000</f>
        <v>4650</v>
      </c>
      <c r="BD433" s="54"/>
      <c r="BK433" s="33">
        <f t="shared" ref="BK433:BK434" si="66">3.9*1000</f>
        <v>3900</v>
      </c>
      <c r="BL433" s="33">
        <f>5.3*1000</f>
        <v>5300</v>
      </c>
      <c r="BP433" s="402"/>
      <c r="BQ433" s="402"/>
      <c r="BU433" s="402">
        <v>0.56000000000000005</v>
      </c>
      <c r="BV433" s="402">
        <v>0.73</v>
      </c>
      <c r="BY433" s="33" t="s">
        <v>618</v>
      </c>
      <c r="BZ433" s="402"/>
      <c r="CA433" s="402"/>
      <c r="CD433" s="33" t="s">
        <v>3121</v>
      </c>
      <c r="CE433" s="555">
        <v>0.56000000000000005</v>
      </c>
      <c r="CF433" s="555">
        <v>0.73</v>
      </c>
      <c r="CG433" s="555"/>
      <c r="CH433" s="555"/>
      <c r="CI433" s="33" t="s">
        <v>4544</v>
      </c>
      <c r="CJ433" s="33">
        <v>0.3</v>
      </c>
      <c r="CK433" s="33">
        <v>0.5</v>
      </c>
      <c r="CN433" s="33" t="s">
        <v>234</v>
      </c>
      <c r="GZ433" s="12"/>
      <c r="HD433" s="12"/>
      <c r="JB433" s="33" t="s">
        <v>712</v>
      </c>
    </row>
    <row r="434" spans="1:263" s="33" customFormat="1" x14ac:dyDescent="0.25">
      <c r="A434" s="33">
        <v>24</v>
      </c>
      <c r="B434" s="47" t="s">
        <v>3863</v>
      </c>
      <c r="C434" s="33" t="s">
        <v>374</v>
      </c>
      <c r="D434" s="33" t="s">
        <v>375</v>
      </c>
      <c r="E434" s="33">
        <v>2013</v>
      </c>
      <c r="F434" s="33">
        <v>2003</v>
      </c>
      <c r="G434" s="33" t="s">
        <v>267</v>
      </c>
      <c r="H434" s="33" t="s">
        <v>376</v>
      </c>
      <c r="I434" s="32" t="s">
        <v>2815</v>
      </c>
      <c r="J434" s="33">
        <v>31.48</v>
      </c>
      <c r="K434" s="33">
        <v>-83.53</v>
      </c>
      <c r="L434" s="33">
        <v>108.4</v>
      </c>
      <c r="M434" s="33">
        <v>19.600000000000001</v>
      </c>
      <c r="N434" s="33">
        <v>18.600000000000001</v>
      </c>
      <c r="O434" s="33">
        <v>976</v>
      </c>
      <c r="P434" s="33">
        <v>1192</v>
      </c>
      <c r="R434" s="47">
        <v>2</v>
      </c>
      <c r="S434" s="47" t="s">
        <v>1858</v>
      </c>
      <c r="T434" s="47"/>
      <c r="U434" s="47" t="s">
        <v>1904</v>
      </c>
      <c r="V434" s="47" t="s">
        <v>1380</v>
      </c>
      <c r="W434" s="47" t="s">
        <v>1716</v>
      </c>
      <c r="X434" s="47" t="s">
        <v>1380</v>
      </c>
      <c r="Y434" s="47" t="s">
        <v>1380</v>
      </c>
      <c r="Z434" s="33">
        <f t="shared" si="62"/>
        <v>1.665</v>
      </c>
      <c r="AA434" s="327"/>
      <c r="AB434" s="327"/>
      <c r="AC434" s="33" t="s">
        <v>175</v>
      </c>
      <c r="AG434" s="33" t="s">
        <v>1322</v>
      </c>
      <c r="AH434" s="33" t="s">
        <v>1521</v>
      </c>
      <c r="AI434" s="138" t="s">
        <v>577</v>
      </c>
      <c r="AJ434" s="33" t="s">
        <v>797</v>
      </c>
      <c r="AK434" s="141" t="s">
        <v>132</v>
      </c>
      <c r="AL434" s="33" t="s">
        <v>378</v>
      </c>
      <c r="AM434" s="33" t="s">
        <v>378</v>
      </c>
      <c r="AN434" s="33" t="s">
        <v>177</v>
      </c>
      <c r="AO434" s="33" t="s">
        <v>231</v>
      </c>
      <c r="AP434" s="33" t="s">
        <v>377</v>
      </c>
      <c r="AQ434" s="33" t="s">
        <v>2125</v>
      </c>
      <c r="AR434" s="33" t="s">
        <v>2125</v>
      </c>
      <c r="AS434" s="33" t="s">
        <v>502</v>
      </c>
      <c r="AT434" s="33" t="s">
        <v>379</v>
      </c>
      <c r="AU434" s="33" t="s">
        <v>379</v>
      </c>
      <c r="AV434" s="33" t="s">
        <v>177</v>
      </c>
      <c r="AW434" s="33" t="s">
        <v>119</v>
      </c>
      <c r="AX434" s="33">
        <v>4</v>
      </c>
      <c r="AZ434" s="33" t="s">
        <v>141</v>
      </c>
      <c r="BB434" s="33">
        <f>3.5/2*1000</f>
        <v>1750</v>
      </c>
      <c r="BD434" s="54"/>
      <c r="BK434" s="33">
        <f t="shared" si="66"/>
        <v>3900</v>
      </c>
      <c r="BL434" s="33">
        <f>3.5*1000</f>
        <v>3500</v>
      </c>
      <c r="BP434" s="402"/>
      <c r="BQ434" s="402"/>
      <c r="BU434" s="402">
        <v>0.56000000000000005</v>
      </c>
      <c r="BV434" s="402">
        <v>0.52</v>
      </c>
      <c r="BY434" s="33" t="s">
        <v>618</v>
      </c>
      <c r="BZ434" s="402"/>
      <c r="CA434" s="402"/>
      <c r="CD434" s="33" t="s">
        <v>3121</v>
      </c>
      <c r="CE434" s="555">
        <v>0.56000000000000005</v>
      </c>
      <c r="CF434" s="555">
        <v>0.52</v>
      </c>
      <c r="CG434" s="555"/>
      <c r="CH434" s="555"/>
      <c r="CI434" s="33" t="s">
        <v>4544</v>
      </c>
      <c r="CJ434" s="33">
        <v>0.3</v>
      </c>
      <c r="CK434" s="33">
        <v>0.3</v>
      </c>
      <c r="CN434" s="33" t="s">
        <v>234</v>
      </c>
      <c r="GZ434" s="12"/>
      <c r="HD434" s="12"/>
      <c r="JB434" s="33" t="s">
        <v>712</v>
      </c>
    </row>
    <row r="435" spans="1:263" s="35" customFormat="1" x14ac:dyDescent="0.25">
      <c r="A435" s="35">
        <v>25</v>
      </c>
      <c r="B435" s="49" t="s">
        <v>3864</v>
      </c>
      <c r="C435" s="35" t="s">
        <v>382</v>
      </c>
      <c r="D435" s="35" t="s">
        <v>383</v>
      </c>
      <c r="E435" s="35">
        <v>2009</v>
      </c>
      <c r="F435" s="35">
        <v>2004</v>
      </c>
      <c r="G435" s="35" t="s">
        <v>296</v>
      </c>
      <c r="H435" s="35" t="s">
        <v>386</v>
      </c>
      <c r="I435" s="32" t="s">
        <v>2815</v>
      </c>
      <c r="J435" s="35">
        <f>(44+53/60+44+22/60+42+44/60+42+52/60)/4</f>
        <v>43.712499999999999</v>
      </c>
      <c r="K435" s="35">
        <f>(-73-28/60-73-26/60-76-39/60-70-3/60)/4</f>
        <v>-73.400000000000006</v>
      </c>
      <c r="L435" s="35">
        <v>301</v>
      </c>
      <c r="R435" s="49">
        <v>2</v>
      </c>
      <c r="S435" s="49" t="s">
        <v>1858</v>
      </c>
      <c r="T435" s="49"/>
      <c r="U435" s="49" t="s">
        <v>1905</v>
      </c>
      <c r="V435" s="49" t="s">
        <v>1382</v>
      </c>
      <c r="W435" s="49" t="s">
        <v>1717</v>
      </c>
      <c r="X435" s="49" t="s">
        <v>1382</v>
      </c>
      <c r="Y435" s="49" t="s">
        <v>1382</v>
      </c>
      <c r="AA435" s="329">
        <f>(212+195+408+470)/(212+195+408+470+726+491+484+445+62+314+108+85)*100</f>
        <v>32.125</v>
      </c>
      <c r="AB435" s="329">
        <f>(726+491+484+445)/(212+195+408+470+726+491+484+445+62+314+108+85)*100</f>
        <v>53.65</v>
      </c>
      <c r="AC435" s="35" t="s">
        <v>450</v>
      </c>
      <c r="AG435" s="35" t="s">
        <v>1323</v>
      </c>
      <c r="AH435" s="35" t="s">
        <v>131</v>
      </c>
      <c r="AI435" s="138" t="s">
        <v>131</v>
      </c>
      <c r="AJ435" s="35" t="s">
        <v>635</v>
      </c>
      <c r="AK435" s="140" t="s">
        <v>1613</v>
      </c>
      <c r="AL435" s="35" t="s">
        <v>384</v>
      </c>
      <c r="AM435" s="35" t="s">
        <v>384</v>
      </c>
      <c r="AN435" s="35" t="s">
        <v>177</v>
      </c>
      <c r="AO435" s="35" t="s">
        <v>387</v>
      </c>
      <c r="AP435" s="35" t="s">
        <v>387</v>
      </c>
      <c r="AQ435" s="35" t="s">
        <v>2126</v>
      </c>
      <c r="AR435" s="35" t="s">
        <v>2126</v>
      </c>
      <c r="AS435" s="35" t="s">
        <v>177</v>
      </c>
      <c r="AW435" s="35" t="s">
        <v>160</v>
      </c>
      <c r="AX435" s="35">
        <v>4</v>
      </c>
      <c r="AZ435" s="35" t="s">
        <v>141</v>
      </c>
      <c r="BD435" s="53"/>
      <c r="BP435" s="405"/>
      <c r="BQ435" s="405"/>
      <c r="BU435" s="405">
        <f>21/1000*100</f>
        <v>2.1</v>
      </c>
      <c r="BV435" s="405">
        <v>2</v>
      </c>
      <c r="BY435" s="35" t="s">
        <v>1670</v>
      </c>
      <c r="BZ435" s="405"/>
      <c r="CA435" s="405"/>
      <c r="CD435" s="35" t="s">
        <v>1670</v>
      </c>
      <c r="CE435" s="558">
        <v>2.1</v>
      </c>
      <c r="CF435" s="558">
        <v>2</v>
      </c>
      <c r="CG435" s="558"/>
      <c r="CH435" s="558"/>
      <c r="CI435" s="35" t="s">
        <v>4541</v>
      </c>
      <c r="CO435" s="35">
        <v>10.9</v>
      </c>
      <c r="CP435" s="35">
        <v>11.5</v>
      </c>
      <c r="CT435" s="35">
        <v>58</v>
      </c>
      <c r="CU435" s="35">
        <v>57</v>
      </c>
      <c r="CY435" s="35">
        <v>7.24</v>
      </c>
      <c r="CZ435" s="35">
        <v>7.22</v>
      </c>
      <c r="DD435" s="35">
        <v>166</v>
      </c>
      <c r="DE435" s="35">
        <v>166</v>
      </c>
      <c r="DH435" s="35" t="s">
        <v>4555</v>
      </c>
      <c r="DS435" s="35">
        <f>16.5*10</f>
        <v>165</v>
      </c>
      <c r="DT435" s="35">
        <v>160</v>
      </c>
      <c r="FQ435" s="35">
        <v>0.11700000000000001</v>
      </c>
      <c r="FR435" s="35">
        <v>0.11799999999999999</v>
      </c>
      <c r="FU435" s="35" t="s">
        <v>388</v>
      </c>
      <c r="GA435" s="12">
        <v>5</v>
      </c>
      <c r="GB435" s="35">
        <v>5</v>
      </c>
      <c r="GE435" s="35" t="s">
        <v>1707</v>
      </c>
      <c r="HE435" s="35">
        <v>501</v>
      </c>
      <c r="HF435" s="35">
        <v>510</v>
      </c>
      <c r="HI435" s="35" t="s">
        <v>389</v>
      </c>
      <c r="HJ435" s="35">
        <v>3.41</v>
      </c>
      <c r="HK435" s="35">
        <v>3.76</v>
      </c>
      <c r="HN435" s="35" t="s">
        <v>621</v>
      </c>
      <c r="IX435" s="35">
        <v>99999</v>
      </c>
      <c r="JB435" s="35" t="s">
        <v>390</v>
      </c>
      <c r="JC435" s="35" t="s">
        <v>721</v>
      </c>
    </row>
    <row r="436" spans="1:263" s="35" customFormat="1" x14ac:dyDescent="0.25">
      <c r="A436" s="35">
        <v>25</v>
      </c>
      <c r="B436" s="49" t="s">
        <v>3864</v>
      </c>
      <c r="C436" s="35" t="s">
        <v>382</v>
      </c>
      <c r="D436" s="35" t="s">
        <v>383</v>
      </c>
      <c r="E436" s="35">
        <v>2009</v>
      </c>
      <c r="F436" s="35">
        <v>2004</v>
      </c>
      <c r="G436" s="35" t="s">
        <v>296</v>
      </c>
      <c r="H436" s="35" t="s">
        <v>386</v>
      </c>
      <c r="I436" s="32" t="s">
        <v>2815</v>
      </c>
      <c r="J436" s="35">
        <f>(44+53/60+44+22/60+42+44/60+42+52/60)/4</f>
        <v>43.712499999999999</v>
      </c>
      <c r="K436" s="35">
        <f>(-73-28/60-73-26/60-76-39/60-70-3/60)/4</f>
        <v>-73.400000000000006</v>
      </c>
      <c r="L436" s="35">
        <v>301</v>
      </c>
      <c r="R436" s="49">
        <v>2</v>
      </c>
      <c r="S436" s="49" t="s">
        <v>1858</v>
      </c>
      <c r="T436" s="49"/>
      <c r="U436" s="49" t="s">
        <v>1905</v>
      </c>
      <c r="V436" s="49" t="s">
        <v>1382</v>
      </c>
      <c r="W436" s="49" t="s">
        <v>1717</v>
      </c>
      <c r="X436" s="49" t="s">
        <v>1382</v>
      </c>
      <c r="Y436" s="49" t="s">
        <v>1382</v>
      </c>
      <c r="AA436" s="329">
        <f>(212+195+408+470)/(212+195+408+470+726+491+484+445+62+314+108+85)*100</f>
        <v>32.125</v>
      </c>
      <c r="AB436" s="329">
        <f>(726+491+484+445)/(212+195+408+470+726+491+484+445+62+314+108+85)*100</f>
        <v>53.65</v>
      </c>
      <c r="AC436" s="35" t="s">
        <v>450</v>
      </c>
      <c r="AG436" s="35" t="s">
        <v>1323</v>
      </c>
      <c r="AH436" s="35" t="s">
        <v>131</v>
      </c>
      <c r="AI436" s="138" t="s">
        <v>131</v>
      </c>
      <c r="AJ436" s="35" t="s">
        <v>635</v>
      </c>
      <c r="AK436" s="140" t="s">
        <v>1613</v>
      </c>
      <c r="AL436" s="35" t="s">
        <v>384</v>
      </c>
      <c r="AM436" s="35" t="s">
        <v>384</v>
      </c>
      <c r="AN436" s="35" t="s">
        <v>177</v>
      </c>
      <c r="AO436" s="35" t="s">
        <v>387</v>
      </c>
      <c r="AP436" s="35" t="s">
        <v>387</v>
      </c>
      <c r="AQ436" s="35" t="s">
        <v>2126</v>
      </c>
      <c r="AR436" s="35" t="s">
        <v>2126</v>
      </c>
      <c r="AS436" s="35" t="s">
        <v>177</v>
      </c>
      <c r="AW436" s="35" t="s">
        <v>160</v>
      </c>
      <c r="AX436" s="35">
        <v>4</v>
      </c>
      <c r="AZ436" s="35" t="s">
        <v>141</v>
      </c>
      <c r="BD436" s="53"/>
      <c r="BP436" s="405"/>
      <c r="BQ436" s="405"/>
      <c r="BU436" s="405">
        <v>2.1</v>
      </c>
      <c r="BV436" s="405">
        <v>2</v>
      </c>
      <c r="BY436" s="35" t="s">
        <v>1670</v>
      </c>
      <c r="BZ436" s="405"/>
      <c r="CA436" s="405"/>
      <c r="CD436" s="35" t="s">
        <v>1670</v>
      </c>
      <c r="CE436" s="558">
        <v>2.1</v>
      </c>
      <c r="CF436" s="558">
        <v>2</v>
      </c>
      <c r="CG436" s="558"/>
      <c r="CH436" s="558"/>
      <c r="CI436" s="35" t="s">
        <v>4541</v>
      </c>
      <c r="CO436" s="35">
        <v>10.9</v>
      </c>
      <c r="CP436" s="35">
        <v>10.199999999999999</v>
      </c>
      <c r="CT436" s="35">
        <v>58</v>
      </c>
      <c r="CU436" s="35">
        <v>60</v>
      </c>
      <c r="CY436" s="35">
        <v>7.24</v>
      </c>
      <c r="CZ436" s="35">
        <v>7.19</v>
      </c>
      <c r="DD436" s="35">
        <v>166</v>
      </c>
      <c r="DE436" s="35">
        <v>162</v>
      </c>
      <c r="DH436" s="35" t="s">
        <v>4555</v>
      </c>
      <c r="DS436" s="35">
        <f>16.5*10</f>
        <v>165</v>
      </c>
      <c r="DT436" s="35">
        <v>177</v>
      </c>
      <c r="FQ436" s="35">
        <v>0.11700000000000001</v>
      </c>
      <c r="FR436" s="35">
        <v>0.12</v>
      </c>
      <c r="FU436" s="35" t="s">
        <v>388</v>
      </c>
      <c r="GA436" s="12">
        <v>5</v>
      </c>
      <c r="GB436" s="35">
        <v>5.0999999999999996</v>
      </c>
      <c r="GE436" s="35" t="s">
        <v>1707</v>
      </c>
      <c r="HE436" s="35">
        <v>501</v>
      </c>
      <c r="HF436" s="35">
        <v>492</v>
      </c>
      <c r="HI436" s="35" t="s">
        <v>389</v>
      </c>
      <c r="HJ436" s="35">
        <v>3.41</v>
      </c>
      <c r="HK436" s="35">
        <v>6.27</v>
      </c>
      <c r="HN436" s="35" t="s">
        <v>621</v>
      </c>
      <c r="IX436" s="35">
        <v>99999</v>
      </c>
      <c r="JB436" s="35" t="s">
        <v>390</v>
      </c>
      <c r="JC436" s="35" t="s">
        <v>721</v>
      </c>
    </row>
    <row r="437" spans="1:263" s="35" customFormat="1" x14ac:dyDescent="0.25">
      <c r="A437" s="35">
        <v>25</v>
      </c>
      <c r="B437" s="49" t="s">
        <v>3864</v>
      </c>
      <c r="C437" s="35" t="s">
        <v>382</v>
      </c>
      <c r="D437" s="35" t="s">
        <v>383</v>
      </c>
      <c r="E437" s="35">
        <v>2009</v>
      </c>
      <c r="F437" s="35">
        <v>2004</v>
      </c>
      <c r="G437" s="35" t="s">
        <v>296</v>
      </c>
      <c r="H437" s="35" t="s">
        <v>386</v>
      </c>
      <c r="I437" s="32" t="s">
        <v>2815</v>
      </c>
      <c r="J437" s="35">
        <f>(44+53/60+44+22/60+42+44/60+42+52/60)/4</f>
        <v>43.712499999999999</v>
      </c>
      <c r="K437" s="35">
        <f>(-73-28/60-73-26/60-76-39/60-70-3/60)/4</f>
        <v>-73.400000000000006</v>
      </c>
      <c r="L437" s="35">
        <v>301</v>
      </c>
      <c r="R437" s="49">
        <v>2</v>
      </c>
      <c r="S437" s="49" t="s">
        <v>1858</v>
      </c>
      <c r="T437" s="49"/>
      <c r="U437" s="49" t="s">
        <v>1905</v>
      </c>
      <c r="V437" s="49" t="s">
        <v>1382</v>
      </c>
      <c r="W437" s="49" t="s">
        <v>1717</v>
      </c>
      <c r="X437" s="49" t="s">
        <v>1382</v>
      </c>
      <c r="Y437" s="49" t="s">
        <v>1382</v>
      </c>
      <c r="AA437" s="329">
        <f>(212+195+408+470)/(212+195+408+470+726+491+484+445+62+314+108+85)*100</f>
        <v>32.125</v>
      </c>
      <c r="AB437" s="329">
        <f>(726+491+484+445)/(212+195+408+470+726+491+484+445+62+314+108+85)*100</f>
        <v>53.65</v>
      </c>
      <c r="AC437" s="35" t="s">
        <v>450</v>
      </c>
      <c r="AG437" s="35" t="s">
        <v>1323</v>
      </c>
      <c r="AH437" s="35" t="s">
        <v>131</v>
      </c>
      <c r="AI437" s="138" t="s">
        <v>131</v>
      </c>
      <c r="AJ437" s="35" t="s">
        <v>635</v>
      </c>
      <c r="AK437" s="140" t="s">
        <v>1613</v>
      </c>
      <c r="AL437" s="35" t="s">
        <v>385</v>
      </c>
      <c r="AM437" s="35" t="s">
        <v>385</v>
      </c>
      <c r="AN437" s="35" t="s">
        <v>177</v>
      </c>
      <c r="AO437" s="35" t="s">
        <v>387</v>
      </c>
      <c r="AP437" s="35" t="s">
        <v>387</v>
      </c>
      <c r="AQ437" s="35" t="s">
        <v>2126</v>
      </c>
      <c r="AR437" s="35" t="s">
        <v>2126</v>
      </c>
      <c r="AS437" s="35" t="s">
        <v>177</v>
      </c>
      <c r="AW437" s="35" t="s">
        <v>160</v>
      </c>
      <c r="AX437" s="35">
        <v>4</v>
      </c>
      <c r="AZ437" s="35" t="s">
        <v>141</v>
      </c>
      <c r="BD437" s="53"/>
      <c r="BP437" s="405"/>
      <c r="BQ437" s="405"/>
      <c r="BU437" s="405">
        <v>2.2999999999999998</v>
      </c>
      <c r="BV437" s="405">
        <v>2.1</v>
      </c>
      <c r="BY437" s="35" t="s">
        <v>1670</v>
      </c>
      <c r="BZ437" s="405"/>
      <c r="CA437" s="405"/>
      <c r="CD437" s="35" t="s">
        <v>1670</v>
      </c>
      <c r="CE437" s="558">
        <v>2.2999999999999998</v>
      </c>
      <c r="CF437" s="558">
        <v>2.1</v>
      </c>
      <c r="CG437" s="558"/>
      <c r="CH437" s="558"/>
      <c r="CI437" s="35" t="s">
        <v>4541</v>
      </c>
      <c r="CO437" s="35">
        <v>11</v>
      </c>
      <c r="CP437" s="35">
        <v>10.9</v>
      </c>
      <c r="CT437" s="35">
        <v>62</v>
      </c>
      <c r="CU437" s="35">
        <v>65</v>
      </c>
      <c r="CY437" s="35">
        <v>7.19</v>
      </c>
      <c r="CZ437" s="35">
        <v>7.24</v>
      </c>
      <c r="DD437" s="35">
        <v>171</v>
      </c>
      <c r="DE437" s="35">
        <v>162</v>
      </c>
      <c r="DH437" s="35" t="s">
        <v>4555</v>
      </c>
      <c r="DS437" s="35">
        <f>21.8*10</f>
        <v>218</v>
      </c>
      <c r="DT437" s="35">
        <v>224</v>
      </c>
      <c r="FQ437" s="35">
        <v>0.121</v>
      </c>
      <c r="FR437" s="35">
        <v>0.124</v>
      </c>
      <c r="FU437" s="35" t="s">
        <v>388</v>
      </c>
      <c r="GA437" s="12">
        <v>5</v>
      </c>
      <c r="GB437" s="35">
        <v>4.7</v>
      </c>
      <c r="GE437" s="35" t="s">
        <v>1707</v>
      </c>
      <c r="HE437" s="35">
        <v>549</v>
      </c>
      <c r="HF437" s="35">
        <v>525</v>
      </c>
      <c r="HI437" s="35" t="s">
        <v>389</v>
      </c>
      <c r="HJ437" s="35">
        <v>6.94</v>
      </c>
      <c r="HK437" s="35">
        <v>5.91</v>
      </c>
      <c r="HN437" s="35" t="s">
        <v>621</v>
      </c>
      <c r="IX437" s="35">
        <v>99999</v>
      </c>
      <c r="JB437" s="35" t="s">
        <v>390</v>
      </c>
      <c r="JC437" s="35" t="s">
        <v>721</v>
      </c>
    </row>
    <row r="438" spans="1:263" s="35" customFormat="1" x14ac:dyDescent="0.25">
      <c r="A438" s="35">
        <v>25</v>
      </c>
      <c r="B438" s="49" t="s">
        <v>3864</v>
      </c>
      <c r="C438" s="35" t="s">
        <v>382</v>
      </c>
      <c r="D438" s="35" t="s">
        <v>383</v>
      </c>
      <c r="E438" s="35">
        <v>2009</v>
      </c>
      <c r="F438" s="35">
        <v>2004</v>
      </c>
      <c r="G438" s="35" t="s">
        <v>296</v>
      </c>
      <c r="H438" s="35" t="s">
        <v>386</v>
      </c>
      <c r="I438" s="32" t="s">
        <v>2815</v>
      </c>
      <c r="J438" s="35">
        <f>(44+53/60+44+22/60+42+44/60+42+52/60)/4</f>
        <v>43.712499999999999</v>
      </c>
      <c r="K438" s="35">
        <f>(-73-28/60-73-26/60-76-39/60-70-3/60)/4</f>
        <v>-73.400000000000006</v>
      </c>
      <c r="L438" s="35">
        <v>301</v>
      </c>
      <c r="R438" s="49">
        <v>2</v>
      </c>
      <c r="S438" s="49" t="s">
        <v>1858</v>
      </c>
      <c r="T438" s="49"/>
      <c r="U438" s="49" t="s">
        <v>1905</v>
      </c>
      <c r="V438" s="49" t="s">
        <v>1382</v>
      </c>
      <c r="W438" s="49" t="s">
        <v>1717</v>
      </c>
      <c r="X438" s="49" t="s">
        <v>1382</v>
      </c>
      <c r="Y438" s="49" t="s">
        <v>1382</v>
      </c>
      <c r="AA438" s="329">
        <f>(212+195+408+470)/(212+195+408+470+726+491+484+445+62+314+108+85)*100</f>
        <v>32.125</v>
      </c>
      <c r="AB438" s="329">
        <f>(726+491+484+445)/(212+195+408+470+726+491+484+445+62+314+108+85)*100</f>
        <v>53.65</v>
      </c>
      <c r="AC438" s="35" t="s">
        <v>450</v>
      </c>
      <c r="AG438" s="35" t="s">
        <v>1323</v>
      </c>
      <c r="AH438" s="35" t="s">
        <v>131</v>
      </c>
      <c r="AI438" s="138" t="s">
        <v>131</v>
      </c>
      <c r="AJ438" s="35" t="s">
        <v>635</v>
      </c>
      <c r="AK438" s="140" t="s">
        <v>1613</v>
      </c>
      <c r="AL438" s="35" t="s">
        <v>385</v>
      </c>
      <c r="AM438" s="35" t="s">
        <v>385</v>
      </c>
      <c r="AN438" s="35" t="s">
        <v>177</v>
      </c>
      <c r="AO438" s="35" t="s">
        <v>387</v>
      </c>
      <c r="AP438" s="35" t="s">
        <v>387</v>
      </c>
      <c r="AQ438" s="35" t="s">
        <v>2126</v>
      </c>
      <c r="AR438" s="35" t="s">
        <v>2126</v>
      </c>
      <c r="AS438" s="35" t="s">
        <v>177</v>
      </c>
      <c r="AW438" s="35" t="s">
        <v>160</v>
      </c>
      <c r="AX438" s="35">
        <v>4</v>
      </c>
      <c r="AZ438" s="35" t="s">
        <v>141</v>
      </c>
      <c r="BD438" s="53"/>
      <c r="BP438" s="405"/>
      <c r="BQ438" s="405"/>
      <c r="BU438" s="405">
        <v>2.2999999999999998</v>
      </c>
      <c r="BV438" s="405">
        <v>2.1</v>
      </c>
      <c r="BY438" s="35" t="s">
        <v>1670</v>
      </c>
      <c r="BZ438" s="405"/>
      <c r="CA438" s="405"/>
      <c r="CD438" s="35" t="s">
        <v>1670</v>
      </c>
      <c r="CE438" s="558">
        <v>2.2999999999999998</v>
      </c>
      <c r="CF438" s="558">
        <v>2.1</v>
      </c>
      <c r="CG438" s="558"/>
      <c r="CH438" s="558"/>
      <c r="CI438" s="35" t="s">
        <v>4541</v>
      </c>
      <c r="CO438" s="35">
        <v>11</v>
      </c>
      <c r="CP438" s="35">
        <v>11.6</v>
      </c>
      <c r="CT438" s="35">
        <v>62</v>
      </c>
      <c r="CU438" s="35">
        <v>63</v>
      </c>
      <c r="CY438" s="35">
        <v>7.19</v>
      </c>
      <c r="CZ438" s="35">
        <v>7.29</v>
      </c>
      <c r="DD438" s="35">
        <v>171</v>
      </c>
      <c r="DE438" s="35">
        <v>162</v>
      </c>
      <c r="DH438" s="35" t="s">
        <v>4555</v>
      </c>
      <c r="DS438" s="35">
        <f>21.8*10</f>
        <v>218</v>
      </c>
      <c r="DT438" s="35">
        <v>214</v>
      </c>
      <c r="FQ438" s="35">
        <v>0.121</v>
      </c>
      <c r="FR438" s="35">
        <v>0.12</v>
      </c>
      <c r="FU438" s="35" t="s">
        <v>388</v>
      </c>
      <c r="GA438" s="12">
        <v>5</v>
      </c>
      <c r="GB438" s="35">
        <v>5</v>
      </c>
      <c r="GE438" s="35" t="s">
        <v>1707</v>
      </c>
      <c r="HE438" s="35">
        <v>549</v>
      </c>
      <c r="HF438" s="35">
        <v>527</v>
      </c>
      <c r="HI438" s="35" t="s">
        <v>389</v>
      </c>
      <c r="HJ438" s="35">
        <v>6.94</v>
      </c>
      <c r="HK438" s="35">
        <v>6.42</v>
      </c>
      <c r="HN438" s="35" t="s">
        <v>621</v>
      </c>
      <c r="IX438" s="35">
        <v>99999</v>
      </c>
      <c r="JB438" s="35" t="s">
        <v>390</v>
      </c>
      <c r="JC438" s="35" t="s">
        <v>721</v>
      </c>
    </row>
    <row r="439" spans="1:263" s="33" customFormat="1" x14ac:dyDescent="0.25">
      <c r="A439" s="33">
        <v>26</v>
      </c>
      <c r="B439" s="47" t="s">
        <v>3865</v>
      </c>
      <c r="C439" s="33" t="s">
        <v>391</v>
      </c>
      <c r="D439" s="33" t="s">
        <v>392</v>
      </c>
      <c r="E439" s="33">
        <v>2015</v>
      </c>
      <c r="F439" s="33">
        <v>2012</v>
      </c>
      <c r="G439" s="33" t="s">
        <v>296</v>
      </c>
      <c r="H439" s="33" t="s">
        <v>393</v>
      </c>
      <c r="I439" s="32" t="s">
        <v>2815</v>
      </c>
      <c r="J439" s="33">
        <f>35.39</f>
        <v>35.39</v>
      </c>
      <c r="K439" s="33">
        <f>-78.03</f>
        <v>-78.03</v>
      </c>
      <c r="L439" s="33">
        <v>24.3</v>
      </c>
      <c r="R439" s="47">
        <v>1</v>
      </c>
      <c r="S439" s="47">
        <v>1</v>
      </c>
      <c r="T439" s="47"/>
      <c r="U439" s="47" t="s">
        <v>398</v>
      </c>
      <c r="V439" s="47" t="s">
        <v>1382</v>
      </c>
      <c r="W439" s="47" t="s">
        <v>1717</v>
      </c>
      <c r="X439" s="47" t="s">
        <v>1382</v>
      </c>
      <c r="Y439" s="47" t="s">
        <v>1382</v>
      </c>
      <c r="AA439" s="327"/>
      <c r="AB439" s="327"/>
      <c r="AC439" s="33" t="s">
        <v>175</v>
      </c>
      <c r="AG439" s="33" t="s">
        <v>1324</v>
      </c>
      <c r="AH439" s="33" t="s">
        <v>396</v>
      </c>
      <c r="AI439" s="138" t="s">
        <v>577</v>
      </c>
      <c r="AJ439" s="33" t="s">
        <v>132</v>
      </c>
      <c r="AK439" s="141" t="s">
        <v>132</v>
      </c>
      <c r="AO439" s="33" t="s">
        <v>395</v>
      </c>
      <c r="AP439" s="33" t="s">
        <v>395</v>
      </c>
      <c r="AQ439" s="33" t="s">
        <v>2125</v>
      </c>
      <c r="AR439" s="33" t="s">
        <v>2125</v>
      </c>
      <c r="AS439" s="33" t="s">
        <v>177</v>
      </c>
      <c r="AT439" s="33">
        <v>0</v>
      </c>
      <c r="AU439" s="33">
        <v>0</v>
      </c>
      <c r="AV439" s="33" t="s">
        <v>177</v>
      </c>
      <c r="AW439" s="33" t="s">
        <v>160</v>
      </c>
      <c r="AX439" s="33">
        <v>4</v>
      </c>
      <c r="AZ439" s="33" t="s">
        <v>335</v>
      </c>
      <c r="BB439" s="33">
        <f>(6.5+1.7)*1000</f>
        <v>8200</v>
      </c>
      <c r="BC439" s="33">
        <f>BB439/(205+53)</f>
        <v>31.782945736434108</v>
      </c>
      <c r="BD439" s="54" t="s">
        <v>407</v>
      </c>
      <c r="BP439" s="402"/>
      <c r="BQ439" s="402"/>
      <c r="BU439" s="402"/>
      <c r="BV439" s="402"/>
      <c r="BZ439" s="402"/>
      <c r="CA439" s="402"/>
      <c r="CE439" s="555"/>
      <c r="CF439" s="555"/>
      <c r="CG439" s="555"/>
      <c r="CH439" s="555"/>
      <c r="CJ439" s="33">
        <v>10.685</v>
      </c>
      <c r="CK439" s="33">
        <v>29.363800000000001</v>
      </c>
      <c r="CN439" s="33" t="s">
        <v>406</v>
      </c>
      <c r="GZ439" s="12"/>
      <c r="HD439" s="12"/>
      <c r="JB439" s="33" t="s">
        <v>409</v>
      </c>
      <c r="JC439" s="33" t="s">
        <v>714</v>
      </c>
    </row>
    <row r="440" spans="1:263" s="33" customFormat="1" x14ac:dyDescent="0.25">
      <c r="A440" s="33">
        <v>26</v>
      </c>
      <c r="B440" s="47" t="s">
        <v>3865</v>
      </c>
      <c r="C440" s="33" t="s">
        <v>391</v>
      </c>
      <c r="D440" s="33" t="s">
        <v>392</v>
      </c>
      <c r="E440" s="33">
        <v>2015</v>
      </c>
      <c r="F440" s="33">
        <v>2012</v>
      </c>
      <c r="G440" s="33" t="s">
        <v>296</v>
      </c>
      <c r="H440" s="33" t="s">
        <v>393</v>
      </c>
      <c r="I440" s="32" t="s">
        <v>2815</v>
      </c>
      <c r="J440" s="33">
        <f>35.39</f>
        <v>35.39</v>
      </c>
      <c r="K440" s="33">
        <f>-78.03</f>
        <v>-78.03</v>
      </c>
      <c r="L440" s="33">
        <v>24.3</v>
      </c>
      <c r="R440" s="47">
        <v>1</v>
      </c>
      <c r="S440" s="47">
        <v>1</v>
      </c>
      <c r="T440" s="47"/>
      <c r="U440" s="47" t="s">
        <v>398</v>
      </c>
      <c r="V440" s="47" t="s">
        <v>1382</v>
      </c>
      <c r="W440" s="47" t="s">
        <v>1717</v>
      </c>
      <c r="X440" s="47" t="s">
        <v>1382</v>
      </c>
      <c r="Y440" s="47" t="s">
        <v>1382</v>
      </c>
      <c r="AA440" s="327"/>
      <c r="AB440" s="327"/>
      <c r="AC440" s="33" t="s">
        <v>175</v>
      </c>
      <c r="AG440" s="33" t="s">
        <v>1324</v>
      </c>
      <c r="AH440" s="33" t="s">
        <v>397</v>
      </c>
      <c r="AI440" s="138" t="s">
        <v>577</v>
      </c>
      <c r="AJ440" s="33" t="s">
        <v>132</v>
      </c>
      <c r="AK440" s="141" t="s">
        <v>132</v>
      </c>
      <c r="AO440" s="33" t="s">
        <v>395</v>
      </c>
      <c r="AP440" s="33" t="s">
        <v>395</v>
      </c>
      <c r="AQ440" s="33" t="s">
        <v>2125</v>
      </c>
      <c r="AR440" s="33" t="s">
        <v>2125</v>
      </c>
      <c r="AS440" s="33" t="s">
        <v>177</v>
      </c>
      <c r="AT440" s="33">
        <v>0</v>
      </c>
      <c r="AU440" s="33">
        <v>0</v>
      </c>
      <c r="AV440" s="33" t="s">
        <v>177</v>
      </c>
      <c r="AW440" s="33" t="s">
        <v>160</v>
      </c>
      <c r="AX440" s="33">
        <v>4</v>
      </c>
      <c r="AZ440" s="33" t="s">
        <v>335</v>
      </c>
      <c r="BB440" s="33">
        <f>(9.6+2.8)*1000</f>
        <v>12399.999999999998</v>
      </c>
      <c r="BC440" s="33">
        <f>BB440/(256+66)</f>
        <v>38.509316770186331</v>
      </c>
      <c r="BD440" s="54" t="s">
        <v>407</v>
      </c>
      <c r="BP440" s="402"/>
      <c r="BQ440" s="402"/>
      <c r="BU440" s="402"/>
      <c r="BV440" s="402"/>
      <c r="BZ440" s="402"/>
      <c r="CA440" s="402"/>
      <c r="CE440" s="555"/>
      <c r="CF440" s="555"/>
      <c r="CG440" s="555"/>
      <c r="CH440" s="555"/>
      <c r="CJ440" s="33">
        <v>10.685</v>
      </c>
      <c r="CK440" s="33">
        <v>14.356</v>
      </c>
      <c r="CN440" s="33" t="s">
        <v>406</v>
      </c>
      <c r="GZ440" s="12"/>
      <c r="HD440" s="12"/>
      <c r="JB440" s="33" t="s">
        <v>409</v>
      </c>
      <c r="JC440" s="33" t="s">
        <v>714</v>
      </c>
    </row>
    <row r="441" spans="1:263" s="33" customFormat="1" x14ac:dyDescent="0.25">
      <c r="A441" s="33">
        <v>26</v>
      </c>
      <c r="B441" s="47" t="s">
        <v>3865</v>
      </c>
      <c r="C441" s="33" t="s">
        <v>391</v>
      </c>
      <c r="D441" s="33" t="s">
        <v>392</v>
      </c>
      <c r="E441" s="33">
        <v>2015</v>
      </c>
      <c r="F441" s="33">
        <v>2012</v>
      </c>
      <c r="G441" s="33" t="s">
        <v>296</v>
      </c>
      <c r="H441" s="33" t="s">
        <v>393</v>
      </c>
      <c r="I441" s="32" t="s">
        <v>2815</v>
      </c>
      <c r="J441" s="33">
        <f t="shared" ref="J441:J480" si="67">35.39</f>
        <v>35.39</v>
      </c>
      <c r="K441" s="33">
        <f t="shared" ref="K441:K480" si="68">-78.03</f>
        <v>-78.03</v>
      </c>
      <c r="L441" s="33">
        <v>24.3</v>
      </c>
      <c r="R441" s="47">
        <v>1</v>
      </c>
      <c r="S441" s="47">
        <v>1</v>
      </c>
      <c r="T441" s="47"/>
      <c r="U441" s="47" t="s">
        <v>398</v>
      </c>
      <c r="V441" s="47" t="s">
        <v>1382</v>
      </c>
      <c r="W441" s="47" t="s">
        <v>1717</v>
      </c>
      <c r="X441" s="47" t="s">
        <v>1382</v>
      </c>
      <c r="Y441" s="47" t="s">
        <v>1382</v>
      </c>
      <c r="AA441" s="327"/>
      <c r="AB441" s="327"/>
      <c r="AC441" s="33" t="s">
        <v>175</v>
      </c>
      <c r="AG441" s="33" t="s">
        <v>1324</v>
      </c>
      <c r="AH441" s="33" t="s">
        <v>243</v>
      </c>
      <c r="AI441" s="138" t="s">
        <v>577</v>
      </c>
      <c r="AJ441" s="33" t="s">
        <v>132</v>
      </c>
      <c r="AK441" s="141" t="s">
        <v>132</v>
      </c>
      <c r="AO441" s="33" t="s">
        <v>395</v>
      </c>
      <c r="AP441" s="33" t="s">
        <v>395</v>
      </c>
      <c r="AQ441" s="33" t="s">
        <v>2125</v>
      </c>
      <c r="AR441" s="33" t="s">
        <v>2125</v>
      </c>
      <c r="AS441" s="33" t="s">
        <v>177</v>
      </c>
      <c r="AT441" s="33">
        <v>0</v>
      </c>
      <c r="AU441" s="33">
        <v>0</v>
      </c>
      <c r="AV441" s="33" t="s">
        <v>177</v>
      </c>
      <c r="AW441" s="33" t="s">
        <v>160</v>
      </c>
      <c r="AX441" s="33">
        <v>4</v>
      </c>
      <c r="AZ441" s="33" t="s">
        <v>335</v>
      </c>
      <c r="BB441" s="33">
        <f>(8.7+2.5)*1000</f>
        <v>11200</v>
      </c>
      <c r="BC441" s="33">
        <f>BB441/(288+71)</f>
        <v>31.197771587743734</v>
      </c>
      <c r="BD441" s="54" t="s">
        <v>407</v>
      </c>
      <c r="BP441" s="402"/>
      <c r="BQ441" s="402"/>
      <c r="BU441" s="402"/>
      <c r="BV441" s="402"/>
      <c r="BZ441" s="402"/>
      <c r="CA441" s="402"/>
      <c r="CE441" s="555"/>
      <c r="CF441" s="555"/>
      <c r="CG441" s="555"/>
      <c r="CH441" s="555"/>
      <c r="CJ441" s="33">
        <v>10.685</v>
      </c>
      <c r="CK441" s="33">
        <v>29.85</v>
      </c>
      <c r="CN441" s="33" t="s">
        <v>406</v>
      </c>
      <c r="GZ441" s="12"/>
      <c r="HD441" s="12"/>
      <c r="JB441" s="33" t="s">
        <v>409</v>
      </c>
      <c r="JC441" s="33" t="s">
        <v>714</v>
      </c>
    </row>
    <row r="442" spans="1:263" s="33" customFormat="1" x14ac:dyDescent="0.25">
      <c r="A442" s="33">
        <v>26</v>
      </c>
      <c r="B442" s="47" t="s">
        <v>3865</v>
      </c>
      <c r="C442" s="33" t="s">
        <v>391</v>
      </c>
      <c r="D442" s="33" t="s">
        <v>392</v>
      </c>
      <c r="E442" s="33">
        <v>2015</v>
      </c>
      <c r="F442" s="33">
        <v>2012</v>
      </c>
      <c r="G442" s="33" t="s">
        <v>296</v>
      </c>
      <c r="H442" s="33" t="s">
        <v>393</v>
      </c>
      <c r="I442" s="32" t="s">
        <v>2815</v>
      </c>
      <c r="J442" s="33">
        <f t="shared" si="67"/>
        <v>35.39</v>
      </c>
      <c r="K442" s="33">
        <f t="shared" si="68"/>
        <v>-78.03</v>
      </c>
      <c r="L442" s="33">
        <v>24.3</v>
      </c>
      <c r="R442" s="47">
        <v>1</v>
      </c>
      <c r="S442" s="47">
        <v>1</v>
      </c>
      <c r="T442" s="47"/>
      <c r="U442" s="47" t="s">
        <v>399</v>
      </c>
      <c r="V442" s="47" t="s">
        <v>1382</v>
      </c>
      <c r="W442" s="47" t="s">
        <v>1717</v>
      </c>
      <c r="X442" s="47" t="s">
        <v>1382</v>
      </c>
      <c r="Y442" s="47" t="s">
        <v>1382</v>
      </c>
      <c r="AA442" s="327"/>
      <c r="AB442" s="327"/>
      <c r="AC442" s="33" t="s">
        <v>175</v>
      </c>
      <c r="AG442" s="33" t="s">
        <v>1324</v>
      </c>
      <c r="AH442" s="33" t="s">
        <v>396</v>
      </c>
      <c r="AI442" s="138" t="s">
        <v>577</v>
      </c>
      <c r="AJ442" s="33" t="s">
        <v>132</v>
      </c>
      <c r="AK442" s="141" t="s">
        <v>132</v>
      </c>
      <c r="AO442" s="33" t="s">
        <v>395</v>
      </c>
      <c r="AP442" s="33" t="s">
        <v>395</v>
      </c>
      <c r="AQ442" s="33" t="s">
        <v>2125</v>
      </c>
      <c r="AR442" s="33" t="s">
        <v>2125</v>
      </c>
      <c r="AS442" s="33" t="s">
        <v>177</v>
      </c>
      <c r="AT442" s="33">
        <v>0</v>
      </c>
      <c r="AU442" s="33">
        <v>0</v>
      </c>
      <c r="AV442" s="33" t="s">
        <v>177</v>
      </c>
      <c r="AW442" s="33" t="s">
        <v>160</v>
      </c>
      <c r="AX442" s="33">
        <v>4</v>
      </c>
      <c r="AZ442" s="33" t="s">
        <v>335</v>
      </c>
      <c r="BB442" s="33">
        <f>(6.5+1.7)*1000</f>
        <v>8200</v>
      </c>
      <c r="BC442" s="33">
        <f>BB442/(205+53)</f>
        <v>31.782945736434108</v>
      </c>
      <c r="BD442" s="54" t="s">
        <v>407</v>
      </c>
      <c r="BP442" s="402"/>
      <c r="BQ442" s="402"/>
      <c r="BU442" s="402"/>
      <c r="BV442" s="402"/>
      <c r="BZ442" s="402"/>
      <c r="CA442" s="402"/>
      <c r="CE442" s="555"/>
      <c r="CF442" s="555"/>
      <c r="CG442" s="555"/>
      <c r="CH442" s="555"/>
      <c r="CJ442" s="33">
        <v>14.273999999999999</v>
      </c>
      <c r="CK442" s="33">
        <v>27</v>
      </c>
      <c r="CN442" s="33" t="s">
        <v>406</v>
      </c>
      <c r="GZ442" s="12"/>
      <c r="HD442" s="12"/>
      <c r="JB442" s="33" t="s">
        <v>409</v>
      </c>
      <c r="JC442" s="33" t="s">
        <v>714</v>
      </c>
    </row>
    <row r="443" spans="1:263" s="33" customFormat="1" x14ac:dyDescent="0.25">
      <c r="A443" s="33">
        <v>26</v>
      </c>
      <c r="B443" s="47" t="s">
        <v>3865</v>
      </c>
      <c r="C443" s="33" t="s">
        <v>391</v>
      </c>
      <c r="D443" s="33" t="s">
        <v>392</v>
      </c>
      <c r="E443" s="33">
        <v>2015</v>
      </c>
      <c r="F443" s="33">
        <v>2012</v>
      </c>
      <c r="G443" s="33" t="s">
        <v>296</v>
      </c>
      <c r="H443" s="33" t="s">
        <v>393</v>
      </c>
      <c r="I443" s="32" t="s">
        <v>2815</v>
      </c>
      <c r="J443" s="33">
        <f t="shared" si="67"/>
        <v>35.39</v>
      </c>
      <c r="K443" s="33">
        <f t="shared" si="68"/>
        <v>-78.03</v>
      </c>
      <c r="L443" s="33">
        <v>24.3</v>
      </c>
      <c r="R443" s="47">
        <v>1</v>
      </c>
      <c r="S443" s="47">
        <v>1</v>
      </c>
      <c r="T443" s="47"/>
      <c r="U443" s="47" t="s">
        <v>399</v>
      </c>
      <c r="V443" s="47" t="s">
        <v>1382</v>
      </c>
      <c r="W443" s="47" t="s">
        <v>1717</v>
      </c>
      <c r="X443" s="47" t="s">
        <v>1382</v>
      </c>
      <c r="Y443" s="47" t="s">
        <v>1382</v>
      </c>
      <c r="AA443" s="327"/>
      <c r="AB443" s="327"/>
      <c r="AC443" s="33" t="s">
        <v>175</v>
      </c>
      <c r="AG443" s="33" t="s">
        <v>1324</v>
      </c>
      <c r="AH443" s="33" t="s">
        <v>397</v>
      </c>
      <c r="AI443" s="138" t="s">
        <v>577</v>
      </c>
      <c r="AJ443" s="33" t="s">
        <v>132</v>
      </c>
      <c r="AK443" s="141" t="s">
        <v>132</v>
      </c>
      <c r="AO443" s="33" t="s">
        <v>395</v>
      </c>
      <c r="AP443" s="33" t="s">
        <v>395</v>
      </c>
      <c r="AQ443" s="33" t="s">
        <v>2125</v>
      </c>
      <c r="AR443" s="33" t="s">
        <v>2125</v>
      </c>
      <c r="AS443" s="33" t="s">
        <v>177</v>
      </c>
      <c r="AT443" s="33">
        <v>0</v>
      </c>
      <c r="AU443" s="33">
        <v>0</v>
      </c>
      <c r="AV443" s="33" t="s">
        <v>177</v>
      </c>
      <c r="AW443" s="33" t="s">
        <v>160</v>
      </c>
      <c r="AX443" s="33">
        <v>4</v>
      </c>
      <c r="AZ443" s="33" t="s">
        <v>335</v>
      </c>
      <c r="BB443" s="33">
        <f>(9.6+2.8)*1000</f>
        <v>12399.999999999998</v>
      </c>
      <c r="BC443" s="33">
        <f>BB443/(256+66)</f>
        <v>38.509316770186331</v>
      </c>
      <c r="BD443" s="54" t="s">
        <v>407</v>
      </c>
      <c r="BP443" s="402"/>
      <c r="BQ443" s="402"/>
      <c r="BU443" s="402"/>
      <c r="BV443" s="402"/>
      <c r="BZ443" s="402"/>
      <c r="CA443" s="402"/>
      <c r="CE443" s="555"/>
      <c r="CF443" s="555"/>
      <c r="CG443" s="555"/>
      <c r="CH443" s="555"/>
      <c r="CJ443" s="33">
        <v>14.273999999999999</v>
      </c>
      <c r="CK443" s="33">
        <v>25.285</v>
      </c>
      <c r="CN443" s="33" t="s">
        <v>406</v>
      </c>
      <c r="GZ443" s="12"/>
      <c r="HD443" s="12"/>
      <c r="JB443" s="33" t="s">
        <v>409</v>
      </c>
      <c r="JC443" s="33" t="s">
        <v>714</v>
      </c>
    </row>
    <row r="444" spans="1:263" s="33" customFormat="1" x14ac:dyDescent="0.25">
      <c r="A444" s="33">
        <v>26</v>
      </c>
      <c r="B444" s="47" t="s">
        <v>3865</v>
      </c>
      <c r="C444" s="33" t="s">
        <v>391</v>
      </c>
      <c r="D444" s="33" t="s">
        <v>392</v>
      </c>
      <c r="E444" s="33">
        <v>2015</v>
      </c>
      <c r="F444" s="33">
        <v>2012</v>
      </c>
      <c r="G444" s="33" t="s">
        <v>296</v>
      </c>
      <c r="H444" s="33" t="s">
        <v>393</v>
      </c>
      <c r="I444" s="32" t="s">
        <v>2815</v>
      </c>
      <c r="J444" s="33">
        <f t="shared" si="67"/>
        <v>35.39</v>
      </c>
      <c r="K444" s="33">
        <f t="shared" si="68"/>
        <v>-78.03</v>
      </c>
      <c r="L444" s="33">
        <v>24.3</v>
      </c>
      <c r="R444" s="47">
        <v>1</v>
      </c>
      <c r="S444" s="47">
        <v>1</v>
      </c>
      <c r="T444" s="47"/>
      <c r="U444" s="47" t="s">
        <v>399</v>
      </c>
      <c r="V444" s="47" t="s">
        <v>1382</v>
      </c>
      <c r="W444" s="47" t="s">
        <v>1717</v>
      </c>
      <c r="X444" s="47" t="s">
        <v>1382</v>
      </c>
      <c r="Y444" s="47" t="s">
        <v>1382</v>
      </c>
      <c r="AA444" s="327"/>
      <c r="AB444" s="327"/>
      <c r="AC444" s="33" t="s">
        <v>175</v>
      </c>
      <c r="AG444" s="33" t="s">
        <v>1324</v>
      </c>
      <c r="AH444" s="33" t="s">
        <v>243</v>
      </c>
      <c r="AI444" s="138" t="s">
        <v>577</v>
      </c>
      <c r="AJ444" s="33" t="s">
        <v>132</v>
      </c>
      <c r="AK444" s="141" t="s">
        <v>132</v>
      </c>
      <c r="AO444" s="33" t="s">
        <v>395</v>
      </c>
      <c r="AP444" s="33" t="s">
        <v>395</v>
      </c>
      <c r="AQ444" s="33" t="s">
        <v>2125</v>
      </c>
      <c r="AR444" s="33" t="s">
        <v>2125</v>
      </c>
      <c r="AS444" s="33" t="s">
        <v>177</v>
      </c>
      <c r="AT444" s="33">
        <v>0</v>
      </c>
      <c r="AU444" s="33">
        <v>0</v>
      </c>
      <c r="AV444" s="33" t="s">
        <v>177</v>
      </c>
      <c r="AW444" s="33" t="s">
        <v>160</v>
      </c>
      <c r="AX444" s="33">
        <v>4</v>
      </c>
      <c r="AZ444" s="33" t="s">
        <v>335</v>
      </c>
      <c r="BB444" s="33">
        <f>(8.7+2.5)*1000</f>
        <v>11200</v>
      </c>
      <c r="BC444" s="33">
        <f>BB444/(288+71)</f>
        <v>31.197771587743734</v>
      </c>
      <c r="BD444" s="54" t="s">
        <v>407</v>
      </c>
      <c r="BP444" s="402"/>
      <c r="BQ444" s="402"/>
      <c r="BU444" s="402"/>
      <c r="BV444" s="402"/>
      <c r="BZ444" s="402"/>
      <c r="CA444" s="402"/>
      <c r="CE444" s="555"/>
      <c r="CF444" s="555"/>
      <c r="CG444" s="555"/>
      <c r="CH444" s="555"/>
      <c r="CJ444" s="33">
        <v>14.273999999999999</v>
      </c>
      <c r="CK444" s="33">
        <v>41.191000000000003</v>
      </c>
      <c r="CN444" s="33" t="s">
        <v>406</v>
      </c>
      <c r="GZ444" s="12"/>
      <c r="HD444" s="12"/>
      <c r="JB444" s="33" t="s">
        <v>409</v>
      </c>
      <c r="JC444" s="33" t="s">
        <v>714</v>
      </c>
    </row>
    <row r="445" spans="1:263" s="33" customFormat="1" x14ac:dyDescent="0.25">
      <c r="A445" s="33">
        <v>26</v>
      </c>
      <c r="B445" s="47" t="s">
        <v>3865</v>
      </c>
      <c r="C445" s="33" t="s">
        <v>391</v>
      </c>
      <c r="D445" s="33" t="s">
        <v>392</v>
      </c>
      <c r="E445" s="33">
        <v>2015</v>
      </c>
      <c r="F445" s="33">
        <v>2012</v>
      </c>
      <c r="G445" s="33" t="s">
        <v>296</v>
      </c>
      <c r="H445" s="33" t="s">
        <v>393</v>
      </c>
      <c r="I445" s="32" t="s">
        <v>2815</v>
      </c>
      <c r="J445" s="33">
        <f t="shared" si="67"/>
        <v>35.39</v>
      </c>
      <c r="K445" s="33">
        <f t="shared" si="68"/>
        <v>-78.03</v>
      </c>
      <c r="L445" s="33">
        <v>24.3</v>
      </c>
      <c r="R445" s="47">
        <v>1</v>
      </c>
      <c r="S445" s="47">
        <v>1</v>
      </c>
      <c r="T445" s="47"/>
      <c r="U445" s="47" t="s">
        <v>400</v>
      </c>
      <c r="V445" s="47" t="s">
        <v>1382</v>
      </c>
      <c r="W445" s="47" t="s">
        <v>1717</v>
      </c>
      <c r="X445" s="47" t="s">
        <v>1382</v>
      </c>
      <c r="Y445" s="47" t="s">
        <v>1382</v>
      </c>
      <c r="AA445" s="327"/>
      <c r="AB445" s="327"/>
      <c r="AC445" s="33" t="s">
        <v>175</v>
      </c>
      <c r="AG445" s="33" t="s">
        <v>1324</v>
      </c>
      <c r="AH445" s="33" t="s">
        <v>396</v>
      </c>
      <c r="AI445" s="138" t="s">
        <v>577</v>
      </c>
      <c r="AJ445" s="33" t="s">
        <v>132</v>
      </c>
      <c r="AK445" s="141" t="s">
        <v>132</v>
      </c>
      <c r="AO445" s="33" t="s">
        <v>395</v>
      </c>
      <c r="AP445" s="33" t="s">
        <v>395</v>
      </c>
      <c r="AQ445" s="33" t="s">
        <v>2125</v>
      </c>
      <c r="AR445" s="33" t="s">
        <v>2125</v>
      </c>
      <c r="AS445" s="33" t="s">
        <v>177</v>
      </c>
      <c r="AT445" s="33">
        <v>0</v>
      </c>
      <c r="AU445" s="33">
        <v>0</v>
      </c>
      <c r="AV445" s="33" t="s">
        <v>177</v>
      </c>
      <c r="AW445" s="33" t="s">
        <v>160</v>
      </c>
      <c r="AX445" s="33">
        <v>4</v>
      </c>
      <c r="AZ445" s="33" t="s">
        <v>335</v>
      </c>
      <c r="BB445" s="33">
        <f>(6.5+1.7)*1000</f>
        <v>8200</v>
      </c>
      <c r="BC445" s="33">
        <f t="shared" ref="BC445" si="69">BB445/(205+53)</f>
        <v>31.782945736434108</v>
      </c>
      <c r="BD445" s="54" t="s">
        <v>407</v>
      </c>
      <c r="BP445" s="402"/>
      <c r="BQ445" s="402"/>
      <c r="BU445" s="402"/>
      <c r="BV445" s="402"/>
      <c r="BZ445" s="402"/>
      <c r="CA445" s="402"/>
      <c r="CE445" s="555"/>
      <c r="CF445" s="555"/>
      <c r="CG445" s="555"/>
      <c r="CH445" s="555"/>
      <c r="CJ445" s="33">
        <v>11.582000000000001</v>
      </c>
      <c r="CK445" s="33">
        <v>36.215000000000003</v>
      </c>
      <c r="CN445" s="33" t="s">
        <v>406</v>
      </c>
      <c r="GZ445" s="12"/>
      <c r="HD445" s="12"/>
      <c r="JB445" s="33" t="s">
        <v>409</v>
      </c>
      <c r="JC445" s="33" t="s">
        <v>714</v>
      </c>
    </row>
    <row r="446" spans="1:263" s="33" customFormat="1" x14ac:dyDescent="0.25">
      <c r="A446" s="33">
        <v>26</v>
      </c>
      <c r="B446" s="47" t="s">
        <v>3865</v>
      </c>
      <c r="C446" s="33" t="s">
        <v>391</v>
      </c>
      <c r="D446" s="33" t="s">
        <v>392</v>
      </c>
      <c r="E446" s="33">
        <v>2015</v>
      </c>
      <c r="F446" s="33">
        <v>2012</v>
      </c>
      <c r="G446" s="33" t="s">
        <v>296</v>
      </c>
      <c r="H446" s="33" t="s">
        <v>393</v>
      </c>
      <c r="I446" s="32" t="s">
        <v>2815</v>
      </c>
      <c r="J446" s="33">
        <f t="shared" si="67"/>
        <v>35.39</v>
      </c>
      <c r="K446" s="33">
        <f t="shared" si="68"/>
        <v>-78.03</v>
      </c>
      <c r="L446" s="33">
        <v>24.3</v>
      </c>
      <c r="R446" s="47">
        <v>1</v>
      </c>
      <c r="S446" s="47">
        <v>1</v>
      </c>
      <c r="T446" s="47"/>
      <c r="U446" s="47" t="s">
        <v>400</v>
      </c>
      <c r="V446" s="47" t="s">
        <v>1382</v>
      </c>
      <c r="W446" s="47" t="s">
        <v>1717</v>
      </c>
      <c r="X446" s="47" t="s">
        <v>1382</v>
      </c>
      <c r="Y446" s="47" t="s">
        <v>1382</v>
      </c>
      <c r="AA446" s="327"/>
      <c r="AB446" s="327"/>
      <c r="AC446" s="33" t="s">
        <v>175</v>
      </c>
      <c r="AG446" s="33" t="s">
        <v>1324</v>
      </c>
      <c r="AH446" s="33" t="s">
        <v>397</v>
      </c>
      <c r="AI446" s="138" t="s">
        <v>577</v>
      </c>
      <c r="AJ446" s="33" t="s">
        <v>132</v>
      </c>
      <c r="AK446" s="141" t="s">
        <v>132</v>
      </c>
      <c r="AO446" s="33" t="s">
        <v>395</v>
      </c>
      <c r="AP446" s="33" t="s">
        <v>395</v>
      </c>
      <c r="AQ446" s="33" t="s">
        <v>2125</v>
      </c>
      <c r="AR446" s="33" t="s">
        <v>2125</v>
      </c>
      <c r="AS446" s="33" t="s">
        <v>177</v>
      </c>
      <c r="AT446" s="33">
        <v>0</v>
      </c>
      <c r="AU446" s="33">
        <v>0</v>
      </c>
      <c r="AV446" s="33" t="s">
        <v>177</v>
      </c>
      <c r="AW446" s="33" t="s">
        <v>160</v>
      </c>
      <c r="AX446" s="33">
        <v>4</v>
      </c>
      <c r="AZ446" s="33" t="s">
        <v>335</v>
      </c>
      <c r="BB446" s="33">
        <f>(9.6+2.8)*1000</f>
        <v>12399.999999999998</v>
      </c>
      <c r="BC446" s="33">
        <f t="shared" ref="BC446" si="70">BB446/(256+66)</f>
        <v>38.509316770186331</v>
      </c>
      <c r="BD446" s="54" t="s">
        <v>407</v>
      </c>
      <c r="BP446" s="402"/>
      <c r="BQ446" s="402"/>
      <c r="BU446" s="402"/>
      <c r="BV446" s="402"/>
      <c r="BZ446" s="402"/>
      <c r="CA446" s="402"/>
      <c r="CE446" s="555"/>
      <c r="CF446" s="555"/>
      <c r="CG446" s="555"/>
      <c r="CH446" s="555"/>
      <c r="CJ446" s="33">
        <v>11.582000000000001</v>
      </c>
      <c r="CK446" s="33">
        <v>23.082999999999998</v>
      </c>
      <c r="CN446" s="33" t="s">
        <v>406</v>
      </c>
      <c r="GZ446" s="12"/>
      <c r="HD446" s="12"/>
      <c r="JB446" s="33" t="s">
        <v>409</v>
      </c>
      <c r="JC446" s="33" t="s">
        <v>714</v>
      </c>
    </row>
    <row r="447" spans="1:263" s="33" customFormat="1" x14ac:dyDescent="0.25">
      <c r="A447" s="33">
        <v>26</v>
      </c>
      <c r="B447" s="47" t="s">
        <v>3865</v>
      </c>
      <c r="C447" s="33" t="s">
        <v>391</v>
      </c>
      <c r="D447" s="33" t="s">
        <v>392</v>
      </c>
      <c r="E447" s="33">
        <v>2015</v>
      </c>
      <c r="F447" s="33">
        <v>2012</v>
      </c>
      <c r="G447" s="33" t="s">
        <v>296</v>
      </c>
      <c r="H447" s="33" t="s">
        <v>393</v>
      </c>
      <c r="I447" s="32" t="s">
        <v>2815</v>
      </c>
      <c r="J447" s="33">
        <f t="shared" si="67"/>
        <v>35.39</v>
      </c>
      <c r="K447" s="33">
        <f t="shared" si="68"/>
        <v>-78.03</v>
      </c>
      <c r="L447" s="33">
        <v>24.3</v>
      </c>
      <c r="R447" s="47">
        <v>1</v>
      </c>
      <c r="S447" s="47">
        <v>1</v>
      </c>
      <c r="T447" s="47"/>
      <c r="U447" s="47" t="s">
        <v>400</v>
      </c>
      <c r="V447" s="47" t="s">
        <v>1382</v>
      </c>
      <c r="W447" s="47" t="s">
        <v>1717</v>
      </c>
      <c r="X447" s="47" t="s">
        <v>1382</v>
      </c>
      <c r="Y447" s="47" t="s">
        <v>1382</v>
      </c>
      <c r="AA447" s="327"/>
      <c r="AB447" s="327"/>
      <c r="AC447" s="33" t="s">
        <v>175</v>
      </c>
      <c r="AG447" s="33" t="s">
        <v>1324</v>
      </c>
      <c r="AH447" s="33" t="s">
        <v>243</v>
      </c>
      <c r="AI447" s="138" t="s">
        <v>577</v>
      </c>
      <c r="AJ447" s="33" t="s">
        <v>132</v>
      </c>
      <c r="AK447" s="141" t="s">
        <v>132</v>
      </c>
      <c r="AO447" s="33" t="s">
        <v>395</v>
      </c>
      <c r="AP447" s="33" t="s">
        <v>395</v>
      </c>
      <c r="AQ447" s="33" t="s">
        <v>2125</v>
      </c>
      <c r="AR447" s="33" t="s">
        <v>2125</v>
      </c>
      <c r="AS447" s="33" t="s">
        <v>177</v>
      </c>
      <c r="AT447" s="33">
        <v>0</v>
      </c>
      <c r="AU447" s="33">
        <v>0</v>
      </c>
      <c r="AV447" s="33" t="s">
        <v>177</v>
      </c>
      <c r="AW447" s="33" t="s">
        <v>160</v>
      </c>
      <c r="AX447" s="33">
        <v>4</v>
      </c>
      <c r="AZ447" s="33" t="s">
        <v>335</v>
      </c>
      <c r="BB447" s="33">
        <f>(8.7+2.5)*1000</f>
        <v>11200</v>
      </c>
      <c r="BC447" s="33">
        <f t="shared" ref="BC447" si="71">BB447/(288+71)</f>
        <v>31.197771587743734</v>
      </c>
      <c r="BD447" s="54" t="s">
        <v>407</v>
      </c>
      <c r="BP447" s="402"/>
      <c r="BQ447" s="402"/>
      <c r="BU447" s="402"/>
      <c r="BV447" s="402"/>
      <c r="BZ447" s="402"/>
      <c r="CA447" s="402"/>
      <c r="CE447" s="555"/>
      <c r="CF447" s="555"/>
      <c r="CG447" s="555"/>
      <c r="CH447" s="555"/>
      <c r="CJ447" s="33">
        <v>11.582000000000001</v>
      </c>
      <c r="CK447" s="33">
        <v>42.25</v>
      </c>
      <c r="CN447" s="33" t="s">
        <v>406</v>
      </c>
      <c r="GZ447" s="12"/>
      <c r="HD447" s="12"/>
      <c r="JB447" s="33" t="s">
        <v>409</v>
      </c>
      <c r="JC447" s="33" t="s">
        <v>714</v>
      </c>
    </row>
    <row r="448" spans="1:263" s="33" customFormat="1" x14ac:dyDescent="0.25">
      <c r="A448" s="33">
        <v>26</v>
      </c>
      <c r="B448" s="47" t="s">
        <v>3865</v>
      </c>
      <c r="C448" s="33" t="s">
        <v>391</v>
      </c>
      <c r="D448" s="33" t="s">
        <v>392</v>
      </c>
      <c r="E448" s="33">
        <v>2015</v>
      </c>
      <c r="F448" s="33">
        <v>2012</v>
      </c>
      <c r="G448" s="33" t="s">
        <v>296</v>
      </c>
      <c r="H448" s="33" t="s">
        <v>393</v>
      </c>
      <c r="I448" s="32" t="s">
        <v>2815</v>
      </c>
      <c r="J448" s="33">
        <f t="shared" si="67"/>
        <v>35.39</v>
      </c>
      <c r="K448" s="33">
        <f t="shared" si="68"/>
        <v>-78.03</v>
      </c>
      <c r="L448" s="33">
        <v>24.3</v>
      </c>
      <c r="R448" s="47">
        <v>1</v>
      </c>
      <c r="S448" s="47">
        <v>1</v>
      </c>
      <c r="T448" s="47"/>
      <c r="U448" s="47" t="s">
        <v>401</v>
      </c>
      <c r="V448" s="47" t="s">
        <v>1382</v>
      </c>
      <c r="W448" s="47" t="s">
        <v>1717</v>
      </c>
      <c r="X448" s="47" t="s">
        <v>1382</v>
      </c>
      <c r="Y448" s="47" t="s">
        <v>1382</v>
      </c>
      <c r="AA448" s="327"/>
      <c r="AB448" s="327"/>
      <c r="AC448" s="33" t="s">
        <v>175</v>
      </c>
      <c r="AG448" s="33" t="s">
        <v>1324</v>
      </c>
      <c r="AH448" s="33" t="s">
        <v>396</v>
      </c>
      <c r="AI448" s="138" t="s">
        <v>577</v>
      </c>
      <c r="AJ448" s="33" t="s">
        <v>132</v>
      </c>
      <c r="AK448" s="141" t="s">
        <v>132</v>
      </c>
      <c r="AO448" s="33" t="s">
        <v>395</v>
      </c>
      <c r="AP448" s="33" t="s">
        <v>395</v>
      </c>
      <c r="AQ448" s="33" t="s">
        <v>2125</v>
      </c>
      <c r="AR448" s="33" t="s">
        <v>2125</v>
      </c>
      <c r="AS448" s="33" t="s">
        <v>177</v>
      </c>
      <c r="AT448" s="33">
        <v>0</v>
      </c>
      <c r="AU448" s="33">
        <v>0</v>
      </c>
      <c r="AV448" s="33" t="s">
        <v>177</v>
      </c>
      <c r="AW448" s="33" t="s">
        <v>160</v>
      </c>
      <c r="AX448" s="33">
        <v>4</v>
      </c>
      <c r="AZ448" s="33" t="s">
        <v>335</v>
      </c>
      <c r="BB448" s="33">
        <f>(6.5+1.7)*1000</f>
        <v>8200</v>
      </c>
      <c r="BC448" s="33">
        <f t="shared" ref="BC448" si="72">BB448/(205+53)</f>
        <v>31.782945736434108</v>
      </c>
      <c r="BD448" s="54" t="s">
        <v>407</v>
      </c>
      <c r="BP448" s="402"/>
      <c r="BQ448" s="402"/>
      <c r="BU448" s="402"/>
      <c r="BV448" s="402"/>
      <c r="BZ448" s="402"/>
      <c r="CA448" s="402"/>
      <c r="CE448" s="555"/>
      <c r="CF448" s="555"/>
      <c r="CG448" s="555"/>
      <c r="CH448" s="555"/>
      <c r="CJ448" s="33">
        <v>12.153</v>
      </c>
      <c r="CK448" s="33">
        <v>21.289000000000001</v>
      </c>
      <c r="CN448" s="33" t="s">
        <v>406</v>
      </c>
      <c r="GZ448" s="12"/>
      <c r="HD448" s="12"/>
      <c r="JB448" s="33" t="s">
        <v>409</v>
      </c>
      <c r="JC448" s="33" t="s">
        <v>714</v>
      </c>
    </row>
    <row r="449" spans="1:263" s="33" customFormat="1" x14ac:dyDescent="0.25">
      <c r="A449" s="33">
        <v>26</v>
      </c>
      <c r="B449" s="47" t="s">
        <v>3865</v>
      </c>
      <c r="C449" s="33" t="s">
        <v>391</v>
      </c>
      <c r="D449" s="33" t="s">
        <v>392</v>
      </c>
      <c r="E449" s="33">
        <v>2015</v>
      </c>
      <c r="F449" s="33">
        <v>2012</v>
      </c>
      <c r="G449" s="33" t="s">
        <v>296</v>
      </c>
      <c r="H449" s="33" t="s">
        <v>393</v>
      </c>
      <c r="I449" s="32" t="s">
        <v>2815</v>
      </c>
      <c r="J449" s="33">
        <f t="shared" si="67"/>
        <v>35.39</v>
      </c>
      <c r="K449" s="33">
        <f t="shared" si="68"/>
        <v>-78.03</v>
      </c>
      <c r="L449" s="33">
        <v>24.3</v>
      </c>
      <c r="R449" s="47">
        <v>1</v>
      </c>
      <c r="S449" s="47">
        <v>1</v>
      </c>
      <c r="T449" s="47"/>
      <c r="U449" s="47" t="s">
        <v>401</v>
      </c>
      <c r="V449" s="47" t="s">
        <v>1382</v>
      </c>
      <c r="W449" s="47" t="s">
        <v>1717</v>
      </c>
      <c r="X449" s="47" t="s">
        <v>1382</v>
      </c>
      <c r="Y449" s="47" t="s">
        <v>1382</v>
      </c>
      <c r="AA449" s="327"/>
      <c r="AB449" s="327"/>
      <c r="AC449" s="33" t="s">
        <v>175</v>
      </c>
      <c r="AG449" s="33" t="s">
        <v>1324</v>
      </c>
      <c r="AH449" s="33" t="s">
        <v>397</v>
      </c>
      <c r="AI449" s="138" t="s">
        <v>577</v>
      </c>
      <c r="AJ449" s="33" t="s">
        <v>132</v>
      </c>
      <c r="AK449" s="141" t="s">
        <v>132</v>
      </c>
      <c r="AO449" s="33" t="s">
        <v>395</v>
      </c>
      <c r="AP449" s="33" t="s">
        <v>395</v>
      </c>
      <c r="AQ449" s="33" t="s">
        <v>2125</v>
      </c>
      <c r="AR449" s="33" t="s">
        <v>2125</v>
      </c>
      <c r="AS449" s="33" t="s">
        <v>177</v>
      </c>
      <c r="AT449" s="33">
        <v>0</v>
      </c>
      <c r="AU449" s="33">
        <v>0</v>
      </c>
      <c r="AV449" s="33" t="s">
        <v>177</v>
      </c>
      <c r="AW449" s="33" t="s">
        <v>160</v>
      </c>
      <c r="AX449" s="33">
        <v>4</v>
      </c>
      <c r="AZ449" s="33" t="s">
        <v>335</v>
      </c>
      <c r="BB449" s="33">
        <f>(9.6+2.8)*1000</f>
        <v>12399.999999999998</v>
      </c>
      <c r="BC449" s="33">
        <f t="shared" ref="BC449" si="73">BB449/(256+66)</f>
        <v>38.509316770186331</v>
      </c>
      <c r="BD449" s="54" t="s">
        <v>407</v>
      </c>
      <c r="BP449" s="402"/>
      <c r="BQ449" s="402"/>
      <c r="BU449" s="402"/>
      <c r="BV449" s="402"/>
      <c r="BZ449" s="402"/>
      <c r="CA449" s="402"/>
      <c r="CE449" s="555"/>
      <c r="CF449" s="555"/>
      <c r="CG449" s="555"/>
      <c r="CH449" s="555"/>
      <c r="CJ449" s="33">
        <v>12.153</v>
      </c>
      <c r="CK449" s="33">
        <v>26.346</v>
      </c>
      <c r="CN449" s="33" t="s">
        <v>406</v>
      </c>
      <c r="GZ449" s="12"/>
      <c r="HD449" s="12"/>
      <c r="JB449" s="33" t="s">
        <v>409</v>
      </c>
      <c r="JC449" s="33" t="s">
        <v>714</v>
      </c>
    </row>
    <row r="450" spans="1:263" s="33" customFormat="1" x14ac:dyDescent="0.25">
      <c r="A450" s="33">
        <v>26</v>
      </c>
      <c r="B450" s="47" t="s">
        <v>3865</v>
      </c>
      <c r="C450" s="33" t="s">
        <v>391</v>
      </c>
      <c r="D450" s="33" t="s">
        <v>392</v>
      </c>
      <c r="E450" s="33">
        <v>2015</v>
      </c>
      <c r="F450" s="33">
        <v>2012</v>
      </c>
      <c r="G450" s="33" t="s">
        <v>296</v>
      </c>
      <c r="H450" s="33" t="s">
        <v>393</v>
      </c>
      <c r="I450" s="32" t="s">
        <v>2815</v>
      </c>
      <c r="J450" s="33">
        <f t="shared" si="67"/>
        <v>35.39</v>
      </c>
      <c r="K450" s="33">
        <f t="shared" si="68"/>
        <v>-78.03</v>
      </c>
      <c r="L450" s="33">
        <v>24.3</v>
      </c>
      <c r="R450" s="47">
        <v>1</v>
      </c>
      <c r="S450" s="47">
        <v>1</v>
      </c>
      <c r="T450" s="47"/>
      <c r="U450" s="47" t="s">
        <v>401</v>
      </c>
      <c r="V450" s="47" t="s">
        <v>1382</v>
      </c>
      <c r="W450" s="47" t="s">
        <v>1717</v>
      </c>
      <c r="X450" s="47" t="s">
        <v>1382</v>
      </c>
      <c r="Y450" s="47" t="s">
        <v>1382</v>
      </c>
      <c r="AA450" s="327"/>
      <c r="AB450" s="327"/>
      <c r="AC450" s="33" t="s">
        <v>175</v>
      </c>
      <c r="AG450" s="33" t="s">
        <v>1324</v>
      </c>
      <c r="AH450" s="33" t="s">
        <v>243</v>
      </c>
      <c r="AI450" s="138" t="s">
        <v>577</v>
      </c>
      <c r="AJ450" s="33" t="s">
        <v>132</v>
      </c>
      <c r="AK450" s="141" t="s">
        <v>132</v>
      </c>
      <c r="AO450" s="33" t="s">
        <v>395</v>
      </c>
      <c r="AP450" s="33" t="s">
        <v>395</v>
      </c>
      <c r="AQ450" s="33" t="s">
        <v>2125</v>
      </c>
      <c r="AR450" s="33" t="s">
        <v>2125</v>
      </c>
      <c r="AS450" s="33" t="s">
        <v>177</v>
      </c>
      <c r="AT450" s="33">
        <v>0</v>
      </c>
      <c r="AU450" s="33">
        <v>0</v>
      </c>
      <c r="AV450" s="33" t="s">
        <v>177</v>
      </c>
      <c r="AW450" s="33" t="s">
        <v>160</v>
      </c>
      <c r="AX450" s="33">
        <v>4</v>
      </c>
      <c r="AZ450" s="33" t="s">
        <v>335</v>
      </c>
      <c r="BB450" s="33">
        <f>(8.7+2.5)*1000</f>
        <v>11200</v>
      </c>
      <c r="BC450" s="33">
        <f t="shared" ref="BC450" si="74">BB450/(288+71)</f>
        <v>31.197771587743734</v>
      </c>
      <c r="BD450" s="54" t="s">
        <v>407</v>
      </c>
      <c r="BP450" s="402"/>
      <c r="BQ450" s="402"/>
      <c r="BU450" s="402"/>
      <c r="BV450" s="402"/>
      <c r="BZ450" s="402"/>
      <c r="CA450" s="402"/>
      <c r="CE450" s="555"/>
      <c r="CF450" s="555"/>
      <c r="CG450" s="555"/>
      <c r="CH450" s="555"/>
      <c r="CJ450" s="33">
        <v>12.153</v>
      </c>
      <c r="CK450" s="33">
        <v>31.65</v>
      </c>
      <c r="CN450" s="33" t="s">
        <v>406</v>
      </c>
      <c r="GZ450" s="12"/>
      <c r="HD450" s="12"/>
      <c r="JB450" s="33" t="s">
        <v>409</v>
      </c>
      <c r="JC450" s="33" t="s">
        <v>714</v>
      </c>
    </row>
    <row r="451" spans="1:263" s="33" customFormat="1" x14ac:dyDescent="0.25">
      <c r="A451" s="33">
        <v>26</v>
      </c>
      <c r="B451" s="47" t="s">
        <v>3865</v>
      </c>
      <c r="C451" s="33" t="s">
        <v>391</v>
      </c>
      <c r="D451" s="33" t="s">
        <v>392</v>
      </c>
      <c r="E451" s="33">
        <v>2015</v>
      </c>
      <c r="F451" s="33">
        <v>2012</v>
      </c>
      <c r="G451" s="33" t="s">
        <v>296</v>
      </c>
      <c r="H451" s="33" t="s">
        <v>393</v>
      </c>
      <c r="I451" s="32" t="s">
        <v>2815</v>
      </c>
      <c r="J451" s="33">
        <f t="shared" si="67"/>
        <v>35.39</v>
      </c>
      <c r="K451" s="33">
        <f t="shared" si="68"/>
        <v>-78.03</v>
      </c>
      <c r="L451" s="33">
        <v>24.3</v>
      </c>
      <c r="R451" s="47">
        <v>1</v>
      </c>
      <c r="S451" s="47">
        <v>1</v>
      </c>
      <c r="T451" s="47"/>
      <c r="U451" s="47" t="s">
        <v>402</v>
      </c>
      <c r="V451" s="47" t="s">
        <v>1382</v>
      </c>
      <c r="W451" s="47" t="s">
        <v>1717</v>
      </c>
      <c r="X451" s="47" t="s">
        <v>1382</v>
      </c>
      <c r="Y451" s="47" t="s">
        <v>1382</v>
      </c>
      <c r="AA451" s="327"/>
      <c r="AB451" s="327"/>
      <c r="AC451" s="33" t="s">
        <v>175</v>
      </c>
      <c r="AG451" s="33" t="s">
        <v>1324</v>
      </c>
      <c r="AH451" s="33" t="s">
        <v>396</v>
      </c>
      <c r="AI451" s="138" t="s">
        <v>577</v>
      </c>
      <c r="AJ451" s="33" t="s">
        <v>132</v>
      </c>
      <c r="AK451" s="141" t="s">
        <v>132</v>
      </c>
      <c r="AO451" s="33" t="s">
        <v>395</v>
      </c>
      <c r="AP451" s="33" t="s">
        <v>395</v>
      </c>
      <c r="AQ451" s="33" t="s">
        <v>2125</v>
      </c>
      <c r="AR451" s="33" t="s">
        <v>2125</v>
      </c>
      <c r="AS451" s="33" t="s">
        <v>177</v>
      </c>
      <c r="AT451" s="33">
        <v>0</v>
      </c>
      <c r="AU451" s="33">
        <v>0</v>
      </c>
      <c r="AV451" s="33" t="s">
        <v>177</v>
      </c>
      <c r="AW451" s="33" t="s">
        <v>160</v>
      </c>
      <c r="AX451" s="33">
        <v>4</v>
      </c>
      <c r="AZ451" s="33" t="s">
        <v>335</v>
      </c>
      <c r="BB451" s="33">
        <f>(6.5+1.7)*1000</f>
        <v>8200</v>
      </c>
      <c r="BC451" s="33">
        <f t="shared" ref="BC451" si="75">BB451/(205+53)</f>
        <v>31.782945736434108</v>
      </c>
      <c r="BD451" s="54" t="s">
        <v>407</v>
      </c>
      <c r="BP451" s="402"/>
      <c r="BQ451" s="402"/>
      <c r="BU451" s="402"/>
      <c r="BV451" s="402"/>
      <c r="BZ451" s="402"/>
      <c r="CA451" s="402"/>
      <c r="CE451" s="555"/>
      <c r="CF451" s="555"/>
      <c r="CG451" s="555"/>
      <c r="CH451" s="555"/>
      <c r="CJ451" s="33">
        <v>12.643000000000001</v>
      </c>
      <c r="CK451" s="33">
        <v>15.497999999999999</v>
      </c>
      <c r="CN451" s="33" t="s">
        <v>406</v>
      </c>
      <c r="GZ451" s="12"/>
      <c r="HD451" s="12"/>
      <c r="JB451" s="33" t="s">
        <v>409</v>
      </c>
      <c r="JC451" s="33" t="s">
        <v>714</v>
      </c>
    </row>
    <row r="452" spans="1:263" s="33" customFormat="1" x14ac:dyDescent="0.25">
      <c r="A452" s="33">
        <v>26</v>
      </c>
      <c r="B452" s="47" t="s">
        <v>3865</v>
      </c>
      <c r="C452" s="33" t="s">
        <v>391</v>
      </c>
      <c r="D452" s="33" t="s">
        <v>392</v>
      </c>
      <c r="E452" s="33">
        <v>2015</v>
      </c>
      <c r="F452" s="33">
        <v>2012</v>
      </c>
      <c r="G452" s="33" t="s">
        <v>296</v>
      </c>
      <c r="H452" s="33" t="s">
        <v>393</v>
      </c>
      <c r="I452" s="32" t="s">
        <v>2815</v>
      </c>
      <c r="J452" s="33">
        <f t="shared" si="67"/>
        <v>35.39</v>
      </c>
      <c r="K452" s="33">
        <f t="shared" si="68"/>
        <v>-78.03</v>
      </c>
      <c r="L452" s="33">
        <v>24.3</v>
      </c>
      <c r="R452" s="47">
        <v>1</v>
      </c>
      <c r="S452" s="47">
        <v>1</v>
      </c>
      <c r="T452" s="47"/>
      <c r="U452" s="47" t="s">
        <v>402</v>
      </c>
      <c r="V452" s="47" t="s">
        <v>1382</v>
      </c>
      <c r="W452" s="47" t="s">
        <v>1717</v>
      </c>
      <c r="X452" s="47" t="s">
        <v>1382</v>
      </c>
      <c r="Y452" s="47" t="s">
        <v>1382</v>
      </c>
      <c r="AA452" s="327"/>
      <c r="AB452" s="327"/>
      <c r="AC452" s="33" t="s">
        <v>175</v>
      </c>
      <c r="AG452" s="33" t="s">
        <v>1324</v>
      </c>
      <c r="AH452" s="33" t="s">
        <v>397</v>
      </c>
      <c r="AI452" s="138" t="s">
        <v>577</v>
      </c>
      <c r="AJ452" s="33" t="s">
        <v>132</v>
      </c>
      <c r="AK452" s="141" t="s">
        <v>132</v>
      </c>
      <c r="AO452" s="33" t="s">
        <v>395</v>
      </c>
      <c r="AP452" s="33" t="s">
        <v>395</v>
      </c>
      <c r="AQ452" s="33" t="s">
        <v>2125</v>
      </c>
      <c r="AR452" s="33" t="s">
        <v>2125</v>
      </c>
      <c r="AS452" s="33" t="s">
        <v>177</v>
      </c>
      <c r="AT452" s="33">
        <v>0</v>
      </c>
      <c r="AU452" s="33">
        <v>0</v>
      </c>
      <c r="AV452" s="33" t="s">
        <v>177</v>
      </c>
      <c r="AW452" s="33" t="s">
        <v>160</v>
      </c>
      <c r="AX452" s="33">
        <v>4</v>
      </c>
      <c r="AZ452" s="33" t="s">
        <v>335</v>
      </c>
      <c r="BB452" s="33">
        <f>(9.6+2.8)*1000</f>
        <v>12399.999999999998</v>
      </c>
      <c r="BC452" s="33">
        <f t="shared" ref="BC452" si="76">BB452/(256+66)</f>
        <v>38.509316770186331</v>
      </c>
      <c r="BD452" s="54" t="s">
        <v>407</v>
      </c>
      <c r="BP452" s="402"/>
      <c r="BQ452" s="402"/>
      <c r="BU452" s="402"/>
      <c r="BV452" s="402"/>
      <c r="BZ452" s="402"/>
      <c r="CA452" s="402"/>
      <c r="CE452" s="555"/>
      <c r="CF452" s="555"/>
      <c r="CG452" s="555"/>
      <c r="CH452" s="555"/>
      <c r="CJ452" s="33">
        <v>12.643000000000001</v>
      </c>
      <c r="CK452" s="33">
        <v>26.75</v>
      </c>
      <c r="CN452" s="33" t="s">
        <v>406</v>
      </c>
      <c r="GZ452" s="12"/>
      <c r="HD452" s="12"/>
      <c r="JB452" s="33" t="s">
        <v>409</v>
      </c>
      <c r="JC452" s="33" t="s">
        <v>714</v>
      </c>
    </row>
    <row r="453" spans="1:263" s="33" customFormat="1" x14ac:dyDescent="0.25">
      <c r="A453" s="33">
        <v>26</v>
      </c>
      <c r="B453" s="47" t="s">
        <v>3865</v>
      </c>
      <c r="C453" s="33" t="s">
        <v>391</v>
      </c>
      <c r="D453" s="33" t="s">
        <v>392</v>
      </c>
      <c r="E453" s="33">
        <v>2015</v>
      </c>
      <c r="F453" s="33">
        <v>2012</v>
      </c>
      <c r="G453" s="33" t="s">
        <v>296</v>
      </c>
      <c r="H453" s="33" t="s">
        <v>393</v>
      </c>
      <c r="I453" s="32" t="s">
        <v>2815</v>
      </c>
      <c r="J453" s="33">
        <f t="shared" si="67"/>
        <v>35.39</v>
      </c>
      <c r="K453" s="33">
        <f t="shared" si="68"/>
        <v>-78.03</v>
      </c>
      <c r="L453" s="33">
        <v>24.3</v>
      </c>
      <c r="R453" s="47">
        <v>1</v>
      </c>
      <c r="S453" s="47">
        <v>1</v>
      </c>
      <c r="T453" s="47"/>
      <c r="U453" s="47" t="s">
        <v>402</v>
      </c>
      <c r="V453" s="47" t="s">
        <v>1382</v>
      </c>
      <c r="W453" s="47" t="s">
        <v>1717</v>
      </c>
      <c r="X453" s="47" t="s">
        <v>1382</v>
      </c>
      <c r="Y453" s="47" t="s">
        <v>1382</v>
      </c>
      <c r="AA453" s="327"/>
      <c r="AB453" s="327"/>
      <c r="AC453" s="33" t="s">
        <v>175</v>
      </c>
      <c r="AG453" s="33" t="s">
        <v>1324</v>
      </c>
      <c r="AH453" s="33" t="s">
        <v>243</v>
      </c>
      <c r="AI453" s="138" t="s">
        <v>577</v>
      </c>
      <c r="AJ453" s="33" t="s">
        <v>132</v>
      </c>
      <c r="AK453" s="141" t="s">
        <v>132</v>
      </c>
      <c r="AO453" s="33" t="s">
        <v>395</v>
      </c>
      <c r="AP453" s="33" t="s">
        <v>395</v>
      </c>
      <c r="AQ453" s="33" t="s">
        <v>2125</v>
      </c>
      <c r="AR453" s="33" t="s">
        <v>2125</v>
      </c>
      <c r="AS453" s="33" t="s">
        <v>177</v>
      </c>
      <c r="AT453" s="33">
        <v>0</v>
      </c>
      <c r="AU453" s="33">
        <v>0</v>
      </c>
      <c r="AV453" s="33" t="s">
        <v>177</v>
      </c>
      <c r="AW453" s="33" t="s">
        <v>160</v>
      </c>
      <c r="AX453" s="33">
        <v>4</v>
      </c>
      <c r="AZ453" s="33" t="s">
        <v>335</v>
      </c>
      <c r="BB453" s="33">
        <f>(8.7+2.5)*1000</f>
        <v>11200</v>
      </c>
      <c r="BC453" s="33">
        <f t="shared" ref="BC453" si="77">BB453/(288+71)</f>
        <v>31.197771587743734</v>
      </c>
      <c r="BD453" s="54" t="s">
        <v>407</v>
      </c>
      <c r="BP453" s="402"/>
      <c r="BQ453" s="402"/>
      <c r="BU453" s="402"/>
      <c r="BV453" s="402"/>
      <c r="BZ453" s="402"/>
      <c r="CA453" s="402"/>
      <c r="CE453" s="555"/>
      <c r="CF453" s="555"/>
      <c r="CG453" s="555"/>
      <c r="CH453" s="555"/>
      <c r="CJ453" s="33">
        <v>12.643000000000001</v>
      </c>
      <c r="CK453" s="33">
        <v>42.66</v>
      </c>
      <c r="CN453" s="33" t="s">
        <v>406</v>
      </c>
      <c r="GZ453" s="12"/>
      <c r="HD453" s="12"/>
      <c r="JB453" s="33" t="s">
        <v>409</v>
      </c>
      <c r="JC453" s="33" t="s">
        <v>714</v>
      </c>
    </row>
    <row r="454" spans="1:263" s="33" customFormat="1" x14ac:dyDescent="0.25">
      <c r="A454" s="33">
        <v>26</v>
      </c>
      <c r="B454" s="47" t="s">
        <v>3865</v>
      </c>
      <c r="C454" s="33" t="s">
        <v>391</v>
      </c>
      <c r="D454" s="33" t="s">
        <v>392</v>
      </c>
      <c r="E454" s="33">
        <v>2015</v>
      </c>
      <c r="F454" s="33">
        <v>2012</v>
      </c>
      <c r="G454" s="33" t="s">
        <v>296</v>
      </c>
      <c r="H454" s="33" t="s">
        <v>393</v>
      </c>
      <c r="I454" s="32" t="s">
        <v>2815</v>
      </c>
      <c r="J454" s="33">
        <f t="shared" si="67"/>
        <v>35.39</v>
      </c>
      <c r="K454" s="33">
        <f t="shared" si="68"/>
        <v>-78.03</v>
      </c>
      <c r="L454" s="33">
        <v>24.3</v>
      </c>
      <c r="R454" s="47">
        <v>1</v>
      </c>
      <c r="S454" s="47">
        <v>1</v>
      </c>
      <c r="T454" s="47"/>
      <c r="U454" s="47" t="s">
        <v>403</v>
      </c>
      <c r="V454" s="47" t="s">
        <v>1382</v>
      </c>
      <c r="W454" s="47" t="s">
        <v>1717</v>
      </c>
      <c r="X454" s="47" t="s">
        <v>1382</v>
      </c>
      <c r="Y454" s="47" t="s">
        <v>1382</v>
      </c>
      <c r="AA454" s="327"/>
      <c r="AB454" s="327"/>
      <c r="AC454" s="33" t="s">
        <v>175</v>
      </c>
      <c r="AG454" s="33" t="s">
        <v>1324</v>
      </c>
      <c r="AH454" s="33" t="s">
        <v>396</v>
      </c>
      <c r="AI454" s="138" t="s">
        <v>577</v>
      </c>
      <c r="AJ454" s="33" t="s">
        <v>132</v>
      </c>
      <c r="AK454" s="141" t="s">
        <v>132</v>
      </c>
      <c r="AO454" s="33" t="s">
        <v>395</v>
      </c>
      <c r="AP454" s="33" t="s">
        <v>395</v>
      </c>
      <c r="AQ454" s="33" t="s">
        <v>2125</v>
      </c>
      <c r="AR454" s="33" t="s">
        <v>2125</v>
      </c>
      <c r="AS454" s="33" t="s">
        <v>177</v>
      </c>
      <c r="AT454" s="33">
        <v>0</v>
      </c>
      <c r="AU454" s="33">
        <v>0</v>
      </c>
      <c r="AV454" s="33" t="s">
        <v>177</v>
      </c>
      <c r="AW454" s="33" t="s">
        <v>160</v>
      </c>
      <c r="AX454" s="33">
        <v>4</v>
      </c>
      <c r="AZ454" s="33" t="s">
        <v>335</v>
      </c>
      <c r="BB454" s="33">
        <f>(6.5+1.7)*1000</f>
        <v>8200</v>
      </c>
      <c r="BC454" s="33">
        <f t="shared" ref="BC454" si="78">BB454/(205+53)</f>
        <v>31.782945736434108</v>
      </c>
      <c r="BD454" s="54" t="s">
        <v>407</v>
      </c>
      <c r="BP454" s="402"/>
      <c r="BQ454" s="402"/>
      <c r="BU454" s="402"/>
      <c r="BV454" s="402"/>
      <c r="BZ454" s="402"/>
      <c r="CA454" s="402"/>
      <c r="CE454" s="555"/>
      <c r="CF454" s="555"/>
      <c r="CG454" s="555"/>
      <c r="CH454" s="555"/>
      <c r="CJ454" s="33">
        <v>4.3230000000000004</v>
      </c>
      <c r="CK454" s="33">
        <v>10.93</v>
      </c>
      <c r="CN454" s="33" t="s">
        <v>406</v>
      </c>
      <c r="GZ454" s="12"/>
      <c r="HD454" s="12"/>
      <c r="JB454" s="33" t="s">
        <v>409</v>
      </c>
      <c r="JC454" s="33" t="s">
        <v>714</v>
      </c>
    </row>
    <row r="455" spans="1:263" s="33" customFormat="1" x14ac:dyDescent="0.25">
      <c r="A455" s="33">
        <v>26</v>
      </c>
      <c r="B455" s="47" t="s">
        <v>3865</v>
      </c>
      <c r="C455" s="33" t="s">
        <v>391</v>
      </c>
      <c r="D455" s="33" t="s">
        <v>392</v>
      </c>
      <c r="E455" s="33">
        <v>2015</v>
      </c>
      <c r="F455" s="33">
        <v>2012</v>
      </c>
      <c r="G455" s="33" t="s">
        <v>296</v>
      </c>
      <c r="H455" s="33" t="s">
        <v>393</v>
      </c>
      <c r="I455" s="32" t="s">
        <v>2815</v>
      </c>
      <c r="J455" s="33">
        <f t="shared" si="67"/>
        <v>35.39</v>
      </c>
      <c r="K455" s="33">
        <f t="shared" si="68"/>
        <v>-78.03</v>
      </c>
      <c r="L455" s="33">
        <v>24.3</v>
      </c>
      <c r="R455" s="47">
        <v>1</v>
      </c>
      <c r="S455" s="47">
        <v>1</v>
      </c>
      <c r="T455" s="47"/>
      <c r="U455" s="47" t="s">
        <v>403</v>
      </c>
      <c r="V455" s="47" t="s">
        <v>1382</v>
      </c>
      <c r="W455" s="47" t="s">
        <v>1717</v>
      </c>
      <c r="X455" s="47" t="s">
        <v>1382</v>
      </c>
      <c r="Y455" s="47" t="s">
        <v>1382</v>
      </c>
      <c r="AA455" s="327"/>
      <c r="AB455" s="327"/>
      <c r="AC455" s="33" t="s">
        <v>175</v>
      </c>
      <c r="AG455" s="33" t="s">
        <v>1324</v>
      </c>
      <c r="AH455" s="33" t="s">
        <v>397</v>
      </c>
      <c r="AI455" s="138" t="s">
        <v>577</v>
      </c>
      <c r="AJ455" s="33" t="s">
        <v>132</v>
      </c>
      <c r="AK455" s="141" t="s">
        <v>132</v>
      </c>
      <c r="AO455" s="33" t="s">
        <v>395</v>
      </c>
      <c r="AP455" s="33" t="s">
        <v>395</v>
      </c>
      <c r="AQ455" s="33" t="s">
        <v>2125</v>
      </c>
      <c r="AR455" s="33" t="s">
        <v>2125</v>
      </c>
      <c r="AS455" s="33" t="s">
        <v>177</v>
      </c>
      <c r="AT455" s="33">
        <v>0</v>
      </c>
      <c r="AU455" s="33">
        <v>0</v>
      </c>
      <c r="AV455" s="33" t="s">
        <v>177</v>
      </c>
      <c r="AW455" s="33" t="s">
        <v>160</v>
      </c>
      <c r="AX455" s="33">
        <v>4</v>
      </c>
      <c r="AZ455" s="33" t="s">
        <v>335</v>
      </c>
      <c r="BB455" s="33">
        <f>(9.6+2.8)*1000</f>
        <v>12399.999999999998</v>
      </c>
      <c r="BC455" s="33">
        <f t="shared" ref="BC455" si="79">BB455/(256+66)</f>
        <v>38.509316770186331</v>
      </c>
      <c r="BD455" s="54" t="s">
        <v>407</v>
      </c>
      <c r="BP455" s="402"/>
      <c r="BQ455" s="402"/>
      <c r="BU455" s="402"/>
      <c r="BV455" s="402"/>
      <c r="BZ455" s="402"/>
      <c r="CA455" s="402"/>
      <c r="CE455" s="555"/>
      <c r="CF455" s="555"/>
      <c r="CG455" s="555"/>
      <c r="CH455" s="555"/>
      <c r="CJ455" s="33">
        <v>4.3230000000000004</v>
      </c>
      <c r="CK455" s="33">
        <v>6.1180000000000003</v>
      </c>
      <c r="CN455" s="33" t="s">
        <v>406</v>
      </c>
      <c r="GZ455" s="12"/>
      <c r="HD455" s="12"/>
      <c r="JB455" s="33" t="s">
        <v>409</v>
      </c>
      <c r="JC455" s="33" t="s">
        <v>714</v>
      </c>
    </row>
    <row r="456" spans="1:263" s="33" customFormat="1" x14ac:dyDescent="0.25">
      <c r="A456" s="33">
        <v>26</v>
      </c>
      <c r="B456" s="47" t="s">
        <v>3865</v>
      </c>
      <c r="C456" s="33" t="s">
        <v>391</v>
      </c>
      <c r="D456" s="33" t="s">
        <v>392</v>
      </c>
      <c r="E456" s="33">
        <v>2015</v>
      </c>
      <c r="F456" s="33">
        <v>2012</v>
      </c>
      <c r="G456" s="33" t="s">
        <v>296</v>
      </c>
      <c r="H456" s="33" t="s">
        <v>393</v>
      </c>
      <c r="I456" s="32" t="s">
        <v>2815</v>
      </c>
      <c r="J456" s="33">
        <f t="shared" si="67"/>
        <v>35.39</v>
      </c>
      <c r="K456" s="33">
        <f t="shared" si="68"/>
        <v>-78.03</v>
      </c>
      <c r="L456" s="33">
        <v>24.3</v>
      </c>
      <c r="R456" s="47">
        <v>1</v>
      </c>
      <c r="S456" s="47">
        <v>1</v>
      </c>
      <c r="T456" s="47"/>
      <c r="U456" s="47" t="s">
        <v>403</v>
      </c>
      <c r="V456" s="47" t="s">
        <v>1382</v>
      </c>
      <c r="W456" s="47" t="s">
        <v>1717</v>
      </c>
      <c r="X456" s="47" t="s">
        <v>1382</v>
      </c>
      <c r="Y456" s="47" t="s">
        <v>1382</v>
      </c>
      <c r="AA456" s="327"/>
      <c r="AB456" s="327"/>
      <c r="AC456" s="33" t="s">
        <v>175</v>
      </c>
      <c r="AG456" s="33" t="s">
        <v>1324</v>
      </c>
      <c r="AH456" s="33" t="s">
        <v>243</v>
      </c>
      <c r="AI456" s="138" t="s">
        <v>577</v>
      </c>
      <c r="AJ456" s="33" t="s">
        <v>132</v>
      </c>
      <c r="AK456" s="141" t="s">
        <v>132</v>
      </c>
      <c r="AO456" s="33" t="s">
        <v>395</v>
      </c>
      <c r="AP456" s="33" t="s">
        <v>395</v>
      </c>
      <c r="AQ456" s="33" t="s">
        <v>2125</v>
      </c>
      <c r="AR456" s="33" t="s">
        <v>2125</v>
      </c>
      <c r="AS456" s="33" t="s">
        <v>177</v>
      </c>
      <c r="AT456" s="33">
        <v>0</v>
      </c>
      <c r="AU456" s="33">
        <v>0</v>
      </c>
      <c r="AV456" s="33" t="s">
        <v>177</v>
      </c>
      <c r="AW456" s="33" t="s">
        <v>160</v>
      </c>
      <c r="AX456" s="33">
        <v>4</v>
      </c>
      <c r="AZ456" s="33" t="s">
        <v>335</v>
      </c>
      <c r="BB456" s="33">
        <f>(8.7+2.5)*1000</f>
        <v>11200</v>
      </c>
      <c r="BC456" s="33">
        <f t="shared" ref="BC456" si="80">BB456/(288+71)</f>
        <v>31.197771587743734</v>
      </c>
      <c r="BD456" s="54" t="s">
        <v>407</v>
      </c>
      <c r="BP456" s="402"/>
      <c r="BQ456" s="402"/>
      <c r="BU456" s="402"/>
      <c r="BV456" s="402"/>
      <c r="BZ456" s="402"/>
      <c r="CA456" s="402"/>
      <c r="CE456" s="555"/>
      <c r="CF456" s="555"/>
      <c r="CG456" s="555"/>
      <c r="CH456" s="555"/>
      <c r="CJ456" s="33">
        <v>4.3230000000000004</v>
      </c>
      <c r="CK456" s="33">
        <v>10.93</v>
      </c>
      <c r="CN456" s="33" t="s">
        <v>406</v>
      </c>
      <c r="GZ456" s="12"/>
      <c r="HD456" s="12"/>
      <c r="JB456" s="33" t="s">
        <v>409</v>
      </c>
      <c r="JC456" s="33" t="s">
        <v>714</v>
      </c>
    </row>
    <row r="457" spans="1:263" s="33" customFormat="1" x14ac:dyDescent="0.25">
      <c r="A457" s="33">
        <v>26</v>
      </c>
      <c r="B457" s="47" t="s">
        <v>3865</v>
      </c>
      <c r="C457" s="33" t="s">
        <v>391</v>
      </c>
      <c r="D457" s="33" t="s">
        <v>392</v>
      </c>
      <c r="E457" s="33">
        <v>2015</v>
      </c>
      <c r="F457" s="33">
        <v>2012</v>
      </c>
      <c r="G457" s="33" t="s">
        <v>296</v>
      </c>
      <c r="H457" s="33" t="s">
        <v>393</v>
      </c>
      <c r="I457" s="32" t="s">
        <v>2815</v>
      </c>
      <c r="J457" s="33">
        <f t="shared" si="67"/>
        <v>35.39</v>
      </c>
      <c r="K457" s="33">
        <f t="shared" si="68"/>
        <v>-78.03</v>
      </c>
      <c r="L457" s="33">
        <v>24.3</v>
      </c>
      <c r="R457" s="47">
        <v>1</v>
      </c>
      <c r="S457" s="47">
        <v>1</v>
      </c>
      <c r="T457" s="47"/>
      <c r="U457" s="47" t="s">
        <v>404</v>
      </c>
      <c r="V457" s="47" t="s">
        <v>1382</v>
      </c>
      <c r="W457" s="47" t="s">
        <v>1717</v>
      </c>
      <c r="X457" s="47" t="s">
        <v>1382</v>
      </c>
      <c r="Y457" s="47" t="s">
        <v>1382</v>
      </c>
      <c r="AA457" s="327"/>
      <c r="AB457" s="327"/>
      <c r="AC457" s="33" t="s">
        <v>175</v>
      </c>
      <c r="AG457" s="33" t="s">
        <v>1324</v>
      </c>
      <c r="AH457" s="33" t="s">
        <v>396</v>
      </c>
      <c r="AI457" s="138" t="s">
        <v>577</v>
      </c>
      <c r="AJ457" s="33" t="s">
        <v>132</v>
      </c>
      <c r="AK457" s="141" t="s">
        <v>132</v>
      </c>
      <c r="AO457" s="33" t="s">
        <v>395</v>
      </c>
      <c r="AP457" s="33" t="s">
        <v>395</v>
      </c>
      <c r="AQ457" s="33" t="s">
        <v>2125</v>
      </c>
      <c r="AR457" s="33" t="s">
        <v>2125</v>
      </c>
      <c r="AS457" s="33" t="s">
        <v>177</v>
      </c>
      <c r="AT457" s="33">
        <v>0</v>
      </c>
      <c r="AU457" s="33">
        <v>0</v>
      </c>
      <c r="AV457" s="33" t="s">
        <v>177</v>
      </c>
      <c r="AW457" s="33" t="s">
        <v>160</v>
      </c>
      <c r="AX457" s="33">
        <v>4</v>
      </c>
      <c r="AZ457" s="33" t="s">
        <v>335</v>
      </c>
      <c r="BB457" s="33">
        <f>(6.5+1.7)*1000</f>
        <v>8200</v>
      </c>
      <c r="BC457" s="33">
        <f t="shared" ref="BC457" si="81">BB457/(205+53)</f>
        <v>31.782945736434108</v>
      </c>
      <c r="BD457" s="54" t="s">
        <v>407</v>
      </c>
      <c r="BP457" s="402"/>
      <c r="BQ457" s="402"/>
      <c r="BU457" s="402"/>
      <c r="BV457" s="402"/>
      <c r="BZ457" s="402"/>
      <c r="CA457" s="402"/>
      <c r="CE457" s="555"/>
      <c r="CF457" s="555"/>
      <c r="CG457" s="555"/>
      <c r="CH457" s="555"/>
      <c r="CJ457" s="33">
        <v>2.0390000000000001</v>
      </c>
      <c r="CK457" s="33">
        <v>4.649</v>
      </c>
      <c r="CN457" s="33" t="s">
        <v>406</v>
      </c>
      <c r="GZ457" s="12"/>
      <c r="HD457" s="12"/>
      <c r="JB457" s="33" t="s">
        <v>409</v>
      </c>
      <c r="JC457" s="33" t="s">
        <v>714</v>
      </c>
    </row>
    <row r="458" spans="1:263" s="33" customFormat="1" x14ac:dyDescent="0.25">
      <c r="A458" s="33">
        <v>26</v>
      </c>
      <c r="B458" s="47" t="s">
        <v>3865</v>
      </c>
      <c r="C458" s="33" t="s">
        <v>391</v>
      </c>
      <c r="D458" s="33" t="s">
        <v>392</v>
      </c>
      <c r="E458" s="33">
        <v>2015</v>
      </c>
      <c r="F458" s="33">
        <v>2012</v>
      </c>
      <c r="G458" s="33" t="s">
        <v>296</v>
      </c>
      <c r="H458" s="33" t="s">
        <v>393</v>
      </c>
      <c r="I458" s="32" t="s">
        <v>2815</v>
      </c>
      <c r="J458" s="33">
        <f t="shared" si="67"/>
        <v>35.39</v>
      </c>
      <c r="K458" s="33">
        <f t="shared" si="68"/>
        <v>-78.03</v>
      </c>
      <c r="L458" s="33">
        <v>24.3</v>
      </c>
      <c r="R458" s="47">
        <v>1</v>
      </c>
      <c r="S458" s="47">
        <v>1</v>
      </c>
      <c r="T458" s="47"/>
      <c r="U458" s="47" t="s">
        <v>404</v>
      </c>
      <c r="V458" s="47" t="s">
        <v>1382</v>
      </c>
      <c r="W458" s="47" t="s">
        <v>1717</v>
      </c>
      <c r="X458" s="47" t="s">
        <v>1382</v>
      </c>
      <c r="Y458" s="47" t="s">
        <v>1382</v>
      </c>
      <c r="AA458" s="327"/>
      <c r="AB458" s="327"/>
      <c r="AC458" s="33" t="s">
        <v>175</v>
      </c>
      <c r="AG458" s="33" t="s">
        <v>1324</v>
      </c>
      <c r="AH458" s="33" t="s">
        <v>397</v>
      </c>
      <c r="AI458" s="138" t="s">
        <v>577</v>
      </c>
      <c r="AJ458" s="33" t="s">
        <v>132</v>
      </c>
      <c r="AK458" s="141" t="s">
        <v>132</v>
      </c>
      <c r="AO458" s="33" t="s">
        <v>395</v>
      </c>
      <c r="AP458" s="33" t="s">
        <v>395</v>
      </c>
      <c r="AQ458" s="33" t="s">
        <v>2125</v>
      </c>
      <c r="AR458" s="33" t="s">
        <v>2125</v>
      </c>
      <c r="AS458" s="33" t="s">
        <v>177</v>
      </c>
      <c r="AT458" s="33">
        <v>0</v>
      </c>
      <c r="AU458" s="33">
        <v>0</v>
      </c>
      <c r="AV458" s="33" t="s">
        <v>177</v>
      </c>
      <c r="AW458" s="33" t="s">
        <v>160</v>
      </c>
      <c r="AX458" s="33">
        <v>4</v>
      </c>
      <c r="AZ458" s="33" t="s">
        <v>335</v>
      </c>
      <c r="BB458" s="33">
        <f>(9.6+2.8)*1000</f>
        <v>12399.999999999998</v>
      </c>
      <c r="BC458" s="33">
        <f t="shared" ref="BC458" si="82">BB458/(256+66)</f>
        <v>38.509316770186331</v>
      </c>
      <c r="BD458" s="54" t="s">
        <v>407</v>
      </c>
      <c r="BP458" s="402"/>
      <c r="BQ458" s="402"/>
      <c r="BU458" s="402"/>
      <c r="BV458" s="402"/>
      <c r="BZ458" s="402"/>
      <c r="CA458" s="402"/>
      <c r="CE458" s="555"/>
      <c r="CF458" s="555"/>
      <c r="CG458" s="555"/>
      <c r="CH458" s="555"/>
      <c r="CJ458" s="33">
        <v>2.0390000000000001</v>
      </c>
      <c r="CK458" s="33">
        <v>5.6280000000000001</v>
      </c>
      <c r="CN458" s="33" t="s">
        <v>406</v>
      </c>
      <c r="GZ458" s="12"/>
      <c r="HD458" s="12"/>
      <c r="JB458" s="33" t="s">
        <v>409</v>
      </c>
      <c r="JC458" s="33" t="s">
        <v>714</v>
      </c>
    </row>
    <row r="459" spans="1:263" s="33" customFormat="1" x14ac:dyDescent="0.25">
      <c r="A459" s="33">
        <v>26</v>
      </c>
      <c r="B459" s="47" t="s">
        <v>3865</v>
      </c>
      <c r="C459" s="33" t="s">
        <v>391</v>
      </c>
      <c r="D459" s="33" t="s">
        <v>392</v>
      </c>
      <c r="E459" s="33">
        <v>2015</v>
      </c>
      <c r="F459" s="33">
        <v>2012</v>
      </c>
      <c r="G459" s="33" t="s">
        <v>296</v>
      </c>
      <c r="H459" s="33" t="s">
        <v>393</v>
      </c>
      <c r="I459" s="32" t="s">
        <v>2815</v>
      </c>
      <c r="J459" s="33">
        <f t="shared" si="67"/>
        <v>35.39</v>
      </c>
      <c r="K459" s="33">
        <f t="shared" si="68"/>
        <v>-78.03</v>
      </c>
      <c r="L459" s="33">
        <v>24.3</v>
      </c>
      <c r="R459" s="47">
        <v>1</v>
      </c>
      <c r="S459" s="47">
        <v>1</v>
      </c>
      <c r="T459" s="47"/>
      <c r="U459" s="47" t="s">
        <v>404</v>
      </c>
      <c r="V459" s="47" t="s">
        <v>1382</v>
      </c>
      <c r="W459" s="47" t="s">
        <v>1717</v>
      </c>
      <c r="X459" s="47" t="s">
        <v>1382</v>
      </c>
      <c r="Y459" s="47" t="s">
        <v>1382</v>
      </c>
      <c r="AA459" s="327"/>
      <c r="AB459" s="327"/>
      <c r="AC459" s="33" t="s">
        <v>175</v>
      </c>
      <c r="AG459" s="33" t="s">
        <v>1324</v>
      </c>
      <c r="AH459" s="33" t="s">
        <v>243</v>
      </c>
      <c r="AI459" s="138" t="s">
        <v>577</v>
      </c>
      <c r="AJ459" s="33" t="s">
        <v>132</v>
      </c>
      <c r="AK459" s="141" t="s">
        <v>132</v>
      </c>
      <c r="AO459" s="33" t="s">
        <v>395</v>
      </c>
      <c r="AP459" s="33" t="s">
        <v>395</v>
      </c>
      <c r="AQ459" s="33" t="s">
        <v>2125</v>
      </c>
      <c r="AR459" s="33" t="s">
        <v>2125</v>
      </c>
      <c r="AS459" s="33" t="s">
        <v>177</v>
      </c>
      <c r="AT459" s="33">
        <v>0</v>
      </c>
      <c r="AU459" s="33">
        <v>0</v>
      </c>
      <c r="AV459" s="33" t="s">
        <v>177</v>
      </c>
      <c r="AW459" s="33" t="s">
        <v>160</v>
      </c>
      <c r="AX459" s="33">
        <v>4</v>
      </c>
      <c r="AZ459" s="33" t="s">
        <v>335</v>
      </c>
      <c r="BB459" s="33">
        <f>(8.7+2.5)*1000</f>
        <v>11200</v>
      </c>
      <c r="BC459" s="33">
        <f t="shared" ref="BC459" si="83">BB459/(288+71)</f>
        <v>31.197771587743734</v>
      </c>
      <c r="BD459" s="54" t="s">
        <v>407</v>
      </c>
      <c r="BP459" s="402"/>
      <c r="BQ459" s="402"/>
      <c r="BU459" s="402"/>
      <c r="BV459" s="402"/>
      <c r="BZ459" s="402"/>
      <c r="CA459" s="402"/>
      <c r="CE459" s="555"/>
      <c r="CF459" s="555"/>
      <c r="CG459" s="555"/>
      <c r="CH459" s="555"/>
      <c r="CJ459" s="33">
        <v>2.0390000000000001</v>
      </c>
      <c r="CK459" s="33">
        <v>11.175000000000001</v>
      </c>
      <c r="CN459" s="33" t="s">
        <v>406</v>
      </c>
      <c r="GZ459" s="12"/>
      <c r="HD459" s="12"/>
      <c r="JB459" s="33" t="s">
        <v>409</v>
      </c>
      <c r="JC459" s="33" t="s">
        <v>714</v>
      </c>
    </row>
    <row r="460" spans="1:263" s="33" customFormat="1" x14ac:dyDescent="0.25">
      <c r="A460" s="33">
        <v>26</v>
      </c>
      <c r="B460" s="47" t="s">
        <v>3866</v>
      </c>
      <c r="C460" s="33" t="s">
        <v>391</v>
      </c>
      <c r="D460" s="33" t="s">
        <v>392</v>
      </c>
      <c r="E460" s="33">
        <v>2015</v>
      </c>
      <c r="F460" s="33">
        <v>2012</v>
      </c>
      <c r="G460" s="33" t="s">
        <v>296</v>
      </c>
      <c r="H460" s="33" t="s">
        <v>393</v>
      </c>
      <c r="I460" s="32" t="s">
        <v>2815</v>
      </c>
      <c r="J460" s="33">
        <f t="shared" si="67"/>
        <v>35.39</v>
      </c>
      <c r="K460" s="33">
        <f t="shared" si="68"/>
        <v>-78.03</v>
      </c>
      <c r="L460" s="33">
        <v>24.3</v>
      </c>
      <c r="R460" s="47">
        <v>1</v>
      </c>
      <c r="S460" s="47">
        <v>1</v>
      </c>
      <c r="T460" s="47"/>
      <c r="U460" s="47" t="s">
        <v>398</v>
      </c>
      <c r="V460" s="47" t="s">
        <v>1382</v>
      </c>
      <c r="W460" s="47" t="s">
        <v>1717</v>
      </c>
      <c r="X460" s="47" t="s">
        <v>1382</v>
      </c>
      <c r="Y460" s="47" t="s">
        <v>1382</v>
      </c>
      <c r="AA460" s="327"/>
      <c r="AB460" s="327"/>
      <c r="AC460" s="33" t="s">
        <v>175</v>
      </c>
      <c r="AG460" s="33" t="s">
        <v>1324</v>
      </c>
      <c r="AH460" s="33" t="s">
        <v>396</v>
      </c>
      <c r="AI460" s="138" t="s">
        <v>577</v>
      </c>
      <c r="AJ460" s="33" t="s">
        <v>132</v>
      </c>
      <c r="AK460" s="141" t="s">
        <v>132</v>
      </c>
      <c r="AO460" s="33" t="s">
        <v>405</v>
      </c>
      <c r="AP460" s="33" t="s">
        <v>405</v>
      </c>
      <c r="AQ460" s="33" t="s">
        <v>2125</v>
      </c>
      <c r="AR460" s="33" t="s">
        <v>2125</v>
      </c>
      <c r="AS460" s="33" t="s">
        <v>177</v>
      </c>
      <c r="AT460" s="33">
        <v>0</v>
      </c>
      <c r="AU460" s="33">
        <v>0</v>
      </c>
      <c r="AV460" s="33" t="s">
        <v>177</v>
      </c>
      <c r="AW460" s="33" t="s">
        <v>160</v>
      </c>
      <c r="AX460" s="33">
        <v>4</v>
      </c>
      <c r="AZ460" s="33" t="s">
        <v>335</v>
      </c>
      <c r="BB460" s="33">
        <f>(6.5+1.7)*1000</f>
        <v>8200</v>
      </c>
      <c r="BC460" s="33">
        <f t="shared" ref="BC460" si="84">BB460/(205+53)</f>
        <v>31.782945736434108</v>
      </c>
      <c r="BD460" s="54" t="s">
        <v>408</v>
      </c>
      <c r="BP460" s="402"/>
      <c r="BQ460" s="402"/>
      <c r="BU460" s="402"/>
      <c r="BV460" s="402"/>
      <c r="BZ460" s="402"/>
      <c r="CA460" s="402"/>
      <c r="CE460" s="555"/>
      <c r="CF460" s="555"/>
      <c r="CG460" s="555"/>
      <c r="CH460" s="555"/>
      <c r="CJ460" s="33">
        <v>9.5429999999999993</v>
      </c>
      <c r="CK460" s="33">
        <v>12.48</v>
      </c>
      <c r="CN460" s="33" t="s">
        <v>406</v>
      </c>
      <c r="GZ460" s="12"/>
      <c r="HD460" s="12"/>
      <c r="JB460" s="33" t="s">
        <v>409</v>
      </c>
      <c r="JC460" s="33" t="s">
        <v>714</v>
      </c>
    </row>
    <row r="461" spans="1:263" s="33" customFormat="1" x14ac:dyDescent="0.25">
      <c r="A461" s="33">
        <v>26</v>
      </c>
      <c r="B461" s="47" t="s">
        <v>3866</v>
      </c>
      <c r="C461" s="33" t="s">
        <v>391</v>
      </c>
      <c r="D461" s="33" t="s">
        <v>392</v>
      </c>
      <c r="E461" s="33">
        <v>2015</v>
      </c>
      <c r="F461" s="33">
        <v>2012</v>
      </c>
      <c r="G461" s="33" t="s">
        <v>296</v>
      </c>
      <c r="H461" s="33" t="s">
        <v>393</v>
      </c>
      <c r="I461" s="32" t="s">
        <v>2815</v>
      </c>
      <c r="J461" s="33">
        <f t="shared" si="67"/>
        <v>35.39</v>
      </c>
      <c r="K461" s="33">
        <f t="shared" si="68"/>
        <v>-78.03</v>
      </c>
      <c r="L461" s="33">
        <v>24.3</v>
      </c>
      <c r="R461" s="47">
        <v>1</v>
      </c>
      <c r="S461" s="47">
        <v>1</v>
      </c>
      <c r="T461" s="47"/>
      <c r="U461" s="47" t="s">
        <v>398</v>
      </c>
      <c r="V461" s="47" t="s">
        <v>1382</v>
      </c>
      <c r="W461" s="47" t="s">
        <v>1717</v>
      </c>
      <c r="X461" s="47" t="s">
        <v>1382</v>
      </c>
      <c r="Y461" s="47" t="s">
        <v>1382</v>
      </c>
      <c r="AA461" s="327"/>
      <c r="AB461" s="327"/>
      <c r="AC461" s="33" t="s">
        <v>175</v>
      </c>
      <c r="AG461" s="33" t="s">
        <v>1324</v>
      </c>
      <c r="AH461" s="33" t="s">
        <v>397</v>
      </c>
      <c r="AI461" s="138" t="s">
        <v>577</v>
      </c>
      <c r="AJ461" s="33" t="s">
        <v>132</v>
      </c>
      <c r="AK461" s="141" t="s">
        <v>132</v>
      </c>
      <c r="AO461" s="33" t="s">
        <v>405</v>
      </c>
      <c r="AP461" s="33" t="s">
        <v>405</v>
      </c>
      <c r="AQ461" s="33" t="s">
        <v>2125</v>
      </c>
      <c r="AR461" s="33" t="s">
        <v>2125</v>
      </c>
      <c r="AS461" s="33" t="s">
        <v>177</v>
      </c>
      <c r="AT461" s="33">
        <v>0</v>
      </c>
      <c r="AU461" s="33">
        <v>0</v>
      </c>
      <c r="AV461" s="33" t="s">
        <v>177</v>
      </c>
      <c r="AW461" s="33" t="s">
        <v>160</v>
      </c>
      <c r="AX461" s="33">
        <v>4</v>
      </c>
      <c r="AZ461" s="33" t="s">
        <v>335</v>
      </c>
      <c r="BB461" s="33">
        <f>(9.6+2.8)*1000</f>
        <v>12399.999999999998</v>
      </c>
      <c r="BC461" s="33">
        <f t="shared" ref="BC461" si="85">BB461/(256+66)</f>
        <v>38.509316770186331</v>
      </c>
      <c r="BD461" s="54" t="s">
        <v>408</v>
      </c>
      <c r="BP461" s="402"/>
      <c r="BQ461" s="402"/>
      <c r="BU461" s="402"/>
      <c r="BV461" s="402"/>
      <c r="BZ461" s="402"/>
      <c r="CA461" s="402"/>
      <c r="CE461" s="555"/>
      <c r="CF461" s="555"/>
      <c r="CG461" s="555"/>
      <c r="CH461" s="555"/>
      <c r="CJ461" s="33">
        <v>9.5429999999999993</v>
      </c>
      <c r="CK461" s="33">
        <v>11.42</v>
      </c>
      <c r="CN461" s="33" t="s">
        <v>406</v>
      </c>
      <c r="GZ461" s="12"/>
      <c r="HD461" s="12"/>
      <c r="JB461" s="33" t="s">
        <v>409</v>
      </c>
      <c r="JC461" s="33" t="s">
        <v>714</v>
      </c>
    </row>
    <row r="462" spans="1:263" s="33" customFormat="1" x14ac:dyDescent="0.25">
      <c r="A462" s="33">
        <v>26</v>
      </c>
      <c r="B462" s="47" t="s">
        <v>3866</v>
      </c>
      <c r="C462" s="33" t="s">
        <v>391</v>
      </c>
      <c r="D462" s="33" t="s">
        <v>392</v>
      </c>
      <c r="E462" s="33">
        <v>2015</v>
      </c>
      <c r="F462" s="33">
        <v>2012</v>
      </c>
      <c r="G462" s="33" t="s">
        <v>296</v>
      </c>
      <c r="H462" s="33" t="s">
        <v>393</v>
      </c>
      <c r="I462" s="32" t="s">
        <v>2815</v>
      </c>
      <c r="J462" s="33">
        <f t="shared" si="67"/>
        <v>35.39</v>
      </c>
      <c r="K462" s="33">
        <f t="shared" si="68"/>
        <v>-78.03</v>
      </c>
      <c r="L462" s="33">
        <v>24.3</v>
      </c>
      <c r="R462" s="47">
        <v>1</v>
      </c>
      <c r="S462" s="47">
        <v>1</v>
      </c>
      <c r="T462" s="47"/>
      <c r="U462" s="47" t="s">
        <v>398</v>
      </c>
      <c r="V462" s="47" t="s">
        <v>1382</v>
      </c>
      <c r="W462" s="47" t="s">
        <v>1717</v>
      </c>
      <c r="X462" s="47" t="s">
        <v>1382</v>
      </c>
      <c r="Y462" s="47" t="s">
        <v>1382</v>
      </c>
      <c r="AA462" s="327"/>
      <c r="AB462" s="327"/>
      <c r="AC462" s="33" t="s">
        <v>175</v>
      </c>
      <c r="AG462" s="33" t="s">
        <v>1324</v>
      </c>
      <c r="AH462" s="33" t="s">
        <v>243</v>
      </c>
      <c r="AI462" s="138" t="s">
        <v>577</v>
      </c>
      <c r="AJ462" s="33" t="s">
        <v>132</v>
      </c>
      <c r="AK462" s="141" t="s">
        <v>132</v>
      </c>
      <c r="AO462" s="33" t="s">
        <v>405</v>
      </c>
      <c r="AP462" s="33" t="s">
        <v>405</v>
      </c>
      <c r="AQ462" s="33" t="s">
        <v>2125</v>
      </c>
      <c r="AR462" s="33" t="s">
        <v>2125</v>
      </c>
      <c r="AS462" s="33" t="s">
        <v>177</v>
      </c>
      <c r="AT462" s="33">
        <v>0</v>
      </c>
      <c r="AU462" s="33">
        <v>0</v>
      </c>
      <c r="AV462" s="33" t="s">
        <v>177</v>
      </c>
      <c r="AW462" s="33" t="s">
        <v>160</v>
      </c>
      <c r="AX462" s="33">
        <v>4</v>
      </c>
      <c r="AZ462" s="33" t="s">
        <v>335</v>
      </c>
      <c r="BB462" s="33">
        <f>(8.7+2.5)*1000</f>
        <v>11200</v>
      </c>
      <c r="BC462" s="33">
        <f t="shared" ref="BC462" si="86">BB462/(288+71)</f>
        <v>31.197771587743734</v>
      </c>
      <c r="BD462" s="54" t="s">
        <v>408</v>
      </c>
      <c r="BP462" s="402"/>
      <c r="BQ462" s="402"/>
      <c r="BU462" s="402"/>
      <c r="BV462" s="402"/>
      <c r="BZ462" s="402"/>
      <c r="CA462" s="402"/>
      <c r="CE462" s="555"/>
      <c r="CF462" s="555"/>
      <c r="CG462" s="555"/>
      <c r="CH462" s="555"/>
      <c r="CJ462" s="33">
        <v>9.5429999999999993</v>
      </c>
      <c r="CK462" s="33">
        <v>19.899999999999999</v>
      </c>
      <c r="CN462" s="33" t="s">
        <v>406</v>
      </c>
      <c r="GZ462" s="12"/>
      <c r="HD462" s="12"/>
      <c r="JB462" s="33" t="s">
        <v>409</v>
      </c>
      <c r="JC462" s="33" t="s">
        <v>714</v>
      </c>
    </row>
    <row r="463" spans="1:263" s="33" customFormat="1" x14ac:dyDescent="0.25">
      <c r="A463" s="33">
        <v>26</v>
      </c>
      <c r="B463" s="47" t="s">
        <v>3866</v>
      </c>
      <c r="C463" s="33" t="s">
        <v>391</v>
      </c>
      <c r="D463" s="33" t="s">
        <v>392</v>
      </c>
      <c r="E463" s="33">
        <v>2015</v>
      </c>
      <c r="F463" s="33">
        <v>2012</v>
      </c>
      <c r="G463" s="33" t="s">
        <v>296</v>
      </c>
      <c r="H463" s="33" t="s">
        <v>393</v>
      </c>
      <c r="I463" s="32" t="s">
        <v>2815</v>
      </c>
      <c r="J463" s="33">
        <f t="shared" si="67"/>
        <v>35.39</v>
      </c>
      <c r="K463" s="33">
        <f t="shared" si="68"/>
        <v>-78.03</v>
      </c>
      <c r="L463" s="33">
        <v>24.3</v>
      </c>
      <c r="R463" s="47">
        <v>1</v>
      </c>
      <c r="S463" s="47">
        <v>1</v>
      </c>
      <c r="T463" s="47"/>
      <c r="U463" s="47" t="s">
        <v>399</v>
      </c>
      <c r="V463" s="47" t="s">
        <v>1382</v>
      </c>
      <c r="W463" s="47" t="s">
        <v>1717</v>
      </c>
      <c r="X463" s="47" t="s">
        <v>1382</v>
      </c>
      <c r="Y463" s="47" t="s">
        <v>1382</v>
      </c>
      <c r="AA463" s="327"/>
      <c r="AB463" s="327"/>
      <c r="AC463" s="33" t="s">
        <v>175</v>
      </c>
      <c r="AG463" s="33" t="s">
        <v>1324</v>
      </c>
      <c r="AH463" s="33" t="s">
        <v>396</v>
      </c>
      <c r="AI463" s="138" t="s">
        <v>577</v>
      </c>
      <c r="AJ463" s="33" t="s">
        <v>132</v>
      </c>
      <c r="AK463" s="141" t="s">
        <v>132</v>
      </c>
      <c r="AO463" s="33" t="s">
        <v>405</v>
      </c>
      <c r="AP463" s="33" t="s">
        <v>405</v>
      </c>
      <c r="AQ463" s="33" t="s">
        <v>2125</v>
      </c>
      <c r="AR463" s="33" t="s">
        <v>2125</v>
      </c>
      <c r="AS463" s="33" t="s">
        <v>177</v>
      </c>
      <c r="AT463" s="33">
        <v>0</v>
      </c>
      <c r="AU463" s="33">
        <v>0</v>
      </c>
      <c r="AV463" s="33" t="s">
        <v>177</v>
      </c>
      <c r="AW463" s="33" t="s">
        <v>160</v>
      </c>
      <c r="AX463" s="33">
        <v>4</v>
      </c>
      <c r="AZ463" s="33" t="s">
        <v>335</v>
      </c>
      <c r="BB463" s="33">
        <f>(6.5+1.7)*1000</f>
        <v>8200</v>
      </c>
      <c r="BC463" s="33">
        <f t="shared" ref="BC463" si="87">BB463/(205+53)</f>
        <v>31.782945736434108</v>
      </c>
      <c r="BD463" s="54" t="s">
        <v>408</v>
      </c>
      <c r="BP463" s="402"/>
      <c r="BQ463" s="402"/>
      <c r="BU463" s="402"/>
      <c r="BV463" s="402"/>
      <c r="BZ463" s="402"/>
      <c r="CA463" s="402"/>
      <c r="CE463" s="555"/>
      <c r="CF463" s="555"/>
      <c r="CG463" s="555"/>
      <c r="CH463" s="555"/>
      <c r="CJ463" s="33">
        <v>7.9119999999999999</v>
      </c>
      <c r="CK463" s="33">
        <v>13.458</v>
      </c>
      <c r="CN463" s="33" t="s">
        <v>406</v>
      </c>
      <c r="GZ463" s="12"/>
      <c r="HD463" s="12"/>
      <c r="JB463" s="33" t="s">
        <v>409</v>
      </c>
      <c r="JC463" s="33" t="s">
        <v>714</v>
      </c>
    </row>
    <row r="464" spans="1:263" s="33" customFormat="1" x14ac:dyDescent="0.25">
      <c r="A464" s="33">
        <v>26</v>
      </c>
      <c r="B464" s="47" t="s">
        <v>3866</v>
      </c>
      <c r="C464" s="33" t="s">
        <v>391</v>
      </c>
      <c r="D464" s="33" t="s">
        <v>392</v>
      </c>
      <c r="E464" s="33">
        <v>2015</v>
      </c>
      <c r="F464" s="33">
        <v>2012</v>
      </c>
      <c r="G464" s="33" t="s">
        <v>296</v>
      </c>
      <c r="H464" s="33" t="s">
        <v>393</v>
      </c>
      <c r="I464" s="32" t="s">
        <v>2815</v>
      </c>
      <c r="J464" s="33">
        <f t="shared" si="67"/>
        <v>35.39</v>
      </c>
      <c r="K464" s="33">
        <f t="shared" si="68"/>
        <v>-78.03</v>
      </c>
      <c r="L464" s="33">
        <v>24.3</v>
      </c>
      <c r="R464" s="47">
        <v>1</v>
      </c>
      <c r="S464" s="47">
        <v>1</v>
      </c>
      <c r="T464" s="47"/>
      <c r="U464" s="47" t="s">
        <v>399</v>
      </c>
      <c r="V464" s="47" t="s">
        <v>1382</v>
      </c>
      <c r="W464" s="47" t="s">
        <v>1717</v>
      </c>
      <c r="X464" s="47" t="s">
        <v>1382</v>
      </c>
      <c r="Y464" s="47" t="s">
        <v>1382</v>
      </c>
      <c r="AA464" s="327"/>
      <c r="AB464" s="327"/>
      <c r="AC464" s="33" t="s">
        <v>175</v>
      </c>
      <c r="AG464" s="33" t="s">
        <v>1324</v>
      </c>
      <c r="AH464" s="33" t="s">
        <v>397</v>
      </c>
      <c r="AI464" s="138" t="s">
        <v>577</v>
      </c>
      <c r="AJ464" s="33" t="s">
        <v>132</v>
      </c>
      <c r="AK464" s="141" t="s">
        <v>132</v>
      </c>
      <c r="AO464" s="33" t="s">
        <v>405</v>
      </c>
      <c r="AP464" s="33" t="s">
        <v>405</v>
      </c>
      <c r="AQ464" s="33" t="s">
        <v>2125</v>
      </c>
      <c r="AR464" s="33" t="s">
        <v>2125</v>
      </c>
      <c r="AS464" s="33" t="s">
        <v>177</v>
      </c>
      <c r="AT464" s="33">
        <v>0</v>
      </c>
      <c r="AU464" s="33">
        <v>0</v>
      </c>
      <c r="AV464" s="33" t="s">
        <v>177</v>
      </c>
      <c r="AW464" s="33" t="s">
        <v>160</v>
      </c>
      <c r="AX464" s="33">
        <v>4</v>
      </c>
      <c r="AZ464" s="33" t="s">
        <v>335</v>
      </c>
      <c r="BB464" s="33">
        <f>(9.6+2.8)*1000</f>
        <v>12399.999999999998</v>
      </c>
      <c r="BC464" s="33">
        <f t="shared" ref="BC464" si="88">BB464/(256+66)</f>
        <v>38.509316770186331</v>
      </c>
      <c r="BD464" s="54" t="s">
        <v>408</v>
      </c>
      <c r="BP464" s="402"/>
      <c r="BQ464" s="402"/>
      <c r="BU464" s="402"/>
      <c r="BV464" s="402"/>
      <c r="BZ464" s="402"/>
      <c r="CA464" s="402"/>
      <c r="CE464" s="555"/>
      <c r="CF464" s="555"/>
      <c r="CG464" s="555"/>
      <c r="CH464" s="555"/>
      <c r="CJ464" s="33">
        <v>7.9119999999999999</v>
      </c>
      <c r="CK464" s="33">
        <v>11.09</v>
      </c>
      <c r="CN464" s="33" t="s">
        <v>406</v>
      </c>
      <c r="GZ464" s="12"/>
      <c r="HD464" s="12"/>
      <c r="JB464" s="33" t="s">
        <v>409</v>
      </c>
      <c r="JC464" s="33" t="s">
        <v>714</v>
      </c>
    </row>
    <row r="465" spans="1:263" s="33" customFormat="1" x14ac:dyDescent="0.25">
      <c r="A465" s="33">
        <v>26</v>
      </c>
      <c r="B465" s="47" t="s">
        <v>3866</v>
      </c>
      <c r="C465" s="33" t="s">
        <v>391</v>
      </c>
      <c r="D465" s="33" t="s">
        <v>392</v>
      </c>
      <c r="E465" s="33">
        <v>2015</v>
      </c>
      <c r="F465" s="33">
        <v>2012</v>
      </c>
      <c r="G465" s="33" t="s">
        <v>296</v>
      </c>
      <c r="H465" s="33" t="s">
        <v>393</v>
      </c>
      <c r="I465" s="32" t="s">
        <v>2815</v>
      </c>
      <c r="J465" s="33">
        <f t="shared" si="67"/>
        <v>35.39</v>
      </c>
      <c r="K465" s="33">
        <f t="shared" si="68"/>
        <v>-78.03</v>
      </c>
      <c r="L465" s="33">
        <v>24.3</v>
      </c>
      <c r="R465" s="47">
        <v>1</v>
      </c>
      <c r="S465" s="47">
        <v>1</v>
      </c>
      <c r="T465" s="47"/>
      <c r="U465" s="47" t="s">
        <v>399</v>
      </c>
      <c r="V465" s="47" t="s">
        <v>1382</v>
      </c>
      <c r="W465" s="47" t="s">
        <v>1717</v>
      </c>
      <c r="X465" s="47" t="s">
        <v>1382</v>
      </c>
      <c r="Y465" s="47" t="s">
        <v>1382</v>
      </c>
      <c r="AA465" s="327"/>
      <c r="AB465" s="327"/>
      <c r="AC465" s="33" t="s">
        <v>175</v>
      </c>
      <c r="AG465" s="33" t="s">
        <v>1324</v>
      </c>
      <c r="AH465" s="33" t="s">
        <v>243</v>
      </c>
      <c r="AI465" s="138" t="s">
        <v>577</v>
      </c>
      <c r="AJ465" s="33" t="s">
        <v>132</v>
      </c>
      <c r="AK465" s="141" t="s">
        <v>132</v>
      </c>
      <c r="AO465" s="33" t="s">
        <v>405</v>
      </c>
      <c r="AP465" s="33" t="s">
        <v>405</v>
      </c>
      <c r="AQ465" s="33" t="s">
        <v>2125</v>
      </c>
      <c r="AR465" s="33" t="s">
        <v>2125</v>
      </c>
      <c r="AS465" s="33" t="s">
        <v>177</v>
      </c>
      <c r="AT465" s="33">
        <v>0</v>
      </c>
      <c r="AU465" s="33">
        <v>0</v>
      </c>
      <c r="AV465" s="33" t="s">
        <v>177</v>
      </c>
      <c r="AW465" s="33" t="s">
        <v>160</v>
      </c>
      <c r="AX465" s="33">
        <v>4</v>
      </c>
      <c r="AZ465" s="33" t="s">
        <v>335</v>
      </c>
      <c r="BB465" s="33">
        <f>(8.7+2.5)*1000</f>
        <v>11200</v>
      </c>
      <c r="BC465" s="33">
        <f t="shared" ref="BC465" si="89">BB465/(288+71)</f>
        <v>31.197771587743734</v>
      </c>
      <c r="BD465" s="54" t="s">
        <v>408</v>
      </c>
      <c r="BP465" s="402"/>
      <c r="BQ465" s="402"/>
      <c r="BU465" s="402"/>
      <c r="BV465" s="402"/>
      <c r="BZ465" s="402"/>
      <c r="CA465" s="402"/>
      <c r="CE465" s="555"/>
      <c r="CF465" s="555"/>
      <c r="CG465" s="555"/>
      <c r="CH465" s="555"/>
      <c r="CJ465" s="33">
        <v>7.9119999999999999</v>
      </c>
      <c r="CK465" s="33">
        <v>17.7</v>
      </c>
      <c r="CN465" s="33" t="s">
        <v>406</v>
      </c>
      <c r="GZ465" s="12"/>
      <c r="HD465" s="12"/>
      <c r="JB465" s="33" t="s">
        <v>409</v>
      </c>
      <c r="JC465" s="33" t="s">
        <v>714</v>
      </c>
    </row>
    <row r="466" spans="1:263" s="33" customFormat="1" x14ac:dyDescent="0.25">
      <c r="A466" s="33">
        <v>26</v>
      </c>
      <c r="B466" s="47" t="s">
        <v>3866</v>
      </c>
      <c r="C466" s="33" t="s">
        <v>391</v>
      </c>
      <c r="D466" s="33" t="s">
        <v>392</v>
      </c>
      <c r="E466" s="33">
        <v>2015</v>
      </c>
      <c r="F466" s="33">
        <v>2012</v>
      </c>
      <c r="G466" s="33" t="s">
        <v>296</v>
      </c>
      <c r="H466" s="33" t="s">
        <v>393</v>
      </c>
      <c r="I466" s="32" t="s">
        <v>2815</v>
      </c>
      <c r="J466" s="33">
        <f t="shared" si="67"/>
        <v>35.39</v>
      </c>
      <c r="K466" s="33">
        <f t="shared" si="68"/>
        <v>-78.03</v>
      </c>
      <c r="L466" s="33">
        <v>24.3</v>
      </c>
      <c r="R466" s="47">
        <v>1</v>
      </c>
      <c r="S466" s="47">
        <v>1</v>
      </c>
      <c r="T466" s="47"/>
      <c r="U466" s="47" t="s">
        <v>400</v>
      </c>
      <c r="V466" s="47" t="s">
        <v>1382</v>
      </c>
      <c r="W466" s="47" t="s">
        <v>1717</v>
      </c>
      <c r="X466" s="47" t="s">
        <v>1382</v>
      </c>
      <c r="Y466" s="47" t="s">
        <v>1382</v>
      </c>
      <c r="AA466" s="327"/>
      <c r="AB466" s="327"/>
      <c r="AC466" s="33" t="s">
        <v>175</v>
      </c>
      <c r="AG466" s="33" t="s">
        <v>1324</v>
      </c>
      <c r="AH466" s="33" t="s">
        <v>396</v>
      </c>
      <c r="AI466" s="138" t="s">
        <v>577</v>
      </c>
      <c r="AJ466" s="33" t="s">
        <v>132</v>
      </c>
      <c r="AK466" s="141" t="s">
        <v>132</v>
      </c>
      <c r="AO466" s="33" t="s">
        <v>405</v>
      </c>
      <c r="AP466" s="33" t="s">
        <v>405</v>
      </c>
      <c r="AQ466" s="33" t="s">
        <v>2125</v>
      </c>
      <c r="AR466" s="33" t="s">
        <v>2125</v>
      </c>
      <c r="AS466" s="33" t="s">
        <v>177</v>
      </c>
      <c r="AT466" s="33">
        <v>0</v>
      </c>
      <c r="AU466" s="33">
        <v>0</v>
      </c>
      <c r="AV466" s="33" t="s">
        <v>177</v>
      </c>
      <c r="AW466" s="33" t="s">
        <v>160</v>
      </c>
      <c r="AX466" s="33">
        <v>4</v>
      </c>
      <c r="AZ466" s="33" t="s">
        <v>335</v>
      </c>
      <c r="BB466" s="33">
        <f>(6.5+1.7)*1000</f>
        <v>8200</v>
      </c>
      <c r="BC466" s="33">
        <f t="shared" ref="BC466" si="90">BB466/(205+53)</f>
        <v>31.782945736434108</v>
      </c>
      <c r="BD466" s="54" t="s">
        <v>408</v>
      </c>
      <c r="BP466" s="402"/>
      <c r="BQ466" s="402"/>
      <c r="BU466" s="402"/>
      <c r="BV466" s="402"/>
      <c r="BZ466" s="402"/>
      <c r="CA466" s="402"/>
      <c r="CE466" s="555"/>
      <c r="CF466" s="555"/>
      <c r="CG466" s="555"/>
      <c r="CH466" s="555"/>
      <c r="CJ466" s="33">
        <v>7.4219999999999997</v>
      </c>
      <c r="CK466" s="33">
        <v>16.312999999999999</v>
      </c>
      <c r="CN466" s="33" t="s">
        <v>406</v>
      </c>
      <c r="GZ466" s="12"/>
      <c r="HD466" s="12"/>
      <c r="JB466" s="33" t="s">
        <v>409</v>
      </c>
      <c r="JC466" s="33" t="s">
        <v>714</v>
      </c>
    </row>
    <row r="467" spans="1:263" s="33" customFormat="1" x14ac:dyDescent="0.25">
      <c r="A467" s="33">
        <v>26</v>
      </c>
      <c r="B467" s="47" t="s">
        <v>3866</v>
      </c>
      <c r="C467" s="33" t="s">
        <v>391</v>
      </c>
      <c r="D467" s="33" t="s">
        <v>392</v>
      </c>
      <c r="E467" s="33">
        <v>2015</v>
      </c>
      <c r="F467" s="33">
        <v>2012</v>
      </c>
      <c r="G467" s="33" t="s">
        <v>296</v>
      </c>
      <c r="H467" s="33" t="s">
        <v>393</v>
      </c>
      <c r="I467" s="32" t="s">
        <v>2815</v>
      </c>
      <c r="J467" s="33">
        <f t="shared" si="67"/>
        <v>35.39</v>
      </c>
      <c r="K467" s="33">
        <f t="shared" si="68"/>
        <v>-78.03</v>
      </c>
      <c r="L467" s="33">
        <v>24.3</v>
      </c>
      <c r="R467" s="47">
        <v>1</v>
      </c>
      <c r="S467" s="47">
        <v>1</v>
      </c>
      <c r="T467" s="47"/>
      <c r="U467" s="47" t="s">
        <v>400</v>
      </c>
      <c r="V467" s="47" t="s">
        <v>1382</v>
      </c>
      <c r="W467" s="47" t="s">
        <v>1717</v>
      </c>
      <c r="X467" s="47" t="s">
        <v>1382</v>
      </c>
      <c r="Y467" s="47" t="s">
        <v>1382</v>
      </c>
      <c r="AA467" s="327"/>
      <c r="AB467" s="327"/>
      <c r="AC467" s="33" t="s">
        <v>175</v>
      </c>
      <c r="AG467" s="33" t="s">
        <v>1324</v>
      </c>
      <c r="AH467" s="33" t="s">
        <v>397</v>
      </c>
      <c r="AI467" s="138" t="s">
        <v>577</v>
      </c>
      <c r="AJ467" s="33" t="s">
        <v>132</v>
      </c>
      <c r="AK467" s="141" t="s">
        <v>132</v>
      </c>
      <c r="AO467" s="33" t="s">
        <v>405</v>
      </c>
      <c r="AP467" s="33" t="s">
        <v>405</v>
      </c>
      <c r="AQ467" s="33" t="s">
        <v>2125</v>
      </c>
      <c r="AR467" s="33" t="s">
        <v>2125</v>
      </c>
      <c r="AS467" s="33" t="s">
        <v>177</v>
      </c>
      <c r="AT467" s="33">
        <v>0</v>
      </c>
      <c r="AU467" s="33">
        <v>0</v>
      </c>
      <c r="AV467" s="33" t="s">
        <v>177</v>
      </c>
      <c r="AW467" s="33" t="s">
        <v>160</v>
      </c>
      <c r="AX467" s="33">
        <v>4</v>
      </c>
      <c r="AZ467" s="33" t="s">
        <v>335</v>
      </c>
      <c r="BB467" s="33">
        <f>(9.6+2.8)*1000</f>
        <v>12399.999999999998</v>
      </c>
      <c r="BC467" s="33">
        <f t="shared" ref="BC467" si="91">BB467/(256+66)</f>
        <v>38.509316770186331</v>
      </c>
      <c r="BD467" s="54" t="s">
        <v>408</v>
      </c>
      <c r="BP467" s="402"/>
      <c r="BQ467" s="402"/>
      <c r="BU467" s="402"/>
      <c r="BV467" s="402"/>
      <c r="BZ467" s="402"/>
      <c r="CA467" s="402"/>
      <c r="CE467" s="555"/>
      <c r="CF467" s="555"/>
      <c r="CG467" s="555"/>
      <c r="CH467" s="555"/>
      <c r="CJ467" s="33">
        <v>7.4219999999999997</v>
      </c>
      <c r="CK467" s="33">
        <v>14.927</v>
      </c>
      <c r="CN467" s="33" t="s">
        <v>406</v>
      </c>
      <c r="GZ467" s="12"/>
      <c r="HD467" s="12"/>
      <c r="JB467" s="33" t="s">
        <v>409</v>
      </c>
      <c r="JC467" s="33" t="s">
        <v>714</v>
      </c>
    </row>
    <row r="468" spans="1:263" s="33" customFormat="1" x14ac:dyDescent="0.25">
      <c r="A468" s="33">
        <v>26</v>
      </c>
      <c r="B468" s="47" t="s">
        <v>3866</v>
      </c>
      <c r="C468" s="33" t="s">
        <v>391</v>
      </c>
      <c r="D468" s="33" t="s">
        <v>392</v>
      </c>
      <c r="E468" s="33">
        <v>2015</v>
      </c>
      <c r="F468" s="33">
        <v>2012</v>
      </c>
      <c r="G468" s="33" t="s">
        <v>296</v>
      </c>
      <c r="H468" s="33" t="s">
        <v>393</v>
      </c>
      <c r="I468" s="32" t="s">
        <v>2815</v>
      </c>
      <c r="J468" s="33">
        <f t="shared" si="67"/>
        <v>35.39</v>
      </c>
      <c r="K468" s="33">
        <f t="shared" si="68"/>
        <v>-78.03</v>
      </c>
      <c r="L468" s="33">
        <v>24.3</v>
      </c>
      <c r="R468" s="47">
        <v>1</v>
      </c>
      <c r="S468" s="47">
        <v>1</v>
      </c>
      <c r="T468" s="47"/>
      <c r="U468" s="47" t="s">
        <v>400</v>
      </c>
      <c r="V468" s="47" t="s">
        <v>1382</v>
      </c>
      <c r="W468" s="47" t="s">
        <v>1717</v>
      </c>
      <c r="X468" s="47" t="s">
        <v>1382</v>
      </c>
      <c r="Y468" s="47" t="s">
        <v>1382</v>
      </c>
      <c r="AA468" s="327"/>
      <c r="AB468" s="327"/>
      <c r="AC468" s="33" t="s">
        <v>175</v>
      </c>
      <c r="AG468" s="33" t="s">
        <v>1324</v>
      </c>
      <c r="AH468" s="33" t="s">
        <v>243</v>
      </c>
      <c r="AI468" s="138" t="s">
        <v>577</v>
      </c>
      <c r="AJ468" s="33" t="s">
        <v>132</v>
      </c>
      <c r="AK468" s="141" t="s">
        <v>132</v>
      </c>
      <c r="AO468" s="33" t="s">
        <v>405</v>
      </c>
      <c r="AP468" s="33" t="s">
        <v>405</v>
      </c>
      <c r="AQ468" s="33" t="s">
        <v>2125</v>
      </c>
      <c r="AR468" s="33" t="s">
        <v>2125</v>
      </c>
      <c r="AS468" s="33" t="s">
        <v>177</v>
      </c>
      <c r="AT468" s="33">
        <v>0</v>
      </c>
      <c r="AU468" s="33">
        <v>0</v>
      </c>
      <c r="AV468" s="33" t="s">
        <v>177</v>
      </c>
      <c r="AW468" s="33" t="s">
        <v>160</v>
      </c>
      <c r="AX468" s="33">
        <v>4</v>
      </c>
      <c r="AZ468" s="33" t="s">
        <v>335</v>
      </c>
      <c r="BB468" s="33">
        <f>(8.7+2.5)*1000</f>
        <v>11200</v>
      </c>
      <c r="BC468" s="33">
        <f t="shared" ref="BC468" si="92">BB468/(288+71)</f>
        <v>31.197771587743734</v>
      </c>
      <c r="BD468" s="54" t="s">
        <v>408</v>
      </c>
      <c r="BP468" s="402"/>
      <c r="BQ468" s="402"/>
      <c r="BU468" s="402"/>
      <c r="BV468" s="402"/>
      <c r="BZ468" s="402"/>
      <c r="CA468" s="402"/>
      <c r="CE468" s="555"/>
      <c r="CF468" s="555"/>
      <c r="CG468" s="555"/>
      <c r="CH468" s="555"/>
      <c r="CJ468" s="33">
        <v>7.4219999999999997</v>
      </c>
      <c r="CK468" s="33">
        <v>23.33</v>
      </c>
      <c r="CN468" s="33" t="s">
        <v>406</v>
      </c>
      <c r="GZ468" s="12"/>
      <c r="HD468" s="12"/>
      <c r="JB468" s="33" t="s">
        <v>409</v>
      </c>
      <c r="JC468" s="33" t="s">
        <v>714</v>
      </c>
    </row>
    <row r="469" spans="1:263" s="33" customFormat="1" x14ac:dyDescent="0.25">
      <c r="A469" s="33">
        <v>26</v>
      </c>
      <c r="B469" s="47" t="s">
        <v>3866</v>
      </c>
      <c r="C469" s="33" t="s">
        <v>391</v>
      </c>
      <c r="D469" s="33" t="s">
        <v>392</v>
      </c>
      <c r="E469" s="33">
        <v>2015</v>
      </c>
      <c r="F469" s="33">
        <v>2012</v>
      </c>
      <c r="G469" s="33" t="s">
        <v>296</v>
      </c>
      <c r="H469" s="33" t="s">
        <v>393</v>
      </c>
      <c r="I469" s="32" t="s">
        <v>2815</v>
      </c>
      <c r="J469" s="33">
        <f t="shared" si="67"/>
        <v>35.39</v>
      </c>
      <c r="K469" s="33">
        <f t="shared" si="68"/>
        <v>-78.03</v>
      </c>
      <c r="L469" s="33">
        <v>24.3</v>
      </c>
      <c r="R469" s="47">
        <v>1</v>
      </c>
      <c r="S469" s="47">
        <v>1</v>
      </c>
      <c r="T469" s="47"/>
      <c r="U469" s="47" t="s">
        <v>401</v>
      </c>
      <c r="V469" s="47" t="s">
        <v>1382</v>
      </c>
      <c r="W469" s="47" t="s">
        <v>1717</v>
      </c>
      <c r="X469" s="47" t="s">
        <v>1382</v>
      </c>
      <c r="Y469" s="47" t="s">
        <v>1382</v>
      </c>
      <c r="AA469" s="327"/>
      <c r="AB469" s="327"/>
      <c r="AC469" s="33" t="s">
        <v>175</v>
      </c>
      <c r="AG469" s="33" t="s">
        <v>1324</v>
      </c>
      <c r="AH469" s="33" t="s">
        <v>396</v>
      </c>
      <c r="AI469" s="138" t="s">
        <v>577</v>
      </c>
      <c r="AJ469" s="33" t="s">
        <v>132</v>
      </c>
      <c r="AK469" s="141" t="s">
        <v>132</v>
      </c>
      <c r="AO469" s="33" t="s">
        <v>405</v>
      </c>
      <c r="AP469" s="33" t="s">
        <v>405</v>
      </c>
      <c r="AQ469" s="33" t="s">
        <v>2125</v>
      </c>
      <c r="AR469" s="33" t="s">
        <v>2125</v>
      </c>
      <c r="AS469" s="33" t="s">
        <v>177</v>
      </c>
      <c r="AT469" s="33">
        <v>0</v>
      </c>
      <c r="AU469" s="33">
        <v>0</v>
      </c>
      <c r="AV469" s="33" t="s">
        <v>177</v>
      </c>
      <c r="AW469" s="33" t="s">
        <v>160</v>
      </c>
      <c r="AX469" s="33">
        <v>4</v>
      </c>
      <c r="AZ469" s="33" t="s">
        <v>335</v>
      </c>
      <c r="BB469" s="33">
        <f>(6.5+1.7)*1000</f>
        <v>8200</v>
      </c>
      <c r="BC469" s="33">
        <f t="shared" ref="BC469" si="93">BB469/(205+53)</f>
        <v>31.782945736434108</v>
      </c>
      <c r="BD469" s="54" t="s">
        <v>408</v>
      </c>
      <c r="BP469" s="402"/>
      <c r="BQ469" s="402"/>
      <c r="BU469" s="402"/>
      <c r="BV469" s="402"/>
      <c r="BZ469" s="402"/>
      <c r="CA469" s="402"/>
      <c r="CE469" s="555"/>
      <c r="CF469" s="555"/>
      <c r="CG469" s="555"/>
      <c r="CH469" s="555"/>
      <c r="CJ469" s="33">
        <v>5.5469999999999997</v>
      </c>
      <c r="CK469" s="33">
        <v>6.77</v>
      </c>
      <c r="CN469" s="33" t="s">
        <v>406</v>
      </c>
      <c r="GZ469" s="12"/>
      <c r="HD469" s="12"/>
      <c r="JB469" s="33" t="s">
        <v>409</v>
      </c>
      <c r="JC469" s="33" t="s">
        <v>714</v>
      </c>
    </row>
    <row r="470" spans="1:263" s="33" customFormat="1" x14ac:dyDescent="0.25">
      <c r="A470" s="33">
        <v>26</v>
      </c>
      <c r="B470" s="47" t="s">
        <v>3866</v>
      </c>
      <c r="C470" s="33" t="s">
        <v>391</v>
      </c>
      <c r="D470" s="33" t="s">
        <v>392</v>
      </c>
      <c r="E470" s="33">
        <v>2015</v>
      </c>
      <c r="F470" s="33">
        <v>2012</v>
      </c>
      <c r="G470" s="33" t="s">
        <v>296</v>
      </c>
      <c r="H470" s="33" t="s">
        <v>393</v>
      </c>
      <c r="I470" s="32" t="s">
        <v>2815</v>
      </c>
      <c r="J470" s="33">
        <f t="shared" si="67"/>
        <v>35.39</v>
      </c>
      <c r="K470" s="33">
        <f t="shared" si="68"/>
        <v>-78.03</v>
      </c>
      <c r="L470" s="33">
        <v>24.3</v>
      </c>
      <c r="R470" s="47">
        <v>1</v>
      </c>
      <c r="S470" s="47">
        <v>1</v>
      </c>
      <c r="T470" s="47"/>
      <c r="U470" s="47" t="s">
        <v>401</v>
      </c>
      <c r="V470" s="47" t="s">
        <v>1382</v>
      </c>
      <c r="W470" s="47" t="s">
        <v>1717</v>
      </c>
      <c r="X470" s="47" t="s">
        <v>1382</v>
      </c>
      <c r="Y470" s="47" t="s">
        <v>1382</v>
      </c>
      <c r="AA470" s="327"/>
      <c r="AB470" s="327"/>
      <c r="AC470" s="33" t="s">
        <v>175</v>
      </c>
      <c r="AG470" s="33" t="s">
        <v>1324</v>
      </c>
      <c r="AH470" s="33" t="s">
        <v>397</v>
      </c>
      <c r="AI470" s="138" t="s">
        <v>577</v>
      </c>
      <c r="AJ470" s="33" t="s">
        <v>132</v>
      </c>
      <c r="AK470" s="141" t="s">
        <v>132</v>
      </c>
      <c r="AO470" s="33" t="s">
        <v>405</v>
      </c>
      <c r="AP470" s="33" t="s">
        <v>405</v>
      </c>
      <c r="AQ470" s="33" t="s">
        <v>2125</v>
      </c>
      <c r="AR470" s="33" t="s">
        <v>2125</v>
      </c>
      <c r="AS470" s="33" t="s">
        <v>177</v>
      </c>
      <c r="AT470" s="33">
        <v>0</v>
      </c>
      <c r="AU470" s="33">
        <v>0</v>
      </c>
      <c r="AV470" s="33" t="s">
        <v>177</v>
      </c>
      <c r="AW470" s="33" t="s">
        <v>160</v>
      </c>
      <c r="AX470" s="33">
        <v>4</v>
      </c>
      <c r="AZ470" s="33" t="s">
        <v>335</v>
      </c>
      <c r="BB470" s="33">
        <f>(9.6+2.8)*1000</f>
        <v>12399.999999999998</v>
      </c>
      <c r="BC470" s="33">
        <f t="shared" ref="BC470" si="94">BB470/(256+66)</f>
        <v>38.509316770186331</v>
      </c>
      <c r="BD470" s="54" t="s">
        <v>408</v>
      </c>
      <c r="BP470" s="402"/>
      <c r="BQ470" s="402"/>
      <c r="BU470" s="402"/>
      <c r="BV470" s="402"/>
      <c r="BZ470" s="402"/>
      <c r="CA470" s="402"/>
      <c r="CE470" s="555"/>
      <c r="CF470" s="555"/>
      <c r="CG470" s="555"/>
      <c r="CH470" s="555"/>
      <c r="CJ470" s="33">
        <v>5.5469999999999997</v>
      </c>
      <c r="CK470" s="33">
        <v>6.77</v>
      </c>
      <c r="CN470" s="33" t="s">
        <v>406</v>
      </c>
      <c r="GZ470" s="12"/>
      <c r="HD470" s="12"/>
      <c r="JB470" s="33" t="s">
        <v>409</v>
      </c>
      <c r="JC470" s="33" t="s">
        <v>714</v>
      </c>
    </row>
    <row r="471" spans="1:263" s="33" customFormat="1" x14ac:dyDescent="0.25">
      <c r="A471" s="33">
        <v>26</v>
      </c>
      <c r="B471" s="47" t="s">
        <v>3866</v>
      </c>
      <c r="C471" s="33" t="s">
        <v>391</v>
      </c>
      <c r="D471" s="33" t="s">
        <v>392</v>
      </c>
      <c r="E471" s="33">
        <v>2015</v>
      </c>
      <c r="F471" s="33">
        <v>2012</v>
      </c>
      <c r="G471" s="33" t="s">
        <v>296</v>
      </c>
      <c r="H471" s="33" t="s">
        <v>393</v>
      </c>
      <c r="I471" s="32" t="s">
        <v>2815</v>
      </c>
      <c r="J471" s="33">
        <f t="shared" si="67"/>
        <v>35.39</v>
      </c>
      <c r="K471" s="33">
        <f t="shared" si="68"/>
        <v>-78.03</v>
      </c>
      <c r="L471" s="33">
        <v>24.3</v>
      </c>
      <c r="R471" s="47">
        <v>1</v>
      </c>
      <c r="S471" s="47">
        <v>1</v>
      </c>
      <c r="T471" s="47"/>
      <c r="U471" s="47" t="s">
        <v>401</v>
      </c>
      <c r="V471" s="47" t="s">
        <v>1382</v>
      </c>
      <c r="W471" s="47" t="s">
        <v>1717</v>
      </c>
      <c r="X471" s="47" t="s">
        <v>1382</v>
      </c>
      <c r="Y471" s="47" t="s">
        <v>1382</v>
      </c>
      <c r="AA471" s="327"/>
      <c r="AB471" s="327"/>
      <c r="AC471" s="33" t="s">
        <v>175</v>
      </c>
      <c r="AG471" s="33" t="s">
        <v>1324</v>
      </c>
      <c r="AH471" s="33" t="s">
        <v>243</v>
      </c>
      <c r="AI471" s="138" t="s">
        <v>577</v>
      </c>
      <c r="AJ471" s="33" t="s">
        <v>132</v>
      </c>
      <c r="AK471" s="141" t="s">
        <v>132</v>
      </c>
      <c r="AO471" s="33" t="s">
        <v>405</v>
      </c>
      <c r="AP471" s="33" t="s">
        <v>405</v>
      </c>
      <c r="AQ471" s="33" t="s">
        <v>2125</v>
      </c>
      <c r="AR471" s="33" t="s">
        <v>2125</v>
      </c>
      <c r="AS471" s="33" t="s">
        <v>177</v>
      </c>
      <c r="AT471" s="33">
        <v>0</v>
      </c>
      <c r="AU471" s="33">
        <v>0</v>
      </c>
      <c r="AV471" s="33" t="s">
        <v>177</v>
      </c>
      <c r="AW471" s="33" t="s">
        <v>160</v>
      </c>
      <c r="AX471" s="33">
        <v>4</v>
      </c>
      <c r="AZ471" s="33" t="s">
        <v>335</v>
      </c>
      <c r="BB471" s="33">
        <f>(8.7+2.5)*1000</f>
        <v>11200</v>
      </c>
      <c r="BC471" s="33">
        <f t="shared" ref="BC471" si="95">BB471/(288+71)</f>
        <v>31.197771587743734</v>
      </c>
      <c r="BD471" s="54" t="s">
        <v>408</v>
      </c>
      <c r="BP471" s="402"/>
      <c r="BQ471" s="402"/>
      <c r="BU471" s="402"/>
      <c r="BV471" s="402"/>
      <c r="BZ471" s="402"/>
      <c r="CA471" s="402"/>
      <c r="CE471" s="555"/>
      <c r="CF471" s="555"/>
      <c r="CG471" s="555"/>
      <c r="CH471" s="555"/>
      <c r="CJ471" s="33">
        <v>5.5469999999999997</v>
      </c>
      <c r="CK471" s="33">
        <v>6.77</v>
      </c>
      <c r="CN471" s="33" t="s">
        <v>406</v>
      </c>
      <c r="GZ471" s="12"/>
      <c r="HD471" s="12"/>
      <c r="JB471" s="33" t="s">
        <v>409</v>
      </c>
      <c r="JC471" s="33" t="s">
        <v>714</v>
      </c>
    </row>
    <row r="472" spans="1:263" s="33" customFormat="1" x14ac:dyDescent="0.25">
      <c r="A472" s="33">
        <v>26</v>
      </c>
      <c r="B472" s="47" t="s">
        <v>3866</v>
      </c>
      <c r="C472" s="33" t="s">
        <v>391</v>
      </c>
      <c r="D472" s="33" t="s">
        <v>392</v>
      </c>
      <c r="E472" s="33">
        <v>2015</v>
      </c>
      <c r="F472" s="33">
        <v>2012</v>
      </c>
      <c r="G472" s="33" t="s">
        <v>296</v>
      </c>
      <c r="H472" s="33" t="s">
        <v>393</v>
      </c>
      <c r="I472" s="32" t="s">
        <v>2815</v>
      </c>
      <c r="J472" s="33">
        <f t="shared" si="67"/>
        <v>35.39</v>
      </c>
      <c r="K472" s="33">
        <f t="shared" si="68"/>
        <v>-78.03</v>
      </c>
      <c r="L472" s="33">
        <v>24.3</v>
      </c>
      <c r="R472" s="47">
        <v>1</v>
      </c>
      <c r="S472" s="47">
        <v>1</v>
      </c>
      <c r="T472" s="47"/>
      <c r="U472" s="47" t="s">
        <v>402</v>
      </c>
      <c r="V472" s="47" t="s">
        <v>1382</v>
      </c>
      <c r="W472" s="47" t="s">
        <v>1717</v>
      </c>
      <c r="X472" s="47" t="s">
        <v>1382</v>
      </c>
      <c r="Y472" s="47" t="s">
        <v>1382</v>
      </c>
      <c r="AA472" s="327"/>
      <c r="AB472" s="327"/>
      <c r="AC472" s="33" t="s">
        <v>175</v>
      </c>
      <c r="AG472" s="33" t="s">
        <v>1324</v>
      </c>
      <c r="AH472" s="33" t="s">
        <v>396</v>
      </c>
      <c r="AI472" s="138" t="s">
        <v>577</v>
      </c>
      <c r="AJ472" s="33" t="s">
        <v>132</v>
      </c>
      <c r="AK472" s="141" t="s">
        <v>132</v>
      </c>
      <c r="AO472" s="33" t="s">
        <v>405</v>
      </c>
      <c r="AP472" s="33" t="s">
        <v>405</v>
      </c>
      <c r="AQ472" s="33" t="s">
        <v>2125</v>
      </c>
      <c r="AR472" s="33" t="s">
        <v>2125</v>
      </c>
      <c r="AS472" s="33" t="s">
        <v>177</v>
      </c>
      <c r="AT472" s="33">
        <v>0</v>
      </c>
      <c r="AU472" s="33">
        <v>0</v>
      </c>
      <c r="AV472" s="33" t="s">
        <v>177</v>
      </c>
      <c r="AW472" s="33" t="s">
        <v>160</v>
      </c>
      <c r="AX472" s="33">
        <v>4</v>
      </c>
      <c r="AZ472" s="33" t="s">
        <v>335</v>
      </c>
      <c r="BB472" s="33">
        <f>(6.5+1.7)*1000</f>
        <v>8200</v>
      </c>
      <c r="BC472" s="33">
        <f t="shared" ref="BC472" si="96">BB472/(205+53)</f>
        <v>31.782945736434108</v>
      </c>
      <c r="BD472" s="54" t="s">
        <v>408</v>
      </c>
      <c r="BP472" s="402"/>
      <c r="BQ472" s="402"/>
      <c r="BU472" s="402"/>
      <c r="BV472" s="402"/>
      <c r="BZ472" s="402"/>
      <c r="CA472" s="402"/>
      <c r="CE472" s="555"/>
      <c r="CF472" s="555"/>
      <c r="CG472" s="555"/>
      <c r="CH472" s="555"/>
      <c r="CJ472" s="33">
        <v>7.7489999999999997</v>
      </c>
      <c r="CK472" s="33">
        <v>5.71</v>
      </c>
      <c r="CN472" s="33" t="s">
        <v>406</v>
      </c>
      <c r="GZ472" s="12"/>
      <c r="HD472" s="12"/>
      <c r="JB472" s="33" t="s">
        <v>409</v>
      </c>
      <c r="JC472" s="33" t="s">
        <v>714</v>
      </c>
    </row>
    <row r="473" spans="1:263" s="33" customFormat="1" x14ac:dyDescent="0.25">
      <c r="A473" s="33">
        <v>26</v>
      </c>
      <c r="B473" s="47" t="s">
        <v>3866</v>
      </c>
      <c r="C473" s="33" t="s">
        <v>391</v>
      </c>
      <c r="D473" s="33" t="s">
        <v>392</v>
      </c>
      <c r="E473" s="33">
        <v>2015</v>
      </c>
      <c r="F473" s="33">
        <v>2012</v>
      </c>
      <c r="G473" s="33" t="s">
        <v>296</v>
      </c>
      <c r="H473" s="33" t="s">
        <v>393</v>
      </c>
      <c r="I473" s="32" t="s">
        <v>2815</v>
      </c>
      <c r="J473" s="33">
        <f t="shared" si="67"/>
        <v>35.39</v>
      </c>
      <c r="K473" s="33">
        <f t="shared" si="68"/>
        <v>-78.03</v>
      </c>
      <c r="L473" s="33">
        <v>24.3</v>
      </c>
      <c r="R473" s="47">
        <v>1</v>
      </c>
      <c r="S473" s="47">
        <v>1</v>
      </c>
      <c r="T473" s="47"/>
      <c r="U473" s="47" t="s">
        <v>402</v>
      </c>
      <c r="V473" s="47" t="s">
        <v>1382</v>
      </c>
      <c r="W473" s="47" t="s">
        <v>1717</v>
      </c>
      <c r="X473" s="47" t="s">
        <v>1382</v>
      </c>
      <c r="Y473" s="47" t="s">
        <v>1382</v>
      </c>
      <c r="AA473" s="327"/>
      <c r="AB473" s="327"/>
      <c r="AC473" s="33" t="s">
        <v>175</v>
      </c>
      <c r="AG473" s="33" t="s">
        <v>1324</v>
      </c>
      <c r="AH473" s="33" t="s">
        <v>397</v>
      </c>
      <c r="AI473" s="138" t="s">
        <v>577</v>
      </c>
      <c r="AJ473" s="33" t="s">
        <v>132</v>
      </c>
      <c r="AK473" s="141" t="s">
        <v>132</v>
      </c>
      <c r="AO473" s="33" t="s">
        <v>405</v>
      </c>
      <c r="AP473" s="33" t="s">
        <v>405</v>
      </c>
      <c r="AQ473" s="33" t="s">
        <v>2125</v>
      </c>
      <c r="AR473" s="33" t="s">
        <v>2125</v>
      </c>
      <c r="AS473" s="33" t="s">
        <v>177</v>
      </c>
      <c r="AT473" s="33">
        <v>0</v>
      </c>
      <c r="AU473" s="33">
        <v>0</v>
      </c>
      <c r="AV473" s="33" t="s">
        <v>177</v>
      </c>
      <c r="AW473" s="33" t="s">
        <v>160</v>
      </c>
      <c r="AX473" s="33">
        <v>4</v>
      </c>
      <c r="AZ473" s="33" t="s">
        <v>335</v>
      </c>
      <c r="BB473" s="33">
        <f>(9.6+2.8)*1000</f>
        <v>12399.999999999998</v>
      </c>
      <c r="BC473" s="33">
        <f t="shared" ref="BC473" si="97">BB473/(256+66)</f>
        <v>38.509316770186331</v>
      </c>
      <c r="BD473" s="54" t="s">
        <v>408</v>
      </c>
      <c r="BP473" s="402"/>
      <c r="BQ473" s="402"/>
      <c r="BU473" s="402"/>
      <c r="BV473" s="402"/>
      <c r="BZ473" s="402"/>
      <c r="CA473" s="402"/>
      <c r="CE473" s="555"/>
      <c r="CF473" s="555"/>
      <c r="CG473" s="555"/>
      <c r="CH473" s="555"/>
      <c r="CJ473" s="33">
        <v>7.7489999999999997</v>
      </c>
      <c r="CK473" s="33">
        <v>4.4000000000000004</v>
      </c>
      <c r="CN473" s="33" t="s">
        <v>406</v>
      </c>
      <c r="GZ473" s="12"/>
      <c r="HD473" s="12"/>
      <c r="JB473" s="33" t="s">
        <v>409</v>
      </c>
      <c r="JC473" s="33" t="s">
        <v>714</v>
      </c>
    </row>
    <row r="474" spans="1:263" s="33" customFormat="1" x14ac:dyDescent="0.25">
      <c r="A474" s="33">
        <v>26</v>
      </c>
      <c r="B474" s="47" t="s">
        <v>3866</v>
      </c>
      <c r="C474" s="33" t="s">
        <v>391</v>
      </c>
      <c r="D474" s="33" t="s">
        <v>392</v>
      </c>
      <c r="E474" s="33">
        <v>2015</v>
      </c>
      <c r="F474" s="33">
        <v>2012</v>
      </c>
      <c r="G474" s="33" t="s">
        <v>296</v>
      </c>
      <c r="H474" s="33" t="s">
        <v>393</v>
      </c>
      <c r="I474" s="32" t="s">
        <v>2815</v>
      </c>
      <c r="J474" s="33">
        <f t="shared" si="67"/>
        <v>35.39</v>
      </c>
      <c r="K474" s="33">
        <f t="shared" si="68"/>
        <v>-78.03</v>
      </c>
      <c r="L474" s="33">
        <v>24.3</v>
      </c>
      <c r="R474" s="47">
        <v>1</v>
      </c>
      <c r="S474" s="47">
        <v>1</v>
      </c>
      <c r="T474" s="47"/>
      <c r="U474" s="47" t="s">
        <v>402</v>
      </c>
      <c r="V474" s="47" t="s">
        <v>1382</v>
      </c>
      <c r="W474" s="47" t="s">
        <v>1717</v>
      </c>
      <c r="X474" s="47" t="s">
        <v>1382</v>
      </c>
      <c r="Y474" s="47" t="s">
        <v>1382</v>
      </c>
      <c r="AA474" s="327"/>
      <c r="AB474" s="327"/>
      <c r="AC474" s="33" t="s">
        <v>175</v>
      </c>
      <c r="AG474" s="33" t="s">
        <v>1324</v>
      </c>
      <c r="AH474" s="33" t="s">
        <v>243</v>
      </c>
      <c r="AI474" s="138" t="s">
        <v>577</v>
      </c>
      <c r="AJ474" s="33" t="s">
        <v>132</v>
      </c>
      <c r="AK474" s="141" t="s">
        <v>132</v>
      </c>
      <c r="AO474" s="33" t="s">
        <v>405</v>
      </c>
      <c r="AP474" s="33" t="s">
        <v>405</v>
      </c>
      <c r="AQ474" s="33" t="s">
        <v>2125</v>
      </c>
      <c r="AR474" s="33" t="s">
        <v>2125</v>
      </c>
      <c r="AS474" s="33" t="s">
        <v>177</v>
      </c>
      <c r="AT474" s="33">
        <v>0</v>
      </c>
      <c r="AU474" s="33">
        <v>0</v>
      </c>
      <c r="AV474" s="33" t="s">
        <v>177</v>
      </c>
      <c r="AW474" s="33" t="s">
        <v>160</v>
      </c>
      <c r="AX474" s="33">
        <v>4</v>
      </c>
      <c r="AZ474" s="33" t="s">
        <v>335</v>
      </c>
      <c r="BB474" s="33">
        <f>(8.7+2.5)*1000</f>
        <v>11200</v>
      </c>
      <c r="BC474" s="33">
        <f t="shared" ref="BC474" si="98">BB474/(288+71)</f>
        <v>31.197771587743734</v>
      </c>
      <c r="BD474" s="54" t="s">
        <v>408</v>
      </c>
      <c r="BP474" s="402"/>
      <c r="BQ474" s="402"/>
      <c r="BU474" s="402"/>
      <c r="BV474" s="402"/>
      <c r="BZ474" s="402"/>
      <c r="CA474" s="402"/>
      <c r="CE474" s="555"/>
      <c r="CF474" s="555"/>
      <c r="CG474" s="555"/>
      <c r="CH474" s="555"/>
      <c r="CJ474" s="33">
        <v>7.7489999999999997</v>
      </c>
      <c r="CK474" s="33">
        <v>5.7</v>
      </c>
      <c r="CN474" s="33" t="s">
        <v>406</v>
      </c>
      <c r="GZ474" s="12"/>
      <c r="HD474" s="12"/>
      <c r="JB474" s="33" t="s">
        <v>409</v>
      </c>
      <c r="JC474" s="33" t="s">
        <v>714</v>
      </c>
    </row>
    <row r="475" spans="1:263" s="33" customFormat="1" x14ac:dyDescent="0.25">
      <c r="A475" s="33">
        <v>26</v>
      </c>
      <c r="B475" s="47" t="s">
        <v>3866</v>
      </c>
      <c r="C475" s="33" t="s">
        <v>391</v>
      </c>
      <c r="D475" s="33" t="s">
        <v>392</v>
      </c>
      <c r="E475" s="33">
        <v>2015</v>
      </c>
      <c r="F475" s="33">
        <v>2012</v>
      </c>
      <c r="G475" s="33" t="s">
        <v>296</v>
      </c>
      <c r="H475" s="33" t="s">
        <v>393</v>
      </c>
      <c r="I475" s="32" t="s">
        <v>2815</v>
      </c>
      <c r="J475" s="33">
        <f t="shared" si="67"/>
        <v>35.39</v>
      </c>
      <c r="K475" s="33">
        <f t="shared" si="68"/>
        <v>-78.03</v>
      </c>
      <c r="L475" s="33">
        <v>24.3</v>
      </c>
      <c r="R475" s="47">
        <v>1</v>
      </c>
      <c r="S475" s="47">
        <v>1</v>
      </c>
      <c r="T475" s="47"/>
      <c r="U475" s="47" t="s">
        <v>403</v>
      </c>
      <c r="V475" s="47" t="s">
        <v>1382</v>
      </c>
      <c r="W475" s="47" t="s">
        <v>1717</v>
      </c>
      <c r="X475" s="47" t="s">
        <v>1382</v>
      </c>
      <c r="Y475" s="47" t="s">
        <v>1382</v>
      </c>
      <c r="AA475" s="327"/>
      <c r="AB475" s="327"/>
      <c r="AC475" s="33" t="s">
        <v>175</v>
      </c>
      <c r="AG475" s="33" t="s">
        <v>1324</v>
      </c>
      <c r="AH475" s="33" t="s">
        <v>396</v>
      </c>
      <c r="AI475" s="138" t="s">
        <v>577</v>
      </c>
      <c r="AJ475" s="33" t="s">
        <v>132</v>
      </c>
      <c r="AK475" s="141" t="s">
        <v>132</v>
      </c>
      <c r="AO475" s="33" t="s">
        <v>405</v>
      </c>
      <c r="AP475" s="33" t="s">
        <v>405</v>
      </c>
      <c r="AQ475" s="33" t="s">
        <v>2125</v>
      </c>
      <c r="AR475" s="33" t="s">
        <v>2125</v>
      </c>
      <c r="AS475" s="33" t="s">
        <v>177</v>
      </c>
      <c r="AT475" s="33">
        <v>0</v>
      </c>
      <c r="AU475" s="33">
        <v>0</v>
      </c>
      <c r="AV475" s="33" t="s">
        <v>177</v>
      </c>
      <c r="AW475" s="33" t="s">
        <v>160</v>
      </c>
      <c r="AX475" s="33">
        <v>4</v>
      </c>
      <c r="AZ475" s="33" t="s">
        <v>335</v>
      </c>
      <c r="BB475" s="33">
        <f>(6.5+1.7)*1000</f>
        <v>8200</v>
      </c>
      <c r="BC475" s="33">
        <f t="shared" ref="BC475" si="99">BB475/(205+53)</f>
        <v>31.782945736434108</v>
      </c>
      <c r="BD475" s="54" t="s">
        <v>408</v>
      </c>
      <c r="BP475" s="402"/>
      <c r="BQ475" s="402"/>
      <c r="BU475" s="402"/>
      <c r="BV475" s="402"/>
      <c r="BZ475" s="402"/>
      <c r="CA475" s="402"/>
      <c r="CE475" s="555"/>
      <c r="CF475" s="555"/>
      <c r="CG475" s="555"/>
      <c r="CH475" s="555"/>
      <c r="CJ475" s="33">
        <v>4.3230000000000004</v>
      </c>
      <c r="CK475" s="33">
        <v>3.18</v>
      </c>
      <c r="CN475" s="33" t="s">
        <v>406</v>
      </c>
      <c r="GZ475" s="12"/>
      <c r="HD475" s="12"/>
      <c r="JB475" s="33" t="s">
        <v>409</v>
      </c>
      <c r="JC475" s="33" t="s">
        <v>714</v>
      </c>
    </row>
    <row r="476" spans="1:263" s="33" customFormat="1" x14ac:dyDescent="0.25">
      <c r="A476" s="33">
        <v>26</v>
      </c>
      <c r="B476" s="47" t="s">
        <v>3866</v>
      </c>
      <c r="C476" s="33" t="s">
        <v>391</v>
      </c>
      <c r="D476" s="33" t="s">
        <v>392</v>
      </c>
      <c r="E476" s="33">
        <v>2015</v>
      </c>
      <c r="F476" s="33">
        <v>2012</v>
      </c>
      <c r="G476" s="33" t="s">
        <v>296</v>
      </c>
      <c r="H476" s="33" t="s">
        <v>393</v>
      </c>
      <c r="I476" s="32" t="s">
        <v>2815</v>
      </c>
      <c r="J476" s="33">
        <f t="shared" si="67"/>
        <v>35.39</v>
      </c>
      <c r="K476" s="33">
        <f t="shared" si="68"/>
        <v>-78.03</v>
      </c>
      <c r="L476" s="33">
        <v>24.3</v>
      </c>
      <c r="R476" s="47">
        <v>1</v>
      </c>
      <c r="S476" s="47">
        <v>1</v>
      </c>
      <c r="T476" s="47"/>
      <c r="U476" s="47" t="s">
        <v>403</v>
      </c>
      <c r="V476" s="47" t="s">
        <v>1382</v>
      </c>
      <c r="W476" s="47" t="s">
        <v>1717</v>
      </c>
      <c r="X476" s="47" t="s">
        <v>1382</v>
      </c>
      <c r="Y476" s="47" t="s">
        <v>1382</v>
      </c>
      <c r="AA476" s="327"/>
      <c r="AB476" s="327"/>
      <c r="AC476" s="33" t="s">
        <v>175</v>
      </c>
      <c r="AG476" s="33" t="s">
        <v>1324</v>
      </c>
      <c r="AH476" s="33" t="s">
        <v>397</v>
      </c>
      <c r="AI476" s="138" t="s">
        <v>577</v>
      </c>
      <c r="AJ476" s="33" t="s">
        <v>132</v>
      </c>
      <c r="AK476" s="141" t="s">
        <v>132</v>
      </c>
      <c r="AO476" s="33" t="s">
        <v>405</v>
      </c>
      <c r="AP476" s="33" t="s">
        <v>405</v>
      </c>
      <c r="AQ476" s="33" t="s">
        <v>2125</v>
      </c>
      <c r="AR476" s="33" t="s">
        <v>2125</v>
      </c>
      <c r="AS476" s="33" t="s">
        <v>177</v>
      </c>
      <c r="AT476" s="33">
        <v>0</v>
      </c>
      <c r="AU476" s="33">
        <v>0</v>
      </c>
      <c r="AV476" s="33" t="s">
        <v>177</v>
      </c>
      <c r="AW476" s="33" t="s">
        <v>160</v>
      </c>
      <c r="AX476" s="33">
        <v>4</v>
      </c>
      <c r="AZ476" s="33" t="s">
        <v>335</v>
      </c>
      <c r="BB476" s="33">
        <f>(9.6+2.8)*1000</f>
        <v>12399.999999999998</v>
      </c>
      <c r="BC476" s="33">
        <f t="shared" ref="BC476" si="100">BB476/(256+66)</f>
        <v>38.509316770186331</v>
      </c>
      <c r="BD476" s="54" t="s">
        <v>408</v>
      </c>
      <c r="BP476" s="402"/>
      <c r="BQ476" s="402"/>
      <c r="BU476" s="402"/>
      <c r="BV476" s="402"/>
      <c r="BZ476" s="402"/>
      <c r="CA476" s="402"/>
      <c r="CE476" s="555"/>
      <c r="CF476" s="555"/>
      <c r="CG476" s="555"/>
      <c r="CH476" s="555"/>
      <c r="CJ476" s="33">
        <v>4.3230000000000004</v>
      </c>
      <c r="CK476" s="33">
        <v>4.2</v>
      </c>
      <c r="CN476" s="33" t="s">
        <v>406</v>
      </c>
      <c r="GZ476" s="12"/>
      <c r="HD476" s="12"/>
      <c r="JB476" s="33" t="s">
        <v>409</v>
      </c>
      <c r="JC476" s="33" t="s">
        <v>714</v>
      </c>
    </row>
    <row r="477" spans="1:263" s="33" customFormat="1" x14ac:dyDescent="0.25">
      <c r="A477" s="33">
        <v>26</v>
      </c>
      <c r="B477" s="47" t="s">
        <v>3866</v>
      </c>
      <c r="C477" s="33" t="s">
        <v>391</v>
      </c>
      <c r="D477" s="33" t="s">
        <v>392</v>
      </c>
      <c r="E477" s="33">
        <v>2015</v>
      </c>
      <c r="F477" s="33">
        <v>2012</v>
      </c>
      <c r="G477" s="33" t="s">
        <v>296</v>
      </c>
      <c r="H477" s="33" t="s">
        <v>393</v>
      </c>
      <c r="I477" s="32" t="s">
        <v>2815</v>
      </c>
      <c r="J477" s="33">
        <f t="shared" si="67"/>
        <v>35.39</v>
      </c>
      <c r="K477" s="33">
        <f t="shared" si="68"/>
        <v>-78.03</v>
      </c>
      <c r="L477" s="33">
        <v>24.3</v>
      </c>
      <c r="R477" s="47">
        <v>1</v>
      </c>
      <c r="S477" s="47">
        <v>1</v>
      </c>
      <c r="T477" s="47"/>
      <c r="U477" s="47" t="s">
        <v>403</v>
      </c>
      <c r="V477" s="47" t="s">
        <v>1382</v>
      </c>
      <c r="W477" s="47" t="s">
        <v>1717</v>
      </c>
      <c r="X477" s="47" t="s">
        <v>1382</v>
      </c>
      <c r="Y477" s="47" t="s">
        <v>1382</v>
      </c>
      <c r="AA477" s="327"/>
      <c r="AB477" s="327"/>
      <c r="AC477" s="33" t="s">
        <v>175</v>
      </c>
      <c r="AG477" s="33" t="s">
        <v>1324</v>
      </c>
      <c r="AH477" s="33" t="s">
        <v>243</v>
      </c>
      <c r="AI477" s="138" t="s">
        <v>577</v>
      </c>
      <c r="AJ477" s="33" t="s">
        <v>132</v>
      </c>
      <c r="AK477" s="141" t="s">
        <v>132</v>
      </c>
      <c r="AO477" s="33" t="s">
        <v>405</v>
      </c>
      <c r="AP477" s="33" t="s">
        <v>405</v>
      </c>
      <c r="AQ477" s="33" t="s">
        <v>2125</v>
      </c>
      <c r="AR477" s="33" t="s">
        <v>2125</v>
      </c>
      <c r="AS477" s="33" t="s">
        <v>177</v>
      </c>
      <c r="AT477" s="33">
        <v>0</v>
      </c>
      <c r="AU477" s="33">
        <v>0</v>
      </c>
      <c r="AV477" s="33" t="s">
        <v>177</v>
      </c>
      <c r="AW477" s="33" t="s">
        <v>160</v>
      </c>
      <c r="AX477" s="33">
        <v>4</v>
      </c>
      <c r="AZ477" s="33" t="s">
        <v>335</v>
      </c>
      <c r="BB477" s="33">
        <f>(8.7+2.5)*1000</f>
        <v>11200</v>
      </c>
      <c r="BC477" s="33">
        <f t="shared" ref="BC477" si="101">BB477/(288+71)</f>
        <v>31.197771587743734</v>
      </c>
      <c r="BD477" s="54" t="s">
        <v>408</v>
      </c>
      <c r="BP477" s="402"/>
      <c r="BQ477" s="402"/>
      <c r="BU477" s="402"/>
      <c r="BV477" s="402"/>
      <c r="BZ477" s="402"/>
      <c r="CA477" s="402"/>
      <c r="CE477" s="555"/>
      <c r="CF477" s="555"/>
      <c r="CG477" s="555"/>
      <c r="CH477" s="555"/>
      <c r="CJ477" s="33">
        <v>4.3230000000000004</v>
      </c>
      <c r="CK477" s="33">
        <v>3.18</v>
      </c>
      <c r="CN477" s="33" t="s">
        <v>406</v>
      </c>
      <c r="GZ477" s="12"/>
      <c r="HD477" s="12"/>
      <c r="JB477" s="33" t="s">
        <v>409</v>
      </c>
      <c r="JC477" s="33" t="s">
        <v>714</v>
      </c>
    </row>
    <row r="478" spans="1:263" s="33" customFormat="1" x14ac:dyDescent="0.25">
      <c r="A478" s="33">
        <v>26</v>
      </c>
      <c r="B478" s="47" t="s">
        <v>3866</v>
      </c>
      <c r="C478" s="33" t="s">
        <v>391</v>
      </c>
      <c r="D478" s="33" t="s">
        <v>392</v>
      </c>
      <c r="E478" s="33">
        <v>2015</v>
      </c>
      <c r="F478" s="33">
        <v>2012</v>
      </c>
      <c r="G478" s="33" t="s">
        <v>296</v>
      </c>
      <c r="H478" s="33" t="s">
        <v>393</v>
      </c>
      <c r="I478" s="32" t="s">
        <v>2815</v>
      </c>
      <c r="J478" s="33">
        <f t="shared" si="67"/>
        <v>35.39</v>
      </c>
      <c r="K478" s="33">
        <f t="shared" si="68"/>
        <v>-78.03</v>
      </c>
      <c r="L478" s="33">
        <v>24.3</v>
      </c>
      <c r="R478" s="47">
        <v>1</v>
      </c>
      <c r="S478" s="47">
        <v>1</v>
      </c>
      <c r="T478" s="47"/>
      <c r="U478" s="47" t="s">
        <v>404</v>
      </c>
      <c r="V478" s="47" t="s">
        <v>1382</v>
      </c>
      <c r="W478" s="47" t="s">
        <v>1717</v>
      </c>
      <c r="X478" s="47" t="s">
        <v>1382</v>
      </c>
      <c r="Y478" s="47" t="s">
        <v>1382</v>
      </c>
      <c r="AA478" s="327"/>
      <c r="AB478" s="327"/>
      <c r="AC478" s="33" t="s">
        <v>175</v>
      </c>
      <c r="AG478" s="33" t="s">
        <v>1324</v>
      </c>
      <c r="AH478" s="33" t="s">
        <v>396</v>
      </c>
      <c r="AI478" s="138" t="s">
        <v>577</v>
      </c>
      <c r="AJ478" s="33" t="s">
        <v>132</v>
      </c>
      <c r="AK478" s="141" t="s">
        <v>132</v>
      </c>
      <c r="AO478" s="33" t="s">
        <v>405</v>
      </c>
      <c r="AP478" s="33" t="s">
        <v>405</v>
      </c>
      <c r="AQ478" s="33" t="s">
        <v>2125</v>
      </c>
      <c r="AR478" s="33" t="s">
        <v>2125</v>
      </c>
      <c r="AS478" s="33" t="s">
        <v>177</v>
      </c>
      <c r="AT478" s="33">
        <v>0</v>
      </c>
      <c r="AU478" s="33">
        <v>0</v>
      </c>
      <c r="AV478" s="33" t="s">
        <v>177</v>
      </c>
      <c r="AW478" s="33" t="s">
        <v>160</v>
      </c>
      <c r="AX478" s="33">
        <v>4</v>
      </c>
      <c r="AZ478" s="33" t="s">
        <v>335</v>
      </c>
      <c r="BB478" s="33">
        <f>(6.5+1.7)*1000</f>
        <v>8200</v>
      </c>
      <c r="BC478" s="33">
        <f t="shared" ref="BC478" si="102">BB478/(205+53)</f>
        <v>31.782945736434108</v>
      </c>
      <c r="BD478" s="54" t="s">
        <v>408</v>
      </c>
      <c r="BP478" s="402"/>
      <c r="BQ478" s="402"/>
      <c r="BU478" s="402"/>
      <c r="BV478" s="402"/>
      <c r="BZ478" s="402"/>
      <c r="CA478" s="402"/>
      <c r="CE478" s="555"/>
      <c r="CF478" s="555"/>
      <c r="CG478" s="555"/>
      <c r="CH478" s="555"/>
      <c r="CJ478" s="33">
        <v>4.16</v>
      </c>
      <c r="CK478" s="33">
        <v>3.1</v>
      </c>
      <c r="CN478" s="33" t="s">
        <v>406</v>
      </c>
      <c r="GZ478" s="12"/>
      <c r="HD478" s="12"/>
      <c r="JB478" s="33" t="s">
        <v>409</v>
      </c>
      <c r="JC478" s="33" t="s">
        <v>714</v>
      </c>
    </row>
    <row r="479" spans="1:263" s="33" customFormat="1" x14ac:dyDescent="0.25">
      <c r="A479" s="33">
        <v>26</v>
      </c>
      <c r="B479" s="47" t="s">
        <v>3866</v>
      </c>
      <c r="C479" s="33" t="s">
        <v>391</v>
      </c>
      <c r="D479" s="33" t="s">
        <v>392</v>
      </c>
      <c r="E479" s="33">
        <v>2015</v>
      </c>
      <c r="F479" s="33">
        <v>2012</v>
      </c>
      <c r="G479" s="33" t="s">
        <v>296</v>
      </c>
      <c r="H479" s="33" t="s">
        <v>393</v>
      </c>
      <c r="I479" s="32" t="s">
        <v>2815</v>
      </c>
      <c r="J479" s="33">
        <f t="shared" si="67"/>
        <v>35.39</v>
      </c>
      <c r="K479" s="33">
        <f t="shared" si="68"/>
        <v>-78.03</v>
      </c>
      <c r="L479" s="33">
        <v>24.3</v>
      </c>
      <c r="R479" s="47">
        <v>1</v>
      </c>
      <c r="S479" s="47">
        <v>1</v>
      </c>
      <c r="T479" s="47"/>
      <c r="U479" s="47" t="s">
        <v>404</v>
      </c>
      <c r="V479" s="47" t="s">
        <v>1382</v>
      </c>
      <c r="W479" s="47" t="s">
        <v>1717</v>
      </c>
      <c r="X479" s="47" t="s">
        <v>1382</v>
      </c>
      <c r="Y479" s="47" t="s">
        <v>1382</v>
      </c>
      <c r="AA479" s="327"/>
      <c r="AB479" s="327"/>
      <c r="AC479" s="33" t="s">
        <v>175</v>
      </c>
      <c r="AG479" s="33" t="s">
        <v>1324</v>
      </c>
      <c r="AH479" s="33" t="s">
        <v>397</v>
      </c>
      <c r="AI479" s="138" t="s">
        <v>577</v>
      </c>
      <c r="AJ479" s="33" t="s">
        <v>132</v>
      </c>
      <c r="AK479" s="141" t="s">
        <v>132</v>
      </c>
      <c r="AO479" s="33" t="s">
        <v>405</v>
      </c>
      <c r="AP479" s="33" t="s">
        <v>405</v>
      </c>
      <c r="AQ479" s="33" t="s">
        <v>2125</v>
      </c>
      <c r="AR479" s="33" t="s">
        <v>2125</v>
      </c>
      <c r="AS479" s="33" t="s">
        <v>177</v>
      </c>
      <c r="AT479" s="33">
        <v>0</v>
      </c>
      <c r="AU479" s="33">
        <v>0</v>
      </c>
      <c r="AV479" s="33" t="s">
        <v>177</v>
      </c>
      <c r="AW479" s="33" t="s">
        <v>160</v>
      </c>
      <c r="AX479" s="33">
        <v>4</v>
      </c>
      <c r="AZ479" s="33" t="s">
        <v>335</v>
      </c>
      <c r="BB479" s="33">
        <f>(9.6+2.8)*1000</f>
        <v>12399.999999999998</v>
      </c>
      <c r="BC479" s="33">
        <f t="shared" ref="BC479" si="103">BB479/(256+66)</f>
        <v>38.509316770186331</v>
      </c>
      <c r="BD479" s="54" t="s">
        <v>408</v>
      </c>
      <c r="BP479" s="402"/>
      <c r="BQ479" s="402"/>
      <c r="BU479" s="402"/>
      <c r="BV479" s="402"/>
      <c r="BZ479" s="402"/>
      <c r="CA479" s="402"/>
      <c r="CE479" s="555"/>
      <c r="CF479" s="555"/>
      <c r="CG479" s="555"/>
      <c r="CH479" s="555"/>
      <c r="CJ479" s="33">
        <v>4.16</v>
      </c>
      <c r="CK479" s="33">
        <v>5.3</v>
      </c>
      <c r="CN479" s="33" t="s">
        <v>406</v>
      </c>
      <c r="GZ479" s="12"/>
      <c r="HD479" s="12"/>
      <c r="JB479" s="33" t="s">
        <v>409</v>
      </c>
      <c r="JC479" s="33" t="s">
        <v>714</v>
      </c>
    </row>
    <row r="480" spans="1:263" s="33" customFormat="1" x14ac:dyDescent="0.25">
      <c r="A480" s="33">
        <v>26</v>
      </c>
      <c r="B480" s="47" t="s">
        <v>3866</v>
      </c>
      <c r="C480" s="33" t="s">
        <v>391</v>
      </c>
      <c r="D480" s="33" t="s">
        <v>392</v>
      </c>
      <c r="E480" s="33">
        <v>2015</v>
      </c>
      <c r="F480" s="33">
        <v>2012</v>
      </c>
      <c r="G480" s="33" t="s">
        <v>296</v>
      </c>
      <c r="H480" s="33" t="s">
        <v>393</v>
      </c>
      <c r="I480" s="32" t="s">
        <v>2815</v>
      </c>
      <c r="J480" s="33">
        <f t="shared" si="67"/>
        <v>35.39</v>
      </c>
      <c r="K480" s="33">
        <f t="shared" si="68"/>
        <v>-78.03</v>
      </c>
      <c r="L480" s="33">
        <v>24.3</v>
      </c>
      <c r="R480" s="47">
        <v>1</v>
      </c>
      <c r="S480" s="47">
        <v>1</v>
      </c>
      <c r="T480" s="47"/>
      <c r="U480" s="47" t="s">
        <v>404</v>
      </c>
      <c r="V480" s="47" t="s">
        <v>1382</v>
      </c>
      <c r="W480" s="47" t="s">
        <v>1717</v>
      </c>
      <c r="X480" s="47" t="s">
        <v>1382</v>
      </c>
      <c r="Y480" s="47" t="s">
        <v>1382</v>
      </c>
      <c r="AA480" s="327"/>
      <c r="AB480" s="327"/>
      <c r="AC480" s="33" t="s">
        <v>175</v>
      </c>
      <c r="AG480" s="33" t="s">
        <v>1324</v>
      </c>
      <c r="AH480" s="33" t="s">
        <v>243</v>
      </c>
      <c r="AI480" s="138" t="s">
        <v>577</v>
      </c>
      <c r="AJ480" s="33" t="s">
        <v>132</v>
      </c>
      <c r="AK480" s="141" t="s">
        <v>132</v>
      </c>
      <c r="AO480" s="33" t="s">
        <v>405</v>
      </c>
      <c r="AP480" s="33" t="s">
        <v>405</v>
      </c>
      <c r="AQ480" s="33" t="s">
        <v>2125</v>
      </c>
      <c r="AR480" s="33" t="s">
        <v>2125</v>
      </c>
      <c r="AS480" s="33" t="s">
        <v>177</v>
      </c>
      <c r="AT480" s="33">
        <v>0</v>
      </c>
      <c r="AU480" s="33">
        <v>0</v>
      </c>
      <c r="AV480" s="33" t="s">
        <v>177</v>
      </c>
      <c r="AW480" s="33" t="s">
        <v>160</v>
      </c>
      <c r="AX480" s="33">
        <v>4</v>
      </c>
      <c r="AZ480" s="33" t="s">
        <v>335</v>
      </c>
      <c r="BB480" s="33">
        <f>(8.7+2.5)*1000</f>
        <v>11200</v>
      </c>
      <c r="BC480" s="33">
        <f t="shared" ref="BC480" si="104">BB480/(288+71)</f>
        <v>31.197771587743734</v>
      </c>
      <c r="BD480" s="54" t="s">
        <v>408</v>
      </c>
      <c r="BP480" s="402"/>
      <c r="BQ480" s="402"/>
      <c r="BU480" s="402"/>
      <c r="BV480" s="402"/>
      <c r="BZ480" s="402"/>
      <c r="CA480" s="402"/>
      <c r="CE480" s="555"/>
      <c r="CF480" s="555"/>
      <c r="CG480" s="555"/>
      <c r="CH480" s="555"/>
      <c r="CJ480" s="33">
        <v>4.16</v>
      </c>
      <c r="CK480" s="33">
        <v>6.3</v>
      </c>
      <c r="CN480" s="33" t="s">
        <v>406</v>
      </c>
      <c r="GZ480" s="12"/>
      <c r="HD480" s="12"/>
      <c r="JB480" s="33" t="s">
        <v>409</v>
      </c>
      <c r="JC480" s="33" t="s">
        <v>714</v>
      </c>
    </row>
    <row r="481" spans="1:263" s="21" customFormat="1" x14ac:dyDescent="0.25">
      <c r="A481" s="21">
        <v>26</v>
      </c>
      <c r="B481" s="43" t="s">
        <v>3867</v>
      </c>
      <c r="C481" s="21" t="s">
        <v>391</v>
      </c>
      <c r="D481" s="21" t="s">
        <v>392</v>
      </c>
      <c r="E481" s="21">
        <v>2015</v>
      </c>
      <c r="F481" s="21">
        <v>2012</v>
      </c>
      <c r="G481" s="21" t="s">
        <v>296</v>
      </c>
      <c r="H481" s="21" t="s">
        <v>394</v>
      </c>
      <c r="I481" s="32" t="s">
        <v>2815</v>
      </c>
      <c r="J481" s="21">
        <f>35.22</f>
        <v>35.22</v>
      </c>
      <c r="K481" s="21">
        <f>-77.65</f>
        <v>-77.650000000000006</v>
      </c>
      <c r="L481" s="21">
        <v>22.4</v>
      </c>
      <c r="R481" s="43">
        <v>1</v>
      </c>
      <c r="S481" s="43">
        <v>1</v>
      </c>
      <c r="T481" s="43"/>
      <c r="U481" s="43" t="s">
        <v>398</v>
      </c>
      <c r="V481" s="43" t="s">
        <v>1382</v>
      </c>
      <c r="W481" s="43" t="s">
        <v>1717</v>
      </c>
      <c r="X481" s="43" t="s">
        <v>1382</v>
      </c>
      <c r="Y481" s="43" t="s">
        <v>1382</v>
      </c>
      <c r="AA481" s="322"/>
      <c r="AB481" s="322"/>
      <c r="AC481" s="21" t="s">
        <v>139</v>
      </c>
      <c r="AG481" s="21" t="s">
        <v>1324</v>
      </c>
      <c r="AH481" s="21" t="s">
        <v>396</v>
      </c>
      <c r="AI481" s="138" t="s">
        <v>577</v>
      </c>
      <c r="AJ481" s="21" t="s">
        <v>132</v>
      </c>
      <c r="AK481" s="141" t="s">
        <v>132</v>
      </c>
      <c r="AO481" s="21" t="s">
        <v>395</v>
      </c>
      <c r="AP481" s="21" t="s">
        <v>395</v>
      </c>
      <c r="AQ481" s="21" t="s">
        <v>2125</v>
      </c>
      <c r="AR481" s="21" t="s">
        <v>2125</v>
      </c>
      <c r="AS481" s="21" t="s">
        <v>177</v>
      </c>
      <c r="AT481" s="21">
        <v>0</v>
      </c>
      <c r="AU481" s="21">
        <v>0</v>
      </c>
      <c r="AV481" s="21" t="s">
        <v>177</v>
      </c>
      <c r="AW481" s="21" t="s">
        <v>160</v>
      </c>
      <c r="AX481" s="21">
        <v>4</v>
      </c>
      <c r="AZ481" s="21" t="s">
        <v>335</v>
      </c>
      <c r="BB481" s="21">
        <f>(6.1+1.6)*1000</f>
        <v>7699.9999999999991</v>
      </c>
      <c r="BC481" s="21">
        <f>BB481/(170+36)</f>
        <v>37.378640776699022</v>
      </c>
      <c r="BD481" s="54" t="s">
        <v>407</v>
      </c>
      <c r="BP481" s="396"/>
      <c r="BQ481" s="396"/>
      <c r="BU481" s="396"/>
      <c r="BV481" s="396"/>
      <c r="BZ481" s="396"/>
      <c r="CA481" s="396"/>
      <c r="CE481" s="549"/>
      <c r="CF481" s="549"/>
      <c r="CG481" s="549"/>
      <c r="CH481" s="549"/>
      <c r="CJ481" s="21">
        <v>3.83</v>
      </c>
      <c r="CK481" s="21">
        <v>10.109</v>
      </c>
      <c r="CN481" s="21" t="s">
        <v>406</v>
      </c>
      <c r="GZ481" s="12"/>
      <c r="HD481" s="12"/>
      <c r="JB481" s="21" t="s">
        <v>409</v>
      </c>
      <c r="JC481" s="21" t="s">
        <v>714</v>
      </c>
    </row>
    <row r="482" spans="1:263" s="21" customFormat="1" x14ac:dyDescent="0.25">
      <c r="A482" s="21">
        <v>26</v>
      </c>
      <c r="B482" s="43" t="s">
        <v>3867</v>
      </c>
      <c r="C482" s="21" t="s">
        <v>391</v>
      </c>
      <c r="D482" s="21" t="s">
        <v>392</v>
      </c>
      <c r="E482" s="21">
        <v>2015</v>
      </c>
      <c r="F482" s="21">
        <v>2012</v>
      </c>
      <c r="G482" s="21" t="s">
        <v>296</v>
      </c>
      <c r="H482" s="21" t="s">
        <v>394</v>
      </c>
      <c r="I482" s="32" t="s">
        <v>2815</v>
      </c>
      <c r="J482" s="21">
        <f>35.22</f>
        <v>35.22</v>
      </c>
      <c r="K482" s="21">
        <f>-77.65</f>
        <v>-77.650000000000006</v>
      </c>
      <c r="L482" s="21">
        <v>22.4</v>
      </c>
      <c r="R482" s="43">
        <v>1</v>
      </c>
      <c r="S482" s="43">
        <v>1</v>
      </c>
      <c r="T482" s="43"/>
      <c r="U482" s="43" t="s">
        <v>398</v>
      </c>
      <c r="V482" s="43" t="s">
        <v>1382</v>
      </c>
      <c r="W482" s="43" t="s">
        <v>1717</v>
      </c>
      <c r="X482" s="43" t="s">
        <v>1382</v>
      </c>
      <c r="Y482" s="43" t="s">
        <v>1382</v>
      </c>
      <c r="AA482" s="322"/>
      <c r="AB482" s="322"/>
      <c r="AC482" s="21" t="s">
        <v>139</v>
      </c>
      <c r="AG482" s="21" t="s">
        <v>1324</v>
      </c>
      <c r="AH482" s="21" t="s">
        <v>397</v>
      </c>
      <c r="AI482" s="138" t="s">
        <v>577</v>
      </c>
      <c r="AJ482" s="21" t="s">
        <v>132</v>
      </c>
      <c r="AK482" s="141" t="s">
        <v>132</v>
      </c>
      <c r="AO482" s="21" t="s">
        <v>395</v>
      </c>
      <c r="AP482" s="21" t="s">
        <v>395</v>
      </c>
      <c r="AQ482" s="21" t="s">
        <v>2125</v>
      </c>
      <c r="AR482" s="21" t="s">
        <v>2125</v>
      </c>
      <c r="AS482" s="21" t="s">
        <v>177</v>
      </c>
      <c r="AT482" s="21">
        <v>0</v>
      </c>
      <c r="AU482" s="21">
        <v>0</v>
      </c>
      <c r="AV482" s="21" t="s">
        <v>177</v>
      </c>
      <c r="AW482" s="21" t="s">
        <v>160</v>
      </c>
      <c r="AX482" s="21">
        <v>4</v>
      </c>
      <c r="AZ482" s="21" t="s">
        <v>335</v>
      </c>
      <c r="BB482" s="21">
        <f>(6.4+1.9)*1000</f>
        <v>8300</v>
      </c>
      <c r="BC482" s="21">
        <f>BB482/(110+27)</f>
        <v>60.583941605839414</v>
      </c>
      <c r="BD482" s="54" t="s">
        <v>407</v>
      </c>
      <c r="BP482" s="396"/>
      <c r="BQ482" s="396"/>
      <c r="BU482" s="396"/>
      <c r="BV482" s="396"/>
      <c r="BZ482" s="396"/>
      <c r="CA482" s="396"/>
      <c r="CE482" s="549"/>
      <c r="CF482" s="549"/>
      <c r="CG482" s="549"/>
      <c r="CH482" s="549"/>
      <c r="CJ482" s="21">
        <v>3.83</v>
      </c>
      <c r="CK482" s="21">
        <v>6.032</v>
      </c>
      <c r="CN482" s="21" t="s">
        <v>406</v>
      </c>
      <c r="GZ482" s="12"/>
      <c r="HD482" s="12"/>
      <c r="JB482" s="21" t="s">
        <v>409</v>
      </c>
      <c r="JC482" s="21" t="s">
        <v>714</v>
      </c>
    </row>
    <row r="483" spans="1:263" s="21" customFormat="1" x14ac:dyDescent="0.25">
      <c r="A483" s="21">
        <v>26</v>
      </c>
      <c r="B483" s="43" t="s">
        <v>3867</v>
      </c>
      <c r="C483" s="21" t="s">
        <v>391</v>
      </c>
      <c r="D483" s="21" t="s">
        <v>392</v>
      </c>
      <c r="E483" s="21">
        <v>2015</v>
      </c>
      <c r="F483" s="21">
        <v>2012</v>
      </c>
      <c r="G483" s="21" t="s">
        <v>296</v>
      </c>
      <c r="H483" s="21" t="s">
        <v>394</v>
      </c>
      <c r="I483" s="32" t="s">
        <v>2815</v>
      </c>
      <c r="J483" s="21">
        <f t="shared" ref="J483:J522" si="105">35.22</f>
        <v>35.22</v>
      </c>
      <c r="K483" s="21">
        <f t="shared" ref="K483:K522" si="106">-77.65</f>
        <v>-77.650000000000006</v>
      </c>
      <c r="L483" s="21">
        <v>22.4</v>
      </c>
      <c r="R483" s="43">
        <v>1</v>
      </c>
      <c r="S483" s="43">
        <v>1</v>
      </c>
      <c r="T483" s="43"/>
      <c r="U483" s="43" t="s">
        <v>398</v>
      </c>
      <c r="V483" s="43" t="s">
        <v>1382</v>
      </c>
      <c r="W483" s="43" t="s">
        <v>1717</v>
      </c>
      <c r="X483" s="43" t="s">
        <v>1382</v>
      </c>
      <c r="Y483" s="43" t="s">
        <v>1382</v>
      </c>
      <c r="AA483" s="322"/>
      <c r="AB483" s="322"/>
      <c r="AC483" s="21" t="s">
        <v>139</v>
      </c>
      <c r="AG483" s="21" t="s">
        <v>1324</v>
      </c>
      <c r="AH483" s="21" t="s">
        <v>243</v>
      </c>
      <c r="AI483" s="138" t="s">
        <v>577</v>
      </c>
      <c r="AJ483" s="21" t="s">
        <v>132</v>
      </c>
      <c r="AK483" s="141" t="s">
        <v>132</v>
      </c>
      <c r="AO483" s="21" t="s">
        <v>395</v>
      </c>
      <c r="AP483" s="21" t="s">
        <v>395</v>
      </c>
      <c r="AQ483" s="21" t="s">
        <v>2125</v>
      </c>
      <c r="AR483" s="21" t="s">
        <v>2125</v>
      </c>
      <c r="AS483" s="21" t="s">
        <v>177</v>
      </c>
      <c r="AT483" s="21">
        <v>0</v>
      </c>
      <c r="AU483" s="21">
        <v>0</v>
      </c>
      <c r="AV483" s="21" t="s">
        <v>177</v>
      </c>
      <c r="AW483" s="21" t="s">
        <v>160</v>
      </c>
      <c r="AX483" s="21">
        <v>4</v>
      </c>
      <c r="AZ483" s="21" t="s">
        <v>335</v>
      </c>
      <c r="BB483" s="21">
        <f>(6.5+1.8)*1000</f>
        <v>8300</v>
      </c>
      <c r="BC483" s="21">
        <f>BB483/(175+47)</f>
        <v>37.387387387387385</v>
      </c>
      <c r="BD483" s="54" t="s">
        <v>407</v>
      </c>
      <c r="BP483" s="396"/>
      <c r="BQ483" s="396"/>
      <c r="BU483" s="396"/>
      <c r="BV483" s="396"/>
      <c r="BZ483" s="396"/>
      <c r="CA483" s="396"/>
      <c r="CE483" s="549"/>
      <c r="CF483" s="549"/>
      <c r="CG483" s="549"/>
      <c r="CH483" s="549"/>
      <c r="CJ483" s="21">
        <v>3.83</v>
      </c>
      <c r="CK483" s="21">
        <v>8.2330000000000005</v>
      </c>
      <c r="CN483" s="21" t="s">
        <v>406</v>
      </c>
      <c r="GZ483" s="12"/>
      <c r="HD483" s="12"/>
      <c r="JB483" s="21" t="s">
        <v>409</v>
      </c>
      <c r="JC483" s="21" t="s">
        <v>714</v>
      </c>
    </row>
    <row r="484" spans="1:263" s="21" customFormat="1" x14ac:dyDescent="0.25">
      <c r="A484" s="21">
        <v>26</v>
      </c>
      <c r="B484" s="43" t="s">
        <v>3867</v>
      </c>
      <c r="C484" s="21" t="s">
        <v>391</v>
      </c>
      <c r="D484" s="21" t="s">
        <v>392</v>
      </c>
      <c r="E484" s="21">
        <v>2015</v>
      </c>
      <c r="F484" s="21">
        <v>2012</v>
      </c>
      <c r="G484" s="21" t="s">
        <v>296</v>
      </c>
      <c r="H484" s="21" t="s">
        <v>394</v>
      </c>
      <c r="I484" s="32" t="s">
        <v>2815</v>
      </c>
      <c r="J484" s="21">
        <f t="shared" si="105"/>
        <v>35.22</v>
      </c>
      <c r="K484" s="21">
        <f t="shared" si="106"/>
        <v>-77.650000000000006</v>
      </c>
      <c r="L484" s="21">
        <v>22.4</v>
      </c>
      <c r="R484" s="43">
        <v>1</v>
      </c>
      <c r="S484" s="43">
        <v>1</v>
      </c>
      <c r="T484" s="43"/>
      <c r="U484" s="43" t="s">
        <v>399</v>
      </c>
      <c r="V484" s="43" t="s">
        <v>1382</v>
      </c>
      <c r="W484" s="43" t="s">
        <v>1717</v>
      </c>
      <c r="X484" s="43" t="s">
        <v>1382</v>
      </c>
      <c r="Y484" s="43" t="s">
        <v>1382</v>
      </c>
      <c r="AA484" s="322"/>
      <c r="AB484" s="322"/>
      <c r="AC484" s="21" t="s">
        <v>139</v>
      </c>
      <c r="AG484" s="21" t="s">
        <v>1324</v>
      </c>
      <c r="AH484" s="21" t="s">
        <v>396</v>
      </c>
      <c r="AI484" s="138" t="s">
        <v>577</v>
      </c>
      <c r="AJ484" s="21" t="s">
        <v>132</v>
      </c>
      <c r="AK484" s="141" t="s">
        <v>132</v>
      </c>
      <c r="AO484" s="21" t="s">
        <v>395</v>
      </c>
      <c r="AP484" s="21" t="s">
        <v>395</v>
      </c>
      <c r="AQ484" s="21" t="s">
        <v>2125</v>
      </c>
      <c r="AR484" s="21" t="s">
        <v>2125</v>
      </c>
      <c r="AS484" s="21" t="s">
        <v>177</v>
      </c>
      <c r="AT484" s="21">
        <v>0</v>
      </c>
      <c r="AU484" s="21">
        <v>0</v>
      </c>
      <c r="AV484" s="21" t="s">
        <v>177</v>
      </c>
      <c r="AW484" s="21" t="s">
        <v>160</v>
      </c>
      <c r="AX484" s="21">
        <v>4</v>
      </c>
      <c r="AZ484" s="21" t="s">
        <v>335</v>
      </c>
      <c r="BB484" s="21">
        <f t="shared" ref="BB484" si="107">(6.1+1.6)*1000</f>
        <v>7699.9999999999991</v>
      </c>
      <c r="BC484" s="21">
        <f t="shared" ref="BC484" si="108">BB484/(170+36)</f>
        <v>37.378640776699022</v>
      </c>
      <c r="BD484" s="54" t="s">
        <v>407</v>
      </c>
      <c r="BP484" s="396"/>
      <c r="BQ484" s="396"/>
      <c r="BU484" s="396"/>
      <c r="BV484" s="396"/>
      <c r="BZ484" s="396"/>
      <c r="CA484" s="396"/>
      <c r="CE484" s="549"/>
      <c r="CF484" s="549"/>
      <c r="CG484" s="549"/>
      <c r="CH484" s="549"/>
      <c r="CJ484" s="21">
        <v>2.1880000000000002</v>
      </c>
      <c r="CK484" s="21">
        <v>3.74</v>
      </c>
      <c r="CN484" s="21" t="s">
        <v>406</v>
      </c>
      <c r="GZ484" s="12"/>
      <c r="HD484" s="12"/>
      <c r="JB484" s="21" t="s">
        <v>409</v>
      </c>
      <c r="JC484" s="21" t="s">
        <v>714</v>
      </c>
    </row>
    <row r="485" spans="1:263" s="21" customFormat="1" x14ac:dyDescent="0.25">
      <c r="A485" s="21">
        <v>26</v>
      </c>
      <c r="B485" s="43" t="s">
        <v>3867</v>
      </c>
      <c r="C485" s="21" t="s">
        <v>391</v>
      </c>
      <c r="D485" s="21" t="s">
        <v>392</v>
      </c>
      <c r="E485" s="21">
        <v>2015</v>
      </c>
      <c r="F485" s="21">
        <v>2012</v>
      </c>
      <c r="G485" s="21" t="s">
        <v>296</v>
      </c>
      <c r="H485" s="21" t="s">
        <v>394</v>
      </c>
      <c r="I485" s="32" t="s">
        <v>2815</v>
      </c>
      <c r="J485" s="21">
        <f t="shared" si="105"/>
        <v>35.22</v>
      </c>
      <c r="K485" s="21">
        <f t="shared" si="106"/>
        <v>-77.650000000000006</v>
      </c>
      <c r="L485" s="21">
        <v>22.4</v>
      </c>
      <c r="R485" s="43">
        <v>1</v>
      </c>
      <c r="S485" s="43">
        <v>1</v>
      </c>
      <c r="T485" s="43"/>
      <c r="U485" s="43" t="s">
        <v>399</v>
      </c>
      <c r="V485" s="43" t="s">
        <v>1382</v>
      </c>
      <c r="W485" s="43" t="s">
        <v>1717</v>
      </c>
      <c r="X485" s="43" t="s">
        <v>1382</v>
      </c>
      <c r="Y485" s="43" t="s">
        <v>1382</v>
      </c>
      <c r="AA485" s="322"/>
      <c r="AB485" s="322"/>
      <c r="AC485" s="21" t="s">
        <v>139</v>
      </c>
      <c r="AG485" s="21" t="s">
        <v>1324</v>
      </c>
      <c r="AH485" s="21" t="s">
        <v>397</v>
      </c>
      <c r="AI485" s="138" t="s">
        <v>577</v>
      </c>
      <c r="AJ485" s="21" t="s">
        <v>132</v>
      </c>
      <c r="AK485" s="141" t="s">
        <v>132</v>
      </c>
      <c r="AO485" s="21" t="s">
        <v>395</v>
      </c>
      <c r="AP485" s="21" t="s">
        <v>395</v>
      </c>
      <c r="AQ485" s="21" t="s">
        <v>2125</v>
      </c>
      <c r="AR485" s="21" t="s">
        <v>2125</v>
      </c>
      <c r="AS485" s="21" t="s">
        <v>177</v>
      </c>
      <c r="AT485" s="21">
        <v>0</v>
      </c>
      <c r="AU485" s="21">
        <v>0</v>
      </c>
      <c r="AV485" s="21" t="s">
        <v>177</v>
      </c>
      <c r="AW485" s="21" t="s">
        <v>160</v>
      </c>
      <c r="AX485" s="21">
        <v>4</v>
      </c>
      <c r="AZ485" s="21" t="s">
        <v>335</v>
      </c>
      <c r="BB485" s="21">
        <f t="shared" ref="BB485" si="109">(6.4+1.9)*1000</f>
        <v>8300</v>
      </c>
      <c r="BC485" s="21">
        <f t="shared" ref="BC485" si="110">BB485/(110+27)</f>
        <v>60.583941605839414</v>
      </c>
      <c r="BD485" s="54" t="s">
        <v>407</v>
      </c>
      <c r="BP485" s="396"/>
      <c r="BQ485" s="396"/>
      <c r="BU485" s="396"/>
      <c r="BV485" s="396"/>
      <c r="BZ485" s="396"/>
      <c r="CA485" s="396"/>
      <c r="CE485" s="549"/>
      <c r="CF485" s="549"/>
      <c r="CG485" s="549"/>
      <c r="CH485" s="549"/>
      <c r="CJ485" s="21">
        <v>2.1880000000000002</v>
      </c>
      <c r="CK485" s="21">
        <v>3.74</v>
      </c>
      <c r="CN485" s="21" t="s">
        <v>406</v>
      </c>
      <c r="GZ485" s="12"/>
      <c r="HD485" s="12"/>
      <c r="JB485" s="21" t="s">
        <v>409</v>
      </c>
      <c r="JC485" s="21" t="s">
        <v>714</v>
      </c>
    </row>
    <row r="486" spans="1:263" s="21" customFormat="1" x14ac:dyDescent="0.25">
      <c r="A486" s="21">
        <v>26</v>
      </c>
      <c r="B486" s="43" t="s">
        <v>3867</v>
      </c>
      <c r="C486" s="21" t="s">
        <v>391</v>
      </c>
      <c r="D486" s="21" t="s">
        <v>392</v>
      </c>
      <c r="E486" s="21">
        <v>2015</v>
      </c>
      <c r="F486" s="21">
        <v>2012</v>
      </c>
      <c r="G486" s="21" t="s">
        <v>296</v>
      </c>
      <c r="H486" s="21" t="s">
        <v>394</v>
      </c>
      <c r="I486" s="32" t="s">
        <v>2815</v>
      </c>
      <c r="J486" s="21">
        <f t="shared" si="105"/>
        <v>35.22</v>
      </c>
      <c r="K486" s="21">
        <f t="shared" si="106"/>
        <v>-77.650000000000006</v>
      </c>
      <c r="L486" s="21">
        <v>22.4</v>
      </c>
      <c r="R486" s="43">
        <v>1</v>
      </c>
      <c r="S486" s="43">
        <v>1</v>
      </c>
      <c r="T486" s="43"/>
      <c r="U486" s="43" t="s">
        <v>399</v>
      </c>
      <c r="V486" s="43" t="s">
        <v>1382</v>
      </c>
      <c r="W486" s="43" t="s">
        <v>1717</v>
      </c>
      <c r="X486" s="43" t="s">
        <v>1382</v>
      </c>
      <c r="Y486" s="43" t="s">
        <v>1382</v>
      </c>
      <c r="AA486" s="322"/>
      <c r="AB486" s="322"/>
      <c r="AC486" s="21" t="s">
        <v>139</v>
      </c>
      <c r="AG486" s="21" t="s">
        <v>1324</v>
      </c>
      <c r="AH486" s="21" t="s">
        <v>243</v>
      </c>
      <c r="AI486" s="138" t="s">
        <v>577</v>
      </c>
      <c r="AJ486" s="21" t="s">
        <v>132</v>
      </c>
      <c r="AK486" s="141" t="s">
        <v>132</v>
      </c>
      <c r="AO486" s="21" t="s">
        <v>395</v>
      </c>
      <c r="AP486" s="21" t="s">
        <v>395</v>
      </c>
      <c r="AQ486" s="21" t="s">
        <v>2125</v>
      </c>
      <c r="AR486" s="21" t="s">
        <v>2125</v>
      </c>
      <c r="AS486" s="21" t="s">
        <v>177</v>
      </c>
      <c r="AT486" s="21">
        <v>0</v>
      </c>
      <c r="AU486" s="21">
        <v>0</v>
      </c>
      <c r="AV486" s="21" t="s">
        <v>177</v>
      </c>
      <c r="AW486" s="21" t="s">
        <v>160</v>
      </c>
      <c r="AX486" s="21">
        <v>4</v>
      </c>
      <c r="AZ486" s="21" t="s">
        <v>335</v>
      </c>
      <c r="BB486" s="21">
        <f t="shared" ref="BB486" si="111">(6.5+1.8)*1000</f>
        <v>8300</v>
      </c>
      <c r="BC486" s="21">
        <f t="shared" ref="BC486" si="112">BB486/(175+47)</f>
        <v>37.387387387387385</v>
      </c>
      <c r="BD486" s="54" t="s">
        <v>407</v>
      </c>
      <c r="BP486" s="396"/>
      <c r="BQ486" s="396"/>
      <c r="BU486" s="396"/>
      <c r="BV486" s="396"/>
      <c r="BZ486" s="396"/>
      <c r="CA486" s="396"/>
      <c r="CE486" s="549"/>
      <c r="CF486" s="549"/>
      <c r="CG486" s="549"/>
      <c r="CH486" s="549"/>
      <c r="CJ486" s="21">
        <v>2.1880000000000002</v>
      </c>
      <c r="CK486" s="21">
        <v>3.74</v>
      </c>
      <c r="CN486" s="21" t="s">
        <v>406</v>
      </c>
      <c r="GZ486" s="12"/>
      <c r="HD486" s="12"/>
      <c r="JB486" s="21" t="s">
        <v>409</v>
      </c>
      <c r="JC486" s="21" t="s">
        <v>714</v>
      </c>
    </row>
    <row r="487" spans="1:263" s="21" customFormat="1" x14ac:dyDescent="0.25">
      <c r="A487" s="21">
        <v>26</v>
      </c>
      <c r="B487" s="43" t="s">
        <v>3867</v>
      </c>
      <c r="C487" s="21" t="s">
        <v>391</v>
      </c>
      <c r="D487" s="21" t="s">
        <v>392</v>
      </c>
      <c r="E487" s="21">
        <v>2015</v>
      </c>
      <c r="F487" s="21">
        <v>2012</v>
      </c>
      <c r="G487" s="21" t="s">
        <v>296</v>
      </c>
      <c r="H487" s="21" t="s">
        <v>394</v>
      </c>
      <c r="I487" s="32" t="s">
        <v>2815</v>
      </c>
      <c r="J487" s="21">
        <f t="shared" si="105"/>
        <v>35.22</v>
      </c>
      <c r="K487" s="21">
        <f t="shared" si="106"/>
        <v>-77.650000000000006</v>
      </c>
      <c r="L487" s="21">
        <v>22.4</v>
      </c>
      <c r="R487" s="43">
        <v>1</v>
      </c>
      <c r="S487" s="43">
        <v>1</v>
      </c>
      <c r="T487" s="43"/>
      <c r="U487" s="43" t="s">
        <v>400</v>
      </c>
      <c r="V487" s="43" t="s">
        <v>1382</v>
      </c>
      <c r="W487" s="43" t="s">
        <v>1717</v>
      </c>
      <c r="X487" s="43" t="s">
        <v>1382</v>
      </c>
      <c r="Y487" s="43" t="s">
        <v>1382</v>
      </c>
      <c r="AA487" s="322"/>
      <c r="AB487" s="322"/>
      <c r="AC487" s="21" t="s">
        <v>139</v>
      </c>
      <c r="AG487" s="21" t="s">
        <v>1324</v>
      </c>
      <c r="AH487" s="21" t="s">
        <v>396</v>
      </c>
      <c r="AI487" s="138" t="s">
        <v>577</v>
      </c>
      <c r="AJ487" s="21" t="s">
        <v>132</v>
      </c>
      <c r="AK487" s="141" t="s">
        <v>132</v>
      </c>
      <c r="AO487" s="21" t="s">
        <v>395</v>
      </c>
      <c r="AP487" s="21" t="s">
        <v>395</v>
      </c>
      <c r="AQ487" s="21" t="s">
        <v>2125</v>
      </c>
      <c r="AR487" s="21" t="s">
        <v>2125</v>
      </c>
      <c r="AS487" s="21" t="s">
        <v>177</v>
      </c>
      <c r="AT487" s="21">
        <v>0</v>
      </c>
      <c r="AU487" s="21">
        <v>0</v>
      </c>
      <c r="AV487" s="21" t="s">
        <v>177</v>
      </c>
      <c r="AW487" s="21" t="s">
        <v>160</v>
      </c>
      <c r="AX487" s="21">
        <v>4</v>
      </c>
      <c r="AZ487" s="21" t="s">
        <v>335</v>
      </c>
      <c r="BB487" s="21">
        <f t="shared" ref="BB487" si="113">(6.1+1.6)*1000</f>
        <v>7699.9999999999991</v>
      </c>
      <c r="BC487" s="21">
        <f t="shared" ref="BC487" si="114">BB487/(170+36)</f>
        <v>37.378640776699022</v>
      </c>
      <c r="BD487" s="54" t="s">
        <v>407</v>
      </c>
      <c r="BP487" s="396"/>
      <c r="BQ487" s="396"/>
      <c r="BU487" s="396"/>
      <c r="BV487" s="396"/>
      <c r="BZ487" s="396"/>
      <c r="CA487" s="396"/>
      <c r="CE487" s="549"/>
      <c r="CF487" s="549"/>
      <c r="CG487" s="549"/>
      <c r="CH487" s="549"/>
      <c r="CJ487" s="21">
        <v>3.157</v>
      </c>
      <c r="CK487" s="21">
        <v>3.17</v>
      </c>
      <c r="CN487" s="21" t="s">
        <v>406</v>
      </c>
      <c r="GZ487" s="12"/>
      <c r="HD487" s="12"/>
      <c r="JB487" s="21" t="s">
        <v>409</v>
      </c>
      <c r="JC487" s="21" t="s">
        <v>714</v>
      </c>
    </row>
    <row r="488" spans="1:263" s="21" customFormat="1" x14ac:dyDescent="0.25">
      <c r="A488" s="21">
        <v>26</v>
      </c>
      <c r="B488" s="43" t="s">
        <v>3867</v>
      </c>
      <c r="C488" s="21" t="s">
        <v>391</v>
      </c>
      <c r="D488" s="21" t="s">
        <v>392</v>
      </c>
      <c r="E488" s="21">
        <v>2015</v>
      </c>
      <c r="F488" s="21">
        <v>2012</v>
      </c>
      <c r="G488" s="21" t="s">
        <v>296</v>
      </c>
      <c r="H488" s="21" t="s">
        <v>394</v>
      </c>
      <c r="I488" s="32" t="s">
        <v>2815</v>
      </c>
      <c r="J488" s="21">
        <f t="shared" si="105"/>
        <v>35.22</v>
      </c>
      <c r="K488" s="21">
        <f t="shared" si="106"/>
        <v>-77.650000000000006</v>
      </c>
      <c r="L488" s="21">
        <v>22.4</v>
      </c>
      <c r="R488" s="43">
        <v>1</v>
      </c>
      <c r="S488" s="43">
        <v>1</v>
      </c>
      <c r="T488" s="43"/>
      <c r="U488" s="43" t="s">
        <v>400</v>
      </c>
      <c r="V488" s="43" t="s">
        <v>1382</v>
      </c>
      <c r="W488" s="43" t="s">
        <v>1717</v>
      </c>
      <c r="X488" s="43" t="s">
        <v>1382</v>
      </c>
      <c r="Y488" s="43" t="s">
        <v>1382</v>
      </c>
      <c r="AA488" s="322"/>
      <c r="AB488" s="322"/>
      <c r="AC488" s="21" t="s">
        <v>139</v>
      </c>
      <c r="AG488" s="21" t="s">
        <v>1324</v>
      </c>
      <c r="AH488" s="21" t="s">
        <v>397</v>
      </c>
      <c r="AI488" s="138" t="s">
        <v>577</v>
      </c>
      <c r="AJ488" s="21" t="s">
        <v>132</v>
      </c>
      <c r="AK488" s="141" t="s">
        <v>132</v>
      </c>
      <c r="AO488" s="21" t="s">
        <v>395</v>
      </c>
      <c r="AP488" s="21" t="s">
        <v>395</v>
      </c>
      <c r="AQ488" s="21" t="s">
        <v>2125</v>
      </c>
      <c r="AR488" s="21" t="s">
        <v>2125</v>
      </c>
      <c r="AS488" s="21" t="s">
        <v>177</v>
      </c>
      <c r="AT488" s="21">
        <v>0</v>
      </c>
      <c r="AU488" s="21">
        <v>0</v>
      </c>
      <c r="AV488" s="21" t="s">
        <v>177</v>
      </c>
      <c r="AW488" s="21" t="s">
        <v>160</v>
      </c>
      <c r="AX488" s="21">
        <v>4</v>
      </c>
      <c r="AZ488" s="21" t="s">
        <v>335</v>
      </c>
      <c r="BB488" s="21">
        <f t="shared" ref="BB488" si="115">(6.4+1.9)*1000</f>
        <v>8300</v>
      </c>
      <c r="BC488" s="21">
        <f t="shared" ref="BC488" si="116">BB488/(110+27)</f>
        <v>60.583941605839414</v>
      </c>
      <c r="BD488" s="54" t="s">
        <v>407</v>
      </c>
      <c r="BP488" s="396"/>
      <c r="BQ488" s="396"/>
      <c r="BU488" s="396"/>
      <c r="BV488" s="396"/>
      <c r="BZ488" s="396"/>
      <c r="CA488" s="396"/>
      <c r="CE488" s="549"/>
      <c r="CF488" s="549"/>
      <c r="CG488" s="549"/>
      <c r="CH488" s="549"/>
      <c r="CJ488" s="21">
        <v>3.157</v>
      </c>
      <c r="CK488" s="21">
        <v>4.87</v>
      </c>
      <c r="CN488" s="21" t="s">
        <v>406</v>
      </c>
      <c r="GZ488" s="12"/>
      <c r="HD488" s="12"/>
      <c r="JB488" s="21" t="s">
        <v>409</v>
      </c>
      <c r="JC488" s="21" t="s">
        <v>714</v>
      </c>
    </row>
    <row r="489" spans="1:263" s="21" customFormat="1" x14ac:dyDescent="0.25">
      <c r="A489" s="21">
        <v>26</v>
      </c>
      <c r="B489" s="43" t="s">
        <v>3867</v>
      </c>
      <c r="C489" s="21" t="s">
        <v>391</v>
      </c>
      <c r="D489" s="21" t="s">
        <v>392</v>
      </c>
      <c r="E489" s="21">
        <v>2015</v>
      </c>
      <c r="F489" s="21">
        <v>2012</v>
      </c>
      <c r="G489" s="21" t="s">
        <v>296</v>
      </c>
      <c r="H489" s="21" t="s">
        <v>394</v>
      </c>
      <c r="I489" s="32" t="s">
        <v>2815</v>
      </c>
      <c r="J489" s="21">
        <f t="shared" si="105"/>
        <v>35.22</v>
      </c>
      <c r="K489" s="21">
        <f t="shared" si="106"/>
        <v>-77.650000000000006</v>
      </c>
      <c r="L489" s="21">
        <v>22.4</v>
      </c>
      <c r="R489" s="43">
        <v>1</v>
      </c>
      <c r="S489" s="43">
        <v>1</v>
      </c>
      <c r="T489" s="43"/>
      <c r="U489" s="43" t="s">
        <v>400</v>
      </c>
      <c r="V489" s="43" t="s">
        <v>1382</v>
      </c>
      <c r="W489" s="43" t="s">
        <v>1717</v>
      </c>
      <c r="X489" s="43" t="s">
        <v>1382</v>
      </c>
      <c r="Y489" s="43" t="s">
        <v>1382</v>
      </c>
      <c r="AA489" s="322"/>
      <c r="AB489" s="322"/>
      <c r="AC489" s="21" t="s">
        <v>139</v>
      </c>
      <c r="AG489" s="21" t="s">
        <v>1324</v>
      </c>
      <c r="AH489" s="21" t="s">
        <v>243</v>
      </c>
      <c r="AI489" s="138" t="s">
        <v>577</v>
      </c>
      <c r="AJ489" s="21" t="s">
        <v>132</v>
      </c>
      <c r="AK489" s="141" t="s">
        <v>132</v>
      </c>
      <c r="AO489" s="21" t="s">
        <v>395</v>
      </c>
      <c r="AP489" s="21" t="s">
        <v>395</v>
      </c>
      <c r="AQ489" s="21" t="s">
        <v>2125</v>
      </c>
      <c r="AR489" s="21" t="s">
        <v>2125</v>
      </c>
      <c r="AS489" s="21" t="s">
        <v>177</v>
      </c>
      <c r="AT489" s="21">
        <v>0</v>
      </c>
      <c r="AU489" s="21">
        <v>0</v>
      </c>
      <c r="AV489" s="21" t="s">
        <v>177</v>
      </c>
      <c r="AW489" s="21" t="s">
        <v>160</v>
      </c>
      <c r="AX489" s="21">
        <v>4</v>
      </c>
      <c r="AZ489" s="21" t="s">
        <v>335</v>
      </c>
      <c r="BB489" s="21">
        <f t="shared" ref="BB489" si="117">(6.5+1.8)*1000</f>
        <v>8300</v>
      </c>
      <c r="BC489" s="21">
        <f t="shared" ref="BC489" si="118">BB489/(175+47)</f>
        <v>37.387387387387385</v>
      </c>
      <c r="BD489" s="54" t="s">
        <v>407</v>
      </c>
      <c r="BP489" s="396"/>
      <c r="BQ489" s="396"/>
      <c r="BU489" s="396"/>
      <c r="BV489" s="396"/>
      <c r="BZ489" s="396"/>
      <c r="CA489" s="396"/>
      <c r="CE489" s="549"/>
      <c r="CF489" s="549"/>
      <c r="CG489" s="549"/>
      <c r="CH489" s="549"/>
      <c r="CJ489" s="21">
        <v>3.157</v>
      </c>
      <c r="CK489" s="21">
        <v>3.17</v>
      </c>
      <c r="CN489" s="21" t="s">
        <v>406</v>
      </c>
      <c r="GZ489" s="12"/>
      <c r="HD489" s="12"/>
      <c r="JB489" s="21" t="s">
        <v>409</v>
      </c>
      <c r="JC489" s="21" t="s">
        <v>714</v>
      </c>
    </row>
    <row r="490" spans="1:263" s="21" customFormat="1" x14ac:dyDescent="0.25">
      <c r="A490" s="21">
        <v>26</v>
      </c>
      <c r="B490" s="43" t="s">
        <v>3867</v>
      </c>
      <c r="C490" s="21" t="s">
        <v>391</v>
      </c>
      <c r="D490" s="21" t="s">
        <v>392</v>
      </c>
      <c r="E490" s="21">
        <v>2015</v>
      </c>
      <c r="F490" s="21">
        <v>2012</v>
      </c>
      <c r="G490" s="21" t="s">
        <v>296</v>
      </c>
      <c r="H490" s="21" t="s">
        <v>394</v>
      </c>
      <c r="I490" s="32" t="s">
        <v>2815</v>
      </c>
      <c r="J490" s="21">
        <f t="shared" si="105"/>
        <v>35.22</v>
      </c>
      <c r="K490" s="21">
        <f t="shared" si="106"/>
        <v>-77.650000000000006</v>
      </c>
      <c r="L490" s="21">
        <v>22.4</v>
      </c>
      <c r="R490" s="43">
        <v>1</v>
      </c>
      <c r="S490" s="43">
        <v>1</v>
      </c>
      <c r="T490" s="43"/>
      <c r="U490" s="43" t="s">
        <v>401</v>
      </c>
      <c r="V490" s="43" t="s">
        <v>1382</v>
      </c>
      <c r="W490" s="43" t="s">
        <v>1717</v>
      </c>
      <c r="X490" s="43" t="s">
        <v>1382</v>
      </c>
      <c r="Y490" s="43" t="s">
        <v>1382</v>
      </c>
      <c r="AA490" s="322"/>
      <c r="AB490" s="322"/>
      <c r="AC490" s="21" t="s">
        <v>139</v>
      </c>
      <c r="AG490" s="21" t="s">
        <v>1324</v>
      </c>
      <c r="AH490" s="21" t="s">
        <v>396</v>
      </c>
      <c r="AI490" s="138" t="s">
        <v>577</v>
      </c>
      <c r="AJ490" s="21" t="s">
        <v>132</v>
      </c>
      <c r="AK490" s="141" t="s">
        <v>132</v>
      </c>
      <c r="AO490" s="21" t="s">
        <v>395</v>
      </c>
      <c r="AP490" s="21" t="s">
        <v>395</v>
      </c>
      <c r="AQ490" s="21" t="s">
        <v>2125</v>
      </c>
      <c r="AR490" s="21" t="s">
        <v>2125</v>
      </c>
      <c r="AS490" s="21" t="s">
        <v>177</v>
      </c>
      <c r="AT490" s="21">
        <v>0</v>
      </c>
      <c r="AU490" s="21">
        <v>0</v>
      </c>
      <c r="AV490" s="21" t="s">
        <v>177</v>
      </c>
      <c r="AW490" s="21" t="s">
        <v>160</v>
      </c>
      <c r="AX490" s="21">
        <v>4</v>
      </c>
      <c r="AZ490" s="21" t="s">
        <v>335</v>
      </c>
      <c r="BB490" s="21">
        <f t="shared" ref="BB490" si="119">(6.1+1.6)*1000</f>
        <v>7699.9999999999991</v>
      </c>
      <c r="BC490" s="21">
        <f t="shared" ref="BC490" si="120">BB490/(170+36)</f>
        <v>37.378640776699022</v>
      </c>
      <c r="BD490" s="54" t="s">
        <v>407</v>
      </c>
      <c r="BP490" s="396"/>
      <c r="BQ490" s="396"/>
      <c r="BU490" s="396"/>
      <c r="BV490" s="396"/>
      <c r="BZ490" s="396"/>
      <c r="CA490" s="396"/>
      <c r="CE490" s="549"/>
      <c r="CF490" s="549"/>
      <c r="CG490" s="549"/>
      <c r="CH490" s="549"/>
      <c r="CJ490" s="21">
        <v>4.9400000000000004</v>
      </c>
      <c r="CK490" s="21">
        <v>3.5649999999999999</v>
      </c>
      <c r="CN490" s="21" t="s">
        <v>406</v>
      </c>
      <c r="GZ490" s="12"/>
      <c r="HD490" s="12"/>
      <c r="JB490" s="21" t="s">
        <v>409</v>
      </c>
      <c r="JC490" s="21" t="s">
        <v>714</v>
      </c>
    </row>
    <row r="491" spans="1:263" s="21" customFormat="1" x14ac:dyDescent="0.25">
      <c r="A491" s="21">
        <v>26</v>
      </c>
      <c r="B491" s="43" t="s">
        <v>3867</v>
      </c>
      <c r="C491" s="21" t="s">
        <v>391</v>
      </c>
      <c r="D491" s="21" t="s">
        <v>392</v>
      </c>
      <c r="E491" s="21">
        <v>2015</v>
      </c>
      <c r="F491" s="21">
        <v>2012</v>
      </c>
      <c r="G491" s="21" t="s">
        <v>296</v>
      </c>
      <c r="H491" s="21" t="s">
        <v>394</v>
      </c>
      <c r="I491" s="32" t="s">
        <v>2815</v>
      </c>
      <c r="J491" s="21">
        <f t="shared" si="105"/>
        <v>35.22</v>
      </c>
      <c r="K491" s="21">
        <f t="shared" si="106"/>
        <v>-77.650000000000006</v>
      </c>
      <c r="L491" s="21">
        <v>22.4</v>
      </c>
      <c r="R491" s="43">
        <v>1</v>
      </c>
      <c r="S491" s="43">
        <v>1</v>
      </c>
      <c r="T491" s="43"/>
      <c r="U491" s="43" t="s">
        <v>401</v>
      </c>
      <c r="V491" s="43" t="s">
        <v>1382</v>
      </c>
      <c r="W491" s="43" t="s">
        <v>1717</v>
      </c>
      <c r="X491" s="43" t="s">
        <v>1382</v>
      </c>
      <c r="Y491" s="43" t="s">
        <v>1382</v>
      </c>
      <c r="AA491" s="322"/>
      <c r="AB491" s="322"/>
      <c r="AC491" s="21" t="s">
        <v>139</v>
      </c>
      <c r="AG491" s="21" t="s">
        <v>1324</v>
      </c>
      <c r="AH491" s="21" t="s">
        <v>397</v>
      </c>
      <c r="AI491" s="138" t="s">
        <v>577</v>
      </c>
      <c r="AJ491" s="21" t="s">
        <v>132</v>
      </c>
      <c r="AK491" s="141" t="s">
        <v>132</v>
      </c>
      <c r="AO491" s="21" t="s">
        <v>395</v>
      </c>
      <c r="AP491" s="21" t="s">
        <v>395</v>
      </c>
      <c r="AQ491" s="21" t="s">
        <v>2125</v>
      </c>
      <c r="AR491" s="21" t="s">
        <v>2125</v>
      </c>
      <c r="AS491" s="21" t="s">
        <v>177</v>
      </c>
      <c r="AT491" s="21">
        <v>0</v>
      </c>
      <c r="AU491" s="21">
        <v>0</v>
      </c>
      <c r="AV491" s="21" t="s">
        <v>177</v>
      </c>
      <c r="AW491" s="21" t="s">
        <v>160</v>
      </c>
      <c r="AX491" s="21">
        <v>4</v>
      </c>
      <c r="AZ491" s="21" t="s">
        <v>335</v>
      </c>
      <c r="BB491" s="21">
        <f t="shared" ref="BB491" si="121">(6.4+1.9)*1000</f>
        <v>8300</v>
      </c>
      <c r="BC491" s="21">
        <f t="shared" ref="BC491" si="122">BB491/(110+27)</f>
        <v>60.583941605839414</v>
      </c>
      <c r="BD491" s="54" t="s">
        <v>407</v>
      </c>
      <c r="BP491" s="396"/>
      <c r="BQ491" s="396"/>
      <c r="BU491" s="396"/>
      <c r="BV491" s="396"/>
      <c r="BZ491" s="396"/>
      <c r="CA491" s="396"/>
      <c r="CE491" s="549"/>
      <c r="CF491" s="549"/>
      <c r="CG491" s="549"/>
      <c r="CH491" s="549"/>
      <c r="CJ491" s="21">
        <v>4.9400000000000004</v>
      </c>
      <c r="CK491" s="21">
        <v>3.5649999999999999</v>
      </c>
      <c r="CN491" s="21" t="s">
        <v>406</v>
      </c>
      <c r="GZ491" s="12"/>
      <c r="HD491" s="12"/>
      <c r="JB491" s="21" t="s">
        <v>409</v>
      </c>
      <c r="JC491" s="21" t="s">
        <v>714</v>
      </c>
    </row>
    <row r="492" spans="1:263" s="21" customFormat="1" x14ac:dyDescent="0.25">
      <c r="A492" s="21">
        <v>26</v>
      </c>
      <c r="B492" s="43" t="s">
        <v>3867</v>
      </c>
      <c r="C492" s="21" t="s">
        <v>391</v>
      </c>
      <c r="D492" s="21" t="s">
        <v>392</v>
      </c>
      <c r="E492" s="21">
        <v>2015</v>
      </c>
      <c r="F492" s="21">
        <v>2012</v>
      </c>
      <c r="G492" s="21" t="s">
        <v>296</v>
      </c>
      <c r="H492" s="21" t="s">
        <v>394</v>
      </c>
      <c r="I492" s="32" t="s">
        <v>2815</v>
      </c>
      <c r="J492" s="21">
        <f t="shared" si="105"/>
        <v>35.22</v>
      </c>
      <c r="K492" s="21">
        <f t="shared" si="106"/>
        <v>-77.650000000000006</v>
      </c>
      <c r="L492" s="21">
        <v>22.4</v>
      </c>
      <c r="R492" s="43">
        <v>1</v>
      </c>
      <c r="S492" s="43">
        <v>1</v>
      </c>
      <c r="T492" s="43"/>
      <c r="U492" s="43" t="s">
        <v>401</v>
      </c>
      <c r="V492" s="43" t="s">
        <v>1382</v>
      </c>
      <c r="W492" s="43" t="s">
        <v>1717</v>
      </c>
      <c r="X492" s="43" t="s">
        <v>1382</v>
      </c>
      <c r="Y492" s="43" t="s">
        <v>1382</v>
      </c>
      <c r="AA492" s="322"/>
      <c r="AB492" s="322"/>
      <c r="AC492" s="21" t="s">
        <v>139</v>
      </c>
      <c r="AG492" s="21" t="s">
        <v>1324</v>
      </c>
      <c r="AH492" s="21" t="s">
        <v>243</v>
      </c>
      <c r="AI492" s="138" t="s">
        <v>577</v>
      </c>
      <c r="AJ492" s="21" t="s">
        <v>132</v>
      </c>
      <c r="AK492" s="141" t="s">
        <v>132</v>
      </c>
      <c r="AO492" s="21" t="s">
        <v>395</v>
      </c>
      <c r="AP492" s="21" t="s">
        <v>395</v>
      </c>
      <c r="AQ492" s="21" t="s">
        <v>2125</v>
      </c>
      <c r="AR492" s="21" t="s">
        <v>2125</v>
      </c>
      <c r="AS492" s="21" t="s">
        <v>177</v>
      </c>
      <c r="AT492" s="21">
        <v>0</v>
      </c>
      <c r="AU492" s="21">
        <v>0</v>
      </c>
      <c r="AV492" s="21" t="s">
        <v>177</v>
      </c>
      <c r="AW492" s="21" t="s">
        <v>160</v>
      </c>
      <c r="AX492" s="21">
        <v>4</v>
      </c>
      <c r="AZ492" s="21" t="s">
        <v>335</v>
      </c>
      <c r="BB492" s="21">
        <f t="shared" ref="BB492" si="123">(6.5+1.8)*1000</f>
        <v>8300</v>
      </c>
      <c r="BC492" s="21">
        <f t="shared" ref="BC492" si="124">BB492/(175+47)</f>
        <v>37.387387387387385</v>
      </c>
      <c r="BD492" s="54" t="s">
        <v>407</v>
      </c>
      <c r="BP492" s="396"/>
      <c r="BQ492" s="396"/>
      <c r="BU492" s="396"/>
      <c r="BV492" s="396"/>
      <c r="BZ492" s="396"/>
      <c r="CA492" s="396"/>
      <c r="CE492" s="549"/>
      <c r="CF492" s="549"/>
      <c r="CG492" s="549"/>
      <c r="CH492" s="549"/>
      <c r="CJ492" s="21">
        <v>4.9400000000000004</v>
      </c>
      <c r="CK492" s="21">
        <v>3.5649999999999999</v>
      </c>
      <c r="CN492" s="21" t="s">
        <v>406</v>
      </c>
      <c r="GZ492" s="12"/>
      <c r="HD492" s="12"/>
      <c r="JB492" s="21" t="s">
        <v>409</v>
      </c>
      <c r="JC492" s="21" t="s">
        <v>714</v>
      </c>
    </row>
    <row r="493" spans="1:263" s="21" customFormat="1" x14ac:dyDescent="0.25">
      <c r="A493" s="21">
        <v>26</v>
      </c>
      <c r="B493" s="43" t="s">
        <v>3867</v>
      </c>
      <c r="C493" s="21" t="s">
        <v>391</v>
      </c>
      <c r="D493" s="21" t="s">
        <v>392</v>
      </c>
      <c r="E493" s="21">
        <v>2015</v>
      </c>
      <c r="F493" s="21">
        <v>2012</v>
      </c>
      <c r="G493" s="21" t="s">
        <v>296</v>
      </c>
      <c r="H493" s="21" t="s">
        <v>394</v>
      </c>
      <c r="I493" s="32" t="s">
        <v>2815</v>
      </c>
      <c r="J493" s="21">
        <f t="shared" si="105"/>
        <v>35.22</v>
      </c>
      <c r="K493" s="21">
        <f t="shared" si="106"/>
        <v>-77.650000000000006</v>
      </c>
      <c r="L493" s="21">
        <v>22.4</v>
      </c>
      <c r="R493" s="43">
        <v>1</v>
      </c>
      <c r="S493" s="43">
        <v>1</v>
      </c>
      <c r="T493" s="43"/>
      <c r="U493" s="43" t="s">
        <v>402</v>
      </c>
      <c r="V493" s="43" t="s">
        <v>1382</v>
      </c>
      <c r="W493" s="43" t="s">
        <v>1717</v>
      </c>
      <c r="X493" s="43" t="s">
        <v>1382</v>
      </c>
      <c r="Y493" s="43" t="s">
        <v>1382</v>
      </c>
      <c r="AA493" s="322"/>
      <c r="AB493" s="322"/>
      <c r="AC493" s="21" t="s">
        <v>139</v>
      </c>
      <c r="AG493" s="21" t="s">
        <v>1324</v>
      </c>
      <c r="AH493" s="21" t="s">
        <v>396</v>
      </c>
      <c r="AI493" s="138" t="s">
        <v>577</v>
      </c>
      <c r="AJ493" s="21" t="s">
        <v>132</v>
      </c>
      <c r="AK493" s="141" t="s">
        <v>132</v>
      </c>
      <c r="AO493" s="21" t="s">
        <v>395</v>
      </c>
      <c r="AP493" s="21" t="s">
        <v>395</v>
      </c>
      <c r="AQ493" s="21" t="s">
        <v>2125</v>
      </c>
      <c r="AR493" s="21" t="s">
        <v>2125</v>
      </c>
      <c r="AS493" s="21" t="s">
        <v>177</v>
      </c>
      <c r="AT493" s="21">
        <v>0</v>
      </c>
      <c r="AU493" s="21">
        <v>0</v>
      </c>
      <c r="AV493" s="21" t="s">
        <v>177</v>
      </c>
      <c r="AW493" s="21" t="s">
        <v>160</v>
      </c>
      <c r="AX493" s="21">
        <v>4</v>
      </c>
      <c r="AZ493" s="21" t="s">
        <v>335</v>
      </c>
      <c r="BB493" s="21">
        <f t="shared" ref="BB493" si="125">(6.1+1.6)*1000</f>
        <v>7699.9999999999991</v>
      </c>
      <c r="BC493" s="21">
        <f t="shared" ref="BC493" si="126">BB493/(170+36)</f>
        <v>37.378640776699022</v>
      </c>
      <c r="BD493" s="54" t="s">
        <v>407</v>
      </c>
      <c r="BP493" s="396"/>
      <c r="BQ493" s="396"/>
      <c r="BU493" s="396"/>
      <c r="BV493" s="396"/>
      <c r="BZ493" s="396"/>
      <c r="CA493" s="396"/>
      <c r="CE493" s="549"/>
      <c r="CF493" s="549"/>
      <c r="CG493" s="549"/>
      <c r="CH493" s="549"/>
      <c r="CJ493" s="21">
        <v>5.42</v>
      </c>
      <c r="CK493" s="21">
        <v>5.4</v>
      </c>
      <c r="CN493" s="21" t="s">
        <v>406</v>
      </c>
      <c r="GZ493" s="12"/>
      <c r="HD493" s="12"/>
      <c r="JB493" s="21" t="s">
        <v>409</v>
      </c>
      <c r="JC493" s="21" t="s">
        <v>714</v>
      </c>
    </row>
    <row r="494" spans="1:263" s="21" customFormat="1" x14ac:dyDescent="0.25">
      <c r="A494" s="21">
        <v>26</v>
      </c>
      <c r="B494" s="43" t="s">
        <v>3867</v>
      </c>
      <c r="C494" s="21" t="s">
        <v>391</v>
      </c>
      <c r="D494" s="21" t="s">
        <v>392</v>
      </c>
      <c r="E494" s="21">
        <v>2015</v>
      </c>
      <c r="F494" s="21">
        <v>2012</v>
      </c>
      <c r="G494" s="21" t="s">
        <v>296</v>
      </c>
      <c r="H494" s="21" t="s">
        <v>394</v>
      </c>
      <c r="I494" s="32" t="s">
        <v>2815</v>
      </c>
      <c r="J494" s="21">
        <f t="shared" si="105"/>
        <v>35.22</v>
      </c>
      <c r="K494" s="21">
        <f t="shared" si="106"/>
        <v>-77.650000000000006</v>
      </c>
      <c r="L494" s="21">
        <v>22.4</v>
      </c>
      <c r="R494" s="43">
        <v>1</v>
      </c>
      <c r="S494" s="43">
        <v>1</v>
      </c>
      <c r="T494" s="43"/>
      <c r="U494" s="43" t="s">
        <v>402</v>
      </c>
      <c r="V494" s="43" t="s">
        <v>1382</v>
      </c>
      <c r="W494" s="43" t="s">
        <v>1717</v>
      </c>
      <c r="X494" s="43" t="s">
        <v>1382</v>
      </c>
      <c r="Y494" s="43" t="s">
        <v>1382</v>
      </c>
      <c r="AA494" s="322"/>
      <c r="AB494" s="322"/>
      <c r="AC494" s="21" t="s">
        <v>139</v>
      </c>
      <c r="AG494" s="21" t="s">
        <v>1324</v>
      </c>
      <c r="AH494" s="21" t="s">
        <v>397</v>
      </c>
      <c r="AI494" s="138" t="s">
        <v>577</v>
      </c>
      <c r="AJ494" s="21" t="s">
        <v>132</v>
      </c>
      <c r="AK494" s="141" t="s">
        <v>132</v>
      </c>
      <c r="AO494" s="21" t="s">
        <v>395</v>
      </c>
      <c r="AP494" s="21" t="s">
        <v>395</v>
      </c>
      <c r="AQ494" s="21" t="s">
        <v>2125</v>
      </c>
      <c r="AR494" s="21" t="s">
        <v>2125</v>
      </c>
      <c r="AS494" s="21" t="s">
        <v>177</v>
      </c>
      <c r="AT494" s="21">
        <v>0</v>
      </c>
      <c r="AU494" s="21">
        <v>0</v>
      </c>
      <c r="AV494" s="21" t="s">
        <v>177</v>
      </c>
      <c r="AW494" s="21" t="s">
        <v>160</v>
      </c>
      <c r="AX494" s="21">
        <v>4</v>
      </c>
      <c r="AZ494" s="21" t="s">
        <v>335</v>
      </c>
      <c r="BB494" s="21">
        <f t="shared" ref="BB494" si="127">(6.4+1.9)*1000</f>
        <v>8300</v>
      </c>
      <c r="BC494" s="21">
        <f t="shared" ref="BC494" si="128">BB494/(110+27)</f>
        <v>60.583941605839414</v>
      </c>
      <c r="BD494" s="54" t="s">
        <v>407</v>
      </c>
      <c r="BP494" s="396"/>
      <c r="BQ494" s="396"/>
      <c r="BU494" s="396"/>
      <c r="BV494" s="396"/>
      <c r="BZ494" s="396"/>
      <c r="CA494" s="396"/>
      <c r="CE494" s="549"/>
      <c r="CF494" s="549"/>
      <c r="CG494" s="549"/>
      <c r="CH494" s="549"/>
      <c r="CJ494" s="21">
        <v>5.42</v>
      </c>
      <c r="CK494" s="21">
        <v>5.4</v>
      </c>
      <c r="CN494" s="21" t="s">
        <v>406</v>
      </c>
      <c r="GZ494" s="12"/>
      <c r="HD494" s="12"/>
      <c r="JB494" s="21" t="s">
        <v>409</v>
      </c>
      <c r="JC494" s="21" t="s">
        <v>714</v>
      </c>
    </row>
    <row r="495" spans="1:263" s="21" customFormat="1" x14ac:dyDescent="0.25">
      <c r="A495" s="21">
        <v>26</v>
      </c>
      <c r="B495" s="43" t="s">
        <v>3867</v>
      </c>
      <c r="C495" s="21" t="s">
        <v>391</v>
      </c>
      <c r="D495" s="21" t="s">
        <v>392</v>
      </c>
      <c r="E495" s="21">
        <v>2015</v>
      </c>
      <c r="F495" s="21">
        <v>2012</v>
      </c>
      <c r="G495" s="21" t="s">
        <v>296</v>
      </c>
      <c r="H495" s="21" t="s">
        <v>394</v>
      </c>
      <c r="I495" s="32" t="s">
        <v>2815</v>
      </c>
      <c r="J495" s="21">
        <f t="shared" si="105"/>
        <v>35.22</v>
      </c>
      <c r="K495" s="21">
        <f t="shared" si="106"/>
        <v>-77.650000000000006</v>
      </c>
      <c r="L495" s="21">
        <v>22.4</v>
      </c>
      <c r="R495" s="43">
        <v>1</v>
      </c>
      <c r="S495" s="43">
        <v>1</v>
      </c>
      <c r="T495" s="43"/>
      <c r="U495" s="43" t="s">
        <v>402</v>
      </c>
      <c r="V495" s="43" t="s">
        <v>1382</v>
      </c>
      <c r="W495" s="43" t="s">
        <v>1717</v>
      </c>
      <c r="X495" s="43" t="s">
        <v>1382</v>
      </c>
      <c r="Y495" s="43" t="s">
        <v>1382</v>
      </c>
      <c r="AA495" s="322"/>
      <c r="AB495" s="322"/>
      <c r="AC495" s="21" t="s">
        <v>139</v>
      </c>
      <c r="AG495" s="21" t="s">
        <v>1324</v>
      </c>
      <c r="AH495" s="21" t="s">
        <v>243</v>
      </c>
      <c r="AI495" s="138" t="s">
        <v>577</v>
      </c>
      <c r="AJ495" s="21" t="s">
        <v>132</v>
      </c>
      <c r="AK495" s="141" t="s">
        <v>132</v>
      </c>
      <c r="AO495" s="21" t="s">
        <v>395</v>
      </c>
      <c r="AP495" s="21" t="s">
        <v>395</v>
      </c>
      <c r="AQ495" s="21" t="s">
        <v>2125</v>
      </c>
      <c r="AR495" s="21" t="s">
        <v>2125</v>
      </c>
      <c r="AS495" s="21" t="s">
        <v>177</v>
      </c>
      <c r="AT495" s="21">
        <v>0</v>
      </c>
      <c r="AU495" s="21">
        <v>0</v>
      </c>
      <c r="AV495" s="21" t="s">
        <v>177</v>
      </c>
      <c r="AW495" s="21" t="s">
        <v>160</v>
      </c>
      <c r="AX495" s="21">
        <v>4</v>
      </c>
      <c r="AZ495" s="21" t="s">
        <v>335</v>
      </c>
      <c r="BB495" s="21">
        <f t="shared" ref="BB495" si="129">(6.5+1.8)*1000</f>
        <v>8300</v>
      </c>
      <c r="BC495" s="21">
        <f t="shared" ref="BC495" si="130">BB495/(175+47)</f>
        <v>37.387387387387385</v>
      </c>
      <c r="BD495" s="54" t="s">
        <v>407</v>
      </c>
      <c r="BP495" s="396"/>
      <c r="BQ495" s="396"/>
      <c r="BU495" s="396"/>
      <c r="BV495" s="396"/>
      <c r="BZ495" s="396"/>
      <c r="CA495" s="396"/>
      <c r="CE495" s="549"/>
      <c r="CF495" s="549"/>
      <c r="CG495" s="549"/>
      <c r="CH495" s="549"/>
      <c r="CJ495" s="21">
        <v>5.42</v>
      </c>
      <c r="CK495" s="21">
        <v>5.4</v>
      </c>
      <c r="CN495" s="21" t="s">
        <v>406</v>
      </c>
      <c r="GZ495" s="12"/>
      <c r="HD495" s="12"/>
      <c r="JB495" s="21" t="s">
        <v>409</v>
      </c>
      <c r="JC495" s="21" t="s">
        <v>714</v>
      </c>
    </row>
    <row r="496" spans="1:263" s="21" customFormat="1" x14ac:dyDescent="0.25">
      <c r="A496" s="21">
        <v>26</v>
      </c>
      <c r="B496" s="43" t="s">
        <v>3867</v>
      </c>
      <c r="C496" s="21" t="s">
        <v>391</v>
      </c>
      <c r="D496" s="21" t="s">
        <v>392</v>
      </c>
      <c r="E496" s="21">
        <v>2015</v>
      </c>
      <c r="F496" s="21">
        <v>2012</v>
      </c>
      <c r="G496" s="21" t="s">
        <v>296</v>
      </c>
      <c r="H496" s="21" t="s">
        <v>394</v>
      </c>
      <c r="I496" s="32" t="s">
        <v>2815</v>
      </c>
      <c r="J496" s="21">
        <f t="shared" si="105"/>
        <v>35.22</v>
      </c>
      <c r="K496" s="21">
        <f t="shared" si="106"/>
        <v>-77.650000000000006</v>
      </c>
      <c r="L496" s="21">
        <v>22.4</v>
      </c>
      <c r="R496" s="43">
        <v>1</v>
      </c>
      <c r="S496" s="43">
        <v>1</v>
      </c>
      <c r="T496" s="43"/>
      <c r="U496" s="43" t="s">
        <v>403</v>
      </c>
      <c r="V496" s="43" t="s">
        <v>1382</v>
      </c>
      <c r="W496" s="43" t="s">
        <v>1717</v>
      </c>
      <c r="X496" s="43" t="s">
        <v>1382</v>
      </c>
      <c r="Y496" s="43" t="s">
        <v>1382</v>
      </c>
      <c r="AA496" s="322"/>
      <c r="AB496" s="322"/>
      <c r="AC496" s="21" t="s">
        <v>139</v>
      </c>
      <c r="AG496" s="21" t="s">
        <v>1324</v>
      </c>
      <c r="AH496" s="21" t="s">
        <v>396</v>
      </c>
      <c r="AI496" s="138" t="s">
        <v>577</v>
      </c>
      <c r="AJ496" s="21" t="s">
        <v>132</v>
      </c>
      <c r="AK496" s="141" t="s">
        <v>132</v>
      </c>
      <c r="AO496" s="21" t="s">
        <v>395</v>
      </c>
      <c r="AP496" s="21" t="s">
        <v>395</v>
      </c>
      <c r="AQ496" s="21" t="s">
        <v>2125</v>
      </c>
      <c r="AR496" s="21" t="s">
        <v>2125</v>
      </c>
      <c r="AS496" s="21" t="s">
        <v>177</v>
      </c>
      <c r="AT496" s="21">
        <v>0</v>
      </c>
      <c r="AU496" s="21">
        <v>0</v>
      </c>
      <c r="AV496" s="21" t="s">
        <v>177</v>
      </c>
      <c r="AW496" s="21" t="s">
        <v>160</v>
      </c>
      <c r="AX496" s="21">
        <v>4</v>
      </c>
      <c r="AZ496" s="21" t="s">
        <v>335</v>
      </c>
      <c r="BB496" s="21">
        <f t="shared" ref="BB496" si="131">(6.1+1.6)*1000</f>
        <v>7699.9999999999991</v>
      </c>
      <c r="BC496" s="21">
        <f t="shared" ref="BC496" si="132">BB496/(170+36)</f>
        <v>37.378640776699022</v>
      </c>
      <c r="BD496" s="54" t="s">
        <v>407</v>
      </c>
      <c r="BP496" s="396"/>
      <c r="BQ496" s="396"/>
      <c r="BU496" s="396"/>
      <c r="BV496" s="396"/>
      <c r="BZ496" s="396"/>
      <c r="CA496" s="396"/>
      <c r="CE496" s="549"/>
      <c r="CF496" s="549"/>
      <c r="CG496" s="549"/>
      <c r="CH496" s="549"/>
      <c r="CJ496" s="21">
        <v>1.9770000000000001</v>
      </c>
      <c r="CK496" s="21">
        <v>3.69</v>
      </c>
      <c r="CN496" s="21" t="s">
        <v>406</v>
      </c>
      <c r="GZ496" s="12"/>
      <c r="HD496" s="12"/>
      <c r="JB496" s="21" t="s">
        <v>409</v>
      </c>
      <c r="JC496" s="21" t="s">
        <v>714</v>
      </c>
    </row>
    <row r="497" spans="1:263" s="21" customFormat="1" x14ac:dyDescent="0.25">
      <c r="A497" s="21">
        <v>26</v>
      </c>
      <c r="B497" s="43" t="s">
        <v>3867</v>
      </c>
      <c r="C497" s="21" t="s">
        <v>391</v>
      </c>
      <c r="D497" s="21" t="s">
        <v>392</v>
      </c>
      <c r="E497" s="21">
        <v>2015</v>
      </c>
      <c r="F497" s="21">
        <v>2012</v>
      </c>
      <c r="G497" s="21" t="s">
        <v>296</v>
      </c>
      <c r="H497" s="21" t="s">
        <v>394</v>
      </c>
      <c r="I497" s="32" t="s">
        <v>2815</v>
      </c>
      <c r="J497" s="21">
        <f t="shared" si="105"/>
        <v>35.22</v>
      </c>
      <c r="K497" s="21">
        <f t="shared" si="106"/>
        <v>-77.650000000000006</v>
      </c>
      <c r="L497" s="21">
        <v>22.4</v>
      </c>
      <c r="R497" s="43">
        <v>1</v>
      </c>
      <c r="S497" s="43">
        <v>1</v>
      </c>
      <c r="T497" s="43"/>
      <c r="U497" s="43" t="s">
        <v>403</v>
      </c>
      <c r="V497" s="43" t="s">
        <v>1382</v>
      </c>
      <c r="W497" s="43" t="s">
        <v>1717</v>
      </c>
      <c r="X497" s="43" t="s">
        <v>1382</v>
      </c>
      <c r="Y497" s="43" t="s">
        <v>1382</v>
      </c>
      <c r="AA497" s="322"/>
      <c r="AB497" s="322"/>
      <c r="AC497" s="21" t="s">
        <v>139</v>
      </c>
      <c r="AG497" s="21" t="s">
        <v>1324</v>
      </c>
      <c r="AH497" s="21" t="s">
        <v>397</v>
      </c>
      <c r="AI497" s="138" t="s">
        <v>577</v>
      </c>
      <c r="AJ497" s="21" t="s">
        <v>132</v>
      </c>
      <c r="AK497" s="141" t="s">
        <v>132</v>
      </c>
      <c r="AO497" s="21" t="s">
        <v>395</v>
      </c>
      <c r="AP497" s="21" t="s">
        <v>395</v>
      </c>
      <c r="AQ497" s="21" t="s">
        <v>2125</v>
      </c>
      <c r="AR497" s="21" t="s">
        <v>2125</v>
      </c>
      <c r="AS497" s="21" t="s">
        <v>177</v>
      </c>
      <c r="AT497" s="21">
        <v>0</v>
      </c>
      <c r="AU497" s="21">
        <v>0</v>
      </c>
      <c r="AV497" s="21" t="s">
        <v>177</v>
      </c>
      <c r="AW497" s="21" t="s">
        <v>160</v>
      </c>
      <c r="AX497" s="21">
        <v>4</v>
      </c>
      <c r="AZ497" s="21" t="s">
        <v>335</v>
      </c>
      <c r="BB497" s="21">
        <f t="shared" ref="BB497" si="133">(6.4+1.9)*1000</f>
        <v>8300</v>
      </c>
      <c r="BC497" s="21">
        <f t="shared" ref="BC497" si="134">BB497/(110+27)</f>
        <v>60.583941605839414</v>
      </c>
      <c r="BD497" s="54" t="s">
        <v>407</v>
      </c>
      <c r="BP497" s="396"/>
      <c r="BQ497" s="396"/>
      <c r="BU497" s="396"/>
      <c r="BV497" s="396"/>
      <c r="BZ497" s="396"/>
      <c r="CA497" s="396"/>
      <c r="CE497" s="549"/>
      <c r="CF497" s="549"/>
      <c r="CG497" s="549"/>
      <c r="CH497" s="549"/>
      <c r="CJ497" s="21">
        <v>1.9770000000000001</v>
      </c>
      <c r="CK497" s="21">
        <v>3.69</v>
      </c>
      <c r="CN497" s="21" t="s">
        <v>406</v>
      </c>
      <c r="GZ497" s="12"/>
      <c r="HD497" s="12"/>
      <c r="JB497" s="21" t="s">
        <v>409</v>
      </c>
      <c r="JC497" s="21" t="s">
        <v>714</v>
      </c>
    </row>
    <row r="498" spans="1:263" s="21" customFormat="1" x14ac:dyDescent="0.25">
      <c r="A498" s="21">
        <v>26</v>
      </c>
      <c r="B498" s="43" t="s">
        <v>3867</v>
      </c>
      <c r="C498" s="21" t="s">
        <v>391</v>
      </c>
      <c r="D498" s="21" t="s">
        <v>392</v>
      </c>
      <c r="E498" s="21">
        <v>2015</v>
      </c>
      <c r="F498" s="21">
        <v>2012</v>
      </c>
      <c r="G498" s="21" t="s">
        <v>296</v>
      </c>
      <c r="H498" s="21" t="s">
        <v>394</v>
      </c>
      <c r="I498" s="32" t="s">
        <v>2815</v>
      </c>
      <c r="J498" s="21">
        <f t="shared" si="105"/>
        <v>35.22</v>
      </c>
      <c r="K498" s="21">
        <f t="shared" si="106"/>
        <v>-77.650000000000006</v>
      </c>
      <c r="L498" s="21">
        <v>22.4</v>
      </c>
      <c r="R498" s="43">
        <v>1</v>
      </c>
      <c r="S498" s="43">
        <v>1</v>
      </c>
      <c r="T498" s="43"/>
      <c r="U498" s="43" t="s">
        <v>403</v>
      </c>
      <c r="V498" s="43" t="s">
        <v>1382</v>
      </c>
      <c r="W498" s="43" t="s">
        <v>1717</v>
      </c>
      <c r="X498" s="43" t="s">
        <v>1382</v>
      </c>
      <c r="Y498" s="43" t="s">
        <v>1382</v>
      </c>
      <c r="AA498" s="322"/>
      <c r="AB498" s="322"/>
      <c r="AC498" s="21" t="s">
        <v>139</v>
      </c>
      <c r="AG498" s="21" t="s">
        <v>1324</v>
      </c>
      <c r="AH498" s="21" t="s">
        <v>243</v>
      </c>
      <c r="AI498" s="138" t="s">
        <v>577</v>
      </c>
      <c r="AJ498" s="21" t="s">
        <v>132</v>
      </c>
      <c r="AK498" s="141" t="s">
        <v>132</v>
      </c>
      <c r="AO498" s="21" t="s">
        <v>395</v>
      </c>
      <c r="AP498" s="21" t="s">
        <v>395</v>
      </c>
      <c r="AQ498" s="21" t="s">
        <v>2125</v>
      </c>
      <c r="AR498" s="21" t="s">
        <v>2125</v>
      </c>
      <c r="AS498" s="21" t="s">
        <v>177</v>
      </c>
      <c r="AT498" s="21">
        <v>0</v>
      </c>
      <c r="AU498" s="21">
        <v>0</v>
      </c>
      <c r="AV498" s="21" t="s">
        <v>177</v>
      </c>
      <c r="AW498" s="21" t="s">
        <v>160</v>
      </c>
      <c r="AX498" s="21">
        <v>4</v>
      </c>
      <c r="AZ498" s="21" t="s">
        <v>335</v>
      </c>
      <c r="BB498" s="21">
        <f t="shared" ref="BB498" si="135">(6.5+1.8)*1000</f>
        <v>8300</v>
      </c>
      <c r="BC498" s="21">
        <f t="shared" ref="BC498" si="136">BB498/(175+47)</f>
        <v>37.387387387387385</v>
      </c>
      <c r="BD498" s="54" t="s">
        <v>407</v>
      </c>
      <c r="BP498" s="396"/>
      <c r="BQ498" s="396"/>
      <c r="BU498" s="396"/>
      <c r="BV498" s="396"/>
      <c r="BZ498" s="396"/>
      <c r="CA498" s="396"/>
      <c r="CE498" s="549"/>
      <c r="CF498" s="549"/>
      <c r="CG498" s="549"/>
      <c r="CH498" s="549"/>
      <c r="CJ498" s="21">
        <v>1.9770000000000001</v>
      </c>
      <c r="CK498" s="21">
        <v>3.69</v>
      </c>
      <c r="CN498" s="21" t="s">
        <v>406</v>
      </c>
      <c r="GZ498" s="12"/>
      <c r="HD498" s="12"/>
      <c r="JB498" s="21" t="s">
        <v>409</v>
      </c>
      <c r="JC498" s="21" t="s">
        <v>714</v>
      </c>
    </row>
    <row r="499" spans="1:263" s="21" customFormat="1" x14ac:dyDescent="0.25">
      <c r="A499" s="21">
        <v>26</v>
      </c>
      <c r="B499" s="43" t="s">
        <v>3867</v>
      </c>
      <c r="C499" s="21" t="s">
        <v>391</v>
      </c>
      <c r="D499" s="21" t="s">
        <v>392</v>
      </c>
      <c r="E499" s="21">
        <v>2015</v>
      </c>
      <c r="F499" s="21">
        <v>2012</v>
      </c>
      <c r="G499" s="21" t="s">
        <v>296</v>
      </c>
      <c r="H499" s="21" t="s">
        <v>394</v>
      </c>
      <c r="I499" s="32" t="s">
        <v>2815</v>
      </c>
      <c r="J499" s="21">
        <f t="shared" si="105"/>
        <v>35.22</v>
      </c>
      <c r="K499" s="21">
        <f t="shared" si="106"/>
        <v>-77.650000000000006</v>
      </c>
      <c r="L499" s="21">
        <v>22.4</v>
      </c>
      <c r="R499" s="43">
        <v>1</v>
      </c>
      <c r="S499" s="43">
        <v>1</v>
      </c>
      <c r="T499" s="43"/>
      <c r="U499" s="43" t="s">
        <v>404</v>
      </c>
      <c r="V499" s="43" t="s">
        <v>1382</v>
      </c>
      <c r="W499" s="43" t="s">
        <v>1717</v>
      </c>
      <c r="X499" s="43" t="s">
        <v>1382</v>
      </c>
      <c r="Y499" s="43" t="s">
        <v>1382</v>
      </c>
      <c r="AA499" s="322"/>
      <c r="AB499" s="322"/>
      <c r="AC499" s="21" t="s">
        <v>139</v>
      </c>
      <c r="AG499" s="21" t="s">
        <v>1324</v>
      </c>
      <c r="AH499" s="21" t="s">
        <v>396</v>
      </c>
      <c r="AI499" s="138" t="s">
        <v>577</v>
      </c>
      <c r="AJ499" s="21" t="s">
        <v>132</v>
      </c>
      <c r="AK499" s="141" t="s">
        <v>132</v>
      </c>
      <c r="AO499" s="21" t="s">
        <v>395</v>
      </c>
      <c r="AP499" s="21" t="s">
        <v>395</v>
      </c>
      <c r="AQ499" s="21" t="s">
        <v>2125</v>
      </c>
      <c r="AR499" s="21" t="s">
        <v>2125</v>
      </c>
      <c r="AS499" s="21" t="s">
        <v>177</v>
      </c>
      <c r="AT499" s="21">
        <v>0</v>
      </c>
      <c r="AU499" s="21">
        <v>0</v>
      </c>
      <c r="AV499" s="21" t="s">
        <v>177</v>
      </c>
      <c r="AW499" s="21" t="s">
        <v>160</v>
      </c>
      <c r="AX499" s="21">
        <v>4</v>
      </c>
      <c r="AZ499" s="21" t="s">
        <v>335</v>
      </c>
      <c r="BB499" s="21">
        <f t="shared" ref="BB499" si="137">(6.1+1.6)*1000</f>
        <v>7699.9999999999991</v>
      </c>
      <c r="BC499" s="21">
        <f t="shared" ref="BC499" si="138">BB499/(170+36)</f>
        <v>37.378640776699022</v>
      </c>
      <c r="BD499" s="54" t="s">
        <v>407</v>
      </c>
      <c r="BP499" s="396"/>
      <c r="BQ499" s="396"/>
      <c r="BU499" s="396"/>
      <c r="BV499" s="396"/>
      <c r="BZ499" s="396"/>
      <c r="CA499" s="396"/>
      <c r="CE499" s="549"/>
      <c r="CF499" s="549"/>
      <c r="CG499" s="549"/>
      <c r="CH499" s="549"/>
      <c r="CJ499" s="21">
        <v>4.3230000000000004</v>
      </c>
      <c r="CK499" s="21">
        <v>5.14</v>
      </c>
      <c r="CN499" s="21" t="s">
        <v>406</v>
      </c>
      <c r="GZ499" s="12"/>
      <c r="HD499" s="12"/>
      <c r="JB499" s="21" t="s">
        <v>409</v>
      </c>
      <c r="JC499" s="21" t="s">
        <v>714</v>
      </c>
    </row>
    <row r="500" spans="1:263" s="21" customFormat="1" x14ac:dyDescent="0.25">
      <c r="A500" s="21">
        <v>26</v>
      </c>
      <c r="B500" s="43" t="s">
        <v>3867</v>
      </c>
      <c r="C500" s="21" t="s">
        <v>391</v>
      </c>
      <c r="D500" s="21" t="s">
        <v>392</v>
      </c>
      <c r="E500" s="21">
        <v>2015</v>
      </c>
      <c r="F500" s="21">
        <v>2012</v>
      </c>
      <c r="G500" s="21" t="s">
        <v>296</v>
      </c>
      <c r="H500" s="21" t="s">
        <v>394</v>
      </c>
      <c r="I500" s="32" t="s">
        <v>2815</v>
      </c>
      <c r="J500" s="21">
        <f t="shared" si="105"/>
        <v>35.22</v>
      </c>
      <c r="K500" s="21">
        <f t="shared" si="106"/>
        <v>-77.650000000000006</v>
      </c>
      <c r="L500" s="21">
        <v>22.4</v>
      </c>
      <c r="R500" s="43">
        <v>1</v>
      </c>
      <c r="S500" s="43">
        <v>1</v>
      </c>
      <c r="T500" s="43"/>
      <c r="U500" s="43" t="s">
        <v>404</v>
      </c>
      <c r="V500" s="43" t="s">
        <v>1382</v>
      </c>
      <c r="W500" s="43" t="s">
        <v>1717</v>
      </c>
      <c r="X500" s="43" t="s">
        <v>1382</v>
      </c>
      <c r="Y500" s="43" t="s">
        <v>1382</v>
      </c>
      <c r="AA500" s="322"/>
      <c r="AB500" s="322"/>
      <c r="AC500" s="21" t="s">
        <v>139</v>
      </c>
      <c r="AG500" s="21" t="s">
        <v>1324</v>
      </c>
      <c r="AH500" s="21" t="s">
        <v>397</v>
      </c>
      <c r="AI500" s="138" t="s">
        <v>577</v>
      </c>
      <c r="AJ500" s="21" t="s">
        <v>132</v>
      </c>
      <c r="AK500" s="141" t="s">
        <v>132</v>
      </c>
      <c r="AO500" s="21" t="s">
        <v>395</v>
      </c>
      <c r="AP500" s="21" t="s">
        <v>395</v>
      </c>
      <c r="AQ500" s="21" t="s">
        <v>2125</v>
      </c>
      <c r="AR500" s="21" t="s">
        <v>2125</v>
      </c>
      <c r="AS500" s="21" t="s">
        <v>177</v>
      </c>
      <c r="AT500" s="21">
        <v>0</v>
      </c>
      <c r="AU500" s="21">
        <v>0</v>
      </c>
      <c r="AV500" s="21" t="s">
        <v>177</v>
      </c>
      <c r="AW500" s="21" t="s">
        <v>160</v>
      </c>
      <c r="AX500" s="21">
        <v>4</v>
      </c>
      <c r="AZ500" s="21" t="s">
        <v>335</v>
      </c>
      <c r="BB500" s="21">
        <f t="shared" ref="BB500" si="139">(6.4+1.9)*1000</f>
        <v>8300</v>
      </c>
      <c r="BC500" s="21">
        <f t="shared" ref="BC500" si="140">BB500/(110+27)</f>
        <v>60.583941605839414</v>
      </c>
      <c r="BD500" s="54" t="s">
        <v>407</v>
      </c>
      <c r="BP500" s="396"/>
      <c r="BQ500" s="396"/>
      <c r="BU500" s="396"/>
      <c r="BV500" s="396"/>
      <c r="BZ500" s="396"/>
      <c r="CA500" s="396"/>
      <c r="CE500" s="549"/>
      <c r="CF500" s="549"/>
      <c r="CG500" s="549"/>
      <c r="CH500" s="549"/>
      <c r="CJ500" s="21">
        <v>4.3230000000000004</v>
      </c>
      <c r="CK500" s="21">
        <v>4.32</v>
      </c>
      <c r="CN500" s="21" t="s">
        <v>406</v>
      </c>
      <c r="GZ500" s="12"/>
      <c r="HD500" s="12"/>
      <c r="JB500" s="21" t="s">
        <v>409</v>
      </c>
      <c r="JC500" s="21" t="s">
        <v>714</v>
      </c>
    </row>
    <row r="501" spans="1:263" s="21" customFormat="1" x14ac:dyDescent="0.25">
      <c r="A501" s="21">
        <v>26</v>
      </c>
      <c r="B501" s="43" t="s">
        <v>3867</v>
      </c>
      <c r="C501" s="21" t="s">
        <v>391</v>
      </c>
      <c r="D501" s="21" t="s">
        <v>392</v>
      </c>
      <c r="E501" s="21">
        <v>2015</v>
      </c>
      <c r="F501" s="21">
        <v>2012</v>
      </c>
      <c r="G501" s="21" t="s">
        <v>296</v>
      </c>
      <c r="H501" s="21" t="s">
        <v>394</v>
      </c>
      <c r="I501" s="32" t="s">
        <v>2815</v>
      </c>
      <c r="J501" s="21">
        <f t="shared" si="105"/>
        <v>35.22</v>
      </c>
      <c r="K501" s="21">
        <f t="shared" si="106"/>
        <v>-77.650000000000006</v>
      </c>
      <c r="L501" s="21">
        <v>22.4</v>
      </c>
      <c r="R501" s="43">
        <v>1</v>
      </c>
      <c r="S501" s="43">
        <v>1</v>
      </c>
      <c r="T501" s="43"/>
      <c r="U501" s="43" t="s">
        <v>404</v>
      </c>
      <c r="V501" s="43" t="s">
        <v>1382</v>
      </c>
      <c r="W501" s="43" t="s">
        <v>1717</v>
      </c>
      <c r="X501" s="43" t="s">
        <v>1382</v>
      </c>
      <c r="Y501" s="43" t="s">
        <v>1382</v>
      </c>
      <c r="AA501" s="322"/>
      <c r="AB501" s="322"/>
      <c r="AC501" s="21" t="s">
        <v>139</v>
      </c>
      <c r="AG501" s="21" t="s">
        <v>1324</v>
      </c>
      <c r="AH501" s="21" t="s">
        <v>243</v>
      </c>
      <c r="AI501" s="138" t="s">
        <v>577</v>
      </c>
      <c r="AJ501" s="21" t="s">
        <v>132</v>
      </c>
      <c r="AK501" s="141" t="s">
        <v>132</v>
      </c>
      <c r="AO501" s="21" t="s">
        <v>395</v>
      </c>
      <c r="AP501" s="21" t="s">
        <v>395</v>
      </c>
      <c r="AQ501" s="21" t="s">
        <v>2125</v>
      </c>
      <c r="AR501" s="21" t="s">
        <v>2125</v>
      </c>
      <c r="AS501" s="21" t="s">
        <v>177</v>
      </c>
      <c r="AT501" s="21">
        <v>0</v>
      </c>
      <c r="AU501" s="21">
        <v>0</v>
      </c>
      <c r="AV501" s="21" t="s">
        <v>177</v>
      </c>
      <c r="AW501" s="21" t="s">
        <v>160</v>
      </c>
      <c r="AX501" s="21">
        <v>4</v>
      </c>
      <c r="AZ501" s="21" t="s">
        <v>335</v>
      </c>
      <c r="BB501" s="21">
        <f t="shared" ref="BB501" si="141">(6.5+1.8)*1000</f>
        <v>8300</v>
      </c>
      <c r="BC501" s="21">
        <f t="shared" ref="BC501" si="142">BB501/(175+47)</f>
        <v>37.387387387387385</v>
      </c>
      <c r="BD501" s="54" t="s">
        <v>407</v>
      </c>
      <c r="BP501" s="396"/>
      <c r="BQ501" s="396"/>
      <c r="BU501" s="396"/>
      <c r="BV501" s="396"/>
      <c r="BZ501" s="396"/>
      <c r="CA501" s="396"/>
      <c r="CE501" s="549"/>
      <c r="CF501" s="549"/>
      <c r="CG501" s="549"/>
      <c r="CH501" s="549"/>
      <c r="CJ501" s="21">
        <v>4.3230000000000004</v>
      </c>
      <c r="CK501" s="21">
        <v>5.14</v>
      </c>
      <c r="CN501" s="21" t="s">
        <v>406</v>
      </c>
      <c r="GZ501" s="12"/>
      <c r="HD501" s="12"/>
      <c r="JB501" s="21" t="s">
        <v>409</v>
      </c>
      <c r="JC501" s="21" t="s">
        <v>714</v>
      </c>
    </row>
    <row r="502" spans="1:263" s="21" customFormat="1" x14ac:dyDescent="0.25">
      <c r="A502" s="21">
        <v>26</v>
      </c>
      <c r="B502" s="43" t="s">
        <v>3868</v>
      </c>
      <c r="C502" s="21" t="s">
        <v>391</v>
      </c>
      <c r="D502" s="21" t="s">
        <v>392</v>
      </c>
      <c r="E502" s="21">
        <v>2015</v>
      </c>
      <c r="F502" s="21">
        <v>2012</v>
      </c>
      <c r="G502" s="21" t="s">
        <v>296</v>
      </c>
      <c r="H502" s="21" t="s">
        <v>394</v>
      </c>
      <c r="I502" s="32" t="s">
        <v>2815</v>
      </c>
      <c r="J502" s="21">
        <f t="shared" si="105"/>
        <v>35.22</v>
      </c>
      <c r="K502" s="21">
        <f t="shared" si="106"/>
        <v>-77.650000000000006</v>
      </c>
      <c r="L502" s="21">
        <v>22.4</v>
      </c>
      <c r="R502" s="43">
        <v>1</v>
      </c>
      <c r="S502" s="43">
        <v>1</v>
      </c>
      <c r="T502" s="43"/>
      <c r="U502" s="43" t="s">
        <v>398</v>
      </c>
      <c r="V502" s="43" t="s">
        <v>1382</v>
      </c>
      <c r="W502" s="43" t="s">
        <v>1717</v>
      </c>
      <c r="X502" s="43" t="s">
        <v>1382</v>
      </c>
      <c r="Y502" s="43" t="s">
        <v>1382</v>
      </c>
      <c r="AA502" s="322"/>
      <c r="AB502" s="322"/>
      <c r="AC502" s="21" t="s">
        <v>139</v>
      </c>
      <c r="AG502" s="21" t="s">
        <v>1324</v>
      </c>
      <c r="AH502" s="21" t="s">
        <v>396</v>
      </c>
      <c r="AI502" s="138" t="s">
        <v>577</v>
      </c>
      <c r="AJ502" s="21" t="s">
        <v>132</v>
      </c>
      <c r="AK502" s="141" t="s">
        <v>132</v>
      </c>
      <c r="AO502" s="21" t="s">
        <v>405</v>
      </c>
      <c r="AP502" s="21" t="s">
        <v>405</v>
      </c>
      <c r="AQ502" s="21" t="s">
        <v>2125</v>
      </c>
      <c r="AR502" s="21" t="s">
        <v>2125</v>
      </c>
      <c r="AS502" s="21" t="s">
        <v>177</v>
      </c>
      <c r="AT502" s="21">
        <v>0</v>
      </c>
      <c r="AU502" s="21">
        <v>0</v>
      </c>
      <c r="AV502" s="21" t="s">
        <v>177</v>
      </c>
      <c r="AW502" s="21" t="s">
        <v>160</v>
      </c>
      <c r="AX502" s="21">
        <v>4</v>
      </c>
      <c r="AZ502" s="21" t="s">
        <v>335</v>
      </c>
      <c r="BB502" s="21">
        <f t="shared" ref="BB502" si="143">(6.1+1.6)*1000</f>
        <v>7699.9999999999991</v>
      </c>
      <c r="BC502" s="21">
        <f t="shared" ref="BC502" si="144">BB502/(170+36)</f>
        <v>37.378640776699022</v>
      </c>
      <c r="BD502" s="54" t="s">
        <v>408</v>
      </c>
      <c r="BP502" s="396"/>
      <c r="BQ502" s="396"/>
      <c r="BU502" s="396"/>
      <c r="BV502" s="396"/>
      <c r="BZ502" s="396"/>
      <c r="CA502" s="396"/>
      <c r="CE502" s="549"/>
      <c r="CF502" s="549"/>
      <c r="CG502" s="549"/>
      <c r="CH502" s="549"/>
      <c r="CJ502" s="21">
        <v>4.133</v>
      </c>
      <c r="CK502" s="21">
        <v>6.9059999999999997</v>
      </c>
      <c r="CN502" s="21" t="s">
        <v>406</v>
      </c>
      <c r="GZ502" s="12"/>
      <c r="HD502" s="12"/>
      <c r="JB502" s="21" t="s">
        <v>409</v>
      </c>
      <c r="JC502" s="21" t="s">
        <v>714</v>
      </c>
    </row>
    <row r="503" spans="1:263" s="21" customFormat="1" x14ac:dyDescent="0.25">
      <c r="A503" s="21">
        <v>26</v>
      </c>
      <c r="B503" s="43" t="s">
        <v>3868</v>
      </c>
      <c r="C503" s="21" t="s">
        <v>391</v>
      </c>
      <c r="D503" s="21" t="s">
        <v>392</v>
      </c>
      <c r="E503" s="21">
        <v>2015</v>
      </c>
      <c r="F503" s="21">
        <v>2012</v>
      </c>
      <c r="G503" s="21" t="s">
        <v>296</v>
      </c>
      <c r="H503" s="21" t="s">
        <v>394</v>
      </c>
      <c r="I503" s="32" t="s">
        <v>2815</v>
      </c>
      <c r="J503" s="21">
        <f t="shared" si="105"/>
        <v>35.22</v>
      </c>
      <c r="K503" s="21">
        <f t="shared" si="106"/>
        <v>-77.650000000000006</v>
      </c>
      <c r="L503" s="21">
        <v>22.4</v>
      </c>
      <c r="R503" s="43">
        <v>1</v>
      </c>
      <c r="S503" s="43">
        <v>1</v>
      </c>
      <c r="T503" s="43"/>
      <c r="U503" s="43" t="s">
        <v>398</v>
      </c>
      <c r="V503" s="43" t="s">
        <v>1382</v>
      </c>
      <c r="W503" s="43" t="s">
        <v>1717</v>
      </c>
      <c r="X503" s="43" t="s">
        <v>1382</v>
      </c>
      <c r="Y503" s="43" t="s">
        <v>1382</v>
      </c>
      <c r="AA503" s="322"/>
      <c r="AB503" s="322"/>
      <c r="AC503" s="21" t="s">
        <v>139</v>
      </c>
      <c r="AG503" s="21" t="s">
        <v>1324</v>
      </c>
      <c r="AH503" s="21" t="s">
        <v>397</v>
      </c>
      <c r="AI503" s="138" t="s">
        <v>577</v>
      </c>
      <c r="AJ503" s="21" t="s">
        <v>132</v>
      </c>
      <c r="AK503" s="141" t="s">
        <v>132</v>
      </c>
      <c r="AO503" s="21" t="s">
        <v>405</v>
      </c>
      <c r="AP503" s="21" t="s">
        <v>405</v>
      </c>
      <c r="AQ503" s="21" t="s">
        <v>2125</v>
      </c>
      <c r="AR503" s="21" t="s">
        <v>2125</v>
      </c>
      <c r="AS503" s="21" t="s">
        <v>177</v>
      </c>
      <c r="AT503" s="21">
        <v>0</v>
      </c>
      <c r="AU503" s="21">
        <v>0</v>
      </c>
      <c r="AV503" s="21" t="s">
        <v>177</v>
      </c>
      <c r="AW503" s="21" t="s">
        <v>160</v>
      </c>
      <c r="AX503" s="21">
        <v>4</v>
      </c>
      <c r="AZ503" s="21" t="s">
        <v>335</v>
      </c>
      <c r="BB503" s="21">
        <f t="shared" ref="BB503" si="145">(6.4+1.9)*1000</f>
        <v>8300</v>
      </c>
      <c r="BC503" s="21">
        <f t="shared" ref="BC503" si="146">BB503/(110+27)</f>
        <v>60.583941605839414</v>
      </c>
      <c r="BD503" s="54" t="s">
        <v>408</v>
      </c>
      <c r="BP503" s="396"/>
      <c r="BQ503" s="396"/>
      <c r="BU503" s="396"/>
      <c r="BV503" s="396"/>
      <c r="BZ503" s="396"/>
      <c r="CA503" s="396"/>
      <c r="CE503" s="549"/>
      <c r="CF503" s="549"/>
      <c r="CG503" s="549"/>
      <c r="CH503" s="549"/>
      <c r="CJ503" s="21">
        <v>4.133</v>
      </c>
      <c r="CK503" s="21">
        <v>6.9059999999999997</v>
      </c>
      <c r="CN503" s="21" t="s">
        <v>406</v>
      </c>
      <c r="GZ503" s="12"/>
      <c r="HD503" s="12"/>
      <c r="JB503" s="21" t="s">
        <v>409</v>
      </c>
      <c r="JC503" s="21" t="s">
        <v>714</v>
      </c>
    </row>
    <row r="504" spans="1:263" s="21" customFormat="1" x14ac:dyDescent="0.25">
      <c r="A504" s="21">
        <v>26</v>
      </c>
      <c r="B504" s="43" t="s">
        <v>3868</v>
      </c>
      <c r="C504" s="21" t="s">
        <v>391</v>
      </c>
      <c r="D504" s="21" t="s">
        <v>392</v>
      </c>
      <c r="E504" s="21">
        <v>2015</v>
      </c>
      <c r="F504" s="21">
        <v>2012</v>
      </c>
      <c r="G504" s="21" t="s">
        <v>296</v>
      </c>
      <c r="H504" s="21" t="s">
        <v>394</v>
      </c>
      <c r="I504" s="32" t="s">
        <v>2815</v>
      </c>
      <c r="J504" s="21">
        <f t="shared" si="105"/>
        <v>35.22</v>
      </c>
      <c r="K504" s="21">
        <f t="shared" si="106"/>
        <v>-77.650000000000006</v>
      </c>
      <c r="L504" s="21">
        <v>22.4</v>
      </c>
      <c r="R504" s="43">
        <v>1</v>
      </c>
      <c r="S504" s="43">
        <v>1</v>
      </c>
      <c r="T504" s="43"/>
      <c r="U504" s="43" t="s">
        <v>398</v>
      </c>
      <c r="V504" s="43" t="s">
        <v>1382</v>
      </c>
      <c r="W504" s="43" t="s">
        <v>1717</v>
      </c>
      <c r="X504" s="43" t="s">
        <v>1382</v>
      </c>
      <c r="Y504" s="43" t="s">
        <v>1382</v>
      </c>
      <c r="AA504" s="322"/>
      <c r="AB504" s="322"/>
      <c r="AC504" s="21" t="s">
        <v>139</v>
      </c>
      <c r="AG504" s="21" t="s">
        <v>1324</v>
      </c>
      <c r="AH504" s="21" t="s">
        <v>243</v>
      </c>
      <c r="AI504" s="138" t="s">
        <v>577</v>
      </c>
      <c r="AJ504" s="21" t="s">
        <v>132</v>
      </c>
      <c r="AK504" s="141" t="s">
        <v>132</v>
      </c>
      <c r="AO504" s="21" t="s">
        <v>405</v>
      </c>
      <c r="AP504" s="21" t="s">
        <v>405</v>
      </c>
      <c r="AQ504" s="21" t="s">
        <v>2125</v>
      </c>
      <c r="AR504" s="21" t="s">
        <v>2125</v>
      </c>
      <c r="AS504" s="21" t="s">
        <v>177</v>
      </c>
      <c r="AT504" s="21">
        <v>0</v>
      </c>
      <c r="AU504" s="21">
        <v>0</v>
      </c>
      <c r="AV504" s="21" t="s">
        <v>177</v>
      </c>
      <c r="AW504" s="21" t="s">
        <v>160</v>
      </c>
      <c r="AX504" s="21">
        <v>4</v>
      </c>
      <c r="AZ504" s="21" t="s">
        <v>335</v>
      </c>
      <c r="BB504" s="21">
        <f t="shared" ref="BB504" si="147">(6.5+1.8)*1000</f>
        <v>8300</v>
      </c>
      <c r="BC504" s="21">
        <f t="shared" ref="BC504" si="148">BB504/(175+47)</f>
        <v>37.387387387387385</v>
      </c>
      <c r="BD504" s="54" t="s">
        <v>408</v>
      </c>
      <c r="BP504" s="396"/>
      <c r="BQ504" s="396"/>
      <c r="BU504" s="396"/>
      <c r="BV504" s="396"/>
      <c r="BZ504" s="396"/>
      <c r="CA504" s="396"/>
      <c r="CE504" s="549"/>
      <c r="CF504" s="549"/>
      <c r="CG504" s="549"/>
      <c r="CH504" s="549"/>
      <c r="CJ504" s="21">
        <v>4.133</v>
      </c>
      <c r="CK504" s="21">
        <v>6.9059999999999997</v>
      </c>
      <c r="CN504" s="21" t="s">
        <v>406</v>
      </c>
      <c r="GZ504" s="12"/>
      <c r="HD504" s="12"/>
      <c r="JB504" s="21" t="s">
        <v>409</v>
      </c>
      <c r="JC504" s="21" t="s">
        <v>714</v>
      </c>
    </row>
    <row r="505" spans="1:263" s="21" customFormat="1" x14ac:dyDescent="0.25">
      <c r="A505" s="21">
        <v>26</v>
      </c>
      <c r="B505" s="43" t="s">
        <v>3868</v>
      </c>
      <c r="C505" s="21" t="s">
        <v>391</v>
      </c>
      <c r="D505" s="21" t="s">
        <v>392</v>
      </c>
      <c r="E505" s="21">
        <v>2015</v>
      </c>
      <c r="F505" s="21">
        <v>2012</v>
      </c>
      <c r="G505" s="21" t="s">
        <v>296</v>
      </c>
      <c r="H505" s="21" t="s">
        <v>394</v>
      </c>
      <c r="I505" s="32" t="s">
        <v>2815</v>
      </c>
      <c r="J505" s="21">
        <f t="shared" si="105"/>
        <v>35.22</v>
      </c>
      <c r="K505" s="21">
        <f t="shared" si="106"/>
        <v>-77.650000000000006</v>
      </c>
      <c r="L505" s="21">
        <v>22.4</v>
      </c>
      <c r="R505" s="43">
        <v>1</v>
      </c>
      <c r="S505" s="43">
        <v>1</v>
      </c>
      <c r="T505" s="43"/>
      <c r="U505" s="43" t="s">
        <v>399</v>
      </c>
      <c r="V505" s="43" t="s">
        <v>1382</v>
      </c>
      <c r="W505" s="43" t="s">
        <v>1717</v>
      </c>
      <c r="X505" s="43" t="s">
        <v>1382</v>
      </c>
      <c r="Y505" s="43" t="s">
        <v>1382</v>
      </c>
      <c r="AA505" s="322"/>
      <c r="AB505" s="322"/>
      <c r="AC505" s="21" t="s">
        <v>139</v>
      </c>
      <c r="AG505" s="21" t="s">
        <v>1324</v>
      </c>
      <c r="AH505" s="21" t="s">
        <v>396</v>
      </c>
      <c r="AI505" s="138" t="s">
        <v>577</v>
      </c>
      <c r="AJ505" s="21" t="s">
        <v>132</v>
      </c>
      <c r="AK505" s="141" t="s">
        <v>132</v>
      </c>
      <c r="AO505" s="21" t="s">
        <v>405</v>
      </c>
      <c r="AP505" s="21" t="s">
        <v>405</v>
      </c>
      <c r="AQ505" s="21" t="s">
        <v>2125</v>
      </c>
      <c r="AR505" s="21" t="s">
        <v>2125</v>
      </c>
      <c r="AS505" s="21" t="s">
        <v>177</v>
      </c>
      <c r="AT505" s="21">
        <v>0</v>
      </c>
      <c r="AU505" s="21">
        <v>0</v>
      </c>
      <c r="AV505" s="21" t="s">
        <v>177</v>
      </c>
      <c r="AW505" s="21" t="s">
        <v>160</v>
      </c>
      <c r="AX505" s="21">
        <v>4</v>
      </c>
      <c r="AZ505" s="21" t="s">
        <v>335</v>
      </c>
      <c r="BB505" s="21">
        <f t="shared" ref="BB505" si="149">(6.1+1.6)*1000</f>
        <v>7699.9999999999991</v>
      </c>
      <c r="BC505" s="21">
        <f t="shared" ref="BC505" si="150">BB505/(170+36)</f>
        <v>37.378640776699022</v>
      </c>
      <c r="BD505" s="54" t="s">
        <v>408</v>
      </c>
      <c r="BP505" s="396"/>
      <c r="BQ505" s="396"/>
      <c r="BU505" s="396"/>
      <c r="BV505" s="396"/>
      <c r="BZ505" s="396"/>
      <c r="CA505" s="396"/>
      <c r="CE505" s="549"/>
      <c r="CF505" s="549"/>
      <c r="CG505" s="549"/>
      <c r="CH505" s="549"/>
      <c r="CJ505" s="21">
        <v>2.2469999999999999</v>
      </c>
      <c r="CK505" s="21">
        <v>3.8780000000000001</v>
      </c>
      <c r="CN505" s="21" t="s">
        <v>406</v>
      </c>
      <c r="GZ505" s="12"/>
      <c r="HD505" s="12"/>
      <c r="JB505" s="21" t="s">
        <v>409</v>
      </c>
      <c r="JC505" s="21" t="s">
        <v>714</v>
      </c>
    </row>
    <row r="506" spans="1:263" s="21" customFormat="1" x14ac:dyDescent="0.25">
      <c r="A506" s="21">
        <v>26</v>
      </c>
      <c r="B506" s="43" t="s">
        <v>3868</v>
      </c>
      <c r="C506" s="21" t="s">
        <v>391</v>
      </c>
      <c r="D506" s="21" t="s">
        <v>392</v>
      </c>
      <c r="E506" s="21">
        <v>2015</v>
      </c>
      <c r="F506" s="21">
        <v>2012</v>
      </c>
      <c r="G506" s="21" t="s">
        <v>296</v>
      </c>
      <c r="H506" s="21" t="s">
        <v>394</v>
      </c>
      <c r="I506" s="32" t="s">
        <v>2815</v>
      </c>
      <c r="J506" s="21">
        <f t="shared" si="105"/>
        <v>35.22</v>
      </c>
      <c r="K506" s="21">
        <f t="shared" si="106"/>
        <v>-77.650000000000006</v>
      </c>
      <c r="L506" s="21">
        <v>22.4</v>
      </c>
      <c r="R506" s="43">
        <v>1</v>
      </c>
      <c r="S506" s="43">
        <v>1</v>
      </c>
      <c r="T506" s="43"/>
      <c r="U506" s="43" t="s">
        <v>399</v>
      </c>
      <c r="V506" s="43" t="s">
        <v>1382</v>
      </c>
      <c r="W506" s="43" t="s">
        <v>1717</v>
      </c>
      <c r="X506" s="43" t="s">
        <v>1382</v>
      </c>
      <c r="Y506" s="43" t="s">
        <v>1382</v>
      </c>
      <c r="AA506" s="322"/>
      <c r="AB506" s="322"/>
      <c r="AC506" s="21" t="s">
        <v>139</v>
      </c>
      <c r="AG506" s="21" t="s">
        <v>1324</v>
      </c>
      <c r="AH506" s="21" t="s">
        <v>397</v>
      </c>
      <c r="AI506" s="138" t="s">
        <v>577</v>
      </c>
      <c r="AJ506" s="21" t="s">
        <v>132</v>
      </c>
      <c r="AK506" s="141" t="s">
        <v>132</v>
      </c>
      <c r="AO506" s="21" t="s">
        <v>405</v>
      </c>
      <c r="AP506" s="21" t="s">
        <v>405</v>
      </c>
      <c r="AQ506" s="21" t="s">
        <v>2125</v>
      </c>
      <c r="AR506" s="21" t="s">
        <v>2125</v>
      </c>
      <c r="AS506" s="21" t="s">
        <v>177</v>
      </c>
      <c r="AT506" s="21">
        <v>0</v>
      </c>
      <c r="AU506" s="21">
        <v>0</v>
      </c>
      <c r="AV506" s="21" t="s">
        <v>177</v>
      </c>
      <c r="AW506" s="21" t="s">
        <v>160</v>
      </c>
      <c r="AX506" s="21">
        <v>4</v>
      </c>
      <c r="AZ506" s="21" t="s">
        <v>335</v>
      </c>
      <c r="BB506" s="21">
        <f t="shared" ref="BB506" si="151">(6.4+1.9)*1000</f>
        <v>8300</v>
      </c>
      <c r="BC506" s="21">
        <f t="shared" ref="BC506" si="152">BB506/(110+27)</f>
        <v>60.583941605839414</v>
      </c>
      <c r="BD506" s="54" t="s">
        <v>408</v>
      </c>
      <c r="BP506" s="396"/>
      <c r="BQ506" s="396"/>
      <c r="BU506" s="396"/>
      <c r="BV506" s="396"/>
      <c r="BZ506" s="396"/>
      <c r="CA506" s="396"/>
      <c r="CE506" s="549"/>
      <c r="CF506" s="549"/>
      <c r="CG506" s="549"/>
      <c r="CH506" s="549"/>
      <c r="CJ506" s="21">
        <v>2.2469999999999999</v>
      </c>
      <c r="CK506" s="21">
        <v>3.8780000000000001</v>
      </c>
      <c r="CN506" s="21" t="s">
        <v>406</v>
      </c>
      <c r="GZ506" s="12"/>
      <c r="HD506" s="12"/>
      <c r="JB506" s="21" t="s">
        <v>409</v>
      </c>
      <c r="JC506" s="21" t="s">
        <v>714</v>
      </c>
    </row>
    <row r="507" spans="1:263" s="21" customFormat="1" x14ac:dyDescent="0.25">
      <c r="A507" s="21">
        <v>26</v>
      </c>
      <c r="B507" s="43" t="s">
        <v>3868</v>
      </c>
      <c r="C507" s="21" t="s">
        <v>391</v>
      </c>
      <c r="D507" s="21" t="s">
        <v>392</v>
      </c>
      <c r="E507" s="21">
        <v>2015</v>
      </c>
      <c r="F507" s="21">
        <v>2012</v>
      </c>
      <c r="G507" s="21" t="s">
        <v>296</v>
      </c>
      <c r="H507" s="21" t="s">
        <v>394</v>
      </c>
      <c r="I507" s="32" t="s">
        <v>2815</v>
      </c>
      <c r="J507" s="21">
        <f t="shared" si="105"/>
        <v>35.22</v>
      </c>
      <c r="K507" s="21">
        <f t="shared" si="106"/>
        <v>-77.650000000000006</v>
      </c>
      <c r="L507" s="21">
        <v>22.4</v>
      </c>
      <c r="R507" s="43">
        <v>1</v>
      </c>
      <c r="S507" s="43">
        <v>1</v>
      </c>
      <c r="T507" s="43"/>
      <c r="U507" s="43" t="s">
        <v>399</v>
      </c>
      <c r="V507" s="43" t="s">
        <v>1382</v>
      </c>
      <c r="W507" s="43" t="s">
        <v>1717</v>
      </c>
      <c r="X507" s="43" t="s">
        <v>1382</v>
      </c>
      <c r="Y507" s="43" t="s">
        <v>1382</v>
      </c>
      <c r="AA507" s="322"/>
      <c r="AB507" s="322"/>
      <c r="AC507" s="21" t="s">
        <v>139</v>
      </c>
      <c r="AG507" s="21" t="s">
        <v>1324</v>
      </c>
      <c r="AH507" s="21" t="s">
        <v>243</v>
      </c>
      <c r="AI507" s="138" t="s">
        <v>577</v>
      </c>
      <c r="AJ507" s="21" t="s">
        <v>132</v>
      </c>
      <c r="AK507" s="141" t="s">
        <v>132</v>
      </c>
      <c r="AO507" s="21" t="s">
        <v>405</v>
      </c>
      <c r="AP507" s="21" t="s">
        <v>405</v>
      </c>
      <c r="AQ507" s="21" t="s">
        <v>2125</v>
      </c>
      <c r="AR507" s="21" t="s">
        <v>2125</v>
      </c>
      <c r="AS507" s="21" t="s">
        <v>177</v>
      </c>
      <c r="AT507" s="21">
        <v>0</v>
      </c>
      <c r="AU507" s="21">
        <v>0</v>
      </c>
      <c r="AV507" s="21" t="s">
        <v>177</v>
      </c>
      <c r="AW507" s="21" t="s">
        <v>160</v>
      </c>
      <c r="AX507" s="21">
        <v>4</v>
      </c>
      <c r="AZ507" s="21" t="s">
        <v>335</v>
      </c>
      <c r="BB507" s="21">
        <f t="shared" ref="BB507" si="153">(6.5+1.8)*1000</f>
        <v>8300</v>
      </c>
      <c r="BC507" s="21">
        <f t="shared" ref="BC507" si="154">BB507/(175+47)</f>
        <v>37.387387387387385</v>
      </c>
      <c r="BD507" s="54" t="s">
        <v>408</v>
      </c>
      <c r="BP507" s="396"/>
      <c r="BQ507" s="396"/>
      <c r="BU507" s="396"/>
      <c r="BV507" s="396"/>
      <c r="BZ507" s="396"/>
      <c r="CA507" s="396"/>
      <c r="CE507" s="549"/>
      <c r="CF507" s="549"/>
      <c r="CG507" s="549"/>
      <c r="CH507" s="549"/>
      <c r="CJ507" s="21">
        <v>2.2469999999999999</v>
      </c>
      <c r="CK507" s="21">
        <v>3.8780000000000001</v>
      </c>
      <c r="CN507" s="21" t="s">
        <v>406</v>
      </c>
      <c r="GZ507" s="12"/>
      <c r="HD507" s="12"/>
      <c r="JB507" s="21" t="s">
        <v>409</v>
      </c>
      <c r="JC507" s="21" t="s">
        <v>714</v>
      </c>
    </row>
    <row r="508" spans="1:263" s="21" customFormat="1" x14ac:dyDescent="0.25">
      <c r="A508" s="21">
        <v>26</v>
      </c>
      <c r="B508" s="43" t="s">
        <v>3868</v>
      </c>
      <c r="C508" s="21" t="s">
        <v>391</v>
      </c>
      <c r="D508" s="21" t="s">
        <v>392</v>
      </c>
      <c r="E508" s="21">
        <v>2015</v>
      </c>
      <c r="F508" s="21">
        <v>2012</v>
      </c>
      <c r="G508" s="21" t="s">
        <v>296</v>
      </c>
      <c r="H508" s="21" t="s">
        <v>394</v>
      </c>
      <c r="I508" s="32" t="s">
        <v>2815</v>
      </c>
      <c r="J508" s="21">
        <f t="shared" si="105"/>
        <v>35.22</v>
      </c>
      <c r="K508" s="21">
        <f t="shared" si="106"/>
        <v>-77.650000000000006</v>
      </c>
      <c r="L508" s="21">
        <v>22.4</v>
      </c>
      <c r="R508" s="43">
        <v>1</v>
      </c>
      <c r="S508" s="43">
        <v>1</v>
      </c>
      <c r="T508" s="43"/>
      <c r="U508" s="43" t="s">
        <v>400</v>
      </c>
      <c r="V508" s="43" t="s">
        <v>1382</v>
      </c>
      <c r="W508" s="43" t="s">
        <v>1717</v>
      </c>
      <c r="X508" s="43" t="s">
        <v>1382</v>
      </c>
      <c r="Y508" s="43" t="s">
        <v>1382</v>
      </c>
      <c r="AA508" s="322"/>
      <c r="AB508" s="322"/>
      <c r="AC508" s="21" t="s">
        <v>139</v>
      </c>
      <c r="AG508" s="21" t="s">
        <v>1324</v>
      </c>
      <c r="AH508" s="21" t="s">
        <v>396</v>
      </c>
      <c r="AI508" s="138" t="s">
        <v>577</v>
      </c>
      <c r="AJ508" s="21" t="s">
        <v>132</v>
      </c>
      <c r="AK508" s="141" t="s">
        <v>132</v>
      </c>
      <c r="AO508" s="21" t="s">
        <v>405</v>
      </c>
      <c r="AP508" s="21" t="s">
        <v>405</v>
      </c>
      <c r="AQ508" s="21" t="s">
        <v>2125</v>
      </c>
      <c r="AR508" s="21" t="s">
        <v>2125</v>
      </c>
      <c r="AS508" s="21" t="s">
        <v>177</v>
      </c>
      <c r="AT508" s="21">
        <v>0</v>
      </c>
      <c r="AU508" s="21">
        <v>0</v>
      </c>
      <c r="AV508" s="21" t="s">
        <v>177</v>
      </c>
      <c r="AW508" s="21" t="s">
        <v>160</v>
      </c>
      <c r="AX508" s="21">
        <v>4</v>
      </c>
      <c r="AZ508" s="21" t="s">
        <v>335</v>
      </c>
      <c r="BB508" s="21">
        <f t="shared" ref="BB508" si="155">(6.1+1.6)*1000</f>
        <v>7699.9999999999991</v>
      </c>
      <c r="BC508" s="21">
        <f t="shared" ref="BC508" si="156">BB508/(170+36)</f>
        <v>37.378640776699022</v>
      </c>
      <c r="BD508" s="54" t="s">
        <v>408</v>
      </c>
      <c r="BP508" s="396"/>
      <c r="BQ508" s="396"/>
      <c r="BU508" s="396"/>
      <c r="BV508" s="396"/>
      <c r="BZ508" s="396"/>
      <c r="CA508" s="396"/>
      <c r="CE508" s="549"/>
      <c r="CF508" s="549"/>
      <c r="CG508" s="549"/>
      <c r="CH508" s="549"/>
      <c r="CJ508" s="21">
        <v>2.7269999999999999</v>
      </c>
      <c r="CK508" s="21">
        <v>3.8690000000000002</v>
      </c>
      <c r="CN508" s="21" t="s">
        <v>406</v>
      </c>
      <c r="GZ508" s="12"/>
      <c r="HD508" s="12"/>
      <c r="JB508" s="21" t="s">
        <v>409</v>
      </c>
      <c r="JC508" s="21" t="s">
        <v>714</v>
      </c>
    </row>
    <row r="509" spans="1:263" s="21" customFormat="1" x14ac:dyDescent="0.25">
      <c r="A509" s="21">
        <v>26</v>
      </c>
      <c r="B509" s="43" t="s">
        <v>3868</v>
      </c>
      <c r="C509" s="21" t="s">
        <v>391</v>
      </c>
      <c r="D509" s="21" t="s">
        <v>392</v>
      </c>
      <c r="E509" s="21">
        <v>2015</v>
      </c>
      <c r="F509" s="21">
        <v>2012</v>
      </c>
      <c r="G509" s="21" t="s">
        <v>296</v>
      </c>
      <c r="H509" s="21" t="s">
        <v>394</v>
      </c>
      <c r="I509" s="32" t="s">
        <v>2815</v>
      </c>
      <c r="J509" s="21">
        <f t="shared" si="105"/>
        <v>35.22</v>
      </c>
      <c r="K509" s="21">
        <f t="shared" si="106"/>
        <v>-77.650000000000006</v>
      </c>
      <c r="L509" s="21">
        <v>22.4</v>
      </c>
      <c r="R509" s="43">
        <v>1</v>
      </c>
      <c r="S509" s="43">
        <v>1</v>
      </c>
      <c r="T509" s="43"/>
      <c r="U509" s="43" t="s">
        <v>400</v>
      </c>
      <c r="V509" s="43" t="s">
        <v>1382</v>
      </c>
      <c r="W509" s="43" t="s">
        <v>1717</v>
      </c>
      <c r="X509" s="43" t="s">
        <v>1382</v>
      </c>
      <c r="Y509" s="43" t="s">
        <v>1382</v>
      </c>
      <c r="AA509" s="322"/>
      <c r="AB509" s="322"/>
      <c r="AC509" s="21" t="s">
        <v>139</v>
      </c>
      <c r="AG509" s="21" t="s">
        <v>1324</v>
      </c>
      <c r="AH509" s="21" t="s">
        <v>397</v>
      </c>
      <c r="AI509" s="138" t="s">
        <v>577</v>
      </c>
      <c r="AJ509" s="21" t="s">
        <v>132</v>
      </c>
      <c r="AK509" s="141" t="s">
        <v>132</v>
      </c>
      <c r="AO509" s="21" t="s">
        <v>405</v>
      </c>
      <c r="AP509" s="21" t="s">
        <v>405</v>
      </c>
      <c r="AQ509" s="21" t="s">
        <v>2125</v>
      </c>
      <c r="AR509" s="21" t="s">
        <v>2125</v>
      </c>
      <c r="AS509" s="21" t="s">
        <v>177</v>
      </c>
      <c r="AT509" s="21">
        <v>0</v>
      </c>
      <c r="AU509" s="21">
        <v>0</v>
      </c>
      <c r="AV509" s="21" t="s">
        <v>177</v>
      </c>
      <c r="AW509" s="21" t="s">
        <v>160</v>
      </c>
      <c r="AX509" s="21">
        <v>4</v>
      </c>
      <c r="AZ509" s="21" t="s">
        <v>335</v>
      </c>
      <c r="BB509" s="21">
        <f t="shared" ref="BB509" si="157">(6.4+1.9)*1000</f>
        <v>8300</v>
      </c>
      <c r="BC509" s="21">
        <f t="shared" ref="BC509" si="158">BB509/(110+27)</f>
        <v>60.583941605839414</v>
      </c>
      <c r="BD509" s="54" t="s">
        <v>408</v>
      </c>
      <c r="BP509" s="396"/>
      <c r="BQ509" s="396"/>
      <c r="BU509" s="396"/>
      <c r="BV509" s="396"/>
      <c r="BZ509" s="396"/>
      <c r="CA509" s="396"/>
      <c r="CE509" s="549"/>
      <c r="CF509" s="549"/>
      <c r="CG509" s="549"/>
      <c r="CH509" s="549"/>
      <c r="CJ509" s="21">
        <v>2.7269999999999999</v>
      </c>
      <c r="CK509" s="21">
        <v>3.8690000000000002</v>
      </c>
      <c r="CN509" s="21" t="s">
        <v>406</v>
      </c>
      <c r="GZ509" s="12"/>
      <c r="HD509" s="12"/>
      <c r="JB509" s="21" t="s">
        <v>409</v>
      </c>
      <c r="JC509" s="21" t="s">
        <v>714</v>
      </c>
    </row>
    <row r="510" spans="1:263" s="21" customFormat="1" x14ac:dyDescent="0.25">
      <c r="A510" s="21">
        <v>26</v>
      </c>
      <c r="B510" s="43" t="s">
        <v>3868</v>
      </c>
      <c r="C510" s="21" t="s">
        <v>391</v>
      </c>
      <c r="D510" s="21" t="s">
        <v>392</v>
      </c>
      <c r="E510" s="21">
        <v>2015</v>
      </c>
      <c r="F510" s="21">
        <v>2012</v>
      </c>
      <c r="G510" s="21" t="s">
        <v>296</v>
      </c>
      <c r="H510" s="21" t="s">
        <v>394</v>
      </c>
      <c r="I510" s="32" t="s">
        <v>2815</v>
      </c>
      <c r="J510" s="21">
        <f t="shared" si="105"/>
        <v>35.22</v>
      </c>
      <c r="K510" s="21">
        <f t="shared" si="106"/>
        <v>-77.650000000000006</v>
      </c>
      <c r="L510" s="21">
        <v>22.4</v>
      </c>
      <c r="R510" s="43">
        <v>1</v>
      </c>
      <c r="S510" s="43">
        <v>1</v>
      </c>
      <c r="T510" s="43"/>
      <c r="U510" s="43" t="s">
        <v>400</v>
      </c>
      <c r="V510" s="43" t="s">
        <v>1382</v>
      </c>
      <c r="W510" s="43" t="s">
        <v>1717</v>
      </c>
      <c r="X510" s="43" t="s">
        <v>1382</v>
      </c>
      <c r="Y510" s="43" t="s">
        <v>1382</v>
      </c>
      <c r="AA510" s="322"/>
      <c r="AB510" s="322"/>
      <c r="AC510" s="21" t="s">
        <v>139</v>
      </c>
      <c r="AG510" s="21" t="s">
        <v>1324</v>
      </c>
      <c r="AH510" s="21" t="s">
        <v>243</v>
      </c>
      <c r="AI510" s="138" t="s">
        <v>577</v>
      </c>
      <c r="AJ510" s="21" t="s">
        <v>132</v>
      </c>
      <c r="AK510" s="141" t="s">
        <v>132</v>
      </c>
      <c r="AO510" s="21" t="s">
        <v>405</v>
      </c>
      <c r="AP510" s="21" t="s">
        <v>405</v>
      </c>
      <c r="AQ510" s="21" t="s">
        <v>2125</v>
      </c>
      <c r="AR510" s="21" t="s">
        <v>2125</v>
      </c>
      <c r="AS510" s="21" t="s">
        <v>177</v>
      </c>
      <c r="AT510" s="21">
        <v>0</v>
      </c>
      <c r="AU510" s="21">
        <v>0</v>
      </c>
      <c r="AV510" s="21" t="s">
        <v>177</v>
      </c>
      <c r="AW510" s="21" t="s">
        <v>160</v>
      </c>
      <c r="AX510" s="21">
        <v>4</v>
      </c>
      <c r="AZ510" s="21" t="s">
        <v>335</v>
      </c>
      <c r="BB510" s="21">
        <f t="shared" ref="BB510" si="159">(6.5+1.8)*1000</f>
        <v>8300</v>
      </c>
      <c r="BC510" s="21">
        <f t="shared" ref="BC510" si="160">BB510/(175+47)</f>
        <v>37.387387387387385</v>
      </c>
      <c r="BD510" s="54" t="s">
        <v>408</v>
      </c>
      <c r="BP510" s="396"/>
      <c r="BQ510" s="396"/>
      <c r="BU510" s="396"/>
      <c r="BV510" s="396"/>
      <c r="BZ510" s="396"/>
      <c r="CA510" s="396"/>
      <c r="CE510" s="549"/>
      <c r="CF510" s="549"/>
      <c r="CG510" s="549"/>
      <c r="CH510" s="549"/>
      <c r="CJ510" s="21">
        <v>2.7269999999999999</v>
      </c>
      <c r="CK510" s="21">
        <v>3.8690000000000002</v>
      </c>
      <c r="CN510" s="21" t="s">
        <v>406</v>
      </c>
      <c r="GZ510" s="12"/>
      <c r="HD510" s="12"/>
      <c r="JB510" s="21" t="s">
        <v>409</v>
      </c>
      <c r="JC510" s="21" t="s">
        <v>714</v>
      </c>
    </row>
    <row r="511" spans="1:263" s="21" customFormat="1" x14ac:dyDescent="0.25">
      <c r="A511" s="21">
        <v>26</v>
      </c>
      <c r="B511" s="43" t="s">
        <v>3868</v>
      </c>
      <c r="C511" s="21" t="s">
        <v>391</v>
      </c>
      <c r="D511" s="21" t="s">
        <v>392</v>
      </c>
      <c r="E511" s="21">
        <v>2015</v>
      </c>
      <c r="F511" s="21">
        <v>2012</v>
      </c>
      <c r="G511" s="21" t="s">
        <v>296</v>
      </c>
      <c r="H511" s="21" t="s">
        <v>394</v>
      </c>
      <c r="I511" s="32" t="s">
        <v>2815</v>
      </c>
      <c r="J511" s="21">
        <f t="shared" si="105"/>
        <v>35.22</v>
      </c>
      <c r="K511" s="21">
        <f t="shared" si="106"/>
        <v>-77.650000000000006</v>
      </c>
      <c r="L511" s="21">
        <v>22.4</v>
      </c>
      <c r="R511" s="43">
        <v>1</v>
      </c>
      <c r="S511" s="43">
        <v>1</v>
      </c>
      <c r="T511" s="43"/>
      <c r="U511" s="43" t="s">
        <v>401</v>
      </c>
      <c r="V511" s="43" t="s">
        <v>1382</v>
      </c>
      <c r="W511" s="43" t="s">
        <v>1717</v>
      </c>
      <c r="X511" s="43" t="s">
        <v>1382</v>
      </c>
      <c r="Y511" s="43" t="s">
        <v>1382</v>
      </c>
      <c r="AA511" s="322"/>
      <c r="AB511" s="322"/>
      <c r="AC511" s="21" t="s">
        <v>139</v>
      </c>
      <c r="AG511" s="21" t="s">
        <v>1324</v>
      </c>
      <c r="AH511" s="21" t="s">
        <v>396</v>
      </c>
      <c r="AI511" s="138" t="s">
        <v>577</v>
      </c>
      <c r="AJ511" s="21" t="s">
        <v>132</v>
      </c>
      <c r="AK511" s="141" t="s">
        <v>132</v>
      </c>
      <c r="AO511" s="21" t="s">
        <v>405</v>
      </c>
      <c r="AP511" s="21" t="s">
        <v>405</v>
      </c>
      <c r="AQ511" s="21" t="s">
        <v>2125</v>
      </c>
      <c r="AR511" s="21" t="s">
        <v>2125</v>
      </c>
      <c r="AS511" s="21" t="s">
        <v>177</v>
      </c>
      <c r="AT511" s="21">
        <v>0</v>
      </c>
      <c r="AU511" s="21">
        <v>0</v>
      </c>
      <c r="AV511" s="21" t="s">
        <v>177</v>
      </c>
      <c r="AW511" s="21" t="s">
        <v>160</v>
      </c>
      <c r="AX511" s="21">
        <v>4</v>
      </c>
      <c r="AZ511" s="21" t="s">
        <v>335</v>
      </c>
      <c r="BB511" s="21">
        <f t="shared" ref="BB511" si="161">(6.1+1.6)*1000</f>
        <v>7699.9999999999991</v>
      </c>
      <c r="BC511" s="21">
        <f t="shared" ref="BC511" si="162">BB511/(170+36)</f>
        <v>37.378640776699022</v>
      </c>
      <c r="BD511" s="54" t="s">
        <v>408</v>
      </c>
      <c r="BP511" s="396"/>
      <c r="BQ511" s="396"/>
      <c r="BU511" s="396"/>
      <c r="BV511" s="396"/>
      <c r="BZ511" s="396"/>
      <c r="CA511" s="396"/>
      <c r="CE511" s="549"/>
      <c r="CF511" s="549"/>
      <c r="CG511" s="549"/>
      <c r="CH511" s="549"/>
      <c r="CJ511" s="21">
        <v>4.8380000000000001</v>
      </c>
      <c r="CK511" s="21">
        <v>5.7350000000000003</v>
      </c>
      <c r="CN511" s="21" t="s">
        <v>406</v>
      </c>
      <c r="GZ511" s="12"/>
      <c r="HD511" s="12"/>
      <c r="JB511" s="21" t="s">
        <v>409</v>
      </c>
      <c r="JC511" s="21" t="s">
        <v>714</v>
      </c>
    </row>
    <row r="512" spans="1:263" s="21" customFormat="1" x14ac:dyDescent="0.25">
      <c r="A512" s="21">
        <v>26</v>
      </c>
      <c r="B512" s="43" t="s">
        <v>3868</v>
      </c>
      <c r="C512" s="21" t="s">
        <v>391</v>
      </c>
      <c r="D512" s="21" t="s">
        <v>392</v>
      </c>
      <c r="E512" s="21">
        <v>2015</v>
      </c>
      <c r="F512" s="21">
        <v>2012</v>
      </c>
      <c r="G512" s="21" t="s">
        <v>296</v>
      </c>
      <c r="H512" s="21" t="s">
        <v>394</v>
      </c>
      <c r="I512" s="32" t="s">
        <v>2815</v>
      </c>
      <c r="J512" s="21">
        <f t="shared" si="105"/>
        <v>35.22</v>
      </c>
      <c r="K512" s="21">
        <f t="shared" si="106"/>
        <v>-77.650000000000006</v>
      </c>
      <c r="L512" s="21">
        <v>22.4</v>
      </c>
      <c r="R512" s="43">
        <v>1</v>
      </c>
      <c r="S512" s="43">
        <v>1</v>
      </c>
      <c r="T512" s="43"/>
      <c r="U512" s="43" t="s">
        <v>401</v>
      </c>
      <c r="V512" s="43" t="s">
        <v>1382</v>
      </c>
      <c r="W512" s="43" t="s">
        <v>1717</v>
      </c>
      <c r="X512" s="43" t="s">
        <v>1382</v>
      </c>
      <c r="Y512" s="43" t="s">
        <v>1382</v>
      </c>
      <c r="AA512" s="322"/>
      <c r="AB512" s="322"/>
      <c r="AC512" s="21" t="s">
        <v>139</v>
      </c>
      <c r="AG512" s="21" t="s">
        <v>1324</v>
      </c>
      <c r="AH512" s="21" t="s">
        <v>397</v>
      </c>
      <c r="AI512" s="138" t="s">
        <v>577</v>
      </c>
      <c r="AJ512" s="21" t="s">
        <v>132</v>
      </c>
      <c r="AK512" s="141" t="s">
        <v>132</v>
      </c>
      <c r="AO512" s="21" t="s">
        <v>405</v>
      </c>
      <c r="AP512" s="21" t="s">
        <v>405</v>
      </c>
      <c r="AQ512" s="21" t="s">
        <v>2125</v>
      </c>
      <c r="AR512" s="21" t="s">
        <v>2125</v>
      </c>
      <c r="AS512" s="21" t="s">
        <v>177</v>
      </c>
      <c r="AT512" s="21">
        <v>0</v>
      </c>
      <c r="AU512" s="21">
        <v>0</v>
      </c>
      <c r="AV512" s="21" t="s">
        <v>177</v>
      </c>
      <c r="AW512" s="21" t="s">
        <v>160</v>
      </c>
      <c r="AX512" s="21">
        <v>4</v>
      </c>
      <c r="AZ512" s="21" t="s">
        <v>335</v>
      </c>
      <c r="BB512" s="21">
        <f t="shared" ref="BB512" si="163">(6.4+1.9)*1000</f>
        <v>8300</v>
      </c>
      <c r="BC512" s="21">
        <f t="shared" ref="BC512" si="164">BB512/(110+27)</f>
        <v>60.583941605839414</v>
      </c>
      <c r="BD512" s="54" t="s">
        <v>408</v>
      </c>
      <c r="BP512" s="396"/>
      <c r="BQ512" s="396"/>
      <c r="BU512" s="396"/>
      <c r="BV512" s="396"/>
      <c r="BZ512" s="396"/>
      <c r="CA512" s="396"/>
      <c r="CE512" s="549"/>
      <c r="CF512" s="549"/>
      <c r="CG512" s="549"/>
      <c r="CH512" s="549"/>
      <c r="CJ512" s="21">
        <v>4.8380000000000001</v>
      </c>
      <c r="CK512" s="21">
        <v>5.7350000000000003</v>
      </c>
      <c r="CN512" s="21" t="s">
        <v>406</v>
      </c>
      <c r="GZ512" s="12"/>
      <c r="HD512" s="12"/>
      <c r="JB512" s="21" t="s">
        <v>409</v>
      </c>
      <c r="JC512" s="21" t="s">
        <v>714</v>
      </c>
    </row>
    <row r="513" spans="1:263" s="21" customFormat="1" x14ac:dyDescent="0.25">
      <c r="A513" s="21">
        <v>26</v>
      </c>
      <c r="B513" s="43" t="s">
        <v>3868</v>
      </c>
      <c r="C513" s="21" t="s">
        <v>391</v>
      </c>
      <c r="D513" s="21" t="s">
        <v>392</v>
      </c>
      <c r="E513" s="21">
        <v>2015</v>
      </c>
      <c r="F513" s="21">
        <v>2012</v>
      </c>
      <c r="G513" s="21" t="s">
        <v>296</v>
      </c>
      <c r="H513" s="21" t="s">
        <v>394</v>
      </c>
      <c r="I513" s="32" t="s">
        <v>2815</v>
      </c>
      <c r="J513" s="21">
        <f t="shared" si="105"/>
        <v>35.22</v>
      </c>
      <c r="K513" s="21">
        <f t="shared" si="106"/>
        <v>-77.650000000000006</v>
      </c>
      <c r="L513" s="21">
        <v>22.4</v>
      </c>
      <c r="R513" s="43">
        <v>1</v>
      </c>
      <c r="S513" s="43">
        <v>1</v>
      </c>
      <c r="T513" s="43"/>
      <c r="U513" s="43" t="s">
        <v>401</v>
      </c>
      <c r="V513" s="43" t="s">
        <v>1382</v>
      </c>
      <c r="W513" s="43" t="s">
        <v>1717</v>
      </c>
      <c r="X513" s="43" t="s">
        <v>1382</v>
      </c>
      <c r="Y513" s="43" t="s">
        <v>1382</v>
      </c>
      <c r="AA513" s="322"/>
      <c r="AB513" s="322"/>
      <c r="AC513" s="21" t="s">
        <v>139</v>
      </c>
      <c r="AG513" s="21" t="s">
        <v>1324</v>
      </c>
      <c r="AH513" s="21" t="s">
        <v>243</v>
      </c>
      <c r="AI513" s="138" t="s">
        <v>577</v>
      </c>
      <c r="AJ513" s="21" t="s">
        <v>132</v>
      </c>
      <c r="AK513" s="141" t="s">
        <v>132</v>
      </c>
      <c r="AO513" s="21" t="s">
        <v>405</v>
      </c>
      <c r="AP513" s="21" t="s">
        <v>405</v>
      </c>
      <c r="AQ513" s="21" t="s">
        <v>2125</v>
      </c>
      <c r="AR513" s="21" t="s">
        <v>2125</v>
      </c>
      <c r="AS513" s="21" t="s">
        <v>177</v>
      </c>
      <c r="AT513" s="21">
        <v>0</v>
      </c>
      <c r="AU513" s="21">
        <v>0</v>
      </c>
      <c r="AV513" s="21" t="s">
        <v>177</v>
      </c>
      <c r="AW513" s="21" t="s">
        <v>160</v>
      </c>
      <c r="AX513" s="21">
        <v>4</v>
      </c>
      <c r="AZ513" s="21" t="s">
        <v>335</v>
      </c>
      <c r="BB513" s="21">
        <f t="shared" ref="BB513" si="165">(6.5+1.8)*1000</f>
        <v>8300</v>
      </c>
      <c r="BC513" s="21">
        <f t="shared" ref="BC513" si="166">BB513/(175+47)</f>
        <v>37.387387387387385</v>
      </c>
      <c r="BD513" s="54" t="s">
        <v>408</v>
      </c>
      <c r="BP513" s="396"/>
      <c r="BQ513" s="396"/>
      <c r="BU513" s="396"/>
      <c r="BV513" s="396"/>
      <c r="BZ513" s="396"/>
      <c r="CA513" s="396"/>
      <c r="CE513" s="549"/>
      <c r="CF513" s="549"/>
      <c r="CG513" s="549"/>
      <c r="CH513" s="549"/>
      <c r="CJ513" s="21">
        <v>4.8380000000000001</v>
      </c>
      <c r="CK513" s="21">
        <v>5.7350000000000003</v>
      </c>
      <c r="CN513" s="21" t="s">
        <v>406</v>
      </c>
      <c r="GZ513" s="12"/>
      <c r="HD513" s="12"/>
      <c r="JB513" s="21" t="s">
        <v>409</v>
      </c>
      <c r="JC513" s="21" t="s">
        <v>714</v>
      </c>
    </row>
    <row r="514" spans="1:263" s="21" customFormat="1" x14ac:dyDescent="0.25">
      <c r="A514" s="21">
        <v>26</v>
      </c>
      <c r="B514" s="43" t="s">
        <v>3868</v>
      </c>
      <c r="C514" s="21" t="s">
        <v>391</v>
      </c>
      <c r="D514" s="21" t="s">
        <v>392</v>
      </c>
      <c r="E514" s="21">
        <v>2015</v>
      </c>
      <c r="F514" s="21">
        <v>2012</v>
      </c>
      <c r="G514" s="21" t="s">
        <v>296</v>
      </c>
      <c r="H514" s="21" t="s">
        <v>394</v>
      </c>
      <c r="I514" s="32" t="s">
        <v>2815</v>
      </c>
      <c r="J514" s="21">
        <f t="shared" si="105"/>
        <v>35.22</v>
      </c>
      <c r="K514" s="21">
        <f t="shared" si="106"/>
        <v>-77.650000000000006</v>
      </c>
      <c r="L514" s="21">
        <v>22.4</v>
      </c>
      <c r="R514" s="43">
        <v>1</v>
      </c>
      <c r="S514" s="43">
        <v>1</v>
      </c>
      <c r="T514" s="43"/>
      <c r="U514" s="43" t="s">
        <v>402</v>
      </c>
      <c r="V514" s="43" t="s">
        <v>1382</v>
      </c>
      <c r="W514" s="43" t="s">
        <v>1717</v>
      </c>
      <c r="X514" s="43" t="s">
        <v>1382</v>
      </c>
      <c r="Y514" s="43" t="s">
        <v>1382</v>
      </c>
      <c r="AA514" s="322"/>
      <c r="AB514" s="322"/>
      <c r="AC514" s="21" t="s">
        <v>139</v>
      </c>
      <c r="AG514" s="21" t="s">
        <v>1324</v>
      </c>
      <c r="AH514" s="21" t="s">
        <v>396</v>
      </c>
      <c r="AI514" s="138" t="s">
        <v>577</v>
      </c>
      <c r="AJ514" s="21" t="s">
        <v>132</v>
      </c>
      <c r="AK514" s="141" t="s">
        <v>132</v>
      </c>
      <c r="AO514" s="21" t="s">
        <v>405</v>
      </c>
      <c r="AP514" s="21" t="s">
        <v>405</v>
      </c>
      <c r="AQ514" s="21" t="s">
        <v>2125</v>
      </c>
      <c r="AR514" s="21" t="s">
        <v>2125</v>
      </c>
      <c r="AS514" s="21" t="s">
        <v>177</v>
      </c>
      <c r="AT514" s="21">
        <v>0</v>
      </c>
      <c r="AU514" s="21">
        <v>0</v>
      </c>
      <c r="AV514" s="21" t="s">
        <v>177</v>
      </c>
      <c r="AW514" s="21" t="s">
        <v>160</v>
      </c>
      <c r="AX514" s="21">
        <v>4</v>
      </c>
      <c r="AZ514" s="21" t="s">
        <v>335</v>
      </c>
      <c r="BB514" s="21">
        <f t="shared" ref="BB514" si="167">(6.1+1.6)*1000</f>
        <v>7699.9999999999991</v>
      </c>
      <c r="BC514" s="21">
        <f t="shared" ref="BC514" si="168">BB514/(170+36)</f>
        <v>37.378640776699022</v>
      </c>
      <c r="BD514" s="54" t="s">
        <v>408</v>
      </c>
      <c r="BP514" s="396"/>
      <c r="BQ514" s="396"/>
      <c r="BU514" s="396"/>
      <c r="BV514" s="396"/>
      <c r="BZ514" s="396"/>
      <c r="CA514" s="396"/>
      <c r="CE514" s="549"/>
      <c r="CF514" s="549"/>
      <c r="CG514" s="549"/>
      <c r="CH514" s="549"/>
      <c r="CJ514" s="21">
        <v>5.2370000000000001</v>
      </c>
      <c r="CK514" s="21">
        <v>6.38</v>
      </c>
      <c r="CN514" s="21" t="s">
        <v>406</v>
      </c>
      <c r="GZ514" s="12"/>
      <c r="HD514" s="12"/>
      <c r="JB514" s="21" t="s">
        <v>409</v>
      </c>
      <c r="JC514" s="21" t="s">
        <v>714</v>
      </c>
    </row>
    <row r="515" spans="1:263" s="21" customFormat="1" x14ac:dyDescent="0.25">
      <c r="A515" s="21">
        <v>26</v>
      </c>
      <c r="B515" s="43" t="s">
        <v>3868</v>
      </c>
      <c r="C515" s="21" t="s">
        <v>391</v>
      </c>
      <c r="D515" s="21" t="s">
        <v>392</v>
      </c>
      <c r="E515" s="21">
        <v>2015</v>
      </c>
      <c r="F515" s="21">
        <v>2012</v>
      </c>
      <c r="G515" s="21" t="s">
        <v>296</v>
      </c>
      <c r="H515" s="21" t="s">
        <v>394</v>
      </c>
      <c r="I515" s="32" t="s">
        <v>2815</v>
      </c>
      <c r="J515" s="21">
        <f t="shared" si="105"/>
        <v>35.22</v>
      </c>
      <c r="K515" s="21">
        <f t="shared" si="106"/>
        <v>-77.650000000000006</v>
      </c>
      <c r="L515" s="21">
        <v>22.4</v>
      </c>
      <c r="R515" s="43">
        <v>1</v>
      </c>
      <c r="S515" s="43">
        <v>1</v>
      </c>
      <c r="T515" s="43"/>
      <c r="U515" s="43" t="s">
        <v>402</v>
      </c>
      <c r="V515" s="43" t="s">
        <v>1382</v>
      </c>
      <c r="W515" s="43" t="s">
        <v>1717</v>
      </c>
      <c r="X515" s="43" t="s">
        <v>1382</v>
      </c>
      <c r="Y515" s="43" t="s">
        <v>1382</v>
      </c>
      <c r="AA515" s="322"/>
      <c r="AB515" s="322"/>
      <c r="AC515" s="21" t="s">
        <v>139</v>
      </c>
      <c r="AG515" s="21" t="s">
        <v>1324</v>
      </c>
      <c r="AH515" s="21" t="s">
        <v>397</v>
      </c>
      <c r="AI515" s="138" t="s">
        <v>577</v>
      </c>
      <c r="AJ515" s="21" t="s">
        <v>132</v>
      </c>
      <c r="AK515" s="141" t="s">
        <v>132</v>
      </c>
      <c r="AO515" s="21" t="s">
        <v>405</v>
      </c>
      <c r="AP515" s="21" t="s">
        <v>405</v>
      </c>
      <c r="AQ515" s="21" t="s">
        <v>2125</v>
      </c>
      <c r="AR515" s="21" t="s">
        <v>2125</v>
      </c>
      <c r="AS515" s="21" t="s">
        <v>177</v>
      </c>
      <c r="AT515" s="21">
        <v>0</v>
      </c>
      <c r="AU515" s="21">
        <v>0</v>
      </c>
      <c r="AV515" s="21" t="s">
        <v>177</v>
      </c>
      <c r="AW515" s="21" t="s">
        <v>160</v>
      </c>
      <c r="AX515" s="21">
        <v>4</v>
      </c>
      <c r="AZ515" s="21" t="s">
        <v>335</v>
      </c>
      <c r="BB515" s="21">
        <f t="shared" ref="BB515" si="169">(6.4+1.9)*1000</f>
        <v>8300</v>
      </c>
      <c r="BC515" s="21">
        <f t="shared" ref="BC515" si="170">BB515/(110+27)</f>
        <v>60.583941605839414</v>
      </c>
      <c r="BD515" s="54" t="s">
        <v>408</v>
      </c>
      <c r="BP515" s="396"/>
      <c r="BQ515" s="396"/>
      <c r="BU515" s="396"/>
      <c r="BV515" s="396"/>
      <c r="BZ515" s="396"/>
      <c r="CA515" s="396"/>
      <c r="CE515" s="549"/>
      <c r="CF515" s="549"/>
      <c r="CG515" s="549"/>
      <c r="CH515" s="549"/>
      <c r="CJ515" s="21">
        <v>5.2370000000000001</v>
      </c>
      <c r="CK515" s="21">
        <v>6.38</v>
      </c>
      <c r="CN515" s="21" t="s">
        <v>406</v>
      </c>
      <c r="GZ515" s="12"/>
      <c r="HD515" s="12"/>
      <c r="JB515" s="21" t="s">
        <v>409</v>
      </c>
      <c r="JC515" s="21" t="s">
        <v>714</v>
      </c>
    </row>
    <row r="516" spans="1:263" s="21" customFormat="1" x14ac:dyDescent="0.25">
      <c r="A516" s="21">
        <v>26</v>
      </c>
      <c r="B516" s="43" t="s">
        <v>3868</v>
      </c>
      <c r="C516" s="21" t="s">
        <v>391</v>
      </c>
      <c r="D516" s="21" t="s">
        <v>392</v>
      </c>
      <c r="E516" s="21">
        <v>2015</v>
      </c>
      <c r="F516" s="21">
        <v>2012</v>
      </c>
      <c r="G516" s="21" t="s">
        <v>296</v>
      </c>
      <c r="H516" s="21" t="s">
        <v>394</v>
      </c>
      <c r="I516" s="32" t="s">
        <v>2815</v>
      </c>
      <c r="J516" s="21">
        <f t="shared" si="105"/>
        <v>35.22</v>
      </c>
      <c r="K516" s="21">
        <f t="shared" si="106"/>
        <v>-77.650000000000006</v>
      </c>
      <c r="L516" s="21">
        <v>22.4</v>
      </c>
      <c r="R516" s="43">
        <v>1</v>
      </c>
      <c r="S516" s="43">
        <v>1</v>
      </c>
      <c r="T516" s="43"/>
      <c r="U516" s="43" t="s">
        <v>402</v>
      </c>
      <c r="V516" s="43" t="s">
        <v>1382</v>
      </c>
      <c r="W516" s="43" t="s">
        <v>1717</v>
      </c>
      <c r="X516" s="43" t="s">
        <v>1382</v>
      </c>
      <c r="Y516" s="43" t="s">
        <v>1382</v>
      </c>
      <c r="AA516" s="322"/>
      <c r="AB516" s="322"/>
      <c r="AC516" s="21" t="s">
        <v>139</v>
      </c>
      <c r="AG516" s="21" t="s">
        <v>1324</v>
      </c>
      <c r="AH516" s="21" t="s">
        <v>243</v>
      </c>
      <c r="AI516" s="138" t="s">
        <v>577</v>
      </c>
      <c r="AJ516" s="21" t="s">
        <v>132</v>
      </c>
      <c r="AK516" s="141" t="s">
        <v>132</v>
      </c>
      <c r="AO516" s="21" t="s">
        <v>405</v>
      </c>
      <c r="AP516" s="21" t="s">
        <v>405</v>
      </c>
      <c r="AQ516" s="21" t="s">
        <v>2125</v>
      </c>
      <c r="AR516" s="21" t="s">
        <v>2125</v>
      </c>
      <c r="AS516" s="21" t="s">
        <v>177</v>
      </c>
      <c r="AT516" s="21">
        <v>0</v>
      </c>
      <c r="AU516" s="21">
        <v>0</v>
      </c>
      <c r="AV516" s="21" t="s">
        <v>177</v>
      </c>
      <c r="AW516" s="21" t="s">
        <v>160</v>
      </c>
      <c r="AX516" s="21">
        <v>4</v>
      </c>
      <c r="AZ516" s="21" t="s">
        <v>335</v>
      </c>
      <c r="BB516" s="21">
        <f t="shared" ref="BB516" si="171">(6.5+1.8)*1000</f>
        <v>8300</v>
      </c>
      <c r="BC516" s="21">
        <f t="shared" ref="BC516" si="172">BB516/(175+47)</f>
        <v>37.387387387387385</v>
      </c>
      <c r="BD516" s="54" t="s">
        <v>408</v>
      </c>
      <c r="BP516" s="396"/>
      <c r="BQ516" s="396"/>
      <c r="BU516" s="396"/>
      <c r="BV516" s="396"/>
      <c r="BZ516" s="396"/>
      <c r="CA516" s="396"/>
      <c r="CE516" s="549"/>
      <c r="CF516" s="549"/>
      <c r="CG516" s="549"/>
      <c r="CH516" s="549"/>
      <c r="CJ516" s="21">
        <v>5.2370000000000001</v>
      </c>
      <c r="CK516" s="21">
        <v>6.38</v>
      </c>
      <c r="CN516" s="21" t="s">
        <v>406</v>
      </c>
      <c r="GZ516" s="12"/>
      <c r="HD516" s="12"/>
      <c r="JB516" s="21" t="s">
        <v>409</v>
      </c>
      <c r="JC516" s="21" t="s">
        <v>714</v>
      </c>
    </row>
    <row r="517" spans="1:263" s="21" customFormat="1" x14ac:dyDescent="0.25">
      <c r="A517" s="21">
        <v>26</v>
      </c>
      <c r="B517" s="43" t="s">
        <v>3868</v>
      </c>
      <c r="C517" s="21" t="s">
        <v>391</v>
      </c>
      <c r="D517" s="21" t="s">
        <v>392</v>
      </c>
      <c r="E517" s="21">
        <v>2015</v>
      </c>
      <c r="F517" s="21">
        <v>2012</v>
      </c>
      <c r="G517" s="21" t="s">
        <v>296</v>
      </c>
      <c r="H517" s="21" t="s">
        <v>394</v>
      </c>
      <c r="I517" s="32" t="s">
        <v>2815</v>
      </c>
      <c r="J517" s="21">
        <f t="shared" si="105"/>
        <v>35.22</v>
      </c>
      <c r="K517" s="21">
        <f t="shared" si="106"/>
        <v>-77.650000000000006</v>
      </c>
      <c r="L517" s="21">
        <v>22.4</v>
      </c>
      <c r="R517" s="43">
        <v>1</v>
      </c>
      <c r="S517" s="43">
        <v>1</v>
      </c>
      <c r="T517" s="43"/>
      <c r="U517" s="43" t="s">
        <v>403</v>
      </c>
      <c r="V517" s="43" t="s">
        <v>1382</v>
      </c>
      <c r="W517" s="43" t="s">
        <v>1717</v>
      </c>
      <c r="X517" s="43" t="s">
        <v>1382</v>
      </c>
      <c r="Y517" s="43" t="s">
        <v>1382</v>
      </c>
      <c r="AA517" s="322"/>
      <c r="AB517" s="322"/>
      <c r="AC517" s="21" t="s">
        <v>139</v>
      </c>
      <c r="AG517" s="21" t="s">
        <v>1324</v>
      </c>
      <c r="AH517" s="21" t="s">
        <v>396</v>
      </c>
      <c r="AI517" s="138" t="s">
        <v>577</v>
      </c>
      <c r="AJ517" s="21" t="s">
        <v>132</v>
      </c>
      <c r="AK517" s="141" t="s">
        <v>132</v>
      </c>
      <c r="AO517" s="21" t="s">
        <v>405</v>
      </c>
      <c r="AP517" s="21" t="s">
        <v>405</v>
      </c>
      <c r="AQ517" s="21" t="s">
        <v>2125</v>
      </c>
      <c r="AR517" s="21" t="s">
        <v>2125</v>
      </c>
      <c r="AS517" s="21" t="s">
        <v>177</v>
      </c>
      <c r="AT517" s="21">
        <v>0</v>
      </c>
      <c r="AU517" s="21">
        <v>0</v>
      </c>
      <c r="AV517" s="21" t="s">
        <v>177</v>
      </c>
      <c r="AW517" s="21" t="s">
        <v>160</v>
      </c>
      <c r="AX517" s="21">
        <v>4</v>
      </c>
      <c r="AZ517" s="21" t="s">
        <v>335</v>
      </c>
      <c r="BB517" s="21">
        <f t="shared" ref="BB517" si="173">(6.1+1.6)*1000</f>
        <v>7699.9999999999991</v>
      </c>
      <c r="BC517" s="21">
        <f t="shared" ref="BC517" si="174">BB517/(170+36)</f>
        <v>37.378640776699022</v>
      </c>
      <c r="BD517" s="54" t="s">
        <v>408</v>
      </c>
      <c r="BP517" s="396"/>
      <c r="BQ517" s="396"/>
      <c r="BU517" s="396"/>
      <c r="BV517" s="396"/>
      <c r="BZ517" s="396"/>
      <c r="CA517" s="396"/>
      <c r="CE517" s="549"/>
      <c r="CF517" s="549"/>
      <c r="CG517" s="549"/>
      <c r="CH517" s="549"/>
      <c r="CJ517" s="21">
        <v>3.5859999999999999</v>
      </c>
      <c r="CK517" s="21">
        <v>4.0750000000000002</v>
      </c>
      <c r="CN517" s="21" t="s">
        <v>406</v>
      </c>
      <c r="GZ517" s="12"/>
      <c r="HD517" s="12"/>
      <c r="JB517" s="21" t="s">
        <v>409</v>
      </c>
      <c r="JC517" s="21" t="s">
        <v>714</v>
      </c>
    </row>
    <row r="518" spans="1:263" s="21" customFormat="1" x14ac:dyDescent="0.25">
      <c r="A518" s="21">
        <v>26</v>
      </c>
      <c r="B518" s="43" t="s">
        <v>3868</v>
      </c>
      <c r="C518" s="21" t="s">
        <v>391</v>
      </c>
      <c r="D518" s="21" t="s">
        <v>392</v>
      </c>
      <c r="E518" s="21">
        <v>2015</v>
      </c>
      <c r="F518" s="21">
        <v>2012</v>
      </c>
      <c r="G518" s="21" t="s">
        <v>296</v>
      </c>
      <c r="H518" s="21" t="s">
        <v>394</v>
      </c>
      <c r="I518" s="32" t="s">
        <v>2815</v>
      </c>
      <c r="J518" s="21">
        <f t="shared" si="105"/>
        <v>35.22</v>
      </c>
      <c r="K518" s="21">
        <f t="shared" si="106"/>
        <v>-77.650000000000006</v>
      </c>
      <c r="L518" s="21">
        <v>22.4</v>
      </c>
      <c r="R518" s="43">
        <v>1</v>
      </c>
      <c r="S518" s="43">
        <v>1</v>
      </c>
      <c r="T518" s="43"/>
      <c r="U518" s="43" t="s">
        <v>403</v>
      </c>
      <c r="V518" s="43" t="s">
        <v>1382</v>
      </c>
      <c r="W518" s="43" t="s">
        <v>1717</v>
      </c>
      <c r="X518" s="43" t="s">
        <v>1382</v>
      </c>
      <c r="Y518" s="43" t="s">
        <v>1382</v>
      </c>
      <c r="AA518" s="322"/>
      <c r="AB518" s="322"/>
      <c r="AC518" s="21" t="s">
        <v>139</v>
      </c>
      <c r="AG518" s="21" t="s">
        <v>1324</v>
      </c>
      <c r="AH518" s="21" t="s">
        <v>397</v>
      </c>
      <c r="AI518" s="138" t="s">
        <v>577</v>
      </c>
      <c r="AJ518" s="21" t="s">
        <v>132</v>
      </c>
      <c r="AK518" s="141" t="s">
        <v>132</v>
      </c>
      <c r="AO518" s="21" t="s">
        <v>405</v>
      </c>
      <c r="AP518" s="21" t="s">
        <v>405</v>
      </c>
      <c r="AQ518" s="21" t="s">
        <v>2125</v>
      </c>
      <c r="AR518" s="21" t="s">
        <v>2125</v>
      </c>
      <c r="AS518" s="21" t="s">
        <v>177</v>
      </c>
      <c r="AT518" s="21">
        <v>0</v>
      </c>
      <c r="AU518" s="21">
        <v>0</v>
      </c>
      <c r="AV518" s="21" t="s">
        <v>177</v>
      </c>
      <c r="AW518" s="21" t="s">
        <v>160</v>
      </c>
      <c r="AX518" s="21">
        <v>4</v>
      </c>
      <c r="AZ518" s="21" t="s">
        <v>335</v>
      </c>
      <c r="BB518" s="21">
        <f t="shared" ref="BB518" si="175">(6.4+1.9)*1000</f>
        <v>8300</v>
      </c>
      <c r="BC518" s="21">
        <f t="shared" ref="BC518" si="176">BB518/(110+27)</f>
        <v>60.583941605839414</v>
      </c>
      <c r="BD518" s="54" t="s">
        <v>408</v>
      </c>
      <c r="BP518" s="396"/>
      <c r="BQ518" s="396"/>
      <c r="BU518" s="396"/>
      <c r="BV518" s="396"/>
      <c r="BZ518" s="396"/>
      <c r="CA518" s="396"/>
      <c r="CE518" s="549"/>
      <c r="CF518" s="549"/>
      <c r="CG518" s="549"/>
      <c r="CH518" s="549"/>
      <c r="CJ518" s="21">
        <v>3.5859999999999999</v>
      </c>
      <c r="CK518" s="21">
        <v>2.2799999999999998</v>
      </c>
      <c r="CN518" s="21" t="s">
        <v>406</v>
      </c>
      <c r="GZ518" s="12"/>
      <c r="HD518" s="12"/>
      <c r="JB518" s="21" t="s">
        <v>409</v>
      </c>
      <c r="JC518" s="21" t="s">
        <v>714</v>
      </c>
    </row>
    <row r="519" spans="1:263" s="21" customFormat="1" x14ac:dyDescent="0.25">
      <c r="A519" s="21">
        <v>26</v>
      </c>
      <c r="B519" s="43" t="s">
        <v>3868</v>
      </c>
      <c r="C519" s="21" t="s">
        <v>391</v>
      </c>
      <c r="D519" s="21" t="s">
        <v>392</v>
      </c>
      <c r="E519" s="21">
        <v>2015</v>
      </c>
      <c r="F519" s="21">
        <v>2012</v>
      </c>
      <c r="G519" s="21" t="s">
        <v>296</v>
      </c>
      <c r="H519" s="21" t="s">
        <v>394</v>
      </c>
      <c r="I519" s="32" t="s">
        <v>2815</v>
      </c>
      <c r="J519" s="21">
        <f t="shared" si="105"/>
        <v>35.22</v>
      </c>
      <c r="K519" s="21">
        <f t="shared" si="106"/>
        <v>-77.650000000000006</v>
      </c>
      <c r="L519" s="21">
        <v>22.4</v>
      </c>
      <c r="R519" s="43">
        <v>1</v>
      </c>
      <c r="S519" s="43">
        <v>1</v>
      </c>
      <c r="T519" s="43"/>
      <c r="U519" s="43" t="s">
        <v>403</v>
      </c>
      <c r="V519" s="43" t="s">
        <v>1382</v>
      </c>
      <c r="W519" s="43" t="s">
        <v>1717</v>
      </c>
      <c r="X519" s="43" t="s">
        <v>1382</v>
      </c>
      <c r="Y519" s="43" t="s">
        <v>1382</v>
      </c>
      <c r="AA519" s="322"/>
      <c r="AB519" s="322"/>
      <c r="AC519" s="21" t="s">
        <v>139</v>
      </c>
      <c r="AG519" s="21" t="s">
        <v>1324</v>
      </c>
      <c r="AH519" s="21" t="s">
        <v>243</v>
      </c>
      <c r="AI519" s="138" t="s">
        <v>577</v>
      </c>
      <c r="AJ519" s="21" t="s">
        <v>132</v>
      </c>
      <c r="AK519" s="141" t="s">
        <v>132</v>
      </c>
      <c r="AO519" s="21" t="s">
        <v>405</v>
      </c>
      <c r="AP519" s="21" t="s">
        <v>405</v>
      </c>
      <c r="AQ519" s="21" t="s">
        <v>2125</v>
      </c>
      <c r="AR519" s="21" t="s">
        <v>2125</v>
      </c>
      <c r="AS519" s="21" t="s">
        <v>177</v>
      </c>
      <c r="AT519" s="21">
        <v>0</v>
      </c>
      <c r="AU519" s="21">
        <v>0</v>
      </c>
      <c r="AV519" s="21" t="s">
        <v>177</v>
      </c>
      <c r="AW519" s="21" t="s">
        <v>160</v>
      </c>
      <c r="AX519" s="21">
        <v>4</v>
      </c>
      <c r="AZ519" s="21" t="s">
        <v>335</v>
      </c>
      <c r="BB519" s="21">
        <f t="shared" ref="BB519" si="177">(6.5+1.8)*1000</f>
        <v>8300</v>
      </c>
      <c r="BC519" s="21">
        <f t="shared" ref="BC519" si="178">BB519/(175+47)</f>
        <v>37.387387387387385</v>
      </c>
      <c r="BD519" s="54" t="s">
        <v>408</v>
      </c>
      <c r="BP519" s="396"/>
      <c r="BQ519" s="396"/>
      <c r="BU519" s="396"/>
      <c r="BV519" s="396"/>
      <c r="BZ519" s="396"/>
      <c r="CA519" s="396"/>
      <c r="CE519" s="549"/>
      <c r="CF519" s="549"/>
      <c r="CG519" s="549"/>
      <c r="CH519" s="549"/>
      <c r="CJ519" s="21">
        <v>3.5859999999999999</v>
      </c>
      <c r="CK519" s="21">
        <v>4.0750000000000002</v>
      </c>
      <c r="CN519" s="21" t="s">
        <v>406</v>
      </c>
      <c r="GZ519" s="12"/>
      <c r="HD519" s="12"/>
      <c r="JB519" s="21" t="s">
        <v>409</v>
      </c>
      <c r="JC519" s="21" t="s">
        <v>714</v>
      </c>
    </row>
    <row r="520" spans="1:263" s="21" customFormat="1" x14ac:dyDescent="0.25">
      <c r="A520" s="21">
        <v>26</v>
      </c>
      <c r="B520" s="43" t="s">
        <v>3868</v>
      </c>
      <c r="C520" s="21" t="s">
        <v>391</v>
      </c>
      <c r="D520" s="21" t="s">
        <v>392</v>
      </c>
      <c r="E520" s="21">
        <v>2015</v>
      </c>
      <c r="F520" s="21">
        <v>2012</v>
      </c>
      <c r="G520" s="21" t="s">
        <v>296</v>
      </c>
      <c r="H520" s="21" t="s">
        <v>394</v>
      </c>
      <c r="I520" s="32" t="s">
        <v>2815</v>
      </c>
      <c r="J520" s="21">
        <f t="shared" si="105"/>
        <v>35.22</v>
      </c>
      <c r="K520" s="21">
        <f t="shared" si="106"/>
        <v>-77.650000000000006</v>
      </c>
      <c r="L520" s="21">
        <v>22.4</v>
      </c>
      <c r="R520" s="43">
        <v>1</v>
      </c>
      <c r="S520" s="43">
        <v>1</v>
      </c>
      <c r="T520" s="43"/>
      <c r="U520" s="43" t="s">
        <v>404</v>
      </c>
      <c r="V520" s="43" t="s">
        <v>1382</v>
      </c>
      <c r="W520" s="43" t="s">
        <v>1717</v>
      </c>
      <c r="X520" s="43" t="s">
        <v>1382</v>
      </c>
      <c r="Y520" s="43" t="s">
        <v>1382</v>
      </c>
      <c r="AA520" s="322"/>
      <c r="AB520" s="322"/>
      <c r="AC520" s="21" t="s">
        <v>139</v>
      </c>
      <c r="AG520" s="21" t="s">
        <v>1324</v>
      </c>
      <c r="AH520" s="21" t="s">
        <v>396</v>
      </c>
      <c r="AI520" s="138" t="s">
        <v>577</v>
      </c>
      <c r="AJ520" s="21" t="s">
        <v>132</v>
      </c>
      <c r="AK520" s="141" t="s">
        <v>132</v>
      </c>
      <c r="AO520" s="21" t="s">
        <v>405</v>
      </c>
      <c r="AP520" s="21" t="s">
        <v>405</v>
      </c>
      <c r="AQ520" s="21" t="s">
        <v>2125</v>
      </c>
      <c r="AR520" s="21" t="s">
        <v>2125</v>
      </c>
      <c r="AS520" s="21" t="s">
        <v>177</v>
      </c>
      <c r="AT520" s="21">
        <v>0</v>
      </c>
      <c r="AU520" s="21">
        <v>0</v>
      </c>
      <c r="AV520" s="21" t="s">
        <v>177</v>
      </c>
      <c r="AW520" s="21" t="s">
        <v>160</v>
      </c>
      <c r="AX520" s="21">
        <v>4</v>
      </c>
      <c r="AZ520" s="21" t="s">
        <v>335</v>
      </c>
      <c r="BB520" s="21">
        <f t="shared" ref="BB520" si="179">(6.1+1.6)*1000</f>
        <v>7699.9999999999991</v>
      </c>
      <c r="BC520" s="21">
        <f t="shared" ref="BC520" si="180">BB520/(170+36)</f>
        <v>37.378640776699022</v>
      </c>
      <c r="BD520" s="54" t="s">
        <v>408</v>
      </c>
      <c r="BP520" s="396"/>
      <c r="BQ520" s="396"/>
      <c r="BU520" s="396"/>
      <c r="BV520" s="396"/>
      <c r="BZ520" s="396"/>
      <c r="CA520" s="396"/>
      <c r="CE520" s="549"/>
      <c r="CF520" s="549"/>
      <c r="CG520" s="549"/>
      <c r="CH520" s="549"/>
      <c r="CJ520" s="21">
        <v>6.4219999999999997</v>
      </c>
      <c r="CK520" s="21">
        <v>5.2</v>
      </c>
      <c r="CN520" s="21" t="s">
        <v>406</v>
      </c>
      <c r="GZ520" s="12"/>
      <c r="HD520" s="12"/>
      <c r="JB520" s="21" t="s">
        <v>409</v>
      </c>
      <c r="JC520" s="21" t="s">
        <v>714</v>
      </c>
    </row>
    <row r="521" spans="1:263" s="21" customFormat="1" x14ac:dyDescent="0.25">
      <c r="A521" s="21">
        <v>26</v>
      </c>
      <c r="B521" s="43" t="s">
        <v>3868</v>
      </c>
      <c r="C521" s="21" t="s">
        <v>391</v>
      </c>
      <c r="D521" s="21" t="s">
        <v>392</v>
      </c>
      <c r="E521" s="21">
        <v>2015</v>
      </c>
      <c r="F521" s="21">
        <v>2012</v>
      </c>
      <c r="G521" s="21" t="s">
        <v>296</v>
      </c>
      <c r="H521" s="21" t="s">
        <v>394</v>
      </c>
      <c r="I521" s="32" t="s">
        <v>2815</v>
      </c>
      <c r="J521" s="21">
        <f t="shared" si="105"/>
        <v>35.22</v>
      </c>
      <c r="K521" s="21">
        <f t="shared" si="106"/>
        <v>-77.650000000000006</v>
      </c>
      <c r="L521" s="21">
        <v>22.4</v>
      </c>
      <c r="R521" s="43">
        <v>1</v>
      </c>
      <c r="S521" s="43">
        <v>1</v>
      </c>
      <c r="T521" s="43"/>
      <c r="U521" s="43" t="s">
        <v>404</v>
      </c>
      <c r="V521" s="43" t="s">
        <v>1382</v>
      </c>
      <c r="W521" s="43" t="s">
        <v>1717</v>
      </c>
      <c r="X521" s="43" t="s">
        <v>1382</v>
      </c>
      <c r="Y521" s="43" t="s">
        <v>1382</v>
      </c>
      <c r="AA521" s="322"/>
      <c r="AB521" s="322"/>
      <c r="AC521" s="21" t="s">
        <v>139</v>
      </c>
      <c r="AG521" s="21" t="s">
        <v>1324</v>
      </c>
      <c r="AH521" s="21" t="s">
        <v>397</v>
      </c>
      <c r="AI521" s="138" t="s">
        <v>577</v>
      </c>
      <c r="AJ521" s="21" t="s">
        <v>132</v>
      </c>
      <c r="AK521" s="141" t="s">
        <v>132</v>
      </c>
      <c r="AO521" s="21" t="s">
        <v>405</v>
      </c>
      <c r="AP521" s="21" t="s">
        <v>405</v>
      </c>
      <c r="AQ521" s="21" t="s">
        <v>2125</v>
      </c>
      <c r="AR521" s="21" t="s">
        <v>2125</v>
      </c>
      <c r="AS521" s="21" t="s">
        <v>177</v>
      </c>
      <c r="AT521" s="21">
        <v>0</v>
      </c>
      <c r="AU521" s="21">
        <v>0</v>
      </c>
      <c r="AV521" s="21" t="s">
        <v>177</v>
      </c>
      <c r="AW521" s="21" t="s">
        <v>160</v>
      </c>
      <c r="AX521" s="21">
        <v>4</v>
      </c>
      <c r="AZ521" s="21" t="s">
        <v>335</v>
      </c>
      <c r="BB521" s="21">
        <f t="shared" ref="BB521" si="181">(6.4+1.9)*1000</f>
        <v>8300</v>
      </c>
      <c r="BC521" s="21">
        <f t="shared" ref="BC521" si="182">BB521/(110+27)</f>
        <v>60.583941605839414</v>
      </c>
      <c r="BD521" s="54" t="s">
        <v>408</v>
      </c>
      <c r="BP521" s="396"/>
      <c r="BQ521" s="396"/>
      <c r="BU521" s="396"/>
      <c r="BV521" s="396"/>
      <c r="BZ521" s="396"/>
      <c r="CA521" s="396"/>
      <c r="CE521" s="549"/>
      <c r="CF521" s="549"/>
      <c r="CG521" s="549"/>
      <c r="CH521" s="549"/>
      <c r="CJ521" s="21">
        <v>6.4219999999999997</v>
      </c>
      <c r="CK521" s="21">
        <v>4.1399999999999997</v>
      </c>
      <c r="CN521" s="21" t="s">
        <v>406</v>
      </c>
      <c r="GZ521" s="12"/>
      <c r="HD521" s="12"/>
      <c r="JB521" s="21" t="s">
        <v>409</v>
      </c>
      <c r="JC521" s="21" t="s">
        <v>714</v>
      </c>
    </row>
    <row r="522" spans="1:263" s="21" customFormat="1" x14ac:dyDescent="0.25">
      <c r="A522" s="21">
        <v>26</v>
      </c>
      <c r="B522" s="43" t="s">
        <v>3868</v>
      </c>
      <c r="C522" s="21" t="s">
        <v>391</v>
      </c>
      <c r="D522" s="21" t="s">
        <v>392</v>
      </c>
      <c r="E522" s="21">
        <v>2015</v>
      </c>
      <c r="F522" s="21">
        <v>2012</v>
      </c>
      <c r="G522" s="21" t="s">
        <v>296</v>
      </c>
      <c r="H522" s="21" t="s">
        <v>394</v>
      </c>
      <c r="I522" s="32" t="s">
        <v>2815</v>
      </c>
      <c r="J522" s="21">
        <f t="shared" si="105"/>
        <v>35.22</v>
      </c>
      <c r="K522" s="21">
        <f t="shared" si="106"/>
        <v>-77.650000000000006</v>
      </c>
      <c r="L522" s="21">
        <v>22.4</v>
      </c>
      <c r="R522" s="43">
        <v>1</v>
      </c>
      <c r="S522" s="43">
        <v>1</v>
      </c>
      <c r="T522" s="43"/>
      <c r="U522" s="43" t="s">
        <v>404</v>
      </c>
      <c r="V522" s="43" t="s">
        <v>1382</v>
      </c>
      <c r="W522" s="43" t="s">
        <v>1717</v>
      </c>
      <c r="X522" s="43" t="s">
        <v>1382</v>
      </c>
      <c r="Y522" s="43" t="s">
        <v>1382</v>
      </c>
      <c r="AA522" s="322"/>
      <c r="AB522" s="322"/>
      <c r="AC522" s="21" t="s">
        <v>139</v>
      </c>
      <c r="AG522" s="21" t="s">
        <v>1324</v>
      </c>
      <c r="AH522" s="21" t="s">
        <v>243</v>
      </c>
      <c r="AI522" s="138" t="s">
        <v>577</v>
      </c>
      <c r="AJ522" s="21" t="s">
        <v>132</v>
      </c>
      <c r="AK522" s="141" t="s">
        <v>132</v>
      </c>
      <c r="AO522" s="21" t="s">
        <v>405</v>
      </c>
      <c r="AP522" s="21" t="s">
        <v>405</v>
      </c>
      <c r="AQ522" s="21" t="s">
        <v>2125</v>
      </c>
      <c r="AR522" s="21" t="s">
        <v>2125</v>
      </c>
      <c r="AS522" s="21" t="s">
        <v>177</v>
      </c>
      <c r="AT522" s="21">
        <v>0</v>
      </c>
      <c r="AU522" s="21">
        <v>0</v>
      </c>
      <c r="AV522" s="21" t="s">
        <v>177</v>
      </c>
      <c r="AW522" s="21" t="s">
        <v>160</v>
      </c>
      <c r="AX522" s="21">
        <v>4</v>
      </c>
      <c r="AZ522" s="21" t="s">
        <v>335</v>
      </c>
      <c r="BB522" s="21">
        <f t="shared" ref="BB522" si="183">(6.5+1.8)*1000</f>
        <v>8300</v>
      </c>
      <c r="BC522" s="21">
        <f t="shared" ref="BC522" si="184">BB522/(175+47)</f>
        <v>37.387387387387385</v>
      </c>
      <c r="BD522" s="54" t="s">
        <v>408</v>
      </c>
      <c r="BP522" s="396"/>
      <c r="BQ522" s="396"/>
      <c r="BU522" s="396"/>
      <c r="BV522" s="396"/>
      <c r="BZ522" s="396"/>
      <c r="CA522" s="396"/>
      <c r="CE522" s="549"/>
      <c r="CF522" s="549"/>
      <c r="CG522" s="549"/>
      <c r="CH522" s="549"/>
      <c r="CJ522" s="21">
        <v>6.4219999999999997</v>
      </c>
      <c r="CK522" s="21">
        <v>6.58</v>
      </c>
      <c r="CN522" s="21" t="s">
        <v>406</v>
      </c>
      <c r="GZ522" s="12"/>
      <c r="HD522" s="12"/>
      <c r="JB522" s="21" t="s">
        <v>409</v>
      </c>
      <c r="JC522" s="21" t="s">
        <v>714</v>
      </c>
    </row>
    <row r="523" spans="1:263" s="35" customFormat="1" x14ac:dyDescent="0.25">
      <c r="A523" s="35">
        <v>27</v>
      </c>
      <c r="B523" s="49" t="s">
        <v>3869</v>
      </c>
      <c r="C523" s="35" t="s">
        <v>410</v>
      </c>
      <c r="D523" s="35" t="s">
        <v>411</v>
      </c>
      <c r="E523" s="35">
        <v>2017</v>
      </c>
      <c r="F523" s="35">
        <v>2008</v>
      </c>
      <c r="G523" s="35" t="s">
        <v>412</v>
      </c>
      <c r="H523" s="35" t="s">
        <v>413</v>
      </c>
      <c r="I523" s="32" t="s">
        <v>2815</v>
      </c>
      <c r="J523" s="35">
        <f t="shared" ref="J523:J528" si="185">42+52/60</f>
        <v>42.866666666666667</v>
      </c>
      <c r="K523" s="35">
        <f t="shared" ref="K523:K528" si="186">-76-33/60</f>
        <v>-76.55</v>
      </c>
      <c r="L523" s="35">
        <v>255.8</v>
      </c>
      <c r="P523" s="35">
        <v>979</v>
      </c>
      <c r="R523" s="49">
        <v>5</v>
      </c>
      <c r="S523" s="49" t="s">
        <v>1719</v>
      </c>
      <c r="T523" s="49"/>
      <c r="U523" s="49" t="s">
        <v>1906</v>
      </c>
      <c r="V523" s="49" t="s">
        <v>1391</v>
      </c>
      <c r="W523" s="49" t="s">
        <v>1721</v>
      </c>
      <c r="X523" s="49" t="s">
        <v>1391</v>
      </c>
      <c r="Y523" s="49" t="s">
        <v>1391</v>
      </c>
      <c r="AA523" s="329"/>
      <c r="AB523" s="329"/>
      <c r="AC523" s="35" t="s">
        <v>139</v>
      </c>
      <c r="AG523" s="35" t="s">
        <v>1325</v>
      </c>
      <c r="AH523" s="35" t="s">
        <v>635</v>
      </c>
      <c r="AI523" s="138" t="s">
        <v>635</v>
      </c>
      <c r="AJ523" s="35" t="s">
        <v>220</v>
      </c>
      <c r="AK523" s="140" t="s">
        <v>1613</v>
      </c>
      <c r="AL523" s="35" t="s">
        <v>414</v>
      </c>
      <c r="AM523" s="35" t="s">
        <v>414</v>
      </c>
      <c r="AN523" s="35" t="s">
        <v>177</v>
      </c>
      <c r="AT523" s="35" t="s">
        <v>415</v>
      </c>
      <c r="AU523" s="35" t="s">
        <v>415</v>
      </c>
      <c r="AV523" s="35" t="s">
        <v>177</v>
      </c>
      <c r="AW523" s="35" t="s">
        <v>160</v>
      </c>
      <c r="AX523" s="35">
        <v>4</v>
      </c>
      <c r="AZ523" s="35" t="s">
        <v>335</v>
      </c>
      <c r="BD523" s="53"/>
      <c r="BK523" s="35">
        <v>5611</v>
      </c>
      <c r="BL523" s="35">
        <v>5786</v>
      </c>
      <c r="BP523" s="405"/>
      <c r="BQ523" s="405"/>
      <c r="BU523" s="405"/>
      <c r="BV523" s="405"/>
      <c r="BZ523" s="405"/>
      <c r="CA523" s="405"/>
      <c r="CE523" s="558"/>
      <c r="CF523" s="558"/>
      <c r="CG523" s="558"/>
      <c r="CH523" s="558"/>
      <c r="FV523" s="35">
        <f>14.59*10</f>
        <v>145.9</v>
      </c>
      <c r="FW523" s="35">
        <v>152</v>
      </c>
      <c r="GZ523" s="12"/>
      <c r="HD523" s="12"/>
    </row>
    <row r="524" spans="1:263" s="35" customFormat="1" x14ac:dyDescent="0.25">
      <c r="A524" s="35">
        <v>27</v>
      </c>
      <c r="B524" s="49" t="s">
        <v>3869</v>
      </c>
      <c r="C524" s="35" t="s">
        <v>410</v>
      </c>
      <c r="D524" s="35" t="s">
        <v>411</v>
      </c>
      <c r="E524" s="35">
        <v>2017</v>
      </c>
      <c r="F524" s="35">
        <v>2008</v>
      </c>
      <c r="G524" s="35" t="s">
        <v>412</v>
      </c>
      <c r="H524" s="35" t="s">
        <v>413</v>
      </c>
      <c r="I524" s="32" t="s">
        <v>2815</v>
      </c>
      <c r="J524" s="35">
        <f t="shared" si="185"/>
        <v>42.866666666666667</v>
      </c>
      <c r="K524" s="35">
        <f t="shared" si="186"/>
        <v>-76.55</v>
      </c>
      <c r="L524" s="35">
        <v>255.8</v>
      </c>
      <c r="P524" s="35">
        <v>979</v>
      </c>
      <c r="R524" s="49">
        <v>5</v>
      </c>
      <c r="S524" s="49" t="s">
        <v>1719</v>
      </c>
      <c r="T524" s="49"/>
      <c r="U524" s="49" t="s">
        <v>1906</v>
      </c>
      <c r="V524" s="49" t="s">
        <v>1391</v>
      </c>
      <c r="W524" s="49" t="s">
        <v>1721</v>
      </c>
      <c r="X524" s="49" t="s">
        <v>1391</v>
      </c>
      <c r="Y524" s="49" t="s">
        <v>1391</v>
      </c>
      <c r="AA524" s="329"/>
      <c r="AB524" s="329"/>
      <c r="AC524" s="35" t="s">
        <v>139</v>
      </c>
      <c r="AG524" s="35" t="s">
        <v>1325</v>
      </c>
      <c r="AH524" s="35" t="s">
        <v>635</v>
      </c>
      <c r="AI524" s="138" t="s">
        <v>635</v>
      </c>
      <c r="AJ524" s="35" t="s">
        <v>220</v>
      </c>
      <c r="AK524" s="140" t="s">
        <v>1613</v>
      </c>
      <c r="AL524" s="35" t="s">
        <v>414</v>
      </c>
      <c r="AM524" s="35" t="s">
        <v>414</v>
      </c>
      <c r="AN524" s="35" t="s">
        <v>177</v>
      </c>
      <c r="AT524" s="35" t="s">
        <v>415</v>
      </c>
      <c r="AU524" s="35" t="s">
        <v>415</v>
      </c>
      <c r="AV524" s="35" t="s">
        <v>177</v>
      </c>
      <c r="AW524" s="35" t="s">
        <v>160</v>
      </c>
      <c r="AX524" s="35">
        <v>4</v>
      </c>
      <c r="AZ524" s="35" t="s">
        <v>335</v>
      </c>
      <c r="BD524" s="53"/>
      <c r="BK524" s="35">
        <v>5611</v>
      </c>
      <c r="BL524" s="35">
        <v>6302</v>
      </c>
      <c r="BP524" s="405"/>
      <c r="BQ524" s="405"/>
      <c r="BU524" s="405"/>
      <c r="BV524" s="405"/>
      <c r="BZ524" s="405"/>
      <c r="CA524" s="405"/>
      <c r="CE524" s="558"/>
      <c r="CF524" s="558"/>
      <c r="CG524" s="558"/>
      <c r="CH524" s="558"/>
      <c r="FV524" s="35">
        <f t="shared" ref="FV524:FV525" si="187">14.59*10</f>
        <v>145.9</v>
      </c>
      <c r="FW524" s="35">
        <v>47.9</v>
      </c>
      <c r="GZ524" s="12"/>
      <c r="HD524" s="12"/>
    </row>
    <row r="525" spans="1:263" s="35" customFormat="1" x14ac:dyDescent="0.25">
      <c r="A525" s="35">
        <v>27</v>
      </c>
      <c r="B525" s="49" t="s">
        <v>3869</v>
      </c>
      <c r="C525" s="35" t="s">
        <v>410</v>
      </c>
      <c r="D525" s="35" t="s">
        <v>411</v>
      </c>
      <c r="E525" s="35">
        <v>2017</v>
      </c>
      <c r="F525" s="35">
        <v>2008</v>
      </c>
      <c r="G525" s="35" t="s">
        <v>412</v>
      </c>
      <c r="H525" s="35" t="s">
        <v>413</v>
      </c>
      <c r="I525" s="32" t="s">
        <v>2815</v>
      </c>
      <c r="J525" s="35">
        <f t="shared" si="185"/>
        <v>42.866666666666667</v>
      </c>
      <c r="K525" s="35">
        <f t="shared" si="186"/>
        <v>-76.55</v>
      </c>
      <c r="L525" s="35">
        <v>255.8</v>
      </c>
      <c r="P525" s="35">
        <v>979</v>
      </c>
      <c r="R525" s="49">
        <v>5</v>
      </c>
      <c r="S525" s="49" t="s">
        <v>1719</v>
      </c>
      <c r="T525" s="49"/>
      <c r="U525" s="49" t="s">
        <v>1906</v>
      </c>
      <c r="V525" s="49" t="s">
        <v>1391</v>
      </c>
      <c r="W525" s="49" t="s">
        <v>1721</v>
      </c>
      <c r="X525" s="49" t="s">
        <v>1391</v>
      </c>
      <c r="Y525" s="49" t="s">
        <v>1391</v>
      </c>
      <c r="AA525" s="329"/>
      <c r="AB525" s="329"/>
      <c r="AC525" s="35" t="s">
        <v>139</v>
      </c>
      <c r="AG525" s="35" t="s">
        <v>1325</v>
      </c>
      <c r="AH525" s="35" t="s">
        <v>635</v>
      </c>
      <c r="AI525" s="138" t="s">
        <v>635</v>
      </c>
      <c r="AJ525" s="35" t="s">
        <v>220</v>
      </c>
      <c r="AK525" s="140" t="s">
        <v>1613</v>
      </c>
      <c r="AL525" s="35" t="s">
        <v>414</v>
      </c>
      <c r="AM525" s="35" t="s">
        <v>414</v>
      </c>
      <c r="AN525" s="35" t="s">
        <v>177</v>
      </c>
      <c r="AT525" s="35" t="s">
        <v>415</v>
      </c>
      <c r="AU525" s="35" t="s">
        <v>415</v>
      </c>
      <c r="AV525" s="35" t="s">
        <v>177</v>
      </c>
      <c r="AW525" s="35" t="s">
        <v>160</v>
      </c>
      <c r="AX525" s="35">
        <v>4</v>
      </c>
      <c r="AZ525" s="35" t="s">
        <v>335</v>
      </c>
      <c r="BD525" s="53"/>
      <c r="BK525" s="35">
        <v>5611</v>
      </c>
      <c r="BL525" s="35">
        <v>6477</v>
      </c>
      <c r="BP525" s="405"/>
      <c r="BQ525" s="405"/>
      <c r="BU525" s="405"/>
      <c r="BV525" s="405"/>
      <c r="BZ525" s="405"/>
      <c r="CA525" s="405"/>
      <c r="CE525" s="558"/>
      <c r="CF525" s="558"/>
      <c r="CG525" s="558"/>
      <c r="CH525" s="558"/>
      <c r="FV525" s="35">
        <f t="shared" si="187"/>
        <v>145.9</v>
      </c>
      <c r="FW525" s="35">
        <v>136.9</v>
      </c>
      <c r="GZ525" s="12"/>
      <c r="HD525" s="12"/>
    </row>
    <row r="526" spans="1:263" s="5" customFormat="1" x14ac:dyDescent="0.25">
      <c r="A526" s="35">
        <v>27</v>
      </c>
      <c r="B526" s="49" t="s">
        <v>3869</v>
      </c>
      <c r="C526" s="35" t="s">
        <v>410</v>
      </c>
      <c r="D526" s="35" t="s">
        <v>411</v>
      </c>
      <c r="E526" s="35">
        <v>2017</v>
      </c>
      <c r="F526" s="35">
        <v>2008</v>
      </c>
      <c r="G526" s="35" t="s">
        <v>412</v>
      </c>
      <c r="H526" s="35" t="s">
        <v>413</v>
      </c>
      <c r="I526" s="32" t="s">
        <v>2815</v>
      </c>
      <c r="J526" s="35">
        <f t="shared" si="185"/>
        <v>42.866666666666667</v>
      </c>
      <c r="K526" s="35">
        <f t="shared" si="186"/>
        <v>-76.55</v>
      </c>
      <c r="L526" s="35">
        <v>255.8</v>
      </c>
      <c r="M526" s="35"/>
      <c r="N526" s="35"/>
      <c r="O526" s="35"/>
      <c r="P526" s="35">
        <v>979</v>
      </c>
      <c r="Q526" s="35"/>
      <c r="R526" s="49">
        <v>5</v>
      </c>
      <c r="S526" s="49" t="s">
        <v>1719</v>
      </c>
      <c r="T526" s="49"/>
      <c r="U526" s="49" t="s">
        <v>1906</v>
      </c>
      <c r="V526" s="49" t="s">
        <v>1391</v>
      </c>
      <c r="W526" s="49" t="s">
        <v>1721</v>
      </c>
      <c r="X526" s="49" t="s">
        <v>1391</v>
      </c>
      <c r="Y526" s="49" t="s">
        <v>1391</v>
      </c>
      <c r="Z526" s="35"/>
      <c r="AA526" s="329"/>
      <c r="AB526" s="329"/>
      <c r="AC526" s="35" t="s">
        <v>139</v>
      </c>
      <c r="AD526" s="35"/>
      <c r="AE526" s="35"/>
      <c r="AF526" s="35"/>
      <c r="AG526" s="35" t="s">
        <v>1325</v>
      </c>
      <c r="AH526" s="35" t="s">
        <v>635</v>
      </c>
      <c r="AI526" s="138" t="s">
        <v>635</v>
      </c>
      <c r="AJ526" s="35" t="s">
        <v>220</v>
      </c>
      <c r="AK526" s="140" t="s">
        <v>1613</v>
      </c>
      <c r="AL526" s="35" t="s">
        <v>414</v>
      </c>
      <c r="AM526" s="35" t="s">
        <v>414</v>
      </c>
      <c r="AN526" s="35" t="s">
        <v>177</v>
      </c>
      <c r="AO526" s="35"/>
      <c r="AP526" s="35"/>
      <c r="AQ526" s="35"/>
      <c r="AR526" s="35"/>
      <c r="AS526" s="35"/>
      <c r="AT526" s="35" t="s">
        <v>415</v>
      </c>
      <c r="AU526" s="35" t="s">
        <v>415</v>
      </c>
      <c r="AV526" s="35" t="s">
        <v>177</v>
      </c>
      <c r="AW526" s="35" t="s">
        <v>160</v>
      </c>
      <c r="AX526" s="35">
        <v>4</v>
      </c>
      <c r="AY526" s="35"/>
      <c r="AZ526" s="35" t="s">
        <v>335</v>
      </c>
      <c r="BA526" s="35"/>
      <c r="BD526" s="54"/>
      <c r="BK526" s="5">
        <v>4914</v>
      </c>
      <c r="BL526" s="5">
        <v>4623</v>
      </c>
      <c r="BP526" s="403"/>
      <c r="BQ526" s="403"/>
      <c r="BU526" s="403"/>
      <c r="BV526" s="403"/>
      <c r="BZ526" s="403"/>
      <c r="CA526" s="403"/>
      <c r="CE526" s="556"/>
      <c r="CF526" s="556"/>
      <c r="CG526" s="556"/>
      <c r="CH526" s="556"/>
      <c r="FV526" s="5">
        <v>237.5</v>
      </c>
      <c r="FW526" s="5">
        <v>233.61</v>
      </c>
      <c r="GZ526" s="12"/>
      <c r="HD526" s="12"/>
      <c r="IX526" s="35"/>
      <c r="IY526" s="35"/>
      <c r="IZ526" s="35"/>
      <c r="JA526" s="35"/>
    </row>
    <row r="527" spans="1:263" s="5" customFormat="1" x14ac:dyDescent="0.25">
      <c r="A527" s="35">
        <v>27</v>
      </c>
      <c r="B527" s="49" t="s">
        <v>3869</v>
      </c>
      <c r="C527" s="35" t="s">
        <v>410</v>
      </c>
      <c r="D527" s="35" t="s">
        <v>411</v>
      </c>
      <c r="E527" s="35">
        <v>2017</v>
      </c>
      <c r="F527" s="35">
        <v>2008</v>
      </c>
      <c r="G527" s="35" t="s">
        <v>412</v>
      </c>
      <c r="H527" s="35" t="s">
        <v>413</v>
      </c>
      <c r="I527" s="32" t="s">
        <v>2815</v>
      </c>
      <c r="J527" s="35">
        <f t="shared" si="185"/>
        <v>42.866666666666667</v>
      </c>
      <c r="K527" s="35">
        <f t="shared" si="186"/>
        <v>-76.55</v>
      </c>
      <c r="L527" s="35">
        <v>255.8</v>
      </c>
      <c r="M527" s="35"/>
      <c r="N527" s="35"/>
      <c r="O527" s="35"/>
      <c r="P527" s="35">
        <v>979</v>
      </c>
      <c r="Q527" s="35"/>
      <c r="R527" s="49">
        <v>5</v>
      </c>
      <c r="S527" s="49" t="s">
        <v>1719</v>
      </c>
      <c r="T527" s="49"/>
      <c r="U527" s="49" t="s">
        <v>1906</v>
      </c>
      <c r="V527" s="49" t="s">
        <v>1391</v>
      </c>
      <c r="W527" s="49" t="s">
        <v>1721</v>
      </c>
      <c r="X527" s="49" t="s">
        <v>1391</v>
      </c>
      <c r="Y527" s="49" t="s">
        <v>1391</v>
      </c>
      <c r="Z527" s="35"/>
      <c r="AA527" s="329"/>
      <c r="AB527" s="329"/>
      <c r="AC527" s="35" t="s">
        <v>139</v>
      </c>
      <c r="AD527" s="35"/>
      <c r="AE527" s="35"/>
      <c r="AF527" s="35"/>
      <c r="AG527" s="35" t="s">
        <v>1325</v>
      </c>
      <c r="AH527" s="35" t="s">
        <v>635</v>
      </c>
      <c r="AI527" s="138" t="s">
        <v>635</v>
      </c>
      <c r="AJ527" s="35" t="s">
        <v>220</v>
      </c>
      <c r="AK527" s="140" t="s">
        <v>1613</v>
      </c>
      <c r="AL527" s="35" t="s">
        <v>414</v>
      </c>
      <c r="AM527" s="35" t="s">
        <v>414</v>
      </c>
      <c r="AN527" s="35" t="s">
        <v>177</v>
      </c>
      <c r="AO527" s="35"/>
      <c r="AP527" s="35"/>
      <c r="AQ527" s="35"/>
      <c r="AR527" s="35"/>
      <c r="AS527" s="35"/>
      <c r="AT527" s="35" t="s">
        <v>415</v>
      </c>
      <c r="AU527" s="35" t="s">
        <v>415</v>
      </c>
      <c r="AV527" s="35" t="s">
        <v>177</v>
      </c>
      <c r="AW527" s="35" t="s">
        <v>160</v>
      </c>
      <c r="AX527" s="35">
        <v>4</v>
      </c>
      <c r="AY527" s="35"/>
      <c r="AZ527" s="35" t="s">
        <v>335</v>
      </c>
      <c r="BA527" s="35"/>
      <c r="BD527" s="54"/>
      <c r="BK527" s="5">
        <v>4914</v>
      </c>
      <c r="BL527" s="5">
        <v>5501</v>
      </c>
      <c r="BP527" s="403"/>
      <c r="BQ527" s="403"/>
      <c r="BU527" s="403"/>
      <c r="BV527" s="403"/>
      <c r="BZ527" s="403"/>
      <c r="CA527" s="403"/>
      <c r="CE527" s="556"/>
      <c r="CF527" s="556"/>
      <c r="CG527" s="556"/>
      <c r="CH527" s="556"/>
      <c r="FV527" s="5">
        <v>237.5</v>
      </c>
      <c r="FW527" s="5">
        <v>54.49</v>
      </c>
      <c r="GZ527" s="12"/>
      <c r="HD527" s="12"/>
      <c r="IX527" s="35"/>
      <c r="IY527" s="35"/>
      <c r="IZ527" s="35"/>
      <c r="JA527" s="35"/>
    </row>
    <row r="528" spans="1:263" s="5" customFormat="1" x14ac:dyDescent="0.25">
      <c r="A528" s="35">
        <v>27</v>
      </c>
      <c r="B528" s="49" t="s">
        <v>3869</v>
      </c>
      <c r="C528" s="35" t="s">
        <v>410</v>
      </c>
      <c r="D528" s="35" t="s">
        <v>411</v>
      </c>
      <c r="E528" s="35">
        <v>2017</v>
      </c>
      <c r="F528" s="35">
        <v>2008</v>
      </c>
      <c r="G528" s="35" t="s">
        <v>412</v>
      </c>
      <c r="H528" s="35" t="s">
        <v>413</v>
      </c>
      <c r="I528" s="32" t="s">
        <v>2815</v>
      </c>
      <c r="J528" s="35">
        <f t="shared" si="185"/>
        <v>42.866666666666667</v>
      </c>
      <c r="K528" s="35">
        <f t="shared" si="186"/>
        <v>-76.55</v>
      </c>
      <c r="L528" s="35">
        <v>255.8</v>
      </c>
      <c r="M528" s="35"/>
      <c r="N528" s="35"/>
      <c r="O528" s="35"/>
      <c r="P528" s="35">
        <v>979</v>
      </c>
      <c r="Q528" s="35"/>
      <c r="R528" s="49">
        <v>5</v>
      </c>
      <c r="S528" s="49" t="s">
        <v>1719</v>
      </c>
      <c r="T528" s="49"/>
      <c r="U528" s="49" t="s">
        <v>1906</v>
      </c>
      <c r="V528" s="49" t="s">
        <v>1391</v>
      </c>
      <c r="W528" s="49" t="s">
        <v>1721</v>
      </c>
      <c r="X528" s="49" t="s">
        <v>1391</v>
      </c>
      <c r="Y528" s="49" t="s">
        <v>1391</v>
      </c>
      <c r="Z528" s="35"/>
      <c r="AA528" s="329"/>
      <c r="AB528" s="329"/>
      <c r="AC528" s="35" t="s">
        <v>139</v>
      </c>
      <c r="AD528" s="35"/>
      <c r="AE528" s="35"/>
      <c r="AF528" s="35"/>
      <c r="AG528" s="35" t="s">
        <v>1325</v>
      </c>
      <c r="AH528" s="35" t="s">
        <v>635</v>
      </c>
      <c r="AI528" s="138" t="s">
        <v>635</v>
      </c>
      <c r="AJ528" s="35" t="s">
        <v>220</v>
      </c>
      <c r="AK528" s="140" t="s">
        <v>1613</v>
      </c>
      <c r="AL528" s="35" t="s">
        <v>414</v>
      </c>
      <c r="AM528" s="35" t="s">
        <v>414</v>
      </c>
      <c r="AN528" s="35" t="s">
        <v>177</v>
      </c>
      <c r="AO528" s="35"/>
      <c r="AP528" s="35"/>
      <c r="AQ528" s="35"/>
      <c r="AR528" s="35"/>
      <c r="AS528" s="35"/>
      <c r="AT528" s="35" t="s">
        <v>415</v>
      </c>
      <c r="AU528" s="35" t="s">
        <v>415</v>
      </c>
      <c r="AV528" s="35" t="s">
        <v>177</v>
      </c>
      <c r="AW528" s="35" t="s">
        <v>160</v>
      </c>
      <c r="AX528" s="35">
        <v>4</v>
      </c>
      <c r="AY528" s="35"/>
      <c r="AZ528" s="35" t="s">
        <v>335</v>
      </c>
      <c r="BA528" s="35"/>
      <c r="BD528" s="54"/>
      <c r="BK528" s="5">
        <v>4914</v>
      </c>
      <c r="BL528" s="5">
        <v>4918</v>
      </c>
      <c r="BP528" s="403"/>
      <c r="BQ528" s="403"/>
      <c r="BU528" s="403"/>
      <c r="BV528" s="403"/>
      <c r="BZ528" s="403"/>
      <c r="CA528" s="403"/>
      <c r="CE528" s="556"/>
      <c r="CF528" s="556"/>
      <c r="CG528" s="556"/>
      <c r="CH528" s="556"/>
      <c r="FV528" s="5">
        <v>237.5</v>
      </c>
      <c r="FW528" s="5">
        <v>216.05</v>
      </c>
      <c r="GZ528" s="12"/>
      <c r="HD528" s="12"/>
      <c r="IX528" s="35"/>
      <c r="IY528" s="35"/>
      <c r="IZ528" s="35"/>
      <c r="JA528" s="35"/>
    </row>
    <row r="529" spans="1:263" s="33" customFormat="1" x14ac:dyDescent="0.25">
      <c r="A529" s="33">
        <v>28</v>
      </c>
      <c r="B529" s="47" t="s">
        <v>3870</v>
      </c>
      <c r="C529" s="33" t="s">
        <v>416</v>
      </c>
      <c r="D529" s="33" t="s">
        <v>417</v>
      </c>
      <c r="E529" s="33">
        <v>2007</v>
      </c>
      <c r="F529" s="33">
        <v>2005</v>
      </c>
      <c r="G529" s="33" t="s">
        <v>418</v>
      </c>
      <c r="H529" s="33" t="s">
        <v>419</v>
      </c>
      <c r="I529" s="32" t="s">
        <v>2815</v>
      </c>
      <c r="J529" s="33">
        <f>39+13/60</f>
        <v>39.216666666666669</v>
      </c>
      <c r="K529" s="33">
        <f>-92-7/60</f>
        <v>-92.11666666666666</v>
      </c>
      <c r="L529" s="33">
        <v>262.2</v>
      </c>
      <c r="R529" s="47" t="s">
        <v>1717</v>
      </c>
      <c r="S529" s="47" t="s">
        <v>1717</v>
      </c>
      <c r="T529" s="47"/>
      <c r="U529" s="47" t="s">
        <v>1907</v>
      </c>
      <c r="V529" s="47" t="s">
        <v>1388</v>
      </c>
      <c r="W529" s="47" t="s">
        <v>1719</v>
      </c>
      <c r="X529" s="47" t="s">
        <v>1388</v>
      </c>
      <c r="Y529" s="47" t="s">
        <v>1389</v>
      </c>
      <c r="Z529" s="33">
        <v>1.28</v>
      </c>
      <c r="AA529" s="327">
        <f>100-AB529-(21.3+45.5+49.9+24.8+54.6+42.9+23+38.3+39.7)/9</f>
        <v>5.2555555555555529</v>
      </c>
      <c r="AB529" s="327">
        <f>(70.3+50.2+49+65.8+42.8+55.3+69.2+55.7+54.4)/9</f>
        <v>56.966666666666669</v>
      </c>
      <c r="AC529" s="33" t="s">
        <v>420</v>
      </c>
      <c r="AD529" s="33">
        <f>(5.9+5+5+6.1+4.9+5.1+5.9+5.1+5.1)/9</f>
        <v>5.344444444444445</v>
      </c>
      <c r="AE529" s="33">
        <f>(1+0.9+0.7+1+0.9+0.4+1+0.9+0.5)/9</f>
        <v>0.81111111111111123</v>
      </c>
      <c r="AG529" s="33" t="s">
        <v>1326</v>
      </c>
      <c r="AH529" s="33" t="s">
        <v>1534</v>
      </c>
      <c r="AI529" s="138" t="s">
        <v>577</v>
      </c>
      <c r="AJ529" s="33" t="s">
        <v>1587</v>
      </c>
      <c r="AK529" s="141" t="s">
        <v>1621</v>
      </c>
      <c r="AL529" s="33" t="s">
        <v>421</v>
      </c>
      <c r="AM529" s="33" t="s">
        <v>421</v>
      </c>
      <c r="AN529" s="33" t="s">
        <v>177</v>
      </c>
      <c r="AO529" s="33" t="s">
        <v>422</v>
      </c>
      <c r="AP529" s="33" t="s">
        <v>156</v>
      </c>
      <c r="AQ529" s="33" t="s">
        <v>2125</v>
      </c>
      <c r="AR529" s="33" t="s">
        <v>2126</v>
      </c>
      <c r="AS529" s="33" t="s">
        <v>502</v>
      </c>
      <c r="AT529" s="33" t="s">
        <v>424</v>
      </c>
      <c r="AU529" s="33" t="s">
        <v>423</v>
      </c>
      <c r="AV529" s="33" t="s">
        <v>502</v>
      </c>
      <c r="AW529" s="33" t="s">
        <v>160</v>
      </c>
      <c r="AX529" s="33">
        <v>3</v>
      </c>
      <c r="AZ529" s="33" t="s">
        <v>335</v>
      </c>
      <c r="BD529" s="54"/>
      <c r="BP529" s="402">
        <v>1.24</v>
      </c>
      <c r="BQ529" s="402">
        <v>1.24</v>
      </c>
      <c r="BU529" s="402"/>
      <c r="BV529" s="402"/>
      <c r="BZ529" s="402"/>
      <c r="CA529" s="402"/>
      <c r="CE529" s="555"/>
      <c r="CF529" s="555"/>
      <c r="CG529" s="555"/>
      <c r="CH529" s="555"/>
      <c r="DX529" s="33">
        <v>0.03</v>
      </c>
      <c r="DY529" s="33">
        <v>2.8000000000000001E-2</v>
      </c>
      <c r="EB529" s="33" t="s">
        <v>426</v>
      </c>
      <c r="EM529" s="33">
        <f>10^(1.0005)</f>
        <v>10.011519555381691</v>
      </c>
      <c r="EN529" s="33">
        <f>10^1.3276</f>
        <v>21.261798598625219</v>
      </c>
      <c r="FL529" s="33">
        <v>0.4743</v>
      </c>
      <c r="FM529" s="33">
        <v>0.4919</v>
      </c>
      <c r="FP529" s="33" t="s">
        <v>425</v>
      </c>
      <c r="GZ529" s="12"/>
      <c r="HD529" s="12"/>
      <c r="JB529" s="33" t="s">
        <v>860</v>
      </c>
    </row>
    <row r="530" spans="1:263" s="33" customFormat="1" x14ac:dyDescent="0.25">
      <c r="A530" s="33">
        <v>28</v>
      </c>
      <c r="B530" s="47" t="s">
        <v>3871</v>
      </c>
      <c r="C530" s="33" t="s">
        <v>416</v>
      </c>
      <c r="D530" s="33" t="s">
        <v>417</v>
      </c>
      <c r="E530" s="33">
        <v>2007</v>
      </c>
      <c r="F530" s="33">
        <v>2005</v>
      </c>
      <c r="G530" s="33" t="s">
        <v>418</v>
      </c>
      <c r="H530" s="33" t="s">
        <v>419</v>
      </c>
      <c r="I530" s="32" t="s">
        <v>2815</v>
      </c>
      <c r="J530" s="33">
        <f>39+13/60</f>
        <v>39.216666666666669</v>
      </c>
      <c r="K530" s="33">
        <f>-92-7/60</f>
        <v>-92.11666666666666</v>
      </c>
      <c r="L530" s="33">
        <v>262.2</v>
      </c>
      <c r="R530" s="47" t="s">
        <v>1717</v>
      </c>
      <c r="S530" s="47" t="s">
        <v>1717</v>
      </c>
      <c r="T530" s="47"/>
      <c r="U530" s="47" t="s">
        <v>1907</v>
      </c>
      <c r="V530" s="47" t="s">
        <v>1392</v>
      </c>
      <c r="W530" s="47" t="s">
        <v>1719</v>
      </c>
      <c r="X530" s="47" t="s">
        <v>1388</v>
      </c>
      <c r="Y530" s="47" t="s">
        <v>1389</v>
      </c>
      <c r="Z530" s="33">
        <v>1.28</v>
      </c>
      <c r="AA530" s="327">
        <f>100-AB530-(21.3+45.5+49.9+24.8+54.6+42.9+23+38.3+39.7)/9</f>
        <v>5.2555555555555529</v>
      </c>
      <c r="AB530" s="327">
        <f>(70.3+50.2+49+65.8+42.8+55.3+69.2+55.7+54.4)/9</f>
        <v>56.966666666666669</v>
      </c>
      <c r="AC530" s="33" t="s">
        <v>420</v>
      </c>
      <c r="AD530" s="33">
        <f>(5.9+5+5+6.1+4.9+5.1+5.9+5.1+5.1)/9</f>
        <v>5.344444444444445</v>
      </c>
      <c r="AE530" s="33">
        <f t="shared" ref="AE530:AE531" si="188">(1+0.9+0.7+1+0.9+0.4+1+0.9+0.5)/9</f>
        <v>0.81111111111111123</v>
      </c>
      <c r="AG530" s="33" t="s">
        <v>1326</v>
      </c>
      <c r="AH530" s="33" t="s">
        <v>1534</v>
      </c>
      <c r="AI530" s="138" t="s">
        <v>577</v>
      </c>
      <c r="AJ530" s="33" t="s">
        <v>1587</v>
      </c>
      <c r="AK530" s="141" t="s">
        <v>1621</v>
      </c>
      <c r="AL530" s="33" t="s">
        <v>421</v>
      </c>
      <c r="AM530" s="33" t="s">
        <v>421</v>
      </c>
      <c r="AN530" s="33" t="s">
        <v>177</v>
      </c>
      <c r="AO530" s="33" t="s">
        <v>422</v>
      </c>
      <c r="AP530" s="33" t="s">
        <v>156</v>
      </c>
      <c r="AQ530" s="33" t="s">
        <v>2125</v>
      </c>
      <c r="AR530" s="33" t="s">
        <v>2126</v>
      </c>
      <c r="AS530" s="33" t="s">
        <v>502</v>
      </c>
      <c r="AT530" s="33" t="s">
        <v>424</v>
      </c>
      <c r="AU530" s="33" t="s">
        <v>423</v>
      </c>
      <c r="AV530" s="33" t="s">
        <v>502</v>
      </c>
      <c r="AW530" s="33" t="s">
        <v>160</v>
      </c>
      <c r="AX530" s="33">
        <v>3</v>
      </c>
      <c r="AZ530" s="33" t="s">
        <v>335</v>
      </c>
      <c r="BD530" s="54"/>
      <c r="BP530" s="402">
        <v>1.36</v>
      </c>
      <c r="BQ530" s="402">
        <v>1.38</v>
      </c>
      <c r="BU530" s="402"/>
      <c r="BV530" s="402"/>
      <c r="BZ530" s="402"/>
      <c r="CA530" s="402"/>
      <c r="CE530" s="555"/>
      <c r="CF530" s="555"/>
      <c r="CG530" s="555"/>
      <c r="CH530" s="555"/>
      <c r="DX530" s="33">
        <v>2.8000000000000001E-2</v>
      </c>
      <c r="DY530" s="33">
        <v>2.5999999999999999E-2</v>
      </c>
      <c r="EB530" s="33" t="s">
        <v>426</v>
      </c>
      <c r="EM530" s="33">
        <f>10^0.7856</f>
        <v>6.1037958555853074</v>
      </c>
      <c r="EN530" s="33">
        <f>10^1.2941</f>
        <v>19.683394644420513</v>
      </c>
      <c r="FL530" s="33">
        <v>0.4672</v>
      </c>
      <c r="FM530" s="33">
        <v>0.47420000000000001</v>
      </c>
      <c r="FP530" s="33" t="s">
        <v>425</v>
      </c>
      <c r="GZ530" s="12"/>
      <c r="HD530" s="12"/>
      <c r="JB530" s="33" t="s">
        <v>860</v>
      </c>
    </row>
    <row r="531" spans="1:263" s="33" customFormat="1" x14ac:dyDescent="0.25">
      <c r="A531" s="33">
        <v>28</v>
      </c>
      <c r="B531" s="47" t="s">
        <v>3872</v>
      </c>
      <c r="C531" s="33" t="s">
        <v>416</v>
      </c>
      <c r="D531" s="33" t="s">
        <v>417</v>
      </c>
      <c r="E531" s="33">
        <v>2007</v>
      </c>
      <c r="F531" s="33">
        <v>2005</v>
      </c>
      <c r="G531" s="33" t="s">
        <v>418</v>
      </c>
      <c r="H531" s="33" t="s">
        <v>419</v>
      </c>
      <c r="I531" s="32" t="s">
        <v>2815</v>
      </c>
      <c r="J531" s="33">
        <f>39+13/60</f>
        <v>39.216666666666669</v>
      </c>
      <c r="K531" s="33">
        <f>-92-7/60</f>
        <v>-92.11666666666666</v>
      </c>
      <c r="L531" s="33">
        <v>262.2</v>
      </c>
      <c r="R531" s="47" t="s">
        <v>1717</v>
      </c>
      <c r="S531" s="47" t="s">
        <v>1717</v>
      </c>
      <c r="T531" s="47"/>
      <c r="U531" s="47" t="s">
        <v>1907</v>
      </c>
      <c r="V531" s="47" t="s">
        <v>1393</v>
      </c>
      <c r="W531" s="47" t="s">
        <v>1719</v>
      </c>
      <c r="X531" s="47" t="s">
        <v>1388</v>
      </c>
      <c r="Y531" s="47" t="s">
        <v>1389</v>
      </c>
      <c r="Z531" s="33">
        <v>1.28</v>
      </c>
      <c r="AA531" s="327">
        <f>100-AB531-(21.3+45.5+49.9+24.8+54.6+42.9+23+38.3+39.7)/9</f>
        <v>5.2555555555555529</v>
      </c>
      <c r="AB531" s="327">
        <f>(70.3+50.2+49+65.8+42.8+55.3+69.2+55.7+54.4)/9</f>
        <v>56.966666666666669</v>
      </c>
      <c r="AC531" s="33" t="s">
        <v>420</v>
      </c>
      <c r="AD531" s="33">
        <f>(5.9+5+5+6.1+4.9+5.1+5.9+5.1+5.1)/9</f>
        <v>5.344444444444445</v>
      </c>
      <c r="AE531" s="33">
        <f t="shared" si="188"/>
        <v>0.81111111111111123</v>
      </c>
      <c r="AG531" s="33" t="s">
        <v>1326</v>
      </c>
      <c r="AH531" s="33" t="s">
        <v>1534</v>
      </c>
      <c r="AI531" s="138" t="s">
        <v>577</v>
      </c>
      <c r="AJ531" s="33" t="s">
        <v>1587</v>
      </c>
      <c r="AK531" s="141" t="s">
        <v>1621</v>
      </c>
      <c r="AL531" s="33" t="s">
        <v>421</v>
      </c>
      <c r="AM531" s="33" t="s">
        <v>421</v>
      </c>
      <c r="AN531" s="33" t="s">
        <v>177</v>
      </c>
      <c r="AO531" s="33" t="s">
        <v>422</v>
      </c>
      <c r="AP531" s="33" t="s">
        <v>156</v>
      </c>
      <c r="AQ531" s="33" t="s">
        <v>2125</v>
      </c>
      <c r="AR531" s="33" t="s">
        <v>2126</v>
      </c>
      <c r="AS531" s="33" t="s">
        <v>502</v>
      </c>
      <c r="AT531" s="33" t="s">
        <v>424</v>
      </c>
      <c r="AU531" s="33" t="s">
        <v>423</v>
      </c>
      <c r="AV531" s="33" t="s">
        <v>502</v>
      </c>
      <c r="AW531" s="33" t="s">
        <v>160</v>
      </c>
      <c r="AX531" s="33">
        <v>3</v>
      </c>
      <c r="AZ531" s="33" t="s">
        <v>335</v>
      </c>
      <c r="BD531" s="54"/>
      <c r="BP531" s="402">
        <v>1.22</v>
      </c>
      <c r="BQ531" s="402">
        <v>1.25</v>
      </c>
      <c r="BU531" s="402"/>
      <c r="BV531" s="402"/>
      <c r="BZ531" s="402"/>
      <c r="CA531" s="402"/>
      <c r="CE531" s="555"/>
      <c r="CF531" s="555"/>
      <c r="CG531" s="555"/>
      <c r="CH531" s="555"/>
      <c r="DX531" s="33">
        <v>2.8000000000000001E-2</v>
      </c>
      <c r="DY531" s="33">
        <v>1.9E-2</v>
      </c>
      <c r="EB531" s="33" t="s">
        <v>426</v>
      </c>
      <c r="EM531" s="33">
        <f>10^0.0959</f>
        <v>1.2470963266393924</v>
      </c>
      <c r="EN531" s="33">
        <f>10^0.5215</f>
        <v>3.3227678521107569</v>
      </c>
      <c r="FL531" s="33">
        <v>0.53639999999999999</v>
      </c>
      <c r="FM531" s="33">
        <v>0.51890000000000003</v>
      </c>
      <c r="FP531" s="33" t="s">
        <v>425</v>
      </c>
      <c r="GZ531" s="12"/>
      <c r="HD531" s="12"/>
      <c r="JB531" s="33" t="s">
        <v>860</v>
      </c>
    </row>
    <row r="532" spans="1:263" s="34" customFormat="1" x14ac:dyDescent="0.25">
      <c r="A532" s="34">
        <v>29</v>
      </c>
      <c r="B532" s="48" t="s">
        <v>3873</v>
      </c>
      <c r="C532" s="34" t="s">
        <v>1019</v>
      </c>
      <c r="D532" s="34" t="s">
        <v>427</v>
      </c>
      <c r="E532" s="34">
        <v>2009</v>
      </c>
      <c r="F532" s="34">
        <v>2006</v>
      </c>
      <c r="G532" s="34" t="s">
        <v>302</v>
      </c>
      <c r="H532" s="34" t="s">
        <v>428</v>
      </c>
      <c r="I532" s="32" t="s">
        <v>2815</v>
      </c>
      <c r="J532" s="34">
        <f t="shared" ref="J532:J567" si="189">43+20/60</f>
        <v>43.333333333333336</v>
      </c>
      <c r="K532" s="34">
        <f t="shared" ref="K532:K567" si="190">-89-43/60</f>
        <v>-89.716666666666669</v>
      </c>
      <c r="L532" s="34">
        <v>250</v>
      </c>
      <c r="R532" s="48">
        <v>4</v>
      </c>
      <c r="S532" s="48">
        <v>4</v>
      </c>
      <c r="T532" s="48"/>
      <c r="U532" s="48" t="s">
        <v>1908</v>
      </c>
      <c r="V532" s="48" t="s">
        <v>1394</v>
      </c>
      <c r="W532" s="48" t="s">
        <v>1722</v>
      </c>
      <c r="X532" s="48" t="s">
        <v>1394</v>
      </c>
      <c r="Y532" s="48" t="s">
        <v>1389</v>
      </c>
      <c r="Z532" s="34">
        <f t="shared" ref="Z532:Z567" si="191">(1.4+1.46+1.41+1.37+1.39+1.47+1.42)/7</f>
        <v>1.417142857142857</v>
      </c>
      <c r="AA532" s="328"/>
      <c r="AB532" s="328"/>
      <c r="AC532" s="34" t="s">
        <v>450</v>
      </c>
      <c r="AD532" s="34">
        <f t="shared" ref="AD532:AD567" si="192">(6.6+6.9+7+6.8+7.1+6.7+7)/7</f>
        <v>6.8714285714285719</v>
      </c>
      <c r="AG532" s="34" t="s">
        <v>1327</v>
      </c>
      <c r="AH532" s="34" t="s">
        <v>1535</v>
      </c>
      <c r="AI532" s="138" t="s">
        <v>577</v>
      </c>
      <c r="AJ532" s="34" t="s">
        <v>429</v>
      </c>
      <c r="AK532" s="140" t="s">
        <v>1621</v>
      </c>
      <c r="AL532" s="34" t="s">
        <v>421</v>
      </c>
      <c r="AM532" s="34" t="s">
        <v>421</v>
      </c>
      <c r="AN532" s="34" t="s">
        <v>177</v>
      </c>
      <c r="AT532" s="34" t="s">
        <v>436</v>
      </c>
      <c r="AU532" s="34" t="s">
        <v>436</v>
      </c>
      <c r="AW532" s="34" t="s">
        <v>430</v>
      </c>
      <c r="AX532" s="34">
        <v>4</v>
      </c>
      <c r="AZ532" s="34" t="s">
        <v>141</v>
      </c>
      <c r="BD532" s="53"/>
      <c r="BP532" s="404">
        <v>1.47</v>
      </c>
      <c r="BQ532" s="404">
        <v>1.4</v>
      </c>
      <c r="BU532" s="404">
        <v>3.63</v>
      </c>
      <c r="BV532" s="404">
        <v>4.2299999999999995</v>
      </c>
      <c r="BY532" s="34" t="s">
        <v>1671</v>
      </c>
      <c r="BZ532" s="404"/>
      <c r="CA532" s="404"/>
      <c r="CD532" s="34" t="s">
        <v>1670</v>
      </c>
      <c r="CE532" s="557">
        <v>3.63</v>
      </c>
      <c r="CF532" s="557">
        <v>4.2299999999999995</v>
      </c>
      <c r="CG532" s="557"/>
      <c r="CH532" s="557"/>
      <c r="CI532" s="34" t="s">
        <v>4545</v>
      </c>
      <c r="CO532" s="34">
        <v>45.8</v>
      </c>
      <c r="CP532" s="34">
        <v>37.799999999999997</v>
      </c>
      <c r="CT532" s="34">
        <v>244</v>
      </c>
      <c r="CU532" s="34">
        <v>204</v>
      </c>
      <c r="CY532" s="34">
        <v>6.7</v>
      </c>
      <c r="CZ532" s="34">
        <v>6.6</v>
      </c>
      <c r="DS532" s="34">
        <v>336</v>
      </c>
      <c r="DT532" s="34">
        <v>365</v>
      </c>
      <c r="DW532" s="34" t="s">
        <v>433</v>
      </c>
      <c r="EC532" s="34">
        <v>0.52980000000000005</v>
      </c>
      <c r="ED532" s="34">
        <v>0.61539999999999995</v>
      </c>
      <c r="EG532" s="34" t="s">
        <v>857</v>
      </c>
      <c r="FL532" s="34">
        <v>0.21</v>
      </c>
      <c r="FM532" s="34">
        <v>0.26800000000000002</v>
      </c>
      <c r="GZ532" s="12"/>
      <c r="HD532" s="12"/>
      <c r="HE532" s="34">
        <v>1288</v>
      </c>
      <c r="HF532" s="34">
        <v>1376</v>
      </c>
      <c r="HI532" s="34" t="s">
        <v>432</v>
      </c>
      <c r="IN532" s="34">
        <f>40.3*0.012</f>
        <v>0.48359999999999997</v>
      </c>
      <c r="IO532" s="34">
        <f>87.1*0.012</f>
        <v>1.0451999999999999</v>
      </c>
      <c r="IR532" s="34" t="s">
        <v>977</v>
      </c>
      <c r="IY532" s="34">
        <v>99999</v>
      </c>
      <c r="JB532" s="34" t="s">
        <v>434</v>
      </c>
      <c r="JC532" s="34" t="s">
        <v>856</v>
      </c>
    </row>
    <row r="533" spans="1:263" s="34" customFormat="1" x14ac:dyDescent="0.25">
      <c r="A533" s="34">
        <v>29</v>
      </c>
      <c r="B533" s="48" t="s">
        <v>3873</v>
      </c>
      <c r="C533" s="34" t="s">
        <v>1019</v>
      </c>
      <c r="D533" s="34" t="s">
        <v>427</v>
      </c>
      <c r="E533" s="34">
        <v>2009</v>
      </c>
      <c r="F533" s="34">
        <v>2006</v>
      </c>
      <c r="G533" s="34" t="s">
        <v>302</v>
      </c>
      <c r="H533" s="34" t="s">
        <v>428</v>
      </c>
      <c r="I533" s="32" t="s">
        <v>2815</v>
      </c>
      <c r="J533" s="34">
        <f t="shared" si="189"/>
        <v>43.333333333333336</v>
      </c>
      <c r="K533" s="34">
        <f t="shared" si="190"/>
        <v>-89.716666666666669</v>
      </c>
      <c r="L533" s="34">
        <v>250</v>
      </c>
      <c r="R533" s="48">
        <v>4</v>
      </c>
      <c r="S533" s="48">
        <v>4</v>
      </c>
      <c r="T533" s="48"/>
      <c r="U533" s="48" t="s">
        <v>1908</v>
      </c>
      <c r="V533" s="48" t="s">
        <v>1394</v>
      </c>
      <c r="W533" s="48" t="s">
        <v>1722</v>
      </c>
      <c r="X533" s="48" t="s">
        <v>1394</v>
      </c>
      <c r="Y533" s="48" t="s">
        <v>1389</v>
      </c>
      <c r="Z533" s="34">
        <f t="shared" si="191"/>
        <v>1.417142857142857</v>
      </c>
      <c r="AA533" s="328"/>
      <c r="AB533" s="328"/>
      <c r="AC533" s="34" t="s">
        <v>450</v>
      </c>
      <c r="AD533" s="34">
        <f t="shared" si="192"/>
        <v>6.8714285714285719</v>
      </c>
      <c r="AG533" s="34" t="s">
        <v>1327</v>
      </c>
      <c r="AH533" s="34" t="s">
        <v>1535</v>
      </c>
      <c r="AI533" s="138" t="s">
        <v>577</v>
      </c>
      <c r="AJ533" s="34" t="s">
        <v>132</v>
      </c>
      <c r="AK533" s="140" t="s">
        <v>1621</v>
      </c>
      <c r="AL533" s="34" t="s">
        <v>421</v>
      </c>
      <c r="AM533" s="34" t="s">
        <v>421</v>
      </c>
      <c r="AN533" s="34" t="s">
        <v>177</v>
      </c>
      <c r="AT533" s="34" t="s">
        <v>436</v>
      </c>
      <c r="AU533" s="34" t="s">
        <v>436</v>
      </c>
      <c r="AW533" s="34" t="s">
        <v>430</v>
      </c>
      <c r="AX533" s="34">
        <v>4</v>
      </c>
      <c r="AZ533" s="34" t="s">
        <v>141</v>
      </c>
      <c r="BD533" s="53"/>
      <c r="BP533" s="404">
        <v>1.47</v>
      </c>
      <c r="BQ533" s="404">
        <v>1.4</v>
      </c>
      <c r="BU533" s="404">
        <v>3.63</v>
      </c>
      <c r="BV533" s="404">
        <v>4.2799999999999994</v>
      </c>
      <c r="BY533" s="34" t="s">
        <v>1671</v>
      </c>
      <c r="BZ533" s="404"/>
      <c r="CA533" s="404"/>
      <c r="CD533" s="34" t="s">
        <v>1670</v>
      </c>
      <c r="CE533" s="557">
        <v>3.63</v>
      </c>
      <c r="CF533" s="557">
        <v>4.2799999999999994</v>
      </c>
      <c r="CG533" s="557"/>
      <c r="CH533" s="557"/>
      <c r="CI533" s="34" t="s">
        <v>4545</v>
      </c>
      <c r="CO533" s="34">
        <v>45.8</v>
      </c>
      <c r="CP533" s="34">
        <v>42.3</v>
      </c>
      <c r="CT533" s="34">
        <v>244</v>
      </c>
      <c r="CU533" s="34">
        <v>269</v>
      </c>
      <c r="CY533" s="34">
        <v>6.7</v>
      </c>
      <c r="CZ533" s="34">
        <v>6.9</v>
      </c>
      <c r="DS533" s="34">
        <v>336</v>
      </c>
      <c r="DT533" s="34">
        <v>385</v>
      </c>
      <c r="DW533" s="34" t="s">
        <v>433</v>
      </c>
      <c r="EC533" s="34">
        <v>0.52980000000000005</v>
      </c>
      <c r="ED533" s="34">
        <v>0.6</v>
      </c>
      <c r="EG533" s="34" t="s">
        <v>857</v>
      </c>
      <c r="FL533" s="34">
        <v>0.21</v>
      </c>
      <c r="FM533" s="34">
        <v>0.24399999999999999</v>
      </c>
      <c r="GZ533" s="12"/>
      <c r="HD533" s="12"/>
      <c r="HE533" s="34">
        <v>1288</v>
      </c>
      <c r="HF533" s="34">
        <v>1379</v>
      </c>
      <c r="HI533" s="34" t="s">
        <v>432</v>
      </c>
      <c r="IN533" s="34">
        <f t="shared" ref="IN533:IN537" si="193">40.3*0.012</f>
        <v>0.48359999999999997</v>
      </c>
      <c r="IO533" s="34">
        <f>108.2*0.012</f>
        <v>1.2984</v>
      </c>
      <c r="IR533" s="34" t="s">
        <v>977</v>
      </c>
      <c r="IY533" s="34">
        <v>99999</v>
      </c>
      <c r="JB533" s="34" t="s">
        <v>434</v>
      </c>
      <c r="JC533" s="34" t="s">
        <v>856</v>
      </c>
    </row>
    <row r="534" spans="1:263" s="34" customFormat="1" x14ac:dyDescent="0.25">
      <c r="A534" s="34">
        <v>29</v>
      </c>
      <c r="B534" s="48" t="s">
        <v>3873</v>
      </c>
      <c r="C534" s="34" t="s">
        <v>1019</v>
      </c>
      <c r="D534" s="34" t="s">
        <v>427</v>
      </c>
      <c r="E534" s="34">
        <v>2009</v>
      </c>
      <c r="F534" s="34">
        <v>2006</v>
      </c>
      <c r="G534" s="34" t="s">
        <v>302</v>
      </c>
      <c r="H534" s="34" t="s">
        <v>428</v>
      </c>
      <c r="I534" s="32" t="s">
        <v>2815</v>
      </c>
      <c r="J534" s="34">
        <f t="shared" si="189"/>
        <v>43.333333333333336</v>
      </c>
      <c r="K534" s="34">
        <f t="shared" si="190"/>
        <v>-89.716666666666669</v>
      </c>
      <c r="L534" s="34">
        <v>250</v>
      </c>
      <c r="R534" s="48">
        <v>4</v>
      </c>
      <c r="S534" s="48">
        <v>4</v>
      </c>
      <c r="T534" s="48"/>
      <c r="U534" s="48" t="s">
        <v>1908</v>
      </c>
      <c r="V534" s="48" t="s">
        <v>1394</v>
      </c>
      <c r="W534" s="48" t="s">
        <v>1722</v>
      </c>
      <c r="X534" s="48" t="s">
        <v>1394</v>
      </c>
      <c r="Y534" s="48" t="s">
        <v>1389</v>
      </c>
      <c r="Z534" s="34">
        <f t="shared" si="191"/>
        <v>1.417142857142857</v>
      </c>
      <c r="AA534" s="328"/>
      <c r="AB534" s="328"/>
      <c r="AC534" s="34" t="s">
        <v>450</v>
      </c>
      <c r="AD534" s="34">
        <f t="shared" si="192"/>
        <v>6.8714285714285719</v>
      </c>
      <c r="AG534" s="34" t="s">
        <v>1327</v>
      </c>
      <c r="AH534" s="34" t="s">
        <v>1515</v>
      </c>
      <c r="AI534" s="138" t="s">
        <v>577</v>
      </c>
      <c r="AJ534" s="34" t="s">
        <v>429</v>
      </c>
      <c r="AK534" s="140" t="s">
        <v>1621</v>
      </c>
      <c r="AL534" s="34" t="s">
        <v>421</v>
      </c>
      <c r="AM534" s="34" t="s">
        <v>421</v>
      </c>
      <c r="AN534" s="34" t="s">
        <v>177</v>
      </c>
      <c r="AT534" s="34" t="s">
        <v>436</v>
      </c>
      <c r="AU534" s="34" t="s">
        <v>436</v>
      </c>
      <c r="AW534" s="34" t="s">
        <v>430</v>
      </c>
      <c r="AX534" s="34">
        <v>4</v>
      </c>
      <c r="AZ534" s="34" t="s">
        <v>141</v>
      </c>
      <c r="BD534" s="53"/>
      <c r="BP534" s="404">
        <v>1.47</v>
      </c>
      <c r="BQ534" s="404">
        <v>1.46</v>
      </c>
      <c r="BU534" s="404">
        <v>3.63</v>
      </c>
      <c r="BV534" s="404">
        <v>3.8299999999999996</v>
      </c>
      <c r="BY534" s="34" t="s">
        <v>1671</v>
      </c>
      <c r="BZ534" s="404"/>
      <c r="CA534" s="404"/>
      <c r="CD534" s="34" t="s">
        <v>1670</v>
      </c>
      <c r="CE534" s="557">
        <v>3.63</v>
      </c>
      <c r="CF534" s="557">
        <v>3.8299999999999996</v>
      </c>
      <c r="CG534" s="557"/>
      <c r="CH534" s="557"/>
      <c r="CI534" s="34" t="s">
        <v>4545</v>
      </c>
      <c r="CO534" s="34">
        <v>45.8</v>
      </c>
      <c r="CP534" s="34">
        <v>37.299999999999997</v>
      </c>
      <c r="CT534" s="34">
        <v>244</v>
      </c>
      <c r="CU534" s="34">
        <v>161</v>
      </c>
      <c r="CY534" s="34">
        <v>6.7</v>
      </c>
      <c r="CZ534" s="34">
        <v>6.6</v>
      </c>
      <c r="DS534" s="34">
        <v>336</v>
      </c>
      <c r="DT534" s="34">
        <v>337</v>
      </c>
      <c r="DW534" s="34" t="s">
        <v>433</v>
      </c>
      <c r="EC534" s="34">
        <v>0.52980000000000005</v>
      </c>
      <c r="ED534" s="34">
        <v>0.63</v>
      </c>
      <c r="EG534" s="34" t="s">
        <v>857</v>
      </c>
      <c r="FL534" s="34">
        <v>0.21</v>
      </c>
      <c r="FM534" s="34">
        <v>0.23799999999999999</v>
      </c>
      <c r="GZ534" s="12"/>
      <c r="HD534" s="12"/>
      <c r="HE534" s="34">
        <v>1288</v>
      </c>
      <c r="HF534" s="34">
        <v>1336</v>
      </c>
      <c r="HI534" s="34" t="s">
        <v>432</v>
      </c>
      <c r="IN534" s="34">
        <f t="shared" si="193"/>
        <v>0.48359999999999997</v>
      </c>
      <c r="IO534" s="34">
        <f>105*0.012</f>
        <v>1.26</v>
      </c>
      <c r="IR534" s="34" t="s">
        <v>977</v>
      </c>
      <c r="IY534" s="34">
        <v>99999</v>
      </c>
      <c r="JB534" s="34" t="s">
        <v>434</v>
      </c>
      <c r="JC534" s="34" t="s">
        <v>856</v>
      </c>
    </row>
    <row r="535" spans="1:263" s="34" customFormat="1" x14ac:dyDescent="0.25">
      <c r="A535" s="34">
        <v>29</v>
      </c>
      <c r="B535" s="48" t="s">
        <v>3873</v>
      </c>
      <c r="C535" s="34" t="s">
        <v>1019</v>
      </c>
      <c r="D535" s="34" t="s">
        <v>427</v>
      </c>
      <c r="E535" s="34">
        <v>2009</v>
      </c>
      <c r="F535" s="34">
        <v>2006</v>
      </c>
      <c r="G535" s="34" t="s">
        <v>302</v>
      </c>
      <c r="H535" s="34" t="s">
        <v>428</v>
      </c>
      <c r="I535" s="32" t="s">
        <v>2815</v>
      </c>
      <c r="J535" s="34">
        <f t="shared" si="189"/>
        <v>43.333333333333336</v>
      </c>
      <c r="K535" s="34">
        <f t="shared" si="190"/>
        <v>-89.716666666666669</v>
      </c>
      <c r="L535" s="34">
        <v>250</v>
      </c>
      <c r="R535" s="48">
        <v>4</v>
      </c>
      <c r="S535" s="48">
        <v>4</v>
      </c>
      <c r="T535" s="48"/>
      <c r="U535" s="48" t="s">
        <v>1908</v>
      </c>
      <c r="V535" s="48" t="s">
        <v>1394</v>
      </c>
      <c r="W535" s="48" t="s">
        <v>1722</v>
      </c>
      <c r="X535" s="48" t="s">
        <v>1394</v>
      </c>
      <c r="Y535" s="48" t="s">
        <v>1389</v>
      </c>
      <c r="Z535" s="34">
        <f t="shared" si="191"/>
        <v>1.417142857142857</v>
      </c>
      <c r="AA535" s="328"/>
      <c r="AB535" s="328"/>
      <c r="AC535" s="34" t="s">
        <v>450</v>
      </c>
      <c r="AD535" s="34">
        <f t="shared" si="192"/>
        <v>6.8714285714285719</v>
      </c>
      <c r="AG535" s="34" t="s">
        <v>1327</v>
      </c>
      <c r="AH535" s="34" t="s">
        <v>1515</v>
      </c>
      <c r="AI535" s="138" t="s">
        <v>577</v>
      </c>
      <c r="AJ535" s="34" t="s">
        <v>132</v>
      </c>
      <c r="AK535" s="140" t="s">
        <v>1621</v>
      </c>
      <c r="AL535" s="34" t="s">
        <v>421</v>
      </c>
      <c r="AM535" s="34" t="s">
        <v>421</v>
      </c>
      <c r="AN535" s="34" t="s">
        <v>177</v>
      </c>
      <c r="AT535" s="34" t="s">
        <v>436</v>
      </c>
      <c r="AU535" s="34" t="s">
        <v>436</v>
      </c>
      <c r="AW535" s="34" t="s">
        <v>430</v>
      </c>
      <c r="AX535" s="34">
        <v>4</v>
      </c>
      <c r="AZ535" s="34" t="s">
        <v>141</v>
      </c>
      <c r="BD535" s="53"/>
      <c r="BP535" s="404">
        <v>1.47</v>
      </c>
      <c r="BQ535" s="404">
        <v>1.41</v>
      </c>
      <c r="BU535" s="404">
        <v>3.63</v>
      </c>
      <c r="BV535" s="404">
        <v>4.2299999999999995</v>
      </c>
      <c r="BY535" s="34" t="s">
        <v>1671</v>
      </c>
      <c r="BZ535" s="404"/>
      <c r="CA535" s="404"/>
      <c r="CD535" s="34" t="s">
        <v>1670</v>
      </c>
      <c r="CE535" s="557">
        <v>3.63</v>
      </c>
      <c r="CF535" s="557">
        <v>4.2299999999999995</v>
      </c>
      <c r="CG535" s="557"/>
      <c r="CH535" s="557"/>
      <c r="CI535" s="34" t="s">
        <v>4545</v>
      </c>
      <c r="CO535" s="34">
        <v>45.8</v>
      </c>
      <c r="CP535" s="34">
        <v>54.5</v>
      </c>
      <c r="CT535" s="34">
        <v>244</v>
      </c>
      <c r="CU535" s="34">
        <v>204</v>
      </c>
      <c r="CY535" s="34">
        <v>6.7</v>
      </c>
      <c r="CZ535" s="34">
        <v>7</v>
      </c>
      <c r="DS535" s="34">
        <v>336</v>
      </c>
      <c r="DT535" s="34">
        <v>368</v>
      </c>
      <c r="DW535" s="34" t="s">
        <v>433</v>
      </c>
      <c r="EC535" s="34">
        <v>0.52980000000000005</v>
      </c>
      <c r="ED535" s="34">
        <v>0.65</v>
      </c>
      <c r="EG535" s="34" t="s">
        <v>857</v>
      </c>
      <c r="FL535" s="34">
        <v>0.21</v>
      </c>
      <c r="FM535" s="34">
        <v>0.221</v>
      </c>
      <c r="GZ535" s="12"/>
      <c r="HD535" s="12"/>
      <c r="HE535" s="34">
        <v>1288</v>
      </c>
      <c r="HF535" s="34">
        <v>1354</v>
      </c>
      <c r="HI535" s="34" t="s">
        <v>432</v>
      </c>
      <c r="IN535" s="34">
        <f t="shared" si="193"/>
        <v>0.48359999999999997</v>
      </c>
      <c r="IO535" s="34">
        <f>70.9*0.012</f>
        <v>0.85080000000000011</v>
      </c>
      <c r="IR535" s="34" t="s">
        <v>977</v>
      </c>
      <c r="IY535" s="34">
        <v>99999</v>
      </c>
      <c r="JB535" s="34" t="s">
        <v>434</v>
      </c>
      <c r="JC535" s="34" t="s">
        <v>856</v>
      </c>
    </row>
    <row r="536" spans="1:263" s="34" customFormat="1" x14ac:dyDescent="0.25">
      <c r="A536" s="34">
        <v>29</v>
      </c>
      <c r="B536" s="48" t="s">
        <v>3874</v>
      </c>
      <c r="C536" s="34" t="s">
        <v>1019</v>
      </c>
      <c r="D536" s="34" t="s">
        <v>427</v>
      </c>
      <c r="E536" s="34">
        <v>2009</v>
      </c>
      <c r="F536" s="34">
        <v>2006</v>
      </c>
      <c r="G536" s="34" t="s">
        <v>302</v>
      </c>
      <c r="H536" s="34" t="s">
        <v>428</v>
      </c>
      <c r="I536" s="32" t="s">
        <v>2815</v>
      </c>
      <c r="J536" s="34">
        <f t="shared" si="189"/>
        <v>43.333333333333336</v>
      </c>
      <c r="K536" s="34">
        <f t="shared" si="190"/>
        <v>-89.716666666666669</v>
      </c>
      <c r="L536" s="34">
        <v>250</v>
      </c>
      <c r="R536" s="48">
        <v>4</v>
      </c>
      <c r="S536" s="48">
        <v>4</v>
      </c>
      <c r="T536" s="48"/>
      <c r="U536" s="48" t="s">
        <v>1908</v>
      </c>
      <c r="V536" s="48" t="s">
        <v>1394</v>
      </c>
      <c r="W536" s="48" t="s">
        <v>1722</v>
      </c>
      <c r="X536" s="48" t="s">
        <v>1394</v>
      </c>
      <c r="Y536" s="48" t="s">
        <v>1389</v>
      </c>
      <c r="Z536" s="34">
        <f t="shared" si="191"/>
        <v>1.417142857142857</v>
      </c>
      <c r="AA536" s="328"/>
      <c r="AB536" s="328"/>
      <c r="AC536" s="34" t="s">
        <v>450</v>
      </c>
      <c r="AD536" s="34">
        <f t="shared" si="192"/>
        <v>6.8714285714285719</v>
      </c>
      <c r="AG536" s="34" t="s">
        <v>1327</v>
      </c>
      <c r="AH536" s="34" t="s">
        <v>1153</v>
      </c>
      <c r="AI536" s="138" t="s">
        <v>131</v>
      </c>
      <c r="AJ536" s="34" t="s">
        <v>132</v>
      </c>
      <c r="AK536" s="140" t="s">
        <v>1621</v>
      </c>
      <c r="AL536" s="34" t="s">
        <v>421</v>
      </c>
      <c r="AM536" s="34" t="s">
        <v>421</v>
      </c>
      <c r="AN536" s="34" t="s">
        <v>177</v>
      </c>
      <c r="AT536" s="34" t="s">
        <v>436</v>
      </c>
      <c r="AU536" s="34" t="s">
        <v>436</v>
      </c>
      <c r="AW536" s="34" t="s">
        <v>430</v>
      </c>
      <c r="AX536" s="34">
        <v>4</v>
      </c>
      <c r="AZ536" s="34" t="s">
        <v>141</v>
      </c>
      <c r="BD536" s="53"/>
      <c r="BP536" s="404">
        <v>1.47</v>
      </c>
      <c r="BQ536" s="404">
        <v>1.37</v>
      </c>
      <c r="BU536" s="404">
        <v>3.63</v>
      </c>
      <c r="BV536" s="404">
        <v>4.13</v>
      </c>
      <c r="BY536" s="34" t="s">
        <v>1671</v>
      </c>
      <c r="BZ536" s="404"/>
      <c r="CA536" s="404"/>
      <c r="CD536" s="34" t="s">
        <v>1670</v>
      </c>
      <c r="CE536" s="557">
        <v>3.63</v>
      </c>
      <c r="CF536" s="557">
        <v>4.13</v>
      </c>
      <c r="CG536" s="557"/>
      <c r="CH536" s="557"/>
      <c r="CI536" s="34" t="s">
        <v>4545</v>
      </c>
      <c r="CO536" s="34">
        <v>45.8</v>
      </c>
      <c r="CP536" s="34">
        <v>57.5</v>
      </c>
      <c r="CT536" s="34">
        <v>244</v>
      </c>
      <c r="CU536" s="34">
        <v>277</v>
      </c>
      <c r="CY536" s="34">
        <v>6.7</v>
      </c>
      <c r="CZ536" s="34">
        <v>6.8</v>
      </c>
      <c r="DS536" s="34">
        <v>336</v>
      </c>
      <c r="DT536" s="34">
        <v>352</v>
      </c>
      <c r="DW536" s="34" t="s">
        <v>433</v>
      </c>
      <c r="EC536" s="34">
        <v>0.52980000000000005</v>
      </c>
      <c r="ED536" s="34">
        <v>0.64</v>
      </c>
      <c r="EG536" s="34" t="s">
        <v>857</v>
      </c>
      <c r="FL536" s="34">
        <v>0.21</v>
      </c>
      <c r="FM536" s="34">
        <v>0.23300000000000001</v>
      </c>
      <c r="GZ536" s="12"/>
      <c r="HD536" s="12"/>
      <c r="HE536" s="34">
        <v>1288</v>
      </c>
      <c r="HF536" s="34">
        <v>1382</v>
      </c>
      <c r="HI536" s="34" t="s">
        <v>432</v>
      </c>
      <c r="IN536" s="34">
        <f t="shared" si="193"/>
        <v>0.48359999999999997</v>
      </c>
      <c r="IO536" s="34">
        <f>88.6*0.012</f>
        <v>1.0631999999999999</v>
      </c>
      <c r="IR536" s="34" t="s">
        <v>977</v>
      </c>
      <c r="IY536" s="34">
        <v>99999</v>
      </c>
      <c r="JB536" s="34" t="s">
        <v>434</v>
      </c>
      <c r="JC536" s="34" t="s">
        <v>856</v>
      </c>
    </row>
    <row r="537" spans="1:263" s="34" customFormat="1" x14ac:dyDescent="0.25">
      <c r="A537" s="34">
        <v>29</v>
      </c>
      <c r="B537" s="48" t="s">
        <v>3874</v>
      </c>
      <c r="C537" s="34" t="s">
        <v>1019</v>
      </c>
      <c r="D537" s="34" t="s">
        <v>427</v>
      </c>
      <c r="E537" s="34">
        <v>2009</v>
      </c>
      <c r="F537" s="34">
        <v>2006</v>
      </c>
      <c r="G537" s="34" t="s">
        <v>302</v>
      </c>
      <c r="H537" s="34" t="s">
        <v>428</v>
      </c>
      <c r="I537" s="32" t="s">
        <v>2815</v>
      </c>
      <c r="J537" s="34">
        <f t="shared" si="189"/>
        <v>43.333333333333336</v>
      </c>
      <c r="K537" s="34">
        <f t="shared" si="190"/>
        <v>-89.716666666666669</v>
      </c>
      <c r="L537" s="34">
        <v>250</v>
      </c>
      <c r="R537" s="48">
        <v>4</v>
      </c>
      <c r="S537" s="48">
        <v>4</v>
      </c>
      <c r="T537" s="48"/>
      <c r="U537" s="48" t="s">
        <v>1908</v>
      </c>
      <c r="V537" s="48" t="s">
        <v>1394</v>
      </c>
      <c r="W537" s="48" t="s">
        <v>1722</v>
      </c>
      <c r="X537" s="48" t="s">
        <v>1394</v>
      </c>
      <c r="Y537" s="48" t="s">
        <v>1389</v>
      </c>
      <c r="Z537" s="34">
        <f t="shared" si="191"/>
        <v>1.417142857142857</v>
      </c>
      <c r="AA537" s="328"/>
      <c r="AB537" s="328"/>
      <c r="AC537" s="34" t="s">
        <v>450</v>
      </c>
      <c r="AD537" s="34">
        <f t="shared" si="192"/>
        <v>6.8714285714285719</v>
      </c>
      <c r="AG537" s="34" t="s">
        <v>1327</v>
      </c>
      <c r="AH537" s="34" t="s">
        <v>1154</v>
      </c>
      <c r="AI537" s="138" t="s">
        <v>131</v>
      </c>
      <c r="AJ537" s="34" t="s">
        <v>132</v>
      </c>
      <c r="AK537" s="140" t="s">
        <v>1621</v>
      </c>
      <c r="AL537" s="34" t="s">
        <v>421</v>
      </c>
      <c r="AM537" s="34" t="s">
        <v>421</v>
      </c>
      <c r="AN537" s="34" t="s">
        <v>177</v>
      </c>
      <c r="AT537" s="34" t="s">
        <v>436</v>
      </c>
      <c r="AU537" s="34" t="s">
        <v>436</v>
      </c>
      <c r="AW537" s="34" t="s">
        <v>430</v>
      </c>
      <c r="AX537" s="34">
        <v>4</v>
      </c>
      <c r="AZ537" s="34" t="s">
        <v>141</v>
      </c>
      <c r="BD537" s="53"/>
      <c r="BP537" s="404">
        <v>1.47</v>
      </c>
      <c r="BQ537" s="404">
        <v>1.39</v>
      </c>
      <c r="BU537" s="404">
        <v>3.63</v>
      </c>
      <c r="BV537" s="404">
        <v>3.7</v>
      </c>
      <c r="BY537" s="34" t="s">
        <v>1671</v>
      </c>
      <c r="BZ537" s="404"/>
      <c r="CA537" s="404"/>
      <c r="CD537" s="34" t="s">
        <v>1670</v>
      </c>
      <c r="CE537" s="557">
        <v>3.63</v>
      </c>
      <c r="CF537" s="557">
        <v>3.7</v>
      </c>
      <c r="CG537" s="557"/>
      <c r="CH537" s="557"/>
      <c r="CI537" s="34" t="s">
        <v>4545</v>
      </c>
      <c r="CO537" s="34">
        <v>45.8</v>
      </c>
      <c r="CP537" s="34">
        <v>43.3</v>
      </c>
      <c r="CT537" s="34">
        <v>244</v>
      </c>
      <c r="CU537" s="34">
        <v>265</v>
      </c>
      <c r="CY537" s="34">
        <v>6.7</v>
      </c>
      <c r="CZ537" s="34">
        <v>7.1</v>
      </c>
      <c r="DS537" s="34">
        <v>336</v>
      </c>
      <c r="DT537" s="34">
        <v>411</v>
      </c>
      <c r="DW537" s="34" t="s">
        <v>433</v>
      </c>
      <c r="EC537" s="34">
        <v>0.52980000000000005</v>
      </c>
      <c r="ED537" s="34">
        <v>0.63</v>
      </c>
      <c r="EG537" s="34" t="s">
        <v>857</v>
      </c>
      <c r="FL537" s="34">
        <v>0.21</v>
      </c>
      <c r="FM537" s="34">
        <v>0.219</v>
      </c>
      <c r="GZ537" s="12"/>
      <c r="HD537" s="12"/>
      <c r="HE537" s="34">
        <v>1288</v>
      </c>
      <c r="HF537" s="34">
        <v>1360</v>
      </c>
      <c r="HI537" s="34" t="s">
        <v>432</v>
      </c>
      <c r="IN537" s="34">
        <f t="shared" si="193"/>
        <v>0.48359999999999997</v>
      </c>
      <c r="IO537" s="34">
        <f>72.5*0.012</f>
        <v>0.87</v>
      </c>
      <c r="IR537" s="34" t="s">
        <v>977</v>
      </c>
      <c r="IY537" s="34">
        <v>99999</v>
      </c>
      <c r="JB537" s="34" t="s">
        <v>434</v>
      </c>
      <c r="JC537" s="34" t="s">
        <v>856</v>
      </c>
    </row>
    <row r="538" spans="1:263" s="32" customFormat="1" x14ac:dyDescent="0.25">
      <c r="A538" s="32">
        <v>29</v>
      </c>
      <c r="B538" s="44" t="s">
        <v>3875</v>
      </c>
      <c r="C538" s="32" t="s">
        <v>1019</v>
      </c>
      <c r="D538" s="32" t="s">
        <v>427</v>
      </c>
      <c r="E538" s="32">
        <v>2009</v>
      </c>
      <c r="F538" s="32">
        <v>2006</v>
      </c>
      <c r="G538" s="32" t="s">
        <v>302</v>
      </c>
      <c r="H538" s="32" t="s">
        <v>428</v>
      </c>
      <c r="I538" s="32" t="s">
        <v>2815</v>
      </c>
      <c r="J538" s="32">
        <f t="shared" si="189"/>
        <v>43.333333333333336</v>
      </c>
      <c r="K538" s="32">
        <f t="shared" si="190"/>
        <v>-89.716666666666669</v>
      </c>
      <c r="L538" s="32">
        <v>250</v>
      </c>
      <c r="R538" s="44">
        <v>4</v>
      </c>
      <c r="S538" s="44">
        <v>4</v>
      </c>
      <c r="T538" s="44"/>
      <c r="U538" s="44" t="s">
        <v>1908</v>
      </c>
      <c r="V538" s="44" t="s">
        <v>1394</v>
      </c>
      <c r="W538" s="44" t="s">
        <v>1722</v>
      </c>
      <c r="X538" s="44" t="s">
        <v>1394</v>
      </c>
      <c r="Y538" s="44" t="s">
        <v>1389</v>
      </c>
      <c r="Z538" s="32">
        <f t="shared" si="191"/>
        <v>1.417142857142857</v>
      </c>
      <c r="AA538" s="323"/>
      <c r="AB538" s="323"/>
      <c r="AC538" s="32" t="s">
        <v>450</v>
      </c>
      <c r="AD538" s="32">
        <f t="shared" si="192"/>
        <v>6.8714285714285719</v>
      </c>
      <c r="AG538" s="32" t="s">
        <v>1327</v>
      </c>
      <c r="AH538" s="32" t="s">
        <v>1535</v>
      </c>
      <c r="AI538" s="138" t="s">
        <v>577</v>
      </c>
      <c r="AJ538" s="32" t="s">
        <v>429</v>
      </c>
      <c r="AK538" s="140" t="s">
        <v>1621</v>
      </c>
      <c r="AL538" s="32" t="s">
        <v>421</v>
      </c>
      <c r="AM538" s="32" t="s">
        <v>421</v>
      </c>
      <c r="AN538" s="32" t="s">
        <v>177</v>
      </c>
      <c r="AT538" s="32" t="s">
        <v>436</v>
      </c>
      <c r="AU538" s="32" t="s">
        <v>436</v>
      </c>
      <c r="AW538" s="32" t="s">
        <v>431</v>
      </c>
      <c r="AX538" s="32">
        <v>4</v>
      </c>
      <c r="AZ538" s="32" t="s">
        <v>141</v>
      </c>
      <c r="BD538" s="53"/>
      <c r="BP538" s="397">
        <v>1.42</v>
      </c>
      <c r="BQ538" s="397">
        <v>1.4</v>
      </c>
      <c r="BU538" s="397">
        <v>4</v>
      </c>
      <c r="BV538" s="397">
        <v>4.2299999999999995</v>
      </c>
      <c r="BY538" s="32" t="s">
        <v>1671</v>
      </c>
      <c r="BZ538" s="397"/>
      <c r="CA538" s="397"/>
      <c r="CD538" s="32" t="s">
        <v>1670</v>
      </c>
      <c r="CE538" s="550">
        <v>4</v>
      </c>
      <c r="CF538" s="550">
        <v>4.2299999999999995</v>
      </c>
      <c r="CG538" s="550"/>
      <c r="CH538" s="550"/>
      <c r="CI538" s="32" t="s">
        <v>4545</v>
      </c>
      <c r="CO538" s="32">
        <v>33</v>
      </c>
      <c r="CP538" s="32">
        <v>37.799999999999997</v>
      </c>
      <c r="CT538" s="32">
        <v>208</v>
      </c>
      <c r="CU538" s="32">
        <v>204</v>
      </c>
      <c r="CY538" s="32">
        <v>7</v>
      </c>
      <c r="CZ538" s="32">
        <v>6.6</v>
      </c>
      <c r="DS538" s="32">
        <v>407</v>
      </c>
      <c r="DT538" s="32">
        <v>365</v>
      </c>
      <c r="DW538" s="32" t="s">
        <v>433</v>
      </c>
      <c r="EC538" s="32">
        <v>0.57999999999999996</v>
      </c>
      <c r="ED538" s="32">
        <v>0.61539999999999995</v>
      </c>
      <c r="EG538" s="32" t="s">
        <v>857</v>
      </c>
      <c r="FL538" s="32">
        <v>0.216</v>
      </c>
      <c r="FM538" s="32">
        <v>0.26800000000000002</v>
      </c>
      <c r="GZ538" s="12"/>
      <c r="HD538" s="12"/>
      <c r="HE538" s="32">
        <v>1306</v>
      </c>
      <c r="HF538" s="32">
        <v>1376</v>
      </c>
      <c r="HI538" s="32" t="s">
        <v>432</v>
      </c>
      <c r="IN538" s="32">
        <f>61.6*0.012</f>
        <v>0.73920000000000008</v>
      </c>
      <c r="IO538" s="32">
        <f>87.1*0.012</f>
        <v>1.0451999999999999</v>
      </c>
      <c r="IR538" s="32" t="s">
        <v>435</v>
      </c>
      <c r="IY538" s="34">
        <v>99999</v>
      </c>
      <c r="JB538" s="32" t="s">
        <v>434</v>
      </c>
      <c r="JC538" s="32" t="s">
        <v>856</v>
      </c>
    </row>
    <row r="539" spans="1:263" s="32" customFormat="1" x14ac:dyDescent="0.25">
      <c r="A539" s="32">
        <v>29</v>
      </c>
      <c r="B539" s="44" t="s">
        <v>3875</v>
      </c>
      <c r="C539" s="32" t="s">
        <v>1019</v>
      </c>
      <c r="D539" s="32" t="s">
        <v>427</v>
      </c>
      <c r="E539" s="32">
        <v>2009</v>
      </c>
      <c r="F539" s="32">
        <v>2006</v>
      </c>
      <c r="G539" s="32" t="s">
        <v>302</v>
      </c>
      <c r="H539" s="32" t="s">
        <v>428</v>
      </c>
      <c r="I539" s="32" t="s">
        <v>2815</v>
      </c>
      <c r="J539" s="32">
        <f t="shared" si="189"/>
        <v>43.333333333333336</v>
      </c>
      <c r="K539" s="32">
        <f t="shared" si="190"/>
        <v>-89.716666666666669</v>
      </c>
      <c r="L539" s="32">
        <v>250</v>
      </c>
      <c r="R539" s="44">
        <v>4</v>
      </c>
      <c r="S539" s="44">
        <v>4</v>
      </c>
      <c r="T539" s="44"/>
      <c r="U539" s="44" t="s">
        <v>1908</v>
      </c>
      <c r="V539" s="44" t="s">
        <v>1394</v>
      </c>
      <c r="W539" s="44" t="s">
        <v>1722</v>
      </c>
      <c r="X539" s="44" t="s">
        <v>1394</v>
      </c>
      <c r="Y539" s="44" t="s">
        <v>1389</v>
      </c>
      <c r="Z539" s="32">
        <f t="shared" si="191"/>
        <v>1.417142857142857</v>
      </c>
      <c r="AA539" s="323"/>
      <c r="AB539" s="323"/>
      <c r="AC539" s="32" t="s">
        <v>450</v>
      </c>
      <c r="AD539" s="32">
        <f t="shared" si="192"/>
        <v>6.8714285714285719</v>
      </c>
      <c r="AG539" s="32" t="s">
        <v>1327</v>
      </c>
      <c r="AH539" s="32" t="s">
        <v>1535</v>
      </c>
      <c r="AI539" s="138" t="s">
        <v>577</v>
      </c>
      <c r="AJ539" s="32" t="s">
        <v>132</v>
      </c>
      <c r="AK539" s="140" t="s">
        <v>1621</v>
      </c>
      <c r="AL539" s="32" t="s">
        <v>421</v>
      </c>
      <c r="AM539" s="32" t="s">
        <v>421</v>
      </c>
      <c r="AN539" s="32" t="s">
        <v>177</v>
      </c>
      <c r="AT539" s="32" t="s">
        <v>436</v>
      </c>
      <c r="AU539" s="32" t="s">
        <v>436</v>
      </c>
      <c r="AW539" s="32" t="s">
        <v>431</v>
      </c>
      <c r="AX539" s="32">
        <v>4</v>
      </c>
      <c r="AZ539" s="32" t="s">
        <v>141</v>
      </c>
      <c r="BD539" s="53"/>
      <c r="BP539" s="397">
        <v>1.42</v>
      </c>
      <c r="BQ539" s="397">
        <v>1.4</v>
      </c>
      <c r="BU539" s="397">
        <v>4</v>
      </c>
      <c r="BV539" s="397">
        <v>4.2799999999999994</v>
      </c>
      <c r="BY539" s="32" t="s">
        <v>1671</v>
      </c>
      <c r="BZ539" s="397"/>
      <c r="CA539" s="397"/>
      <c r="CD539" s="32" t="s">
        <v>1670</v>
      </c>
      <c r="CE539" s="550">
        <v>4</v>
      </c>
      <c r="CF539" s="550">
        <v>4.2799999999999994</v>
      </c>
      <c r="CG539" s="550"/>
      <c r="CH539" s="550"/>
      <c r="CI539" s="32" t="s">
        <v>4545</v>
      </c>
      <c r="CO539" s="32">
        <v>33</v>
      </c>
      <c r="CP539" s="32">
        <v>42.3</v>
      </c>
      <c r="CT539" s="32">
        <v>208</v>
      </c>
      <c r="CU539" s="32">
        <v>269</v>
      </c>
      <c r="CY539" s="32">
        <v>7</v>
      </c>
      <c r="CZ539" s="32">
        <v>6.9</v>
      </c>
      <c r="DS539" s="32">
        <v>407</v>
      </c>
      <c r="DT539" s="32">
        <v>385</v>
      </c>
      <c r="DW539" s="32" t="s">
        <v>433</v>
      </c>
      <c r="EC539" s="32">
        <v>0.57999999999999996</v>
      </c>
      <c r="ED539" s="32">
        <v>0.6</v>
      </c>
      <c r="EG539" s="32" t="s">
        <v>857</v>
      </c>
      <c r="FL539" s="32">
        <v>0.216</v>
      </c>
      <c r="FM539" s="32">
        <v>0.24399999999999999</v>
      </c>
      <c r="GZ539" s="12"/>
      <c r="HD539" s="12"/>
      <c r="HE539" s="32">
        <v>1306</v>
      </c>
      <c r="HF539" s="32">
        <v>1379</v>
      </c>
      <c r="HI539" s="32" t="s">
        <v>432</v>
      </c>
      <c r="IN539" s="32">
        <f t="shared" ref="IN539:IN543" si="194">61.6*0.012</f>
        <v>0.73920000000000008</v>
      </c>
      <c r="IO539" s="32">
        <f>108.2*0.012</f>
        <v>1.2984</v>
      </c>
      <c r="IR539" s="32" t="s">
        <v>435</v>
      </c>
      <c r="IY539" s="34">
        <v>99999</v>
      </c>
      <c r="JB539" s="32" t="s">
        <v>434</v>
      </c>
      <c r="JC539" s="32" t="s">
        <v>856</v>
      </c>
    </row>
    <row r="540" spans="1:263" s="32" customFormat="1" x14ac:dyDescent="0.25">
      <c r="A540" s="32">
        <v>29</v>
      </c>
      <c r="B540" s="44" t="s">
        <v>3875</v>
      </c>
      <c r="C540" s="32" t="s">
        <v>1019</v>
      </c>
      <c r="D540" s="32" t="s">
        <v>427</v>
      </c>
      <c r="E540" s="32">
        <v>2009</v>
      </c>
      <c r="F540" s="32">
        <v>2006</v>
      </c>
      <c r="G540" s="32" t="s">
        <v>302</v>
      </c>
      <c r="H540" s="32" t="s">
        <v>428</v>
      </c>
      <c r="I540" s="32" t="s">
        <v>2815</v>
      </c>
      <c r="J540" s="32">
        <f t="shared" si="189"/>
        <v>43.333333333333336</v>
      </c>
      <c r="K540" s="32">
        <f t="shared" si="190"/>
        <v>-89.716666666666669</v>
      </c>
      <c r="L540" s="32">
        <v>250</v>
      </c>
      <c r="R540" s="44">
        <v>4</v>
      </c>
      <c r="S540" s="44">
        <v>4</v>
      </c>
      <c r="T540" s="44"/>
      <c r="U540" s="44" t="s">
        <v>1908</v>
      </c>
      <c r="V540" s="44" t="s">
        <v>1394</v>
      </c>
      <c r="W540" s="44" t="s">
        <v>1722</v>
      </c>
      <c r="X540" s="44" t="s">
        <v>1394</v>
      </c>
      <c r="Y540" s="44" t="s">
        <v>1389</v>
      </c>
      <c r="Z540" s="32">
        <f t="shared" si="191"/>
        <v>1.417142857142857</v>
      </c>
      <c r="AA540" s="323"/>
      <c r="AB540" s="323"/>
      <c r="AC540" s="32" t="s">
        <v>450</v>
      </c>
      <c r="AD540" s="32">
        <f t="shared" si="192"/>
        <v>6.8714285714285719</v>
      </c>
      <c r="AG540" s="32" t="s">
        <v>1327</v>
      </c>
      <c r="AH540" s="32" t="s">
        <v>1515</v>
      </c>
      <c r="AI540" s="138" t="s">
        <v>577</v>
      </c>
      <c r="AJ540" s="32" t="s">
        <v>429</v>
      </c>
      <c r="AK540" s="140" t="s">
        <v>1621</v>
      </c>
      <c r="AL540" s="32" t="s">
        <v>421</v>
      </c>
      <c r="AM540" s="32" t="s">
        <v>421</v>
      </c>
      <c r="AN540" s="32" t="s">
        <v>177</v>
      </c>
      <c r="AT540" s="32" t="s">
        <v>436</v>
      </c>
      <c r="AU540" s="32" t="s">
        <v>436</v>
      </c>
      <c r="AW540" s="32" t="s">
        <v>431</v>
      </c>
      <c r="AX540" s="32">
        <v>4</v>
      </c>
      <c r="AZ540" s="32" t="s">
        <v>141</v>
      </c>
      <c r="BD540" s="53"/>
      <c r="BP540" s="397">
        <v>1.42</v>
      </c>
      <c r="BQ540" s="397">
        <v>1.46</v>
      </c>
      <c r="BU540" s="397">
        <v>4</v>
      </c>
      <c r="BV540" s="397">
        <v>3.8299999999999996</v>
      </c>
      <c r="BY540" s="32" t="s">
        <v>1671</v>
      </c>
      <c r="BZ540" s="397"/>
      <c r="CA540" s="397"/>
      <c r="CD540" s="32" t="s">
        <v>1670</v>
      </c>
      <c r="CE540" s="550">
        <v>4</v>
      </c>
      <c r="CF540" s="550">
        <v>3.8299999999999996</v>
      </c>
      <c r="CG540" s="550"/>
      <c r="CH540" s="550"/>
      <c r="CI540" s="32" t="s">
        <v>4545</v>
      </c>
      <c r="CO540" s="32">
        <v>33</v>
      </c>
      <c r="CP540" s="32">
        <v>37.299999999999997</v>
      </c>
      <c r="CT540" s="32">
        <v>208</v>
      </c>
      <c r="CU540" s="32">
        <v>161</v>
      </c>
      <c r="CY540" s="32">
        <v>7</v>
      </c>
      <c r="CZ540" s="32">
        <v>6.6</v>
      </c>
      <c r="DS540" s="32">
        <v>407</v>
      </c>
      <c r="DT540" s="32">
        <v>337</v>
      </c>
      <c r="DW540" s="32" t="s">
        <v>433</v>
      </c>
      <c r="EC540" s="32">
        <v>0.57999999999999996</v>
      </c>
      <c r="ED540" s="32">
        <v>0.63</v>
      </c>
      <c r="EG540" s="32" t="s">
        <v>857</v>
      </c>
      <c r="FL540" s="32">
        <v>0.216</v>
      </c>
      <c r="FM540" s="32">
        <v>0.23799999999999999</v>
      </c>
      <c r="GZ540" s="12"/>
      <c r="HD540" s="12"/>
      <c r="HE540" s="32">
        <v>1306</v>
      </c>
      <c r="HF540" s="32">
        <v>1336</v>
      </c>
      <c r="HI540" s="32" t="s">
        <v>432</v>
      </c>
      <c r="IN540" s="32">
        <f t="shared" si="194"/>
        <v>0.73920000000000008</v>
      </c>
      <c r="IO540" s="32">
        <f>105*0.012</f>
        <v>1.26</v>
      </c>
      <c r="IR540" s="32" t="s">
        <v>435</v>
      </c>
      <c r="IY540" s="34">
        <v>99999</v>
      </c>
      <c r="JB540" s="32" t="s">
        <v>434</v>
      </c>
      <c r="JC540" s="32" t="s">
        <v>856</v>
      </c>
    </row>
    <row r="541" spans="1:263" s="32" customFormat="1" x14ac:dyDescent="0.25">
      <c r="A541" s="32">
        <v>29</v>
      </c>
      <c r="B541" s="44" t="s">
        <v>3875</v>
      </c>
      <c r="C541" s="32" t="s">
        <v>1019</v>
      </c>
      <c r="D541" s="32" t="s">
        <v>427</v>
      </c>
      <c r="E541" s="32">
        <v>2009</v>
      </c>
      <c r="F541" s="32">
        <v>2006</v>
      </c>
      <c r="G541" s="32" t="s">
        <v>302</v>
      </c>
      <c r="H541" s="32" t="s">
        <v>428</v>
      </c>
      <c r="I541" s="32" t="s">
        <v>2815</v>
      </c>
      <c r="J541" s="32">
        <f t="shared" si="189"/>
        <v>43.333333333333336</v>
      </c>
      <c r="K541" s="32">
        <f t="shared" si="190"/>
        <v>-89.716666666666669</v>
      </c>
      <c r="L541" s="32">
        <v>250</v>
      </c>
      <c r="R541" s="44">
        <v>4</v>
      </c>
      <c r="S541" s="44">
        <v>4</v>
      </c>
      <c r="T541" s="44"/>
      <c r="U541" s="44" t="s">
        <v>1908</v>
      </c>
      <c r="V541" s="44" t="s">
        <v>1394</v>
      </c>
      <c r="W541" s="44" t="s">
        <v>1722</v>
      </c>
      <c r="X541" s="44" t="s">
        <v>1394</v>
      </c>
      <c r="Y541" s="44" t="s">
        <v>1389</v>
      </c>
      <c r="Z541" s="32">
        <f t="shared" si="191"/>
        <v>1.417142857142857</v>
      </c>
      <c r="AA541" s="323"/>
      <c r="AB541" s="323"/>
      <c r="AC541" s="32" t="s">
        <v>450</v>
      </c>
      <c r="AD541" s="32">
        <f t="shared" si="192"/>
        <v>6.8714285714285719</v>
      </c>
      <c r="AG541" s="32" t="s">
        <v>1327</v>
      </c>
      <c r="AH541" s="32" t="s">
        <v>1515</v>
      </c>
      <c r="AI541" s="138" t="s">
        <v>577</v>
      </c>
      <c r="AJ541" s="32" t="s">
        <v>132</v>
      </c>
      <c r="AK541" s="140" t="s">
        <v>1621</v>
      </c>
      <c r="AL541" s="32" t="s">
        <v>421</v>
      </c>
      <c r="AM541" s="32" t="s">
        <v>421</v>
      </c>
      <c r="AN541" s="32" t="s">
        <v>177</v>
      </c>
      <c r="AT541" s="32" t="s">
        <v>436</v>
      </c>
      <c r="AU541" s="32" t="s">
        <v>436</v>
      </c>
      <c r="AW541" s="32" t="s">
        <v>431</v>
      </c>
      <c r="AX541" s="32">
        <v>4</v>
      </c>
      <c r="AZ541" s="32" t="s">
        <v>141</v>
      </c>
      <c r="BD541" s="53"/>
      <c r="BP541" s="397">
        <v>1.42</v>
      </c>
      <c r="BQ541" s="397">
        <v>1.41</v>
      </c>
      <c r="BU541" s="397">
        <v>4</v>
      </c>
      <c r="BV541" s="397">
        <v>4.2299999999999995</v>
      </c>
      <c r="BY541" s="32" t="s">
        <v>1671</v>
      </c>
      <c r="BZ541" s="397"/>
      <c r="CA541" s="397"/>
      <c r="CD541" s="32" t="s">
        <v>1670</v>
      </c>
      <c r="CE541" s="550">
        <v>4</v>
      </c>
      <c r="CF541" s="550">
        <v>4.2299999999999995</v>
      </c>
      <c r="CG541" s="550"/>
      <c r="CH541" s="550"/>
      <c r="CI541" s="32" t="s">
        <v>4545</v>
      </c>
      <c r="CO541" s="32">
        <v>33</v>
      </c>
      <c r="CP541" s="32">
        <v>54.5</v>
      </c>
      <c r="CT541" s="32">
        <v>208</v>
      </c>
      <c r="CU541" s="32">
        <v>204</v>
      </c>
      <c r="CY541" s="32">
        <v>7</v>
      </c>
      <c r="CZ541" s="32">
        <v>7</v>
      </c>
      <c r="DS541" s="32">
        <v>407</v>
      </c>
      <c r="DT541" s="32">
        <v>368</v>
      </c>
      <c r="DW541" s="32" t="s">
        <v>433</v>
      </c>
      <c r="EC541" s="32">
        <v>0.57999999999999996</v>
      </c>
      <c r="ED541" s="32">
        <v>0.65</v>
      </c>
      <c r="EG541" s="32" t="s">
        <v>857</v>
      </c>
      <c r="FL541" s="32">
        <v>0.216</v>
      </c>
      <c r="FM541" s="32">
        <v>0.221</v>
      </c>
      <c r="GZ541" s="12"/>
      <c r="HD541" s="12"/>
      <c r="HE541" s="32">
        <v>1306</v>
      </c>
      <c r="HF541" s="32">
        <v>1354</v>
      </c>
      <c r="HI541" s="32" t="s">
        <v>432</v>
      </c>
      <c r="IN541" s="32">
        <f t="shared" si="194"/>
        <v>0.73920000000000008</v>
      </c>
      <c r="IO541" s="32">
        <f>70.9*0.012</f>
        <v>0.85080000000000011</v>
      </c>
      <c r="IR541" s="32" t="s">
        <v>435</v>
      </c>
      <c r="IY541" s="34">
        <v>99999</v>
      </c>
      <c r="JB541" s="32" t="s">
        <v>434</v>
      </c>
      <c r="JC541" s="32" t="s">
        <v>856</v>
      </c>
    </row>
    <row r="542" spans="1:263" s="32" customFormat="1" x14ac:dyDescent="0.25">
      <c r="A542" s="32">
        <v>29</v>
      </c>
      <c r="B542" s="44" t="s">
        <v>3861</v>
      </c>
      <c r="C542" s="32" t="s">
        <v>1019</v>
      </c>
      <c r="D542" s="32" t="s">
        <v>427</v>
      </c>
      <c r="E542" s="32">
        <v>2009</v>
      </c>
      <c r="F542" s="32">
        <v>2006</v>
      </c>
      <c r="G542" s="32" t="s">
        <v>302</v>
      </c>
      <c r="H542" s="32" t="s">
        <v>428</v>
      </c>
      <c r="I542" s="32" t="s">
        <v>2815</v>
      </c>
      <c r="J542" s="32">
        <f t="shared" si="189"/>
        <v>43.333333333333336</v>
      </c>
      <c r="K542" s="32">
        <f t="shared" si="190"/>
        <v>-89.716666666666669</v>
      </c>
      <c r="L542" s="32">
        <v>250</v>
      </c>
      <c r="R542" s="44">
        <v>4</v>
      </c>
      <c r="S542" s="44">
        <v>4</v>
      </c>
      <c r="T542" s="44"/>
      <c r="U542" s="44" t="s">
        <v>1908</v>
      </c>
      <c r="V542" s="44" t="s">
        <v>1394</v>
      </c>
      <c r="W542" s="44" t="s">
        <v>1722</v>
      </c>
      <c r="X542" s="44" t="s">
        <v>1394</v>
      </c>
      <c r="Y542" s="44" t="s">
        <v>1389</v>
      </c>
      <c r="Z542" s="32">
        <f t="shared" si="191"/>
        <v>1.417142857142857</v>
      </c>
      <c r="AA542" s="323"/>
      <c r="AB542" s="323"/>
      <c r="AC542" s="32" t="s">
        <v>450</v>
      </c>
      <c r="AD542" s="32">
        <f t="shared" si="192"/>
        <v>6.8714285714285719</v>
      </c>
      <c r="AG542" s="32" t="s">
        <v>1327</v>
      </c>
      <c r="AH542" s="32" t="s">
        <v>1153</v>
      </c>
      <c r="AI542" s="138" t="s">
        <v>131</v>
      </c>
      <c r="AJ542" s="32" t="s">
        <v>132</v>
      </c>
      <c r="AK542" s="140" t="s">
        <v>1621</v>
      </c>
      <c r="AL542" s="32" t="s">
        <v>421</v>
      </c>
      <c r="AM542" s="32" t="s">
        <v>421</v>
      </c>
      <c r="AN542" s="32" t="s">
        <v>177</v>
      </c>
      <c r="AT542" s="32" t="s">
        <v>436</v>
      </c>
      <c r="AU542" s="32" t="s">
        <v>436</v>
      </c>
      <c r="AW542" s="32" t="s">
        <v>431</v>
      </c>
      <c r="AX542" s="32">
        <v>4</v>
      </c>
      <c r="AZ542" s="32" t="s">
        <v>141</v>
      </c>
      <c r="BD542" s="53"/>
      <c r="BP542" s="397">
        <v>1.42</v>
      </c>
      <c r="BQ542" s="397">
        <v>1.37</v>
      </c>
      <c r="BU542" s="397">
        <v>4</v>
      </c>
      <c r="BV542" s="397">
        <v>4.13</v>
      </c>
      <c r="BY542" s="32" t="s">
        <v>1671</v>
      </c>
      <c r="BZ542" s="397"/>
      <c r="CA542" s="397"/>
      <c r="CD542" s="32" t="s">
        <v>1670</v>
      </c>
      <c r="CE542" s="550">
        <v>4</v>
      </c>
      <c r="CF542" s="550">
        <v>4.13</v>
      </c>
      <c r="CG542" s="550"/>
      <c r="CH542" s="550"/>
      <c r="CI542" s="32" t="s">
        <v>4545</v>
      </c>
      <c r="CO542" s="32">
        <v>33</v>
      </c>
      <c r="CP542" s="32">
        <v>57.5</v>
      </c>
      <c r="CT542" s="32">
        <v>208</v>
      </c>
      <c r="CU542" s="32">
        <v>277</v>
      </c>
      <c r="CY542" s="32">
        <v>7</v>
      </c>
      <c r="CZ542" s="32">
        <v>6.8</v>
      </c>
      <c r="DS542" s="32">
        <v>407</v>
      </c>
      <c r="DT542" s="32">
        <v>352</v>
      </c>
      <c r="DW542" s="32" t="s">
        <v>433</v>
      </c>
      <c r="EC542" s="32">
        <v>0.57999999999999996</v>
      </c>
      <c r="ED542" s="32">
        <v>0.64</v>
      </c>
      <c r="EG542" s="32" t="s">
        <v>857</v>
      </c>
      <c r="FL542" s="32">
        <v>0.216</v>
      </c>
      <c r="FM542" s="32">
        <v>0.23300000000000001</v>
      </c>
      <c r="GZ542" s="12"/>
      <c r="HD542" s="12"/>
      <c r="HE542" s="32">
        <v>1306</v>
      </c>
      <c r="HF542" s="32">
        <v>1382</v>
      </c>
      <c r="HI542" s="32" t="s">
        <v>432</v>
      </c>
      <c r="IN542" s="32">
        <f t="shared" si="194"/>
        <v>0.73920000000000008</v>
      </c>
      <c r="IO542" s="32">
        <f>88.6*0.012</f>
        <v>1.0631999999999999</v>
      </c>
      <c r="IR542" s="32" t="s">
        <v>435</v>
      </c>
      <c r="IY542" s="34">
        <v>99999</v>
      </c>
      <c r="JB542" s="32" t="s">
        <v>434</v>
      </c>
      <c r="JC542" s="32" t="s">
        <v>856</v>
      </c>
    </row>
    <row r="543" spans="1:263" s="32" customFormat="1" x14ac:dyDescent="0.25">
      <c r="A543" s="32">
        <v>29</v>
      </c>
      <c r="B543" s="44" t="s">
        <v>3876</v>
      </c>
      <c r="C543" s="32" t="s">
        <v>1019</v>
      </c>
      <c r="D543" s="32" t="s">
        <v>427</v>
      </c>
      <c r="E543" s="32">
        <v>2009</v>
      </c>
      <c r="F543" s="32">
        <v>2006</v>
      </c>
      <c r="G543" s="32" t="s">
        <v>302</v>
      </c>
      <c r="H543" s="32" t="s">
        <v>428</v>
      </c>
      <c r="I543" s="32" t="s">
        <v>2815</v>
      </c>
      <c r="J543" s="32">
        <f t="shared" si="189"/>
        <v>43.333333333333336</v>
      </c>
      <c r="K543" s="32">
        <f t="shared" si="190"/>
        <v>-89.716666666666669</v>
      </c>
      <c r="L543" s="32">
        <v>250</v>
      </c>
      <c r="R543" s="44">
        <v>4</v>
      </c>
      <c r="S543" s="44">
        <v>4</v>
      </c>
      <c r="T543" s="44"/>
      <c r="U543" s="44" t="s">
        <v>1908</v>
      </c>
      <c r="V543" s="44" t="s">
        <v>1394</v>
      </c>
      <c r="W543" s="44" t="s">
        <v>1722</v>
      </c>
      <c r="X543" s="44" t="s">
        <v>1394</v>
      </c>
      <c r="Y543" s="44" t="s">
        <v>1389</v>
      </c>
      <c r="Z543" s="32">
        <f t="shared" si="191"/>
        <v>1.417142857142857</v>
      </c>
      <c r="AA543" s="323"/>
      <c r="AB543" s="323"/>
      <c r="AC543" s="32" t="s">
        <v>450</v>
      </c>
      <c r="AD543" s="32">
        <f t="shared" si="192"/>
        <v>6.8714285714285719</v>
      </c>
      <c r="AG543" s="32" t="s">
        <v>1327</v>
      </c>
      <c r="AH543" s="32" t="s">
        <v>1154</v>
      </c>
      <c r="AI543" s="138" t="s">
        <v>131</v>
      </c>
      <c r="AJ543" s="32" t="s">
        <v>132</v>
      </c>
      <c r="AK543" s="140" t="s">
        <v>1621</v>
      </c>
      <c r="AL543" s="32" t="s">
        <v>421</v>
      </c>
      <c r="AM543" s="32" t="s">
        <v>421</v>
      </c>
      <c r="AN543" s="32" t="s">
        <v>177</v>
      </c>
      <c r="AT543" s="32" t="s">
        <v>436</v>
      </c>
      <c r="AU543" s="32" t="s">
        <v>436</v>
      </c>
      <c r="AW543" s="32" t="s">
        <v>431</v>
      </c>
      <c r="AX543" s="32">
        <v>4</v>
      </c>
      <c r="AZ543" s="32" t="s">
        <v>141</v>
      </c>
      <c r="BD543" s="53"/>
      <c r="BP543" s="397">
        <v>1.42</v>
      </c>
      <c r="BQ543" s="397">
        <v>1.39</v>
      </c>
      <c r="BU543" s="397">
        <v>4</v>
      </c>
      <c r="BV543" s="397">
        <v>3.7</v>
      </c>
      <c r="BY543" s="32" t="s">
        <v>1671</v>
      </c>
      <c r="BZ543" s="397"/>
      <c r="CA543" s="397"/>
      <c r="CD543" s="32" t="s">
        <v>1670</v>
      </c>
      <c r="CE543" s="550">
        <v>4</v>
      </c>
      <c r="CF543" s="550">
        <v>3.7</v>
      </c>
      <c r="CG543" s="550"/>
      <c r="CH543" s="550"/>
      <c r="CI543" s="32" t="s">
        <v>4545</v>
      </c>
      <c r="CO543" s="32">
        <v>33</v>
      </c>
      <c r="CP543" s="32">
        <v>43.3</v>
      </c>
      <c r="CT543" s="32">
        <v>208</v>
      </c>
      <c r="CU543" s="32">
        <v>265</v>
      </c>
      <c r="CY543" s="32">
        <v>7</v>
      </c>
      <c r="CZ543" s="32">
        <v>7.1</v>
      </c>
      <c r="DS543" s="32">
        <v>407</v>
      </c>
      <c r="DT543" s="32">
        <v>411</v>
      </c>
      <c r="DW543" s="32" t="s">
        <v>433</v>
      </c>
      <c r="EC543" s="32">
        <v>0.57999999999999996</v>
      </c>
      <c r="ED543" s="32">
        <v>0.63</v>
      </c>
      <c r="EG543" s="32" t="s">
        <v>857</v>
      </c>
      <c r="FL543" s="32">
        <v>0.216</v>
      </c>
      <c r="FM543" s="32">
        <v>0.219</v>
      </c>
      <c r="GZ543" s="12"/>
      <c r="HD543" s="12"/>
      <c r="HE543" s="32">
        <v>1306</v>
      </c>
      <c r="HF543" s="32">
        <v>1360</v>
      </c>
      <c r="HI543" s="32" t="s">
        <v>432</v>
      </c>
      <c r="IN543" s="32">
        <f t="shared" si="194"/>
        <v>0.73920000000000008</v>
      </c>
      <c r="IO543" s="32">
        <f>72.5*0.012</f>
        <v>0.87</v>
      </c>
      <c r="IR543" s="32" t="s">
        <v>435</v>
      </c>
      <c r="IY543" s="34">
        <v>99999</v>
      </c>
      <c r="JB543" s="32" t="s">
        <v>434</v>
      </c>
      <c r="JC543" s="32" t="s">
        <v>856</v>
      </c>
    </row>
    <row r="544" spans="1:263" s="34" customFormat="1" x14ac:dyDescent="0.25">
      <c r="A544" s="34">
        <v>29</v>
      </c>
      <c r="B544" s="48" t="s">
        <v>3877</v>
      </c>
      <c r="C544" s="34" t="s">
        <v>1019</v>
      </c>
      <c r="D544" s="34" t="s">
        <v>427</v>
      </c>
      <c r="E544" s="34">
        <v>2009</v>
      </c>
      <c r="F544" s="34">
        <v>2006</v>
      </c>
      <c r="G544" s="34" t="s">
        <v>302</v>
      </c>
      <c r="H544" s="34" t="s">
        <v>428</v>
      </c>
      <c r="I544" s="32" t="s">
        <v>2815</v>
      </c>
      <c r="J544" s="34">
        <f t="shared" si="189"/>
        <v>43.333333333333336</v>
      </c>
      <c r="K544" s="34">
        <f t="shared" si="190"/>
        <v>-89.716666666666669</v>
      </c>
      <c r="L544" s="34">
        <v>250</v>
      </c>
      <c r="R544" s="48">
        <v>4</v>
      </c>
      <c r="S544" s="48">
        <v>4</v>
      </c>
      <c r="T544" s="48"/>
      <c r="U544" s="48" t="s">
        <v>1908</v>
      </c>
      <c r="V544" s="48" t="s">
        <v>1382</v>
      </c>
      <c r="W544" s="48" t="s">
        <v>1717</v>
      </c>
      <c r="X544" s="48" t="s">
        <v>1394</v>
      </c>
      <c r="Y544" s="48" t="s">
        <v>1389</v>
      </c>
      <c r="Z544" s="34">
        <f t="shared" si="191"/>
        <v>1.417142857142857</v>
      </c>
      <c r="AA544" s="328"/>
      <c r="AB544" s="328"/>
      <c r="AC544" s="34" t="s">
        <v>450</v>
      </c>
      <c r="AD544" s="34">
        <f t="shared" si="192"/>
        <v>6.8714285714285719</v>
      </c>
      <c r="AG544" s="34" t="s">
        <v>1327</v>
      </c>
      <c r="AH544" s="34" t="s">
        <v>1535</v>
      </c>
      <c r="AI544" s="138" t="s">
        <v>577</v>
      </c>
      <c r="AJ544" s="34" t="s">
        <v>429</v>
      </c>
      <c r="AK544" s="140" t="s">
        <v>1621</v>
      </c>
      <c r="AL544" s="34" t="s">
        <v>421</v>
      </c>
      <c r="AM544" s="34" t="s">
        <v>421</v>
      </c>
      <c r="AN544" s="34" t="s">
        <v>177</v>
      </c>
      <c r="AT544" s="34" t="s">
        <v>436</v>
      </c>
      <c r="AU544" s="34" t="s">
        <v>436</v>
      </c>
      <c r="AW544" s="34" t="s">
        <v>430</v>
      </c>
      <c r="AX544" s="34">
        <v>4</v>
      </c>
      <c r="AZ544" s="34" t="s">
        <v>141</v>
      </c>
      <c r="BD544" s="53"/>
      <c r="BP544" s="404">
        <v>1.49</v>
      </c>
      <c r="BQ544" s="404">
        <v>1.45</v>
      </c>
      <c r="BU544" s="404">
        <v>2.93</v>
      </c>
      <c r="BV544" s="404">
        <v>3.3</v>
      </c>
      <c r="BY544" s="34" t="s">
        <v>1671</v>
      </c>
      <c r="BZ544" s="404"/>
      <c r="CA544" s="404"/>
      <c r="CD544" s="34" t="s">
        <v>1670</v>
      </c>
      <c r="CE544" s="557">
        <v>2.93</v>
      </c>
      <c r="CF544" s="557">
        <v>3.3</v>
      </c>
      <c r="CG544" s="557"/>
      <c r="CH544" s="557"/>
      <c r="CI544" s="34" t="s">
        <v>4545</v>
      </c>
      <c r="CO544" s="34">
        <v>24.3</v>
      </c>
      <c r="CP544" s="34">
        <v>20.8</v>
      </c>
      <c r="CT544" s="34">
        <v>145</v>
      </c>
      <c r="CU544" s="34">
        <v>104</v>
      </c>
      <c r="CY544" s="34">
        <v>7.1</v>
      </c>
      <c r="CZ544" s="34">
        <v>6.8</v>
      </c>
      <c r="DS544" s="34">
        <v>293</v>
      </c>
      <c r="DT544" s="34">
        <v>313</v>
      </c>
      <c r="DW544" s="34" t="s">
        <v>433</v>
      </c>
      <c r="EC544" s="34">
        <v>1.3393999999999999</v>
      </c>
      <c r="ED544" s="34">
        <v>1.2694000000000001</v>
      </c>
      <c r="EG544" s="34" t="s">
        <v>857</v>
      </c>
      <c r="FL544" s="34">
        <v>0.23</v>
      </c>
      <c r="FM544" s="34">
        <v>0.23499999999999999</v>
      </c>
      <c r="GZ544" s="12"/>
      <c r="HD544" s="12"/>
      <c r="HE544" s="34">
        <v>1092</v>
      </c>
      <c r="HF544" s="34">
        <v>1178</v>
      </c>
      <c r="HI544" s="34" t="s">
        <v>432</v>
      </c>
      <c r="IN544" s="34">
        <f>22*0.012</f>
        <v>0.26400000000000001</v>
      </c>
      <c r="IO544" s="34">
        <f>54.3*0.012</f>
        <v>0.65159999999999996</v>
      </c>
      <c r="IR544" s="34" t="s">
        <v>435</v>
      </c>
      <c r="IY544" s="34">
        <v>99999</v>
      </c>
      <c r="JB544" s="34" t="s">
        <v>434</v>
      </c>
      <c r="JC544" s="34" t="s">
        <v>856</v>
      </c>
    </row>
    <row r="545" spans="1:263" s="34" customFormat="1" x14ac:dyDescent="0.25">
      <c r="A545" s="34">
        <v>29</v>
      </c>
      <c r="B545" s="48" t="s">
        <v>3877</v>
      </c>
      <c r="C545" s="34" t="s">
        <v>1019</v>
      </c>
      <c r="D545" s="34" t="s">
        <v>427</v>
      </c>
      <c r="E545" s="34">
        <v>2009</v>
      </c>
      <c r="F545" s="34">
        <v>2006</v>
      </c>
      <c r="G545" s="34" t="s">
        <v>302</v>
      </c>
      <c r="H545" s="34" t="s">
        <v>428</v>
      </c>
      <c r="I545" s="32" t="s">
        <v>2815</v>
      </c>
      <c r="J545" s="34">
        <f t="shared" si="189"/>
        <v>43.333333333333336</v>
      </c>
      <c r="K545" s="34">
        <f t="shared" si="190"/>
        <v>-89.716666666666669</v>
      </c>
      <c r="L545" s="34">
        <v>250</v>
      </c>
      <c r="R545" s="48">
        <v>4</v>
      </c>
      <c r="S545" s="48">
        <v>4</v>
      </c>
      <c r="T545" s="48"/>
      <c r="U545" s="48" t="s">
        <v>1908</v>
      </c>
      <c r="V545" s="48" t="s">
        <v>1382</v>
      </c>
      <c r="W545" s="48" t="s">
        <v>1717</v>
      </c>
      <c r="X545" s="48" t="s">
        <v>1394</v>
      </c>
      <c r="Y545" s="48" t="s">
        <v>1389</v>
      </c>
      <c r="Z545" s="34">
        <f t="shared" si="191"/>
        <v>1.417142857142857</v>
      </c>
      <c r="AA545" s="328"/>
      <c r="AB545" s="328"/>
      <c r="AC545" s="34" t="s">
        <v>450</v>
      </c>
      <c r="AD545" s="34">
        <f t="shared" si="192"/>
        <v>6.8714285714285719</v>
      </c>
      <c r="AG545" s="34" t="s">
        <v>1327</v>
      </c>
      <c r="AH545" s="34" t="s">
        <v>1535</v>
      </c>
      <c r="AI545" s="138" t="s">
        <v>577</v>
      </c>
      <c r="AJ545" s="34" t="s">
        <v>132</v>
      </c>
      <c r="AK545" s="140" t="s">
        <v>1621</v>
      </c>
      <c r="AL545" s="34" t="s">
        <v>421</v>
      </c>
      <c r="AM545" s="34" t="s">
        <v>421</v>
      </c>
      <c r="AN545" s="34" t="s">
        <v>177</v>
      </c>
      <c r="AT545" s="34" t="s">
        <v>436</v>
      </c>
      <c r="AU545" s="34" t="s">
        <v>436</v>
      </c>
      <c r="AW545" s="34" t="s">
        <v>430</v>
      </c>
      <c r="AX545" s="34">
        <v>4</v>
      </c>
      <c r="AZ545" s="34" t="s">
        <v>141</v>
      </c>
      <c r="BD545" s="53"/>
      <c r="BP545" s="404">
        <v>1.49</v>
      </c>
      <c r="BQ545" s="404">
        <v>1.42</v>
      </c>
      <c r="BU545" s="404">
        <v>2.93</v>
      </c>
      <c r="BV545" s="404">
        <v>3.38</v>
      </c>
      <c r="BY545" s="34" t="s">
        <v>1671</v>
      </c>
      <c r="BZ545" s="404"/>
      <c r="CA545" s="404"/>
      <c r="CD545" s="34" t="s">
        <v>1670</v>
      </c>
      <c r="CE545" s="557">
        <v>2.93</v>
      </c>
      <c r="CF545" s="557">
        <v>3.38</v>
      </c>
      <c r="CG545" s="557"/>
      <c r="CH545" s="557"/>
      <c r="CI545" s="34" t="s">
        <v>4545</v>
      </c>
      <c r="CO545" s="34">
        <v>24.3</v>
      </c>
      <c r="CP545" s="34">
        <v>19</v>
      </c>
      <c r="CT545" s="34">
        <v>145</v>
      </c>
      <c r="CU545" s="34">
        <v>121</v>
      </c>
      <c r="CY545" s="34">
        <v>7.1</v>
      </c>
      <c r="CZ545" s="34">
        <v>6.6</v>
      </c>
      <c r="DS545" s="34">
        <v>293</v>
      </c>
      <c r="DT545" s="34">
        <v>404</v>
      </c>
      <c r="DW545" s="34" t="s">
        <v>433</v>
      </c>
      <c r="EC545" s="34">
        <v>1.3393999999999999</v>
      </c>
      <c r="ED545" s="34">
        <v>1.3277000000000001</v>
      </c>
      <c r="EG545" s="34" t="s">
        <v>857</v>
      </c>
      <c r="FL545" s="34">
        <v>0.23</v>
      </c>
      <c r="FM545" s="34">
        <v>0.22800000000000001</v>
      </c>
      <c r="GZ545" s="12"/>
      <c r="HD545" s="12"/>
      <c r="HE545" s="34">
        <v>1092</v>
      </c>
      <c r="HF545" s="34">
        <v>1169</v>
      </c>
      <c r="HI545" s="34" t="s">
        <v>432</v>
      </c>
      <c r="IN545" s="34">
        <f t="shared" ref="IN545:IN549" si="195">22*0.012</f>
        <v>0.26400000000000001</v>
      </c>
      <c r="IO545" s="34">
        <f>29.1*0.012</f>
        <v>0.34920000000000001</v>
      </c>
      <c r="IR545" s="34" t="s">
        <v>435</v>
      </c>
      <c r="IY545" s="34">
        <v>99999</v>
      </c>
      <c r="JB545" s="34" t="s">
        <v>434</v>
      </c>
      <c r="JC545" s="34" t="s">
        <v>856</v>
      </c>
    </row>
    <row r="546" spans="1:263" s="34" customFormat="1" x14ac:dyDescent="0.25">
      <c r="A546" s="34">
        <v>29</v>
      </c>
      <c r="B546" s="48" t="s">
        <v>3877</v>
      </c>
      <c r="C546" s="34" t="s">
        <v>1019</v>
      </c>
      <c r="D546" s="34" t="s">
        <v>427</v>
      </c>
      <c r="E546" s="34">
        <v>2009</v>
      </c>
      <c r="F546" s="34">
        <v>2006</v>
      </c>
      <c r="G546" s="34" t="s">
        <v>302</v>
      </c>
      <c r="H546" s="34" t="s">
        <v>428</v>
      </c>
      <c r="I546" s="32" t="s">
        <v>2815</v>
      </c>
      <c r="J546" s="34">
        <f t="shared" si="189"/>
        <v>43.333333333333336</v>
      </c>
      <c r="K546" s="34">
        <f t="shared" si="190"/>
        <v>-89.716666666666669</v>
      </c>
      <c r="L546" s="34">
        <v>250</v>
      </c>
      <c r="R546" s="48">
        <v>4</v>
      </c>
      <c r="S546" s="48">
        <v>4</v>
      </c>
      <c r="T546" s="48"/>
      <c r="U546" s="48" t="s">
        <v>1908</v>
      </c>
      <c r="V546" s="48" t="s">
        <v>1382</v>
      </c>
      <c r="W546" s="48" t="s">
        <v>1717</v>
      </c>
      <c r="X546" s="48" t="s">
        <v>1394</v>
      </c>
      <c r="Y546" s="48" t="s">
        <v>1389</v>
      </c>
      <c r="Z546" s="34">
        <f t="shared" si="191"/>
        <v>1.417142857142857</v>
      </c>
      <c r="AA546" s="328"/>
      <c r="AB546" s="328"/>
      <c r="AC546" s="34" t="s">
        <v>450</v>
      </c>
      <c r="AD546" s="34">
        <f t="shared" si="192"/>
        <v>6.8714285714285719</v>
      </c>
      <c r="AG546" s="34" t="s">
        <v>1327</v>
      </c>
      <c r="AH546" s="34" t="s">
        <v>1515</v>
      </c>
      <c r="AI546" s="138" t="s">
        <v>577</v>
      </c>
      <c r="AJ546" s="34" t="s">
        <v>429</v>
      </c>
      <c r="AK546" s="140" t="s">
        <v>1621</v>
      </c>
      <c r="AL546" s="34" t="s">
        <v>421</v>
      </c>
      <c r="AM546" s="34" t="s">
        <v>421</v>
      </c>
      <c r="AN546" s="34" t="s">
        <v>177</v>
      </c>
      <c r="AT546" s="34" t="s">
        <v>436</v>
      </c>
      <c r="AU546" s="34" t="s">
        <v>436</v>
      </c>
      <c r="AW546" s="34" t="s">
        <v>430</v>
      </c>
      <c r="AX546" s="34">
        <v>4</v>
      </c>
      <c r="AZ546" s="34" t="s">
        <v>141</v>
      </c>
      <c r="BD546" s="53"/>
      <c r="BP546" s="404">
        <v>1.49</v>
      </c>
      <c r="BQ546" s="404">
        <v>1.48</v>
      </c>
      <c r="BU546" s="404">
        <v>2.93</v>
      </c>
      <c r="BV546" s="404">
        <v>3.25</v>
      </c>
      <c r="BY546" s="34" t="s">
        <v>1671</v>
      </c>
      <c r="BZ546" s="404"/>
      <c r="CA546" s="404"/>
      <c r="CD546" s="34" t="s">
        <v>1670</v>
      </c>
      <c r="CE546" s="557">
        <v>2.93</v>
      </c>
      <c r="CF546" s="557">
        <v>3.25</v>
      </c>
      <c r="CG546" s="557"/>
      <c r="CH546" s="557"/>
      <c r="CI546" s="34" t="s">
        <v>4545</v>
      </c>
      <c r="CO546" s="34">
        <v>24.3</v>
      </c>
      <c r="CP546" s="34">
        <v>22.5</v>
      </c>
      <c r="CT546" s="34">
        <v>145</v>
      </c>
      <c r="CU546" s="34">
        <v>92</v>
      </c>
      <c r="CY546" s="34">
        <v>7.1</v>
      </c>
      <c r="CZ546" s="34">
        <v>7</v>
      </c>
      <c r="DS546" s="34">
        <v>293</v>
      </c>
      <c r="DT546" s="34">
        <v>279</v>
      </c>
      <c r="DW546" s="34" t="s">
        <v>433</v>
      </c>
      <c r="EC546" s="34">
        <v>1.3393999999999999</v>
      </c>
      <c r="ED546" s="34">
        <v>1.3549</v>
      </c>
      <c r="EG546" s="34" t="s">
        <v>857</v>
      </c>
      <c r="FL546" s="34">
        <v>0.23</v>
      </c>
      <c r="FM546" s="34">
        <v>0.22700000000000001</v>
      </c>
      <c r="GZ546" s="12"/>
      <c r="HD546" s="12"/>
      <c r="HE546" s="34">
        <v>1092</v>
      </c>
      <c r="HF546" s="34">
        <v>1148</v>
      </c>
      <c r="HI546" s="34" t="s">
        <v>432</v>
      </c>
      <c r="IN546" s="34">
        <f t="shared" si="195"/>
        <v>0.26400000000000001</v>
      </c>
      <c r="IO546" s="34">
        <f>43.9*0.012</f>
        <v>0.52680000000000005</v>
      </c>
      <c r="IR546" s="34" t="s">
        <v>435</v>
      </c>
      <c r="IY546" s="34">
        <v>99999</v>
      </c>
      <c r="JB546" s="34" t="s">
        <v>434</v>
      </c>
      <c r="JC546" s="34" t="s">
        <v>856</v>
      </c>
    </row>
    <row r="547" spans="1:263" s="34" customFormat="1" x14ac:dyDescent="0.25">
      <c r="A547" s="34">
        <v>29</v>
      </c>
      <c r="B547" s="48" t="s">
        <v>3877</v>
      </c>
      <c r="C547" s="34" t="s">
        <v>1019</v>
      </c>
      <c r="D547" s="34" t="s">
        <v>427</v>
      </c>
      <c r="E547" s="34">
        <v>2009</v>
      </c>
      <c r="F547" s="34">
        <v>2006</v>
      </c>
      <c r="G547" s="34" t="s">
        <v>302</v>
      </c>
      <c r="H547" s="34" t="s">
        <v>428</v>
      </c>
      <c r="I547" s="32" t="s">
        <v>2815</v>
      </c>
      <c r="J547" s="34">
        <f t="shared" si="189"/>
        <v>43.333333333333336</v>
      </c>
      <c r="K547" s="34">
        <f t="shared" si="190"/>
        <v>-89.716666666666669</v>
      </c>
      <c r="L547" s="34">
        <v>250</v>
      </c>
      <c r="R547" s="48">
        <v>4</v>
      </c>
      <c r="S547" s="48">
        <v>4</v>
      </c>
      <c r="T547" s="48"/>
      <c r="U547" s="48" t="s">
        <v>1908</v>
      </c>
      <c r="V547" s="48" t="s">
        <v>1382</v>
      </c>
      <c r="W547" s="48" t="s">
        <v>1717</v>
      </c>
      <c r="X547" s="48" t="s">
        <v>1394</v>
      </c>
      <c r="Y547" s="48" t="s">
        <v>1389</v>
      </c>
      <c r="Z547" s="34">
        <f t="shared" si="191"/>
        <v>1.417142857142857</v>
      </c>
      <c r="AA547" s="328"/>
      <c r="AB547" s="328"/>
      <c r="AC547" s="34" t="s">
        <v>450</v>
      </c>
      <c r="AD547" s="34">
        <f t="shared" si="192"/>
        <v>6.8714285714285719</v>
      </c>
      <c r="AG547" s="34" t="s">
        <v>1327</v>
      </c>
      <c r="AH547" s="34" t="s">
        <v>1515</v>
      </c>
      <c r="AI547" s="138" t="s">
        <v>577</v>
      </c>
      <c r="AJ547" s="34" t="s">
        <v>132</v>
      </c>
      <c r="AK547" s="140" t="s">
        <v>1621</v>
      </c>
      <c r="AL547" s="34" t="s">
        <v>421</v>
      </c>
      <c r="AM547" s="34" t="s">
        <v>421</v>
      </c>
      <c r="AN547" s="34" t="s">
        <v>177</v>
      </c>
      <c r="AT547" s="34" t="s">
        <v>436</v>
      </c>
      <c r="AU547" s="34" t="s">
        <v>436</v>
      </c>
      <c r="AW547" s="34" t="s">
        <v>430</v>
      </c>
      <c r="AX547" s="34">
        <v>4</v>
      </c>
      <c r="AZ547" s="34" t="s">
        <v>141</v>
      </c>
      <c r="BD547" s="53"/>
      <c r="BP547" s="404">
        <v>1.49</v>
      </c>
      <c r="BQ547" s="404">
        <v>1.43</v>
      </c>
      <c r="BU547" s="404">
        <v>2.93</v>
      </c>
      <c r="BV547" s="404">
        <v>3.3299999999999996</v>
      </c>
      <c r="BY547" s="34" t="s">
        <v>1671</v>
      </c>
      <c r="BZ547" s="404"/>
      <c r="CA547" s="404"/>
      <c r="CD547" s="34" t="s">
        <v>1670</v>
      </c>
      <c r="CE547" s="557">
        <v>2.93</v>
      </c>
      <c r="CF547" s="557">
        <v>3.3299999999999996</v>
      </c>
      <c r="CG547" s="557"/>
      <c r="CH547" s="557"/>
      <c r="CI547" s="34" t="s">
        <v>4545</v>
      </c>
      <c r="CO547" s="34">
        <v>24.3</v>
      </c>
      <c r="CP547" s="34">
        <v>20.8</v>
      </c>
      <c r="CT547" s="34">
        <v>145</v>
      </c>
      <c r="CU547" s="34">
        <v>104</v>
      </c>
      <c r="CY547" s="34">
        <v>7.1</v>
      </c>
      <c r="CZ547" s="34">
        <v>6.7</v>
      </c>
      <c r="DS547" s="34">
        <v>293</v>
      </c>
      <c r="DT547" s="34">
        <v>365</v>
      </c>
      <c r="DW547" s="34" t="s">
        <v>433</v>
      </c>
      <c r="EC547" s="34">
        <v>1.3393999999999999</v>
      </c>
      <c r="ED547" s="34">
        <v>1.38</v>
      </c>
      <c r="EG547" s="34" t="s">
        <v>857</v>
      </c>
      <c r="FL547" s="34">
        <v>0.23</v>
      </c>
      <c r="FM547" s="34">
        <v>0.22700000000000001</v>
      </c>
      <c r="GZ547" s="12"/>
      <c r="HD547" s="12"/>
      <c r="HE547" s="34">
        <v>1092</v>
      </c>
      <c r="HF547" s="34">
        <v>1189</v>
      </c>
      <c r="HI547" s="34" t="s">
        <v>432</v>
      </c>
      <c r="IN547" s="34">
        <f t="shared" si="195"/>
        <v>0.26400000000000001</v>
      </c>
      <c r="IO547" s="34">
        <f>34.3*0.012</f>
        <v>0.41159999999999997</v>
      </c>
      <c r="IR547" s="34" t="s">
        <v>435</v>
      </c>
      <c r="IY547" s="34">
        <v>99999</v>
      </c>
      <c r="JB547" s="34" t="s">
        <v>434</v>
      </c>
      <c r="JC547" s="34" t="s">
        <v>856</v>
      </c>
    </row>
    <row r="548" spans="1:263" s="34" customFormat="1" x14ac:dyDescent="0.25">
      <c r="A548" s="34">
        <v>29</v>
      </c>
      <c r="B548" s="48" t="s">
        <v>3878</v>
      </c>
      <c r="C548" s="34" t="s">
        <v>1019</v>
      </c>
      <c r="D548" s="34" t="s">
        <v>427</v>
      </c>
      <c r="E548" s="34">
        <v>2009</v>
      </c>
      <c r="F548" s="34">
        <v>2006</v>
      </c>
      <c r="G548" s="34" t="s">
        <v>302</v>
      </c>
      <c r="H548" s="34" t="s">
        <v>428</v>
      </c>
      <c r="I548" s="32" t="s">
        <v>2815</v>
      </c>
      <c r="J548" s="34">
        <f t="shared" si="189"/>
        <v>43.333333333333336</v>
      </c>
      <c r="K548" s="34">
        <f t="shared" si="190"/>
        <v>-89.716666666666669</v>
      </c>
      <c r="L548" s="34">
        <v>250</v>
      </c>
      <c r="R548" s="48">
        <v>4</v>
      </c>
      <c r="S548" s="48">
        <v>4</v>
      </c>
      <c r="T548" s="48"/>
      <c r="U548" s="48" t="s">
        <v>1908</v>
      </c>
      <c r="V548" s="48" t="s">
        <v>1382</v>
      </c>
      <c r="W548" s="48" t="s">
        <v>1717</v>
      </c>
      <c r="X548" s="48" t="s">
        <v>1394</v>
      </c>
      <c r="Y548" s="48" t="s">
        <v>1389</v>
      </c>
      <c r="Z548" s="34">
        <f t="shared" si="191"/>
        <v>1.417142857142857</v>
      </c>
      <c r="AA548" s="328"/>
      <c r="AB548" s="328"/>
      <c r="AC548" s="34" t="s">
        <v>450</v>
      </c>
      <c r="AD548" s="34">
        <f t="shared" si="192"/>
        <v>6.8714285714285719</v>
      </c>
      <c r="AG548" s="34" t="s">
        <v>1327</v>
      </c>
      <c r="AH548" s="34" t="s">
        <v>1153</v>
      </c>
      <c r="AI548" s="138" t="s">
        <v>131</v>
      </c>
      <c r="AJ548" s="34" t="s">
        <v>132</v>
      </c>
      <c r="AK548" s="140" t="s">
        <v>1621</v>
      </c>
      <c r="AL548" s="34" t="s">
        <v>421</v>
      </c>
      <c r="AM548" s="34" t="s">
        <v>421</v>
      </c>
      <c r="AN548" s="34" t="s">
        <v>177</v>
      </c>
      <c r="AT548" s="34" t="s">
        <v>436</v>
      </c>
      <c r="AU548" s="34" t="s">
        <v>436</v>
      </c>
      <c r="AW548" s="34" t="s">
        <v>430</v>
      </c>
      <c r="AX548" s="34">
        <v>4</v>
      </c>
      <c r="AZ548" s="34" t="s">
        <v>141</v>
      </c>
      <c r="BD548" s="53"/>
      <c r="BP548" s="404">
        <v>1.49</v>
      </c>
      <c r="BQ548" s="404">
        <v>1.44</v>
      </c>
      <c r="BU548" s="404">
        <v>2.93</v>
      </c>
      <c r="BV548" s="404">
        <v>3.3</v>
      </c>
      <c r="BY548" s="34" t="s">
        <v>1671</v>
      </c>
      <c r="BZ548" s="404"/>
      <c r="CA548" s="404"/>
      <c r="CD548" s="34" t="s">
        <v>1670</v>
      </c>
      <c r="CE548" s="557">
        <v>2.93</v>
      </c>
      <c r="CF548" s="557">
        <v>3.3</v>
      </c>
      <c r="CG548" s="557"/>
      <c r="CH548" s="557"/>
      <c r="CI548" s="34" t="s">
        <v>4545</v>
      </c>
      <c r="CO548" s="34">
        <v>24.3</v>
      </c>
      <c r="CP548" s="34">
        <v>22</v>
      </c>
      <c r="CT548" s="34">
        <v>145</v>
      </c>
      <c r="CU548" s="34">
        <v>132</v>
      </c>
      <c r="CY548" s="34">
        <v>7.1</v>
      </c>
      <c r="CZ548" s="34">
        <v>7.2</v>
      </c>
      <c r="DS548" s="34">
        <v>293</v>
      </c>
      <c r="DT548" s="34">
        <v>355</v>
      </c>
      <c r="DW548" s="34" t="s">
        <v>433</v>
      </c>
      <c r="EC548" s="34">
        <v>1.3393999999999999</v>
      </c>
      <c r="ED548" s="34">
        <v>1.49</v>
      </c>
      <c r="EG548" s="34" t="s">
        <v>857</v>
      </c>
      <c r="FL548" s="34">
        <v>0.23</v>
      </c>
      <c r="FM548" s="34">
        <v>0.22700000000000001</v>
      </c>
      <c r="GZ548" s="12"/>
      <c r="HD548" s="12"/>
      <c r="HE548" s="34">
        <v>1092</v>
      </c>
      <c r="HF548" s="34">
        <v>1229</v>
      </c>
      <c r="HI548" s="34" t="s">
        <v>432</v>
      </c>
      <c r="IN548" s="34">
        <f t="shared" si="195"/>
        <v>0.26400000000000001</v>
      </c>
      <c r="IO548" s="34">
        <f>66*0.012</f>
        <v>0.79200000000000004</v>
      </c>
      <c r="IR548" s="34" t="s">
        <v>435</v>
      </c>
      <c r="IY548" s="34">
        <v>99999</v>
      </c>
      <c r="JB548" s="34" t="s">
        <v>434</v>
      </c>
      <c r="JC548" s="34" t="s">
        <v>856</v>
      </c>
    </row>
    <row r="549" spans="1:263" s="34" customFormat="1" x14ac:dyDescent="0.25">
      <c r="A549" s="34">
        <v>29</v>
      </c>
      <c r="B549" s="48" t="s">
        <v>3878</v>
      </c>
      <c r="C549" s="34" t="s">
        <v>1019</v>
      </c>
      <c r="D549" s="34" t="s">
        <v>427</v>
      </c>
      <c r="E549" s="34">
        <v>2009</v>
      </c>
      <c r="F549" s="34">
        <v>2006</v>
      </c>
      <c r="G549" s="34" t="s">
        <v>302</v>
      </c>
      <c r="H549" s="34" t="s">
        <v>428</v>
      </c>
      <c r="I549" s="32" t="s">
        <v>2815</v>
      </c>
      <c r="J549" s="34">
        <f t="shared" si="189"/>
        <v>43.333333333333336</v>
      </c>
      <c r="K549" s="34">
        <f t="shared" si="190"/>
        <v>-89.716666666666669</v>
      </c>
      <c r="L549" s="34">
        <v>250</v>
      </c>
      <c r="R549" s="48">
        <v>4</v>
      </c>
      <c r="S549" s="48">
        <v>4</v>
      </c>
      <c r="T549" s="48"/>
      <c r="U549" s="48" t="s">
        <v>1908</v>
      </c>
      <c r="V549" s="48" t="s">
        <v>1382</v>
      </c>
      <c r="W549" s="48" t="s">
        <v>1717</v>
      </c>
      <c r="X549" s="48" t="s">
        <v>1394</v>
      </c>
      <c r="Y549" s="48" t="s">
        <v>1389</v>
      </c>
      <c r="Z549" s="34">
        <f t="shared" si="191"/>
        <v>1.417142857142857</v>
      </c>
      <c r="AA549" s="328"/>
      <c r="AB549" s="328"/>
      <c r="AC549" s="34" t="s">
        <v>450</v>
      </c>
      <c r="AD549" s="34">
        <f t="shared" si="192"/>
        <v>6.8714285714285719</v>
      </c>
      <c r="AG549" s="34" t="s">
        <v>1327</v>
      </c>
      <c r="AH549" s="34" t="s">
        <v>1154</v>
      </c>
      <c r="AI549" s="138" t="s">
        <v>131</v>
      </c>
      <c r="AJ549" s="34" t="s">
        <v>132</v>
      </c>
      <c r="AK549" s="140" t="s">
        <v>1621</v>
      </c>
      <c r="AL549" s="34" t="s">
        <v>421</v>
      </c>
      <c r="AM549" s="34" t="s">
        <v>421</v>
      </c>
      <c r="AN549" s="34" t="s">
        <v>177</v>
      </c>
      <c r="AT549" s="34" t="s">
        <v>436</v>
      </c>
      <c r="AU549" s="34" t="s">
        <v>436</v>
      </c>
      <c r="AW549" s="34" t="s">
        <v>430</v>
      </c>
      <c r="AX549" s="34">
        <v>4</v>
      </c>
      <c r="AZ549" s="34" t="s">
        <v>141</v>
      </c>
      <c r="BD549" s="53"/>
      <c r="BP549" s="404">
        <v>1.49</v>
      </c>
      <c r="BQ549" s="404">
        <v>1.45</v>
      </c>
      <c r="BU549" s="404">
        <v>2.93</v>
      </c>
      <c r="BV549" s="404">
        <v>3.13</v>
      </c>
      <c r="BY549" s="34" t="s">
        <v>1671</v>
      </c>
      <c r="BZ549" s="404"/>
      <c r="CA549" s="404"/>
      <c r="CD549" s="34" t="s">
        <v>1670</v>
      </c>
      <c r="CE549" s="557">
        <v>2.93</v>
      </c>
      <c r="CF549" s="557">
        <v>3.13</v>
      </c>
      <c r="CG549" s="557"/>
      <c r="CH549" s="557"/>
      <c r="CI549" s="34" t="s">
        <v>4545</v>
      </c>
      <c r="CO549" s="34">
        <v>24.3</v>
      </c>
      <c r="CP549" s="34">
        <v>18.8</v>
      </c>
      <c r="CT549" s="34">
        <v>145</v>
      </c>
      <c r="CU549" s="34">
        <v>147</v>
      </c>
      <c r="CY549" s="34">
        <v>7.1</v>
      </c>
      <c r="CZ549" s="34">
        <v>6.8</v>
      </c>
      <c r="DS549" s="34">
        <v>293</v>
      </c>
      <c r="DT549" s="34">
        <v>302</v>
      </c>
      <c r="DW549" s="34" t="s">
        <v>433</v>
      </c>
      <c r="EC549" s="34">
        <v>1.3393999999999999</v>
      </c>
      <c r="ED549" s="34">
        <v>1.53</v>
      </c>
      <c r="EG549" s="34" t="s">
        <v>857</v>
      </c>
      <c r="FL549" s="34">
        <v>0.23</v>
      </c>
      <c r="FM549" s="34">
        <v>0.222</v>
      </c>
      <c r="GZ549" s="12"/>
      <c r="HD549" s="12"/>
      <c r="HE549" s="34">
        <v>1092</v>
      </c>
      <c r="HF549" s="34">
        <v>1217</v>
      </c>
      <c r="HI549" s="34" t="s">
        <v>432</v>
      </c>
      <c r="IN549" s="34">
        <f t="shared" si="195"/>
        <v>0.26400000000000001</v>
      </c>
      <c r="IO549" s="34">
        <f>41.7*0.012</f>
        <v>0.50040000000000007</v>
      </c>
      <c r="IR549" s="34" t="s">
        <v>435</v>
      </c>
      <c r="IY549" s="34">
        <v>99999</v>
      </c>
      <c r="JB549" s="34" t="s">
        <v>434</v>
      </c>
      <c r="JC549" s="34" t="s">
        <v>856</v>
      </c>
    </row>
    <row r="550" spans="1:263" s="32" customFormat="1" x14ac:dyDescent="0.25">
      <c r="A550" s="32">
        <v>29</v>
      </c>
      <c r="B550" s="44" t="s">
        <v>3879</v>
      </c>
      <c r="C550" s="32" t="s">
        <v>1019</v>
      </c>
      <c r="D550" s="32" t="s">
        <v>427</v>
      </c>
      <c r="E550" s="32">
        <v>2009</v>
      </c>
      <c r="F550" s="32">
        <v>2006</v>
      </c>
      <c r="G550" s="32" t="s">
        <v>302</v>
      </c>
      <c r="H550" s="32" t="s">
        <v>428</v>
      </c>
      <c r="I550" s="32" t="s">
        <v>2815</v>
      </c>
      <c r="J550" s="32">
        <f t="shared" si="189"/>
        <v>43.333333333333336</v>
      </c>
      <c r="K550" s="32">
        <f t="shared" si="190"/>
        <v>-89.716666666666669</v>
      </c>
      <c r="L550" s="32">
        <v>250</v>
      </c>
      <c r="R550" s="44">
        <v>4</v>
      </c>
      <c r="S550" s="44">
        <v>4</v>
      </c>
      <c r="T550" s="44"/>
      <c r="U550" s="44" t="s">
        <v>1908</v>
      </c>
      <c r="V550" s="44" t="s">
        <v>1382</v>
      </c>
      <c r="W550" s="44" t="s">
        <v>1717</v>
      </c>
      <c r="X550" s="44" t="s">
        <v>1394</v>
      </c>
      <c r="Y550" s="44" t="s">
        <v>1389</v>
      </c>
      <c r="Z550" s="32">
        <f t="shared" si="191"/>
        <v>1.417142857142857</v>
      </c>
      <c r="AA550" s="323"/>
      <c r="AB550" s="323"/>
      <c r="AC550" s="32" t="s">
        <v>450</v>
      </c>
      <c r="AD550" s="32">
        <f t="shared" si="192"/>
        <v>6.8714285714285719</v>
      </c>
      <c r="AG550" s="32" t="s">
        <v>1327</v>
      </c>
      <c r="AH550" s="32" t="s">
        <v>1535</v>
      </c>
      <c r="AI550" s="138" t="s">
        <v>577</v>
      </c>
      <c r="AJ550" s="32" t="s">
        <v>429</v>
      </c>
      <c r="AK550" s="140" t="s">
        <v>1621</v>
      </c>
      <c r="AL550" s="32" t="s">
        <v>421</v>
      </c>
      <c r="AM550" s="32" t="s">
        <v>421</v>
      </c>
      <c r="AN550" s="32" t="s">
        <v>177</v>
      </c>
      <c r="AT550" s="32" t="s">
        <v>436</v>
      </c>
      <c r="AU550" s="32" t="s">
        <v>436</v>
      </c>
      <c r="AW550" s="32" t="s">
        <v>431</v>
      </c>
      <c r="AX550" s="32">
        <v>4</v>
      </c>
      <c r="AZ550" s="32" t="s">
        <v>141</v>
      </c>
      <c r="BD550" s="53"/>
      <c r="BP550" s="397">
        <v>1.4</v>
      </c>
      <c r="BQ550" s="397">
        <v>1.45</v>
      </c>
      <c r="BU550" s="397">
        <v>3.38</v>
      </c>
      <c r="BV550" s="397">
        <v>3.3</v>
      </c>
      <c r="BY550" s="32" t="s">
        <v>1671</v>
      </c>
      <c r="BZ550" s="397"/>
      <c r="CA550" s="397"/>
      <c r="CD550" s="32" t="s">
        <v>1670</v>
      </c>
      <c r="CE550" s="550">
        <v>3.38</v>
      </c>
      <c r="CF550" s="550">
        <v>3.3</v>
      </c>
      <c r="CG550" s="550"/>
      <c r="CH550" s="550"/>
      <c r="CI550" s="32" t="s">
        <v>4545</v>
      </c>
      <c r="CO550" s="32">
        <v>28</v>
      </c>
      <c r="CP550" s="32">
        <v>20.8</v>
      </c>
      <c r="CT550" s="32">
        <v>120</v>
      </c>
      <c r="CU550" s="32">
        <v>104</v>
      </c>
      <c r="CY550" s="32">
        <v>6.7</v>
      </c>
      <c r="CZ550" s="32">
        <v>6.8</v>
      </c>
      <c r="DS550" s="32">
        <v>369</v>
      </c>
      <c r="DT550" s="32">
        <v>313</v>
      </c>
      <c r="DW550" s="32" t="s">
        <v>433</v>
      </c>
      <c r="EC550" s="32">
        <v>1.4172</v>
      </c>
      <c r="ED550" s="32">
        <v>1.2694000000000001</v>
      </c>
      <c r="EG550" s="32" t="s">
        <v>857</v>
      </c>
      <c r="FL550" s="32">
        <v>0.23</v>
      </c>
      <c r="FM550" s="32">
        <v>0.23499999999999999</v>
      </c>
      <c r="GZ550" s="12"/>
      <c r="HD550" s="12"/>
      <c r="HE550" s="32">
        <v>1172</v>
      </c>
      <c r="HF550" s="32">
        <v>1178</v>
      </c>
      <c r="HI550" s="32" t="s">
        <v>432</v>
      </c>
      <c r="IN550" s="32">
        <f>40.7*0.012</f>
        <v>0.48840000000000006</v>
      </c>
      <c r="IO550" s="32">
        <f>54.3*0.012</f>
        <v>0.65159999999999996</v>
      </c>
      <c r="IR550" s="32" t="s">
        <v>435</v>
      </c>
      <c r="IY550" s="34">
        <v>99999</v>
      </c>
      <c r="JB550" s="32" t="s">
        <v>434</v>
      </c>
      <c r="JC550" s="32" t="s">
        <v>856</v>
      </c>
    </row>
    <row r="551" spans="1:263" s="32" customFormat="1" x14ac:dyDescent="0.25">
      <c r="A551" s="32">
        <v>29</v>
      </c>
      <c r="B551" s="44" t="s">
        <v>3879</v>
      </c>
      <c r="C551" s="32" t="s">
        <v>1019</v>
      </c>
      <c r="D551" s="32" t="s">
        <v>427</v>
      </c>
      <c r="E551" s="32">
        <v>2009</v>
      </c>
      <c r="F551" s="32">
        <v>2006</v>
      </c>
      <c r="G551" s="32" t="s">
        <v>302</v>
      </c>
      <c r="H551" s="32" t="s">
        <v>428</v>
      </c>
      <c r="I551" s="32" t="s">
        <v>2815</v>
      </c>
      <c r="J551" s="32">
        <f t="shared" si="189"/>
        <v>43.333333333333336</v>
      </c>
      <c r="K551" s="32">
        <f t="shared" si="190"/>
        <v>-89.716666666666669</v>
      </c>
      <c r="L551" s="32">
        <v>250</v>
      </c>
      <c r="R551" s="44">
        <v>4</v>
      </c>
      <c r="S551" s="44">
        <v>4</v>
      </c>
      <c r="T551" s="44"/>
      <c r="U551" s="44" t="s">
        <v>1908</v>
      </c>
      <c r="V551" s="44" t="s">
        <v>1382</v>
      </c>
      <c r="W551" s="44" t="s">
        <v>1717</v>
      </c>
      <c r="X551" s="44" t="s">
        <v>1394</v>
      </c>
      <c r="Y551" s="44" t="s">
        <v>1389</v>
      </c>
      <c r="Z551" s="32">
        <f t="shared" si="191"/>
        <v>1.417142857142857</v>
      </c>
      <c r="AA551" s="323"/>
      <c r="AB551" s="323"/>
      <c r="AC551" s="32" t="s">
        <v>450</v>
      </c>
      <c r="AD551" s="32">
        <f t="shared" si="192"/>
        <v>6.8714285714285719</v>
      </c>
      <c r="AG551" s="32" t="s">
        <v>1327</v>
      </c>
      <c r="AH551" s="32" t="s">
        <v>1535</v>
      </c>
      <c r="AI551" s="138" t="s">
        <v>577</v>
      </c>
      <c r="AJ551" s="32" t="s">
        <v>132</v>
      </c>
      <c r="AK551" s="140" t="s">
        <v>1621</v>
      </c>
      <c r="AL551" s="32" t="s">
        <v>421</v>
      </c>
      <c r="AM551" s="32" t="s">
        <v>421</v>
      </c>
      <c r="AN551" s="32" t="s">
        <v>177</v>
      </c>
      <c r="AT551" s="32" t="s">
        <v>436</v>
      </c>
      <c r="AU551" s="32" t="s">
        <v>436</v>
      </c>
      <c r="AW551" s="32" t="s">
        <v>431</v>
      </c>
      <c r="AX551" s="32">
        <v>4</v>
      </c>
      <c r="AZ551" s="32" t="s">
        <v>141</v>
      </c>
      <c r="BD551" s="53"/>
      <c r="BP551" s="397">
        <v>1.4</v>
      </c>
      <c r="BQ551" s="397">
        <v>1.42</v>
      </c>
      <c r="BU551" s="397">
        <v>3.38</v>
      </c>
      <c r="BV551" s="397">
        <v>3.38</v>
      </c>
      <c r="BY551" s="32" t="s">
        <v>1671</v>
      </c>
      <c r="BZ551" s="397"/>
      <c r="CA551" s="397"/>
      <c r="CD551" s="32" t="s">
        <v>1670</v>
      </c>
      <c r="CE551" s="550">
        <v>3.38</v>
      </c>
      <c r="CF551" s="550">
        <v>3.38</v>
      </c>
      <c r="CG551" s="550"/>
      <c r="CH551" s="550"/>
      <c r="CI551" s="32" t="s">
        <v>4545</v>
      </c>
      <c r="CO551" s="32">
        <v>28</v>
      </c>
      <c r="CP551" s="32">
        <v>19</v>
      </c>
      <c r="CT551" s="32">
        <v>120</v>
      </c>
      <c r="CU551" s="32">
        <v>121</v>
      </c>
      <c r="CY551" s="32">
        <v>6.7</v>
      </c>
      <c r="CZ551" s="32">
        <v>6.6</v>
      </c>
      <c r="DS551" s="32">
        <v>369</v>
      </c>
      <c r="DT551" s="32">
        <v>404</v>
      </c>
      <c r="DW551" s="32" t="s">
        <v>433</v>
      </c>
      <c r="EC551" s="32">
        <v>1.4172</v>
      </c>
      <c r="ED551" s="32">
        <v>1.3277000000000001</v>
      </c>
      <c r="EG551" s="32" t="s">
        <v>857</v>
      </c>
      <c r="FL551" s="32">
        <v>0.23</v>
      </c>
      <c r="FM551" s="32">
        <v>0.22800000000000001</v>
      </c>
      <c r="GZ551" s="12"/>
      <c r="HD551" s="12"/>
      <c r="HE551" s="32">
        <v>1172</v>
      </c>
      <c r="HF551" s="32">
        <v>1169</v>
      </c>
      <c r="HI551" s="32" t="s">
        <v>432</v>
      </c>
      <c r="IN551" s="32">
        <f t="shared" ref="IN551:IN555" si="196">40.7*0.012</f>
        <v>0.48840000000000006</v>
      </c>
      <c r="IO551" s="32">
        <f>29.1*0.012</f>
        <v>0.34920000000000001</v>
      </c>
      <c r="IR551" s="32" t="s">
        <v>435</v>
      </c>
      <c r="IY551" s="34">
        <v>99999</v>
      </c>
      <c r="JB551" s="32" t="s">
        <v>434</v>
      </c>
      <c r="JC551" s="32" t="s">
        <v>856</v>
      </c>
    </row>
    <row r="552" spans="1:263" s="32" customFormat="1" x14ac:dyDescent="0.25">
      <c r="A552" s="32">
        <v>29</v>
      </c>
      <c r="B552" s="44" t="s">
        <v>3879</v>
      </c>
      <c r="C552" s="32" t="s">
        <v>1019</v>
      </c>
      <c r="D552" s="32" t="s">
        <v>427</v>
      </c>
      <c r="E552" s="32">
        <v>2009</v>
      </c>
      <c r="F552" s="32">
        <v>2006</v>
      </c>
      <c r="G552" s="32" t="s">
        <v>302</v>
      </c>
      <c r="H552" s="32" t="s">
        <v>428</v>
      </c>
      <c r="I552" s="32" t="s">
        <v>2815</v>
      </c>
      <c r="J552" s="32">
        <f t="shared" si="189"/>
        <v>43.333333333333336</v>
      </c>
      <c r="K552" s="32">
        <f t="shared" si="190"/>
        <v>-89.716666666666669</v>
      </c>
      <c r="L552" s="32">
        <v>250</v>
      </c>
      <c r="R552" s="44">
        <v>4</v>
      </c>
      <c r="S552" s="44">
        <v>4</v>
      </c>
      <c r="T552" s="44"/>
      <c r="U552" s="44" t="s">
        <v>1908</v>
      </c>
      <c r="V552" s="44" t="s">
        <v>1382</v>
      </c>
      <c r="W552" s="44" t="s">
        <v>1717</v>
      </c>
      <c r="X552" s="44" t="s">
        <v>1394</v>
      </c>
      <c r="Y552" s="44" t="s">
        <v>1389</v>
      </c>
      <c r="Z552" s="32">
        <f t="shared" si="191"/>
        <v>1.417142857142857</v>
      </c>
      <c r="AA552" s="323"/>
      <c r="AB552" s="323"/>
      <c r="AC552" s="32" t="s">
        <v>450</v>
      </c>
      <c r="AD552" s="32">
        <f t="shared" si="192"/>
        <v>6.8714285714285719</v>
      </c>
      <c r="AG552" s="32" t="s">
        <v>1327</v>
      </c>
      <c r="AH552" s="32" t="s">
        <v>1515</v>
      </c>
      <c r="AI552" s="138" t="s">
        <v>577</v>
      </c>
      <c r="AJ552" s="32" t="s">
        <v>429</v>
      </c>
      <c r="AK552" s="140" t="s">
        <v>1621</v>
      </c>
      <c r="AL552" s="32" t="s">
        <v>421</v>
      </c>
      <c r="AM552" s="32" t="s">
        <v>421</v>
      </c>
      <c r="AN552" s="32" t="s">
        <v>177</v>
      </c>
      <c r="AT552" s="32" t="s">
        <v>436</v>
      </c>
      <c r="AU552" s="32" t="s">
        <v>436</v>
      </c>
      <c r="AW552" s="32" t="s">
        <v>431</v>
      </c>
      <c r="AX552" s="32">
        <v>4</v>
      </c>
      <c r="AZ552" s="32" t="s">
        <v>141</v>
      </c>
      <c r="BD552" s="53"/>
      <c r="BP552" s="397">
        <v>1.4</v>
      </c>
      <c r="BQ552" s="397">
        <v>1.48</v>
      </c>
      <c r="BU552" s="397">
        <v>3.38</v>
      </c>
      <c r="BV552" s="397">
        <v>3.25</v>
      </c>
      <c r="BY552" s="32" t="s">
        <v>1671</v>
      </c>
      <c r="BZ552" s="397"/>
      <c r="CA552" s="397"/>
      <c r="CD552" s="32" t="s">
        <v>1670</v>
      </c>
      <c r="CE552" s="550">
        <v>3.38</v>
      </c>
      <c r="CF552" s="550">
        <v>3.25</v>
      </c>
      <c r="CG552" s="550"/>
      <c r="CH552" s="550"/>
      <c r="CI552" s="32" t="s">
        <v>4545</v>
      </c>
      <c r="CO552" s="32">
        <v>28</v>
      </c>
      <c r="CP552" s="32">
        <v>22.5</v>
      </c>
      <c r="CT552" s="32">
        <v>120</v>
      </c>
      <c r="CU552" s="32">
        <v>92</v>
      </c>
      <c r="CY552" s="32">
        <v>6.7</v>
      </c>
      <c r="CZ552" s="32">
        <v>7</v>
      </c>
      <c r="DS552" s="32">
        <v>369</v>
      </c>
      <c r="DT552" s="32">
        <v>279</v>
      </c>
      <c r="DW552" s="32" t="s">
        <v>433</v>
      </c>
      <c r="EC552" s="32">
        <v>1.4172</v>
      </c>
      <c r="ED552" s="32">
        <v>1.3549</v>
      </c>
      <c r="EG552" s="32" t="s">
        <v>857</v>
      </c>
      <c r="FL552" s="32">
        <v>0.23</v>
      </c>
      <c r="FM552" s="32">
        <v>0.22700000000000001</v>
      </c>
      <c r="GZ552" s="12"/>
      <c r="HD552" s="12"/>
      <c r="HE552" s="32">
        <v>1172</v>
      </c>
      <c r="HF552" s="32">
        <v>1148</v>
      </c>
      <c r="HI552" s="32" t="s">
        <v>432</v>
      </c>
      <c r="IN552" s="32">
        <f t="shared" si="196"/>
        <v>0.48840000000000006</v>
      </c>
      <c r="IO552" s="32">
        <f>43.9*0.012</f>
        <v>0.52680000000000005</v>
      </c>
      <c r="IR552" s="32" t="s">
        <v>435</v>
      </c>
      <c r="IY552" s="34">
        <v>99999</v>
      </c>
      <c r="JB552" s="32" t="s">
        <v>434</v>
      </c>
      <c r="JC552" s="32" t="s">
        <v>856</v>
      </c>
    </row>
    <row r="553" spans="1:263" s="32" customFormat="1" x14ac:dyDescent="0.25">
      <c r="A553" s="32">
        <v>29</v>
      </c>
      <c r="B553" s="44" t="s">
        <v>3879</v>
      </c>
      <c r="C553" s="32" t="s">
        <v>1019</v>
      </c>
      <c r="D553" s="32" t="s">
        <v>427</v>
      </c>
      <c r="E553" s="32">
        <v>2009</v>
      </c>
      <c r="F553" s="32">
        <v>2006</v>
      </c>
      <c r="G553" s="32" t="s">
        <v>302</v>
      </c>
      <c r="H553" s="32" t="s">
        <v>428</v>
      </c>
      <c r="I553" s="32" t="s">
        <v>2815</v>
      </c>
      <c r="J553" s="32">
        <f t="shared" si="189"/>
        <v>43.333333333333336</v>
      </c>
      <c r="K553" s="32">
        <f t="shared" si="190"/>
        <v>-89.716666666666669</v>
      </c>
      <c r="L553" s="32">
        <v>250</v>
      </c>
      <c r="R553" s="44">
        <v>4</v>
      </c>
      <c r="S553" s="44">
        <v>4</v>
      </c>
      <c r="T553" s="44"/>
      <c r="U553" s="44" t="s">
        <v>1908</v>
      </c>
      <c r="V553" s="44" t="s">
        <v>1382</v>
      </c>
      <c r="W553" s="44" t="s">
        <v>1717</v>
      </c>
      <c r="X553" s="44" t="s">
        <v>1394</v>
      </c>
      <c r="Y553" s="44" t="s">
        <v>1389</v>
      </c>
      <c r="Z553" s="32">
        <f t="shared" si="191"/>
        <v>1.417142857142857</v>
      </c>
      <c r="AA553" s="323"/>
      <c r="AB553" s="323"/>
      <c r="AC553" s="32" t="s">
        <v>450</v>
      </c>
      <c r="AD553" s="32">
        <f t="shared" si="192"/>
        <v>6.8714285714285719</v>
      </c>
      <c r="AG553" s="32" t="s">
        <v>1327</v>
      </c>
      <c r="AH553" s="32" t="s">
        <v>1515</v>
      </c>
      <c r="AI553" s="138" t="s">
        <v>577</v>
      </c>
      <c r="AJ553" s="32" t="s">
        <v>132</v>
      </c>
      <c r="AK553" s="140" t="s">
        <v>1621</v>
      </c>
      <c r="AL553" s="32" t="s">
        <v>421</v>
      </c>
      <c r="AM553" s="32" t="s">
        <v>421</v>
      </c>
      <c r="AN553" s="32" t="s">
        <v>177</v>
      </c>
      <c r="AT553" s="32" t="s">
        <v>436</v>
      </c>
      <c r="AU553" s="32" t="s">
        <v>436</v>
      </c>
      <c r="AW553" s="32" t="s">
        <v>431</v>
      </c>
      <c r="AX553" s="32">
        <v>4</v>
      </c>
      <c r="AZ553" s="32" t="s">
        <v>141</v>
      </c>
      <c r="BD553" s="53"/>
      <c r="BP553" s="397">
        <v>1.4</v>
      </c>
      <c r="BQ553" s="397">
        <v>1.43</v>
      </c>
      <c r="BU553" s="397">
        <v>3.38</v>
      </c>
      <c r="BV553" s="397">
        <v>3.3299999999999996</v>
      </c>
      <c r="BY553" s="32" t="s">
        <v>1671</v>
      </c>
      <c r="BZ553" s="397"/>
      <c r="CA553" s="397"/>
      <c r="CD553" s="32" t="s">
        <v>1670</v>
      </c>
      <c r="CE553" s="550">
        <v>3.38</v>
      </c>
      <c r="CF553" s="550">
        <v>3.3299999999999996</v>
      </c>
      <c r="CG553" s="550"/>
      <c r="CH553" s="550"/>
      <c r="CI553" s="32" t="s">
        <v>4545</v>
      </c>
      <c r="CO553" s="32">
        <v>28</v>
      </c>
      <c r="CP553" s="32">
        <v>20.8</v>
      </c>
      <c r="CT553" s="32">
        <v>120</v>
      </c>
      <c r="CU553" s="32">
        <v>104</v>
      </c>
      <c r="CY553" s="32">
        <v>6.7</v>
      </c>
      <c r="CZ553" s="32">
        <v>6.7</v>
      </c>
      <c r="DS553" s="32">
        <v>369</v>
      </c>
      <c r="DT553" s="32">
        <v>365</v>
      </c>
      <c r="DW553" s="32" t="s">
        <v>433</v>
      </c>
      <c r="EC553" s="32">
        <v>1.4172</v>
      </c>
      <c r="ED553" s="32">
        <v>1.38</v>
      </c>
      <c r="EG553" s="32" t="s">
        <v>857</v>
      </c>
      <c r="FL553" s="32">
        <v>0.23</v>
      </c>
      <c r="FM553" s="32">
        <v>0.22700000000000001</v>
      </c>
      <c r="GZ553" s="12"/>
      <c r="HD553" s="12"/>
      <c r="HE553" s="32">
        <v>1172</v>
      </c>
      <c r="HF553" s="32">
        <v>1189</v>
      </c>
      <c r="HI553" s="32" t="s">
        <v>432</v>
      </c>
      <c r="IN553" s="32">
        <f t="shared" si="196"/>
        <v>0.48840000000000006</v>
      </c>
      <c r="IO553" s="32">
        <f>34.3*0.012</f>
        <v>0.41159999999999997</v>
      </c>
      <c r="IR553" s="32" t="s">
        <v>435</v>
      </c>
      <c r="IY553" s="34">
        <v>99999</v>
      </c>
      <c r="JB553" s="32" t="s">
        <v>434</v>
      </c>
      <c r="JC553" s="32" t="s">
        <v>856</v>
      </c>
    </row>
    <row r="554" spans="1:263" s="32" customFormat="1" x14ac:dyDescent="0.25">
      <c r="A554" s="32">
        <v>29</v>
      </c>
      <c r="B554" s="44" t="s">
        <v>3880</v>
      </c>
      <c r="C554" s="32" t="s">
        <v>1019</v>
      </c>
      <c r="D554" s="32" t="s">
        <v>427</v>
      </c>
      <c r="E554" s="32">
        <v>2009</v>
      </c>
      <c r="F554" s="32">
        <v>2006</v>
      </c>
      <c r="G554" s="32" t="s">
        <v>302</v>
      </c>
      <c r="H554" s="32" t="s">
        <v>428</v>
      </c>
      <c r="I554" s="32" t="s">
        <v>2815</v>
      </c>
      <c r="J554" s="32">
        <f t="shared" si="189"/>
        <v>43.333333333333336</v>
      </c>
      <c r="K554" s="32">
        <f t="shared" si="190"/>
        <v>-89.716666666666669</v>
      </c>
      <c r="L554" s="32">
        <v>250</v>
      </c>
      <c r="R554" s="44">
        <v>4</v>
      </c>
      <c r="S554" s="44">
        <v>4</v>
      </c>
      <c r="T554" s="44"/>
      <c r="U554" s="44" t="s">
        <v>1908</v>
      </c>
      <c r="V554" s="44" t="s">
        <v>1382</v>
      </c>
      <c r="W554" s="44" t="s">
        <v>1717</v>
      </c>
      <c r="X554" s="44" t="s">
        <v>1394</v>
      </c>
      <c r="Y554" s="44" t="s">
        <v>1389</v>
      </c>
      <c r="Z554" s="32">
        <f t="shared" si="191"/>
        <v>1.417142857142857</v>
      </c>
      <c r="AA554" s="323"/>
      <c r="AB554" s="323"/>
      <c r="AC554" s="32" t="s">
        <v>450</v>
      </c>
      <c r="AD554" s="32">
        <f t="shared" si="192"/>
        <v>6.8714285714285719</v>
      </c>
      <c r="AG554" s="32" t="s">
        <v>1327</v>
      </c>
      <c r="AH554" s="32" t="s">
        <v>1153</v>
      </c>
      <c r="AI554" s="138" t="s">
        <v>131</v>
      </c>
      <c r="AJ554" s="32" t="s">
        <v>132</v>
      </c>
      <c r="AK554" s="140" t="s">
        <v>1621</v>
      </c>
      <c r="AL554" s="32" t="s">
        <v>421</v>
      </c>
      <c r="AM554" s="32" t="s">
        <v>421</v>
      </c>
      <c r="AN554" s="32" t="s">
        <v>177</v>
      </c>
      <c r="AT554" s="32" t="s">
        <v>436</v>
      </c>
      <c r="AU554" s="32" t="s">
        <v>436</v>
      </c>
      <c r="AW554" s="32" t="s">
        <v>431</v>
      </c>
      <c r="AX554" s="32">
        <v>4</v>
      </c>
      <c r="AZ554" s="32" t="s">
        <v>141</v>
      </c>
      <c r="BD554" s="53"/>
      <c r="BP554" s="397">
        <v>1.4</v>
      </c>
      <c r="BQ554" s="397">
        <v>1.44</v>
      </c>
      <c r="BU554" s="397">
        <v>3.38</v>
      </c>
      <c r="BV554" s="397">
        <v>3.3</v>
      </c>
      <c r="BY554" s="32" t="s">
        <v>1671</v>
      </c>
      <c r="BZ554" s="397"/>
      <c r="CA554" s="397"/>
      <c r="CD554" s="32" t="s">
        <v>1670</v>
      </c>
      <c r="CE554" s="550">
        <v>3.38</v>
      </c>
      <c r="CF554" s="550">
        <v>3.3</v>
      </c>
      <c r="CG554" s="550"/>
      <c r="CH554" s="550"/>
      <c r="CI554" s="32" t="s">
        <v>4545</v>
      </c>
      <c r="CO554" s="32">
        <v>28</v>
      </c>
      <c r="CP554" s="32">
        <v>22</v>
      </c>
      <c r="CT554" s="32">
        <v>120</v>
      </c>
      <c r="CU554" s="32">
        <v>132</v>
      </c>
      <c r="CY554" s="32">
        <v>6.7</v>
      </c>
      <c r="CZ554" s="32">
        <v>7.2</v>
      </c>
      <c r="DS554" s="32">
        <v>369</v>
      </c>
      <c r="DT554" s="32">
        <v>355</v>
      </c>
      <c r="DW554" s="32" t="s">
        <v>433</v>
      </c>
      <c r="EC554" s="32">
        <v>1.4172</v>
      </c>
      <c r="ED554" s="32">
        <v>1.49</v>
      </c>
      <c r="EG554" s="32" t="s">
        <v>857</v>
      </c>
      <c r="FL554" s="32">
        <v>0.23</v>
      </c>
      <c r="FM554" s="32">
        <v>0.22700000000000001</v>
      </c>
      <c r="GZ554" s="12"/>
      <c r="HD554" s="12"/>
      <c r="HE554" s="32">
        <v>1172</v>
      </c>
      <c r="HF554" s="32">
        <v>1229</v>
      </c>
      <c r="HI554" s="32" t="s">
        <v>432</v>
      </c>
      <c r="IN554" s="32">
        <f t="shared" si="196"/>
        <v>0.48840000000000006</v>
      </c>
      <c r="IO554" s="32">
        <f>66*0.012</f>
        <v>0.79200000000000004</v>
      </c>
      <c r="IR554" s="32" t="s">
        <v>435</v>
      </c>
      <c r="IY554" s="34">
        <v>99999</v>
      </c>
      <c r="JB554" s="32" t="s">
        <v>434</v>
      </c>
      <c r="JC554" s="32" t="s">
        <v>856</v>
      </c>
    </row>
    <row r="555" spans="1:263" s="32" customFormat="1" x14ac:dyDescent="0.25">
      <c r="A555" s="32">
        <v>29</v>
      </c>
      <c r="B555" s="44" t="s">
        <v>3880</v>
      </c>
      <c r="C555" s="32" t="s">
        <v>1019</v>
      </c>
      <c r="D555" s="32" t="s">
        <v>427</v>
      </c>
      <c r="E555" s="32">
        <v>2009</v>
      </c>
      <c r="F555" s="32">
        <v>2006</v>
      </c>
      <c r="G555" s="32" t="s">
        <v>302</v>
      </c>
      <c r="H555" s="32" t="s">
        <v>428</v>
      </c>
      <c r="I555" s="32" t="s">
        <v>2815</v>
      </c>
      <c r="J555" s="32">
        <f t="shared" si="189"/>
        <v>43.333333333333336</v>
      </c>
      <c r="K555" s="32">
        <f t="shared" si="190"/>
        <v>-89.716666666666669</v>
      </c>
      <c r="L555" s="32">
        <v>250</v>
      </c>
      <c r="R555" s="44">
        <v>4</v>
      </c>
      <c r="S555" s="44">
        <v>4</v>
      </c>
      <c r="T555" s="44"/>
      <c r="U555" s="44" t="s">
        <v>1908</v>
      </c>
      <c r="V555" s="44" t="s">
        <v>1382</v>
      </c>
      <c r="W555" s="44" t="s">
        <v>1717</v>
      </c>
      <c r="X555" s="44" t="s">
        <v>1394</v>
      </c>
      <c r="Y555" s="44" t="s">
        <v>1389</v>
      </c>
      <c r="Z555" s="32">
        <f t="shared" si="191"/>
        <v>1.417142857142857</v>
      </c>
      <c r="AA555" s="323"/>
      <c r="AB555" s="323"/>
      <c r="AC555" s="32" t="s">
        <v>450</v>
      </c>
      <c r="AD555" s="32">
        <f t="shared" si="192"/>
        <v>6.8714285714285719</v>
      </c>
      <c r="AG555" s="32" t="s">
        <v>1327</v>
      </c>
      <c r="AH555" s="32" t="s">
        <v>1154</v>
      </c>
      <c r="AI555" s="138" t="s">
        <v>131</v>
      </c>
      <c r="AJ555" s="32" t="s">
        <v>132</v>
      </c>
      <c r="AK555" s="140" t="s">
        <v>1621</v>
      </c>
      <c r="AL555" s="32" t="s">
        <v>421</v>
      </c>
      <c r="AM555" s="32" t="s">
        <v>421</v>
      </c>
      <c r="AN555" s="32" t="s">
        <v>177</v>
      </c>
      <c r="AT555" s="32" t="s">
        <v>436</v>
      </c>
      <c r="AU555" s="32" t="s">
        <v>436</v>
      </c>
      <c r="AW555" s="32" t="s">
        <v>431</v>
      </c>
      <c r="AX555" s="32">
        <v>4</v>
      </c>
      <c r="AZ555" s="32" t="s">
        <v>141</v>
      </c>
      <c r="BD555" s="53"/>
      <c r="BP555" s="397">
        <v>1.4</v>
      </c>
      <c r="BQ555" s="397">
        <v>1.45</v>
      </c>
      <c r="BU555" s="397">
        <v>3.38</v>
      </c>
      <c r="BV555" s="397">
        <v>3.13</v>
      </c>
      <c r="BY555" s="32" t="s">
        <v>1671</v>
      </c>
      <c r="BZ555" s="397"/>
      <c r="CA555" s="397"/>
      <c r="CD555" s="32" t="s">
        <v>1670</v>
      </c>
      <c r="CE555" s="550">
        <v>3.38</v>
      </c>
      <c r="CF555" s="550">
        <v>3.13</v>
      </c>
      <c r="CG555" s="550"/>
      <c r="CH555" s="550"/>
      <c r="CI555" s="32" t="s">
        <v>4545</v>
      </c>
      <c r="CO555" s="32">
        <v>28</v>
      </c>
      <c r="CP555" s="32">
        <v>18.8</v>
      </c>
      <c r="CT555" s="32">
        <v>120</v>
      </c>
      <c r="CU555" s="32">
        <v>147</v>
      </c>
      <c r="CY555" s="32">
        <v>6.7</v>
      </c>
      <c r="CZ555" s="32">
        <v>6.8</v>
      </c>
      <c r="DS555" s="32">
        <v>369</v>
      </c>
      <c r="DT555" s="32">
        <v>302</v>
      </c>
      <c r="DW555" s="32" t="s">
        <v>433</v>
      </c>
      <c r="EC555" s="32">
        <v>1.4172</v>
      </c>
      <c r="ED555" s="32">
        <v>1.53</v>
      </c>
      <c r="EG555" s="32" t="s">
        <v>857</v>
      </c>
      <c r="FL555" s="32">
        <v>0.23</v>
      </c>
      <c r="FM555" s="32">
        <v>0.222</v>
      </c>
      <c r="GZ555" s="12"/>
      <c r="HD555" s="12"/>
      <c r="HE555" s="32">
        <v>1172</v>
      </c>
      <c r="HF555" s="32">
        <v>1217</v>
      </c>
      <c r="HI555" s="32" t="s">
        <v>432</v>
      </c>
      <c r="IN555" s="32">
        <f t="shared" si="196"/>
        <v>0.48840000000000006</v>
      </c>
      <c r="IO555" s="32">
        <f>41.7*0.012</f>
        <v>0.50040000000000007</v>
      </c>
      <c r="IR555" s="32" t="s">
        <v>435</v>
      </c>
      <c r="IY555" s="34">
        <v>99999</v>
      </c>
      <c r="JB555" s="32" t="s">
        <v>434</v>
      </c>
      <c r="JC555" s="32" t="s">
        <v>856</v>
      </c>
    </row>
    <row r="556" spans="1:263" s="34" customFormat="1" x14ac:dyDescent="0.25">
      <c r="A556" s="34">
        <v>29</v>
      </c>
      <c r="B556" s="48" t="s">
        <v>3881</v>
      </c>
      <c r="C556" s="34" t="s">
        <v>1019</v>
      </c>
      <c r="D556" s="34" t="s">
        <v>427</v>
      </c>
      <c r="E556" s="34">
        <v>2009</v>
      </c>
      <c r="F556" s="34">
        <v>2006</v>
      </c>
      <c r="G556" s="34" t="s">
        <v>302</v>
      </c>
      <c r="H556" s="34" t="s">
        <v>428</v>
      </c>
      <c r="I556" s="32" t="s">
        <v>2815</v>
      </c>
      <c r="J556" s="34">
        <f t="shared" si="189"/>
        <v>43.333333333333336</v>
      </c>
      <c r="K556" s="34">
        <f t="shared" si="190"/>
        <v>-89.716666666666669</v>
      </c>
      <c r="L556" s="34">
        <v>250</v>
      </c>
      <c r="R556" s="48">
        <v>4</v>
      </c>
      <c r="S556" s="48">
        <v>4</v>
      </c>
      <c r="T556" s="48"/>
      <c r="U556" s="48" t="s">
        <v>1908</v>
      </c>
      <c r="V556" s="48" t="s">
        <v>1389</v>
      </c>
      <c r="W556" s="48" t="s">
        <v>1720</v>
      </c>
      <c r="X556" s="48" t="s">
        <v>1394</v>
      </c>
      <c r="Y556" s="48" t="s">
        <v>1389</v>
      </c>
      <c r="Z556" s="34">
        <f t="shared" si="191"/>
        <v>1.417142857142857</v>
      </c>
      <c r="AA556" s="328"/>
      <c r="AB556" s="328"/>
      <c r="AC556" s="34" t="s">
        <v>450</v>
      </c>
      <c r="AD556" s="34">
        <f t="shared" si="192"/>
        <v>6.8714285714285719</v>
      </c>
      <c r="AG556" s="34" t="s">
        <v>1327</v>
      </c>
      <c r="AH556" s="34" t="s">
        <v>1535</v>
      </c>
      <c r="AI556" s="138" t="s">
        <v>577</v>
      </c>
      <c r="AJ556" s="34" t="s">
        <v>429</v>
      </c>
      <c r="AK556" s="140" t="s">
        <v>1621</v>
      </c>
      <c r="AL556" s="34" t="s">
        <v>421</v>
      </c>
      <c r="AM556" s="34" t="s">
        <v>421</v>
      </c>
      <c r="AN556" s="34" t="s">
        <v>177</v>
      </c>
      <c r="AT556" s="34" t="s">
        <v>436</v>
      </c>
      <c r="AU556" s="34" t="s">
        <v>436</v>
      </c>
      <c r="AW556" s="34" t="s">
        <v>430</v>
      </c>
      <c r="AX556" s="34">
        <v>4</v>
      </c>
      <c r="AZ556" s="34" t="s">
        <v>141</v>
      </c>
      <c r="BD556" s="53"/>
      <c r="BP556" s="404">
        <v>1.57</v>
      </c>
      <c r="BQ556" s="404">
        <v>1.55</v>
      </c>
      <c r="BU556" s="404">
        <v>2.58</v>
      </c>
      <c r="BV556" s="404">
        <v>2.75</v>
      </c>
      <c r="BY556" s="34" t="s">
        <v>1671</v>
      </c>
      <c r="BZ556" s="404"/>
      <c r="CA556" s="404"/>
      <c r="CD556" s="34" t="s">
        <v>1670</v>
      </c>
      <c r="CE556" s="557">
        <v>2.58</v>
      </c>
      <c r="CF556" s="557">
        <v>2.75</v>
      </c>
      <c r="CG556" s="557"/>
      <c r="CH556" s="557"/>
      <c r="CI556" s="34" t="s">
        <v>4545</v>
      </c>
      <c r="CO556" s="34">
        <v>23.8</v>
      </c>
      <c r="CP556" s="34">
        <v>16.8</v>
      </c>
      <c r="CT556" s="34">
        <v>130</v>
      </c>
      <c r="CU556" s="34">
        <v>77</v>
      </c>
      <c r="CY556" s="34">
        <v>6.7</v>
      </c>
      <c r="CZ556" s="34">
        <v>6.7</v>
      </c>
      <c r="DS556" s="34">
        <v>166</v>
      </c>
      <c r="DT556" s="34">
        <v>263</v>
      </c>
      <c r="DW556" s="34" t="s">
        <v>433</v>
      </c>
      <c r="EC556" s="34">
        <v>1.49</v>
      </c>
      <c r="ED556" s="34">
        <v>1.3345</v>
      </c>
      <c r="EG556" s="34" t="s">
        <v>857</v>
      </c>
      <c r="FL556" s="34">
        <v>0.23400000000000001</v>
      </c>
      <c r="FM556" s="34">
        <v>0.23200000000000001</v>
      </c>
      <c r="GZ556" s="12"/>
      <c r="HD556" s="12"/>
      <c r="HE556" s="34">
        <v>797</v>
      </c>
      <c r="HF556" s="34">
        <v>977</v>
      </c>
      <c r="HI556" s="34" t="s">
        <v>432</v>
      </c>
      <c r="IY556" s="34">
        <v>99999</v>
      </c>
      <c r="JB556" s="34" t="s">
        <v>434</v>
      </c>
      <c r="JC556" s="34" t="s">
        <v>856</v>
      </c>
    </row>
    <row r="557" spans="1:263" s="34" customFormat="1" x14ac:dyDescent="0.25">
      <c r="A557" s="34">
        <v>29</v>
      </c>
      <c r="B557" s="48" t="s">
        <v>3881</v>
      </c>
      <c r="C557" s="34" t="s">
        <v>1019</v>
      </c>
      <c r="D557" s="34" t="s">
        <v>427</v>
      </c>
      <c r="E557" s="34">
        <v>2009</v>
      </c>
      <c r="F557" s="34">
        <v>2006</v>
      </c>
      <c r="G557" s="34" t="s">
        <v>302</v>
      </c>
      <c r="H557" s="34" t="s">
        <v>428</v>
      </c>
      <c r="I557" s="32" t="s">
        <v>2815</v>
      </c>
      <c r="J557" s="34">
        <f t="shared" si="189"/>
        <v>43.333333333333336</v>
      </c>
      <c r="K557" s="34">
        <f t="shared" si="190"/>
        <v>-89.716666666666669</v>
      </c>
      <c r="L557" s="34">
        <v>250</v>
      </c>
      <c r="R557" s="48">
        <v>4</v>
      </c>
      <c r="S557" s="48">
        <v>4</v>
      </c>
      <c r="T557" s="48"/>
      <c r="U557" s="48" t="s">
        <v>1908</v>
      </c>
      <c r="V557" s="48" t="s">
        <v>1389</v>
      </c>
      <c r="W557" s="48" t="s">
        <v>1720</v>
      </c>
      <c r="X557" s="48" t="s">
        <v>1394</v>
      </c>
      <c r="Y557" s="48" t="s">
        <v>1389</v>
      </c>
      <c r="Z557" s="34">
        <f t="shared" si="191"/>
        <v>1.417142857142857</v>
      </c>
      <c r="AA557" s="328"/>
      <c r="AB557" s="328"/>
      <c r="AC557" s="34" t="s">
        <v>450</v>
      </c>
      <c r="AD557" s="34">
        <f t="shared" si="192"/>
        <v>6.8714285714285719</v>
      </c>
      <c r="AG557" s="34" t="s">
        <v>1327</v>
      </c>
      <c r="AH557" s="34" t="s">
        <v>1535</v>
      </c>
      <c r="AI557" s="138" t="s">
        <v>577</v>
      </c>
      <c r="AJ557" s="34" t="s">
        <v>132</v>
      </c>
      <c r="AK557" s="140" t="s">
        <v>1621</v>
      </c>
      <c r="AL557" s="34" t="s">
        <v>421</v>
      </c>
      <c r="AM557" s="34" t="s">
        <v>421</v>
      </c>
      <c r="AN557" s="34" t="s">
        <v>177</v>
      </c>
      <c r="AT557" s="34" t="s">
        <v>436</v>
      </c>
      <c r="AU557" s="34" t="s">
        <v>436</v>
      </c>
      <c r="AW557" s="34" t="s">
        <v>430</v>
      </c>
      <c r="AX557" s="34">
        <v>4</v>
      </c>
      <c r="AZ557" s="34" t="s">
        <v>141</v>
      </c>
      <c r="BD557" s="53"/>
      <c r="BP557" s="404">
        <v>1.57</v>
      </c>
      <c r="BQ557" s="404">
        <v>1.5</v>
      </c>
      <c r="BU557" s="404">
        <v>2.58</v>
      </c>
      <c r="BV557" s="404">
        <v>2.9</v>
      </c>
      <c r="BY557" s="34" t="s">
        <v>1671</v>
      </c>
      <c r="BZ557" s="404"/>
      <c r="CA557" s="404"/>
      <c r="CD557" s="34" t="s">
        <v>1670</v>
      </c>
      <c r="CE557" s="557">
        <v>2.58</v>
      </c>
      <c r="CF557" s="557">
        <v>2.9</v>
      </c>
      <c r="CG557" s="557"/>
      <c r="CH557" s="557"/>
      <c r="CI557" s="34" t="s">
        <v>4545</v>
      </c>
      <c r="CO557" s="34">
        <v>23.8</v>
      </c>
      <c r="CP557" s="34">
        <v>15.3</v>
      </c>
      <c r="CT557" s="34">
        <v>130</v>
      </c>
      <c r="CU557" s="34">
        <v>77</v>
      </c>
      <c r="CY557" s="34">
        <v>6.7</v>
      </c>
      <c r="CZ557" s="34">
        <v>7</v>
      </c>
      <c r="DS557" s="34">
        <v>166</v>
      </c>
      <c r="DT557" s="34">
        <v>286</v>
      </c>
      <c r="DW557" s="34" t="s">
        <v>433</v>
      </c>
      <c r="EC557" s="34">
        <v>1.49</v>
      </c>
      <c r="ED557" s="34">
        <v>1.6107</v>
      </c>
      <c r="EG557" s="34" t="s">
        <v>857</v>
      </c>
      <c r="FL557" s="34">
        <v>0.23400000000000001</v>
      </c>
      <c r="FM557" s="34">
        <v>0.23899999999999999</v>
      </c>
      <c r="GZ557" s="12"/>
      <c r="HD557" s="12"/>
      <c r="HE557" s="34">
        <v>797</v>
      </c>
      <c r="HF557" s="34">
        <v>962</v>
      </c>
      <c r="HI557" s="34" t="s">
        <v>432</v>
      </c>
      <c r="IY557" s="34">
        <v>99999</v>
      </c>
      <c r="JB557" s="34" t="s">
        <v>434</v>
      </c>
      <c r="JC557" s="34" t="s">
        <v>856</v>
      </c>
    </row>
    <row r="558" spans="1:263" s="34" customFormat="1" x14ac:dyDescent="0.25">
      <c r="A558" s="34">
        <v>29</v>
      </c>
      <c r="B558" s="48" t="s">
        <v>3881</v>
      </c>
      <c r="C558" s="34" t="s">
        <v>1019</v>
      </c>
      <c r="D558" s="34" t="s">
        <v>427</v>
      </c>
      <c r="E558" s="34">
        <v>2009</v>
      </c>
      <c r="F558" s="34">
        <v>2006</v>
      </c>
      <c r="G558" s="34" t="s">
        <v>302</v>
      </c>
      <c r="H558" s="34" t="s">
        <v>428</v>
      </c>
      <c r="I558" s="32" t="s">
        <v>2815</v>
      </c>
      <c r="J558" s="34">
        <f t="shared" si="189"/>
        <v>43.333333333333336</v>
      </c>
      <c r="K558" s="34">
        <f t="shared" si="190"/>
        <v>-89.716666666666669</v>
      </c>
      <c r="L558" s="34">
        <v>250</v>
      </c>
      <c r="R558" s="48">
        <v>4</v>
      </c>
      <c r="S558" s="48">
        <v>4</v>
      </c>
      <c r="T558" s="48"/>
      <c r="U558" s="48" t="s">
        <v>1908</v>
      </c>
      <c r="V558" s="48" t="s">
        <v>1389</v>
      </c>
      <c r="W558" s="48" t="s">
        <v>1720</v>
      </c>
      <c r="X558" s="48" t="s">
        <v>1394</v>
      </c>
      <c r="Y558" s="48" t="s">
        <v>1389</v>
      </c>
      <c r="Z558" s="34">
        <f t="shared" si="191"/>
        <v>1.417142857142857</v>
      </c>
      <c r="AA558" s="328"/>
      <c r="AB558" s="328"/>
      <c r="AC558" s="34" t="s">
        <v>450</v>
      </c>
      <c r="AD558" s="34">
        <f t="shared" si="192"/>
        <v>6.8714285714285719</v>
      </c>
      <c r="AG558" s="34" t="s">
        <v>1327</v>
      </c>
      <c r="AH558" s="34" t="s">
        <v>1515</v>
      </c>
      <c r="AI558" s="138" t="s">
        <v>577</v>
      </c>
      <c r="AJ558" s="34" t="s">
        <v>429</v>
      </c>
      <c r="AK558" s="140" t="s">
        <v>1621</v>
      </c>
      <c r="AL558" s="34" t="s">
        <v>421</v>
      </c>
      <c r="AM558" s="34" t="s">
        <v>421</v>
      </c>
      <c r="AN558" s="34" t="s">
        <v>177</v>
      </c>
      <c r="AT558" s="34" t="s">
        <v>436</v>
      </c>
      <c r="AU558" s="34" t="s">
        <v>436</v>
      </c>
      <c r="AW558" s="34" t="s">
        <v>430</v>
      </c>
      <c r="AX558" s="34">
        <v>4</v>
      </c>
      <c r="AZ558" s="34" t="s">
        <v>141</v>
      </c>
      <c r="BD558" s="53"/>
      <c r="BP558" s="404">
        <v>1.57</v>
      </c>
      <c r="BQ558" s="404">
        <v>1.54</v>
      </c>
      <c r="BU558" s="404">
        <v>2.58</v>
      </c>
      <c r="BV558" s="404">
        <v>2.63</v>
      </c>
      <c r="BY558" s="34" t="s">
        <v>1671</v>
      </c>
      <c r="BZ558" s="404"/>
      <c r="CA558" s="404"/>
      <c r="CD558" s="34" t="s">
        <v>1670</v>
      </c>
      <c r="CE558" s="557">
        <v>2.58</v>
      </c>
      <c r="CF558" s="557">
        <v>2.63</v>
      </c>
      <c r="CG558" s="557"/>
      <c r="CH558" s="557"/>
      <c r="CI558" s="34" t="s">
        <v>4545</v>
      </c>
      <c r="CO558" s="34">
        <v>23.8</v>
      </c>
      <c r="CP558" s="34">
        <v>13.8</v>
      </c>
      <c r="CT558" s="34">
        <v>130</v>
      </c>
      <c r="CU558" s="34">
        <v>73</v>
      </c>
      <c r="CY558" s="34">
        <v>6.7</v>
      </c>
      <c r="CZ558" s="34">
        <v>6.8</v>
      </c>
      <c r="DS558" s="34">
        <v>166</v>
      </c>
      <c r="DT558" s="34">
        <v>276</v>
      </c>
      <c r="DW558" s="34" t="s">
        <v>433</v>
      </c>
      <c r="EC558" s="34">
        <v>1.49</v>
      </c>
      <c r="ED558" s="34">
        <v>1.54</v>
      </c>
      <c r="EG558" s="34" t="s">
        <v>857</v>
      </c>
      <c r="FL558" s="34">
        <v>0.23400000000000001</v>
      </c>
      <c r="FM558" s="34">
        <v>0.23300000000000001</v>
      </c>
      <c r="GZ558" s="12"/>
      <c r="HD558" s="12"/>
      <c r="HE558" s="34">
        <v>797</v>
      </c>
      <c r="HF558" s="34">
        <v>944</v>
      </c>
      <c r="HI558" s="34" t="s">
        <v>432</v>
      </c>
      <c r="IY558" s="34">
        <v>99999</v>
      </c>
      <c r="JB558" s="34" t="s">
        <v>434</v>
      </c>
      <c r="JC558" s="34" t="s">
        <v>856</v>
      </c>
    </row>
    <row r="559" spans="1:263" s="34" customFormat="1" x14ac:dyDescent="0.25">
      <c r="A559" s="34">
        <v>29</v>
      </c>
      <c r="B559" s="48" t="s">
        <v>3881</v>
      </c>
      <c r="C559" s="34" t="s">
        <v>1019</v>
      </c>
      <c r="D559" s="34" t="s">
        <v>427</v>
      </c>
      <c r="E559" s="34">
        <v>2009</v>
      </c>
      <c r="F559" s="34">
        <v>2006</v>
      </c>
      <c r="G559" s="34" t="s">
        <v>302</v>
      </c>
      <c r="H559" s="34" t="s">
        <v>428</v>
      </c>
      <c r="I559" s="32" t="s">
        <v>2815</v>
      </c>
      <c r="J559" s="34">
        <f t="shared" si="189"/>
        <v>43.333333333333336</v>
      </c>
      <c r="K559" s="34">
        <f t="shared" si="190"/>
        <v>-89.716666666666669</v>
      </c>
      <c r="L559" s="34">
        <v>250</v>
      </c>
      <c r="R559" s="48">
        <v>4</v>
      </c>
      <c r="S559" s="48">
        <v>4</v>
      </c>
      <c r="T559" s="48"/>
      <c r="U559" s="48" t="s">
        <v>1908</v>
      </c>
      <c r="V559" s="48" t="s">
        <v>1389</v>
      </c>
      <c r="W559" s="48" t="s">
        <v>1720</v>
      </c>
      <c r="X559" s="48" t="s">
        <v>1394</v>
      </c>
      <c r="Y559" s="48" t="s">
        <v>1389</v>
      </c>
      <c r="Z559" s="34">
        <f t="shared" si="191"/>
        <v>1.417142857142857</v>
      </c>
      <c r="AA559" s="328"/>
      <c r="AB559" s="328"/>
      <c r="AC559" s="34" t="s">
        <v>450</v>
      </c>
      <c r="AD559" s="34">
        <f t="shared" si="192"/>
        <v>6.8714285714285719</v>
      </c>
      <c r="AG559" s="34" t="s">
        <v>1327</v>
      </c>
      <c r="AH559" s="34" t="s">
        <v>1515</v>
      </c>
      <c r="AI559" s="138" t="s">
        <v>577</v>
      </c>
      <c r="AJ559" s="34" t="s">
        <v>132</v>
      </c>
      <c r="AK559" s="140" t="s">
        <v>1621</v>
      </c>
      <c r="AL559" s="34" t="s">
        <v>421</v>
      </c>
      <c r="AM559" s="34" t="s">
        <v>421</v>
      </c>
      <c r="AN559" s="34" t="s">
        <v>177</v>
      </c>
      <c r="AT559" s="34" t="s">
        <v>436</v>
      </c>
      <c r="AU559" s="34" t="s">
        <v>436</v>
      </c>
      <c r="AW559" s="34" t="s">
        <v>430</v>
      </c>
      <c r="AX559" s="34">
        <v>4</v>
      </c>
      <c r="AZ559" s="34" t="s">
        <v>141</v>
      </c>
      <c r="BD559" s="53"/>
      <c r="BP559" s="404">
        <v>1.57</v>
      </c>
      <c r="BQ559" s="404">
        <v>1.55</v>
      </c>
      <c r="BU559" s="404">
        <v>2.58</v>
      </c>
      <c r="BV559" s="404">
        <v>2.83</v>
      </c>
      <c r="BY559" s="34" t="s">
        <v>1671</v>
      </c>
      <c r="BZ559" s="404"/>
      <c r="CA559" s="404"/>
      <c r="CD559" s="34" t="s">
        <v>1670</v>
      </c>
      <c r="CE559" s="557">
        <v>2.58</v>
      </c>
      <c r="CF559" s="557">
        <v>2.83</v>
      </c>
      <c r="CG559" s="557"/>
      <c r="CH559" s="557"/>
      <c r="CI559" s="34" t="s">
        <v>4545</v>
      </c>
      <c r="CO559" s="34">
        <v>23.8</v>
      </c>
      <c r="CP559" s="34">
        <v>16.8</v>
      </c>
      <c r="CT559" s="34">
        <v>130</v>
      </c>
      <c r="CU559" s="34">
        <v>71</v>
      </c>
      <c r="CY559" s="34">
        <v>6.7</v>
      </c>
      <c r="CZ559" s="34">
        <v>7.1</v>
      </c>
      <c r="DS559" s="34">
        <v>166</v>
      </c>
      <c r="DT559" s="34">
        <v>272</v>
      </c>
      <c r="DW559" s="34" t="s">
        <v>433</v>
      </c>
      <c r="EC559" s="34">
        <v>1.49</v>
      </c>
      <c r="ED559" s="34">
        <v>1.3345</v>
      </c>
      <c r="EG559" s="34" t="s">
        <v>857</v>
      </c>
      <c r="FL559" s="34">
        <v>0.23400000000000001</v>
      </c>
      <c r="FM559" s="34">
        <v>0.23</v>
      </c>
      <c r="GZ559" s="12"/>
      <c r="HD559" s="12"/>
      <c r="HE559" s="34">
        <v>797</v>
      </c>
      <c r="HF559" s="34">
        <v>984</v>
      </c>
      <c r="HI559" s="34" t="s">
        <v>432</v>
      </c>
      <c r="IY559" s="34">
        <v>99999</v>
      </c>
      <c r="JB559" s="34" t="s">
        <v>434</v>
      </c>
      <c r="JC559" s="34" t="s">
        <v>856</v>
      </c>
    </row>
    <row r="560" spans="1:263" s="34" customFormat="1" x14ac:dyDescent="0.25">
      <c r="A560" s="34">
        <v>29</v>
      </c>
      <c r="B560" s="48" t="s">
        <v>3882</v>
      </c>
      <c r="C560" s="34" t="s">
        <v>1019</v>
      </c>
      <c r="D560" s="34" t="s">
        <v>427</v>
      </c>
      <c r="E560" s="34">
        <v>2009</v>
      </c>
      <c r="F560" s="34">
        <v>2006</v>
      </c>
      <c r="G560" s="34" t="s">
        <v>302</v>
      </c>
      <c r="H560" s="34" t="s">
        <v>428</v>
      </c>
      <c r="I560" s="32" t="s">
        <v>2815</v>
      </c>
      <c r="J560" s="34">
        <f t="shared" si="189"/>
        <v>43.333333333333336</v>
      </c>
      <c r="K560" s="34">
        <f t="shared" si="190"/>
        <v>-89.716666666666669</v>
      </c>
      <c r="L560" s="34">
        <v>250</v>
      </c>
      <c r="R560" s="48">
        <v>4</v>
      </c>
      <c r="S560" s="48">
        <v>4</v>
      </c>
      <c r="T560" s="48"/>
      <c r="U560" s="48" t="s">
        <v>1908</v>
      </c>
      <c r="V560" s="48" t="s">
        <v>1389</v>
      </c>
      <c r="W560" s="48" t="s">
        <v>1720</v>
      </c>
      <c r="X560" s="48" t="s">
        <v>1394</v>
      </c>
      <c r="Y560" s="48" t="s">
        <v>1389</v>
      </c>
      <c r="Z560" s="34">
        <f t="shared" si="191"/>
        <v>1.417142857142857</v>
      </c>
      <c r="AA560" s="328"/>
      <c r="AB560" s="328"/>
      <c r="AC560" s="34" t="s">
        <v>450</v>
      </c>
      <c r="AD560" s="34">
        <f t="shared" si="192"/>
        <v>6.8714285714285719</v>
      </c>
      <c r="AG560" s="34" t="s">
        <v>1327</v>
      </c>
      <c r="AH560" s="34" t="s">
        <v>1153</v>
      </c>
      <c r="AI560" s="138" t="s">
        <v>131</v>
      </c>
      <c r="AJ560" s="34" t="s">
        <v>132</v>
      </c>
      <c r="AK560" s="140" t="s">
        <v>1621</v>
      </c>
      <c r="AL560" s="34" t="s">
        <v>421</v>
      </c>
      <c r="AM560" s="34" t="s">
        <v>421</v>
      </c>
      <c r="AN560" s="34" t="s">
        <v>177</v>
      </c>
      <c r="AT560" s="34" t="s">
        <v>436</v>
      </c>
      <c r="AU560" s="34" t="s">
        <v>436</v>
      </c>
      <c r="AW560" s="34" t="s">
        <v>430</v>
      </c>
      <c r="AX560" s="34">
        <v>4</v>
      </c>
      <c r="AZ560" s="34" t="s">
        <v>141</v>
      </c>
      <c r="BD560" s="53"/>
      <c r="BP560" s="404">
        <v>1.57</v>
      </c>
      <c r="BQ560" s="404">
        <v>1.55</v>
      </c>
      <c r="BU560" s="404">
        <v>2.58</v>
      </c>
      <c r="BV560" s="404">
        <v>2.38</v>
      </c>
      <c r="BY560" s="34" t="s">
        <v>1671</v>
      </c>
      <c r="BZ560" s="404"/>
      <c r="CA560" s="404"/>
      <c r="CD560" s="34" t="s">
        <v>1670</v>
      </c>
      <c r="CE560" s="557">
        <v>2.58</v>
      </c>
      <c r="CF560" s="557">
        <v>2.38</v>
      </c>
      <c r="CG560" s="557"/>
      <c r="CH560" s="557"/>
      <c r="CI560" s="34" t="s">
        <v>4545</v>
      </c>
      <c r="CO560" s="34">
        <v>23.8</v>
      </c>
      <c r="CP560" s="34">
        <v>14.8</v>
      </c>
      <c r="CT560" s="34">
        <v>130</v>
      </c>
      <c r="CU560" s="34">
        <v>87</v>
      </c>
      <c r="CY560" s="34">
        <v>6.7</v>
      </c>
      <c r="CZ560" s="34">
        <v>6.8</v>
      </c>
      <c r="DS560" s="34">
        <v>166</v>
      </c>
      <c r="DT560" s="34">
        <v>249</v>
      </c>
      <c r="DW560" s="34" t="s">
        <v>433</v>
      </c>
      <c r="EC560" s="34">
        <v>1.49</v>
      </c>
      <c r="ED560" s="34">
        <v>1.56</v>
      </c>
      <c r="EG560" s="34" t="s">
        <v>857</v>
      </c>
      <c r="FL560" s="34">
        <v>0.23400000000000001</v>
      </c>
      <c r="FM560" s="34">
        <v>0.23</v>
      </c>
      <c r="GZ560" s="12"/>
      <c r="HD560" s="12"/>
      <c r="HE560" s="34">
        <v>797</v>
      </c>
      <c r="HF560" s="34">
        <v>949</v>
      </c>
      <c r="HI560" s="34" t="s">
        <v>432</v>
      </c>
      <c r="IY560" s="34">
        <v>99999</v>
      </c>
      <c r="JB560" s="34" t="s">
        <v>434</v>
      </c>
      <c r="JC560" s="34" t="s">
        <v>856</v>
      </c>
    </row>
    <row r="561" spans="1:263" s="34" customFormat="1" x14ac:dyDescent="0.25">
      <c r="A561" s="34">
        <v>29</v>
      </c>
      <c r="B561" s="48" t="s">
        <v>3882</v>
      </c>
      <c r="C561" s="34" t="s">
        <v>1019</v>
      </c>
      <c r="D561" s="34" t="s">
        <v>427</v>
      </c>
      <c r="E561" s="34">
        <v>2009</v>
      </c>
      <c r="F561" s="34">
        <v>2006</v>
      </c>
      <c r="G561" s="34" t="s">
        <v>302</v>
      </c>
      <c r="H561" s="34" t="s">
        <v>428</v>
      </c>
      <c r="I561" s="32" t="s">
        <v>2815</v>
      </c>
      <c r="J561" s="34">
        <f t="shared" si="189"/>
        <v>43.333333333333336</v>
      </c>
      <c r="K561" s="34">
        <f t="shared" si="190"/>
        <v>-89.716666666666669</v>
      </c>
      <c r="L561" s="34">
        <v>250</v>
      </c>
      <c r="R561" s="48">
        <v>4</v>
      </c>
      <c r="S561" s="48">
        <v>4</v>
      </c>
      <c r="T561" s="48"/>
      <c r="U561" s="48" t="s">
        <v>1908</v>
      </c>
      <c r="V561" s="48" t="s">
        <v>1389</v>
      </c>
      <c r="W561" s="48" t="s">
        <v>1720</v>
      </c>
      <c r="X561" s="48" t="s">
        <v>1394</v>
      </c>
      <c r="Y561" s="48" t="s">
        <v>1389</v>
      </c>
      <c r="Z561" s="34">
        <f t="shared" si="191"/>
        <v>1.417142857142857</v>
      </c>
      <c r="AA561" s="328"/>
      <c r="AB561" s="328"/>
      <c r="AC561" s="34" t="s">
        <v>450</v>
      </c>
      <c r="AD561" s="34">
        <f t="shared" si="192"/>
        <v>6.8714285714285719</v>
      </c>
      <c r="AG561" s="34" t="s">
        <v>1327</v>
      </c>
      <c r="AH561" s="34" t="s">
        <v>1154</v>
      </c>
      <c r="AI561" s="138" t="s">
        <v>131</v>
      </c>
      <c r="AJ561" s="34" t="s">
        <v>132</v>
      </c>
      <c r="AK561" s="140" t="s">
        <v>1621</v>
      </c>
      <c r="AL561" s="34" t="s">
        <v>421</v>
      </c>
      <c r="AM561" s="34" t="s">
        <v>421</v>
      </c>
      <c r="AN561" s="34" t="s">
        <v>177</v>
      </c>
      <c r="AT561" s="34" t="s">
        <v>436</v>
      </c>
      <c r="AU561" s="34" t="s">
        <v>436</v>
      </c>
      <c r="AW561" s="34" t="s">
        <v>430</v>
      </c>
      <c r="AX561" s="34">
        <v>4</v>
      </c>
      <c r="AZ561" s="34" t="s">
        <v>141</v>
      </c>
      <c r="BD561" s="53"/>
      <c r="BP561" s="404">
        <v>1.57</v>
      </c>
      <c r="BQ561" s="404">
        <v>1.51</v>
      </c>
      <c r="BU561" s="404">
        <v>2.58</v>
      </c>
      <c r="BV561" s="404">
        <v>2.38</v>
      </c>
      <c r="BY561" s="34" t="s">
        <v>1671</v>
      </c>
      <c r="BZ561" s="404"/>
      <c r="CA561" s="404"/>
      <c r="CD561" s="34" t="s">
        <v>1670</v>
      </c>
      <c r="CE561" s="557">
        <v>2.58</v>
      </c>
      <c r="CF561" s="557">
        <v>2.38</v>
      </c>
      <c r="CG561" s="557"/>
      <c r="CH561" s="557"/>
      <c r="CI561" s="34" t="s">
        <v>4545</v>
      </c>
      <c r="CO561" s="34">
        <v>23.8</v>
      </c>
      <c r="CP561" s="34">
        <v>12.8</v>
      </c>
      <c r="CT561" s="34">
        <v>130</v>
      </c>
      <c r="CU561" s="34">
        <v>92</v>
      </c>
      <c r="CY561" s="34">
        <v>6.7</v>
      </c>
      <c r="CZ561" s="34">
        <v>7.2</v>
      </c>
      <c r="DS561" s="34">
        <v>166</v>
      </c>
      <c r="DT561" s="34">
        <v>238</v>
      </c>
      <c r="DW561" s="34" t="s">
        <v>433</v>
      </c>
      <c r="EC561" s="34">
        <v>1.49</v>
      </c>
      <c r="ED561" s="34">
        <v>1.56</v>
      </c>
      <c r="EG561" s="34" t="s">
        <v>857</v>
      </c>
      <c r="FL561" s="34">
        <v>0.23400000000000001</v>
      </c>
      <c r="FM561" s="34">
        <v>0.23400000000000001</v>
      </c>
      <c r="GZ561" s="12"/>
      <c r="HD561" s="12"/>
      <c r="HE561" s="34">
        <v>797</v>
      </c>
      <c r="HF561" s="34">
        <v>922</v>
      </c>
      <c r="HI561" s="34" t="s">
        <v>432</v>
      </c>
      <c r="IY561" s="34">
        <v>99999</v>
      </c>
      <c r="JB561" s="34" t="s">
        <v>434</v>
      </c>
      <c r="JC561" s="34" t="s">
        <v>856</v>
      </c>
    </row>
    <row r="562" spans="1:263" s="32" customFormat="1" x14ac:dyDescent="0.25">
      <c r="A562" s="32">
        <v>29</v>
      </c>
      <c r="B562" s="44" t="s">
        <v>3883</v>
      </c>
      <c r="C562" s="32" t="s">
        <v>1019</v>
      </c>
      <c r="D562" s="32" t="s">
        <v>427</v>
      </c>
      <c r="E562" s="32">
        <v>2009</v>
      </c>
      <c r="F562" s="32">
        <v>2006</v>
      </c>
      <c r="G562" s="32" t="s">
        <v>302</v>
      </c>
      <c r="H562" s="32" t="s">
        <v>428</v>
      </c>
      <c r="I562" s="32" t="s">
        <v>2815</v>
      </c>
      <c r="J562" s="32">
        <f t="shared" si="189"/>
        <v>43.333333333333336</v>
      </c>
      <c r="K562" s="32">
        <f t="shared" si="190"/>
        <v>-89.716666666666669</v>
      </c>
      <c r="L562" s="32">
        <v>250</v>
      </c>
      <c r="R562" s="44">
        <v>4</v>
      </c>
      <c r="S562" s="44">
        <v>4</v>
      </c>
      <c r="T562" s="44"/>
      <c r="U562" s="44" t="s">
        <v>1908</v>
      </c>
      <c r="V562" s="44" t="s">
        <v>1389</v>
      </c>
      <c r="W562" s="44" t="s">
        <v>1720</v>
      </c>
      <c r="X562" s="44" t="s">
        <v>1394</v>
      </c>
      <c r="Y562" s="44" t="s">
        <v>1389</v>
      </c>
      <c r="Z562" s="32">
        <f t="shared" si="191"/>
        <v>1.417142857142857</v>
      </c>
      <c r="AA562" s="323"/>
      <c r="AB562" s="323"/>
      <c r="AC562" s="32" t="s">
        <v>450</v>
      </c>
      <c r="AD562" s="32">
        <f t="shared" si="192"/>
        <v>6.8714285714285719</v>
      </c>
      <c r="AG562" s="32" t="s">
        <v>1327</v>
      </c>
      <c r="AH562" s="32" t="s">
        <v>1535</v>
      </c>
      <c r="AI562" s="138" t="s">
        <v>577</v>
      </c>
      <c r="AJ562" s="32" t="s">
        <v>429</v>
      </c>
      <c r="AK562" s="140" t="s">
        <v>1621</v>
      </c>
      <c r="AL562" s="32" t="s">
        <v>421</v>
      </c>
      <c r="AM562" s="32" t="s">
        <v>421</v>
      </c>
      <c r="AN562" s="32" t="s">
        <v>177</v>
      </c>
      <c r="AT562" s="32" t="s">
        <v>436</v>
      </c>
      <c r="AU562" s="32" t="s">
        <v>436</v>
      </c>
      <c r="AW562" s="32" t="s">
        <v>431</v>
      </c>
      <c r="AX562" s="32">
        <v>4</v>
      </c>
      <c r="AZ562" s="32" t="s">
        <v>141</v>
      </c>
      <c r="BD562" s="53"/>
      <c r="BP562" s="397">
        <v>1.57</v>
      </c>
      <c r="BQ562" s="397">
        <v>1.55</v>
      </c>
      <c r="BU562" s="397">
        <v>2.48</v>
      </c>
      <c r="BV562" s="397">
        <v>2.75</v>
      </c>
      <c r="BY562" s="32" t="s">
        <v>1671</v>
      </c>
      <c r="BZ562" s="397"/>
      <c r="CA562" s="397"/>
      <c r="CD562" s="32" t="s">
        <v>1670</v>
      </c>
      <c r="CE562" s="550">
        <v>2.48</v>
      </c>
      <c r="CF562" s="550">
        <v>2.75</v>
      </c>
      <c r="CG562" s="550"/>
      <c r="CH562" s="550"/>
      <c r="CI562" s="32" t="s">
        <v>4545</v>
      </c>
      <c r="CO562" s="32">
        <v>13</v>
      </c>
      <c r="CP562" s="32">
        <v>16.8</v>
      </c>
      <c r="CT562" s="32">
        <v>86</v>
      </c>
      <c r="CU562" s="32">
        <v>77</v>
      </c>
      <c r="CY562" s="32">
        <v>7</v>
      </c>
      <c r="CZ562" s="32">
        <v>6.7</v>
      </c>
      <c r="DS562" s="32">
        <v>267</v>
      </c>
      <c r="DT562" s="32">
        <v>263</v>
      </c>
      <c r="DW562" s="32" t="s">
        <v>433</v>
      </c>
      <c r="EC562" s="32">
        <v>1.54</v>
      </c>
      <c r="ED562" s="32">
        <v>1.3345</v>
      </c>
      <c r="EG562" s="32" t="s">
        <v>857</v>
      </c>
      <c r="FL562" s="32">
        <v>0.23400000000000001</v>
      </c>
      <c r="FM562" s="32">
        <v>0.23200000000000001</v>
      </c>
      <c r="GZ562" s="12"/>
      <c r="HD562" s="12"/>
      <c r="HE562" s="32">
        <v>878</v>
      </c>
      <c r="HF562" s="32">
        <v>977</v>
      </c>
      <c r="HI562" s="32" t="s">
        <v>432</v>
      </c>
      <c r="IY562" s="34">
        <v>99999</v>
      </c>
      <c r="JB562" s="32" t="s">
        <v>434</v>
      </c>
      <c r="JC562" s="32" t="s">
        <v>856</v>
      </c>
    </row>
    <row r="563" spans="1:263" s="32" customFormat="1" x14ac:dyDescent="0.25">
      <c r="A563" s="32">
        <v>29</v>
      </c>
      <c r="B563" s="44" t="s">
        <v>3883</v>
      </c>
      <c r="C563" s="32" t="s">
        <v>1019</v>
      </c>
      <c r="D563" s="32" t="s">
        <v>427</v>
      </c>
      <c r="E563" s="32">
        <v>2009</v>
      </c>
      <c r="F563" s="32">
        <v>2006</v>
      </c>
      <c r="G563" s="32" t="s">
        <v>302</v>
      </c>
      <c r="H563" s="32" t="s">
        <v>428</v>
      </c>
      <c r="I563" s="32" t="s">
        <v>2815</v>
      </c>
      <c r="J563" s="32">
        <f t="shared" si="189"/>
        <v>43.333333333333336</v>
      </c>
      <c r="K563" s="32">
        <f t="shared" si="190"/>
        <v>-89.716666666666669</v>
      </c>
      <c r="L563" s="32">
        <v>250</v>
      </c>
      <c r="R563" s="44">
        <v>4</v>
      </c>
      <c r="S563" s="44">
        <v>4</v>
      </c>
      <c r="T563" s="44"/>
      <c r="U563" s="44" t="s">
        <v>1908</v>
      </c>
      <c r="V563" s="44" t="s">
        <v>1389</v>
      </c>
      <c r="W563" s="44" t="s">
        <v>1720</v>
      </c>
      <c r="X563" s="44" t="s">
        <v>1394</v>
      </c>
      <c r="Y563" s="44" t="s">
        <v>1389</v>
      </c>
      <c r="Z563" s="32">
        <f t="shared" si="191"/>
        <v>1.417142857142857</v>
      </c>
      <c r="AA563" s="323"/>
      <c r="AB563" s="323"/>
      <c r="AC563" s="32" t="s">
        <v>450</v>
      </c>
      <c r="AD563" s="32">
        <f t="shared" si="192"/>
        <v>6.8714285714285719</v>
      </c>
      <c r="AG563" s="32" t="s">
        <v>1327</v>
      </c>
      <c r="AH563" s="32" t="s">
        <v>1535</v>
      </c>
      <c r="AI563" s="138" t="s">
        <v>577</v>
      </c>
      <c r="AJ563" s="32" t="s">
        <v>132</v>
      </c>
      <c r="AK563" s="140" t="s">
        <v>1621</v>
      </c>
      <c r="AL563" s="32" t="s">
        <v>421</v>
      </c>
      <c r="AM563" s="32" t="s">
        <v>421</v>
      </c>
      <c r="AN563" s="32" t="s">
        <v>177</v>
      </c>
      <c r="AT563" s="32" t="s">
        <v>436</v>
      </c>
      <c r="AU563" s="32" t="s">
        <v>436</v>
      </c>
      <c r="AW563" s="32" t="s">
        <v>431</v>
      </c>
      <c r="AX563" s="32">
        <v>4</v>
      </c>
      <c r="AZ563" s="32" t="s">
        <v>141</v>
      </c>
      <c r="BD563" s="53"/>
      <c r="BP563" s="397">
        <v>1.57</v>
      </c>
      <c r="BQ563" s="397">
        <v>1.5</v>
      </c>
      <c r="BU563" s="397">
        <v>2.48</v>
      </c>
      <c r="BV563" s="397">
        <v>2.9</v>
      </c>
      <c r="BY563" s="32" t="s">
        <v>1671</v>
      </c>
      <c r="BZ563" s="397"/>
      <c r="CA563" s="397"/>
      <c r="CD563" s="32" t="s">
        <v>1670</v>
      </c>
      <c r="CE563" s="550">
        <v>2.48</v>
      </c>
      <c r="CF563" s="550">
        <v>2.9</v>
      </c>
      <c r="CG563" s="550"/>
      <c r="CH563" s="550"/>
      <c r="CI563" s="32" t="s">
        <v>4545</v>
      </c>
      <c r="CO563" s="32">
        <v>13</v>
      </c>
      <c r="CP563" s="32">
        <v>15.3</v>
      </c>
      <c r="CT563" s="32">
        <v>86</v>
      </c>
      <c r="CU563" s="32">
        <v>77</v>
      </c>
      <c r="CY563" s="32">
        <v>7</v>
      </c>
      <c r="CZ563" s="32">
        <v>7</v>
      </c>
      <c r="DS563" s="32">
        <v>267</v>
      </c>
      <c r="DT563" s="32">
        <v>286</v>
      </c>
      <c r="DW563" s="32" t="s">
        <v>433</v>
      </c>
      <c r="EC563" s="32">
        <v>1.54</v>
      </c>
      <c r="ED563" s="32">
        <v>1.6107</v>
      </c>
      <c r="EG563" s="32" t="s">
        <v>857</v>
      </c>
      <c r="FL563" s="32">
        <v>0.23400000000000001</v>
      </c>
      <c r="FM563" s="32">
        <v>0.23899999999999999</v>
      </c>
      <c r="GZ563" s="12"/>
      <c r="HD563" s="12"/>
      <c r="HE563" s="32">
        <v>878</v>
      </c>
      <c r="HF563" s="32">
        <v>962</v>
      </c>
      <c r="HI563" s="32" t="s">
        <v>432</v>
      </c>
      <c r="IY563" s="34">
        <v>99999</v>
      </c>
      <c r="JB563" s="32" t="s">
        <v>434</v>
      </c>
      <c r="JC563" s="32" t="s">
        <v>856</v>
      </c>
    </row>
    <row r="564" spans="1:263" s="32" customFormat="1" x14ac:dyDescent="0.25">
      <c r="A564" s="32">
        <v>29</v>
      </c>
      <c r="B564" s="44" t="s">
        <v>3883</v>
      </c>
      <c r="C564" s="32" t="s">
        <v>1019</v>
      </c>
      <c r="D564" s="32" t="s">
        <v>427</v>
      </c>
      <c r="E564" s="32">
        <v>2009</v>
      </c>
      <c r="F564" s="32">
        <v>2006</v>
      </c>
      <c r="G564" s="32" t="s">
        <v>302</v>
      </c>
      <c r="H564" s="32" t="s">
        <v>428</v>
      </c>
      <c r="I564" s="32" t="s">
        <v>2815</v>
      </c>
      <c r="J564" s="32">
        <f t="shared" si="189"/>
        <v>43.333333333333336</v>
      </c>
      <c r="K564" s="32">
        <f t="shared" si="190"/>
        <v>-89.716666666666669</v>
      </c>
      <c r="L564" s="32">
        <v>250</v>
      </c>
      <c r="R564" s="44">
        <v>4</v>
      </c>
      <c r="S564" s="44">
        <v>4</v>
      </c>
      <c r="T564" s="44"/>
      <c r="U564" s="44" t="s">
        <v>1908</v>
      </c>
      <c r="V564" s="44" t="s">
        <v>1389</v>
      </c>
      <c r="W564" s="44" t="s">
        <v>1720</v>
      </c>
      <c r="X564" s="44" t="s">
        <v>1394</v>
      </c>
      <c r="Y564" s="44" t="s">
        <v>1389</v>
      </c>
      <c r="Z564" s="32">
        <f t="shared" si="191"/>
        <v>1.417142857142857</v>
      </c>
      <c r="AA564" s="323"/>
      <c r="AB564" s="323"/>
      <c r="AC564" s="32" t="s">
        <v>450</v>
      </c>
      <c r="AD564" s="32">
        <f t="shared" si="192"/>
        <v>6.8714285714285719</v>
      </c>
      <c r="AG564" s="32" t="s">
        <v>1327</v>
      </c>
      <c r="AH564" s="32" t="s">
        <v>1515</v>
      </c>
      <c r="AI564" s="138" t="s">
        <v>577</v>
      </c>
      <c r="AJ564" s="32" t="s">
        <v>429</v>
      </c>
      <c r="AK564" s="140" t="s">
        <v>1621</v>
      </c>
      <c r="AL564" s="32" t="s">
        <v>421</v>
      </c>
      <c r="AM564" s="32" t="s">
        <v>421</v>
      </c>
      <c r="AN564" s="32" t="s">
        <v>177</v>
      </c>
      <c r="AT564" s="32" t="s">
        <v>436</v>
      </c>
      <c r="AU564" s="32" t="s">
        <v>436</v>
      </c>
      <c r="AW564" s="32" t="s">
        <v>431</v>
      </c>
      <c r="AX564" s="32">
        <v>4</v>
      </c>
      <c r="AZ564" s="32" t="s">
        <v>141</v>
      </c>
      <c r="BD564" s="53"/>
      <c r="BP564" s="397">
        <v>1.57</v>
      </c>
      <c r="BQ564" s="397">
        <v>1.54</v>
      </c>
      <c r="BU564" s="397">
        <v>2.48</v>
      </c>
      <c r="BV564" s="397">
        <v>2.63</v>
      </c>
      <c r="BY564" s="32" t="s">
        <v>1671</v>
      </c>
      <c r="BZ564" s="397"/>
      <c r="CA564" s="397"/>
      <c r="CD564" s="32" t="s">
        <v>1670</v>
      </c>
      <c r="CE564" s="550">
        <v>2.48</v>
      </c>
      <c r="CF564" s="550">
        <v>2.63</v>
      </c>
      <c r="CG564" s="550"/>
      <c r="CH564" s="550"/>
      <c r="CI564" s="32" t="s">
        <v>4545</v>
      </c>
      <c r="CO564" s="32">
        <v>13</v>
      </c>
      <c r="CP564" s="32">
        <v>13.8</v>
      </c>
      <c r="CT564" s="32">
        <v>86</v>
      </c>
      <c r="CU564" s="32">
        <v>73</v>
      </c>
      <c r="CY564" s="32">
        <v>7</v>
      </c>
      <c r="CZ564" s="32">
        <v>6.8</v>
      </c>
      <c r="DS564" s="32">
        <v>267</v>
      </c>
      <c r="DT564" s="32">
        <v>276</v>
      </c>
      <c r="DW564" s="32" t="s">
        <v>433</v>
      </c>
      <c r="EC564" s="32">
        <v>1.54</v>
      </c>
      <c r="ED564" s="32">
        <v>1.54</v>
      </c>
      <c r="EG564" s="32" t="s">
        <v>857</v>
      </c>
      <c r="FL564" s="32">
        <v>0.23400000000000001</v>
      </c>
      <c r="FM564" s="32">
        <v>0.23300000000000001</v>
      </c>
      <c r="GZ564" s="12"/>
      <c r="HD564" s="12"/>
      <c r="HE564" s="32">
        <v>878</v>
      </c>
      <c r="HF564" s="32">
        <v>944</v>
      </c>
      <c r="HI564" s="32" t="s">
        <v>432</v>
      </c>
      <c r="IY564" s="34">
        <v>99999</v>
      </c>
      <c r="JB564" s="32" t="s">
        <v>434</v>
      </c>
      <c r="JC564" s="32" t="s">
        <v>856</v>
      </c>
    </row>
    <row r="565" spans="1:263" s="32" customFormat="1" x14ac:dyDescent="0.25">
      <c r="A565" s="32">
        <v>29</v>
      </c>
      <c r="B565" s="44" t="s">
        <v>3883</v>
      </c>
      <c r="C565" s="32" t="s">
        <v>1019</v>
      </c>
      <c r="D565" s="32" t="s">
        <v>427</v>
      </c>
      <c r="E565" s="32">
        <v>2009</v>
      </c>
      <c r="F565" s="32">
        <v>2006</v>
      </c>
      <c r="G565" s="32" t="s">
        <v>302</v>
      </c>
      <c r="H565" s="32" t="s">
        <v>428</v>
      </c>
      <c r="I565" s="32" t="s">
        <v>2815</v>
      </c>
      <c r="J565" s="32">
        <f t="shared" si="189"/>
        <v>43.333333333333336</v>
      </c>
      <c r="K565" s="32">
        <f t="shared" si="190"/>
        <v>-89.716666666666669</v>
      </c>
      <c r="L565" s="32">
        <v>250</v>
      </c>
      <c r="R565" s="44">
        <v>4</v>
      </c>
      <c r="S565" s="44">
        <v>4</v>
      </c>
      <c r="T565" s="44"/>
      <c r="U565" s="44" t="s">
        <v>1908</v>
      </c>
      <c r="V565" s="44" t="s">
        <v>1389</v>
      </c>
      <c r="W565" s="44" t="s">
        <v>1720</v>
      </c>
      <c r="X565" s="44" t="s">
        <v>1394</v>
      </c>
      <c r="Y565" s="44" t="s">
        <v>1389</v>
      </c>
      <c r="Z565" s="32">
        <f t="shared" si="191"/>
        <v>1.417142857142857</v>
      </c>
      <c r="AA565" s="323"/>
      <c r="AB565" s="323"/>
      <c r="AC565" s="32" t="s">
        <v>450</v>
      </c>
      <c r="AD565" s="32">
        <f t="shared" si="192"/>
        <v>6.8714285714285719</v>
      </c>
      <c r="AG565" s="32" t="s">
        <v>1327</v>
      </c>
      <c r="AH565" s="32" t="s">
        <v>1515</v>
      </c>
      <c r="AI565" s="138" t="s">
        <v>577</v>
      </c>
      <c r="AJ565" s="32" t="s">
        <v>132</v>
      </c>
      <c r="AK565" s="140" t="s">
        <v>1621</v>
      </c>
      <c r="AL565" s="32" t="s">
        <v>421</v>
      </c>
      <c r="AM565" s="32" t="s">
        <v>421</v>
      </c>
      <c r="AN565" s="32" t="s">
        <v>177</v>
      </c>
      <c r="AT565" s="32" t="s">
        <v>436</v>
      </c>
      <c r="AU565" s="32" t="s">
        <v>436</v>
      </c>
      <c r="AW565" s="32" t="s">
        <v>431</v>
      </c>
      <c r="AX565" s="32">
        <v>4</v>
      </c>
      <c r="AZ565" s="32" t="s">
        <v>141</v>
      </c>
      <c r="BD565" s="53"/>
      <c r="BP565" s="397">
        <v>1.57</v>
      </c>
      <c r="BQ565" s="397">
        <v>1.55</v>
      </c>
      <c r="BU565" s="397">
        <v>2.48</v>
      </c>
      <c r="BV565" s="397">
        <v>2.83</v>
      </c>
      <c r="BY565" s="32" t="s">
        <v>1671</v>
      </c>
      <c r="BZ565" s="397"/>
      <c r="CA565" s="397"/>
      <c r="CD565" s="32" t="s">
        <v>1670</v>
      </c>
      <c r="CE565" s="550">
        <v>2.48</v>
      </c>
      <c r="CF565" s="550">
        <v>2.83</v>
      </c>
      <c r="CG565" s="550"/>
      <c r="CH565" s="550"/>
      <c r="CI565" s="32" t="s">
        <v>4545</v>
      </c>
      <c r="CO565" s="32">
        <v>13</v>
      </c>
      <c r="CP565" s="32">
        <v>16.8</v>
      </c>
      <c r="CT565" s="32">
        <v>86</v>
      </c>
      <c r="CU565" s="32">
        <v>71</v>
      </c>
      <c r="CY565" s="32">
        <v>7</v>
      </c>
      <c r="CZ565" s="32">
        <v>7.1</v>
      </c>
      <c r="DS565" s="32">
        <v>267</v>
      </c>
      <c r="DT565" s="32">
        <v>272</v>
      </c>
      <c r="DW565" s="32" t="s">
        <v>433</v>
      </c>
      <c r="EC565" s="32">
        <v>1.54</v>
      </c>
      <c r="ED565" s="32">
        <v>1.3345</v>
      </c>
      <c r="EG565" s="32" t="s">
        <v>857</v>
      </c>
      <c r="FL565" s="32">
        <v>0.23400000000000001</v>
      </c>
      <c r="FM565" s="32">
        <v>0.23</v>
      </c>
      <c r="GZ565" s="12"/>
      <c r="HD565" s="12"/>
      <c r="HE565" s="32">
        <v>878</v>
      </c>
      <c r="HF565" s="32">
        <v>984</v>
      </c>
      <c r="HI565" s="32" t="s">
        <v>432</v>
      </c>
      <c r="IY565" s="34">
        <v>99999</v>
      </c>
      <c r="JB565" s="32" t="s">
        <v>434</v>
      </c>
      <c r="JC565" s="32" t="s">
        <v>856</v>
      </c>
    </row>
    <row r="566" spans="1:263" s="32" customFormat="1" x14ac:dyDescent="0.25">
      <c r="A566" s="32">
        <v>29</v>
      </c>
      <c r="B566" s="44" t="s">
        <v>3884</v>
      </c>
      <c r="C566" s="32" t="s">
        <v>1019</v>
      </c>
      <c r="D566" s="32" t="s">
        <v>427</v>
      </c>
      <c r="E566" s="32">
        <v>2009</v>
      </c>
      <c r="F566" s="32">
        <v>2006</v>
      </c>
      <c r="G566" s="32" t="s">
        <v>302</v>
      </c>
      <c r="H566" s="32" t="s">
        <v>428</v>
      </c>
      <c r="I566" s="32" t="s">
        <v>2815</v>
      </c>
      <c r="J566" s="32">
        <f t="shared" si="189"/>
        <v>43.333333333333336</v>
      </c>
      <c r="K566" s="32">
        <f t="shared" si="190"/>
        <v>-89.716666666666669</v>
      </c>
      <c r="L566" s="32">
        <v>250</v>
      </c>
      <c r="R566" s="44">
        <v>4</v>
      </c>
      <c r="S566" s="44">
        <v>4</v>
      </c>
      <c r="T566" s="44"/>
      <c r="U566" s="44" t="s">
        <v>1908</v>
      </c>
      <c r="V566" s="44" t="s">
        <v>1389</v>
      </c>
      <c r="W566" s="44" t="s">
        <v>1720</v>
      </c>
      <c r="X566" s="44" t="s">
        <v>1394</v>
      </c>
      <c r="Y566" s="44" t="s">
        <v>1389</v>
      </c>
      <c r="Z566" s="32">
        <f t="shared" si="191"/>
        <v>1.417142857142857</v>
      </c>
      <c r="AA566" s="323"/>
      <c r="AB566" s="323"/>
      <c r="AC566" s="32" t="s">
        <v>450</v>
      </c>
      <c r="AD566" s="32">
        <f t="shared" si="192"/>
        <v>6.8714285714285719</v>
      </c>
      <c r="AG566" s="32" t="s">
        <v>1327</v>
      </c>
      <c r="AH566" s="32" t="s">
        <v>1153</v>
      </c>
      <c r="AI566" s="138" t="s">
        <v>131</v>
      </c>
      <c r="AJ566" s="32" t="s">
        <v>132</v>
      </c>
      <c r="AK566" s="140" t="s">
        <v>1621</v>
      </c>
      <c r="AL566" s="32" t="s">
        <v>421</v>
      </c>
      <c r="AM566" s="32" t="s">
        <v>421</v>
      </c>
      <c r="AN566" s="32" t="s">
        <v>177</v>
      </c>
      <c r="AT566" s="32" t="s">
        <v>436</v>
      </c>
      <c r="AU566" s="32" t="s">
        <v>436</v>
      </c>
      <c r="AW566" s="32" t="s">
        <v>431</v>
      </c>
      <c r="AX566" s="32">
        <v>4</v>
      </c>
      <c r="AZ566" s="32" t="s">
        <v>141</v>
      </c>
      <c r="BD566" s="53"/>
      <c r="BP566" s="397">
        <v>1.57</v>
      </c>
      <c r="BQ566" s="397">
        <v>1.55</v>
      </c>
      <c r="BU566" s="397">
        <v>2.48</v>
      </c>
      <c r="BV566" s="397">
        <v>2.38</v>
      </c>
      <c r="BY566" s="32" t="s">
        <v>1671</v>
      </c>
      <c r="BZ566" s="397"/>
      <c r="CA566" s="397"/>
      <c r="CD566" s="32" t="s">
        <v>1670</v>
      </c>
      <c r="CE566" s="550">
        <v>2.48</v>
      </c>
      <c r="CF566" s="550">
        <v>2.38</v>
      </c>
      <c r="CG566" s="550"/>
      <c r="CH566" s="550"/>
      <c r="CI566" s="32" t="s">
        <v>4545</v>
      </c>
      <c r="CO566" s="32">
        <v>13</v>
      </c>
      <c r="CP566" s="32">
        <v>14.8</v>
      </c>
      <c r="CT566" s="32">
        <v>86</v>
      </c>
      <c r="CU566" s="32">
        <v>87</v>
      </c>
      <c r="CY566" s="32">
        <v>7</v>
      </c>
      <c r="CZ566" s="32">
        <v>6.8</v>
      </c>
      <c r="DS566" s="32">
        <v>267</v>
      </c>
      <c r="DT566" s="32">
        <v>249</v>
      </c>
      <c r="DW566" s="32" t="s">
        <v>433</v>
      </c>
      <c r="EC566" s="32">
        <v>1.54</v>
      </c>
      <c r="ED566" s="32">
        <v>1.56</v>
      </c>
      <c r="EG566" s="32" t="s">
        <v>857</v>
      </c>
      <c r="FL566" s="32">
        <v>0.23400000000000001</v>
      </c>
      <c r="FM566" s="32">
        <v>0.23</v>
      </c>
      <c r="GZ566" s="12"/>
      <c r="HD566" s="12"/>
      <c r="HE566" s="32">
        <v>878</v>
      </c>
      <c r="HF566" s="32">
        <v>949</v>
      </c>
      <c r="HI566" s="32" t="s">
        <v>432</v>
      </c>
      <c r="IY566" s="34">
        <v>99999</v>
      </c>
      <c r="JB566" s="32" t="s">
        <v>434</v>
      </c>
      <c r="JC566" s="32" t="s">
        <v>856</v>
      </c>
    </row>
    <row r="567" spans="1:263" s="32" customFormat="1" x14ac:dyDescent="0.25">
      <c r="A567" s="32">
        <v>29</v>
      </c>
      <c r="B567" s="44" t="s">
        <v>3884</v>
      </c>
      <c r="C567" s="32" t="s">
        <v>1019</v>
      </c>
      <c r="D567" s="32" t="s">
        <v>427</v>
      </c>
      <c r="E567" s="32">
        <v>2009</v>
      </c>
      <c r="F567" s="32">
        <v>2006</v>
      </c>
      <c r="G567" s="32" t="s">
        <v>302</v>
      </c>
      <c r="H567" s="32" t="s">
        <v>428</v>
      </c>
      <c r="I567" s="32" t="s">
        <v>2815</v>
      </c>
      <c r="J567" s="32">
        <f t="shared" si="189"/>
        <v>43.333333333333336</v>
      </c>
      <c r="K567" s="32">
        <f t="shared" si="190"/>
        <v>-89.716666666666669</v>
      </c>
      <c r="L567" s="32">
        <v>250</v>
      </c>
      <c r="R567" s="44">
        <v>4</v>
      </c>
      <c r="S567" s="44">
        <v>4</v>
      </c>
      <c r="T567" s="44"/>
      <c r="U567" s="44" t="s">
        <v>1908</v>
      </c>
      <c r="V567" s="44" t="s">
        <v>1389</v>
      </c>
      <c r="W567" s="44" t="s">
        <v>1720</v>
      </c>
      <c r="X567" s="44" t="s">
        <v>1394</v>
      </c>
      <c r="Y567" s="44" t="s">
        <v>1389</v>
      </c>
      <c r="Z567" s="32">
        <f t="shared" si="191"/>
        <v>1.417142857142857</v>
      </c>
      <c r="AA567" s="323"/>
      <c r="AB567" s="323"/>
      <c r="AC567" s="32" t="s">
        <v>450</v>
      </c>
      <c r="AD567" s="32">
        <f t="shared" si="192"/>
        <v>6.8714285714285719</v>
      </c>
      <c r="AG567" s="32" t="s">
        <v>1327</v>
      </c>
      <c r="AH567" s="32" t="s">
        <v>1154</v>
      </c>
      <c r="AI567" s="138" t="s">
        <v>131</v>
      </c>
      <c r="AJ567" s="32" t="s">
        <v>132</v>
      </c>
      <c r="AK567" s="140" t="s">
        <v>1621</v>
      </c>
      <c r="AL567" s="32" t="s">
        <v>421</v>
      </c>
      <c r="AM567" s="32" t="s">
        <v>421</v>
      </c>
      <c r="AN567" s="32" t="s">
        <v>177</v>
      </c>
      <c r="AT567" s="32" t="s">
        <v>436</v>
      </c>
      <c r="AU567" s="32" t="s">
        <v>436</v>
      </c>
      <c r="AW567" s="32" t="s">
        <v>431</v>
      </c>
      <c r="AX567" s="32">
        <v>4</v>
      </c>
      <c r="AZ567" s="32" t="s">
        <v>141</v>
      </c>
      <c r="BD567" s="53"/>
      <c r="BP567" s="397">
        <v>1.57</v>
      </c>
      <c r="BQ567" s="397">
        <v>1.51</v>
      </c>
      <c r="BU567" s="397">
        <v>2.48</v>
      </c>
      <c r="BV567" s="397">
        <v>2.38</v>
      </c>
      <c r="BY567" s="32" t="s">
        <v>1671</v>
      </c>
      <c r="BZ567" s="397"/>
      <c r="CA567" s="397"/>
      <c r="CD567" s="32" t="s">
        <v>1670</v>
      </c>
      <c r="CE567" s="550">
        <v>2.48</v>
      </c>
      <c r="CF567" s="550">
        <v>2.38</v>
      </c>
      <c r="CG567" s="550"/>
      <c r="CH567" s="550"/>
      <c r="CI567" s="32" t="s">
        <v>4545</v>
      </c>
      <c r="CO567" s="32">
        <v>13</v>
      </c>
      <c r="CP567" s="32">
        <v>12.8</v>
      </c>
      <c r="CT567" s="32">
        <v>86</v>
      </c>
      <c r="CU567" s="32">
        <v>92</v>
      </c>
      <c r="CY567" s="32">
        <v>7</v>
      </c>
      <c r="CZ567" s="32">
        <v>7.2</v>
      </c>
      <c r="DS567" s="32">
        <v>267</v>
      </c>
      <c r="DT567" s="32">
        <v>238</v>
      </c>
      <c r="DW567" s="32" t="s">
        <v>433</v>
      </c>
      <c r="EC567" s="32">
        <v>1.54</v>
      </c>
      <c r="ED567" s="32">
        <v>1.56</v>
      </c>
      <c r="EG567" s="32" t="s">
        <v>857</v>
      </c>
      <c r="FL567" s="32">
        <v>0.23400000000000001</v>
      </c>
      <c r="FM567" s="32">
        <v>0.23400000000000001</v>
      </c>
      <c r="GZ567" s="12"/>
      <c r="HD567" s="12"/>
      <c r="HE567" s="32">
        <v>878</v>
      </c>
      <c r="HF567" s="32">
        <v>922</v>
      </c>
      <c r="HI567" s="32" t="s">
        <v>432</v>
      </c>
      <c r="IY567" s="34">
        <v>99999</v>
      </c>
      <c r="JB567" s="32" t="s">
        <v>434</v>
      </c>
      <c r="JC567" s="32" t="s">
        <v>856</v>
      </c>
    </row>
    <row r="568" spans="1:263" s="33" customFormat="1" x14ac:dyDescent="0.25">
      <c r="A568" s="33">
        <v>30</v>
      </c>
      <c r="B568" s="47" t="s">
        <v>3885</v>
      </c>
      <c r="C568" s="33" t="s">
        <v>437</v>
      </c>
      <c r="D568" s="33" t="s">
        <v>438</v>
      </c>
      <c r="E568" s="33">
        <v>2002</v>
      </c>
      <c r="F568" s="33">
        <v>1998</v>
      </c>
      <c r="G568" s="33" t="s">
        <v>439</v>
      </c>
      <c r="H568" s="33" t="s">
        <v>440</v>
      </c>
      <c r="I568" s="32" t="s">
        <v>2815</v>
      </c>
      <c r="J568" s="33">
        <f t="shared" ref="J568:J599" si="197">38+32/60</f>
        <v>38.533333333333331</v>
      </c>
      <c r="K568" s="33">
        <f t="shared" ref="K568:K599" si="198">-121-47/60</f>
        <v>-121.78333333333333</v>
      </c>
      <c r="L568" s="33">
        <v>18.399999999999999</v>
      </c>
      <c r="P568" s="33">
        <v>483</v>
      </c>
      <c r="R568" s="47">
        <v>2</v>
      </c>
      <c r="S568" s="47" t="s">
        <v>1858</v>
      </c>
      <c r="T568" s="47"/>
      <c r="U568" s="47">
        <v>36145</v>
      </c>
      <c r="V568" s="47" t="s">
        <v>1395</v>
      </c>
      <c r="W568" s="47" t="s">
        <v>1723</v>
      </c>
      <c r="X568" s="47" t="s">
        <v>1395</v>
      </c>
      <c r="Y568" s="47" t="s">
        <v>1417</v>
      </c>
      <c r="AA568" s="327">
        <v>36</v>
      </c>
      <c r="AB568" s="327">
        <v>46</v>
      </c>
      <c r="AC568" s="33" t="s">
        <v>139</v>
      </c>
      <c r="AG568" s="33" t="s">
        <v>1328</v>
      </c>
      <c r="AH568" s="33" t="s">
        <v>1533</v>
      </c>
      <c r="AI568" s="138" t="s">
        <v>577</v>
      </c>
      <c r="AJ568" s="33" t="s">
        <v>1588</v>
      </c>
      <c r="AK568" s="141" t="s">
        <v>1613</v>
      </c>
      <c r="AL568" s="33" t="s">
        <v>441</v>
      </c>
      <c r="AM568" s="33" t="s">
        <v>441</v>
      </c>
      <c r="AN568" s="33" t="s">
        <v>177</v>
      </c>
      <c r="AT568" s="33" t="s">
        <v>368</v>
      </c>
      <c r="AU568" s="33" t="s">
        <v>442</v>
      </c>
      <c r="AV568" s="33" t="s">
        <v>502</v>
      </c>
      <c r="AW568" s="33" t="s">
        <v>119</v>
      </c>
      <c r="AX568" s="33">
        <v>4</v>
      </c>
      <c r="AZ568" s="33" t="s">
        <v>335</v>
      </c>
      <c r="BD568" s="54"/>
      <c r="BP568" s="402"/>
      <c r="BQ568" s="402"/>
      <c r="BU568" s="402"/>
      <c r="BV568" s="402"/>
      <c r="BZ568" s="402"/>
      <c r="CA568" s="402"/>
      <c r="CE568" s="555"/>
      <c r="CF568" s="555"/>
      <c r="CG568" s="555"/>
      <c r="CH568" s="555"/>
      <c r="EM568" s="33">
        <v>4.8099999999999997E-2</v>
      </c>
      <c r="EN568" s="33">
        <v>9.6299999999999997E-2</v>
      </c>
      <c r="EQ568" s="33" t="s">
        <v>446</v>
      </c>
      <c r="EW568" s="33">
        <f>6.84/38*100</f>
        <v>18</v>
      </c>
      <c r="EX568" s="33">
        <f>1.29/38*100</f>
        <v>3.3947368421052637</v>
      </c>
      <c r="FA568" s="33" t="s">
        <v>445</v>
      </c>
      <c r="FL568" s="33">
        <v>0.21840000000000001</v>
      </c>
      <c r="FM568" s="33">
        <v>0.2094</v>
      </c>
      <c r="FP568" s="33" t="s">
        <v>444</v>
      </c>
      <c r="GZ568" s="12"/>
      <c r="HD568" s="12"/>
      <c r="JB568" s="33" t="s">
        <v>715</v>
      </c>
    </row>
    <row r="569" spans="1:263" s="33" customFormat="1" x14ac:dyDescent="0.25">
      <c r="A569" s="33">
        <v>30</v>
      </c>
      <c r="B569" s="47" t="s">
        <v>3885</v>
      </c>
      <c r="C569" s="33" t="s">
        <v>437</v>
      </c>
      <c r="D569" s="33" t="s">
        <v>438</v>
      </c>
      <c r="E569" s="33">
        <v>2002</v>
      </c>
      <c r="F569" s="33">
        <v>1998</v>
      </c>
      <c r="G569" s="33" t="s">
        <v>439</v>
      </c>
      <c r="H569" s="33" t="s">
        <v>440</v>
      </c>
      <c r="I569" s="32" t="s">
        <v>2815</v>
      </c>
      <c r="J569" s="33">
        <f t="shared" si="197"/>
        <v>38.533333333333331</v>
      </c>
      <c r="K569" s="33">
        <f t="shared" si="198"/>
        <v>-121.78333333333333</v>
      </c>
      <c r="L569" s="33">
        <v>18.399999999999999</v>
      </c>
      <c r="P569" s="33">
        <v>483</v>
      </c>
      <c r="R569" s="47">
        <v>2</v>
      </c>
      <c r="S569" s="47" t="s">
        <v>1858</v>
      </c>
      <c r="T569" s="47"/>
      <c r="U569" s="47">
        <v>36145</v>
      </c>
      <c r="V569" s="47" t="s">
        <v>1395</v>
      </c>
      <c r="W569" s="47" t="s">
        <v>1723</v>
      </c>
      <c r="X569" s="47" t="s">
        <v>1395</v>
      </c>
      <c r="Y569" s="47" t="s">
        <v>1417</v>
      </c>
      <c r="AA569" s="327">
        <v>36</v>
      </c>
      <c r="AB569" s="327">
        <v>46</v>
      </c>
      <c r="AC569" s="33" t="s">
        <v>139</v>
      </c>
      <c r="AG569" s="33" t="s">
        <v>1328</v>
      </c>
      <c r="AH569" s="33" t="s">
        <v>1533</v>
      </c>
      <c r="AI569" s="138" t="s">
        <v>577</v>
      </c>
      <c r="AJ569" s="33" t="s">
        <v>1588</v>
      </c>
      <c r="AK569" s="141" t="s">
        <v>1613</v>
      </c>
      <c r="AL569" s="33" t="s">
        <v>441</v>
      </c>
      <c r="AM569" s="33" t="s">
        <v>441</v>
      </c>
      <c r="AN569" s="33" t="s">
        <v>177</v>
      </c>
      <c r="AT569" s="33" t="s">
        <v>368</v>
      </c>
      <c r="AU569" s="33" t="s">
        <v>443</v>
      </c>
      <c r="AV569" s="33" t="s">
        <v>502</v>
      </c>
      <c r="AW569" s="33" t="s">
        <v>119</v>
      </c>
      <c r="AX569" s="33">
        <v>4</v>
      </c>
      <c r="AZ569" s="33" t="s">
        <v>335</v>
      </c>
      <c r="BD569" s="54"/>
      <c r="BP569" s="402"/>
      <c r="BQ569" s="402"/>
      <c r="BU569" s="402"/>
      <c r="BV569" s="402"/>
      <c r="BZ569" s="402"/>
      <c r="CA569" s="402"/>
      <c r="CE569" s="555"/>
      <c r="CF569" s="555"/>
      <c r="CG569" s="555"/>
      <c r="CH569" s="555"/>
      <c r="EM569" s="33">
        <v>4.8099999999999997E-2</v>
      </c>
      <c r="EN569" s="33">
        <v>0.1206</v>
      </c>
      <c r="EQ569" s="33" t="s">
        <v>446</v>
      </c>
      <c r="EW569" s="33">
        <f>6.84/38*100</f>
        <v>18</v>
      </c>
      <c r="EX569" s="33">
        <f>3.42/38*100</f>
        <v>9</v>
      </c>
      <c r="FA569" s="33" t="s">
        <v>445</v>
      </c>
      <c r="FL569" s="33">
        <v>0.21840000000000001</v>
      </c>
      <c r="FM569" s="33">
        <v>0.1958</v>
      </c>
      <c r="FP569" s="33" t="s">
        <v>444</v>
      </c>
      <c r="GZ569" s="12"/>
      <c r="HD569" s="12"/>
      <c r="JB569" s="33" t="s">
        <v>715</v>
      </c>
    </row>
    <row r="570" spans="1:263" s="33" customFormat="1" x14ac:dyDescent="0.25">
      <c r="A570" s="33">
        <v>30</v>
      </c>
      <c r="B570" s="47" t="s">
        <v>3885</v>
      </c>
      <c r="C570" s="33" t="s">
        <v>437</v>
      </c>
      <c r="D570" s="33" t="s">
        <v>438</v>
      </c>
      <c r="E570" s="33">
        <v>2002</v>
      </c>
      <c r="F570" s="33">
        <v>1999</v>
      </c>
      <c r="G570" s="33" t="s">
        <v>439</v>
      </c>
      <c r="H570" s="33" t="s">
        <v>440</v>
      </c>
      <c r="I570" s="32" t="s">
        <v>2815</v>
      </c>
      <c r="J570" s="33">
        <f t="shared" si="197"/>
        <v>38.533333333333331</v>
      </c>
      <c r="K570" s="33">
        <f t="shared" si="198"/>
        <v>-121.78333333333333</v>
      </c>
      <c r="L570" s="33">
        <v>18.399999999999999</v>
      </c>
      <c r="P570" s="33">
        <v>483</v>
      </c>
      <c r="R570" s="47">
        <v>3</v>
      </c>
      <c r="S570" s="47" t="s">
        <v>1858</v>
      </c>
      <c r="T570" s="47"/>
      <c r="U570" s="47">
        <v>36170</v>
      </c>
      <c r="V570" s="47" t="s">
        <v>1395</v>
      </c>
      <c r="W570" s="47" t="s">
        <v>1723</v>
      </c>
      <c r="X570" s="47" t="s">
        <v>1395</v>
      </c>
      <c r="Y570" s="47" t="s">
        <v>1417</v>
      </c>
      <c r="AA570" s="327">
        <v>36</v>
      </c>
      <c r="AB570" s="327">
        <v>46</v>
      </c>
      <c r="AC570" s="33" t="s">
        <v>139</v>
      </c>
      <c r="AG570" s="33" t="s">
        <v>1328</v>
      </c>
      <c r="AH570" s="33" t="s">
        <v>1533</v>
      </c>
      <c r="AI570" s="138" t="s">
        <v>577</v>
      </c>
      <c r="AJ570" s="33" t="s">
        <v>1588</v>
      </c>
      <c r="AK570" s="141" t="s">
        <v>1613</v>
      </c>
      <c r="AL570" s="33" t="s">
        <v>441</v>
      </c>
      <c r="AM570" s="33" t="s">
        <v>441</v>
      </c>
      <c r="AN570" s="33" t="s">
        <v>177</v>
      </c>
      <c r="AT570" s="33" t="s">
        <v>368</v>
      </c>
      <c r="AU570" s="33" t="s">
        <v>442</v>
      </c>
      <c r="AV570" s="33" t="s">
        <v>502</v>
      </c>
      <c r="AW570" s="33" t="s">
        <v>119</v>
      </c>
      <c r="AX570" s="33">
        <v>4</v>
      </c>
      <c r="AZ570" s="33" t="s">
        <v>335</v>
      </c>
      <c r="BD570" s="54"/>
      <c r="BP570" s="402"/>
      <c r="BQ570" s="402"/>
      <c r="BU570" s="402"/>
      <c r="BV570" s="402"/>
      <c r="BZ570" s="402"/>
      <c r="CA570" s="402"/>
      <c r="CE570" s="555"/>
      <c r="CF570" s="555"/>
      <c r="CG570" s="555"/>
      <c r="CH570" s="555"/>
      <c r="EM570" s="33">
        <v>2.4E-2</v>
      </c>
      <c r="EN570" s="33">
        <v>9.6000000000000002E-2</v>
      </c>
      <c r="EQ570" s="33" t="s">
        <v>446</v>
      </c>
      <c r="EW570" s="33">
        <f>5.95/14.2*100</f>
        <v>41.901408450704231</v>
      </c>
      <c r="EX570" s="33">
        <f>0.97/14.2*100</f>
        <v>6.830985915492958</v>
      </c>
      <c r="FA570" s="33" t="s">
        <v>445</v>
      </c>
      <c r="FL570" s="33">
        <v>0.1966</v>
      </c>
      <c r="FM570" s="33">
        <v>0.20660000000000001</v>
      </c>
      <c r="FP570" s="33" t="s">
        <v>444</v>
      </c>
      <c r="GZ570" s="12"/>
      <c r="HD570" s="12"/>
      <c r="JB570" s="33" t="s">
        <v>715</v>
      </c>
    </row>
    <row r="571" spans="1:263" s="33" customFormat="1" x14ac:dyDescent="0.25">
      <c r="A571" s="33">
        <v>30</v>
      </c>
      <c r="B571" s="47" t="s">
        <v>3885</v>
      </c>
      <c r="C571" s="33" t="s">
        <v>437</v>
      </c>
      <c r="D571" s="33" t="s">
        <v>438</v>
      </c>
      <c r="E571" s="33">
        <v>2002</v>
      </c>
      <c r="F571" s="33">
        <v>1999</v>
      </c>
      <c r="G571" s="33" t="s">
        <v>439</v>
      </c>
      <c r="H571" s="33" t="s">
        <v>440</v>
      </c>
      <c r="I571" s="32" t="s">
        <v>2815</v>
      </c>
      <c r="J571" s="33">
        <f t="shared" si="197"/>
        <v>38.533333333333331</v>
      </c>
      <c r="K571" s="33">
        <f t="shared" si="198"/>
        <v>-121.78333333333333</v>
      </c>
      <c r="L571" s="33">
        <v>18.399999999999999</v>
      </c>
      <c r="P571" s="33">
        <v>483</v>
      </c>
      <c r="R571" s="47">
        <v>3</v>
      </c>
      <c r="S571" s="47" t="s">
        <v>1858</v>
      </c>
      <c r="T571" s="47"/>
      <c r="U571" s="47">
        <v>36170</v>
      </c>
      <c r="V571" s="47" t="s">
        <v>1395</v>
      </c>
      <c r="W571" s="47" t="s">
        <v>1723</v>
      </c>
      <c r="X571" s="47" t="s">
        <v>1395</v>
      </c>
      <c r="Y571" s="47" t="s">
        <v>1417</v>
      </c>
      <c r="AA571" s="327">
        <v>36</v>
      </c>
      <c r="AB571" s="327">
        <v>46</v>
      </c>
      <c r="AC571" s="33" t="s">
        <v>139</v>
      </c>
      <c r="AG571" s="33" t="s">
        <v>1328</v>
      </c>
      <c r="AH571" s="33" t="s">
        <v>1533</v>
      </c>
      <c r="AI571" s="138" t="s">
        <v>577</v>
      </c>
      <c r="AJ571" s="33" t="s">
        <v>1588</v>
      </c>
      <c r="AK571" s="141" t="s">
        <v>1613</v>
      </c>
      <c r="AL571" s="33" t="s">
        <v>441</v>
      </c>
      <c r="AM571" s="33" t="s">
        <v>441</v>
      </c>
      <c r="AN571" s="33" t="s">
        <v>177</v>
      </c>
      <c r="AT571" s="33" t="s">
        <v>368</v>
      </c>
      <c r="AU571" s="33" t="s">
        <v>443</v>
      </c>
      <c r="AV571" s="33" t="s">
        <v>502</v>
      </c>
      <c r="AW571" s="33" t="s">
        <v>119</v>
      </c>
      <c r="AX571" s="33">
        <v>4</v>
      </c>
      <c r="AZ571" s="33" t="s">
        <v>335</v>
      </c>
      <c r="BD571" s="54"/>
      <c r="BP571" s="402"/>
      <c r="BQ571" s="402"/>
      <c r="BU571" s="402"/>
      <c r="BV571" s="402"/>
      <c r="BZ571" s="402"/>
      <c r="CA571" s="402"/>
      <c r="CE571" s="555"/>
      <c r="CF571" s="555"/>
      <c r="CG571" s="555"/>
      <c r="CH571" s="555"/>
      <c r="EM571" s="33">
        <v>2.4E-2</v>
      </c>
      <c r="EN571" s="33">
        <v>9.6000000000000002E-2</v>
      </c>
      <c r="EQ571" s="33" t="s">
        <v>446</v>
      </c>
      <c r="EW571" s="33">
        <f>5.95/14.2*100</f>
        <v>41.901408450704231</v>
      </c>
      <c r="EX571" s="33">
        <f>1.46/14.2*100</f>
        <v>10.28169014084507</v>
      </c>
      <c r="FA571" s="33" t="s">
        <v>445</v>
      </c>
      <c r="FL571" s="33">
        <v>0.1966</v>
      </c>
      <c r="FM571" s="33">
        <v>0.1885</v>
      </c>
      <c r="FP571" s="33" t="s">
        <v>444</v>
      </c>
      <c r="GZ571" s="12"/>
      <c r="HD571" s="12"/>
      <c r="JB571" s="33" t="s">
        <v>715</v>
      </c>
    </row>
    <row r="572" spans="1:263" s="33" customFormat="1" x14ac:dyDescent="0.25">
      <c r="A572" s="33">
        <v>30</v>
      </c>
      <c r="B572" s="47" t="s">
        <v>3885</v>
      </c>
      <c r="C572" s="33" t="s">
        <v>437</v>
      </c>
      <c r="D572" s="33" t="s">
        <v>438</v>
      </c>
      <c r="E572" s="33">
        <v>2002</v>
      </c>
      <c r="F572" s="33">
        <v>1999</v>
      </c>
      <c r="G572" s="33" t="s">
        <v>439</v>
      </c>
      <c r="H572" s="33" t="s">
        <v>440</v>
      </c>
      <c r="I572" s="32" t="s">
        <v>2815</v>
      </c>
      <c r="J572" s="33">
        <f t="shared" si="197"/>
        <v>38.533333333333331</v>
      </c>
      <c r="K572" s="33">
        <f t="shared" si="198"/>
        <v>-121.78333333333333</v>
      </c>
      <c r="L572" s="33">
        <v>18.399999999999999</v>
      </c>
      <c r="P572" s="33">
        <v>483</v>
      </c>
      <c r="R572" s="47">
        <v>3</v>
      </c>
      <c r="S572" s="47" t="s">
        <v>1858</v>
      </c>
      <c r="T572" s="47"/>
      <c r="U572" s="47">
        <v>36187</v>
      </c>
      <c r="V572" s="47" t="s">
        <v>1395</v>
      </c>
      <c r="W572" s="47" t="s">
        <v>1723</v>
      </c>
      <c r="X572" s="47" t="s">
        <v>1395</v>
      </c>
      <c r="Y572" s="47" t="s">
        <v>1417</v>
      </c>
      <c r="AA572" s="327">
        <v>36</v>
      </c>
      <c r="AB572" s="327">
        <v>46</v>
      </c>
      <c r="AC572" s="33" t="s">
        <v>139</v>
      </c>
      <c r="AG572" s="33" t="s">
        <v>1328</v>
      </c>
      <c r="AH572" s="33" t="s">
        <v>1533</v>
      </c>
      <c r="AI572" s="138" t="s">
        <v>577</v>
      </c>
      <c r="AJ572" s="33" t="s">
        <v>1588</v>
      </c>
      <c r="AK572" s="141" t="s">
        <v>1613</v>
      </c>
      <c r="AL572" s="33" t="s">
        <v>441</v>
      </c>
      <c r="AM572" s="33" t="s">
        <v>441</v>
      </c>
      <c r="AN572" s="33" t="s">
        <v>177</v>
      </c>
      <c r="AT572" s="33" t="s">
        <v>368</v>
      </c>
      <c r="AU572" s="33" t="s">
        <v>442</v>
      </c>
      <c r="AV572" s="33" t="s">
        <v>502</v>
      </c>
      <c r="AW572" s="33" t="s">
        <v>119</v>
      </c>
      <c r="AX572" s="33">
        <v>4</v>
      </c>
      <c r="AZ572" s="33" t="s">
        <v>335</v>
      </c>
      <c r="BD572" s="54"/>
      <c r="BP572" s="402"/>
      <c r="BQ572" s="402"/>
      <c r="BU572" s="402"/>
      <c r="BV572" s="402"/>
      <c r="BZ572" s="402"/>
      <c r="CA572" s="402"/>
      <c r="CE572" s="555"/>
      <c r="CF572" s="555"/>
      <c r="CG572" s="555"/>
      <c r="CH572" s="555"/>
      <c r="EM572" s="33">
        <v>1.24E-2</v>
      </c>
      <c r="EN572" s="33">
        <v>9.6500000000000002E-2</v>
      </c>
      <c r="EQ572" s="33" t="s">
        <v>446</v>
      </c>
      <c r="EW572" s="33">
        <v>0</v>
      </c>
      <c r="EX572" s="33">
        <f>0.16/2.9*100</f>
        <v>5.5172413793103452</v>
      </c>
      <c r="FA572" s="33" t="s">
        <v>445</v>
      </c>
      <c r="FL572" s="33">
        <v>0.22539999999999999</v>
      </c>
      <c r="FM572" s="33">
        <v>0.2137</v>
      </c>
      <c r="FP572" s="33" t="s">
        <v>444</v>
      </c>
      <c r="GZ572" s="12"/>
      <c r="HD572" s="12"/>
      <c r="JB572" s="33" t="s">
        <v>715</v>
      </c>
    </row>
    <row r="573" spans="1:263" s="33" customFormat="1" x14ac:dyDescent="0.25">
      <c r="A573" s="33">
        <v>30</v>
      </c>
      <c r="B573" s="47" t="s">
        <v>3885</v>
      </c>
      <c r="C573" s="33" t="s">
        <v>437</v>
      </c>
      <c r="D573" s="33" t="s">
        <v>438</v>
      </c>
      <c r="E573" s="33">
        <v>2002</v>
      </c>
      <c r="F573" s="33">
        <v>1999</v>
      </c>
      <c r="G573" s="33" t="s">
        <v>439</v>
      </c>
      <c r="H573" s="33" t="s">
        <v>440</v>
      </c>
      <c r="I573" s="32" t="s">
        <v>2815</v>
      </c>
      <c r="J573" s="33">
        <f t="shared" si="197"/>
        <v>38.533333333333331</v>
      </c>
      <c r="K573" s="33">
        <f t="shared" si="198"/>
        <v>-121.78333333333333</v>
      </c>
      <c r="L573" s="33">
        <v>18.399999999999999</v>
      </c>
      <c r="P573" s="33">
        <v>483</v>
      </c>
      <c r="R573" s="47">
        <v>3</v>
      </c>
      <c r="S573" s="47" t="s">
        <v>1858</v>
      </c>
      <c r="T573" s="47"/>
      <c r="U573" s="47">
        <v>36187</v>
      </c>
      <c r="V573" s="47" t="s">
        <v>1395</v>
      </c>
      <c r="W573" s="47" t="s">
        <v>1723</v>
      </c>
      <c r="X573" s="47" t="s">
        <v>1395</v>
      </c>
      <c r="Y573" s="47" t="s">
        <v>1417</v>
      </c>
      <c r="AA573" s="327">
        <v>36</v>
      </c>
      <c r="AB573" s="327">
        <v>46</v>
      </c>
      <c r="AC573" s="33" t="s">
        <v>139</v>
      </c>
      <c r="AG573" s="33" t="s">
        <v>1328</v>
      </c>
      <c r="AH573" s="33" t="s">
        <v>1533</v>
      </c>
      <c r="AI573" s="138" t="s">
        <v>577</v>
      </c>
      <c r="AJ573" s="33" t="s">
        <v>1588</v>
      </c>
      <c r="AK573" s="141" t="s">
        <v>1613</v>
      </c>
      <c r="AL573" s="33" t="s">
        <v>441</v>
      </c>
      <c r="AM573" s="33" t="s">
        <v>441</v>
      </c>
      <c r="AN573" s="33" t="s">
        <v>177</v>
      </c>
      <c r="AT573" s="33" t="s">
        <v>368</v>
      </c>
      <c r="AU573" s="33" t="s">
        <v>443</v>
      </c>
      <c r="AV573" s="33" t="s">
        <v>502</v>
      </c>
      <c r="AW573" s="33" t="s">
        <v>119</v>
      </c>
      <c r="AX573" s="33">
        <v>4</v>
      </c>
      <c r="AZ573" s="33" t="s">
        <v>335</v>
      </c>
      <c r="BD573" s="54"/>
      <c r="BP573" s="402"/>
      <c r="BQ573" s="402"/>
      <c r="BU573" s="402"/>
      <c r="BV573" s="402"/>
      <c r="BZ573" s="402"/>
      <c r="CA573" s="402"/>
      <c r="CE573" s="555"/>
      <c r="CF573" s="555"/>
      <c r="CG573" s="555"/>
      <c r="CH573" s="555"/>
      <c r="EM573" s="33">
        <v>1.24E-2</v>
      </c>
      <c r="EN573" s="33">
        <v>7.8600000000000003E-2</v>
      </c>
      <c r="EQ573" s="33" t="s">
        <v>446</v>
      </c>
      <c r="EW573" s="33">
        <v>0</v>
      </c>
      <c r="EX573" s="33">
        <f>0.02/2.9*100</f>
        <v>0.68965517241379315</v>
      </c>
      <c r="FA573" s="33" t="s">
        <v>445</v>
      </c>
      <c r="FL573" s="33">
        <v>0.22539999999999999</v>
      </c>
      <c r="FM573" s="33">
        <v>0.19919999999999999</v>
      </c>
      <c r="FP573" s="33" t="s">
        <v>444</v>
      </c>
      <c r="GZ573" s="12"/>
      <c r="HD573" s="12"/>
      <c r="JB573" s="33" t="s">
        <v>715</v>
      </c>
    </row>
    <row r="574" spans="1:263" s="33" customFormat="1" x14ac:dyDescent="0.25">
      <c r="A574" s="33">
        <v>30</v>
      </c>
      <c r="B574" s="47" t="s">
        <v>3885</v>
      </c>
      <c r="C574" s="33" t="s">
        <v>437</v>
      </c>
      <c r="D574" s="33" t="s">
        <v>438</v>
      </c>
      <c r="E574" s="33">
        <v>2002</v>
      </c>
      <c r="F574" s="33">
        <v>1999</v>
      </c>
      <c r="G574" s="33" t="s">
        <v>439</v>
      </c>
      <c r="H574" s="33" t="s">
        <v>440</v>
      </c>
      <c r="I574" s="32" t="s">
        <v>2815</v>
      </c>
      <c r="J574" s="33">
        <f t="shared" si="197"/>
        <v>38.533333333333331</v>
      </c>
      <c r="K574" s="33">
        <f t="shared" si="198"/>
        <v>-121.78333333333333</v>
      </c>
      <c r="L574" s="33">
        <v>18.399999999999999</v>
      </c>
      <c r="P574" s="33">
        <v>483</v>
      </c>
      <c r="R574" s="47">
        <v>3</v>
      </c>
      <c r="S574" s="47" t="s">
        <v>1858</v>
      </c>
      <c r="T574" s="47"/>
      <c r="U574" s="47">
        <v>36198</v>
      </c>
      <c r="V574" s="47" t="s">
        <v>1395</v>
      </c>
      <c r="W574" s="47" t="s">
        <v>1723</v>
      </c>
      <c r="X574" s="47" t="s">
        <v>1395</v>
      </c>
      <c r="Y574" s="47" t="s">
        <v>1417</v>
      </c>
      <c r="AA574" s="327">
        <v>36</v>
      </c>
      <c r="AB574" s="327">
        <v>46</v>
      </c>
      <c r="AC574" s="33" t="s">
        <v>139</v>
      </c>
      <c r="AG574" s="33" t="s">
        <v>1328</v>
      </c>
      <c r="AH574" s="33" t="s">
        <v>1533</v>
      </c>
      <c r="AI574" s="138" t="s">
        <v>577</v>
      </c>
      <c r="AJ574" s="33" t="s">
        <v>1588</v>
      </c>
      <c r="AK574" s="141" t="s">
        <v>1613</v>
      </c>
      <c r="AL574" s="33" t="s">
        <v>441</v>
      </c>
      <c r="AM574" s="33" t="s">
        <v>441</v>
      </c>
      <c r="AN574" s="33" t="s">
        <v>177</v>
      </c>
      <c r="AT574" s="33" t="s">
        <v>368</v>
      </c>
      <c r="AU574" s="33" t="s">
        <v>442</v>
      </c>
      <c r="AV574" s="33" t="s">
        <v>502</v>
      </c>
      <c r="AW574" s="33" t="s">
        <v>119</v>
      </c>
      <c r="AX574" s="33">
        <v>4</v>
      </c>
      <c r="AZ574" s="33" t="s">
        <v>335</v>
      </c>
      <c r="BD574" s="54"/>
      <c r="BP574" s="402"/>
      <c r="BQ574" s="402"/>
      <c r="BU574" s="402"/>
      <c r="BV574" s="402"/>
      <c r="BZ574" s="402"/>
      <c r="CA574" s="402"/>
      <c r="CE574" s="555"/>
      <c r="CF574" s="555"/>
      <c r="CG574" s="555"/>
      <c r="CH574" s="555"/>
      <c r="EM574" s="33">
        <v>1.2999999999999999E-2</v>
      </c>
      <c r="EN574" s="33">
        <v>6.9000000000000006E-2</v>
      </c>
      <c r="EQ574" s="33" t="s">
        <v>446</v>
      </c>
      <c r="EW574" s="33">
        <f>2.22/17.1*100</f>
        <v>12.982456140350877</v>
      </c>
      <c r="EX574" s="33">
        <f>1.68/17.1*100</f>
        <v>9.8245614035087705</v>
      </c>
      <c r="FA574" s="33" t="s">
        <v>445</v>
      </c>
      <c r="FL574" s="33">
        <v>0.26869999999999999</v>
      </c>
      <c r="FM574" s="33">
        <v>0.28589999999999999</v>
      </c>
      <c r="FP574" s="33" t="s">
        <v>444</v>
      </c>
      <c r="GZ574" s="12"/>
      <c r="HD574" s="12"/>
      <c r="JB574" s="33" t="s">
        <v>715</v>
      </c>
    </row>
    <row r="575" spans="1:263" s="33" customFormat="1" x14ac:dyDescent="0.25">
      <c r="A575" s="33">
        <v>30</v>
      </c>
      <c r="B575" s="47" t="s">
        <v>3885</v>
      </c>
      <c r="C575" s="33" t="s">
        <v>437</v>
      </c>
      <c r="D575" s="33" t="s">
        <v>438</v>
      </c>
      <c r="E575" s="33">
        <v>2002</v>
      </c>
      <c r="F575" s="33">
        <v>1999</v>
      </c>
      <c r="G575" s="33" t="s">
        <v>439</v>
      </c>
      <c r="H575" s="33" t="s">
        <v>440</v>
      </c>
      <c r="I575" s="32" t="s">
        <v>2815</v>
      </c>
      <c r="J575" s="33">
        <f t="shared" si="197"/>
        <v>38.533333333333331</v>
      </c>
      <c r="K575" s="33">
        <f t="shared" si="198"/>
        <v>-121.78333333333333</v>
      </c>
      <c r="L575" s="33">
        <v>18.399999999999999</v>
      </c>
      <c r="P575" s="33">
        <v>483</v>
      </c>
      <c r="R575" s="47">
        <v>3</v>
      </c>
      <c r="S575" s="47" t="s">
        <v>1858</v>
      </c>
      <c r="T575" s="47"/>
      <c r="U575" s="47">
        <v>36198</v>
      </c>
      <c r="V575" s="47" t="s">
        <v>1395</v>
      </c>
      <c r="W575" s="47" t="s">
        <v>1723</v>
      </c>
      <c r="X575" s="47" t="s">
        <v>1395</v>
      </c>
      <c r="Y575" s="47" t="s">
        <v>1417</v>
      </c>
      <c r="AA575" s="327">
        <v>36</v>
      </c>
      <c r="AB575" s="327">
        <v>46</v>
      </c>
      <c r="AC575" s="33" t="s">
        <v>139</v>
      </c>
      <c r="AG575" s="33" t="s">
        <v>1328</v>
      </c>
      <c r="AH575" s="33" t="s">
        <v>1533</v>
      </c>
      <c r="AI575" s="138" t="s">
        <v>577</v>
      </c>
      <c r="AJ575" s="33" t="s">
        <v>1588</v>
      </c>
      <c r="AK575" s="141" t="s">
        <v>1613</v>
      </c>
      <c r="AL575" s="33" t="s">
        <v>441</v>
      </c>
      <c r="AM575" s="33" t="s">
        <v>441</v>
      </c>
      <c r="AN575" s="33" t="s">
        <v>177</v>
      </c>
      <c r="AT575" s="33" t="s">
        <v>368</v>
      </c>
      <c r="AU575" s="33" t="s">
        <v>443</v>
      </c>
      <c r="AV575" s="33" t="s">
        <v>502</v>
      </c>
      <c r="AW575" s="33" t="s">
        <v>119</v>
      </c>
      <c r="AX575" s="33">
        <v>4</v>
      </c>
      <c r="AZ575" s="33" t="s">
        <v>335</v>
      </c>
      <c r="BD575" s="54"/>
      <c r="BP575" s="402"/>
      <c r="BQ575" s="402"/>
      <c r="BU575" s="402"/>
      <c r="BV575" s="402"/>
      <c r="BZ575" s="402"/>
      <c r="CA575" s="402"/>
      <c r="CE575" s="555"/>
      <c r="CF575" s="555"/>
      <c r="CG575" s="555"/>
      <c r="CH575" s="555"/>
      <c r="EM575" s="33">
        <v>1.2999999999999999E-2</v>
      </c>
      <c r="EN575" s="33">
        <v>7.8E-2</v>
      </c>
      <c r="EQ575" s="33" t="s">
        <v>446</v>
      </c>
      <c r="EW575" s="33">
        <f>2.22/17.1*100</f>
        <v>12.982456140350877</v>
      </c>
      <c r="EX575" s="33">
        <f>1.39/17.1*100</f>
        <v>8.1286549707602322</v>
      </c>
      <c r="FA575" s="33" t="s">
        <v>445</v>
      </c>
      <c r="FL575" s="33">
        <v>0.26869999999999999</v>
      </c>
      <c r="FM575" s="33">
        <v>0.28589999999999999</v>
      </c>
      <c r="FP575" s="33" t="s">
        <v>444</v>
      </c>
      <c r="GZ575" s="12"/>
      <c r="HD575" s="12"/>
      <c r="JB575" s="33" t="s">
        <v>715</v>
      </c>
    </row>
    <row r="576" spans="1:263" s="33" customFormat="1" x14ac:dyDescent="0.25">
      <c r="A576" s="33">
        <v>30</v>
      </c>
      <c r="B576" s="47" t="s">
        <v>3885</v>
      </c>
      <c r="C576" s="33" t="s">
        <v>437</v>
      </c>
      <c r="D576" s="33" t="s">
        <v>438</v>
      </c>
      <c r="E576" s="33">
        <v>2002</v>
      </c>
      <c r="F576" s="33">
        <v>1999</v>
      </c>
      <c r="G576" s="33" t="s">
        <v>439</v>
      </c>
      <c r="H576" s="33" t="s">
        <v>440</v>
      </c>
      <c r="I576" s="32" t="s">
        <v>2815</v>
      </c>
      <c r="J576" s="33">
        <f t="shared" si="197"/>
        <v>38.533333333333331</v>
      </c>
      <c r="K576" s="33">
        <f t="shared" si="198"/>
        <v>-121.78333333333333</v>
      </c>
      <c r="L576" s="33">
        <v>18.399999999999999</v>
      </c>
      <c r="P576" s="33">
        <v>483</v>
      </c>
      <c r="R576" s="47">
        <v>3</v>
      </c>
      <c r="S576" s="47" t="s">
        <v>1858</v>
      </c>
      <c r="T576" s="47"/>
      <c r="U576" s="47">
        <v>36232</v>
      </c>
      <c r="V576" s="47" t="s">
        <v>1395</v>
      </c>
      <c r="W576" s="47" t="s">
        <v>1723</v>
      </c>
      <c r="X576" s="47" t="s">
        <v>1395</v>
      </c>
      <c r="Y576" s="47" t="s">
        <v>1417</v>
      </c>
      <c r="AA576" s="327">
        <v>36</v>
      </c>
      <c r="AB576" s="327">
        <v>46</v>
      </c>
      <c r="AC576" s="33" t="s">
        <v>139</v>
      </c>
      <c r="AG576" s="33" t="s">
        <v>1328</v>
      </c>
      <c r="AH576" s="33" t="s">
        <v>1533</v>
      </c>
      <c r="AI576" s="138" t="s">
        <v>577</v>
      </c>
      <c r="AJ576" s="33" t="s">
        <v>1588</v>
      </c>
      <c r="AK576" s="141" t="s">
        <v>1613</v>
      </c>
      <c r="AL576" s="33" t="s">
        <v>441</v>
      </c>
      <c r="AM576" s="33" t="s">
        <v>441</v>
      </c>
      <c r="AN576" s="33" t="s">
        <v>177</v>
      </c>
      <c r="AT576" s="33" t="s">
        <v>368</v>
      </c>
      <c r="AU576" s="33" t="s">
        <v>442</v>
      </c>
      <c r="AV576" s="33" t="s">
        <v>502</v>
      </c>
      <c r="AW576" s="33" t="s">
        <v>119</v>
      </c>
      <c r="AX576" s="33">
        <v>4</v>
      </c>
      <c r="AZ576" s="33" t="s">
        <v>335</v>
      </c>
      <c r="BD576" s="54"/>
      <c r="BP576" s="402"/>
      <c r="BQ576" s="402"/>
      <c r="BU576" s="402"/>
      <c r="BV576" s="402"/>
      <c r="BZ576" s="402"/>
      <c r="CA576" s="402"/>
      <c r="CE576" s="555"/>
      <c r="CF576" s="555"/>
      <c r="CG576" s="555"/>
      <c r="CH576" s="555"/>
      <c r="EM576" s="33">
        <v>4.7999999999999996E-3</v>
      </c>
      <c r="EN576" s="33">
        <v>6.9000000000000006E-2</v>
      </c>
      <c r="EQ576" s="33" t="s">
        <v>446</v>
      </c>
      <c r="EW576" s="33">
        <f>3.41/14.3*100</f>
        <v>23.846153846153843</v>
      </c>
      <c r="EX576" s="33">
        <f>0.21/14.3*100</f>
        <v>1.4685314685314685</v>
      </c>
      <c r="FA576" s="33" t="s">
        <v>445</v>
      </c>
      <c r="FL576" s="33">
        <v>0.25319999999999998</v>
      </c>
      <c r="FM576" s="33">
        <v>0.25869999999999999</v>
      </c>
      <c r="FP576" s="33" t="s">
        <v>444</v>
      </c>
      <c r="GZ576" s="12"/>
      <c r="HD576" s="12"/>
      <c r="JB576" s="33" t="s">
        <v>715</v>
      </c>
    </row>
    <row r="577" spans="1:262" s="33" customFormat="1" x14ac:dyDescent="0.25">
      <c r="A577" s="33">
        <v>30</v>
      </c>
      <c r="B577" s="47" t="s">
        <v>3885</v>
      </c>
      <c r="C577" s="33" t="s">
        <v>437</v>
      </c>
      <c r="D577" s="33" t="s">
        <v>438</v>
      </c>
      <c r="E577" s="33">
        <v>2002</v>
      </c>
      <c r="F577" s="33">
        <v>1999</v>
      </c>
      <c r="G577" s="33" t="s">
        <v>439</v>
      </c>
      <c r="H577" s="33" t="s">
        <v>440</v>
      </c>
      <c r="I577" s="32" t="s">
        <v>2815</v>
      </c>
      <c r="J577" s="33">
        <f t="shared" si="197"/>
        <v>38.533333333333331</v>
      </c>
      <c r="K577" s="33">
        <f t="shared" si="198"/>
        <v>-121.78333333333333</v>
      </c>
      <c r="L577" s="33">
        <v>18.399999999999999</v>
      </c>
      <c r="P577" s="33">
        <v>483</v>
      </c>
      <c r="R577" s="47">
        <v>3</v>
      </c>
      <c r="S577" s="47" t="s">
        <v>1858</v>
      </c>
      <c r="T577" s="47"/>
      <c r="U577" s="47">
        <v>36232</v>
      </c>
      <c r="V577" s="47" t="s">
        <v>1395</v>
      </c>
      <c r="W577" s="47" t="s">
        <v>1723</v>
      </c>
      <c r="X577" s="47" t="s">
        <v>1395</v>
      </c>
      <c r="Y577" s="47" t="s">
        <v>1417</v>
      </c>
      <c r="AA577" s="327">
        <v>36</v>
      </c>
      <c r="AB577" s="327">
        <v>46</v>
      </c>
      <c r="AC577" s="33" t="s">
        <v>139</v>
      </c>
      <c r="AG577" s="33" t="s">
        <v>1328</v>
      </c>
      <c r="AH577" s="33" t="s">
        <v>1533</v>
      </c>
      <c r="AI577" s="138" t="s">
        <v>577</v>
      </c>
      <c r="AJ577" s="33" t="s">
        <v>1588</v>
      </c>
      <c r="AK577" s="141" t="s">
        <v>1613</v>
      </c>
      <c r="AL577" s="33" t="s">
        <v>441</v>
      </c>
      <c r="AM577" s="33" t="s">
        <v>441</v>
      </c>
      <c r="AN577" s="33" t="s">
        <v>177</v>
      </c>
      <c r="AT577" s="33" t="s">
        <v>368</v>
      </c>
      <c r="AU577" s="33" t="s">
        <v>443</v>
      </c>
      <c r="AV577" s="33" t="s">
        <v>502</v>
      </c>
      <c r="AW577" s="33" t="s">
        <v>119</v>
      </c>
      <c r="AX577" s="33">
        <v>4</v>
      </c>
      <c r="AZ577" s="33" t="s">
        <v>335</v>
      </c>
      <c r="BD577" s="54"/>
      <c r="BP577" s="402"/>
      <c r="BQ577" s="402"/>
      <c r="BU577" s="402"/>
      <c r="BV577" s="402"/>
      <c r="BZ577" s="402"/>
      <c r="CA577" s="402"/>
      <c r="CE577" s="555"/>
      <c r="CF577" s="555"/>
      <c r="CG577" s="555"/>
      <c r="CH577" s="555"/>
      <c r="EM577" s="33">
        <v>4.7999999999999996E-3</v>
      </c>
      <c r="EN577" s="33">
        <v>7.8E-2</v>
      </c>
      <c r="EQ577" s="33" t="s">
        <v>446</v>
      </c>
      <c r="EW577" s="33">
        <f>3.41/14.3*100</f>
        <v>23.846153846153843</v>
      </c>
      <c r="EX577" s="33">
        <f>1.01/14.3*100</f>
        <v>7.0629370629370625</v>
      </c>
      <c r="FA577" s="33" t="s">
        <v>445</v>
      </c>
      <c r="FL577" s="33">
        <v>0.25319999999999998</v>
      </c>
      <c r="FM577" s="33">
        <v>0.25869999999999999</v>
      </c>
      <c r="FP577" s="33" t="s">
        <v>444</v>
      </c>
      <c r="GZ577" s="12"/>
      <c r="HD577" s="12"/>
      <c r="JB577" s="33" t="s">
        <v>715</v>
      </c>
    </row>
    <row r="578" spans="1:262" s="33" customFormat="1" x14ac:dyDescent="0.25">
      <c r="A578" s="33">
        <v>30</v>
      </c>
      <c r="B578" s="47" t="s">
        <v>3885</v>
      </c>
      <c r="C578" s="33" t="s">
        <v>437</v>
      </c>
      <c r="D578" s="33" t="s">
        <v>438</v>
      </c>
      <c r="E578" s="33">
        <v>2002</v>
      </c>
      <c r="F578" s="33">
        <v>1999</v>
      </c>
      <c r="G578" s="33" t="s">
        <v>439</v>
      </c>
      <c r="H578" s="33" t="s">
        <v>440</v>
      </c>
      <c r="I578" s="32" t="s">
        <v>2815</v>
      </c>
      <c r="J578" s="33">
        <f t="shared" si="197"/>
        <v>38.533333333333331</v>
      </c>
      <c r="K578" s="33">
        <f t="shared" si="198"/>
        <v>-121.78333333333333</v>
      </c>
      <c r="L578" s="33">
        <v>18.399999999999999</v>
      </c>
      <c r="P578" s="33">
        <v>483</v>
      </c>
      <c r="R578" s="47">
        <v>3</v>
      </c>
      <c r="S578" s="47" t="s">
        <v>1858</v>
      </c>
      <c r="T578" s="47"/>
      <c r="U578" s="47">
        <v>36234</v>
      </c>
      <c r="V578" s="47" t="s">
        <v>1395</v>
      </c>
      <c r="W578" s="47" t="s">
        <v>1723</v>
      </c>
      <c r="X578" s="47" t="s">
        <v>1395</v>
      </c>
      <c r="Y578" s="47" t="s">
        <v>1417</v>
      </c>
      <c r="AA578" s="327">
        <v>36</v>
      </c>
      <c r="AB578" s="327">
        <v>46</v>
      </c>
      <c r="AC578" s="33" t="s">
        <v>139</v>
      </c>
      <c r="AG578" s="33" t="s">
        <v>1328</v>
      </c>
      <c r="AH578" s="33" t="s">
        <v>1533</v>
      </c>
      <c r="AI578" s="138" t="s">
        <v>577</v>
      </c>
      <c r="AJ578" s="33" t="s">
        <v>1588</v>
      </c>
      <c r="AK578" s="141" t="s">
        <v>1613</v>
      </c>
      <c r="AL578" s="33" t="s">
        <v>441</v>
      </c>
      <c r="AM578" s="33" t="s">
        <v>441</v>
      </c>
      <c r="AN578" s="33" t="s">
        <v>177</v>
      </c>
      <c r="AT578" s="33" t="s">
        <v>368</v>
      </c>
      <c r="AU578" s="33" t="s">
        <v>442</v>
      </c>
      <c r="AV578" s="33" t="s">
        <v>502</v>
      </c>
      <c r="AW578" s="33" t="s">
        <v>119</v>
      </c>
      <c r="AX578" s="33">
        <v>4</v>
      </c>
      <c r="AZ578" s="33" t="s">
        <v>335</v>
      </c>
      <c r="BD578" s="54"/>
      <c r="BP578" s="402"/>
      <c r="BQ578" s="402"/>
      <c r="BU578" s="402"/>
      <c r="BV578" s="402"/>
      <c r="BZ578" s="402"/>
      <c r="CA578" s="402"/>
      <c r="CE578" s="555"/>
      <c r="CF578" s="555"/>
      <c r="CG578" s="555"/>
      <c r="CH578" s="555"/>
      <c r="EM578" s="33">
        <v>3.7000000000000002E-3</v>
      </c>
      <c r="EN578" s="33">
        <v>6.3E-2</v>
      </c>
      <c r="EQ578" s="33" t="s">
        <v>446</v>
      </c>
      <c r="EW578" s="33">
        <v>0</v>
      </c>
      <c r="EX578" s="33">
        <v>0</v>
      </c>
      <c r="FA578" s="33" t="s">
        <v>445</v>
      </c>
      <c r="FL578" s="33">
        <v>0.246</v>
      </c>
      <c r="FM578" s="33">
        <v>0.24779999999999999</v>
      </c>
      <c r="FP578" s="33" t="s">
        <v>444</v>
      </c>
      <c r="GZ578" s="12"/>
      <c r="HD578" s="12"/>
      <c r="JB578" s="33" t="s">
        <v>715</v>
      </c>
    </row>
    <row r="579" spans="1:262" s="33" customFormat="1" x14ac:dyDescent="0.25">
      <c r="A579" s="33">
        <v>30</v>
      </c>
      <c r="B579" s="47" t="s">
        <v>3885</v>
      </c>
      <c r="C579" s="33" t="s">
        <v>437</v>
      </c>
      <c r="D579" s="33" t="s">
        <v>438</v>
      </c>
      <c r="E579" s="33">
        <v>2002</v>
      </c>
      <c r="F579" s="33">
        <v>1999</v>
      </c>
      <c r="G579" s="33" t="s">
        <v>439</v>
      </c>
      <c r="H579" s="33" t="s">
        <v>440</v>
      </c>
      <c r="I579" s="32" t="s">
        <v>2815</v>
      </c>
      <c r="J579" s="33">
        <f t="shared" si="197"/>
        <v>38.533333333333331</v>
      </c>
      <c r="K579" s="33">
        <f t="shared" si="198"/>
        <v>-121.78333333333333</v>
      </c>
      <c r="L579" s="33">
        <v>18.399999999999999</v>
      </c>
      <c r="P579" s="33">
        <v>483</v>
      </c>
      <c r="R579" s="47">
        <v>3</v>
      </c>
      <c r="S579" s="47" t="s">
        <v>1858</v>
      </c>
      <c r="T579" s="47"/>
      <c r="U579" s="47">
        <v>36234</v>
      </c>
      <c r="V579" s="47" t="s">
        <v>1395</v>
      </c>
      <c r="W579" s="47" t="s">
        <v>1723</v>
      </c>
      <c r="X579" s="47" t="s">
        <v>1395</v>
      </c>
      <c r="Y579" s="47" t="s">
        <v>1417</v>
      </c>
      <c r="AA579" s="327">
        <v>36</v>
      </c>
      <c r="AB579" s="327">
        <v>46</v>
      </c>
      <c r="AC579" s="33" t="s">
        <v>139</v>
      </c>
      <c r="AG579" s="33" t="s">
        <v>1328</v>
      </c>
      <c r="AH579" s="33" t="s">
        <v>1533</v>
      </c>
      <c r="AI579" s="138" t="s">
        <v>577</v>
      </c>
      <c r="AJ579" s="33" t="s">
        <v>1588</v>
      </c>
      <c r="AK579" s="141" t="s">
        <v>1613</v>
      </c>
      <c r="AL579" s="33" t="s">
        <v>441</v>
      </c>
      <c r="AM579" s="33" t="s">
        <v>441</v>
      </c>
      <c r="AN579" s="33" t="s">
        <v>177</v>
      </c>
      <c r="AT579" s="33" t="s">
        <v>368</v>
      </c>
      <c r="AU579" s="33" t="s">
        <v>443</v>
      </c>
      <c r="AV579" s="33" t="s">
        <v>502</v>
      </c>
      <c r="AW579" s="33" t="s">
        <v>119</v>
      </c>
      <c r="AX579" s="33">
        <v>4</v>
      </c>
      <c r="AZ579" s="33" t="s">
        <v>335</v>
      </c>
      <c r="BD579" s="54"/>
      <c r="BP579" s="402"/>
      <c r="BQ579" s="402"/>
      <c r="BU579" s="402"/>
      <c r="BV579" s="402"/>
      <c r="BZ579" s="402"/>
      <c r="CA579" s="402"/>
      <c r="CE579" s="555"/>
      <c r="CF579" s="555"/>
      <c r="CG579" s="555"/>
      <c r="CH579" s="555"/>
      <c r="EM579" s="33">
        <v>3.7000000000000002E-3</v>
      </c>
      <c r="EN579" s="33">
        <v>7.6999999999999999E-2</v>
      </c>
      <c r="EQ579" s="33" t="s">
        <v>446</v>
      </c>
      <c r="EW579" s="33">
        <v>0</v>
      </c>
      <c r="EX579" s="33">
        <v>0</v>
      </c>
      <c r="FA579" s="33" t="s">
        <v>445</v>
      </c>
      <c r="FL579" s="33">
        <v>0.246</v>
      </c>
      <c r="FM579" s="33">
        <v>0.24779999999999999</v>
      </c>
      <c r="FP579" s="33" t="s">
        <v>444</v>
      </c>
      <c r="GZ579" s="12"/>
      <c r="HD579" s="12"/>
      <c r="JB579" s="33" t="s">
        <v>715</v>
      </c>
    </row>
    <row r="580" spans="1:262" s="33" customFormat="1" x14ac:dyDescent="0.25">
      <c r="A580" s="33">
        <v>30</v>
      </c>
      <c r="B580" s="47" t="s">
        <v>3885</v>
      </c>
      <c r="C580" s="33" t="s">
        <v>437</v>
      </c>
      <c r="D580" s="33" t="s">
        <v>438</v>
      </c>
      <c r="E580" s="33">
        <v>2002</v>
      </c>
      <c r="F580" s="33">
        <v>1999</v>
      </c>
      <c r="G580" s="33" t="s">
        <v>439</v>
      </c>
      <c r="H580" s="33" t="s">
        <v>440</v>
      </c>
      <c r="I580" s="32" t="s">
        <v>2815</v>
      </c>
      <c r="J580" s="33">
        <f t="shared" si="197"/>
        <v>38.533333333333331</v>
      </c>
      <c r="K580" s="33">
        <f t="shared" si="198"/>
        <v>-121.78333333333333</v>
      </c>
      <c r="L580" s="33">
        <v>18.399999999999999</v>
      </c>
      <c r="P580" s="33">
        <v>483</v>
      </c>
      <c r="R580" s="47">
        <v>3</v>
      </c>
      <c r="S580" s="47" t="s">
        <v>1858</v>
      </c>
      <c r="T580" s="47"/>
      <c r="U580" s="47">
        <v>36514</v>
      </c>
      <c r="V580" s="47" t="s">
        <v>1395</v>
      </c>
      <c r="W580" s="47" t="s">
        <v>1723</v>
      </c>
      <c r="X580" s="47" t="s">
        <v>1395</v>
      </c>
      <c r="Y580" s="47" t="s">
        <v>1417</v>
      </c>
      <c r="AA580" s="327">
        <v>36</v>
      </c>
      <c r="AB580" s="327">
        <v>46</v>
      </c>
      <c r="AC580" s="33" t="s">
        <v>139</v>
      </c>
      <c r="AG580" s="33" t="s">
        <v>1328</v>
      </c>
      <c r="AH580" s="33" t="s">
        <v>1533</v>
      </c>
      <c r="AI580" s="138" t="s">
        <v>577</v>
      </c>
      <c r="AJ580" s="33" t="s">
        <v>1588</v>
      </c>
      <c r="AK580" s="141" t="s">
        <v>1613</v>
      </c>
      <c r="AL580" s="33" t="s">
        <v>441</v>
      </c>
      <c r="AM580" s="33" t="s">
        <v>441</v>
      </c>
      <c r="AN580" s="33" t="s">
        <v>177</v>
      </c>
      <c r="AT580" s="33" t="s">
        <v>368</v>
      </c>
      <c r="AU580" s="33" t="s">
        <v>442</v>
      </c>
      <c r="AV580" s="33" t="s">
        <v>502</v>
      </c>
      <c r="AW580" s="33" t="s">
        <v>119</v>
      </c>
      <c r="AX580" s="33">
        <v>4</v>
      </c>
      <c r="AZ580" s="33" t="s">
        <v>335</v>
      </c>
      <c r="BD580" s="54"/>
      <c r="BP580" s="402"/>
      <c r="BQ580" s="402"/>
      <c r="BU580" s="402"/>
      <c r="BV580" s="402"/>
      <c r="BZ580" s="402"/>
      <c r="CA580" s="402"/>
      <c r="CE580" s="555"/>
      <c r="CF580" s="555"/>
      <c r="CG580" s="555"/>
      <c r="CH580" s="555"/>
      <c r="EM580" s="33">
        <v>3.3999999999999998E-3</v>
      </c>
      <c r="EN580" s="33">
        <v>5.5E-2</v>
      </c>
      <c r="EQ580" s="33" t="s">
        <v>446</v>
      </c>
      <c r="EW580" s="33">
        <f>0.32/3*100</f>
        <v>10.666666666666668</v>
      </c>
      <c r="EX580" s="33">
        <f>0.02/3*100</f>
        <v>0.66666666666666674</v>
      </c>
      <c r="FA580" s="33" t="s">
        <v>445</v>
      </c>
      <c r="FL580" s="33">
        <v>0.1182</v>
      </c>
      <c r="FM580" s="33">
        <v>0.12089999999999999</v>
      </c>
      <c r="FP580" s="33" t="s">
        <v>444</v>
      </c>
      <c r="GZ580" s="12"/>
      <c r="HD580" s="12"/>
      <c r="JB580" s="33" t="s">
        <v>715</v>
      </c>
    </row>
    <row r="581" spans="1:262" s="33" customFormat="1" x14ac:dyDescent="0.25">
      <c r="A581" s="33">
        <v>30</v>
      </c>
      <c r="B581" s="47" t="s">
        <v>3885</v>
      </c>
      <c r="C581" s="33" t="s">
        <v>437</v>
      </c>
      <c r="D581" s="33" t="s">
        <v>438</v>
      </c>
      <c r="E581" s="33">
        <v>2002</v>
      </c>
      <c r="F581" s="33">
        <v>1999</v>
      </c>
      <c r="G581" s="33" t="s">
        <v>439</v>
      </c>
      <c r="H581" s="33" t="s">
        <v>440</v>
      </c>
      <c r="I581" s="32" t="s">
        <v>2815</v>
      </c>
      <c r="J581" s="33">
        <f t="shared" si="197"/>
        <v>38.533333333333331</v>
      </c>
      <c r="K581" s="33">
        <f t="shared" si="198"/>
        <v>-121.78333333333333</v>
      </c>
      <c r="L581" s="33">
        <v>18.399999999999999</v>
      </c>
      <c r="P581" s="33">
        <v>483</v>
      </c>
      <c r="R581" s="47">
        <v>3</v>
      </c>
      <c r="S581" s="47" t="s">
        <v>1858</v>
      </c>
      <c r="T581" s="47"/>
      <c r="U581" s="47">
        <v>36514</v>
      </c>
      <c r="V581" s="47" t="s">
        <v>1395</v>
      </c>
      <c r="W581" s="47" t="s">
        <v>1723</v>
      </c>
      <c r="X581" s="47" t="s">
        <v>1395</v>
      </c>
      <c r="Y581" s="47" t="s">
        <v>1417</v>
      </c>
      <c r="AA581" s="327">
        <v>36</v>
      </c>
      <c r="AB581" s="327">
        <v>46</v>
      </c>
      <c r="AC581" s="33" t="s">
        <v>139</v>
      </c>
      <c r="AG581" s="33" t="s">
        <v>1328</v>
      </c>
      <c r="AH581" s="33" t="s">
        <v>1533</v>
      </c>
      <c r="AI581" s="138" t="s">
        <v>577</v>
      </c>
      <c r="AJ581" s="33" t="s">
        <v>1588</v>
      </c>
      <c r="AK581" s="141" t="s">
        <v>1613</v>
      </c>
      <c r="AL581" s="33" t="s">
        <v>441</v>
      </c>
      <c r="AM581" s="33" t="s">
        <v>441</v>
      </c>
      <c r="AN581" s="33" t="s">
        <v>177</v>
      </c>
      <c r="AT581" s="33" t="s">
        <v>368</v>
      </c>
      <c r="AU581" s="33" t="s">
        <v>443</v>
      </c>
      <c r="AV581" s="33" t="s">
        <v>502</v>
      </c>
      <c r="AW581" s="33" t="s">
        <v>119</v>
      </c>
      <c r="AX581" s="33">
        <v>4</v>
      </c>
      <c r="AZ581" s="33" t="s">
        <v>335</v>
      </c>
      <c r="BD581" s="54"/>
      <c r="BP581" s="402"/>
      <c r="BQ581" s="402"/>
      <c r="BU581" s="402"/>
      <c r="BV581" s="402"/>
      <c r="BZ581" s="402"/>
      <c r="CA581" s="402"/>
      <c r="CE581" s="555"/>
      <c r="CF581" s="555"/>
      <c r="CG581" s="555"/>
      <c r="CH581" s="555"/>
      <c r="EM581" s="33">
        <v>3.3999999999999998E-3</v>
      </c>
      <c r="EN581" s="33">
        <v>6.6000000000000003E-2</v>
      </c>
      <c r="EQ581" s="33" t="s">
        <v>446</v>
      </c>
      <c r="EW581" s="33">
        <f>0.32/3*100</f>
        <v>10.666666666666668</v>
      </c>
      <c r="EX581" s="33">
        <f>0.13/3*100</f>
        <v>4.3333333333333339</v>
      </c>
      <c r="FA581" s="33" t="s">
        <v>445</v>
      </c>
      <c r="FL581" s="33">
        <v>0.1182</v>
      </c>
      <c r="FM581" s="33">
        <v>0.12089999999999999</v>
      </c>
      <c r="FP581" s="33" t="s">
        <v>444</v>
      </c>
      <c r="GZ581" s="12"/>
      <c r="HD581" s="12"/>
      <c r="JB581" s="33" t="s">
        <v>715</v>
      </c>
    </row>
    <row r="582" spans="1:262" s="33" customFormat="1" x14ac:dyDescent="0.25">
      <c r="A582" s="33">
        <v>30</v>
      </c>
      <c r="B582" s="47" t="s">
        <v>3885</v>
      </c>
      <c r="C582" s="33" t="s">
        <v>437</v>
      </c>
      <c r="D582" s="33" t="s">
        <v>438</v>
      </c>
      <c r="E582" s="33">
        <v>2002</v>
      </c>
      <c r="F582" s="33">
        <v>2000</v>
      </c>
      <c r="G582" s="33" t="s">
        <v>439</v>
      </c>
      <c r="H582" s="33" t="s">
        <v>440</v>
      </c>
      <c r="I582" s="32" t="s">
        <v>2815</v>
      </c>
      <c r="J582" s="33">
        <f t="shared" si="197"/>
        <v>38.533333333333331</v>
      </c>
      <c r="K582" s="33">
        <f t="shared" si="198"/>
        <v>-121.78333333333333</v>
      </c>
      <c r="L582" s="33">
        <v>18.399999999999999</v>
      </c>
      <c r="P582" s="33">
        <v>483</v>
      </c>
      <c r="R582" s="47">
        <v>4</v>
      </c>
      <c r="S582" s="47" t="s">
        <v>1858</v>
      </c>
      <c r="T582" s="47"/>
      <c r="U582" s="47">
        <v>36535</v>
      </c>
      <c r="V582" s="47" t="s">
        <v>1395</v>
      </c>
      <c r="W582" s="47" t="s">
        <v>1723</v>
      </c>
      <c r="X582" s="47" t="s">
        <v>1395</v>
      </c>
      <c r="Y582" s="47" t="s">
        <v>1417</v>
      </c>
      <c r="AA582" s="327">
        <v>36</v>
      </c>
      <c r="AB582" s="327">
        <v>46</v>
      </c>
      <c r="AC582" s="33" t="s">
        <v>139</v>
      </c>
      <c r="AG582" s="33" t="s">
        <v>1328</v>
      </c>
      <c r="AH582" s="33" t="s">
        <v>1533</v>
      </c>
      <c r="AI582" s="138" t="s">
        <v>577</v>
      </c>
      <c r="AJ582" s="33" t="s">
        <v>1588</v>
      </c>
      <c r="AK582" s="141" t="s">
        <v>1613</v>
      </c>
      <c r="AL582" s="33" t="s">
        <v>441</v>
      </c>
      <c r="AM582" s="33" t="s">
        <v>441</v>
      </c>
      <c r="AN582" s="33" t="s">
        <v>177</v>
      </c>
      <c r="AT582" s="33" t="s">
        <v>368</v>
      </c>
      <c r="AU582" s="33" t="s">
        <v>442</v>
      </c>
      <c r="AV582" s="33" t="s">
        <v>502</v>
      </c>
      <c r="AW582" s="33" t="s">
        <v>119</v>
      </c>
      <c r="AX582" s="33">
        <v>4</v>
      </c>
      <c r="AZ582" s="33" t="s">
        <v>335</v>
      </c>
      <c r="BD582" s="54"/>
      <c r="BP582" s="402"/>
      <c r="BQ582" s="402"/>
      <c r="BU582" s="402"/>
      <c r="BV582" s="402"/>
      <c r="BZ582" s="402"/>
      <c r="CA582" s="402"/>
      <c r="CE582" s="555"/>
      <c r="CF582" s="555"/>
      <c r="CG582" s="555"/>
      <c r="CH582" s="555"/>
      <c r="EM582" s="33">
        <v>3.3E-3</v>
      </c>
      <c r="EN582" s="33">
        <v>5.3999999999999999E-2</v>
      </c>
      <c r="EQ582" s="33" t="s">
        <v>446</v>
      </c>
      <c r="EW582" s="33">
        <f>0.15/7.1*100</f>
        <v>2.112676056338028</v>
      </c>
      <c r="EX582" s="33">
        <f>0.18/7.1*100</f>
        <v>2.535211267605634</v>
      </c>
      <c r="FA582" s="33" t="s">
        <v>445</v>
      </c>
      <c r="FL582" s="33">
        <v>0.11169999999999999</v>
      </c>
      <c r="FM582" s="33">
        <v>0.1163</v>
      </c>
      <c r="FP582" s="33" t="s">
        <v>444</v>
      </c>
      <c r="GZ582" s="12"/>
      <c r="HD582" s="12"/>
      <c r="JB582" s="33" t="s">
        <v>715</v>
      </c>
    </row>
    <row r="583" spans="1:262" s="33" customFormat="1" x14ac:dyDescent="0.25">
      <c r="A583" s="33">
        <v>30</v>
      </c>
      <c r="B583" s="47" t="s">
        <v>3885</v>
      </c>
      <c r="C583" s="33" t="s">
        <v>437</v>
      </c>
      <c r="D583" s="33" t="s">
        <v>438</v>
      </c>
      <c r="E583" s="33">
        <v>2002</v>
      </c>
      <c r="F583" s="33">
        <v>2000</v>
      </c>
      <c r="G583" s="33" t="s">
        <v>439</v>
      </c>
      <c r="H583" s="33" t="s">
        <v>440</v>
      </c>
      <c r="I583" s="32" t="s">
        <v>2815</v>
      </c>
      <c r="J583" s="33">
        <f t="shared" si="197"/>
        <v>38.533333333333331</v>
      </c>
      <c r="K583" s="33">
        <f t="shared" si="198"/>
        <v>-121.78333333333333</v>
      </c>
      <c r="L583" s="33">
        <v>18.399999999999999</v>
      </c>
      <c r="P583" s="33">
        <v>483</v>
      </c>
      <c r="R583" s="47">
        <v>4</v>
      </c>
      <c r="S583" s="47" t="s">
        <v>1858</v>
      </c>
      <c r="T583" s="47"/>
      <c r="U583" s="47">
        <v>36535</v>
      </c>
      <c r="V583" s="47" t="s">
        <v>1395</v>
      </c>
      <c r="W583" s="47" t="s">
        <v>1723</v>
      </c>
      <c r="X583" s="47" t="s">
        <v>1395</v>
      </c>
      <c r="Y583" s="47" t="s">
        <v>1417</v>
      </c>
      <c r="AA583" s="327">
        <v>36</v>
      </c>
      <c r="AB583" s="327">
        <v>46</v>
      </c>
      <c r="AC583" s="33" t="s">
        <v>139</v>
      </c>
      <c r="AG583" s="33" t="s">
        <v>1328</v>
      </c>
      <c r="AH583" s="33" t="s">
        <v>1533</v>
      </c>
      <c r="AI583" s="138" t="s">
        <v>577</v>
      </c>
      <c r="AJ583" s="33" t="s">
        <v>1588</v>
      </c>
      <c r="AK583" s="141" t="s">
        <v>1613</v>
      </c>
      <c r="AL583" s="33" t="s">
        <v>441</v>
      </c>
      <c r="AM583" s="33" t="s">
        <v>441</v>
      </c>
      <c r="AN583" s="33" t="s">
        <v>177</v>
      </c>
      <c r="AT583" s="33" t="s">
        <v>368</v>
      </c>
      <c r="AU583" s="33" t="s">
        <v>443</v>
      </c>
      <c r="AV583" s="33" t="s">
        <v>502</v>
      </c>
      <c r="AW583" s="33" t="s">
        <v>119</v>
      </c>
      <c r="AX583" s="33">
        <v>4</v>
      </c>
      <c r="AZ583" s="33" t="s">
        <v>335</v>
      </c>
      <c r="BD583" s="54"/>
      <c r="BP583" s="402"/>
      <c r="BQ583" s="402"/>
      <c r="BU583" s="402"/>
      <c r="BV583" s="402"/>
      <c r="BZ583" s="402"/>
      <c r="CA583" s="402"/>
      <c r="CE583" s="555"/>
      <c r="CF583" s="555"/>
      <c r="CG583" s="555"/>
      <c r="CH583" s="555"/>
      <c r="EM583" s="33">
        <v>3.3E-3</v>
      </c>
      <c r="EN583" s="33">
        <v>6.6000000000000003E-2</v>
      </c>
      <c r="EQ583" s="33" t="s">
        <v>446</v>
      </c>
      <c r="EW583" s="33">
        <f>0.15/7.1*100</f>
        <v>2.112676056338028</v>
      </c>
      <c r="EX583" s="33">
        <f>0.08/7.1*100</f>
        <v>1.1267605633802817</v>
      </c>
      <c r="FA583" s="33" t="s">
        <v>445</v>
      </c>
      <c r="FL583" s="33">
        <v>0.11169999999999999</v>
      </c>
      <c r="FM583" s="33">
        <v>0.1163</v>
      </c>
      <c r="FP583" s="33" t="s">
        <v>444</v>
      </c>
      <c r="GZ583" s="12"/>
      <c r="HD583" s="12"/>
      <c r="JB583" s="33" t="s">
        <v>715</v>
      </c>
    </row>
    <row r="584" spans="1:262" s="33" customFormat="1" x14ac:dyDescent="0.25">
      <c r="A584" s="33">
        <v>30</v>
      </c>
      <c r="B584" s="47" t="s">
        <v>3885</v>
      </c>
      <c r="C584" s="33" t="s">
        <v>437</v>
      </c>
      <c r="D584" s="33" t="s">
        <v>438</v>
      </c>
      <c r="E584" s="33">
        <v>2002</v>
      </c>
      <c r="F584" s="33">
        <v>2000</v>
      </c>
      <c r="G584" s="33" t="s">
        <v>439</v>
      </c>
      <c r="H584" s="33" t="s">
        <v>440</v>
      </c>
      <c r="I584" s="32" t="s">
        <v>2815</v>
      </c>
      <c r="J584" s="33">
        <f t="shared" si="197"/>
        <v>38.533333333333331</v>
      </c>
      <c r="K584" s="33">
        <f t="shared" si="198"/>
        <v>-121.78333333333333</v>
      </c>
      <c r="L584" s="33">
        <v>18.399999999999999</v>
      </c>
      <c r="P584" s="33">
        <v>483</v>
      </c>
      <c r="R584" s="47">
        <v>4</v>
      </c>
      <c r="S584" s="47" t="s">
        <v>1858</v>
      </c>
      <c r="T584" s="47"/>
      <c r="U584" s="47">
        <v>36541</v>
      </c>
      <c r="V584" s="47" t="s">
        <v>1395</v>
      </c>
      <c r="W584" s="47" t="s">
        <v>1723</v>
      </c>
      <c r="X584" s="47" t="s">
        <v>1395</v>
      </c>
      <c r="Y584" s="47" t="s">
        <v>1417</v>
      </c>
      <c r="AA584" s="327">
        <v>36</v>
      </c>
      <c r="AB584" s="327">
        <v>46</v>
      </c>
      <c r="AC584" s="33" t="s">
        <v>139</v>
      </c>
      <c r="AG584" s="33" t="s">
        <v>1328</v>
      </c>
      <c r="AH584" s="33" t="s">
        <v>1533</v>
      </c>
      <c r="AI584" s="138" t="s">
        <v>577</v>
      </c>
      <c r="AJ584" s="33" t="s">
        <v>1588</v>
      </c>
      <c r="AK584" s="141" t="s">
        <v>1613</v>
      </c>
      <c r="AL584" s="33" t="s">
        <v>441</v>
      </c>
      <c r="AM584" s="33" t="s">
        <v>441</v>
      </c>
      <c r="AN584" s="33" t="s">
        <v>177</v>
      </c>
      <c r="AT584" s="33" t="s">
        <v>368</v>
      </c>
      <c r="AU584" s="33" t="s">
        <v>442</v>
      </c>
      <c r="AV584" s="33" t="s">
        <v>502</v>
      </c>
      <c r="AW584" s="33" t="s">
        <v>119</v>
      </c>
      <c r="AX584" s="33">
        <v>4</v>
      </c>
      <c r="AZ584" s="33" t="s">
        <v>335</v>
      </c>
      <c r="BD584" s="54"/>
      <c r="BP584" s="402"/>
      <c r="BQ584" s="402"/>
      <c r="BU584" s="402"/>
      <c r="BV584" s="402"/>
      <c r="BZ584" s="402"/>
      <c r="CA584" s="402"/>
      <c r="CE584" s="555"/>
      <c r="CF584" s="555"/>
      <c r="CG584" s="555"/>
      <c r="CH584" s="555"/>
      <c r="EM584" s="33">
        <v>3.0999999999999999E-3</v>
      </c>
      <c r="EN584" s="33">
        <v>5.3999999999999999E-2</v>
      </c>
      <c r="EQ584" s="33" t="s">
        <v>446</v>
      </c>
      <c r="EW584" s="33">
        <f>18.89/101.7*100</f>
        <v>18.574237954768929</v>
      </c>
      <c r="EX584" s="33">
        <f>4.51/101.7*100</f>
        <v>4.4346116027531952</v>
      </c>
      <c r="FA584" s="33" t="s">
        <v>445</v>
      </c>
      <c r="FL584" s="33">
        <v>0.1225</v>
      </c>
      <c r="FM584" s="33">
        <v>0.1225</v>
      </c>
      <c r="FP584" s="33" t="s">
        <v>444</v>
      </c>
      <c r="GZ584" s="12"/>
      <c r="HD584" s="12"/>
      <c r="JB584" s="33" t="s">
        <v>715</v>
      </c>
    </row>
    <row r="585" spans="1:262" s="33" customFormat="1" x14ac:dyDescent="0.25">
      <c r="A585" s="33">
        <v>30</v>
      </c>
      <c r="B585" s="47" t="s">
        <v>3885</v>
      </c>
      <c r="C585" s="33" t="s">
        <v>437</v>
      </c>
      <c r="D585" s="33" t="s">
        <v>438</v>
      </c>
      <c r="E585" s="33">
        <v>2002</v>
      </c>
      <c r="F585" s="33">
        <v>2000</v>
      </c>
      <c r="G585" s="33" t="s">
        <v>439</v>
      </c>
      <c r="H585" s="33" t="s">
        <v>440</v>
      </c>
      <c r="I585" s="32" t="s">
        <v>2815</v>
      </c>
      <c r="J585" s="33">
        <f t="shared" si="197"/>
        <v>38.533333333333331</v>
      </c>
      <c r="K585" s="33">
        <f t="shared" si="198"/>
        <v>-121.78333333333333</v>
      </c>
      <c r="L585" s="33">
        <v>18.399999999999999</v>
      </c>
      <c r="P585" s="33">
        <v>483</v>
      </c>
      <c r="R585" s="47">
        <v>4</v>
      </c>
      <c r="S585" s="47" t="s">
        <v>1858</v>
      </c>
      <c r="T585" s="47"/>
      <c r="U585" s="47">
        <v>36541</v>
      </c>
      <c r="V585" s="47" t="s">
        <v>1395</v>
      </c>
      <c r="W585" s="47" t="s">
        <v>1723</v>
      </c>
      <c r="X585" s="47" t="s">
        <v>1395</v>
      </c>
      <c r="Y585" s="47" t="s">
        <v>1417</v>
      </c>
      <c r="AA585" s="327">
        <v>36</v>
      </c>
      <c r="AB585" s="327">
        <v>46</v>
      </c>
      <c r="AC585" s="33" t="s">
        <v>139</v>
      </c>
      <c r="AG585" s="33" t="s">
        <v>1328</v>
      </c>
      <c r="AH585" s="33" t="s">
        <v>1533</v>
      </c>
      <c r="AI585" s="138" t="s">
        <v>577</v>
      </c>
      <c r="AJ585" s="33" t="s">
        <v>1588</v>
      </c>
      <c r="AK585" s="141" t="s">
        <v>1613</v>
      </c>
      <c r="AL585" s="33" t="s">
        <v>441</v>
      </c>
      <c r="AM585" s="33" t="s">
        <v>441</v>
      </c>
      <c r="AN585" s="33" t="s">
        <v>177</v>
      </c>
      <c r="AT585" s="33" t="s">
        <v>368</v>
      </c>
      <c r="AU585" s="33" t="s">
        <v>443</v>
      </c>
      <c r="AV585" s="33" t="s">
        <v>502</v>
      </c>
      <c r="AW585" s="33" t="s">
        <v>119</v>
      </c>
      <c r="AX585" s="33">
        <v>4</v>
      </c>
      <c r="AZ585" s="33" t="s">
        <v>335</v>
      </c>
      <c r="BD585" s="54"/>
      <c r="BP585" s="402"/>
      <c r="BQ585" s="402"/>
      <c r="BU585" s="402"/>
      <c r="BV585" s="402"/>
      <c r="BZ585" s="402"/>
      <c r="CA585" s="402"/>
      <c r="CE585" s="555"/>
      <c r="CF585" s="555"/>
      <c r="CG585" s="555"/>
      <c r="CH585" s="555"/>
      <c r="EM585" s="33">
        <v>3.0999999999999999E-3</v>
      </c>
      <c r="EN585" s="33">
        <v>0.06</v>
      </c>
      <c r="EQ585" s="33" t="s">
        <v>446</v>
      </c>
      <c r="EW585" s="33">
        <f>18.89/101.7*100</f>
        <v>18.574237954768929</v>
      </c>
      <c r="EX585" s="33">
        <f>7.51/101.7*100</f>
        <v>7.3844641101278263</v>
      </c>
      <c r="FA585" s="33" t="s">
        <v>445</v>
      </c>
      <c r="FL585" s="33">
        <v>0.1225</v>
      </c>
      <c r="FM585" s="33">
        <v>0.1225</v>
      </c>
      <c r="FP585" s="33" t="s">
        <v>444</v>
      </c>
      <c r="GZ585" s="12"/>
      <c r="HD585" s="12"/>
      <c r="JB585" s="33" t="s">
        <v>715</v>
      </c>
    </row>
    <row r="586" spans="1:262" s="33" customFormat="1" x14ac:dyDescent="0.25">
      <c r="A586" s="33">
        <v>30</v>
      </c>
      <c r="B586" s="47" t="s">
        <v>3885</v>
      </c>
      <c r="C586" s="33" t="s">
        <v>437</v>
      </c>
      <c r="D586" s="33" t="s">
        <v>438</v>
      </c>
      <c r="E586" s="33">
        <v>2002</v>
      </c>
      <c r="F586" s="33">
        <v>2000</v>
      </c>
      <c r="G586" s="33" t="s">
        <v>439</v>
      </c>
      <c r="H586" s="33" t="s">
        <v>440</v>
      </c>
      <c r="I586" s="32" t="s">
        <v>2815</v>
      </c>
      <c r="J586" s="33">
        <f t="shared" si="197"/>
        <v>38.533333333333331</v>
      </c>
      <c r="K586" s="33">
        <f t="shared" si="198"/>
        <v>-121.78333333333333</v>
      </c>
      <c r="L586" s="33">
        <v>18.399999999999999</v>
      </c>
      <c r="P586" s="33">
        <v>483</v>
      </c>
      <c r="R586" s="47">
        <v>4</v>
      </c>
      <c r="S586" s="47" t="s">
        <v>1858</v>
      </c>
      <c r="T586" s="47"/>
      <c r="U586" s="47">
        <v>36549</v>
      </c>
      <c r="V586" s="47" t="s">
        <v>1395</v>
      </c>
      <c r="W586" s="47" t="s">
        <v>1723</v>
      </c>
      <c r="X586" s="47" t="s">
        <v>1395</v>
      </c>
      <c r="Y586" s="47" t="s">
        <v>1417</v>
      </c>
      <c r="AA586" s="327">
        <v>36</v>
      </c>
      <c r="AB586" s="327">
        <v>46</v>
      </c>
      <c r="AC586" s="33" t="s">
        <v>139</v>
      </c>
      <c r="AG586" s="33" t="s">
        <v>1328</v>
      </c>
      <c r="AH586" s="33" t="s">
        <v>1533</v>
      </c>
      <c r="AI586" s="138" t="s">
        <v>577</v>
      </c>
      <c r="AJ586" s="33" t="s">
        <v>1588</v>
      </c>
      <c r="AK586" s="141" t="s">
        <v>1613</v>
      </c>
      <c r="AL586" s="33" t="s">
        <v>441</v>
      </c>
      <c r="AM586" s="33" t="s">
        <v>441</v>
      </c>
      <c r="AN586" s="33" t="s">
        <v>177</v>
      </c>
      <c r="AT586" s="33" t="s">
        <v>368</v>
      </c>
      <c r="AU586" s="33" t="s">
        <v>442</v>
      </c>
      <c r="AV586" s="33" t="s">
        <v>502</v>
      </c>
      <c r="AW586" s="33" t="s">
        <v>119</v>
      </c>
      <c r="AX586" s="33">
        <v>4</v>
      </c>
      <c r="AZ586" s="33" t="s">
        <v>335</v>
      </c>
      <c r="BD586" s="54"/>
      <c r="BP586" s="402"/>
      <c r="BQ586" s="402"/>
      <c r="BU586" s="402"/>
      <c r="BV586" s="402"/>
      <c r="BZ586" s="402"/>
      <c r="CA586" s="402"/>
      <c r="CE586" s="555"/>
      <c r="CF586" s="555"/>
      <c r="CG586" s="555"/>
      <c r="CH586" s="555"/>
      <c r="EW586" s="33">
        <f>0.29/4.6*100</f>
        <v>6.3043478260869561</v>
      </c>
      <c r="EX586" s="33">
        <f>0.22/4.6*100</f>
        <v>4.7826086956521738</v>
      </c>
      <c r="FA586" s="33" t="s">
        <v>445</v>
      </c>
      <c r="FL586" s="33">
        <v>0.14960000000000001</v>
      </c>
      <c r="FM586" s="33">
        <v>0.1641</v>
      </c>
      <c r="FP586" s="33" t="s">
        <v>444</v>
      </c>
      <c r="GZ586" s="12"/>
      <c r="HD586" s="12"/>
      <c r="JB586" s="33" t="s">
        <v>715</v>
      </c>
    </row>
    <row r="587" spans="1:262" s="33" customFormat="1" x14ac:dyDescent="0.25">
      <c r="A587" s="33">
        <v>30</v>
      </c>
      <c r="B587" s="47" t="s">
        <v>3885</v>
      </c>
      <c r="C587" s="33" t="s">
        <v>437</v>
      </c>
      <c r="D587" s="33" t="s">
        <v>438</v>
      </c>
      <c r="E587" s="33">
        <v>2002</v>
      </c>
      <c r="F587" s="33">
        <v>2000</v>
      </c>
      <c r="G587" s="33" t="s">
        <v>439</v>
      </c>
      <c r="H587" s="33" t="s">
        <v>440</v>
      </c>
      <c r="I587" s="32" t="s">
        <v>2815</v>
      </c>
      <c r="J587" s="33">
        <f t="shared" si="197"/>
        <v>38.533333333333331</v>
      </c>
      <c r="K587" s="33">
        <f t="shared" si="198"/>
        <v>-121.78333333333333</v>
      </c>
      <c r="L587" s="33">
        <v>18.399999999999999</v>
      </c>
      <c r="P587" s="33">
        <v>483</v>
      </c>
      <c r="R587" s="47">
        <v>4</v>
      </c>
      <c r="S587" s="47" t="s">
        <v>1858</v>
      </c>
      <c r="T587" s="47"/>
      <c r="U587" s="47">
        <v>36549</v>
      </c>
      <c r="V587" s="47" t="s">
        <v>1395</v>
      </c>
      <c r="W587" s="47" t="s">
        <v>1723</v>
      </c>
      <c r="X587" s="47" t="s">
        <v>1395</v>
      </c>
      <c r="Y587" s="47" t="s">
        <v>1417</v>
      </c>
      <c r="AA587" s="327">
        <v>36</v>
      </c>
      <c r="AB587" s="327">
        <v>46</v>
      </c>
      <c r="AC587" s="33" t="s">
        <v>139</v>
      </c>
      <c r="AG587" s="33" t="s">
        <v>1328</v>
      </c>
      <c r="AH587" s="33" t="s">
        <v>1533</v>
      </c>
      <c r="AI587" s="138" t="s">
        <v>577</v>
      </c>
      <c r="AJ587" s="33" t="s">
        <v>1588</v>
      </c>
      <c r="AK587" s="141" t="s">
        <v>1613</v>
      </c>
      <c r="AL587" s="33" t="s">
        <v>441</v>
      </c>
      <c r="AM587" s="33" t="s">
        <v>441</v>
      </c>
      <c r="AN587" s="33" t="s">
        <v>177</v>
      </c>
      <c r="AT587" s="33" t="s">
        <v>368</v>
      </c>
      <c r="AU587" s="33" t="s">
        <v>443</v>
      </c>
      <c r="AV587" s="33" t="s">
        <v>502</v>
      </c>
      <c r="AW587" s="33" t="s">
        <v>119</v>
      </c>
      <c r="AX587" s="33">
        <v>4</v>
      </c>
      <c r="AZ587" s="33" t="s">
        <v>335</v>
      </c>
      <c r="BD587" s="54"/>
      <c r="BP587" s="402"/>
      <c r="BQ587" s="402"/>
      <c r="BU587" s="402"/>
      <c r="BV587" s="402"/>
      <c r="BZ587" s="402"/>
      <c r="CA587" s="402"/>
      <c r="CE587" s="555"/>
      <c r="CF587" s="555"/>
      <c r="CG587" s="555"/>
      <c r="CH587" s="555"/>
      <c r="EW587" s="33">
        <f>0.29/4.6*100</f>
        <v>6.3043478260869561</v>
      </c>
      <c r="EX587" s="33">
        <f>0.23/4.6*100</f>
        <v>5</v>
      </c>
      <c r="FA587" s="33" t="s">
        <v>445</v>
      </c>
      <c r="FL587" s="33">
        <v>0.14960000000000001</v>
      </c>
      <c r="FM587" s="33">
        <v>0.1542</v>
      </c>
      <c r="FP587" s="33" t="s">
        <v>444</v>
      </c>
      <c r="GZ587" s="12"/>
      <c r="HD587" s="12"/>
      <c r="JB587" s="33" t="s">
        <v>715</v>
      </c>
    </row>
    <row r="588" spans="1:262" s="33" customFormat="1" x14ac:dyDescent="0.25">
      <c r="A588" s="33">
        <v>30</v>
      </c>
      <c r="B588" s="47" t="s">
        <v>3885</v>
      </c>
      <c r="C588" s="33" t="s">
        <v>437</v>
      </c>
      <c r="D588" s="33" t="s">
        <v>438</v>
      </c>
      <c r="E588" s="33">
        <v>2002</v>
      </c>
      <c r="F588" s="33">
        <v>2000</v>
      </c>
      <c r="G588" s="33" t="s">
        <v>439</v>
      </c>
      <c r="H588" s="33" t="s">
        <v>440</v>
      </c>
      <c r="I588" s="32" t="s">
        <v>2815</v>
      </c>
      <c r="J588" s="33">
        <f t="shared" si="197"/>
        <v>38.533333333333331</v>
      </c>
      <c r="K588" s="33">
        <f t="shared" si="198"/>
        <v>-121.78333333333333</v>
      </c>
      <c r="L588" s="33">
        <v>18.399999999999999</v>
      </c>
      <c r="P588" s="33">
        <v>483</v>
      </c>
      <c r="R588" s="47">
        <v>4</v>
      </c>
      <c r="S588" s="47" t="s">
        <v>1858</v>
      </c>
      <c r="T588" s="47"/>
      <c r="U588" s="47">
        <v>36562</v>
      </c>
      <c r="V588" s="47" t="s">
        <v>1395</v>
      </c>
      <c r="W588" s="47" t="s">
        <v>1723</v>
      </c>
      <c r="X588" s="47" t="s">
        <v>1395</v>
      </c>
      <c r="Y588" s="47" t="s">
        <v>1417</v>
      </c>
      <c r="AA588" s="327">
        <v>36</v>
      </c>
      <c r="AB588" s="327">
        <v>46</v>
      </c>
      <c r="AC588" s="33" t="s">
        <v>139</v>
      </c>
      <c r="AG588" s="33" t="s">
        <v>1328</v>
      </c>
      <c r="AH588" s="33" t="s">
        <v>1533</v>
      </c>
      <c r="AI588" s="138" t="s">
        <v>577</v>
      </c>
      <c r="AJ588" s="33" t="s">
        <v>1588</v>
      </c>
      <c r="AK588" s="141" t="s">
        <v>1613</v>
      </c>
      <c r="AL588" s="33" t="s">
        <v>441</v>
      </c>
      <c r="AM588" s="33" t="s">
        <v>441</v>
      </c>
      <c r="AN588" s="33" t="s">
        <v>177</v>
      </c>
      <c r="AT588" s="33" t="s">
        <v>368</v>
      </c>
      <c r="AU588" s="33" t="s">
        <v>442</v>
      </c>
      <c r="AV588" s="33" t="s">
        <v>502</v>
      </c>
      <c r="AW588" s="33" t="s">
        <v>119</v>
      </c>
      <c r="AX588" s="33">
        <v>4</v>
      </c>
      <c r="AZ588" s="33" t="s">
        <v>335</v>
      </c>
      <c r="BD588" s="54"/>
      <c r="BP588" s="402"/>
      <c r="BQ588" s="402"/>
      <c r="BU588" s="402"/>
      <c r="BV588" s="402"/>
      <c r="BZ588" s="402"/>
      <c r="CA588" s="402"/>
      <c r="CE588" s="555"/>
      <c r="CF588" s="555"/>
      <c r="CG588" s="555"/>
      <c r="CH588" s="555"/>
      <c r="EW588" s="33">
        <f>15.83/67.6*100</f>
        <v>23.417159763313609</v>
      </c>
      <c r="EX588" s="33">
        <f>1.64/67.6*100</f>
        <v>2.4260355029585798</v>
      </c>
      <c r="FA588" s="33" t="s">
        <v>445</v>
      </c>
      <c r="FL588" s="33">
        <v>0.25180000000000002</v>
      </c>
      <c r="FM588" s="33">
        <v>0.2671</v>
      </c>
      <c r="FP588" s="33" t="s">
        <v>444</v>
      </c>
      <c r="GZ588" s="12"/>
      <c r="HD588" s="12"/>
      <c r="JB588" s="33" t="s">
        <v>715</v>
      </c>
    </row>
    <row r="589" spans="1:262" s="33" customFormat="1" x14ac:dyDescent="0.25">
      <c r="A589" s="33">
        <v>30</v>
      </c>
      <c r="B589" s="47" t="s">
        <v>3885</v>
      </c>
      <c r="C589" s="33" t="s">
        <v>437</v>
      </c>
      <c r="D589" s="33" t="s">
        <v>438</v>
      </c>
      <c r="E589" s="33">
        <v>2002</v>
      </c>
      <c r="F589" s="33">
        <v>2000</v>
      </c>
      <c r="G589" s="33" t="s">
        <v>439</v>
      </c>
      <c r="H589" s="33" t="s">
        <v>440</v>
      </c>
      <c r="I589" s="32" t="s">
        <v>2815</v>
      </c>
      <c r="J589" s="33">
        <f t="shared" si="197"/>
        <v>38.533333333333331</v>
      </c>
      <c r="K589" s="33">
        <f t="shared" si="198"/>
        <v>-121.78333333333333</v>
      </c>
      <c r="L589" s="33">
        <v>18.399999999999999</v>
      </c>
      <c r="P589" s="33">
        <v>483</v>
      </c>
      <c r="R589" s="47">
        <v>4</v>
      </c>
      <c r="S589" s="47" t="s">
        <v>1858</v>
      </c>
      <c r="T589" s="47"/>
      <c r="U589" s="47">
        <v>36562</v>
      </c>
      <c r="V589" s="47" t="s">
        <v>1395</v>
      </c>
      <c r="W589" s="47" t="s">
        <v>1723</v>
      </c>
      <c r="X589" s="47" t="s">
        <v>1395</v>
      </c>
      <c r="Y589" s="47" t="s">
        <v>1417</v>
      </c>
      <c r="AA589" s="327">
        <v>36</v>
      </c>
      <c r="AB589" s="327">
        <v>46</v>
      </c>
      <c r="AC589" s="33" t="s">
        <v>139</v>
      </c>
      <c r="AG589" s="33" t="s">
        <v>1328</v>
      </c>
      <c r="AH589" s="33" t="s">
        <v>1533</v>
      </c>
      <c r="AI589" s="138" t="s">
        <v>577</v>
      </c>
      <c r="AJ589" s="33" t="s">
        <v>1588</v>
      </c>
      <c r="AK589" s="141" t="s">
        <v>1613</v>
      </c>
      <c r="AL589" s="33" t="s">
        <v>441</v>
      </c>
      <c r="AM589" s="33" t="s">
        <v>441</v>
      </c>
      <c r="AN589" s="33" t="s">
        <v>177</v>
      </c>
      <c r="AT589" s="33" t="s">
        <v>368</v>
      </c>
      <c r="AU589" s="33" t="s">
        <v>443</v>
      </c>
      <c r="AV589" s="33" t="s">
        <v>502</v>
      </c>
      <c r="AW589" s="33" t="s">
        <v>119</v>
      </c>
      <c r="AX589" s="33">
        <v>4</v>
      </c>
      <c r="AZ589" s="33" t="s">
        <v>335</v>
      </c>
      <c r="BD589" s="54"/>
      <c r="BP589" s="402"/>
      <c r="BQ589" s="402"/>
      <c r="BU589" s="402"/>
      <c r="BV589" s="402"/>
      <c r="BZ589" s="402"/>
      <c r="CA589" s="402"/>
      <c r="CE589" s="555"/>
      <c r="CF589" s="555"/>
      <c r="CG589" s="555"/>
      <c r="CH589" s="555"/>
      <c r="EW589" s="33">
        <f>15.83/67.6*100</f>
        <v>23.417159763313609</v>
      </c>
      <c r="EX589" s="33">
        <f>2.32/67.6*100</f>
        <v>3.4319526627218933</v>
      </c>
      <c r="FA589" s="33" t="s">
        <v>445</v>
      </c>
      <c r="FL589" s="33">
        <v>0.25180000000000002</v>
      </c>
      <c r="FM589" s="33">
        <v>0.2671</v>
      </c>
      <c r="FP589" s="33" t="s">
        <v>444</v>
      </c>
      <c r="GZ589" s="12"/>
      <c r="HD589" s="12"/>
      <c r="JB589" s="33" t="s">
        <v>715</v>
      </c>
    </row>
    <row r="590" spans="1:262" s="33" customFormat="1" x14ac:dyDescent="0.25">
      <c r="A590" s="33">
        <v>30</v>
      </c>
      <c r="B590" s="47" t="s">
        <v>3885</v>
      </c>
      <c r="C590" s="33" t="s">
        <v>437</v>
      </c>
      <c r="D590" s="33" t="s">
        <v>438</v>
      </c>
      <c r="E590" s="33">
        <v>2002</v>
      </c>
      <c r="F590" s="33">
        <v>2000</v>
      </c>
      <c r="G590" s="33" t="s">
        <v>439</v>
      </c>
      <c r="H590" s="33" t="s">
        <v>440</v>
      </c>
      <c r="I590" s="32" t="s">
        <v>2815</v>
      </c>
      <c r="J590" s="33">
        <f t="shared" si="197"/>
        <v>38.533333333333331</v>
      </c>
      <c r="K590" s="33">
        <f t="shared" si="198"/>
        <v>-121.78333333333333</v>
      </c>
      <c r="L590" s="33">
        <v>18.399999999999999</v>
      </c>
      <c r="P590" s="33">
        <v>483</v>
      </c>
      <c r="R590" s="47">
        <v>4</v>
      </c>
      <c r="S590" s="47" t="s">
        <v>1858</v>
      </c>
      <c r="T590" s="47"/>
      <c r="U590" s="47">
        <v>36566</v>
      </c>
      <c r="V590" s="47" t="s">
        <v>1395</v>
      </c>
      <c r="W590" s="47" t="s">
        <v>1723</v>
      </c>
      <c r="X590" s="47" t="s">
        <v>1395</v>
      </c>
      <c r="Y590" s="47" t="s">
        <v>1417</v>
      </c>
      <c r="AA590" s="327">
        <v>36</v>
      </c>
      <c r="AB590" s="327">
        <v>46</v>
      </c>
      <c r="AC590" s="33" t="s">
        <v>139</v>
      </c>
      <c r="AG590" s="33" t="s">
        <v>1328</v>
      </c>
      <c r="AH590" s="33" t="s">
        <v>1533</v>
      </c>
      <c r="AI590" s="138" t="s">
        <v>577</v>
      </c>
      <c r="AJ590" s="33" t="s">
        <v>1588</v>
      </c>
      <c r="AK590" s="141" t="s">
        <v>1613</v>
      </c>
      <c r="AL590" s="33" t="s">
        <v>441</v>
      </c>
      <c r="AM590" s="33" t="s">
        <v>441</v>
      </c>
      <c r="AN590" s="33" t="s">
        <v>177</v>
      </c>
      <c r="AT590" s="33" t="s">
        <v>368</v>
      </c>
      <c r="AU590" s="33" t="s">
        <v>442</v>
      </c>
      <c r="AV590" s="33" t="s">
        <v>502</v>
      </c>
      <c r="AW590" s="33" t="s">
        <v>119</v>
      </c>
      <c r="AX590" s="33">
        <v>4</v>
      </c>
      <c r="AZ590" s="33" t="s">
        <v>335</v>
      </c>
      <c r="BD590" s="54"/>
      <c r="BP590" s="402"/>
      <c r="BQ590" s="402"/>
      <c r="BU590" s="402"/>
      <c r="BV590" s="402"/>
      <c r="BZ590" s="402"/>
      <c r="CA590" s="402"/>
      <c r="CE590" s="555"/>
      <c r="CF590" s="555"/>
      <c r="CG590" s="555"/>
      <c r="CH590" s="555"/>
      <c r="EW590" s="33">
        <f>6.93/14.3*100</f>
        <v>48.461538461538453</v>
      </c>
      <c r="EX590" s="33">
        <f>0.98/14.3*100</f>
        <v>6.8531468531468516</v>
      </c>
      <c r="FA590" s="33" t="s">
        <v>445</v>
      </c>
      <c r="FL590" s="33">
        <v>0.25900000000000001</v>
      </c>
      <c r="FM590" s="33">
        <v>0.27429999999999999</v>
      </c>
      <c r="FP590" s="33" t="s">
        <v>444</v>
      </c>
      <c r="GZ590" s="12"/>
      <c r="HD590" s="12"/>
      <c r="JB590" s="33" t="s">
        <v>715</v>
      </c>
    </row>
    <row r="591" spans="1:262" s="33" customFormat="1" x14ac:dyDescent="0.25">
      <c r="A591" s="33">
        <v>30</v>
      </c>
      <c r="B591" s="47" t="s">
        <v>3885</v>
      </c>
      <c r="C591" s="33" t="s">
        <v>437</v>
      </c>
      <c r="D591" s="33" t="s">
        <v>438</v>
      </c>
      <c r="E591" s="33">
        <v>2002</v>
      </c>
      <c r="F591" s="33">
        <v>2000</v>
      </c>
      <c r="G591" s="33" t="s">
        <v>439</v>
      </c>
      <c r="H591" s="33" t="s">
        <v>440</v>
      </c>
      <c r="I591" s="32" t="s">
        <v>2815</v>
      </c>
      <c r="J591" s="33">
        <f t="shared" si="197"/>
        <v>38.533333333333331</v>
      </c>
      <c r="K591" s="33">
        <f t="shared" si="198"/>
        <v>-121.78333333333333</v>
      </c>
      <c r="L591" s="33">
        <v>18.399999999999999</v>
      </c>
      <c r="P591" s="33">
        <v>483</v>
      </c>
      <c r="R591" s="47">
        <v>4</v>
      </c>
      <c r="S591" s="47" t="s">
        <v>1858</v>
      </c>
      <c r="T591" s="47"/>
      <c r="U591" s="47">
        <v>36566</v>
      </c>
      <c r="V591" s="47" t="s">
        <v>1395</v>
      </c>
      <c r="W591" s="47" t="s">
        <v>1723</v>
      </c>
      <c r="X591" s="47" t="s">
        <v>1395</v>
      </c>
      <c r="Y591" s="47" t="s">
        <v>1417</v>
      </c>
      <c r="AA591" s="327">
        <v>36</v>
      </c>
      <c r="AB591" s="327">
        <v>46</v>
      </c>
      <c r="AC591" s="33" t="s">
        <v>139</v>
      </c>
      <c r="AG591" s="33" t="s">
        <v>1328</v>
      </c>
      <c r="AH591" s="33" t="s">
        <v>1533</v>
      </c>
      <c r="AI591" s="138" t="s">
        <v>577</v>
      </c>
      <c r="AJ591" s="33" t="s">
        <v>1588</v>
      </c>
      <c r="AK591" s="141" t="s">
        <v>1613</v>
      </c>
      <c r="AL591" s="33" t="s">
        <v>441</v>
      </c>
      <c r="AM591" s="33" t="s">
        <v>441</v>
      </c>
      <c r="AN591" s="33" t="s">
        <v>177</v>
      </c>
      <c r="AT591" s="33" t="s">
        <v>368</v>
      </c>
      <c r="AU591" s="33" t="s">
        <v>443</v>
      </c>
      <c r="AV591" s="33" t="s">
        <v>502</v>
      </c>
      <c r="AW591" s="33" t="s">
        <v>119</v>
      </c>
      <c r="AX591" s="33">
        <v>4</v>
      </c>
      <c r="AZ591" s="33" t="s">
        <v>335</v>
      </c>
      <c r="BD591" s="54"/>
      <c r="BP591" s="402"/>
      <c r="BQ591" s="402"/>
      <c r="BU591" s="402"/>
      <c r="BV591" s="402"/>
      <c r="BZ591" s="402"/>
      <c r="CA591" s="402"/>
      <c r="CE591" s="555"/>
      <c r="CF591" s="555"/>
      <c r="CG591" s="555"/>
      <c r="CH591" s="555"/>
      <c r="EW591" s="33">
        <f>6.93/14.3*100</f>
        <v>48.461538461538453</v>
      </c>
      <c r="EX591" s="33">
        <f>0.26/14.3*100</f>
        <v>1.8181818181818181</v>
      </c>
      <c r="FA591" s="33" t="s">
        <v>445</v>
      </c>
      <c r="FL591" s="33">
        <v>0.25900000000000001</v>
      </c>
      <c r="FM591" s="33">
        <v>0.2797</v>
      </c>
      <c r="FP591" s="33" t="s">
        <v>444</v>
      </c>
      <c r="GZ591" s="12"/>
      <c r="HD591" s="12"/>
      <c r="JB591" s="33" t="s">
        <v>715</v>
      </c>
    </row>
    <row r="592" spans="1:262" s="33" customFormat="1" x14ac:dyDescent="0.25">
      <c r="A592" s="33">
        <v>30</v>
      </c>
      <c r="B592" s="47" t="s">
        <v>3885</v>
      </c>
      <c r="C592" s="33" t="s">
        <v>437</v>
      </c>
      <c r="D592" s="33" t="s">
        <v>438</v>
      </c>
      <c r="E592" s="33">
        <v>2002</v>
      </c>
      <c r="F592" s="33">
        <v>2000</v>
      </c>
      <c r="G592" s="33" t="s">
        <v>439</v>
      </c>
      <c r="H592" s="33" t="s">
        <v>440</v>
      </c>
      <c r="I592" s="32" t="s">
        <v>2815</v>
      </c>
      <c r="J592" s="33">
        <f t="shared" si="197"/>
        <v>38.533333333333331</v>
      </c>
      <c r="K592" s="33">
        <f t="shared" si="198"/>
        <v>-121.78333333333333</v>
      </c>
      <c r="L592" s="33">
        <v>18.399999999999999</v>
      </c>
      <c r="P592" s="33">
        <v>483</v>
      </c>
      <c r="R592" s="47">
        <v>4</v>
      </c>
      <c r="S592" s="47" t="s">
        <v>1858</v>
      </c>
      <c r="T592" s="47"/>
      <c r="U592" s="47">
        <v>36572</v>
      </c>
      <c r="V592" s="47" t="s">
        <v>1395</v>
      </c>
      <c r="W592" s="47" t="s">
        <v>1723</v>
      </c>
      <c r="X592" s="47" t="s">
        <v>1395</v>
      </c>
      <c r="Y592" s="47" t="s">
        <v>1417</v>
      </c>
      <c r="AA592" s="327">
        <v>36</v>
      </c>
      <c r="AB592" s="327">
        <v>46</v>
      </c>
      <c r="AC592" s="33" t="s">
        <v>139</v>
      </c>
      <c r="AG592" s="33" t="s">
        <v>1328</v>
      </c>
      <c r="AH592" s="33" t="s">
        <v>1533</v>
      </c>
      <c r="AI592" s="138" t="s">
        <v>577</v>
      </c>
      <c r="AJ592" s="33" t="s">
        <v>1588</v>
      </c>
      <c r="AK592" s="141" t="s">
        <v>1613</v>
      </c>
      <c r="AL592" s="33" t="s">
        <v>441</v>
      </c>
      <c r="AM592" s="33" t="s">
        <v>441</v>
      </c>
      <c r="AN592" s="33" t="s">
        <v>177</v>
      </c>
      <c r="AT592" s="33" t="s">
        <v>368</v>
      </c>
      <c r="AU592" s="33" t="s">
        <v>442</v>
      </c>
      <c r="AV592" s="33" t="s">
        <v>502</v>
      </c>
      <c r="AW592" s="33" t="s">
        <v>119</v>
      </c>
      <c r="AX592" s="33">
        <v>4</v>
      </c>
      <c r="AZ592" s="33" t="s">
        <v>335</v>
      </c>
      <c r="BD592" s="54"/>
      <c r="BP592" s="402"/>
      <c r="BQ592" s="402"/>
      <c r="BU592" s="402"/>
      <c r="BV592" s="402"/>
      <c r="BZ592" s="402"/>
      <c r="CA592" s="402"/>
      <c r="CE592" s="555"/>
      <c r="CF592" s="555"/>
      <c r="CG592" s="555"/>
      <c r="CH592" s="555"/>
      <c r="EW592" s="33">
        <f>1.05/5.9*100</f>
        <v>17.796610169491526</v>
      </c>
      <c r="EX592" s="33">
        <f>0.19/5.9*100</f>
        <v>3.2203389830508473</v>
      </c>
      <c r="FA592" s="33" t="s">
        <v>445</v>
      </c>
      <c r="FL592" s="33">
        <v>0.26429999999999998</v>
      </c>
      <c r="FM592" s="33">
        <v>0.28239999999999998</v>
      </c>
      <c r="FP592" s="33" t="s">
        <v>444</v>
      </c>
      <c r="GZ592" s="12"/>
      <c r="HD592" s="12"/>
      <c r="JB592" s="33" t="s">
        <v>715</v>
      </c>
    </row>
    <row r="593" spans="1:262" s="33" customFormat="1" x14ac:dyDescent="0.25">
      <c r="A593" s="33">
        <v>30</v>
      </c>
      <c r="B593" s="47" t="s">
        <v>3885</v>
      </c>
      <c r="C593" s="33" t="s">
        <v>437</v>
      </c>
      <c r="D593" s="33" t="s">
        <v>438</v>
      </c>
      <c r="E593" s="33">
        <v>2002</v>
      </c>
      <c r="F593" s="33">
        <v>2000</v>
      </c>
      <c r="G593" s="33" t="s">
        <v>439</v>
      </c>
      <c r="H593" s="33" t="s">
        <v>440</v>
      </c>
      <c r="I593" s="32" t="s">
        <v>2815</v>
      </c>
      <c r="J593" s="33">
        <f t="shared" si="197"/>
        <v>38.533333333333331</v>
      </c>
      <c r="K593" s="33">
        <f t="shared" si="198"/>
        <v>-121.78333333333333</v>
      </c>
      <c r="L593" s="33">
        <v>18.399999999999999</v>
      </c>
      <c r="P593" s="33">
        <v>483</v>
      </c>
      <c r="R593" s="47">
        <v>4</v>
      </c>
      <c r="S593" s="47" t="s">
        <v>1858</v>
      </c>
      <c r="T593" s="47"/>
      <c r="U593" s="47">
        <v>36572</v>
      </c>
      <c r="V593" s="47" t="s">
        <v>1395</v>
      </c>
      <c r="W593" s="47" t="s">
        <v>1723</v>
      </c>
      <c r="X593" s="47" t="s">
        <v>1395</v>
      </c>
      <c r="Y593" s="47" t="s">
        <v>1417</v>
      </c>
      <c r="AA593" s="327">
        <v>36</v>
      </c>
      <c r="AB593" s="327">
        <v>46</v>
      </c>
      <c r="AC593" s="33" t="s">
        <v>139</v>
      </c>
      <c r="AG593" s="33" t="s">
        <v>1328</v>
      </c>
      <c r="AH593" s="33" t="s">
        <v>1533</v>
      </c>
      <c r="AI593" s="138" t="s">
        <v>577</v>
      </c>
      <c r="AJ593" s="33" t="s">
        <v>1588</v>
      </c>
      <c r="AK593" s="141" t="s">
        <v>1613</v>
      </c>
      <c r="AL593" s="33" t="s">
        <v>441</v>
      </c>
      <c r="AM593" s="33" t="s">
        <v>441</v>
      </c>
      <c r="AN593" s="33" t="s">
        <v>177</v>
      </c>
      <c r="AT593" s="33" t="s">
        <v>368</v>
      </c>
      <c r="AU593" s="33" t="s">
        <v>443</v>
      </c>
      <c r="AV593" s="33" t="s">
        <v>502</v>
      </c>
      <c r="AW593" s="33" t="s">
        <v>119</v>
      </c>
      <c r="AX593" s="33">
        <v>4</v>
      </c>
      <c r="AZ593" s="33" t="s">
        <v>335</v>
      </c>
      <c r="BD593" s="54"/>
      <c r="BP593" s="402"/>
      <c r="BQ593" s="402"/>
      <c r="BU593" s="402"/>
      <c r="BV593" s="402"/>
      <c r="BZ593" s="402"/>
      <c r="CA593" s="402"/>
      <c r="CE593" s="555"/>
      <c r="CF593" s="555"/>
      <c r="CG593" s="555"/>
      <c r="CH593" s="555"/>
      <c r="EW593" s="33">
        <f>1.05/5.9*100</f>
        <v>17.796610169491526</v>
      </c>
      <c r="EX593" s="33">
        <f>0.24/5.9*100</f>
        <v>4.0677966101694913</v>
      </c>
      <c r="FA593" s="33" t="s">
        <v>445</v>
      </c>
      <c r="FL593" s="33">
        <v>0.26429999999999998</v>
      </c>
      <c r="FM593" s="33">
        <v>0.2923</v>
      </c>
      <c r="FP593" s="33" t="s">
        <v>444</v>
      </c>
      <c r="GZ593" s="12"/>
      <c r="HD593" s="12"/>
      <c r="JB593" s="33" t="s">
        <v>715</v>
      </c>
    </row>
    <row r="594" spans="1:262" s="33" customFormat="1" x14ac:dyDescent="0.25">
      <c r="A594" s="33">
        <v>30</v>
      </c>
      <c r="B594" s="47" t="s">
        <v>3885</v>
      </c>
      <c r="C594" s="33" t="s">
        <v>437</v>
      </c>
      <c r="D594" s="33" t="s">
        <v>438</v>
      </c>
      <c r="E594" s="33">
        <v>2002</v>
      </c>
      <c r="F594" s="33">
        <v>2000</v>
      </c>
      <c r="G594" s="33" t="s">
        <v>439</v>
      </c>
      <c r="H594" s="33" t="s">
        <v>440</v>
      </c>
      <c r="I594" s="32" t="s">
        <v>2815</v>
      </c>
      <c r="J594" s="33">
        <f t="shared" si="197"/>
        <v>38.533333333333331</v>
      </c>
      <c r="K594" s="33">
        <f t="shared" si="198"/>
        <v>-121.78333333333333</v>
      </c>
      <c r="L594" s="33">
        <v>18.399999999999999</v>
      </c>
      <c r="P594" s="33">
        <v>483</v>
      </c>
      <c r="R594" s="47">
        <v>4</v>
      </c>
      <c r="S594" s="47" t="s">
        <v>1858</v>
      </c>
      <c r="T594" s="47"/>
      <c r="U594" s="47">
        <v>36582</v>
      </c>
      <c r="V594" s="47" t="s">
        <v>1395</v>
      </c>
      <c r="W594" s="47" t="s">
        <v>1723</v>
      </c>
      <c r="X594" s="47" t="s">
        <v>1395</v>
      </c>
      <c r="Y594" s="47" t="s">
        <v>1417</v>
      </c>
      <c r="AA594" s="327">
        <v>36</v>
      </c>
      <c r="AB594" s="327">
        <v>46</v>
      </c>
      <c r="AC594" s="33" t="s">
        <v>139</v>
      </c>
      <c r="AG594" s="33" t="s">
        <v>1328</v>
      </c>
      <c r="AH594" s="33" t="s">
        <v>1533</v>
      </c>
      <c r="AI594" s="138" t="s">
        <v>577</v>
      </c>
      <c r="AJ594" s="33" t="s">
        <v>1588</v>
      </c>
      <c r="AK594" s="141" t="s">
        <v>1613</v>
      </c>
      <c r="AL594" s="33" t="s">
        <v>441</v>
      </c>
      <c r="AM594" s="33" t="s">
        <v>441</v>
      </c>
      <c r="AN594" s="33" t="s">
        <v>177</v>
      </c>
      <c r="AT594" s="33" t="s">
        <v>368</v>
      </c>
      <c r="AU594" s="33" t="s">
        <v>442</v>
      </c>
      <c r="AV594" s="33" t="s">
        <v>502</v>
      </c>
      <c r="AW594" s="33" t="s">
        <v>119</v>
      </c>
      <c r="AX594" s="33">
        <v>4</v>
      </c>
      <c r="AZ594" s="33" t="s">
        <v>335</v>
      </c>
      <c r="BD594" s="54"/>
      <c r="BP594" s="402"/>
      <c r="BQ594" s="402"/>
      <c r="BU594" s="402"/>
      <c r="BV594" s="402"/>
      <c r="BZ594" s="402"/>
      <c r="CA594" s="402"/>
      <c r="CE594" s="555"/>
      <c r="CF594" s="555"/>
      <c r="CG594" s="555"/>
      <c r="CH594" s="555"/>
      <c r="EW594" s="33">
        <f>0.2/1.5*100</f>
        <v>13.333333333333334</v>
      </c>
      <c r="EX594" s="33">
        <f>0.2/1.5*100</f>
        <v>13.333333333333334</v>
      </c>
      <c r="FA594" s="33" t="s">
        <v>445</v>
      </c>
      <c r="FL594" s="33">
        <v>0.26419999999999999</v>
      </c>
      <c r="FM594" s="33">
        <v>0.28589999999999999</v>
      </c>
      <c r="FP594" s="33" t="s">
        <v>444</v>
      </c>
      <c r="GZ594" s="12"/>
      <c r="HD594" s="12"/>
      <c r="JB594" s="33" t="s">
        <v>715</v>
      </c>
    </row>
    <row r="595" spans="1:262" s="33" customFormat="1" x14ac:dyDescent="0.25">
      <c r="A595" s="33">
        <v>30</v>
      </c>
      <c r="B595" s="47" t="s">
        <v>3885</v>
      </c>
      <c r="C595" s="33" t="s">
        <v>437</v>
      </c>
      <c r="D595" s="33" t="s">
        <v>438</v>
      </c>
      <c r="E595" s="33">
        <v>2002</v>
      </c>
      <c r="F595" s="33">
        <v>2000</v>
      </c>
      <c r="G595" s="33" t="s">
        <v>439</v>
      </c>
      <c r="H595" s="33" t="s">
        <v>440</v>
      </c>
      <c r="I595" s="32" t="s">
        <v>2815</v>
      </c>
      <c r="J595" s="33">
        <f t="shared" si="197"/>
        <v>38.533333333333331</v>
      </c>
      <c r="K595" s="33">
        <f t="shared" si="198"/>
        <v>-121.78333333333333</v>
      </c>
      <c r="L595" s="33">
        <v>18.399999999999999</v>
      </c>
      <c r="P595" s="33">
        <v>483</v>
      </c>
      <c r="R595" s="47">
        <v>4</v>
      </c>
      <c r="S595" s="47" t="s">
        <v>1858</v>
      </c>
      <c r="T595" s="47"/>
      <c r="U595" s="47">
        <v>36582</v>
      </c>
      <c r="V595" s="47" t="s">
        <v>1395</v>
      </c>
      <c r="W595" s="47" t="s">
        <v>1723</v>
      </c>
      <c r="X595" s="47" t="s">
        <v>1395</v>
      </c>
      <c r="Y595" s="47" t="s">
        <v>1417</v>
      </c>
      <c r="AA595" s="327">
        <v>36</v>
      </c>
      <c r="AB595" s="327">
        <v>46</v>
      </c>
      <c r="AC595" s="33" t="s">
        <v>139</v>
      </c>
      <c r="AG595" s="33" t="s">
        <v>1328</v>
      </c>
      <c r="AH595" s="33" t="s">
        <v>1533</v>
      </c>
      <c r="AI595" s="138" t="s">
        <v>577</v>
      </c>
      <c r="AJ595" s="33" t="s">
        <v>1588</v>
      </c>
      <c r="AK595" s="141" t="s">
        <v>1613</v>
      </c>
      <c r="AL595" s="33" t="s">
        <v>441</v>
      </c>
      <c r="AM595" s="33" t="s">
        <v>441</v>
      </c>
      <c r="AN595" s="33" t="s">
        <v>177</v>
      </c>
      <c r="AT595" s="33" t="s">
        <v>368</v>
      </c>
      <c r="AU595" s="33" t="s">
        <v>443</v>
      </c>
      <c r="AV595" s="33" t="s">
        <v>502</v>
      </c>
      <c r="AW595" s="33" t="s">
        <v>119</v>
      </c>
      <c r="AX595" s="33">
        <v>4</v>
      </c>
      <c r="AZ595" s="33" t="s">
        <v>335</v>
      </c>
      <c r="BD595" s="54"/>
      <c r="BP595" s="402"/>
      <c r="BQ595" s="402"/>
      <c r="BU595" s="402"/>
      <c r="BV595" s="402"/>
      <c r="BZ595" s="402"/>
      <c r="CA595" s="402"/>
      <c r="CE595" s="555"/>
      <c r="CF595" s="555"/>
      <c r="CG595" s="555"/>
      <c r="CH595" s="555"/>
      <c r="EW595" s="33">
        <f>0.2/1.5*100</f>
        <v>13.333333333333334</v>
      </c>
      <c r="EX595" s="33">
        <f>0.1/1.5*100</f>
        <v>6.666666666666667</v>
      </c>
      <c r="FA595" s="33" t="s">
        <v>445</v>
      </c>
      <c r="FL595" s="33">
        <v>0.26419999999999999</v>
      </c>
      <c r="FM595" s="33">
        <v>0.29049999999999998</v>
      </c>
      <c r="FP595" s="33" t="s">
        <v>444</v>
      </c>
      <c r="GZ595" s="12"/>
      <c r="HD595" s="12"/>
      <c r="JB595" s="33" t="s">
        <v>715</v>
      </c>
    </row>
    <row r="596" spans="1:262" s="33" customFormat="1" x14ac:dyDescent="0.25">
      <c r="A596" s="33">
        <v>30</v>
      </c>
      <c r="B596" s="47" t="s">
        <v>3885</v>
      </c>
      <c r="C596" s="33" t="s">
        <v>437</v>
      </c>
      <c r="D596" s="33" t="s">
        <v>438</v>
      </c>
      <c r="E596" s="33">
        <v>2002</v>
      </c>
      <c r="F596" s="33">
        <v>2000</v>
      </c>
      <c r="G596" s="33" t="s">
        <v>439</v>
      </c>
      <c r="H596" s="33" t="s">
        <v>440</v>
      </c>
      <c r="I596" s="32" t="s">
        <v>2815</v>
      </c>
      <c r="J596" s="33">
        <f t="shared" si="197"/>
        <v>38.533333333333331</v>
      </c>
      <c r="K596" s="33">
        <f t="shared" si="198"/>
        <v>-121.78333333333333</v>
      </c>
      <c r="L596" s="33">
        <v>18.399999999999999</v>
      </c>
      <c r="P596" s="33">
        <v>483</v>
      </c>
      <c r="R596" s="47">
        <v>4</v>
      </c>
      <c r="S596" s="47" t="s">
        <v>1858</v>
      </c>
      <c r="T596" s="47"/>
      <c r="U596" s="47">
        <v>36587</v>
      </c>
      <c r="V596" s="47" t="s">
        <v>1395</v>
      </c>
      <c r="W596" s="47" t="s">
        <v>1723</v>
      </c>
      <c r="X596" s="47" t="s">
        <v>1395</v>
      </c>
      <c r="Y596" s="47" t="s">
        <v>1417</v>
      </c>
      <c r="AA596" s="327">
        <v>36</v>
      </c>
      <c r="AB596" s="327">
        <v>46</v>
      </c>
      <c r="AC596" s="33" t="s">
        <v>139</v>
      </c>
      <c r="AG596" s="33" t="s">
        <v>1328</v>
      </c>
      <c r="AH596" s="33" t="s">
        <v>1533</v>
      </c>
      <c r="AI596" s="138" t="s">
        <v>577</v>
      </c>
      <c r="AJ596" s="33" t="s">
        <v>1588</v>
      </c>
      <c r="AK596" s="141" t="s">
        <v>1613</v>
      </c>
      <c r="AL596" s="33" t="s">
        <v>441</v>
      </c>
      <c r="AM596" s="33" t="s">
        <v>441</v>
      </c>
      <c r="AN596" s="33" t="s">
        <v>177</v>
      </c>
      <c r="AT596" s="33" t="s">
        <v>368</v>
      </c>
      <c r="AU596" s="33" t="s">
        <v>442</v>
      </c>
      <c r="AV596" s="33" t="s">
        <v>502</v>
      </c>
      <c r="AW596" s="33" t="s">
        <v>119</v>
      </c>
      <c r="AX596" s="33">
        <v>4</v>
      </c>
      <c r="AZ596" s="33" t="s">
        <v>335</v>
      </c>
      <c r="BD596" s="54"/>
      <c r="BP596" s="402"/>
      <c r="BQ596" s="402"/>
      <c r="BU596" s="402"/>
      <c r="BV596" s="402"/>
      <c r="BZ596" s="402"/>
      <c r="CA596" s="402"/>
      <c r="CE596" s="555"/>
      <c r="CF596" s="555"/>
      <c r="CG596" s="555"/>
      <c r="CH596" s="555"/>
      <c r="EW596" s="33">
        <f>23.11/40*100</f>
        <v>57.774999999999999</v>
      </c>
      <c r="EX596" s="33">
        <f>1.48/40*100</f>
        <v>3.6999999999999997</v>
      </c>
      <c r="FA596" s="33" t="s">
        <v>445</v>
      </c>
      <c r="FL596" s="33">
        <v>0.26150000000000001</v>
      </c>
      <c r="FM596" s="33">
        <v>0.28589999999999999</v>
      </c>
      <c r="FP596" s="33" t="s">
        <v>444</v>
      </c>
      <c r="GZ596" s="12"/>
      <c r="HD596" s="12"/>
      <c r="JB596" s="33" t="s">
        <v>715</v>
      </c>
    </row>
    <row r="597" spans="1:262" s="33" customFormat="1" x14ac:dyDescent="0.25">
      <c r="A597" s="33">
        <v>30</v>
      </c>
      <c r="B597" s="47" t="s">
        <v>3885</v>
      </c>
      <c r="C597" s="33" t="s">
        <v>437</v>
      </c>
      <c r="D597" s="33" t="s">
        <v>438</v>
      </c>
      <c r="E597" s="33">
        <v>2002</v>
      </c>
      <c r="F597" s="33">
        <v>2000</v>
      </c>
      <c r="G597" s="33" t="s">
        <v>439</v>
      </c>
      <c r="H597" s="33" t="s">
        <v>440</v>
      </c>
      <c r="I597" s="32" t="s">
        <v>2815</v>
      </c>
      <c r="J597" s="33">
        <f t="shared" si="197"/>
        <v>38.533333333333331</v>
      </c>
      <c r="K597" s="33">
        <f t="shared" si="198"/>
        <v>-121.78333333333333</v>
      </c>
      <c r="L597" s="33">
        <v>18.399999999999999</v>
      </c>
      <c r="P597" s="33">
        <v>483</v>
      </c>
      <c r="R597" s="47">
        <v>4</v>
      </c>
      <c r="S597" s="47" t="s">
        <v>1858</v>
      </c>
      <c r="T597" s="47"/>
      <c r="U597" s="47">
        <v>36587</v>
      </c>
      <c r="V597" s="47" t="s">
        <v>1395</v>
      </c>
      <c r="W597" s="47" t="s">
        <v>1723</v>
      </c>
      <c r="X597" s="47" t="s">
        <v>1395</v>
      </c>
      <c r="Y597" s="47" t="s">
        <v>1417</v>
      </c>
      <c r="AA597" s="327">
        <v>36</v>
      </c>
      <c r="AB597" s="327">
        <v>46</v>
      </c>
      <c r="AC597" s="33" t="s">
        <v>139</v>
      </c>
      <c r="AG597" s="33" t="s">
        <v>1328</v>
      </c>
      <c r="AH597" s="33" t="s">
        <v>1533</v>
      </c>
      <c r="AI597" s="138" t="s">
        <v>577</v>
      </c>
      <c r="AJ597" s="33" t="s">
        <v>1588</v>
      </c>
      <c r="AK597" s="141" t="s">
        <v>1613</v>
      </c>
      <c r="AL597" s="33" t="s">
        <v>441</v>
      </c>
      <c r="AM597" s="33" t="s">
        <v>441</v>
      </c>
      <c r="AN597" s="33" t="s">
        <v>177</v>
      </c>
      <c r="AT597" s="33" t="s">
        <v>368</v>
      </c>
      <c r="AU597" s="33" t="s">
        <v>443</v>
      </c>
      <c r="AV597" s="33" t="s">
        <v>502</v>
      </c>
      <c r="AW597" s="33" t="s">
        <v>119</v>
      </c>
      <c r="AX597" s="33">
        <v>4</v>
      </c>
      <c r="AZ597" s="33" t="s">
        <v>335</v>
      </c>
      <c r="BD597" s="54"/>
      <c r="BP597" s="402"/>
      <c r="BQ597" s="402"/>
      <c r="BU597" s="402"/>
      <c r="BV597" s="402"/>
      <c r="BZ597" s="402"/>
      <c r="CA597" s="402"/>
      <c r="CE597" s="555"/>
      <c r="CF597" s="555"/>
      <c r="CG597" s="555"/>
      <c r="CH597" s="555"/>
      <c r="EW597" s="33">
        <f>23.11/40*100</f>
        <v>57.774999999999999</v>
      </c>
      <c r="EX597" s="33">
        <f>2.56/40*100</f>
        <v>6.4</v>
      </c>
      <c r="FA597" s="33" t="s">
        <v>445</v>
      </c>
      <c r="FL597" s="33">
        <v>0.26150000000000001</v>
      </c>
      <c r="FM597" s="33">
        <v>0.2913</v>
      </c>
      <c r="FP597" s="33" t="s">
        <v>444</v>
      </c>
      <c r="GZ597" s="12"/>
      <c r="HD597" s="12"/>
      <c r="JB597" s="33" t="s">
        <v>715</v>
      </c>
    </row>
    <row r="598" spans="1:262" s="33" customFormat="1" x14ac:dyDescent="0.25">
      <c r="A598" s="33">
        <v>30</v>
      </c>
      <c r="B598" s="47" t="s">
        <v>3885</v>
      </c>
      <c r="C598" s="33" t="s">
        <v>437</v>
      </c>
      <c r="D598" s="33" t="s">
        <v>438</v>
      </c>
      <c r="E598" s="33">
        <v>2002</v>
      </c>
      <c r="F598" s="33">
        <v>2000</v>
      </c>
      <c r="G598" s="33" t="s">
        <v>439</v>
      </c>
      <c r="H598" s="33" t="s">
        <v>440</v>
      </c>
      <c r="I598" s="32" t="s">
        <v>2815</v>
      </c>
      <c r="J598" s="33">
        <f t="shared" si="197"/>
        <v>38.533333333333331</v>
      </c>
      <c r="K598" s="33">
        <f t="shared" si="198"/>
        <v>-121.78333333333333</v>
      </c>
      <c r="L598" s="33">
        <v>18.399999999999999</v>
      </c>
      <c r="P598" s="33">
        <v>483</v>
      </c>
      <c r="R598" s="47">
        <v>4</v>
      </c>
      <c r="S598" s="47" t="s">
        <v>1858</v>
      </c>
      <c r="T598" s="47"/>
      <c r="U598" s="47">
        <v>36598</v>
      </c>
      <c r="V598" s="47" t="s">
        <v>1395</v>
      </c>
      <c r="W598" s="47" t="s">
        <v>1723</v>
      </c>
      <c r="X598" s="47" t="s">
        <v>1395</v>
      </c>
      <c r="Y598" s="47" t="s">
        <v>1417</v>
      </c>
      <c r="AA598" s="327">
        <v>36</v>
      </c>
      <c r="AB598" s="327">
        <v>46</v>
      </c>
      <c r="AC598" s="33" t="s">
        <v>139</v>
      </c>
      <c r="AG598" s="33" t="s">
        <v>1328</v>
      </c>
      <c r="AH598" s="33" t="s">
        <v>1533</v>
      </c>
      <c r="AI598" s="138" t="s">
        <v>577</v>
      </c>
      <c r="AJ598" s="33" t="s">
        <v>1588</v>
      </c>
      <c r="AK598" s="141" t="s">
        <v>1613</v>
      </c>
      <c r="AL598" s="33" t="s">
        <v>441</v>
      </c>
      <c r="AM598" s="33" t="s">
        <v>441</v>
      </c>
      <c r="AN598" s="33" t="s">
        <v>177</v>
      </c>
      <c r="AT598" s="33" t="s">
        <v>368</v>
      </c>
      <c r="AU598" s="33" t="s">
        <v>442</v>
      </c>
      <c r="AV598" s="33" t="s">
        <v>502</v>
      </c>
      <c r="AW598" s="33" t="s">
        <v>119</v>
      </c>
      <c r="AX598" s="33">
        <v>4</v>
      </c>
      <c r="AZ598" s="33" t="s">
        <v>335</v>
      </c>
      <c r="BD598" s="54"/>
      <c r="BP598" s="402"/>
      <c r="BQ598" s="402"/>
      <c r="BU598" s="402"/>
      <c r="BV598" s="402"/>
      <c r="BZ598" s="402"/>
      <c r="CA598" s="402"/>
      <c r="CE598" s="555"/>
      <c r="CF598" s="555"/>
      <c r="CG598" s="555"/>
      <c r="CH598" s="555"/>
      <c r="EW598" s="33">
        <f>30.62/51.6*100</f>
        <v>59.34108527131783</v>
      </c>
      <c r="EX598" s="33">
        <f>4.93/51.6*100</f>
        <v>9.5542635658914712</v>
      </c>
      <c r="FA598" s="33" t="s">
        <v>445</v>
      </c>
      <c r="FL598" s="33">
        <v>0.24779999999999999</v>
      </c>
      <c r="FM598" s="33">
        <v>0.25690000000000002</v>
      </c>
      <c r="FP598" s="33" t="s">
        <v>444</v>
      </c>
      <c r="GZ598" s="12"/>
      <c r="HD598" s="12"/>
      <c r="JB598" s="33" t="s">
        <v>715</v>
      </c>
    </row>
    <row r="599" spans="1:262" s="33" customFormat="1" x14ac:dyDescent="0.25">
      <c r="A599" s="33">
        <v>30</v>
      </c>
      <c r="B599" s="47" t="s">
        <v>3885</v>
      </c>
      <c r="C599" s="33" t="s">
        <v>437</v>
      </c>
      <c r="D599" s="33" t="s">
        <v>438</v>
      </c>
      <c r="E599" s="33">
        <v>2002</v>
      </c>
      <c r="F599" s="33">
        <v>2000</v>
      </c>
      <c r="G599" s="33" t="s">
        <v>439</v>
      </c>
      <c r="H599" s="33" t="s">
        <v>440</v>
      </c>
      <c r="I599" s="32" t="s">
        <v>2815</v>
      </c>
      <c r="J599" s="33">
        <f t="shared" si="197"/>
        <v>38.533333333333331</v>
      </c>
      <c r="K599" s="33">
        <f t="shared" si="198"/>
        <v>-121.78333333333333</v>
      </c>
      <c r="L599" s="33">
        <v>18.399999999999999</v>
      </c>
      <c r="P599" s="33">
        <v>483</v>
      </c>
      <c r="R599" s="47">
        <v>4</v>
      </c>
      <c r="S599" s="47" t="s">
        <v>1858</v>
      </c>
      <c r="T599" s="47"/>
      <c r="U599" s="47">
        <v>36598</v>
      </c>
      <c r="V599" s="47" t="s">
        <v>1395</v>
      </c>
      <c r="W599" s="47" t="s">
        <v>1723</v>
      </c>
      <c r="X599" s="47" t="s">
        <v>1395</v>
      </c>
      <c r="Y599" s="47" t="s">
        <v>1417</v>
      </c>
      <c r="AA599" s="327">
        <v>36</v>
      </c>
      <c r="AB599" s="327">
        <v>46</v>
      </c>
      <c r="AC599" s="33" t="s">
        <v>139</v>
      </c>
      <c r="AG599" s="33" t="s">
        <v>1328</v>
      </c>
      <c r="AH599" s="33" t="s">
        <v>1533</v>
      </c>
      <c r="AI599" s="138" t="s">
        <v>577</v>
      </c>
      <c r="AJ599" s="33" t="s">
        <v>1588</v>
      </c>
      <c r="AK599" s="141" t="s">
        <v>1613</v>
      </c>
      <c r="AL599" s="33" t="s">
        <v>441</v>
      </c>
      <c r="AM599" s="33" t="s">
        <v>441</v>
      </c>
      <c r="AN599" s="33" t="s">
        <v>177</v>
      </c>
      <c r="AT599" s="33" t="s">
        <v>368</v>
      </c>
      <c r="AU599" s="33" t="s">
        <v>443</v>
      </c>
      <c r="AV599" s="33" t="s">
        <v>502</v>
      </c>
      <c r="AW599" s="33" t="s">
        <v>119</v>
      </c>
      <c r="AX599" s="33">
        <v>4</v>
      </c>
      <c r="AZ599" s="33" t="s">
        <v>335</v>
      </c>
      <c r="BD599" s="54"/>
      <c r="BP599" s="402"/>
      <c r="BQ599" s="402"/>
      <c r="BU599" s="402"/>
      <c r="BV599" s="402"/>
      <c r="BZ599" s="402"/>
      <c r="CA599" s="402"/>
      <c r="CE599" s="555"/>
      <c r="CF599" s="555"/>
      <c r="CG599" s="555"/>
      <c r="CH599" s="555"/>
      <c r="EW599" s="33">
        <f>30.62/51.6*100</f>
        <v>59.34108527131783</v>
      </c>
      <c r="EX599" s="33">
        <f>6.03/51.6*100</f>
        <v>11.686046511627907</v>
      </c>
      <c r="FA599" s="33" t="s">
        <v>445</v>
      </c>
      <c r="FL599" s="33">
        <v>0.24779999999999999</v>
      </c>
      <c r="FM599" s="33">
        <v>0.2641</v>
      </c>
      <c r="FP599" s="33" t="s">
        <v>444</v>
      </c>
      <c r="GZ599" s="12"/>
      <c r="HD599" s="12"/>
      <c r="JB599" s="33" t="s">
        <v>715</v>
      </c>
    </row>
    <row r="600" spans="1:262" s="21" customFormat="1" x14ac:dyDescent="0.25">
      <c r="A600" s="21">
        <v>30</v>
      </c>
      <c r="B600" s="43" t="s">
        <v>3886</v>
      </c>
      <c r="C600" s="21" t="s">
        <v>437</v>
      </c>
      <c r="D600" s="21" t="s">
        <v>438</v>
      </c>
      <c r="E600" s="21">
        <v>2002</v>
      </c>
      <c r="F600" s="21">
        <v>1998</v>
      </c>
      <c r="G600" s="21" t="s">
        <v>439</v>
      </c>
      <c r="H600" s="21" t="s">
        <v>440</v>
      </c>
      <c r="I600" s="32" t="s">
        <v>2815</v>
      </c>
      <c r="J600" s="21">
        <f t="shared" ref="J600:J631" si="199">38+32/60</f>
        <v>38.533333333333331</v>
      </c>
      <c r="K600" s="21">
        <f t="shared" ref="K600:K631" si="200">-121-47/60</f>
        <v>-121.78333333333333</v>
      </c>
      <c r="L600" s="21">
        <v>18.399999999999999</v>
      </c>
      <c r="P600" s="21">
        <v>483</v>
      </c>
      <c r="R600" s="43">
        <v>2</v>
      </c>
      <c r="S600" s="43" t="s">
        <v>1858</v>
      </c>
      <c r="T600" s="43"/>
      <c r="U600" s="43">
        <v>36145</v>
      </c>
      <c r="V600" s="43" t="s">
        <v>1396</v>
      </c>
      <c r="W600" s="43" t="s">
        <v>1724</v>
      </c>
      <c r="X600" s="43" t="s">
        <v>1395</v>
      </c>
      <c r="Y600" s="43" t="s">
        <v>1417</v>
      </c>
      <c r="AA600" s="322">
        <v>36</v>
      </c>
      <c r="AB600" s="322">
        <v>46</v>
      </c>
      <c r="AC600" s="21" t="s">
        <v>139</v>
      </c>
      <c r="AG600" s="21" t="s">
        <v>1328</v>
      </c>
      <c r="AH600" s="21" t="s">
        <v>1533</v>
      </c>
      <c r="AI600" s="138" t="s">
        <v>577</v>
      </c>
      <c r="AJ600" s="21" t="s">
        <v>1588</v>
      </c>
      <c r="AK600" s="141" t="s">
        <v>1613</v>
      </c>
      <c r="AL600" s="21" t="s">
        <v>441</v>
      </c>
      <c r="AM600" s="21" t="s">
        <v>441</v>
      </c>
      <c r="AN600" s="21" t="s">
        <v>177</v>
      </c>
      <c r="AT600" s="21" t="s">
        <v>368</v>
      </c>
      <c r="AU600" s="21" t="s">
        <v>442</v>
      </c>
      <c r="AV600" s="21" t="s">
        <v>502</v>
      </c>
      <c r="AW600" s="21" t="s">
        <v>119</v>
      </c>
      <c r="AX600" s="21">
        <v>4</v>
      </c>
      <c r="AZ600" s="21" t="s">
        <v>335</v>
      </c>
      <c r="BD600" s="54"/>
      <c r="BP600" s="396"/>
      <c r="BQ600" s="396"/>
      <c r="BU600" s="396"/>
      <c r="BV600" s="396"/>
      <c r="BZ600" s="396"/>
      <c r="CA600" s="396"/>
      <c r="CE600" s="549"/>
      <c r="CF600" s="549"/>
      <c r="CG600" s="549"/>
      <c r="CH600" s="549"/>
      <c r="EW600" s="21">
        <f>3.18/9.4*100</f>
        <v>33.829787234042556</v>
      </c>
      <c r="EX600" s="21">
        <f>0.69/9.4*100</f>
        <v>7.3404255319148932</v>
      </c>
      <c r="FA600" s="21" t="s">
        <v>445</v>
      </c>
      <c r="FL600" s="21">
        <v>0.11459999999999999</v>
      </c>
      <c r="FM600" s="21">
        <v>0.11269999999999999</v>
      </c>
      <c r="FP600" s="21" t="s">
        <v>444</v>
      </c>
      <c r="GZ600" s="12"/>
      <c r="HD600" s="12"/>
      <c r="JB600" s="21" t="s">
        <v>715</v>
      </c>
    </row>
    <row r="601" spans="1:262" s="21" customFormat="1" x14ac:dyDescent="0.25">
      <c r="A601" s="21">
        <v>30</v>
      </c>
      <c r="B601" s="43" t="s">
        <v>3886</v>
      </c>
      <c r="C601" s="21" t="s">
        <v>437</v>
      </c>
      <c r="D601" s="21" t="s">
        <v>438</v>
      </c>
      <c r="E601" s="21">
        <v>2002</v>
      </c>
      <c r="F601" s="21">
        <v>1998</v>
      </c>
      <c r="G601" s="21" t="s">
        <v>439</v>
      </c>
      <c r="H601" s="21" t="s">
        <v>440</v>
      </c>
      <c r="I601" s="32" t="s">
        <v>2815</v>
      </c>
      <c r="J601" s="21">
        <f t="shared" si="199"/>
        <v>38.533333333333331</v>
      </c>
      <c r="K601" s="21">
        <f t="shared" si="200"/>
        <v>-121.78333333333333</v>
      </c>
      <c r="L601" s="21">
        <v>18.399999999999999</v>
      </c>
      <c r="P601" s="21">
        <v>483</v>
      </c>
      <c r="R601" s="43">
        <v>2</v>
      </c>
      <c r="S601" s="43" t="s">
        <v>1858</v>
      </c>
      <c r="T601" s="43"/>
      <c r="U601" s="43">
        <v>36145</v>
      </c>
      <c r="V601" s="43" t="s">
        <v>1396</v>
      </c>
      <c r="W601" s="43" t="s">
        <v>1724</v>
      </c>
      <c r="X601" s="43" t="s">
        <v>1395</v>
      </c>
      <c r="Y601" s="43" t="s">
        <v>1417</v>
      </c>
      <c r="AA601" s="322">
        <v>36</v>
      </c>
      <c r="AB601" s="322">
        <v>46</v>
      </c>
      <c r="AC601" s="21" t="s">
        <v>139</v>
      </c>
      <c r="AG601" s="21" t="s">
        <v>1328</v>
      </c>
      <c r="AH601" s="21" t="s">
        <v>1533</v>
      </c>
      <c r="AI601" s="138" t="s">
        <v>577</v>
      </c>
      <c r="AJ601" s="21" t="s">
        <v>1588</v>
      </c>
      <c r="AK601" s="141" t="s">
        <v>1613</v>
      </c>
      <c r="AL601" s="21" t="s">
        <v>441</v>
      </c>
      <c r="AM601" s="21" t="s">
        <v>441</v>
      </c>
      <c r="AN601" s="21" t="s">
        <v>177</v>
      </c>
      <c r="AT601" s="21" t="s">
        <v>368</v>
      </c>
      <c r="AU601" s="21" t="s">
        <v>443</v>
      </c>
      <c r="AV601" s="21" t="s">
        <v>502</v>
      </c>
      <c r="AW601" s="21" t="s">
        <v>119</v>
      </c>
      <c r="AX601" s="21">
        <v>4</v>
      </c>
      <c r="AZ601" s="21" t="s">
        <v>335</v>
      </c>
      <c r="BD601" s="54"/>
      <c r="BP601" s="396"/>
      <c r="BQ601" s="396"/>
      <c r="BU601" s="396"/>
      <c r="BV601" s="396"/>
      <c r="BZ601" s="396"/>
      <c r="CA601" s="396"/>
      <c r="CE601" s="549"/>
      <c r="CF601" s="549"/>
      <c r="CG601" s="549"/>
      <c r="CH601" s="549"/>
      <c r="EW601" s="21">
        <f>3.18/9.4*100</f>
        <v>33.829787234042556</v>
      </c>
      <c r="EX601" s="21">
        <f>0.22/9.4*100</f>
        <v>2.3404255319148937</v>
      </c>
      <c r="FA601" s="21" t="s">
        <v>445</v>
      </c>
      <c r="FL601" s="21">
        <v>0.11459999999999999</v>
      </c>
      <c r="FM601" s="21">
        <v>0.114</v>
      </c>
      <c r="FP601" s="21" t="s">
        <v>444</v>
      </c>
      <c r="GZ601" s="12"/>
      <c r="HD601" s="12"/>
      <c r="JB601" s="21" t="s">
        <v>715</v>
      </c>
    </row>
    <row r="602" spans="1:262" s="21" customFormat="1" x14ac:dyDescent="0.25">
      <c r="A602" s="21">
        <v>30</v>
      </c>
      <c r="B602" s="43" t="s">
        <v>3886</v>
      </c>
      <c r="C602" s="21" t="s">
        <v>437</v>
      </c>
      <c r="D602" s="21" t="s">
        <v>438</v>
      </c>
      <c r="E602" s="21">
        <v>2002</v>
      </c>
      <c r="F602" s="21">
        <v>1999</v>
      </c>
      <c r="G602" s="21" t="s">
        <v>439</v>
      </c>
      <c r="H602" s="21" t="s">
        <v>440</v>
      </c>
      <c r="I602" s="32" t="s">
        <v>2815</v>
      </c>
      <c r="J602" s="21">
        <f t="shared" si="199"/>
        <v>38.533333333333331</v>
      </c>
      <c r="K602" s="21">
        <f t="shared" si="200"/>
        <v>-121.78333333333333</v>
      </c>
      <c r="L602" s="21">
        <v>18.399999999999999</v>
      </c>
      <c r="P602" s="21">
        <v>483</v>
      </c>
      <c r="R602" s="43">
        <v>3</v>
      </c>
      <c r="S602" s="43" t="s">
        <v>1858</v>
      </c>
      <c r="T602" s="43"/>
      <c r="U602" s="43">
        <v>36170</v>
      </c>
      <c r="V602" s="43" t="s">
        <v>1396</v>
      </c>
      <c r="W602" s="43" t="s">
        <v>1724</v>
      </c>
      <c r="X602" s="43" t="s">
        <v>1395</v>
      </c>
      <c r="Y602" s="43" t="s">
        <v>1417</v>
      </c>
      <c r="AA602" s="322">
        <v>36</v>
      </c>
      <c r="AB602" s="322">
        <v>46</v>
      </c>
      <c r="AC602" s="21" t="s">
        <v>139</v>
      </c>
      <c r="AG602" s="21" t="s">
        <v>1328</v>
      </c>
      <c r="AH602" s="21" t="s">
        <v>1533</v>
      </c>
      <c r="AI602" s="138" t="s">
        <v>577</v>
      </c>
      <c r="AJ602" s="21" t="s">
        <v>1588</v>
      </c>
      <c r="AK602" s="141" t="s">
        <v>1613</v>
      </c>
      <c r="AL602" s="21" t="s">
        <v>441</v>
      </c>
      <c r="AM602" s="21" t="s">
        <v>441</v>
      </c>
      <c r="AN602" s="21" t="s">
        <v>177</v>
      </c>
      <c r="AT602" s="21" t="s">
        <v>368</v>
      </c>
      <c r="AU602" s="21" t="s">
        <v>442</v>
      </c>
      <c r="AV602" s="21" t="s">
        <v>502</v>
      </c>
      <c r="AW602" s="21" t="s">
        <v>119</v>
      </c>
      <c r="AX602" s="21">
        <v>4</v>
      </c>
      <c r="AZ602" s="21" t="s">
        <v>335</v>
      </c>
      <c r="BD602" s="54"/>
      <c r="BP602" s="396"/>
      <c r="BQ602" s="396"/>
      <c r="BU602" s="396"/>
      <c r="BV602" s="396"/>
      <c r="BZ602" s="396"/>
      <c r="CA602" s="396"/>
      <c r="CE602" s="549"/>
      <c r="CF602" s="549"/>
      <c r="CG602" s="549"/>
      <c r="CH602" s="549"/>
      <c r="EW602" s="21">
        <f>0.61/2.1*100</f>
        <v>29.047619047619044</v>
      </c>
      <c r="EX602" s="21">
        <f>0.3/2.1*100</f>
        <v>14.285714285714285</v>
      </c>
      <c r="FA602" s="21" t="s">
        <v>445</v>
      </c>
      <c r="FL602" s="21">
        <v>0.1154</v>
      </c>
      <c r="FM602" s="21">
        <v>0.15540000000000001</v>
      </c>
      <c r="FP602" s="21" t="s">
        <v>444</v>
      </c>
      <c r="GZ602" s="12"/>
      <c r="HD602" s="12"/>
      <c r="JB602" s="21" t="s">
        <v>715</v>
      </c>
    </row>
    <row r="603" spans="1:262" s="21" customFormat="1" x14ac:dyDescent="0.25">
      <c r="A603" s="21">
        <v>30</v>
      </c>
      <c r="B603" s="43" t="s">
        <v>3886</v>
      </c>
      <c r="C603" s="21" t="s">
        <v>437</v>
      </c>
      <c r="D603" s="21" t="s">
        <v>438</v>
      </c>
      <c r="E603" s="21">
        <v>2002</v>
      </c>
      <c r="F603" s="21">
        <v>1999</v>
      </c>
      <c r="G603" s="21" t="s">
        <v>439</v>
      </c>
      <c r="H603" s="21" t="s">
        <v>440</v>
      </c>
      <c r="I603" s="32" t="s">
        <v>2815</v>
      </c>
      <c r="J603" s="21">
        <f t="shared" si="199"/>
        <v>38.533333333333331</v>
      </c>
      <c r="K603" s="21">
        <f t="shared" si="200"/>
        <v>-121.78333333333333</v>
      </c>
      <c r="L603" s="21">
        <v>18.399999999999999</v>
      </c>
      <c r="P603" s="21">
        <v>483</v>
      </c>
      <c r="R603" s="43">
        <v>3</v>
      </c>
      <c r="S603" s="43" t="s">
        <v>1858</v>
      </c>
      <c r="T603" s="43"/>
      <c r="U603" s="43">
        <v>36170</v>
      </c>
      <c r="V603" s="43" t="s">
        <v>1396</v>
      </c>
      <c r="W603" s="43" t="s">
        <v>1724</v>
      </c>
      <c r="X603" s="43" t="s">
        <v>1395</v>
      </c>
      <c r="Y603" s="43" t="s">
        <v>1417</v>
      </c>
      <c r="AA603" s="322">
        <v>36</v>
      </c>
      <c r="AB603" s="322">
        <v>46</v>
      </c>
      <c r="AC603" s="21" t="s">
        <v>139</v>
      </c>
      <c r="AG603" s="21" t="s">
        <v>1328</v>
      </c>
      <c r="AH603" s="21" t="s">
        <v>1533</v>
      </c>
      <c r="AI603" s="138" t="s">
        <v>577</v>
      </c>
      <c r="AJ603" s="21" t="s">
        <v>1588</v>
      </c>
      <c r="AK603" s="141" t="s">
        <v>1613</v>
      </c>
      <c r="AL603" s="21" t="s">
        <v>441</v>
      </c>
      <c r="AM603" s="21" t="s">
        <v>441</v>
      </c>
      <c r="AN603" s="21" t="s">
        <v>177</v>
      </c>
      <c r="AT603" s="21" t="s">
        <v>368</v>
      </c>
      <c r="AU603" s="21" t="s">
        <v>443</v>
      </c>
      <c r="AV603" s="21" t="s">
        <v>502</v>
      </c>
      <c r="AW603" s="21" t="s">
        <v>119</v>
      </c>
      <c r="AX603" s="21">
        <v>4</v>
      </c>
      <c r="AZ603" s="21" t="s">
        <v>335</v>
      </c>
      <c r="BD603" s="54"/>
      <c r="BP603" s="396"/>
      <c r="BQ603" s="396"/>
      <c r="BU603" s="396"/>
      <c r="BV603" s="396"/>
      <c r="BZ603" s="396"/>
      <c r="CA603" s="396"/>
      <c r="CE603" s="549"/>
      <c r="CF603" s="549"/>
      <c r="CG603" s="549"/>
      <c r="CH603" s="549"/>
      <c r="EW603" s="21">
        <f>0.61/2.1*100</f>
        <v>29.047619047619044</v>
      </c>
      <c r="EX603" s="21">
        <f>0.34/2.1*100</f>
        <v>16.19047619047619</v>
      </c>
      <c r="FA603" s="21" t="s">
        <v>445</v>
      </c>
      <c r="FL603" s="21">
        <v>0.1154</v>
      </c>
      <c r="FM603" s="21">
        <v>0.15540000000000001</v>
      </c>
      <c r="FP603" s="21" t="s">
        <v>444</v>
      </c>
      <c r="GZ603" s="12"/>
      <c r="HD603" s="12"/>
      <c r="JB603" s="21" t="s">
        <v>715</v>
      </c>
    </row>
    <row r="604" spans="1:262" s="21" customFormat="1" x14ac:dyDescent="0.25">
      <c r="A604" s="21">
        <v>30</v>
      </c>
      <c r="B604" s="43" t="s">
        <v>3886</v>
      </c>
      <c r="C604" s="21" t="s">
        <v>437</v>
      </c>
      <c r="D604" s="21" t="s">
        <v>438</v>
      </c>
      <c r="E604" s="21">
        <v>2002</v>
      </c>
      <c r="F604" s="21">
        <v>1999</v>
      </c>
      <c r="G604" s="21" t="s">
        <v>439</v>
      </c>
      <c r="H604" s="21" t="s">
        <v>440</v>
      </c>
      <c r="I604" s="32" t="s">
        <v>2815</v>
      </c>
      <c r="J604" s="21">
        <f t="shared" si="199"/>
        <v>38.533333333333331</v>
      </c>
      <c r="K604" s="21">
        <f t="shared" si="200"/>
        <v>-121.78333333333333</v>
      </c>
      <c r="L604" s="21">
        <v>18.399999999999999</v>
      </c>
      <c r="P604" s="21">
        <v>483</v>
      </c>
      <c r="R604" s="43">
        <v>3</v>
      </c>
      <c r="S604" s="43" t="s">
        <v>1858</v>
      </c>
      <c r="T604" s="43"/>
      <c r="U604" s="43">
        <v>36187</v>
      </c>
      <c r="V604" s="43" t="s">
        <v>1396</v>
      </c>
      <c r="W604" s="43" t="s">
        <v>1724</v>
      </c>
      <c r="X604" s="43" t="s">
        <v>1395</v>
      </c>
      <c r="Y604" s="43" t="s">
        <v>1417</v>
      </c>
      <c r="AA604" s="322">
        <v>36</v>
      </c>
      <c r="AB604" s="322">
        <v>46</v>
      </c>
      <c r="AC604" s="21" t="s">
        <v>139</v>
      </c>
      <c r="AG604" s="21" t="s">
        <v>1328</v>
      </c>
      <c r="AH604" s="21" t="s">
        <v>1533</v>
      </c>
      <c r="AI604" s="138" t="s">
        <v>577</v>
      </c>
      <c r="AJ604" s="21" t="s">
        <v>1588</v>
      </c>
      <c r="AK604" s="141" t="s">
        <v>1613</v>
      </c>
      <c r="AL604" s="21" t="s">
        <v>441</v>
      </c>
      <c r="AM604" s="21" t="s">
        <v>441</v>
      </c>
      <c r="AN604" s="21" t="s">
        <v>177</v>
      </c>
      <c r="AT604" s="21" t="s">
        <v>368</v>
      </c>
      <c r="AU604" s="21" t="s">
        <v>442</v>
      </c>
      <c r="AV604" s="21" t="s">
        <v>502</v>
      </c>
      <c r="AW604" s="21" t="s">
        <v>119</v>
      </c>
      <c r="AX604" s="21">
        <v>4</v>
      </c>
      <c r="AZ604" s="21" t="s">
        <v>335</v>
      </c>
      <c r="BD604" s="54"/>
      <c r="BP604" s="396"/>
      <c r="BQ604" s="396"/>
      <c r="BU604" s="396"/>
      <c r="BV604" s="396"/>
      <c r="BZ604" s="396"/>
      <c r="CA604" s="396"/>
      <c r="CE604" s="549"/>
      <c r="CF604" s="549"/>
      <c r="CG604" s="549"/>
      <c r="CH604" s="549"/>
      <c r="EW604" s="21">
        <f>10.71/19.8*100</f>
        <v>54.090909090909086</v>
      </c>
      <c r="EX604" s="21">
        <f>3.42/19.8*100</f>
        <v>17.272727272727273</v>
      </c>
      <c r="FA604" s="21" t="s">
        <v>445</v>
      </c>
      <c r="FL604" s="21">
        <v>0.11890000000000001</v>
      </c>
      <c r="FM604" s="21">
        <v>0.1174</v>
      </c>
      <c r="FP604" s="21" t="s">
        <v>444</v>
      </c>
      <c r="GZ604" s="12"/>
      <c r="HD604" s="12"/>
      <c r="JB604" s="21" t="s">
        <v>715</v>
      </c>
    </row>
    <row r="605" spans="1:262" s="21" customFormat="1" x14ac:dyDescent="0.25">
      <c r="A605" s="21">
        <v>30</v>
      </c>
      <c r="B605" s="43" t="s">
        <v>3886</v>
      </c>
      <c r="C605" s="21" t="s">
        <v>437</v>
      </c>
      <c r="D605" s="21" t="s">
        <v>438</v>
      </c>
      <c r="E605" s="21">
        <v>2002</v>
      </c>
      <c r="F605" s="21">
        <v>1999</v>
      </c>
      <c r="G605" s="21" t="s">
        <v>439</v>
      </c>
      <c r="H605" s="21" t="s">
        <v>440</v>
      </c>
      <c r="I605" s="32" t="s">
        <v>2815</v>
      </c>
      <c r="J605" s="21">
        <f t="shared" si="199"/>
        <v>38.533333333333331</v>
      </c>
      <c r="K605" s="21">
        <f t="shared" si="200"/>
        <v>-121.78333333333333</v>
      </c>
      <c r="L605" s="21">
        <v>18.399999999999999</v>
      </c>
      <c r="P605" s="21">
        <v>483</v>
      </c>
      <c r="R605" s="43">
        <v>3</v>
      </c>
      <c r="S605" s="43" t="s">
        <v>1858</v>
      </c>
      <c r="T605" s="43"/>
      <c r="U605" s="43">
        <v>36187</v>
      </c>
      <c r="V605" s="43" t="s">
        <v>1396</v>
      </c>
      <c r="W605" s="43" t="s">
        <v>1724</v>
      </c>
      <c r="X605" s="43" t="s">
        <v>1395</v>
      </c>
      <c r="Y605" s="43" t="s">
        <v>1417</v>
      </c>
      <c r="AA605" s="322">
        <v>36</v>
      </c>
      <c r="AB605" s="322">
        <v>46</v>
      </c>
      <c r="AC605" s="21" t="s">
        <v>139</v>
      </c>
      <c r="AG605" s="21" t="s">
        <v>1328</v>
      </c>
      <c r="AH605" s="21" t="s">
        <v>1533</v>
      </c>
      <c r="AI605" s="138" t="s">
        <v>577</v>
      </c>
      <c r="AJ605" s="21" t="s">
        <v>1588</v>
      </c>
      <c r="AK605" s="141" t="s">
        <v>1613</v>
      </c>
      <c r="AL605" s="21" t="s">
        <v>441</v>
      </c>
      <c r="AM605" s="21" t="s">
        <v>441</v>
      </c>
      <c r="AN605" s="21" t="s">
        <v>177</v>
      </c>
      <c r="AT605" s="21" t="s">
        <v>368</v>
      </c>
      <c r="AU605" s="21" t="s">
        <v>443</v>
      </c>
      <c r="AV605" s="21" t="s">
        <v>502</v>
      </c>
      <c r="AW605" s="21" t="s">
        <v>119</v>
      </c>
      <c r="AX605" s="21">
        <v>4</v>
      </c>
      <c r="AZ605" s="21" t="s">
        <v>335</v>
      </c>
      <c r="BD605" s="54"/>
      <c r="BP605" s="396"/>
      <c r="BQ605" s="396"/>
      <c r="BU605" s="396"/>
      <c r="BV605" s="396"/>
      <c r="BZ605" s="396"/>
      <c r="CA605" s="396"/>
      <c r="CE605" s="549"/>
      <c r="CF605" s="549"/>
      <c r="CG605" s="549"/>
      <c r="CH605" s="549"/>
      <c r="EW605" s="21">
        <f>10.71/19.8*100</f>
        <v>54.090909090909086</v>
      </c>
      <c r="EX605" s="21">
        <f>2.95/19.8*100</f>
        <v>14.8989898989899</v>
      </c>
      <c r="FA605" s="21" t="s">
        <v>445</v>
      </c>
      <c r="FL605" s="21">
        <v>0.11890000000000001</v>
      </c>
      <c r="FM605" s="21">
        <v>0.1174</v>
      </c>
      <c r="FP605" s="21" t="s">
        <v>444</v>
      </c>
      <c r="GZ605" s="12"/>
      <c r="HD605" s="12"/>
      <c r="JB605" s="21" t="s">
        <v>715</v>
      </c>
    </row>
    <row r="606" spans="1:262" s="21" customFormat="1" x14ac:dyDescent="0.25">
      <c r="A606" s="21">
        <v>30</v>
      </c>
      <c r="B606" s="43" t="s">
        <v>3886</v>
      </c>
      <c r="C606" s="21" t="s">
        <v>437</v>
      </c>
      <c r="D606" s="21" t="s">
        <v>438</v>
      </c>
      <c r="E606" s="21">
        <v>2002</v>
      </c>
      <c r="F606" s="21">
        <v>1999</v>
      </c>
      <c r="G606" s="21" t="s">
        <v>439</v>
      </c>
      <c r="H606" s="21" t="s">
        <v>440</v>
      </c>
      <c r="I606" s="32" t="s">
        <v>2815</v>
      </c>
      <c r="J606" s="21">
        <f t="shared" si="199"/>
        <v>38.533333333333331</v>
      </c>
      <c r="K606" s="21">
        <f t="shared" si="200"/>
        <v>-121.78333333333333</v>
      </c>
      <c r="L606" s="21">
        <v>18.399999999999999</v>
      </c>
      <c r="P606" s="21">
        <v>483</v>
      </c>
      <c r="R606" s="43">
        <v>3</v>
      </c>
      <c r="S606" s="43" t="s">
        <v>1858</v>
      </c>
      <c r="T606" s="43"/>
      <c r="U606" s="43">
        <v>36198</v>
      </c>
      <c r="V606" s="43" t="s">
        <v>1396</v>
      </c>
      <c r="W606" s="43" t="s">
        <v>1724</v>
      </c>
      <c r="X606" s="43" t="s">
        <v>1395</v>
      </c>
      <c r="Y606" s="43" t="s">
        <v>1417</v>
      </c>
      <c r="AA606" s="322">
        <v>36</v>
      </c>
      <c r="AB606" s="322">
        <v>46</v>
      </c>
      <c r="AC606" s="21" t="s">
        <v>139</v>
      </c>
      <c r="AG606" s="21" t="s">
        <v>1328</v>
      </c>
      <c r="AH606" s="21" t="s">
        <v>1533</v>
      </c>
      <c r="AI606" s="138" t="s">
        <v>577</v>
      </c>
      <c r="AJ606" s="21" t="s">
        <v>1588</v>
      </c>
      <c r="AK606" s="141" t="s">
        <v>1613</v>
      </c>
      <c r="AL606" s="21" t="s">
        <v>441</v>
      </c>
      <c r="AM606" s="21" t="s">
        <v>441</v>
      </c>
      <c r="AN606" s="21" t="s">
        <v>177</v>
      </c>
      <c r="AT606" s="21" t="s">
        <v>368</v>
      </c>
      <c r="AU606" s="21" t="s">
        <v>442</v>
      </c>
      <c r="AV606" s="21" t="s">
        <v>502</v>
      </c>
      <c r="AW606" s="21" t="s">
        <v>119</v>
      </c>
      <c r="AX606" s="21">
        <v>4</v>
      </c>
      <c r="AZ606" s="21" t="s">
        <v>335</v>
      </c>
      <c r="BD606" s="54"/>
      <c r="BP606" s="396"/>
      <c r="BQ606" s="396"/>
      <c r="BU606" s="396"/>
      <c r="BV606" s="396"/>
      <c r="BZ606" s="396"/>
      <c r="CA606" s="396"/>
      <c r="CE606" s="549"/>
      <c r="CF606" s="549"/>
      <c r="CG606" s="549"/>
      <c r="CH606" s="549"/>
      <c r="EW606" s="21">
        <f>8.71/15.5*100</f>
        <v>56.193548387096783</v>
      </c>
      <c r="EX606" s="21">
        <f>0.93/15.5*100</f>
        <v>6.0000000000000009</v>
      </c>
      <c r="FA606" s="21" t="s">
        <v>445</v>
      </c>
      <c r="FL606" s="21">
        <v>0.16980000000000001</v>
      </c>
      <c r="FM606" s="21">
        <v>0.1479</v>
      </c>
      <c r="FP606" s="21" t="s">
        <v>444</v>
      </c>
      <c r="GZ606" s="12"/>
      <c r="HD606" s="12"/>
      <c r="JB606" s="21" t="s">
        <v>715</v>
      </c>
    </row>
    <row r="607" spans="1:262" s="21" customFormat="1" x14ac:dyDescent="0.25">
      <c r="A607" s="21">
        <v>30</v>
      </c>
      <c r="B607" s="43" t="s">
        <v>3886</v>
      </c>
      <c r="C607" s="21" t="s">
        <v>437</v>
      </c>
      <c r="D607" s="21" t="s">
        <v>438</v>
      </c>
      <c r="E607" s="21">
        <v>2002</v>
      </c>
      <c r="F607" s="21">
        <v>1999</v>
      </c>
      <c r="G607" s="21" t="s">
        <v>439</v>
      </c>
      <c r="H607" s="21" t="s">
        <v>440</v>
      </c>
      <c r="I607" s="32" t="s">
        <v>2815</v>
      </c>
      <c r="J607" s="21">
        <f t="shared" si="199"/>
        <v>38.533333333333331</v>
      </c>
      <c r="K607" s="21">
        <f t="shared" si="200"/>
        <v>-121.78333333333333</v>
      </c>
      <c r="L607" s="21">
        <v>18.399999999999999</v>
      </c>
      <c r="P607" s="21">
        <v>483</v>
      </c>
      <c r="R607" s="43">
        <v>3</v>
      </c>
      <c r="S607" s="43" t="s">
        <v>1858</v>
      </c>
      <c r="T607" s="43"/>
      <c r="U607" s="43">
        <v>36198</v>
      </c>
      <c r="V607" s="43" t="s">
        <v>1396</v>
      </c>
      <c r="W607" s="43" t="s">
        <v>1724</v>
      </c>
      <c r="X607" s="43" t="s">
        <v>1395</v>
      </c>
      <c r="Y607" s="43" t="s">
        <v>1417</v>
      </c>
      <c r="AA607" s="322">
        <v>36</v>
      </c>
      <c r="AB607" s="322">
        <v>46</v>
      </c>
      <c r="AC607" s="21" t="s">
        <v>139</v>
      </c>
      <c r="AG607" s="21" t="s">
        <v>1328</v>
      </c>
      <c r="AH607" s="21" t="s">
        <v>1533</v>
      </c>
      <c r="AI607" s="138" t="s">
        <v>577</v>
      </c>
      <c r="AJ607" s="21" t="s">
        <v>1588</v>
      </c>
      <c r="AK607" s="141" t="s">
        <v>1613</v>
      </c>
      <c r="AL607" s="21" t="s">
        <v>441</v>
      </c>
      <c r="AM607" s="21" t="s">
        <v>441</v>
      </c>
      <c r="AN607" s="21" t="s">
        <v>177</v>
      </c>
      <c r="AT607" s="21" t="s">
        <v>368</v>
      </c>
      <c r="AU607" s="21" t="s">
        <v>443</v>
      </c>
      <c r="AV607" s="21" t="s">
        <v>502</v>
      </c>
      <c r="AW607" s="21" t="s">
        <v>119</v>
      </c>
      <c r="AX607" s="21">
        <v>4</v>
      </c>
      <c r="AZ607" s="21" t="s">
        <v>335</v>
      </c>
      <c r="BD607" s="54"/>
      <c r="BP607" s="396"/>
      <c r="BQ607" s="396"/>
      <c r="BU607" s="396"/>
      <c r="BV607" s="396"/>
      <c r="BZ607" s="396"/>
      <c r="CA607" s="396"/>
      <c r="CE607" s="549"/>
      <c r="CF607" s="549"/>
      <c r="CG607" s="549"/>
      <c r="CH607" s="549"/>
      <c r="EW607" s="21">
        <f>8.71/15.5*100</f>
        <v>56.193548387096783</v>
      </c>
      <c r="EX607" s="21">
        <f>0.67/15.5*100</f>
        <v>4.3225806451612909</v>
      </c>
      <c r="FA607" s="21" t="s">
        <v>445</v>
      </c>
      <c r="FL607" s="21">
        <v>0.16980000000000001</v>
      </c>
      <c r="FM607" s="21">
        <v>0.13600000000000001</v>
      </c>
      <c r="FP607" s="21" t="s">
        <v>444</v>
      </c>
      <c r="GZ607" s="12"/>
      <c r="HD607" s="12"/>
      <c r="JB607" s="21" t="s">
        <v>715</v>
      </c>
    </row>
    <row r="608" spans="1:262" s="21" customFormat="1" x14ac:dyDescent="0.25">
      <c r="A608" s="21">
        <v>30</v>
      </c>
      <c r="B608" s="43" t="s">
        <v>3886</v>
      </c>
      <c r="C608" s="21" t="s">
        <v>437</v>
      </c>
      <c r="D608" s="21" t="s">
        <v>438</v>
      </c>
      <c r="E608" s="21">
        <v>2002</v>
      </c>
      <c r="F608" s="21">
        <v>1999</v>
      </c>
      <c r="G608" s="21" t="s">
        <v>439</v>
      </c>
      <c r="H608" s="21" t="s">
        <v>440</v>
      </c>
      <c r="I608" s="32" t="s">
        <v>2815</v>
      </c>
      <c r="J608" s="21">
        <f t="shared" si="199"/>
        <v>38.533333333333331</v>
      </c>
      <c r="K608" s="21">
        <f t="shared" si="200"/>
        <v>-121.78333333333333</v>
      </c>
      <c r="L608" s="21">
        <v>18.399999999999999</v>
      </c>
      <c r="P608" s="21">
        <v>483</v>
      </c>
      <c r="R608" s="43">
        <v>3</v>
      </c>
      <c r="S608" s="43" t="s">
        <v>1858</v>
      </c>
      <c r="T608" s="43"/>
      <c r="U608" s="43">
        <v>36232</v>
      </c>
      <c r="V608" s="43" t="s">
        <v>1396</v>
      </c>
      <c r="W608" s="43" t="s">
        <v>1724</v>
      </c>
      <c r="X608" s="43" t="s">
        <v>1395</v>
      </c>
      <c r="Y608" s="43" t="s">
        <v>1417</v>
      </c>
      <c r="AA608" s="322">
        <v>36</v>
      </c>
      <c r="AB608" s="322">
        <v>46</v>
      </c>
      <c r="AC608" s="21" t="s">
        <v>139</v>
      </c>
      <c r="AG608" s="21" t="s">
        <v>1328</v>
      </c>
      <c r="AH608" s="21" t="s">
        <v>1533</v>
      </c>
      <c r="AI608" s="138" t="s">
        <v>577</v>
      </c>
      <c r="AJ608" s="21" t="s">
        <v>1588</v>
      </c>
      <c r="AK608" s="141" t="s">
        <v>1613</v>
      </c>
      <c r="AL608" s="21" t="s">
        <v>441</v>
      </c>
      <c r="AM608" s="21" t="s">
        <v>441</v>
      </c>
      <c r="AN608" s="21" t="s">
        <v>177</v>
      </c>
      <c r="AT608" s="21" t="s">
        <v>368</v>
      </c>
      <c r="AU608" s="21" t="s">
        <v>442</v>
      </c>
      <c r="AV608" s="21" t="s">
        <v>502</v>
      </c>
      <c r="AW608" s="21" t="s">
        <v>119</v>
      </c>
      <c r="AX608" s="21">
        <v>4</v>
      </c>
      <c r="AZ608" s="21" t="s">
        <v>335</v>
      </c>
      <c r="BD608" s="54"/>
      <c r="BP608" s="396"/>
      <c r="BQ608" s="396"/>
      <c r="BU608" s="396"/>
      <c r="BV608" s="396"/>
      <c r="BZ608" s="396"/>
      <c r="CA608" s="396"/>
      <c r="CE608" s="549"/>
      <c r="CF608" s="549"/>
      <c r="CG608" s="549"/>
      <c r="CH608" s="549"/>
      <c r="EW608" s="21">
        <f>101.24/232.3*100</f>
        <v>43.581575548859227</v>
      </c>
      <c r="EX608" s="21">
        <f>14.98/232.3*100</f>
        <v>6.4485578992681871</v>
      </c>
      <c r="FA608" s="21" t="s">
        <v>445</v>
      </c>
      <c r="FL608" s="21">
        <v>0.18060000000000001</v>
      </c>
      <c r="FM608" s="21">
        <v>0.1696</v>
      </c>
      <c r="FP608" s="21" t="s">
        <v>444</v>
      </c>
      <c r="GZ608" s="12"/>
      <c r="HD608" s="12"/>
      <c r="JB608" s="21" t="s">
        <v>715</v>
      </c>
    </row>
    <row r="609" spans="1:262" s="21" customFormat="1" x14ac:dyDescent="0.25">
      <c r="A609" s="21">
        <v>30</v>
      </c>
      <c r="B609" s="43" t="s">
        <v>3886</v>
      </c>
      <c r="C609" s="21" t="s">
        <v>437</v>
      </c>
      <c r="D609" s="21" t="s">
        <v>438</v>
      </c>
      <c r="E609" s="21">
        <v>2002</v>
      </c>
      <c r="F609" s="21">
        <v>1999</v>
      </c>
      <c r="G609" s="21" t="s">
        <v>439</v>
      </c>
      <c r="H609" s="21" t="s">
        <v>440</v>
      </c>
      <c r="I609" s="32" t="s">
        <v>2815</v>
      </c>
      <c r="J609" s="21">
        <f t="shared" si="199"/>
        <v>38.533333333333331</v>
      </c>
      <c r="K609" s="21">
        <f t="shared" si="200"/>
        <v>-121.78333333333333</v>
      </c>
      <c r="L609" s="21">
        <v>18.399999999999999</v>
      </c>
      <c r="P609" s="21">
        <v>483</v>
      </c>
      <c r="R609" s="43">
        <v>3</v>
      </c>
      <c r="S609" s="43" t="s">
        <v>1858</v>
      </c>
      <c r="T609" s="43"/>
      <c r="U609" s="43">
        <v>36232</v>
      </c>
      <c r="V609" s="43" t="s">
        <v>1396</v>
      </c>
      <c r="W609" s="43" t="s">
        <v>1724</v>
      </c>
      <c r="X609" s="43" t="s">
        <v>1395</v>
      </c>
      <c r="Y609" s="43" t="s">
        <v>1417</v>
      </c>
      <c r="AA609" s="322">
        <v>36</v>
      </c>
      <c r="AB609" s="322">
        <v>46</v>
      </c>
      <c r="AC609" s="21" t="s">
        <v>139</v>
      </c>
      <c r="AG609" s="21" t="s">
        <v>1328</v>
      </c>
      <c r="AH609" s="21" t="s">
        <v>1533</v>
      </c>
      <c r="AI609" s="138" t="s">
        <v>577</v>
      </c>
      <c r="AJ609" s="21" t="s">
        <v>1588</v>
      </c>
      <c r="AK609" s="141" t="s">
        <v>1613</v>
      </c>
      <c r="AL609" s="21" t="s">
        <v>441</v>
      </c>
      <c r="AM609" s="21" t="s">
        <v>441</v>
      </c>
      <c r="AN609" s="21" t="s">
        <v>177</v>
      </c>
      <c r="AT609" s="21" t="s">
        <v>368</v>
      </c>
      <c r="AU609" s="21" t="s">
        <v>443</v>
      </c>
      <c r="AV609" s="21" t="s">
        <v>502</v>
      </c>
      <c r="AW609" s="21" t="s">
        <v>119</v>
      </c>
      <c r="AX609" s="21">
        <v>4</v>
      </c>
      <c r="AZ609" s="21" t="s">
        <v>335</v>
      </c>
      <c r="BD609" s="54"/>
      <c r="BP609" s="396"/>
      <c r="BQ609" s="396"/>
      <c r="BU609" s="396"/>
      <c r="BV609" s="396"/>
      <c r="BZ609" s="396"/>
      <c r="CA609" s="396"/>
      <c r="CE609" s="549"/>
      <c r="CF609" s="549"/>
      <c r="CG609" s="549"/>
      <c r="CH609" s="549"/>
      <c r="EW609" s="21">
        <f>101.24/232.3*100</f>
        <v>43.581575548859227</v>
      </c>
      <c r="EX609" s="21">
        <f>15.92/232.3*100</f>
        <v>6.8532070598364179</v>
      </c>
      <c r="FA609" s="21" t="s">
        <v>445</v>
      </c>
      <c r="FL609" s="21">
        <v>0.18060000000000001</v>
      </c>
      <c r="FM609" s="21">
        <v>0.1696</v>
      </c>
      <c r="FP609" s="21" t="s">
        <v>444</v>
      </c>
      <c r="GZ609" s="12"/>
      <c r="HD609" s="12"/>
      <c r="JB609" s="21" t="s">
        <v>715</v>
      </c>
    </row>
    <row r="610" spans="1:262" s="21" customFormat="1" x14ac:dyDescent="0.25">
      <c r="A610" s="21">
        <v>30</v>
      </c>
      <c r="B610" s="43" t="s">
        <v>3886</v>
      </c>
      <c r="C610" s="21" t="s">
        <v>437</v>
      </c>
      <c r="D610" s="21" t="s">
        <v>438</v>
      </c>
      <c r="E610" s="21">
        <v>2002</v>
      </c>
      <c r="F610" s="21">
        <v>1999</v>
      </c>
      <c r="G610" s="21" t="s">
        <v>439</v>
      </c>
      <c r="H610" s="21" t="s">
        <v>440</v>
      </c>
      <c r="I610" s="32" t="s">
        <v>2815</v>
      </c>
      <c r="J610" s="21">
        <f t="shared" si="199"/>
        <v>38.533333333333331</v>
      </c>
      <c r="K610" s="21">
        <f t="shared" si="200"/>
        <v>-121.78333333333333</v>
      </c>
      <c r="L610" s="21">
        <v>18.399999999999999</v>
      </c>
      <c r="P610" s="21">
        <v>483</v>
      </c>
      <c r="R610" s="43">
        <v>3</v>
      </c>
      <c r="S610" s="43" t="s">
        <v>1858</v>
      </c>
      <c r="T610" s="43"/>
      <c r="U610" s="43">
        <v>36234</v>
      </c>
      <c r="V610" s="43" t="s">
        <v>1396</v>
      </c>
      <c r="W610" s="43" t="s">
        <v>1724</v>
      </c>
      <c r="X610" s="43" t="s">
        <v>1395</v>
      </c>
      <c r="Y610" s="43" t="s">
        <v>1417</v>
      </c>
      <c r="AA610" s="322">
        <v>36</v>
      </c>
      <c r="AB610" s="322">
        <v>46</v>
      </c>
      <c r="AC610" s="21" t="s">
        <v>139</v>
      </c>
      <c r="AG610" s="21" t="s">
        <v>1328</v>
      </c>
      <c r="AH610" s="21" t="s">
        <v>1533</v>
      </c>
      <c r="AI610" s="138" t="s">
        <v>577</v>
      </c>
      <c r="AJ610" s="21" t="s">
        <v>1588</v>
      </c>
      <c r="AK610" s="141" t="s">
        <v>1613</v>
      </c>
      <c r="AL610" s="21" t="s">
        <v>441</v>
      </c>
      <c r="AM610" s="21" t="s">
        <v>441</v>
      </c>
      <c r="AN610" s="21" t="s">
        <v>177</v>
      </c>
      <c r="AT610" s="21" t="s">
        <v>368</v>
      </c>
      <c r="AU610" s="21" t="s">
        <v>442</v>
      </c>
      <c r="AV610" s="21" t="s">
        <v>502</v>
      </c>
      <c r="AW610" s="21" t="s">
        <v>119</v>
      </c>
      <c r="AX610" s="21">
        <v>4</v>
      </c>
      <c r="AZ610" s="21" t="s">
        <v>335</v>
      </c>
      <c r="BD610" s="54"/>
      <c r="BP610" s="396"/>
      <c r="BQ610" s="396"/>
      <c r="BU610" s="396"/>
      <c r="BV610" s="396"/>
      <c r="BZ610" s="396"/>
      <c r="CA610" s="396"/>
      <c r="CE610" s="549"/>
      <c r="CF610" s="549"/>
      <c r="CG610" s="549"/>
      <c r="CH610" s="549"/>
      <c r="FL610" s="21">
        <v>0.18329999999999999</v>
      </c>
      <c r="FM610" s="21">
        <v>0.16689999999999999</v>
      </c>
      <c r="FP610" s="21" t="s">
        <v>444</v>
      </c>
      <c r="GZ610" s="12"/>
      <c r="HD610" s="12"/>
      <c r="JB610" s="21" t="s">
        <v>715</v>
      </c>
    </row>
    <row r="611" spans="1:262" s="21" customFormat="1" x14ac:dyDescent="0.25">
      <c r="A611" s="21">
        <v>30</v>
      </c>
      <c r="B611" s="43" t="s">
        <v>3886</v>
      </c>
      <c r="C611" s="21" t="s">
        <v>437</v>
      </c>
      <c r="D611" s="21" t="s">
        <v>438</v>
      </c>
      <c r="E611" s="21">
        <v>2002</v>
      </c>
      <c r="F611" s="21">
        <v>1999</v>
      </c>
      <c r="G611" s="21" t="s">
        <v>439</v>
      </c>
      <c r="H611" s="21" t="s">
        <v>440</v>
      </c>
      <c r="I611" s="32" t="s">
        <v>2815</v>
      </c>
      <c r="J611" s="21">
        <f t="shared" si="199"/>
        <v>38.533333333333331</v>
      </c>
      <c r="K611" s="21">
        <f t="shared" si="200"/>
        <v>-121.78333333333333</v>
      </c>
      <c r="L611" s="21">
        <v>18.399999999999999</v>
      </c>
      <c r="P611" s="21">
        <v>483</v>
      </c>
      <c r="R611" s="43">
        <v>3</v>
      </c>
      <c r="S611" s="43" t="s">
        <v>1858</v>
      </c>
      <c r="T611" s="43"/>
      <c r="U611" s="43">
        <v>36234</v>
      </c>
      <c r="V611" s="43" t="s">
        <v>1396</v>
      </c>
      <c r="W611" s="43" t="s">
        <v>1724</v>
      </c>
      <c r="X611" s="43" t="s">
        <v>1395</v>
      </c>
      <c r="Y611" s="43" t="s">
        <v>1417</v>
      </c>
      <c r="AA611" s="322">
        <v>36</v>
      </c>
      <c r="AB611" s="322">
        <v>46</v>
      </c>
      <c r="AC611" s="21" t="s">
        <v>139</v>
      </c>
      <c r="AG611" s="21" t="s">
        <v>1328</v>
      </c>
      <c r="AH611" s="21" t="s">
        <v>1533</v>
      </c>
      <c r="AI611" s="138" t="s">
        <v>577</v>
      </c>
      <c r="AJ611" s="21" t="s">
        <v>1588</v>
      </c>
      <c r="AK611" s="141" t="s">
        <v>1613</v>
      </c>
      <c r="AL611" s="21" t="s">
        <v>441</v>
      </c>
      <c r="AM611" s="21" t="s">
        <v>441</v>
      </c>
      <c r="AN611" s="21" t="s">
        <v>177</v>
      </c>
      <c r="AT611" s="21" t="s">
        <v>368</v>
      </c>
      <c r="AU611" s="21" t="s">
        <v>443</v>
      </c>
      <c r="AV611" s="21" t="s">
        <v>502</v>
      </c>
      <c r="AW611" s="21" t="s">
        <v>119</v>
      </c>
      <c r="AX611" s="21">
        <v>4</v>
      </c>
      <c r="AZ611" s="21" t="s">
        <v>335</v>
      </c>
      <c r="BD611" s="54"/>
      <c r="BP611" s="396"/>
      <c r="BQ611" s="396"/>
      <c r="BU611" s="396"/>
      <c r="BV611" s="396"/>
      <c r="BZ611" s="396"/>
      <c r="CA611" s="396"/>
      <c r="CE611" s="549"/>
      <c r="CF611" s="549"/>
      <c r="CG611" s="549"/>
      <c r="CH611" s="549"/>
      <c r="FL611" s="21">
        <v>0.18329999999999999</v>
      </c>
      <c r="FM611" s="21">
        <v>0.16689999999999999</v>
      </c>
      <c r="FP611" s="21" t="s">
        <v>444</v>
      </c>
      <c r="GZ611" s="12"/>
      <c r="HD611" s="12"/>
      <c r="JB611" s="21" t="s">
        <v>715</v>
      </c>
    </row>
    <row r="612" spans="1:262" s="21" customFormat="1" x14ac:dyDescent="0.25">
      <c r="A612" s="21">
        <v>30</v>
      </c>
      <c r="B612" s="43" t="s">
        <v>3886</v>
      </c>
      <c r="C612" s="21" t="s">
        <v>437</v>
      </c>
      <c r="D612" s="21" t="s">
        <v>438</v>
      </c>
      <c r="E612" s="21">
        <v>2002</v>
      </c>
      <c r="F612" s="21">
        <v>1999</v>
      </c>
      <c r="G612" s="21" t="s">
        <v>439</v>
      </c>
      <c r="H612" s="21" t="s">
        <v>440</v>
      </c>
      <c r="I612" s="32" t="s">
        <v>2815</v>
      </c>
      <c r="J612" s="21">
        <f t="shared" si="199"/>
        <v>38.533333333333331</v>
      </c>
      <c r="K612" s="21">
        <f t="shared" si="200"/>
        <v>-121.78333333333333</v>
      </c>
      <c r="L612" s="21">
        <v>18.399999999999999</v>
      </c>
      <c r="P612" s="21">
        <v>483</v>
      </c>
      <c r="R612" s="43">
        <v>3</v>
      </c>
      <c r="S612" s="43" t="s">
        <v>1858</v>
      </c>
      <c r="T612" s="43"/>
      <c r="U612" s="43">
        <v>36514</v>
      </c>
      <c r="V612" s="43" t="s">
        <v>1396</v>
      </c>
      <c r="W612" s="43" t="s">
        <v>1724</v>
      </c>
      <c r="X612" s="43" t="s">
        <v>1395</v>
      </c>
      <c r="Y612" s="43" t="s">
        <v>1417</v>
      </c>
      <c r="AA612" s="322">
        <v>36</v>
      </c>
      <c r="AB612" s="322">
        <v>46</v>
      </c>
      <c r="AC612" s="21" t="s">
        <v>139</v>
      </c>
      <c r="AG612" s="21" t="s">
        <v>1328</v>
      </c>
      <c r="AH612" s="21" t="s">
        <v>1533</v>
      </c>
      <c r="AI612" s="138" t="s">
        <v>577</v>
      </c>
      <c r="AJ612" s="21" t="s">
        <v>1588</v>
      </c>
      <c r="AK612" s="141" t="s">
        <v>1613</v>
      </c>
      <c r="AL612" s="21" t="s">
        <v>441</v>
      </c>
      <c r="AM612" s="21" t="s">
        <v>441</v>
      </c>
      <c r="AN612" s="21" t="s">
        <v>177</v>
      </c>
      <c r="AT612" s="21" t="s">
        <v>368</v>
      </c>
      <c r="AU612" s="21" t="s">
        <v>442</v>
      </c>
      <c r="AV612" s="21" t="s">
        <v>502</v>
      </c>
      <c r="AW612" s="21" t="s">
        <v>119</v>
      </c>
      <c r="AX612" s="21">
        <v>4</v>
      </c>
      <c r="AZ612" s="21" t="s">
        <v>335</v>
      </c>
      <c r="BD612" s="54"/>
      <c r="BP612" s="396"/>
      <c r="BQ612" s="396"/>
      <c r="BU612" s="396"/>
      <c r="BV612" s="396"/>
      <c r="BZ612" s="396"/>
      <c r="CA612" s="396"/>
      <c r="CE612" s="549"/>
      <c r="CF612" s="549"/>
      <c r="CG612" s="549"/>
      <c r="CH612" s="549"/>
      <c r="FL612" s="21">
        <v>0.10920000000000001</v>
      </c>
      <c r="FM612" s="21">
        <v>0.11459999999999999</v>
      </c>
      <c r="FP612" s="21" t="s">
        <v>444</v>
      </c>
      <c r="GZ612" s="12"/>
      <c r="HD612" s="12"/>
      <c r="JB612" s="21" t="s">
        <v>715</v>
      </c>
    </row>
    <row r="613" spans="1:262" s="21" customFormat="1" x14ac:dyDescent="0.25">
      <c r="A613" s="21">
        <v>30</v>
      </c>
      <c r="B613" s="43" t="s">
        <v>3886</v>
      </c>
      <c r="C613" s="21" t="s">
        <v>437</v>
      </c>
      <c r="D613" s="21" t="s">
        <v>438</v>
      </c>
      <c r="E613" s="21">
        <v>2002</v>
      </c>
      <c r="F613" s="21">
        <v>1999</v>
      </c>
      <c r="G613" s="21" t="s">
        <v>439</v>
      </c>
      <c r="H613" s="21" t="s">
        <v>440</v>
      </c>
      <c r="I613" s="32" t="s">
        <v>2815</v>
      </c>
      <c r="J613" s="21">
        <f t="shared" si="199"/>
        <v>38.533333333333331</v>
      </c>
      <c r="K613" s="21">
        <f t="shared" si="200"/>
        <v>-121.78333333333333</v>
      </c>
      <c r="L613" s="21">
        <v>18.399999999999999</v>
      </c>
      <c r="P613" s="21">
        <v>483</v>
      </c>
      <c r="R613" s="43">
        <v>3</v>
      </c>
      <c r="S613" s="43" t="s">
        <v>1858</v>
      </c>
      <c r="T613" s="43"/>
      <c r="U613" s="43">
        <v>36514</v>
      </c>
      <c r="V613" s="43" t="s">
        <v>1396</v>
      </c>
      <c r="W613" s="43" t="s">
        <v>1724</v>
      </c>
      <c r="X613" s="43" t="s">
        <v>1395</v>
      </c>
      <c r="Y613" s="43" t="s">
        <v>1417</v>
      </c>
      <c r="AA613" s="322">
        <v>36</v>
      </c>
      <c r="AB613" s="322">
        <v>46</v>
      </c>
      <c r="AC613" s="21" t="s">
        <v>139</v>
      </c>
      <c r="AG613" s="21" t="s">
        <v>1328</v>
      </c>
      <c r="AH613" s="21" t="s">
        <v>1533</v>
      </c>
      <c r="AI613" s="138" t="s">
        <v>577</v>
      </c>
      <c r="AJ613" s="21" t="s">
        <v>1588</v>
      </c>
      <c r="AK613" s="141" t="s">
        <v>1613</v>
      </c>
      <c r="AL613" s="21" t="s">
        <v>441</v>
      </c>
      <c r="AM613" s="21" t="s">
        <v>441</v>
      </c>
      <c r="AN613" s="21" t="s">
        <v>177</v>
      </c>
      <c r="AT613" s="21" t="s">
        <v>368</v>
      </c>
      <c r="AU613" s="21" t="s">
        <v>443</v>
      </c>
      <c r="AV613" s="21" t="s">
        <v>502</v>
      </c>
      <c r="AW613" s="21" t="s">
        <v>119</v>
      </c>
      <c r="AX613" s="21">
        <v>4</v>
      </c>
      <c r="AZ613" s="21" t="s">
        <v>335</v>
      </c>
      <c r="BD613" s="54"/>
      <c r="BP613" s="396"/>
      <c r="BQ613" s="396"/>
      <c r="BU613" s="396"/>
      <c r="BV613" s="396"/>
      <c r="BZ613" s="396"/>
      <c r="CA613" s="396"/>
      <c r="CE613" s="549"/>
      <c r="CF613" s="549"/>
      <c r="CG613" s="549"/>
      <c r="CH613" s="549"/>
      <c r="FL613" s="21">
        <v>0.10920000000000001</v>
      </c>
      <c r="FM613" s="21">
        <v>0.1265</v>
      </c>
      <c r="FP613" s="21" t="s">
        <v>444</v>
      </c>
      <c r="GZ613" s="12"/>
      <c r="HD613" s="12"/>
      <c r="JB613" s="21" t="s">
        <v>715</v>
      </c>
    </row>
    <row r="614" spans="1:262" s="21" customFormat="1" x14ac:dyDescent="0.25">
      <c r="A614" s="21">
        <v>30</v>
      </c>
      <c r="B614" s="43" t="s">
        <v>3886</v>
      </c>
      <c r="C614" s="21" t="s">
        <v>437</v>
      </c>
      <c r="D614" s="21" t="s">
        <v>438</v>
      </c>
      <c r="E614" s="21">
        <v>2002</v>
      </c>
      <c r="F614" s="21">
        <v>2000</v>
      </c>
      <c r="G614" s="21" t="s">
        <v>439</v>
      </c>
      <c r="H614" s="21" t="s">
        <v>440</v>
      </c>
      <c r="I614" s="32" t="s">
        <v>2815</v>
      </c>
      <c r="J614" s="21">
        <f t="shared" si="199"/>
        <v>38.533333333333331</v>
      </c>
      <c r="K614" s="21">
        <f t="shared" si="200"/>
        <v>-121.78333333333333</v>
      </c>
      <c r="L614" s="21">
        <v>18.399999999999999</v>
      </c>
      <c r="P614" s="21">
        <v>483</v>
      </c>
      <c r="R614" s="43">
        <v>4</v>
      </c>
      <c r="S614" s="43" t="s">
        <v>1858</v>
      </c>
      <c r="T614" s="43"/>
      <c r="U614" s="43">
        <v>36535</v>
      </c>
      <c r="V614" s="43" t="s">
        <v>1396</v>
      </c>
      <c r="W614" s="43" t="s">
        <v>1724</v>
      </c>
      <c r="X614" s="43" t="s">
        <v>1395</v>
      </c>
      <c r="Y614" s="43" t="s">
        <v>1417</v>
      </c>
      <c r="AA614" s="322">
        <v>36</v>
      </c>
      <c r="AB614" s="322">
        <v>46</v>
      </c>
      <c r="AC614" s="21" t="s">
        <v>139</v>
      </c>
      <c r="AG614" s="21" t="s">
        <v>1328</v>
      </c>
      <c r="AH614" s="21" t="s">
        <v>1533</v>
      </c>
      <c r="AI614" s="138" t="s">
        <v>577</v>
      </c>
      <c r="AJ614" s="21" t="s">
        <v>1588</v>
      </c>
      <c r="AK614" s="141" t="s">
        <v>1613</v>
      </c>
      <c r="AL614" s="21" t="s">
        <v>441</v>
      </c>
      <c r="AM614" s="21" t="s">
        <v>441</v>
      </c>
      <c r="AN614" s="21" t="s">
        <v>177</v>
      </c>
      <c r="AT614" s="21" t="s">
        <v>368</v>
      </c>
      <c r="AU614" s="21" t="s">
        <v>442</v>
      </c>
      <c r="AV614" s="21" t="s">
        <v>502</v>
      </c>
      <c r="AW614" s="21" t="s">
        <v>119</v>
      </c>
      <c r="AX614" s="21">
        <v>4</v>
      </c>
      <c r="AZ614" s="21" t="s">
        <v>335</v>
      </c>
      <c r="BD614" s="54"/>
      <c r="BP614" s="396"/>
      <c r="BQ614" s="396"/>
      <c r="BU614" s="396"/>
      <c r="BV614" s="396"/>
      <c r="BZ614" s="396"/>
      <c r="CA614" s="396"/>
      <c r="CE614" s="549"/>
      <c r="CF614" s="549"/>
      <c r="CG614" s="549"/>
      <c r="CH614" s="549"/>
      <c r="FL614" s="21">
        <v>0.10630000000000001</v>
      </c>
      <c r="FM614" s="21">
        <v>0.11360000000000001</v>
      </c>
      <c r="FP614" s="21" t="s">
        <v>444</v>
      </c>
      <c r="GZ614" s="12"/>
      <c r="HD614" s="12"/>
      <c r="JB614" s="21" t="s">
        <v>715</v>
      </c>
    </row>
    <row r="615" spans="1:262" s="21" customFormat="1" x14ac:dyDescent="0.25">
      <c r="A615" s="21">
        <v>30</v>
      </c>
      <c r="B615" s="43" t="s">
        <v>3886</v>
      </c>
      <c r="C615" s="21" t="s">
        <v>437</v>
      </c>
      <c r="D615" s="21" t="s">
        <v>438</v>
      </c>
      <c r="E615" s="21">
        <v>2002</v>
      </c>
      <c r="F615" s="21">
        <v>2000</v>
      </c>
      <c r="G615" s="21" t="s">
        <v>439</v>
      </c>
      <c r="H615" s="21" t="s">
        <v>440</v>
      </c>
      <c r="I615" s="32" t="s">
        <v>2815</v>
      </c>
      <c r="J615" s="21">
        <f t="shared" si="199"/>
        <v>38.533333333333331</v>
      </c>
      <c r="K615" s="21">
        <f t="shared" si="200"/>
        <v>-121.78333333333333</v>
      </c>
      <c r="L615" s="21">
        <v>18.399999999999999</v>
      </c>
      <c r="P615" s="21">
        <v>483</v>
      </c>
      <c r="R615" s="43">
        <v>4</v>
      </c>
      <c r="S615" s="43" t="s">
        <v>1858</v>
      </c>
      <c r="T615" s="43"/>
      <c r="U615" s="43">
        <v>36535</v>
      </c>
      <c r="V615" s="43" t="s">
        <v>1396</v>
      </c>
      <c r="W615" s="43" t="s">
        <v>1724</v>
      </c>
      <c r="X615" s="43" t="s">
        <v>1395</v>
      </c>
      <c r="Y615" s="43" t="s">
        <v>1417</v>
      </c>
      <c r="AA615" s="322">
        <v>36</v>
      </c>
      <c r="AB615" s="322">
        <v>46</v>
      </c>
      <c r="AC615" s="21" t="s">
        <v>139</v>
      </c>
      <c r="AG615" s="21" t="s">
        <v>1328</v>
      </c>
      <c r="AH615" s="21" t="s">
        <v>1533</v>
      </c>
      <c r="AI615" s="138" t="s">
        <v>577</v>
      </c>
      <c r="AJ615" s="21" t="s">
        <v>1588</v>
      </c>
      <c r="AK615" s="141" t="s">
        <v>1613</v>
      </c>
      <c r="AL615" s="21" t="s">
        <v>441</v>
      </c>
      <c r="AM615" s="21" t="s">
        <v>441</v>
      </c>
      <c r="AN615" s="21" t="s">
        <v>177</v>
      </c>
      <c r="AT615" s="21" t="s">
        <v>368</v>
      </c>
      <c r="AU615" s="21" t="s">
        <v>443</v>
      </c>
      <c r="AV615" s="21" t="s">
        <v>502</v>
      </c>
      <c r="AW615" s="21" t="s">
        <v>119</v>
      </c>
      <c r="AX615" s="21">
        <v>4</v>
      </c>
      <c r="AZ615" s="21" t="s">
        <v>335</v>
      </c>
      <c r="BD615" s="54"/>
      <c r="BP615" s="396"/>
      <c r="BQ615" s="396"/>
      <c r="BU615" s="396"/>
      <c r="BV615" s="396"/>
      <c r="BZ615" s="396"/>
      <c r="CA615" s="396"/>
      <c r="CE615" s="549"/>
      <c r="CF615" s="549"/>
      <c r="CG615" s="549"/>
      <c r="CH615" s="549"/>
      <c r="FL615" s="21">
        <v>0.10630000000000001</v>
      </c>
      <c r="FM615" s="21">
        <v>0.1255</v>
      </c>
      <c r="FP615" s="21" t="s">
        <v>444</v>
      </c>
      <c r="GZ615" s="12"/>
      <c r="HD615" s="12"/>
      <c r="JB615" s="21" t="s">
        <v>715</v>
      </c>
    </row>
    <row r="616" spans="1:262" s="21" customFormat="1" x14ac:dyDescent="0.25">
      <c r="A616" s="21">
        <v>30</v>
      </c>
      <c r="B616" s="43" t="s">
        <v>3886</v>
      </c>
      <c r="C616" s="21" t="s">
        <v>437</v>
      </c>
      <c r="D616" s="21" t="s">
        <v>438</v>
      </c>
      <c r="E616" s="21">
        <v>2002</v>
      </c>
      <c r="F616" s="21">
        <v>2000</v>
      </c>
      <c r="G616" s="21" t="s">
        <v>439</v>
      </c>
      <c r="H616" s="21" t="s">
        <v>440</v>
      </c>
      <c r="I616" s="32" t="s">
        <v>2815</v>
      </c>
      <c r="J616" s="21">
        <f t="shared" si="199"/>
        <v>38.533333333333331</v>
      </c>
      <c r="K616" s="21">
        <f t="shared" si="200"/>
        <v>-121.78333333333333</v>
      </c>
      <c r="L616" s="21">
        <v>18.399999999999999</v>
      </c>
      <c r="P616" s="21">
        <v>483</v>
      </c>
      <c r="R616" s="43">
        <v>4</v>
      </c>
      <c r="S616" s="43" t="s">
        <v>1858</v>
      </c>
      <c r="T616" s="43"/>
      <c r="U616" s="43">
        <v>36541</v>
      </c>
      <c r="V616" s="43" t="s">
        <v>1396</v>
      </c>
      <c r="W616" s="43" t="s">
        <v>1724</v>
      </c>
      <c r="X616" s="43" t="s">
        <v>1395</v>
      </c>
      <c r="Y616" s="43" t="s">
        <v>1417</v>
      </c>
      <c r="AA616" s="322">
        <v>36</v>
      </c>
      <c r="AB616" s="322">
        <v>46</v>
      </c>
      <c r="AC616" s="21" t="s">
        <v>139</v>
      </c>
      <c r="AG616" s="21" t="s">
        <v>1328</v>
      </c>
      <c r="AH616" s="21" t="s">
        <v>1533</v>
      </c>
      <c r="AI616" s="138" t="s">
        <v>577</v>
      </c>
      <c r="AJ616" s="21" t="s">
        <v>1588</v>
      </c>
      <c r="AK616" s="141" t="s">
        <v>1613</v>
      </c>
      <c r="AL616" s="21" t="s">
        <v>441</v>
      </c>
      <c r="AM616" s="21" t="s">
        <v>441</v>
      </c>
      <c r="AN616" s="21" t="s">
        <v>177</v>
      </c>
      <c r="AT616" s="21" t="s">
        <v>368</v>
      </c>
      <c r="AU616" s="21" t="s">
        <v>442</v>
      </c>
      <c r="AV616" s="21" t="s">
        <v>502</v>
      </c>
      <c r="AW616" s="21" t="s">
        <v>119</v>
      </c>
      <c r="AX616" s="21">
        <v>4</v>
      </c>
      <c r="AZ616" s="21" t="s">
        <v>335</v>
      </c>
      <c r="BD616" s="54"/>
      <c r="BP616" s="396"/>
      <c r="BQ616" s="396"/>
      <c r="BU616" s="396"/>
      <c r="BV616" s="396"/>
      <c r="BZ616" s="396"/>
      <c r="CA616" s="396"/>
      <c r="CE616" s="549"/>
      <c r="CF616" s="549"/>
      <c r="CG616" s="549"/>
      <c r="CH616" s="549"/>
      <c r="FL616" s="21">
        <v>0.1072</v>
      </c>
      <c r="FM616" s="21">
        <v>0.11360000000000001</v>
      </c>
      <c r="FP616" s="21" t="s">
        <v>444</v>
      </c>
      <c r="GZ616" s="12"/>
      <c r="HD616" s="12"/>
      <c r="JB616" s="21" t="s">
        <v>715</v>
      </c>
    </row>
    <row r="617" spans="1:262" s="21" customFormat="1" x14ac:dyDescent="0.25">
      <c r="A617" s="21">
        <v>30</v>
      </c>
      <c r="B617" s="43" t="s">
        <v>3886</v>
      </c>
      <c r="C617" s="21" t="s">
        <v>437</v>
      </c>
      <c r="D617" s="21" t="s">
        <v>438</v>
      </c>
      <c r="E617" s="21">
        <v>2002</v>
      </c>
      <c r="F617" s="21">
        <v>2000</v>
      </c>
      <c r="G617" s="21" t="s">
        <v>439</v>
      </c>
      <c r="H617" s="21" t="s">
        <v>440</v>
      </c>
      <c r="I617" s="32" t="s">
        <v>2815</v>
      </c>
      <c r="J617" s="21">
        <f t="shared" si="199"/>
        <v>38.533333333333331</v>
      </c>
      <c r="K617" s="21">
        <f t="shared" si="200"/>
        <v>-121.78333333333333</v>
      </c>
      <c r="L617" s="21">
        <v>18.399999999999999</v>
      </c>
      <c r="P617" s="21">
        <v>483</v>
      </c>
      <c r="R617" s="43">
        <v>4</v>
      </c>
      <c r="S617" s="43" t="s">
        <v>1858</v>
      </c>
      <c r="T617" s="43"/>
      <c r="U617" s="43">
        <v>36541</v>
      </c>
      <c r="V617" s="43" t="s">
        <v>1396</v>
      </c>
      <c r="W617" s="43" t="s">
        <v>1724</v>
      </c>
      <c r="X617" s="43" t="s">
        <v>1395</v>
      </c>
      <c r="Y617" s="43" t="s">
        <v>1417</v>
      </c>
      <c r="AA617" s="322">
        <v>36</v>
      </c>
      <c r="AB617" s="322">
        <v>46</v>
      </c>
      <c r="AC617" s="21" t="s">
        <v>139</v>
      </c>
      <c r="AG617" s="21" t="s">
        <v>1328</v>
      </c>
      <c r="AH617" s="21" t="s">
        <v>1533</v>
      </c>
      <c r="AI617" s="138" t="s">
        <v>577</v>
      </c>
      <c r="AJ617" s="21" t="s">
        <v>1588</v>
      </c>
      <c r="AK617" s="141" t="s">
        <v>1613</v>
      </c>
      <c r="AL617" s="21" t="s">
        <v>441</v>
      </c>
      <c r="AM617" s="21" t="s">
        <v>441</v>
      </c>
      <c r="AN617" s="21" t="s">
        <v>177</v>
      </c>
      <c r="AT617" s="21" t="s">
        <v>368</v>
      </c>
      <c r="AU617" s="21" t="s">
        <v>443</v>
      </c>
      <c r="AV617" s="21" t="s">
        <v>502</v>
      </c>
      <c r="AW617" s="21" t="s">
        <v>119</v>
      </c>
      <c r="AX617" s="21">
        <v>4</v>
      </c>
      <c r="AZ617" s="21" t="s">
        <v>335</v>
      </c>
      <c r="BD617" s="54"/>
      <c r="BP617" s="396"/>
      <c r="BQ617" s="396"/>
      <c r="BU617" s="396"/>
      <c r="BV617" s="396"/>
      <c r="BZ617" s="396"/>
      <c r="CA617" s="396"/>
      <c r="CE617" s="549"/>
      <c r="CF617" s="549"/>
      <c r="CG617" s="549"/>
      <c r="CH617" s="549"/>
      <c r="FL617" s="21">
        <v>0.1072</v>
      </c>
      <c r="FM617" s="21">
        <v>0.12540000000000001</v>
      </c>
      <c r="FP617" s="21" t="s">
        <v>444</v>
      </c>
      <c r="GZ617" s="12"/>
      <c r="HD617" s="12"/>
      <c r="JB617" s="21" t="s">
        <v>715</v>
      </c>
    </row>
    <row r="618" spans="1:262" s="21" customFormat="1" x14ac:dyDescent="0.25">
      <c r="A618" s="21">
        <v>30</v>
      </c>
      <c r="B618" s="43" t="s">
        <v>3886</v>
      </c>
      <c r="C618" s="21" t="s">
        <v>437</v>
      </c>
      <c r="D618" s="21" t="s">
        <v>438</v>
      </c>
      <c r="E618" s="21">
        <v>2002</v>
      </c>
      <c r="F618" s="21">
        <v>2000</v>
      </c>
      <c r="G618" s="21" t="s">
        <v>439</v>
      </c>
      <c r="H618" s="21" t="s">
        <v>440</v>
      </c>
      <c r="I618" s="32" t="s">
        <v>2815</v>
      </c>
      <c r="J618" s="21">
        <f t="shared" si="199"/>
        <v>38.533333333333331</v>
      </c>
      <c r="K618" s="21">
        <f t="shared" si="200"/>
        <v>-121.78333333333333</v>
      </c>
      <c r="L618" s="21">
        <v>18.399999999999999</v>
      </c>
      <c r="P618" s="21">
        <v>483</v>
      </c>
      <c r="R618" s="43">
        <v>4</v>
      </c>
      <c r="S618" s="43" t="s">
        <v>1858</v>
      </c>
      <c r="T618" s="43"/>
      <c r="U618" s="43">
        <v>36549</v>
      </c>
      <c r="V618" s="43" t="s">
        <v>1396</v>
      </c>
      <c r="W618" s="43" t="s">
        <v>1724</v>
      </c>
      <c r="X618" s="43" t="s">
        <v>1395</v>
      </c>
      <c r="Y618" s="43" t="s">
        <v>1417</v>
      </c>
      <c r="AA618" s="322">
        <v>36</v>
      </c>
      <c r="AB618" s="322">
        <v>46</v>
      </c>
      <c r="AC618" s="21" t="s">
        <v>139</v>
      </c>
      <c r="AG618" s="21" t="s">
        <v>1328</v>
      </c>
      <c r="AH618" s="21" t="s">
        <v>1533</v>
      </c>
      <c r="AI618" s="138" t="s">
        <v>577</v>
      </c>
      <c r="AJ618" s="21" t="s">
        <v>1588</v>
      </c>
      <c r="AK618" s="141" t="s">
        <v>1613</v>
      </c>
      <c r="AL618" s="21" t="s">
        <v>441</v>
      </c>
      <c r="AM618" s="21" t="s">
        <v>441</v>
      </c>
      <c r="AN618" s="21" t="s">
        <v>177</v>
      </c>
      <c r="AT618" s="21" t="s">
        <v>368</v>
      </c>
      <c r="AU618" s="21" t="s">
        <v>442</v>
      </c>
      <c r="AV618" s="21" t="s">
        <v>502</v>
      </c>
      <c r="AW618" s="21" t="s">
        <v>119</v>
      </c>
      <c r="AX618" s="21">
        <v>4</v>
      </c>
      <c r="AZ618" s="21" t="s">
        <v>335</v>
      </c>
      <c r="BD618" s="54"/>
      <c r="BP618" s="396"/>
      <c r="BQ618" s="396"/>
      <c r="BU618" s="396"/>
      <c r="BV618" s="396"/>
      <c r="BZ618" s="396"/>
      <c r="CA618" s="396"/>
      <c r="CE618" s="549"/>
      <c r="CF618" s="549"/>
      <c r="CG618" s="549"/>
      <c r="CH618" s="549"/>
      <c r="FL618" s="21">
        <v>0.1062</v>
      </c>
      <c r="FM618" s="21">
        <v>0.11360000000000001</v>
      </c>
      <c r="FP618" s="21" t="s">
        <v>444</v>
      </c>
      <c r="GZ618" s="12"/>
      <c r="HD618" s="12"/>
      <c r="JB618" s="21" t="s">
        <v>715</v>
      </c>
    </row>
    <row r="619" spans="1:262" s="21" customFormat="1" x14ac:dyDescent="0.25">
      <c r="A619" s="21">
        <v>30</v>
      </c>
      <c r="B619" s="43" t="s">
        <v>3886</v>
      </c>
      <c r="C619" s="21" t="s">
        <v>437</v>
      </c>
      <c r="D619" s="21" t="s">
        <v>438</v>
      </c>
      <c r="E619" s="21">
        <v>2002</v>
      </c>
      <c r="F619" s="21">
        <v>2000</v>
      </c>
      <c r="G619" s="21" t="s">
        <v>439</v>
      </c>
      <c r="H619" s="21" t="s">
        <v>440</v>
      </c>
      <c r="I619" s="32" t="s">
        <v>2815</v>
      </c>
      <c r="J619" s="21">
        <f t="shared" si="199"/>
        <v>38.533333333333331</v>
      </c>
      <c r="K619" s="21">
        <f t="shared" si="200"/>
        <v>-121.78333333333333</v>
      </c>
      <c r="L619" s="21">
        <v>18.399999999999999</v>
      </c>
      <c r="P619" s="21">
        <v>483</v>
      </c>
      <c r="R619" s="43">
        <v>4</v>
      </c>
      <c r="S619" s="43" t="s">
        <v>1858</v>
      </c>
      <c r="T619" s="43"/>
      <c r="U619" s="43">
        <v>36549</v>
      </c>
      <c r="V619" s="43" t="s">
        <v>1396</v>
      </c>
      <c r="W619" s="43" t="s">
        <v>1724</v>
      </c>
      <c r="X619" s="43" t="s">
        <v>1395</v>
      </c>
      <c r="Y619" s="43" t="s">
        <v>1417</v>
      </c>
      <c r="AA619" s="322">
        <v>36</v>
      </c>
      <c r="AB619" s="322">
        <v>46</v>
      </c>
      <c r="AC619" s="21" t="s">
        <v>139</v>
      </c>
      <c r="AG619" s="21" t="s">
        <v>1328</v>
      </c>
      <c r="AH619" s="21" t="s">
        <v>1533</v>
      </c>
      <c r="AI619" s="138" t="s">
        <v>577</v>
      </c>
      <c r="AJ619" s="21" t="s">
        <v>1588</v>
      </c>
      <c r="AK619" s="141" t="s">
        <v>1613</v>
      </c>
      <c r="AL619" s="21" t="s">
        <v>441</v>
      </c>
      <c r="AM619" s="21" t="s">
        <v>441</v>
      </c>
      <c r="AN619" s="21" t="s">
        <v>177</v>
      </c>
      <c r="AT619" s="21" t="s">
        <v>368</v>
      </c>
      <c r="AU619" s="21" t="s">
        <v>443</v>
      </c>
      <c r="AV619" s="21" t="s">
        <v>502</v>
      </c>
      <c r="AW619" s="21" t="s">
        <v>119</v>
      </c>
      <c r="AX619" s="21">
        <v>4</v>
      </c>
      <c r="AZ619" s="21" t="s">
        <v>335</v>
      </c>
      <c r="BD619" s="54"/>
      <c r="BP619" s="396"/>
      <c r="BQ619" s="396"/>
      <c r="BU619" s="396"/>
      <c r="BV619" s="396"/>
      <c r="BZ619" s="396"/>
      <c r="CA619" s="396"/>
      <c r="CE619" s="549"/>
      <c r="CF619" s="549"/>
      <c r="CG619" s="549"/>
      <c r="CH619" s="549"/>
      <c r="FL619" s="21">
        <v>0.1062</v>
      </c>
      <c r="FM619" s="21">
        <v>0.12540000000000001</v>
      </c>
      <c r="FP619" s="21" t="s">
        <v>444</v>
      </c>
      <c r="GZ619" s="12"/>
      <c r="HD619" s="12"/>
      <c r="JB619" s="21" t="s">
        <v>715</v>
      </c>
    </row>
    <row r="620" spans="1:262" s="21" customFormat="1" x14ac:dyDescent="0.25">
      <c r="A620" s="21">
        <v>30</v>
      </c>
      <c r="B620" s="43" t="s">
        <v>3886</v>
      </c>
      <c r="C620" s="21" t="s">
        <v>437</v>
      </c>
      <c r="D620" s="21" t="s">
        <v>438</v>
      </c>
      <c r="E620" s="21">
        <v>2002</v>
      </c>
      <c r="F620" s="21">
        <v>2000</v>
      </c>
      <c r="G620" s="21" t="s">
        <v>439</v>
      </c>
      <c r="H620" s="21" t="s">
        <v>440</v>
      </c>
      <c r="I620" s="32" t="s">
        <v>2815</v>
      </c>
      <c r="J620" s="21">
        <f t="shared" si="199"/>
        <v>38.533333333333331</v>
      </c>
      <c r="K620" s="21">
        <f t="shared" si="200"/>
        <v>-121.78333333333333</v>
      </c>
      <c r="L620" s="21">
        <v>18.399999999999999</v>
      </c>
      <c r="P620" s="21">
        <v>483</v>
      </c>
      <c r="R620" s="43">
        <v>4</v>
      </c>
      <c r="S620" s="43" t="s">
        <v>1858</v>
      </c>
      <c r="T620" s="43"/>
      <c r="U620" s="43">
        <v>36562</v>
      </c>
      <c r="V620" s="43" t="s">
        <v>1396</v>
      </c>
      <c r="W620" s="43" t="s">
        <v>1724</v>
      </c>
      <c r="X620" s="43" t="s">
        <v>1395</v>
      </c>
      <c r="Y620" s="43" t="s">
        <v>1417</v>
      </c>
      <c r="AA620" s="322">
        <v>36</v>
      </c>
      <c r="AB620" s="322">
        <v>46</v>
      </c>
      <c r="AC620" s="21" t="s">
        <v>139</v>
      </c>
      <c r="AG620" s="21" t="s">
        <v>1328</v>
      </c>
      <c r="AH620" s="21" t="s">
        <v>1533</v>
      </c>
      <c r="AI620" s="138" t="s">
        <v>577</v>
      </c>
      <c r="AJ620" s="21" t="s">
        <v>1588</v>
      </c>
      <c r="AK620" s="141" t="s">
        <v>1613</v>
      </c>
      <c r="AL620" s="21" t="s">
        <v>441</v>
      </c>
      <c r="AM620" s="21" t="s">
        <v>441</v>
      </c>
      <c r="AN620" s="21" t="s">
        <v>177</v>
      </c>
      <c r="AT620" s="21" t="s">
        <v>368</v>
      </c>
      <c r="AU620" s="21" t="s">
        <v>442</v>
      </c>
      <c r="AV620" s="21" t="s">
        <v>502</v>
      </c>
      <c r="AW620" s="21" t="s">
        <v>119</v>
      </c>
      <c r="AX620" s="21">
        <v>4</v>
      </c>
      <c r="AZ620" s="21" t="s">
        <v>335</v>
      </c>
      <c r="BD620" s="54"/>
      <c r="BP620" s="396"/>
      <c r="BQ620" s="396"/>
      <c r="BU620" s="396"/>
      <c r="BV620" s="396"/>
      <c r="BZ620" s="396"/>
      <c r="CA620" s="396"/>
      <c r="CE620" s="549"/>
      <c r="CF620" s="549"/>
      <c r="CG620" s="549"/>
      <c r="CH620" s="549"/>
      <c r="FL620" s="21">
        <v>0.13350000000000001</v>
      </c>
      <c r="FM620" s="21">
        <v>0.1472</v>
      </c>
      <c r="FP620" s="21" t="s">
        <v>444</v>
      </c>
      <c r="GZ620" s="12"/>
      <c r="HD620" s="12"/>
      <c r="JB620" s="21" t="s">
        <v>715</v>
      </c>
    </row>
    <row r="621" spans="1:262" s="21" customFormat="1" x14ac:dyDescent="0.25">
      <c r="A621" s="21">
        <v>30</v>
      </c>
      <c r="B621" s="43" t="s">
        <v>3886</v>
      </c>
      <c r="C621" s="21" t="s">
        <v>437</v>
      </c>
      <c r="D621" s="21" t="s">
        <v>438</v>
      </c>
      <c r="E621" s="21">
        <v>2002</v>
      </c>
      <c r="F621" s="21">
        <v>2000</v>
      </c>
      <c r="G621" s="21" t="s">
        <v>439</v>
      </c>
      <c r="H621" s="21" t="s">
        <v>440</v>
      </c>
      <c r="I621" s="32" t="s">
        <v>2815</v>
      </c>
      <c r="J621" s="21">
        <f t="shared" si="199"/>
        <v>38.533333333333331</v>
      </c>
      <c r="K621" s="21">
        <f t="shared" si="200"/>
        <v>-121.78333333333333</v>
      </c>
      <c r="L621" s="21">
        <v>18.399999999999999</v>
      </c>
      <c r="P621" s="21">
        <v>483</v>
      </c>
      <c r="R621" s="43">
        <v>4</v>
      </c>
      <c r="S621" s="43" t="s">
        <v>1858</v>
      </c>
      <c r="T621" s="43"/>
      <c r="U621" s="43">
        <v>36562</v>
      </c>
      <c r="V621" s="43" t="s">
        <v>1396</v>
      </c>
      <c r="W621" s="43" t="s">
        <v>1724</v>
      </c>
      <c r="X621" s="43" t="s">
        <v>1395</v>
      </c>
      <c r="Y621" s="43" t="s">
        <v>1417</v>
      </c>
      <c r="AA621" s="322">
        <v>36</v>
      </c>
      <c r="AB621" s="322">
        <v>46</v>
      </c>
      <c r="AC621" s="21" t="s">
        <v>139</v>
      </c>
      <c r="AG621" s="21" t="s">
        <v>1328</v>
      </c>
      <c r="AH621" s="21" t="s">
        <v>1533</v>
      </c>
      <c r="AI621" s="138" t="s">
        <v>577</v>
      </c>
      <c r="AJ621" s="21" t="s">
        <v>1588</v>
      </c>
      <c r="AK621" s="141" t="s">
        <v>1613</v>
      </c>
      <c r="AL621" s="21" t="s">
        <v>441</v>
      </c>
      <c r="AM621" s="21" t="s">
        <v>441</v>
      </c>
      <c r="AN621" s="21" t="s">
        <v>177</v>
      </c>
      <c r="AT621" s="21" t="s">
        <v>368</v>
      </c>
      <c r="AU621" s="21" t="s">
        <v>443</v>
      </c>
      <c r="AV621" s="21" t="s">
        <v>502</v>
      </c>
      <c r="AW621" s="21" t="s">
        <v>119</v>
      </c>
      <c r="AX621" s="21">
        <v>4</v>
      </c>
      <c r="AZ621" s="21" t="s">
        <v>335</v>
      </c>
      <c r="BD621" s="54"/>
      <c r="BP621" s="396"/>
      <c r="BQ621" s="396"/>
      <c r="BU621" s="396"/>
      <c r="BV621" s="396"/>
      <c r="BZ621" s="396"/>
      <c r="CA621" s="396"/>
      <c r="CE621" s="549"/>
      <c r="CF621" s="549"/>
      <c r="CG621" s="549"/>
      <c r="CH621" s="549"/>
      <c r="FL621" s="21">
        <v>0.13350000000000001</v>
      </c>
      <c r="FM621" s="21">
        <v>0.1381</v>
      </c>
      <c r="FP621" s="21" t="s">
        <v>444</v>
      </c>
      <c r="GZ621" s="12"/>
      <c r="HD621" s="12"/>
      <c r="JB621" s="21" t="s">
        <v>715</v>
      </c>
    </row>
    <row r="622" spans="1:262" s="21" customFormat="1" x14ac:dyDescent="0.25">
      <c r="A622" s="21">
        <v>30</v>
      </c>
      <c r="B622" s="43" t="s">
        <v>3886</v>
      </c>
      <c r="C622" s="21" t="s">
        <v>437</v>
      </c>
      <c r="D622" s="21" t="s">
        <v>438</v>
      </c>
      <c r="E622" s="21">
        <v>2002</v>
      </c>
      <c r="F622" s="21">
        <v>2000</v>
      </c>
      <c r="G622" s="21" t="s">
        <v>439</v>
      </c>
      <c r="H622" s="21" t="s">
        <v>440</v>
      </c>
      <c r="I622" s="32" t="s">
        <v>2815</v>
      </c>
      <c r="J622" s="21">
        <f t="shared" si="199"/>
        <v>38.533333333333331</v>
      </c>
      <c r="K622" s="21">
        <f t="shared" si="200"/>
        <v>-121.78333333333333</v>
      </c>
      <c r="L622" s="21">
        <v>18.399999999999999</v>
      </c>
      <c r="P622" s="21">
        <v>483</v>
      </c>
      <c r="R622" s="43">
        <v>4</v>
      </c>
      <c r="S622" s="43" t="s">
        <v>1858</v>
      </c>
      <c r="T622" s="43"/>
      <c r="U622" s="43">
        <v>36566</v>
      </c>
      <c r="V622" s="43" t="s">
        <v>1396</v>
      </c>
      <c r="W622" s="43" t="s">
        <v>1724</v>
      </c>
      <c r="X622" s="43" t="s">
        <v>1395</v>
      </c>
      <c r="Y622" s="43" t="s">
        <v>1417</v>
      </c>
      <c r="AA622" s="322">
        <v>36</v>
      </c>
      <c r="AB622" s="322">
        <v>46</v>
      </c>
      <c r="AC622" s="21" t="s">
        <v>139</v>
      </c>
      <c r="AG622" s="21" t="s">
        <v>1328</v>
      </c>
      <c r="AH622" s="21" t="s">
        <v>1533</v>
      </c>
      <c r="AI622" s="138" t="s">
        <v>577</v>
      </c>
      <c r="AJ622" s="21" t="s">
        <v>1588</v>
      </c>
      <c r="AK622" s="141" t="s">
        <v>1613</v>
      </c>
      <c r="AL622" s="21" t="s">
        <v>441</v>
      </c>
      <c r="AM622" s="21" t="s">
        <v>441</v>
      </c>
      <c r="AN622" s="21" t="s">
        <v>177</v>
      </c>
      <c r="AT622" s="21" t="s">
        <v>368</v>
      </c>
      <c r="AU622" s="21" t="s">
        <v>442</v>
      </c>
      <c r="AV622" s="21" t="s">
        <v>502</v>
      </c>
      <c r="AW622" s="21" t="s">
        <v>119</v>
      </c>
      <c r="AX622" s="21">
        <v>4</v>
      </c>
      <c r="AZ622" s="21" t="s">
        <v>335</v>
      </c>
      <c r="BD622" s="54"/>
      <c r="BP622" s="396"/>
      <c r="BQ622" s="396"/>
      <c r="BU622" s="396"/>
      <c r="BV622" s="396"/>
      <c r="BZ622" s="396"/>
      <c r="CA622" s="396"/>
      <c r="CE622" s="549"/>
      <c r="CF622" s="549"/>
      <c r="CG622" s="549"/>
      <c r="CH622" s="549"/>
      <c r="FL622" s="21">
        <v>0.1517</v>
      </c>
      <c r="FM622" s="21">
        <v>0.18179999999999999</v>
      </c>
      <c r="FP622" s="21" t="s">
        <v>444</v>
      </c>
      <c r="GZ622" s="12"/>
      <c r="HD622" s="12"/>
      <c r="JB622" s="21" t="s">
        <v>715</v>
      </c>
    </row>
    <row r="623" spans="1:262" s="21" customFormat="1" x14ac:dyDescent="0.25">
      <c r="A623" s="21">
        <v>30</v>
      </c>
      <c r="B623" s="43" t="s">
        <v>3886</v>
      </c>
      <c r="C623" s="21" t="s">
        <v>437</v>
      </c>
      <c r="D623" s="21" t="s">
        <v>438</v>
      </c>
      <c r="E623" s="21">
        <v>2002</v>
      </c>
      <c r="F623" s="21">
        <v>2000</v>
      </c>
      <c r="G623" s="21" t="s">
        <v>439</v>
      </c>
      <c r="H623" s="21" t="s">
        <v>440</v>
      </c>
      <c r="I623" s="32" t="s">
        <v>2815</v>
      </c>
      <c r="J623" s="21">
        <f t="shared" si="199"/>
        <v>38.533333333333331</v>
      </c>
      <c r="K623" s="21">
        <f t="shared" si="200"/>
        <v>-121.78333333333333</v>
      </c>
      <c r="L623" s="21">
        <v>18.399999999999999</v>
      </c>
      <c r="P623" s="21">
        <v>483</v>
      </c>
      <c r="R623" s="43">
        <v>4</v>
      </c>
      <c r="S623" s="43" t="s">
        <v>1858</v>
      </c>
      <c r="T623" s="43"/>
      <c r="U623" s="43">
        <v>36566</v>
      </c>
      <c r="V623" s="43" t="s">
        <v>1396</v>
      </c>
      <c r="W623" s="43" t="s">
        <v>1724</v>
      </c>
      <c r="X623" s="43" t="s">
        <v>1395</v>
      </c>
      <c r="Y623" s="43" t="s">
        <v>1417</v>
      </c>
      <c r="AA623" s="322">
        <v>36</v>
      </c>
      <c r="AB623" s="322">
        <v>46</v>
      </c>
      <c r="AC623" s="21" t="s">
        <v>139</v>
      </c>
      <c r="AG623" s="21" t="s">
        <v>1328</v>
      </c>
      <c r="AH623" s="21" t="s">
        <v>1533</v>
      </c>
      <c r="AI623" s="138" t="s">
        <v>577</v>
      </c>
      <c r="AJ623" s="21" t="s">
        <v>1588</v>
      </c>
      <c r="AK623" s="141" t="s">
        <v>1613</v>
      </c>
      <c r="AL623" s="21" t="s">
        <v>441</v>
      </c>
      <c r="AM623" s="21" t="s">
        <v>441</v>
      </c>
      <c r="AN623" s="21" t="s">
        <v>177</v>
      </c>
      <c r="AT623" s="21" t="s">
        <v>368</v>
      </c>
      <c r="AU623" s="21" t="s">
        <v>443</v>
      </c>
      <c r="AV623" s="21" t="s">
        <v>502</v>
      </c>
      <c r="AW623" s="21" t="s">
        <v>119</v>
      </c>
      <c r="AX623" s="21">
        <v>4</v>
      </c>
      <c r="AZ623" s="21" t="s">
        <v>335</v>
      </c>
      <c r="BD623" s="54"/>
      <c r="BP623" s="396"/>
      <c r="BQ623" s="396"/>
      <c r="BU623" s="396"/>
      <c r="BV623" s="396"/>
      <c r="BZ623" s="396"/>
      <c r="CA623" s="396"/>
      <c r="CE623" s="549"/>
      <c r="CF623" s="549"/>
      <c r="CG623" s="549"/>
      <c r="CH623" s="549"/>
      <c r="FL623" s="21">
        <v>0.1517</v>
      </c>
      <c r="FM623" s="21">
        <v>0.18179999999999999</v>
      </c>
      <c r="FP623" s="21" t="s">
        <v>444</v>
      </c>
      <c r="GZ623" s="12"/>
      <c r="HD623" s="12"/>
      <c r="JB623" s="21" t="s">
        <v>715</v>
      </c>
    </row>
    <row r="624" spans="1:262" s="21" customFormat="1" x14ac:dyDescent="0.25">
      <c r="A624" s="21">
        <v>30</v>
      </c>
      <c r="B624" s="43" t="s">
        <v>3886</v>
      </c>
      <c r="C624" s="21" t="s">
        <v>437</v>
      </c>
      <c r="D624" s="21" t="s">
        <v>438</v>
      </c>
      <c r="E624" s="21">
        <v>2002</v>
      </c>
      <c r="F624" s="21">
        <v>2000</v>
      </c>
      <c r="G624" s="21" t="s">
        <v>439</v>
      </c>
      <c r="H624" s="21" t="s">
        <v>440</v>
      </c>
      <c r="I624" s="32" t="s">
        <v>2815</v>
      </c>
      <c r="J624" s="21">
        <f t="shared" si="199"/>
        <v>38.533333333333331</v>
      </c>
      <c r="K624" s="21">
        <f t="shared" si="200"/>
        <v>-121.78333333333333</v>
      </c>
      <c r="L624" s="21">
        <v>18.399999999999999</v>
      </c>
      <c r="P624" s="21">
        <v>483</v>
      </c>
      <c r="R624" s="43">
        <v>4</v>
      </c>
      <c r="S624" s="43" t="s">
        <v>1858</v>
      </c>
      <c r="T624" s="43"/>
      <c r="U624" s="43">
        <v>36572</v>
      </c>
      <c r="V624" s="43" t="s">
        <v>1396</v>
      </c>
      <c r="W624" s="43" t="s">
        <v>1724</v>
      </c>
      <c r="X624" s="43" t="s">
        <v>1395</v>
      </c>
      <c r="Y624" s="43" t="s">
        <v>1417</v>
      </c>
      <c r="AA624" s="322">
        <v>36</v>
      </c>
      <c r="AB624" s="322">
        <v>46</v>
      </c>
      <c r="AC624" s="21" t="s">
        <v>139</v>
      </c>
      <c r="AG624" s="21" t="s">
        <v>1328</v>
      </c>
      <c r="AH624" s="21" t="s">
        <v>1533</v>
      </c>
      <c r="AI624" s="138" t="s">
        <v>577</v>
      </c>
      <c r="AJ624" s="21" t="s">
        <v>1588</v>
      </c>
      <c r="AK624" s="141" t="s">
        <v>1613</v>
      </c>
      <c r="AL624" s="21" t="s">
        <v>441</v>
      </c>
      <c r="AM624" s="21" t="s">
        <v>441</v>
      </c>
      <c r="AN624" s="21" t="s">
        <v>177</v>
      </c>
      <c r="AT624" s="21" t="s">
        <v>368</v>
      </c>
      <c r="AU624" s="21" t="s">
        <v>442</v>
      </c>
      <c r="AV624" s="21" t="s">
        <v>502</v>
      </c>
      <c r="AW624" s="21" t="s">
        <v>119</v>
      </c>
      <c r="AX624" s="21">
        <v>4</v>
      </c>
      <c r="AZ624" s="21" t="s">
        <v>335</v>
      </c>
      <c r="BD624" s="54"/>
      <c r="BP624" s="396"/>
      <c r="BQ624" s="396"/>
      <c r="BU624" s="396"/>
      <c r="BV624" s="396"/>
      <c r="BZ624" s="396"/>
      <c r="CA624" s="396"/>
      <c r="CE624" s="549"/>
      <c r="CF624" s="549"/>
      <c r="CG624" s="549"/>
      <c r="CH624" s="549"/>
      <c r="FL624" s="21">
        <v>0.1925</v>
      </c>
      <c r="FM624" s="21">
        <v>0.22900000000000001</v>
      </c>
      <c r="FP624" s="21" t="s">
        <v>444</v>
      </c>
      <c r="GZ624" s="12"/>
      <c r="HD624" s="12"/>
      <c r="JB624" s="21" t="s">
        <v>715</v>
      </c>
    </row>
    <row r="625" spans="1:262" s="21" customFormat="1" x14ac:dyDescent="0.25">
      <c r="A625" s="21">
        <v>30</v>
      </c>
      <c r="B625" s="43" t="s">
        <v>3886</v>
      </c>
      <c r="C625" s="21" t="s">
        <v>437</v>
      </c>
      <c r="D625" s="21" t="s">
        <v>438</v>
      </c>
      <c r="E625" s="21">
        <v>2002</v>
      </c>
      <c r="F625" s="21">
        <v>2000</v>
      </c>
      <c r="G625" s="21" t="s">
        <v>439</v>
      </c>
      <c r="H625" s="21" t="s">
        <v>440</v>
      </c>
      <c r="I625" s="32" t="s">
        <v>2815</v>
      </c>
      <c r="J625" s="21">
        <f t="shared" si="199"/>
        <v>38.533333333333331</v>
      </c>
      <c r="K625" s="21">
        <f t="shared" si="200"/>
        <v>-121.78333333333333</v>
      </c>
      <c r="L625" s="21">
        <v>18.399999999999999</v>
      </c>
      <c r="P625" s="21">
        <v>483</v>
      </c>
      <c r="R625" s="43">
        <v>4</v>
      </c>
      <c r="S625" s="43" t="s">
        <v>1858</v>
      </c>
      <c r="T625" s="43"/>
      <c r="U625" s="43">
        <v>36572</v>
      </c>
      <c r="V625" s="43" t="s">
        <v>1396</v>
      </c>
      <c r="W625" s="43" t="s">
        <v>1724</v>
      </c>
      <c r="X625" s="43" t="s">
        <v>1395</v>
      </c>
      <c r="Y625" s="43" t="s">
        <v>1417</v>
      </c>
      <c r="AA625" s="322">
        <v>36</v>
      </c>
      <c r="AB625" s="322">
        <v>46</v>
      </c>
      <c r="AC625" s="21" t="s">
        <v>139</v>
      </c>
      <c r="AG625" s="21" t="s">
        <v>1328</v>
      </c>
      <c r="AH625" s="21" t="s">
        <v>1533</v>
      </c>
      <c r="AI625" s="138" t="s">
        <v>577</v>
      </c>
      <c r="AJ625" s="21" t="s">
        <v>1588</v>
      </c>
      <c r="AK625" s="141" t="s">
        <v>1613</v>
      </c>
      <c r="AL625" s="21" t="s">
        <v>441</v>
      </c>
      <c r="AM625" s="21" t="s">
        <v>441</v>
      </c>
      <c r="AN625" s="21" t="s">
        <v>177</v>
      </c>
      <c r="AT625" s="21" t="s">
        <v>368</v>
      </c>
      <c r="AU625" s="21" t="s">
        <v>443</v>
      </c>
      <c r="AV625" s="21" t="s">
        <v>502</v>
      </c>
      <c r="AW625" s="21" t="s">
        <v>119</v>
      </c>
      <c r="AX625" s="21">
        <v>4</v>
      </c>
      <c r="AZ625" s="21" t="s">
        <v>335</v>
      </c>
      <c r="BD625" s="54"/>
      <c r="BP625" s="396"/>
      <c r="BQ625" s="396"/>
      <c r="BU625" s="396"/>
      <c r="BV625" s="396"/>
      <c r="BZ625" s="396"/>
      <c r="CA625" s="396"/>
      <c r="CE625" s="549"/>
      <c r="CF625" s="549"/>
      <c r="CG625" s="549"/>
      <c r="CH625" s="549"/>
      <c r="FL625" s="21">
        <v>0.1925</v>
      </c>
      <c r="FM625" s="21">
        <v>0.24629999999999999</v>
      </c>
      <c r="FP625" s="21" t="s">
        <v>444</v>
      </c>
      <c r="GZ625" s="12"/>
      <c r="HD625" s="12"/>
      <c r="JB625" s="21" t="s">
        <v>715</v>
      </c>
    </row>
    <row r="626" spans="1:262" s="21" customFormat="1" x14ac:dyDescent="0.25">
      <c r="A626" s="21">
        <v>30</v>
      </c>
      <c r="B626" s="43" t="s">
        <v>3886</v>
      </c>
      <c r="C626" s="21" t="s">
        <v>437</v>
      </c>
      <c r="D626" s="21" t="s">
        <v>438</v>
      </c>
      <c r="E626" s="21">
        <v>2002</v>
      </c>
      <c r="F626" s="21">
        <v>2000</v>
      </c>
      <c r="G626" s="21" t="s">
        <v>439</v>
      </c>
      <c r="H626" s="21" t="s">
        <v>440</v>
      </c>
      <c r="I626" s="32" t="s">
        <v>2815</v>
      </c>
      <c r="J626" s="21">
        <f t="shared" si="199"/>
        <v>38.533333333333331</v>
      </c>
      <c r="K626" s="21">
        <f t="shared" si="200"/>
        <v>-121.78333333333333</v>
      </c>
      <c r="L626" s="21">
        <v>18.399999999999999</v>
      </c>
      <c r="P626" s="21">
        <v>483</v>
      </c>
      <c r="R626" s="43">
        <v>4</v>
      </c>
      <c r="S626" s="43" t="s">
        <v>1858</v>
      </c>
      <c r="T626" s="43"/>
      <c r="U626" s="43">
        <v>36582</v>
      </c>
      <c r="V626" s="43" t="s">
        <v>1396</v>
      </c>
      <c r="W626" s="43" t="s">
        <v>1724</v>
      </c>
      <c r="X626" s="43" t="s">
        <v>1395</v>
      </c>
      <c r="Y626" s="43" t="s">
        <v>1417</v>
      </c>
      <c r="AA626" s="322">
        <v>36</v>
      </c>
      <c r="AB626" s="322">
        <v>46</v>
      </c>
      <c r="AC626" s="21" t="s">
        <v>139</v>
      </c>
      <c r="AG626" s="21" t="s">
        <v>1328</v>
      </c>
      <c r="AH626" s="21" t="s">
        <v>1533</v>
      </c>
      <c r="AI626" s="138" t="s">
        <v>577</v>
      </c>
      <c r="AJ626" s="21" t="s">
        <v>1588</v>
      </c>
      <c r="AK626" s="141" t="s">
        <v>1613</v>
      </c>
      <c r="AL626" s="21" t="s">
        <v>441</v>
      </c>
      <c r="AM626" s="21" t="s">
        <v>441</v>
      </c>
      <c r="AN626" s="21" t="s">
        <v>177</v>
      </c>
      <c r="AT626" s="21" t="s">
        <v>368</v>
      </c>
      <c r="AU626" s="21" t="s">
        <v>442</v>
      </c>
      <c r="AV626" s="21" t="s">
        <v>502</v>
      </c>
      <c r="AW626" s="21" t="s">
        <v>119</v>
      </c>
      <c r="AX626" s="21">
        <v>4</v>
      </c>
      <c r="AZ626" s="21" t="s">
        <v>335</v>
      </c>
      <c r="BD626" s="54"/>
      <c r="BP626" s="396"/>
      <c r="BQ626" s="396"/>
      <c r="BU626" s="396"/>
      <c r="BV626" s="396"/>
      <c r="BZ626" s="396"/>
      <c r="CA626" s="396"/>
      <c r="CE626" s="549"/>
      <c r="CF626" s="549"/>
      <c r="CG626" s="549"/>
      <c r="CH626" s="549"/>
      <c r="FL626" s="21">
        <v>0.19980000000000001</v>
      </c>
      <c r="FM626" s="21">
        <v>0.24540000000000001</v>
      </c>
      <c r="FP626" s="21" t="s">
        <v>444</v>
      </c>
      <c r="GZ626" s="12"/>
      <c r="HD626" s="12"/>
      <c r="JB626" s="21" t="s">
        <v>715</v>
      </c>
    </row>
    <row r="627" spans="1:262" s="21" customFormat="1" x14ac:dyDescent="0.25">
      <c r="A627" s="21">
        <v>30</v>
      </c>
      <c r="B627" s="43" t="s">
        <v>3886</v>
      </c>
      <c r="C627" s="21" t="s">
        <v>437</v>
      </c>
      <c r="D627" s="21" t="s">
        <v>438</v>
      </c>
      <c r="E627" s="21">
        <v>2002</v>
      </c>
      <c r="F627" s="21">
        <v>2000</v>
      </c>
      <c r="G627" s="21" t="s">
        <v>439</v>
      </c>
      <c r="H627" s="21" t="s">
        <v>440</v>
      </c>
      <c r="I627" s="32" t="s">
        <v>2815</v>
      </c>
      <c r="J627" s="21">
        <f t="shared" si="199"/>
        <v>38.533333333333331</v>
      </c>
      <c r="K627" s="21">
        <f t="shared" si="200"/>
        <v>-121.78333333333333</v>
      </c>
      <c r="L627" s="21">
        <v>18.399999999999999</v>
      </c>
      <c r="P627" s="21">
        <v>483</v>
      </c>
      <c r="R627" s="43">
        <v>4</v>
      </c>
      <c r="S627" s="43" t="s">
        <v>1858</v>
      </c>
      <c r="T627" s="43"/>
      <c r="U627" s="43">
        <v>36582</v>
      </c>
      <c r="V627" s="43" t="s">
        <v>1396</v>
      </c>
      <c r="W627" s="43" t="s">
        <v>1724</v>
      </c>
      <c r="X627" s="43" t="s">
        <v>1395</v>
      </c>
      <c r="Y627" s="43" t="s">
        <v>1417</v>
      </c>
      <c r="AA627" s="322">
        <v>36</v>
      </c>
      <c r="AB627" s="322">
        <v>46</v>
      </c>
      <c r="AC627" s="21" t="s">
        <v>139</v>
      </c>
      <c r="AG627" s="21" t="s">
        <v>1328</v>
      </c>
      <c r="AH627" s="21" t="s">
        <v>1533</v>
      </c>
      <c r="AI627" s="138" t="s">
        <v>577</v>
      </c>
      <c r="AJ627" s="21" t="s">
        <v>1588</v>
      </c>
      <c r="AK627" s="141" t="s">
        <v>1613</v>
      </c>
      <c r="AL627" s="21" t="s">
        <v>441</v>
      </c>
      <c r="AM627" s="21" t="s">
        <v>441</v>
      </c>
      <c r="AN627" s="21" t="s">
        <v>177</v>
      </c>
      <c r="AT627" s="21" t="s">
        <v>368</v>
      </c>
      <c r="AU627" s="21" t="s">
        <v>443</v>
      </c>
      <c r="AV627" s="21" t="s">
        <v>502</v>
      </c>
      <c r="AW627" s="21" t="s">
        <v>119</v>
      </c>
      <c r="AX627" s="21">
        <v>4</v>
      </c>
      <c r="AZ627" s="21" t="s">
        <v>335</v>
      </c>
      <c r="BD627" s="54"/>
      <c r="BP627" s="396"/>
      <c r="BQ627" s="396"/>
      <c r="BU627" s="396"/>
      <c r="BV627" s="396"/>
      <c r="BZ627" s="396"/>
      <c r="CA627" s="396"/>
      <c r="CE627" s="549"/>
      <c r="CF627" s="549"/>
      <c r="CG627" s="549"/>
      <c r="CH627" s="549"/>
      <c r="FL627" s="21">
        <v>0.19980000000000001</v>
      </c>
      <c r="FM627" s="21">
        <v>0.25359999999999999</v>
      </c>
      <c r="FP627" s="21" t="s">
        <v>444</v>
      </c>
      <c r="GZ627" s="12"/>
      <c r="HD627" s="12"/>
      <c r="JB627" s="21" t="s">
        <v>715</v>
      </c>
    </row>
    <row r="628" spans="1:262" s="21" customFormat="1" x14ac:dyDescent="0.25">
      <c r="A628" s="21">
        <v>30</v>
      </c>
      <c r="B628" s="43" t="s">
        <v>3886</v>
      </c>
      <c r="C628" s="21" t="s">
        <v>437</v>
      </c>
      <c r="D628" s="21" t="s">
        <v>438</v>
      </c>
      <c r="E628" s="21">
        <v>2002</v>
      </c>
      <c r="F628" s="21">
        <v>2000</v>
      </c>
      <c r="G628" s="21" t="s">
        <v>439</v>
      </c>
      <c r="H628" s="21" t="s">
        <v>440</v>
      </c>
      <c r="I628" s="32" t="s">
        <v>2815</v>
      </c>
      <c r="J628" s="21">
        <f t="shared" si="199"/>
        <v>38.533333333333331</v>
      </c>
      <c r="K628" s="21">
        <f t="shared" si="200"/>
        <v>-121.78333333333333</v>
      </c>
      <c r="L628" s="21">
        <v>18.399999999999999</v>
      </c>
      <c r="P628" s="21">
        <v>483</v>
      </c>
      <c r="R628" s="43">
        <v>4</v>
      </c>
      <c r="S628" s="43" t="s">
        <v>1858</v>
      </c>
      <c r="T628" s="43"/>
      <c r="U628" s="43">
        <v>36587</v>
      </c>
      <c r="V628" s="43" t="s">
        <v>1396</v>
      </c>
      <c r="W628" s="43" t="s">
        <v>1724</v>
      </c>
      <c r="X628" s="43" t="s">
        <v>1395</v>
      </c>
      <c r="Y628" s="43" t="s">
        <v>1417</v>
      </c>
      <c r="AA628" s="322">
        <v>36</v>
      </c>
      <c r="AB628" s="322">
        <v>46</v>
      </c>
      <c r="AC628" s="21" t="s">
        <v>139</v>
      </c>
      <c r="AG628" s="21" t="s">
        <v>1328</v>
      </c>
      <c r="AH628" s="21" t="s">
        <v>1533</v>
      </c>
      <c r="AI628" s="138" t="s">
        <v>577</v>
      </c>
      <c r="AJ628" s="21" t="s">
        <v>1588</v>
      </c>
      <c r="AK628" s="141" t="s">
        <v>1613</v>
      </c>
      <c r="AL628" s="21" t="s">
        <v>441</v>
      </c>
      <c r="AM628" s="21" t="s">
        <v>441</v>
      </c>
      <c r="AN628" s="21" t="s">
        <v>177</v>
      </c>
      <c r="AT628" s="21" t="s">
        <v>368</v>
      </c>
      <c r="AU628" s="21" t="s">
        <v>442</v>
      </c>
      <c r="AV628" s="21" t="s">
        <v>502</v>
      </c>
      <c r="AW628" s="21" t="s">
        <v>119</v>
      </c>
      <c r="AX628" s="21">
        <v>4</v>
      </c>
      <c r="AZ628" s="21" t="s">
        <v>335</v>
      </c>
      <c r="BD628" s="54"/>
      <c r="BP628" s="396"/>
      <c r="BQ628" s="396"/>
      <c r="BU628" s="396"/>
      <c r="BV628" s="396"/>
      <c r="BZ628" s="396"/>
      <c r="CA628" s="396"/>
      <c r="CE628" s="549"/>
      <c r="CF628" s="549"/>
      <c r="CG628" s="549"/>
      <c r="CH628" s="549"/>
      <c r="FL628" s="21">
        <v>0.2006</v>
      </c>
      <c r="FM628" s="21">
        <v>0.2389</v>
      </c>
      <c r="FP628" s="21" t="s">
        <v>444</v>
      </c>
      <c r="GZ628" s="12"/>
      <c r="HD628" s="12"/>
      <c r="JB628" s="21" t="s">
        <v>715</v>
      </c>
    </row>
    <row r="629" spans="1:262" s="21" customFormat="1" x14ac:dyDescent="0.25">
      <c r="A629" s="21">
        <v>30</v>
      </c>
      <c r="B629" s="43" t="s">
        <v>3886</v>
      </c>
      <c r="C629" s="21" t="s">
        <v>437</v>
      </c>
      <c r="D629" s="21" t="s">
        <v>438</v>
      </c>
      <c r="E629" s="21">
        <v>2002</v>
      </c>
      <c r="F629" s="21">
        <v>2000</v>
      </c>
      <c r="G629" s="21" t="s">
        <v>439</v>
      </c>
      <c r="H629" s="21" t="s">
        <v>440</v>
      </c>
      <c r="I629" s="32" t="s">
        <v>2815</v>
      </c>
      <c r="J629" s="21">
        <f t="shared" si="199"/>
        <v>38.533333333333331</v>
      </c>
      <c r="K629" s="21">
        <f t="shared" si="200"/>
        <v>-121.78333333333333</v>
      </c>
      <c r="L629" s="21">
        <v>18.399999999999999</v>
      </c>
      <c r="P629" s="21">
        <v>483</v>
      </c>
      <c r="R629" s="43">
        <v>4</v>
      </c>
      <c r="S629" s="43" t="s">
        <v>1858</v>
      </c>
      <c r="T629" s="43"/>
      <c r="U629" s="43">
        <v>36587</v>
      </c>
      <c r="V629" s="43" t="s">
        <v>1396</v>
      </c>
      <c r="W629" s="43" t="s">
        <v>1724</v>
      </c>
      <c r="X629" s="43" t="s">
        <v>1395</v>
      </c>
      <c r="Y629" s="43" t="s">
        <v>1417</v>
      </c>
      <c r="AA629" s="322">
        <v>36</v>
      </c>
      <c r="AB629" s="322">
        <v>46</v>
      </c>
      <c r="AC629" s="21" t="s">
        <v>139</v>
      </c>
      <c r="AG629" s="21" t="s">
        <v>1328</v>
      </c>
      <c r="AH629" s="21" t="s">
        <v>1533</v>
      </c>
      <c r="AI629" s="138" t="s">
        <v>577</v>
      </c>
      <c r="AJ629" s="21" t="s">
        <v>1588</v>
      </c>
      <c r="AK629" s="141" t="s">
        <v>1613</v>
      </c>
      <c r="AL629" s="21" t="s">
        <v>441</v>
      </c>
      <c r="AM629" s="21" t="s">
        <v>441</v>
      </c>
      <c r="AN629" s="21" t="s">
        <v>177</v>
      </c>
      <c r="AT629" s="21" t="s">
        <v>368</v>
      </c>
      <c r="AU629" s="21" t="s">
        <v>443</v>
      </c>
      <c r="AV629" s="21" t="s">
        <v>502</v>
      </c>
      <c r="AW629" s="21" t="s">
        <v>119</v>
      </c>
      <c r="AX629" s="21">
        <v>4</v>
      </c>
      <c r="AZ629" s="21" t="s">
        <v>335</v>
      </c>
      <c r="BD629" s="54"/>
      <c r="BP629" s="396"/>
      <c r="BQ629" s="396"/>
      <c r="BU629" s="396"/>
      <c r="BV629" s="396"/>
      <c r="BZ629" s="396"/>
      <c r="CA629" s="396"/>
      <c r="CE629" s="549"/>
      <c r="CF629" s="549"/>
      <c r="CG629" s="549"/>
      <c r="CH629" s="549"/>
      <c r="FL629" s="21">
        <v>0.2006</v>
      </c>
      <c r="FM629" s="21">
        <v>0.25169999999999998</v>
      </c>
      <c r="FP629" s="21" t="s">
        <v>444</v>
      </c>
      <c r="GZ629" s="12"/>
      <c r="HD629" s="12"/>
      <c r="JB629" s="21" t="s">
        <v>715</v>
      </c>
    </row>
    <row r="630" spans="1:262" s="21" customFormat="1" x14ac:dyDescent="0.25">
      <c r="A630" s="21">
        <v>30</v>
      </c>
      <c r="B630" s="43" t="s">
        <v>3886</v>
      </c>
      <c r="C630" s="21" t="s">
        <v>437</v>
      </c>
      <c r="D630" s="21" t="s">
        <v>438</v>
      </c>
      <c r="E630" s="21">
        <v>2002</v>
      </c>
      <c r="F630" s="21">
        <v>2000</v>
      </c>
      <c r="G630" s="21" t="s">
        <v>439</v>
      </c>
      <c r="H630" s="21" t="s">
        <v>440</v>
      </c>
      <c r="I630" s="32" t="s">
        <v>2815</v>
      </c>
      <c r="J630" s="21">
        <f t="shared" si="199"/>
        <v>38.533333333333331</v>
      </c>
      <c r="K630" s="21">
        <f t="shared" si="200"/>
        <v>-121.78333333333333</v>
      </c>
      <c r="L630" s="21">
        <v>18.399999999999999</v>
      </c>
      <c r="P630" s="21">
        <v>483</v>
      </c>
      <c r="R630" s="43">
        <v>4</v>
      </c>
      <c r="S630" s="43" t="s">
        <v>1858</v>
      </c>
      <c r="T630" s="43"/>
      <c r="U630" s="43">
        <v>36598</v>
      </c>
      <c r="V630" s="43" t="s">
        <v>1396</v>
      </c>
      <c r="W630" s="43" t="s">
        <v>1724</v>
      </c>
      <c r="X630" s="43" t="s">
        <v>1395</v>
      </c>
      <c r="Y630" s="43" t="s">
        <v>1417</v>
      </c>
      <c r="AA630" s="322">
        <v>36</v>
      </c>
      <c r="AB630" s="322">
        <v>46</v>
      </c>
      <c r="AC630" s="21" t="s">
        <v>139</v>
      </c>
      <c r="AG630" s="21" t="s">
        <v>1328</v>
      </c>
      <c r="AH630" s="21" t="s">
        <v>1533</v>
      </c>
      <c r="AI630" s="138" t="s">
        <v>577</v>
      </c>
      <c r="AJ630" s="21" t="s">
        <v>1588</v>
      </c>
      <c r="AK630" s="141" t="s">
        <v>1613</v>
      </c>
      <c r="AL630" s="21" t="s">
        <v>441</v>
      </c>
      <c r="AM630" s="21" t="s">
        <v>441</v>
      </c>
      <c r="AN630" s="21" t="s">
        <v>177</v>
      </c>
      <c r="AT630" s="21" t="s">
        <v>368</v>
      </c>
      <c r="AU630" s="21" t="s">
        <v>442</v>
      </c>
      <c r="AV630" s="21" t="s">
        <v>502</v>
      </c>
      <c r="AW630" s="21" t="s">
        <v>119</v>
      </c>
      <c r="AX630" s="21">
        <v>4</v>
      </c>
      <c r="AZ630" s="21" t="s">
        <v>335</v>
      </c>
      <c r="BD630" s="54"/>
      <c r="BP630" s="396"/>
      <c r="BQ630" s="396"/>
      <c r="BU630" s="396"/>
      <c r="BV630" s="396"/>
      <c r="BZ630" s="396"/>
      <c r="CA630" s="396"/>
      <c r="CE630" s="549"/>
      <c r="CF630" s="549"/>
      <c r="CG630" s="549"/>
      <c r="CH630" s="549"/>
      <c r="FL630" s="21">
        <v>0.1988</v>
      </c>
      <c r="FM630" s="21">
        <v>0.2334</v>
      </c>
      <c r="FP630" s="21" t="s">
        <v>444</v>
      </c>
      <c r="GZ630" s="12"/>
      <c r="HD630" s="12"/>
      <c r="JB630" s="21" t="s">
        <v>715</v>
      </c>
    </row>
    <row r="631" spans="1:262" s="21" customFormat="1" x14ac:dyDescent="0.25">
      <c r="A631" s="21">
        <v>30</v>
      </c>
      <c r="B631" s="43" t="s">
        <v>3886</v>
      </c>
      <c r="C631" s="21" t="s">
        <v>437</v>
      </c>
      <c r="D631" s="21" t="s">
        <v>438</v>
      </c>
      <c r="E631" s="21">
        <v>2002</v>
      </c>
      <c r="F631" s="21">
        <v>2000</v>
      </c>
      <c r="G631" s="21" t="s">
        <v>439</v>
      </c>
      <c r="H631" s="21" t="s">
        <v>440</v>
      </c>
      <c r="I631" s="32" t="s">
        <v>2815</v>
      </c>
      <c r="J631" s="21">
        <f t="shared" si="199"/>
        <v>38.533333333333331</v>
      </c>
      <c r="K631" s="21">
        <f t="shared" si="200"/>
        <v>-121.78333333333333</v>
      </c>
      <c r="L631" s="21">
        <v>18.399999999999999</v>
      </c>
      <c r="P631" s="21">
        <v>483</v>
      </c>
      <c r="R631" s="43">
        <v>4</v>
      </c>
      <c r="S631" s="43" t="s">
        <v>1858</v>
      </c>
      <c r="T631" s="43"/>
      <c r="U631" s="43">
        <v>36598</v>
      </c>
      <c r="V631" s="43" t="s">
        <v>1396</v>
      </c>
      <c r="W631" s="43" t="s">
        <v>1724</v>
      </c>
      <c r="X631" s="43" t="s">
        <v>1395</v>
      </c>
      <c r="Y631" s="43" t="s">
        <v>1417</v>
      </c>
      <c r="AA631" s="322">
        <v>36</v>
      </c>
      <c r="AB631" s="322">
        <v>46</v>
      </c>
      <c r="AC631" s="21" t="s">
        <v>139</v>
      </c>
      <c r="AG631" s="21" t="s">
        <v>1328</v>
      </c>
      <c r="AH631" s="21" t="s">
        <v>1533</v>
      </c>
      <c r="AI631" s="138" t="s">
        <v>577</v>
      </c>
      <c r="AJ631" s="21" t="s">
        <v>1588</v>
      </c>
      <c r="AK631" s="141" t="s">
        <v>1613</v>
      </c>
      <c r="AL631" s="21" t="s">
        <v>441</v>
      </c>
      <c r="AM631" s="21" t="s">
        <v>441</v>
      </c>
      <c r="AN631" s="21" t="s">
        <v>177</v>
      </c>
      <c r="AT631" s="21" t="s">
        <v>368</v>
      </c>
      <c r="AU631" s="21" t="s">
        <v>443</v>
      </c>
      <c r="AV631" s="21" t="s">
        <v>502</v>
      </c>
      <c r="AW631" s="21" t="s">
        <v>119</v>
      </c>
      <c r="AX631" s="21">
        <v>4</v>
      </c>
      <c r="AZ631" s="21" t="s">
        <v>335</v>
      </c>
      <c r="BD631" s="54"/>
      <c r="BP631" s="396"/>
      <c r="BQ631" s="396"/>
      <c r="BU631" s="396"/>
      <c r="BV631" s="396"/>
      <c r="BZ631" s="396"/>
      <c r="CA631" s="396"/>
      <c r="CE631" s="549"/>
      <c r="CF631" s="549"/>
      <c r="CG631" s="549"/>
      <c r="CH631" s="549"/>
      <c r="FL631" s="21">
        <v>0.1988</v>
      </c>
      <c r="FM631" s="21">
        <v>0.24709999999999999</v>
      </c>
      <c r="FP631" s="21" t="s">
        <v>444</v>
      </c>
      <c r="GZ631" s="12"/>
      <c r="HD631" s="12"/>
      <c r="JB631" s="21" t="s">
        <v>715</v>
      </c>
    </row>
    <row r="632" spans="1:262" s="33" customFormat="1" x14ac:dyDescent="0.25">
      <c r="A632" s="33">
        <v>30</v>
      </c>
      <c r="B632" s="47" t="s">
        <v>3887</v>
      </c>
      <c r="C632" s="33" t="s">
        <v>437</v>
      </c>
      <c r="D632" s="33" t="s">
        <v>438</v>
      </c>
      <c r="E632" s="33">
        <v>2002</v>
      </c>
      <c r="F632" s="33">
        <v>1998</v>
      </c>
      <c r="G632" s="33" t="s">
        <v>439</v>
      </c>
      <c r="H632" s="33" t="s">
        <v>440</v>
      </c>
      <c r="I632" s="32" t="s">
        <v>2815</v>
      </c>
      <c r="J632" s="33">
        <f t="shared" ref="J632:J663" si="201">38+32/60</f>
        <v>38.533333333333331</v>
      </c>
      <c r="K632" s="33">
        <f t="shared" ref="K632:K663" si="202">-121-47/60</f>
        <v>-121.78333333333333</v>
      </c>
      <c r="L632" s="33">
        <v>18.399999999999999</v>
      </c>
      <c r="P632" s="33">
        <v>483</v>
      </c>
      <c r="R632" s="47">
        <v>2</v>
      </c>
      <c r="S632" s="47" t="s">
        <v>1858</v>
      </c>
      <c r="T632" s="47"/>
      <c r="U632" s="47">
        <v>36145</v>
      </c>
      <c r="V632" s="47" t="s">
        <v>1397</v>
      </c>
      <c r="W632" s="47" t="s">
        <v>1725</v>
      </c>
      <c r="X632" s="47" t="s">
        <v>1395</v>
      </c>
      <c r="Y632" s="47" t="s">
        <v>1417</v>
      </c>
      <c r="AA632" s="327">
        <v>36</v>
      </c>
      <c r="AB632" s="327">
        <v>46</v>
      </c>
      <c r="AC632" s="33" t="s">
        <v>139</v>
      </c>
      <c r="AG632" s="33" t="s">
        <v>1328</v>
      </c>
      <c r="AH632" s="33" t="s">
        <v>1533</v>
      </c>
      <c r="AI632" s="138" t="s">
        <v>577</v>
      </c>
      <c r="AJ632" s="33" t="s">
        <v>1588</v>
      </c>
      <c r="AK632" s="141" t="s">
        <v>1613</v>
      </c>
      <c r="AL632" s="33" t="s">
        <v>441</v>
      </c>
      <c r="AM632" s="33" t="s">
        <v>441</v>
      </c>
      <c r="AN632" s="33" t="s">
        <v>177</v>
      </c>
      <c r="AT632" s="33" t="s">
        <v>368</v>
      </c>
      <c r="AU632" s="33" t="s">
        <v>442</v>
      </c>
      <c r="AV632" s="33" t="s">
        <v>502</v>
      </c>
      <c r="AW632" s="33" t="s">
        <v>119</v>
      </c>
      <c r="AX632" s="33">
        <v>4</v>
      </c>
      <c r="AZ632" s="33" t="s">
        <v>335</v>
      </c>
      <c r="BD632" s="54"/>
      <c r="BP632" s="402"/>
      <c r="BQ632" s="402"/>
      <c r="BU632" s="402"/>
      <c r="BV632" s="402"/>
      <c r="BZ632" s="402"/>
      <c r="CA632" s="402"/>
      <c r="CE632" s="555"/>
      <c r="CF632" s="555"/>
      <c r="CG632" s="555"/>
      <c r="CH632" s="555"/>
      <c r="FL632" s="33">
        <v>0.1116</v>
      </c>
      <c r="FM632" s="33">
        <v>0.108</v>
      </c>
      <c r="FP632" s="33" t="s">
        <v>444</v>
      </c>
      <c r="GZ632" s="12"/>
      <c r="HD632" s="12"/>
      <c r="JB632" s="33" t="s">
        <v>715</v>
      </c>
    </row>
    <row r="633" spans="1:262" s="33" customFormat="1" x14ac:dyDescent="0.25">
      <c r="A633" s="33">
        <v>30</v>
      </c>
      <c r="B633" s="47" t="s">
        <v>3887</v>
      </c>
      <c r="C633" s="33" t="s">
        <v>437</v>
      </c>
      <c r="D633" s="33" t="s">
        <v>438</v>
      </c>
      <c r="E633" s="33">
        <v>2002</v>
      </c>
      <c r="F633" s="33">
        <v>1998</v>
      </c>
      <c r="G633" s="33" t="s">
        <v>439</v>
      </c>
      <c r="H633" s="33" t="s">
        <v>440</v>
      </c>
      <c r="I633" s="32" t="s">
        <v>2815</v>
      </c>
      <c r="J633" s="33">
        <f t="shared" si="201"/>
        <v>38.533333333333331</v>
      </c>
      <c r="K633" s="33">
        <f t="shared" si="202"/>
        <v>-121.78333333333333</v>
      </c>
      <c r="L633" s="33">
        <v>18.399999999999999</v>
      </c>
      <c r="P633" s="33">
        <v>483</v>
      </c>
      <c r="R633" s="47">
        <v>2</v>
      </c>
      <c r="S633" s="47" t="s">
        <v>1858</v>
      </c>
      <c r="T633" s="47"/>
      <c r="U633" s="47">
        <v>36145</v>
      </c>
      <c r="V633" s="47" t="s">
        <v>1397</v>
      </c>
      <c r="W633" s="47" t="s">
        <v>1725</v>
      </c>
      <c r="X633" s="47" t="s">
        <v>1395</v>
      </c>
      <c r="Y633" s="47" t="s">
        <v>1417</v>
      </c>
      <c r="AA633" s="327">
        <v>36</v>
      </c>
      <c r="AB633" s="327">
        <v>46</v>
      </c>
      <c r="AC633" s="33" t="s">
        <v>139</v>
      </c>
      <c r="AG633" s="33" t="s">
        <v>1328</v>
      </c>
      <c r="AH633" s="33" t="s">
        <v>1533</v>
      </c>
      <c r="AI633" s="138" t="s">
        <v>577</v>
      </c>
      <c r="AJ633" s="33" t="s">
        <v>1588</v>
      </c>
      <c r="AK633" s="141" t="s">
        <v>1613</v>
      </c>
      <c r="AL633" s="33" t="s">
        <v>441</v>
      </c>
      <c r="AM633" s="33" t="s">
        <v>441</v>
      </c>
      <c r="AN633" s="33" t="s">
        <v>177</v>
      </c>
      <c r="AT633" s="33" t="s">
        <v>368</v>
      </c>
      <c r="AU633" s="33" t="s">
        <v>443</v>
      </c>
      <c r="AV633" s="33" t="s">
        <v>502</v>
      </c>
      <c r="AW633" s="33" t="s">
        <v>119</v>
      </c>
      <c r="AX633" s="33">
        <v>4</v>
      </c>
      <c r="AZ633" s="33" t="s">
        <v>335</v>
      </c>
      <c r="BD633" s="54"/>
      <c r="BP633" s="402"/>
      <c r="BQ633" s="402"/>
      <c r="BU633" s="402"/>
      <c r="BV633" s="402"/>
      <c r="BZ633" s="402"/>
      <c r="CA633" s="402"/>
      <c r="CE633" s="555"/>
      <c r="CF633" s="555"/>
      <c r="CG633" s="555"/>
      <c r="CH633" s="555"/>
      <c r="FL633" s="33">
        <v>0.1116</v>
      </c>
      <c r="FM633" s="33">
        <v>0.108</v>
      </c>
      <c r="FP633" s="33" t="s">
        <v>444</v>
      </c>
      <c r="GZ633" s="12"/>
      <c r="HD633" s="12"/>
      <c r="JB633" s="33" t="s">
        <v>715</v>
      </c>
    </row>
    <row r="634" spans="1:262" s="33" customFormat="1" x14ac:dyDescent="0.25">
      <c r="A634" s="33">
        <v>30</v>
      </c>
      <c r="B634" s="47" t="s">
        <v>3887</v>
      </c>
      <c r="C634" s="33" t="s">
        <v>437</v>
      </c>
      <c r="D634" s="33" t="s">
        <v>438</v>
      </c>
      <c r="E634" s="33">
        <v>2002</v>
      </c>
      <c r="F634" s="33">
        <v>1999</v>
      </c>
      <c r="G634" s="33" t="s">
        <v>439</v>
      </c>
      <c r="H634" s="33" t="s">
        <v>440</v>
      </c>
      <c r="I634" s="32" t="s">
        <v>2815</v>
      </c>
      <c r="J634" s="33">
        <f t="shared" si="201"/>
        <v>38.533333333333331</v>
      </c>
      <c r="K634" s="33">
        <f t="shared" si="202"/>
        <v>-121.78333333333333</v>
      </c>
      <c r="L634" s="33">
        <v>18.399999999999999</v>
      </c>
      <c r="P634" s="33">
        <v>483</v>
      </c>
      <c r="R634" s="47">
        <v>3</v>
      </c>
      <c r="S634" s="47" t="s">
        <v>1858</v>
      </c>
      <c r="T634" s="47"/>
      <c r="U634" s="47">
        <v>36170</v>
      </c>
      <c r="V634" s="47" t="s">
        <v>1397</v>
      </c>
      <c r="W634" s="47" t="s">
        <v>1725</v>
      </c>
      <c r="X634" s="47" t="s">
        <v>1395</v>
      </c>
      <c r="Y634" s="47" t="s">
        <v>1417</v>
      </c>
      <c r="AA634" s="327">
        <v>36</v>
      </c>
      <c r="AB634" s="327">
        <v>46</v>
      </c>
      <c r="AC634" s="33" t="s">
        <v>139</v>
      </c>
      <c r="AG634" s="33" t="s">
        <v>1328</v>
      </c>
      <c r="AH634" s="33" t="s">
        <v>1533</v>
      </c>
      <c r="AI634" s="138" t="s">
        <v>577</v>
      </c>
      <c r="AJ634" s="33" t="s">
        <v>1588</v>
      </c>
      <c r="AK634" s="141" t="s">
        <v>1613</v>
      </c>
      <c r="AL634" s="33" t="s">
        <v>441</v>
      </c>
      <c r="AM634" s="33" t="s">
        <v>441</v>
      </c>
      <c r="AN634" s="33" t="s">
        <v>177</v>
      </c>
      <c r="AT634" s="33" t="s">
        <v>368</v>
      </c>
      <c r="AU634" s="33" t="s">
        <v>442</v>
      </c>
      <c r="AV634" s="33" t="s">
        <v>502</v>
      </c>
      <c r="AW634" s="33" t="s">
        <v>119</v>
      </c>
      <c r="AX634" s="33">
        <v>4</v>
      </c>
      <c r="AZ634" s="33" t="s">
        <v>335</v>
      </c>
      <c r="BD634" s="54"/>
      <c r="BP634" s="402"/>
      <c r="BQ634" s="402"/>
      <c r="BU634" s="402"/>
      <c r="BV634" s="402"/>
      <c r="BZ634" s="402"/>
      <c r="CA634" s="402"/>
      <c r="CE634" s="555"/>
      <c r="CF634" s="555"/>
      <c r="CG634" s="555"/>
      <c r="CH634" s="555"/>
      <c r="FL634" s="33">
        <v>0.1089</v>
      </c>
      <c r="FM634" s="33">
        <v>0.1116</v>
      </c>
      <c r="FP634" s="33" t="s">
        <v>444</v>
      </c>
      <c r="GZ634" s="12"/>
      <c r="HD634" s="12"/>
      <c r="JB634" s="33" t="s">
        <v>715</v>
      </c>
    </row>
    <row r="635" spans="1:262" s="33" customFormat="1" x14ac:dyDescent="0.25">
      <c r="A635" s="33">
        <v>30</v>
      </c>
      <c r="B635" s="47" t="s">
        <v>3887</v>
      </c>
      <c r="C635" s="33" t="s">
        <v>437</v>
      </c>
      <c r="D635" s="33" t="s">
        <v>438</v>
      </c>
      <c r="E635" s="33">
        <v>2002</v>
      </c>
      <c r="F635" s="33">
        <v>1999</v>
      </c>
      <c r="G635" s="33" t="s">
        <v>439</v>
      </c>
      <c r="H635" s="33" t="s">
        <v>440</v>
      </c>
      <c r="I635" s="32" t="s">
        <v>2815</v>
      </c>
      <c r="J635" s="33">
        <f t="shared" si="201"/>
        <v>38.533333333333331</v>
      </c>
      <c r="K635" s="33">
        <f t="shared" si="202"/>
        <v>-121.78333333333333</v>
      </c>
      <c r="L635" s="33">
        <v>18.399999999999999</v>
      </c>
      <c r="P635" s="33">
        <v>483</v>
      </c>
      <c r="R635" s="47">
        <v>3</v>
      </c>
      <c r="S635" s="47" t="s">
        <v>1858</v>
      </c>
      <c r="T635" s="47"/>
      <c r="U635" s="47">
        <v>36170</v>
      </c>
      <c r="V635" s="47" t="s">
        <v>1397</v>
      </c>
      <c r="W635" s="47" t="s">
        <v>1725</v>
      </c>
      <c r="X635" s="47" t="s">
        <v>1395</v>
      </c>
      <c r="Y635" s="47" t="s">
        <v>1417</v>
      </c>
      <c r="AA635" s="327">
        <v>36</v>
      </c>
      <c r="AB635" s="327">
        <v>46</v>
      </c>
      <c r="AC635" s="33" t="s">
        <v>139</v>
      </c>
      <c r="AG635" s="33" t="s">
        <v>1328</v>
      </c>
      <c r="AH635" s="33" t="s">
        <v>1533</v>
      </c>
      <c r="AI635" s="138" t="s">
        <v>577</v>
      </c>
      <c r="AJ635" s="33" t="s">
        <v>1588</v>
      </c>
      <c r="AK635" s="141" t="s">
        <v>1613</v>
      </c>
      <c r="AL635" s="33" t="s">
        <v>441</v>
      </c>
      <c r="AM635" s="33" t="s">
        <v>441</v>
      </c>
      <c r="AN635" s="33" t="s">
        <v>177</v>
      </c>
      <c r="AT635" s="33" t="s">
        <v>368</v>
      </c>
      <c r="AU635" s="33" t="s">
        <v>443</v>
      </c>
      <c r="AV635" s="33" t="s">
        <v>502</v>
      </c>
      <c r="AW635" s="33" t="s">
        <v>119</v>
      </c>
      <c r="AX635" s="33">
        <v>4</v>
      </c>
      <c r="AZ635" s="33" t="s">
        <v>335</v>
      </c>
      <c r="BD635" s="54"/>
      <c r="BP635" s="402"/>
      <c r="BQ635" s="402"/>
      <c r="BU635" s="402"/>
      <c r="BV635" s="402"/>
      <c r="BZ635" s="402"/>
      <c r="CA635" s="402"/>
      <c r="CE635" s="555"/>
      <c r="CF635" s="555"/>
      <c r="CG635" s="555"/>
      <c r="CH635" s="555"/>
      <c r="FL635" s="33">
        <v>0.1089</v>
      </c>
      <c r="FM635" s="33">
        <v>0.10349999999999999</v>
      </c>
      <c r="FP635" s="33" t="s">
        <v>444</v>
      </c>
      <c r="GZ635" s="12"/>
      <c r="HD635" s="12"/>
      <c r="JB635" s="33" t="s">
        <v>715</v>
      </c>
    </row>
    <row r="636" spans="1:262" s="33" customFormat="1" x14ac:dyDescent="0.25">
      <c r="A636" s="33">
        <v>30</v>
      </c>
      <c r="B636" s="47" t="s">
        <v>3887</v>
      </c>
      <c r="C636" s="33" t="s">
        <v>437</v>
      </c>
      <c r="D636" s="33" t="s">
        <v>438</v>
      </c>
      <c r="E636" s="33">
        <v>2002</v>
      </c>
      <c r="F636" s="33">
        <v>1999</v>
      </c>
      <c r="G636" s="33" t="s">
        <v>439</v>
      </c>
      <c r="H636" s="33" t="s">
        <v>440</v>
      </c>
      <c r="I636" s="32" t="s">
        <v>2815</v>
      </c>
      <c r="J636" s="33">
        <f t="shared" si="201"/>
        <v>38.533333333333331</v>
      </c>
      <c r="K636" s="33">
        <f t="shared" si="202"/>
        <v>-121.78333333333333</v>
      </c>
      <c r="L636" s="33">
        <v>18.399999999999999</v>
      </c>
      <c r="P636" s="33">
        <v>483</v>
      </c>
      <c r="R636" s="47">
        <v>3</v>
      </c>
      <c r="S636" s="47" t="s">
        <v>1858</v>
      </c>
      <c r="T636" s="47"/>
      <c r="U636" s="47">
        <v>36187</v>
      </c>
      <c r="V636" s="47" t="s">
        <v>1397</v>
      </c>
      <c r="W636" s="47" t="s">
        <v>1725</v>
      </c>
      <c r="X636" s="47" t="s">
        <v>1395</v>
      </c>
      <c r="Y636" s="47" t="s">
        <v>1417</v>
      </c>
      <c r="AA636" s="327">
        <v>36</v>
      </c>
      <c r="AB636" s="327">
        <v>46</v>
      </c>
      <c r="AC636" s="33" t="s">
        <v>139</v>
      </c>
      <c r="AG636" s="33" t="s">
        <v>1328</v>
      </c>
      <c r="AH636" s="33" t="s">
        <v>1533</v>
      </c>
      <c r="AI636" s="138" t="s">
        <v>577</v>
      </c>
      <c r="AJ636" s="33" t="s">
        <v>1588</v>
      </c>
      <c r="AK636" s="141" t="s">
        <v>1613</v>
      </c>
      <c r="AL636" s="33" t="s">
        <v>441</v>
      </c>
      <c r="AM636" s="33" t="s">
        <v>441</v>
      </c>
      <c r="AN636" s="33" t="s">
        <v>177</v>
      </c>
      <c r="AT636" s="33" t="s">
        <v>368</v>
      </c>
      <c r="AU636" s="33" t="s">
        <v>442</v>
      </c>
      <c r="AV636" s="33" t="s">
        <v>502</v>
      </c>
      <c r="AW636" s="33" t="s">
        <v>119</v>
      </c>
      <c r="AX636" s="33">
        <v>4</v>
      </c>
      <c r="AZ636" s="33" t="s">
        <v>335</v>
      </c>
      <c r="BD636" s="54"/>
      <c r="BP636" s="402"/>
      <c r="BQ636" s="402"/>
      <c r="BU636" s="402"/>
      <c r="BV636" s="402"/>
      <c r="BZ636" s="402"/>
      <c r="CA636" s="402"/>
      <c r="CE636" s="555"/>
      <c r="CF636" s="555"/>
      <c r="CG636" s="555"/>
      <c r="CH636" s="555"/>
      <c r="FL636" s="33">
        <v>0.11070000000000001</v>
      </c>
      <c r="FM636" s="33">
        <v>0.1133</v>
      </c>
      <c r="FP636" s="33" t="s">
        <v>444</v>
      </c>
      <c r="GZ636" s="12"/>
      <c r="HD636" s="12"/>
      <c r="JB636" s="33" t="s">
        <v>715</v>
      </c>
    </row>
    <row r="637" spans="1:262" s="33" customFormat="1" x14ac:dyDescent="0.25">
      <c r="A637" s="33">
        <v>30</v>
      </c>
      <c r="B637" s="47" t="s">
        <v>3887</v>
      </c>
      <c r="C637" s="33" t="s">
        <v>437</v>
      </c>
      <c r="D637" s="33" t="s">
        <v>438</v>
      </c>
      <c r="E637" s="33">
        <v>2002</v>
      </c>
      <c r="F637" s="33">
        <v>1999</v>
      </c>
      <c r="G637" s="33" t="s">
        <v>439</v>
      </c>
      <c r="H637" s="33" t="s">
        <v>440</v>
      </c>
      <c r="I637" s="32" t="s">
        <v>2815</v>
      </c>
      <c r="J637" s="33">
        <f t="shared" si="201"/>
        <v>38.533333333333331</v>
      </c>
      <c r="K637" s="33">
        <f t="shared" si="202"/>
        <v>-121.78333333333333</v>
      </c>
      <c r="L637" s="33">
        <v>18.399999999999999</v>
      </c>
      <c r="P637" s="33">
        <v>483</v>
      </c>
      <c r="R637" s="47">
        <v>3</v>
      </c>
      <c r="S637" s="47" t="s">
        <v>1858</v>
      </c>
      <c r="T637" s="47"/>
      <c r="U637" s="47">
        <v>36187</v>
      </c>
      <c r="V637" s="47" t="s">
        <v>1397</v>
      </c>
      <c r="W637" s="47" t="s">
        <v>1725</v>
      </c>
      <c r="X637" s="47" t="s">
        <v>1395</v>
      </c>
      <c r="Y637" s="47" t="s">
        <v>1417</v>
      </c>
      <c r="AA637" s="327">
        <v>36</v>
      </c>
      <c r="AB637" s="327">
        <v>46</v>
      </c>
      <c r="AC637" s="33" t="s">
        <v>139</v>
      </c>
      <c r="AG637" s="33" t="s">
        <v>1328</v>
      </c>
      <c r="AH637" s="33" t="s">
        <v>1533</v>
      </c>
      <c r="AI637" s="138" t="s">
        <v>577</v>
      </c>
      <c r="AJ637" s="33" t="s">
        <v>1588</v>
      </c>
      <c r="AK637" s="141" t="s">
        <v>1613</v>
      </c>
      <c r="AL637" s="33" t="s">
        <v>441</v>
      </c>
      <c r="AM637" s="33" t="s">
        <v>441</v>
      </c>
      <c r="AN637" s="33" t="s">
        <v>177</v>
      </c>
      <c r="AT637" s="33" t="s">
        <v>368</v>
      </c>
      <c r="AU637" s="33" t="s">
        <v>443</v>
      </c>
      <c r="AV637" s="33" t="s">
        <v>502</v>
      </c>
      <c r="AW637" s="33" t="s">
        <v>119</v>
      </c>
      <c r="AX637" s="33">
        <v>4</v>
      </c>
      <c r="AZ637" s="33" t="s">
        <v>335</v>
      </c>
      <c r="BD637" s="54"/>
      <c r="BP637" s="402"/>
      <c r="BQ637" s="402"/>
      <c r="BU637" s="402"/>
      <c r="BV637" s="402"/>
      <c r="BZ637" s="402"/>
      <c r="CA637" s="402"/>
      <c r="CE637" s="555"/>
      <c r="CF637" s="555"/>
      <c r="CG637" s="555"/>
      <c r="CH637" s="555"/>
      <c r="FL637" s="33">
        <v>0.11070000000000001</v>
      </c>
      <c r="FM637" s="33">
        <v>0.1062</v>
      </c>
      <c r="FP637" s="33" t="s">
        <v>444</v>
      </c>
      <c r="GZ637" s="12"/>
      <c r="HD637" s="12"/>
      <c r="JB637" s="33" t="s">
        <v>715</v>
      </c>
    </row>
    <row r="638" spans="1:262" s="33" customFormat="1" x14ac:dyDescent="0.25">
      <c r="A638" s="33">
        <v>30</v>
      </c>
      <c r="B638" s="47" t="s">
        <v>3887</v>
      </c>
      <c r="C638" s="33" t="s">
        <v>437</v>
      </c>
      <c r="D638" s="33" t="s">
        <v>438</v>
      </c>
      <c r="E638" s="33">
        <v>2002</v>
      </c>
      <c r="F638" s="33">
        <v>1999</v>
      </c>
      <c r="G638" s="33" t="s">
        <v>439</v>
      </c>
      <c r="H638" s="33" t="s">
        <v>440</v>
      </c>
      <c r="I638" s="32" t="s">
        <v>2815</v>
      </c>
      <c r="J638" s="33">
        <f t="shared" si="201"/>
        <v>38.533333333333331</v>
      </c>
      <c r="K638" s="33">
        <f t="shared" si="202"/>
        <v>-121.78333333333333</v>
      </c>
      <c r="L638" s="33">
        <v>18.399999999999999</v>
      </c>
      <c r="P638" s="33">
        <v>483</v>
      </c>
      <c r="R638" s="47">
        <v>3</v>
      </c>
      <c r="S638" s="47" t="s">
        <v>1858</v>
      </c>
      <c r="T638" s="47"/>
      <c r="U638" s="47">
        <v>36198</v>
      </c>
      <c r="V638" s="47" t="s">
        <v>1397</v>
      </c>
      <c r="W638" s="47" t="s">
        <v>1725</v>
      </c>
      <c r="X638" s="47" t="s">
        <v>1395</v>
      </c>
      <c r="Y638" s="47" t="s">
        <v>1417</v>
      </c>
      <c r="AA638" s="327">
        <v>36</v>
      </c>
      <c r="AB638" s="327">
        <v>46</v>
      </c>
      <c r="AC638" s="33" t="s">
        <v>139</v>
      </c>
      <c r="AG638" s="33" t="s">
        <v>1328</v>
      </c>
      <c r="AH638" s="33" t="s">
        <v>1533</v>
      </c>
      <c r="AI638" s="138" t="s">
        <v>577</v>
      </c>
      <c r="AJ638" s="33" t="s">
        <v>1588</v>
      </c>
      <c r="AK638" s="141" t="s">
        <v>1613</v>
      </c>
      <c r="AL638" s="33" t="s">
        <v>441</v>
      </c>
      <c r="AM638" s="33" t="s">
        <v>441</v>
      </c>
      <c r="AN638" s="33" t="s">
        <v>177</v>
      </c>
      <c r="AT638" s="33" t="s">
        <v>368</v>
      </c>
      <c r="AU638" s="33" t="s">
        <v>442</v>
      </c>
      <c r="AV638" s="33" t="s">
        <v>502</v>
      </c>
      <c r="AW638" s="33" t="s">
        <v>119</v>
      </c>
      <c r="AX638" s="33">
        <v>4</v>
      </c>
      <c r="AZ638" s="33" t="s">
        <v>335</v>
      </c>
      <c r="BD638" s="54"/>
      <c r="BP638" s="402"/>
      <c r="BQ638" s="402"/>
      <c r="BU638" s="402"/>
      <c r="BV638" s="402"/>
      <c r="BZ638" s="402"/>
      <c r="CA638" s="402"/>
      <c r="CE638" s="555"/>
      <c r="CF638" s="555"/>
      <c r="CG638" s="555"/>
      <c r="CH638" s="555"/>
      <c r="FL638" s="33">
        <v>0.12939999999999999</v>
      </c>
      <c r="FM638" s="33">
        <v>0.10780000000000001</v>
      </c>
      <c r="FP638" s="33" t="s">
        <v>444</v>
      </c>
      <c r="GZ638" s="12"/>
      <c r="HD638" s="12"/>
      <c r="JB638" s="33" t="s">
        <v>715</v>
      </c>
    </row>
    <row r="639" spans="1:262" s="33" customFormat="1" x14ac:dyDescent="0.25">
      <c r="A639" s="33">
        <v>30</v>
      </c>
      <c r="B639" s="47" t="s">
        <v>3887</v>
      </c>
      <c r="C639" s="33" t="s">
        <v>437</v>
      </c>
      <c r="D639" s="33" t="s">
        <v>438</v>
      </c>
      <c r="E639" s="33">
        <v>2002</v>
      </c>
      <c r="F639" s="33">
        <v>1999</v>
      </c>
      <c r="G639" s="33" t="s">
        <v>439</v>
      </c>
      <c r="H639" s="33" t="s">
        <v>440</v>
      </c>
      <c r="I639" s="32" t="s">
        <v>2815</v>
      </c>
      <c r="J639" s="33">
        <f t="shared" si="201"/>
        <v>38.533333333333331</v>
      </c>
      <c r="K639" s="33">
        <f t="shared" si="202"/>
        <v>-121.78333333333333</v>
      </c>
      <c r="L639" s="33">
        <v>18.399999999999999</v>
      </c>
      <c r="P639" s="33">
        <v>483</v>
      </c>
      <c r="R639" s="47">
        <v>3</v>
      </c>
      <c r="S639" s="47" t="s">
        <v>1858</v>
      </c>
      <c r="T639" s="47"/>
      <c r="U639" s="47">
        <v>36198</v>
      </c>
      <c r="V639" s="47" t="s">
        <v>1397</v>
      </c>
      <c r="W639" s="47" t="s">
        <v>1725</v>
      </c>
      <c r="X639" s="47" t="s">
        <v>1395</v>
      </c>
      <c r="Y639" s="47" t="s">
        <v>1417</v>
      </c>
      <c r="AA639" s="327">
        <v>36</v>
      </c>
      <c r="AB639" s="327">
        <v>46</v>
      </c>
      <c r="AC639" s="33" t="s">
        <v>139</v>
      </c>
      <c r="AG639" s="33" t="s">
        <v>1328</v>
      </c>
      <c r="AH639" s="33" t="s">
        <v>1533</v>
      </c>
      <c r="AI639" s="138" t="s">
        <v>577</v>
      </c>
      <c r="AJ639" s="33" t="s">
        <v>1588</v>
      </c>
      <c r="AK639" s="141" t="s">
        <v>1613</v>
      </c>
      <c r="AL639" s="33" t="s">
        <v>441</v>
      </c>
      <c r="AM639" s="33" t="s">
        <v>441</v>
      </c>
      <c r="AN639" s="33" t="s">
        <v>177</v>
      </c>
      <c r="AT639" s="33" t="s">
        <v>368</v>
      </c>
      <c r="AU639" s="33" t="s">
        <v>443</v>
      </c>
      <c r="AV639" s="33" t="s">
        <v>502</v>
      </c>
      <c r="AW639" s="33" t="s">
        <v>119</v>
      </c>
      <c r="AX639" s="33">
        <v>4</v>
      </c>
      <c r="AZ639" s="33" t="s">
        <v>335</v>
      </c>
      <c r="BD639" s="54"/>
      <c r="BP639" s="402"/>
      <c r="BQ639" s="402"/>
      <c r="BU639" s="402"/>
      <c r="BV639" s="402"/>
      <c r="BZ639" s="402"/>
      <c r="CA639" s="402"/>
      <c r="CE639" s="555"/>
      <c r="CF639" s="555"/>
      <c r="CG639" s="555"/>
      <c r="CH639" s="555"/>
      <c r="FL639" s="33">
        <v>0.12939999999999999</v>
      </c>
      <c r="FM639" s="33">
        <v>0.10780000000000001</v>
      </c>
      <c r="FP639" s="33" t="s">
        <v>444</v>
      </c>
      <c r="GZ639" s="12"/>
      <c r="HD639" s="12"/>
      <c r="JB639" s="33" t="s">
        <v>715</v>
      </c>
    </row>
    <row r="640" spans="1:262" s="33" customFormat="1" x14ac:dyDescent="0.25">
      <c r="A640" s="33">
        <v>30</v>
      </c>
      <c r="B640" s="47" t="s">
        <v>3887</v>
      </c>
      <c r="C640" s="33" t="s">
        <v>437</v>
      </c>
      <c r="D640" s="33" t="s">
        <v>438</v>
      </c>
      <c r="E640" s="33">
        <v>2002</v>
      </c>
      <c r="F640" s="33">
        <v>1999</v>
      </c>
      <c r="G640" s="33" t="s">
        <v>439</v>
      </c>
      <c r="H640" s="33" t="s">
        <v>440</v>
      </c>
      <c r="I640" s="32" t="s">
        <v>2815</v>
      </c>
      <c r="J640" s="33">
        <f t="shared" si="201"/>
        <v>38.533333333333331</v>
      </c>
      <c r="K640" s="33">
        <f t="shared" si="202"/>
        <v>-121.78333333333333</v>
      </c>
      <c r="L640" s="33">
        <v>18.399999999999999</v>
      </c>
      <c r="P640" s="33">
        <v>483</v>
      </c>
      <c r="R640" s="47">
        <v>3</v>
      </c>
      <c r="S640" s="47" t="s">
        <v>1858</v>
      </c>
      <c r="T640" s="47"/>
      <c r="U640" s="47">
        <v>36232</v>
      </c>
      <c r="V640" s="47" t="s">
        <v>1397</v>
      </c>
      <c r="W640" s="47" t="s">
        <v>1725</v>
      </c>
      <c r="X640" s="47" t="s">
        <v>1395</v>
      </c>
      <c r="Y640" s="47" t="s">
        <v>1417</v>
      </c>
      <c r="AA640" s="327">
        <v>36</v>
      </c>
      <c r="AB640" s="327">
        <v>46</v>
      </c>
      <c r="AC640" s="33" t="s">
        <v>139</v>
      </c>
      <c r="AG640" s="33" t="s">
        <v>1328</v>
      </c>
      <c r="AH640" s="33" t="s">
        <v>1533</v>
      </c>
      <c r="AI640" s="138" t="s">
        <v>577</v>
      </c>
      <c r="AJ640" s="33" t="s">
        <v>1588</v>
      </c>
      <c r="AK640" s="141" t="s">
        <v>1613</v>
      </c>
      <c r="AL640" s="33" t="s">
        <v>441</v>
      </c>
      <c r="AM640" s="33" t="s">
        <v>441</v>
      </c>
      <c r="AN640" s="33" t="s">
        <v>177</v>
      </c>
      <c r="AT640" s="33" t="s">
        <v>368</v>
      </c>
      <c r="AU640" s="33" t="s">
        <v>442</v>
      </c>
      <c r="AV640" s="33" t="s">
        <v>502</v>
      </c>
      <c r="AW640" s="33" t="s">
        <v>119</v>
      </c>
      <c r="AX640" s="33">
        <v>4</v>
      </c>
      <c r="AZ640" s="33" t="s">
        <v>335</v>
      </c>
      <c r="BD640" s="54"/>
      <c r="BP640" s="402"/>
      <c r="BQ640" s="402"/>
      <c r="BU640" s="402"/>
      <c r="BV640" s="402"/>
      <c r="BZ640" s="402"/>
      <c r="CA640" s="402"/>
      <c r="CE640" s="555"/>
      <c r="CF640" s="555"/>
      <c r="CG640" s="555"/>
      <c r="CH640" s="555"/>
      <c r="FL640" s="33">
        <v>0.1303</v>
      </c>
      <c r="FM640" s="33">
        <v>0.1133</v>
      </c>
      <c r="FP640" s="33" t="s">
        <v>444</v>
      </c>
      <c r="GZ640" s="12"/>
      <c r="HD640" s="12"/>
      <c r="JB640" s="33" t="s">
        <v>715</v>
      </c>
    </row>
    <row r="641" spans="1:262" s="33" customFormat="1" x14ac:dyDescent="0.25">
      <c r="A641" s="33">
        <v>30</v>
      </c>
      <c r="B641" s="47" t="s">
        <v>3887</v>
      </c>
      <c r="C641" s="33" t="s">
        <v>437</v>
      </c>
      <c r="D641" s="33" t="s">
        <v>438</v>
      </c>
      <c r="E641" s="33">
        <v>2002</v>
      </c>
      <c r="F641" s="33">
        <v>1999</v>
      </c>
      <c r="G641" s="33" t="s">
        <v>439</v>
      </c>
      <c r="H641" s="33" t="s">
        <v>440</v>
      </c>
      <c r="I641" s="32" t="s">
        <v>2815</v>
      </c>
      <c r="J641" s="33">
        <f t="shared" si="201"/>
        <v>38.533333333333331</v>
      </c>
      <c r="K641" s="33">
        <f t="shared" si="202"/>
        <v>-121.78333333333333</v>
      </c>
      <c r="L641" s="33">
        <v>18.399999999999999</v>
      </c>
      <c r="P641" s="33">
        <v>483</v>
      </c>
      <c r="R641" s="47">
        <v>3</v>
      </c>
      <c r="S641" s="47" t="s">
        <v>1858</v>
      </c>
      <c r="T641" s="47"/>
      <c r="U641" s="47">
        <v>36232</v>
      </c>
      <c r="V641" s="47" t="s">
        <v>1397</v>
      </c>
      <c r="W641" s="47" t="s">
        <v>1725</v>
      </c>
      <c r="X641" s="47" t="s">
        <v>1395</v>
      </c>
      <c r="Y641" s="47" t="s">
        <v>1417</v>
      </c>
      <c r="AA641" s="327">
        <v>36</v>
      </c>
      <c r="AB641" s="327">
        <v>46</v>
      </c>
      <c r="AC641" s="33" t="s">
        <v>139</v>
      </c>
      <c r="AG641" s="33" t="s">
        <v>1328</v>
      </c>
      <c r="AH641" s="33" t="s">
        <v>1533</v>
      </c>
      <c r="AI641" s="138" t="s">
        <v>577</v>
      </c>
      <c r="AJ641" s="33" t="s">
        <v>1588</v>
      </c>
      <c r="AK641" s="141" t="s">
        <v>1613</v>
      </c>
      <c r="AL641" s="33" t="s">
        <v>441</v>
      </c>
      <c r="AM641" s="33" t="s">
        <v>441</v>
      </c>
      <c r="AN641" s="33" t="s">
        <v>177</v>
      </c>
      <c r="AT641" s="33" t="s">
        <v>368</v>
      </c>
      <c r="AU641" s="33" t="s">
        <v>443</v>
      </c>
      <c r="AV641" s="33" t="s">
        <v>502</v>
      </c>
      <c r="AW641" s="33" t="s">
        <v>119</v>
      </c>
      <c r="AX641" s="33">
        <v>4</v>
      </c>
      <c r="AZ641" s="33" t="s">
        <v>335</v>
      </c>
      <c r="BD641" s="54"/>
      <c r="BP641" s="402"/>
      <c r="BQ641" s="402"/>
      <c r="BU641" s="402"/>
      <c r="BV641" s="402"/>
      <c r="BZ641" s="402"/>
      <c r="CA641" s="402"/>
      <c r="CE641" s="555"/>
      <c r="CF641" s="555"/>
      <c r="CG641" s="555"/>
      <c r="CH641" s="555"/>
      <c r="FL641" s="33">
        <v>0.1303</v>
      </c>
      <c r="FM641" s="33">
        <v>0.10780000000000001</v>
      </c>
      <c r="FP641" s="33" t="s">
        <v>444</v>
      </c>
      <c r="GZ641" s="12"/>
      <c r="HD641" s="12"/>
      <c r="JB641" s="33" t="s">
        <v>715</v>
      </c>
    </row>
    <row r="642" spans="1:262" s="33" customFormat="1" x14ac:dyDescent="0.25">
      <c r="A642" s="33">
        <v>30</v>
      </c>
      <c r="B642" s="47" t="s">
        <v>3887</v>
      </c>
      <c r="C642" s="33" t="s">
        <v>437</v>
      </c>
      <c r="D642" s="33" t="s">
        <v>438</v>
      </c>
      <c r="E642" s="33">
        <v>2002</v>
      </c>
      <c r="F642" s="33">
        <v>1999</v>
      </c>
      <c r="G642" s="33" t="s">
        <v>439</v>
      </c>
      <c r="H642" s="33" t="s">
        <v>440</v>
      </c>
      <c r="I642" s="32" t="s">
        <v>2815</v>
      </c>
      <c r="J642" s="33">
        <f t="shared" si="201"/>
        <v>38.533333333333331</v>
      </c>
      <c r="K642" s="33">
        <f t="shared" si="202"/>
        <v>-121.78333333333333</v>
      </c>
      <c r="L642" s="33">
        <v>18.399999999999999</v>
      </c>
      <c r="P642" s="33">
        <v>483</v>
      </c>
      <c r="R642" s="47">
        <v>3</v>
      </c>
      <c r="S642" s="47" t="s">
        <v>1858</v>
      </c>
      <c r="T642" s="47"/>
      <c r="U642" s="47">
        <v>36234</v>
      </c>
      <c r="V642" s="47" t="s">
        <v>1397</v>
      </c>
      <c r="W642" s="47" t="s">
        <v>1725</v>
      </c>
      <c r="X642" s="47" t="s">
        <v>1395</v>
      </c>
      <c r="Y642" s="47" t="s">
        <v>1417</v>
      </c>
      <c r="AA642" s="327">
        <v>36</v>
      </c>
      <c r="AB642" s="327">
        <v>46</v>
      </c>
      <c r="AC642" s="33" t="s">
        <v>139</v>
      </c>
      <c r="AG642" s="33" t="s">
        <v>1328</v>
      </c>
      <c r="AH642" s="33" t="s">
        <v>1533</v>
      </c>
      <c r="AI642" s="138" t="s">
        <v>577</v>
      </c>
      <c r="AJ642" s="33" t="s">
        <v>1588</v>
      </c>
      <c r="AK642" s="141" t="s">
        <v>1613</v>
      </c>
      <c r="AL642" s="33" t="s">
        <v>441</v>
      </c>
      <c r="AM642" s="33" t="s">
        <v>441</v>
      </c>
      <c r="AN642" s="33" t="s">
        <v>177</v>
      </c>
      <c r="AT642" s="33" t="s">
        <v>368</v>
      </c>
      <c r="AU642" s="33" t="s">
        <v>442</v>
      </c>
      <c r="AV642" s="33" t="s">
        <v>502</v>
      </c>
      <c r="AW642" s="33" t="s">
        <v>119</v>
      </c>
      <c r="AX642" s="33">
        <v>4</v>
      </c>
      <c r="AZ642" s="33" t="s">
        <v>335</v>
      </c>
      <c r="BD642" s="54"/>
      <c r="BP642" s="402"/>
      <c r="BQ642" s="402"/>
      <c r="BU642" s="402"/>
      <c r="BV642" s="402"/>
      <c r="BZ642" s="402"/>
      <c r="CA642" s="402"/>
      <c r="CE642" s="555"/>
      <c r="CF642" s="555"/>
      <c r="CG642" s="555"/>
      <c r="CH642" s="555"/>
      <c r="FL642" s="33">
        <v>0.1285</v>
      </c>
      <c r="FM642" s="33">
        <v>0.1124</v>
      </c>
      <c r="FP642" s="33" t="s">
        <v>444</v>
      </c>
      <c r="GZ642" s="12"/>
      <c r="HD642" s="12"/>
      <c r="JB642" s="33" t="s">
        <v>715</v>
      </c>
    </row>
    <row r="643" spans="1:262" s="33" customFormat="1" x14ac:dyDescent="0.25">
      <c r="A643" s="33">
        <v>30</v>
      </c>
      <c r="B643" s="47" t="s">
        <v>3887</v>
      </c>
      <c r="C643" s="33" t="s">
        <v>437</v>
      </c>
      <c r="D643" s="33" t="s">
        <v>438</v>
      </c>
      <c r="E643" s="33">
        <v>2002</v>
      </c>
      <c r="F643" s="33">
        <v>1999</v>
      </c>
      <c r="G643" s="33" t="s">
        <v>439</v>
      </c>
      <c r="H643" s="33" t="s">
        <v>440</v>
      </c>
      <c r="I643" s="32" t="s">
        <v>2815</v>
      </c>
      <c r="J643" s="33">
        <f t="shared" si="201"/>
        <v>38.533333333333331</v>
      </c>
      <c r="K643" s="33">
        <f t="shared" si="202"/>
        <v>-121.78333333333333</v>
      </c>
      <c r="L643" s="33">
        <v>18.399999999999999</v>
      </c>
      <c r="P643" s="33">
        <v>483</v>
      </c>
      <c r="R643" s="47">
        <v>3</v>
      </c>
      <c r="S643" s="47" t="s">
        <v>1858</v>
      </c>
      <c r="T643" s="47"/>
      <c r="U643" s="47">
        <v>36234</v>
      </c>
      <c r="V643" s="47" t="s">
        <v>1397</v>
      </c>
      <c r="W643" s="47" t="s">
        <v>1725</v>
      </c>
      <c r="X643" s="47" t="s">
        <v>1395</v>
      </c>
      <c r="Y643" s="47" t="s">
        <v>1417</v>
      </c>
      <c r="AA643" s="327">
        <v>36</v>
      </c>
      <c r="AB643" s="327">
        <v>46</v>
      </c>
      <c r="AC643" s="33" t="s">
        <v>139</v>
      </c>
      <c r="AG643" s="33" t="s">
        <v>1328</v>
      </c>
      <c r="AH643" s="33" t="s">
        <v>1533</v>
      </c>
      <c r="AI643" s="138" t="s">
        <v>577</v>
      </c>
      <c r="AJ643" s="33" t="s">
        <v>1588</v>
      </c>
      <c r="AK643" s="141" t="s">
        <v>1613</v>
      </c>
      <c r="AL643" s="33" t="s">
        <v>441</v>
      </c>
      <c r="AM643" s="33" t="s">
        <v>441</v>
      </c>
      <c r="AN643" s="33" t="s">
        <v>177</v>
      </c>
      <c r="AT643" s="33" t="s">
        <v>368</v>
      </c>
      <c r="AU643" s="33" t="s">
        <v>443</v>
      </c>
      <c r="AV643" s="33" t="s">
        <v>502</v>
      </c>
      <c r="AW643" s="33" t="s">
        <v>119</v>
      </c>
      <c r="AX643" s="33">
        <v>4</v>
      </c>
      <c r="AZ643" s="33" t="s">
        <v>335</v>
      </c>
      <c r="BD643" s="54"/>
      <c r="BP643" s="402"/>
      <c r="BQ643" s="402"/>
      <c r="BU643" s="402"/>
      <c r="BV643" s="402"/>
      <c r="BZ643" s="402"/>
      <c r="CA643" s="402"/>
      <c r="CE643" s="555"/>
      <c r="CF643" s="555"/>
      <c r="CG643" s="555"/>
      <c r="CH643" s="555"/>
      <c r="FL643" s="33">
        <v>0.1285</v>
      </c>
      <c r="FM643" s="33">
        <v>0.1061</v>
      </c>
      <c r="FP643" s="33" t="s">
        <v>444</v>
      </c>
      <c r="GZ643" s="12"/>
      <c r="HD643" s="12"/>
      <c r="JB643" s="33" t="s">
        <v>715</v>
      </c>
    </row>
    <row r="644" spans="1:262" s="33" customFormat="1" x14ac:dyDescent="0.25">
      <c r="A644" s="33">
        <v>30</v>
      </c>
      <c r="B644" s="47" t="s">
        <v>3887</v>
      </c>
      <c r="C644" s="33" t="s">
        <v>437</v>
      </c>
      <c r="D644" s="33" t="s">
        <v>438</v>
      </c>
      <c r="E644" s="33">
        <v>2002</v>
      </c>
      <c r="F644" s="33">
        <v>1999</v>
      </c>
      <c r="G644" s="33" t="s">
        <v>439</v>
      </c>
      <c r="H644" s="33" t="s">
        <v>440</v>
      </c>
      <c r="I644" s="32" t="s">
        <v>2815</v>
      </c>
      <c r="J644" s="33">
        <f t="shared" si="201"/>
        <v>38.533333333333331</v>
      </c>
      <c r="K644" s="33">
        <f t="shared" si="202"/>
        <v>-121.78333333333333</v>
      </c>
      <c r="L644" s="33">
        <v>18.399999999999999</v>
      </c>
      <c r="P644" s="33">
        <v>483</v>
      </c>
      <c r="R644" s="47">
        <v>3</v>
      </c>
      <c r="S644" s="47" t="s">
        <v>1858</v>
      </c>
      <c r="T644" s="47"/>
      <c r="U644" s="47">
        <v>36514</v>
      </c>
      <c r="V644" s="47" t="s">
        <v>1397</v>
      </c>
      <c r="W644" s="47" t="s">
        <v>1725</v>
      </c>
      <c r="X644" s="47" t="s">
        <v>1395</v>
      </c>
      <c r="Y644" s="47" t="s">
        <v>1417</v>
      </c>
      <c r="AA644" s="327">
        <v>36</v>
      </c>
      <c r="AB644" s="327">
        <v>46</v>
      </c>
      <c r="AC644" s="33" t="s">
        <v>139</v>
      </c>
      <c r="AG644" s="33" t="s">
        <v>1328</v>
      </c>
      <c r="AH644" s="33" t="s">
        <v>1533</v>
      </c>
      <c r="AI644" s="138" t="s">
        <v>577</v>
      </c>
      <c r="AJ644" s="33" t="s">
        <v>1588</v>
      </c>
      <c r="AK644" s="141" t="s">
        <v>1613</v>
      </c>
      <c r="AL644" s="33" t="s">
        <v>441</v>
      </c>
      <c r="AM644" s="33" t="s">
        <v>441</v>
      </c>
      <c r="AN644" s="33" t="s">
        <v>177</v>
      </c>
      <c r="AT644" s="33" t="s">
        <v>368</v>
      </c>
      <c r="AU644" s="33" t="s">
        <v>442</v>
      </c>
      <c r="AV644" s="33" t="s">
        <v>502</v>
      </c>
      <c r="AW644" s="33" t="s">
        <v>119</v>
      </c>
      <c r="AX644" s="33">
        <v>4</v>
      </c>
      <c r="AZ644" s="33" t="s">
        <v>335</v>
      </c>
      <c r="BD644" s="54"/>
      <c r="BP644" s="402"/>
      <c r="BQ644" s="402"/>
      <c r="BU644" s="402"/>
      <c r="BV644" s="402"/>
      <c r="BZ644" s="402"/>
      <c r="CA644" s="402"/>
      <c r="CE644" s="555"/>
      <c r="CF644" s="555"/>
      <c r="CG644" s="555"/>
      <c r="CH644" s="555"/>
      <c r="FL644" s="33">
        <v>0.1051</v>
      </c>
      <c r="FM644" s="33">
        <v>0.1069</v>
      </c>
      <c r="FP644" s="33" t="s">
        <v>444</v>
      </c>
      <c r="GZ644" s="12"/>
      <c r="HD644" s="12"/>
      <c r="JB644" s="33" t="s">
        <v>715</v>
      </c>
    </row>
    <row r="645" spans="1:262" s="33" customFormat="1" x14ac:dyDescent="0.25">
      <c r="A645" s="33">
        <v>30</v>
      </c>
      <c r="B645" s="47" t="s">
        <v>3887</v>
      </c>
      <c r="C645" s="33" t="s">
        <v>437</v>
      </c>
      <c r="D645" s="33" t="s">
        <v>438</v>
      </c>
      <c r="E645" s="33">
        <v>2002</v>
      </c>
      <c r="F645" s="33">
        <v>1999</v>
      </c>
      <c r="G645" s="33" t="s">
        <v>439</v>
      </c>
      <c r="H645" s="33" t="s">
        <v>440</v>
      </c>
      <c r="I645" s="32" t="s">
        <v>2815</v>
      </c>
      <c r="J645" s="33">
        <f t="shared" si="201"/>
        <v>38.533333333333331</v>
      </c>
      <c r="K645" s="33">
        <f t="shared" si="202"/>
        <v>-121.78333333333333</v>
      </c>
      <c r="L645" s="33">
        <v>18.399999999999999</v>
      </c>
      <c r="P645" s="33">
        <v>483</v>
      </c>
      <c r="R645" s="47">
        <v>3</v>
      </c>
      <c r="S645" s="47" t="s">
        <v>1858</v>
      </c>
      <c r="T645" s="47"/>
      <c r="U645" s="47">
        <v>36514</v>
      </c>
      <c r="V645" s="47" t="s">
        <v>1397</v>
      </c>
      <c r="W645" s="47" t="s">
        <v>1725</v>
      </c>
      <c r="X645" s="47" t="s">
        <v>1395</v>
      </c>
      <c r="Y645" s="47" t="s">
        <v>1417</v>
      </c>
      <c r="AA645" s="327">
        <v>36</v>
      </c>
      <c r="AB645" s="327">
        <v>46</v>
      </c>
      <c r="AC645" s="33" t="s">
        <v>139</v>
      </c>
      <c r="AG645" s="33" t="s">
        <v>1328</v>
      </c>
      <c r="AH645" s="33" t="s">
        <v>1533</v>
      </c>
      <c r="AI645" s="138" t="s">
        <v>577</v>
      </c>
      <c r="AJ645" s="33" t="s">
        <v>1588</v>
      </c>
      <c r="AK645" s="141" t="s">
        <v>1613</v>
      </c>
      <c r="AL645" s="33" t="s">
        <v>441</v>
      </c>
      <c r="AM645" s="33" t="s">
        <v>441</v>
      </c>
      <c r="AN645" s="33" t="s">
        <v>177</v>
      </c>
      <c r="AT645" s="33" t="s">
        <v>368</v>
      </c>
      <c r="AU645" s="33" t="s">
        <v>443</v>
      </c>
      <c r="AV645" s="33" t="s">
        <v>502</v>
      </c>
      <c r="AW645" s="33" t="s">
        <v>119</v>
      </c>
      <c r="AX645" s="33">
        <v>4</v>
      </c>
      <c r="AZ645" s="33" t="s">
        <v>335</v>
      </c>
      <c r="BD645" s="54"/>
      <c r="BP645" s="402"/>
      <c r="BQ645" s="402"/>
      <c r="BU645" s="402"/>
      <c r="BV645" s="402"/>
      <c r="BZ645" s="402"/>
      <c r="CA645" s="402"/>
      <c r="CE645" s="555"/>
      <c r="CF645" s="555"/>
      <c r="CG645" s="555"/>
      <c r="CH645" s="555"/>
      <c r="FL645" s="33">
        <v>0.1051</v>
      </c>
      <c r="FM645" s="33">
        <v>0.1114</v>
      </c>
      <c r="FP645" s="33" t="s">
        <v>444</v>
      </c>
      <c r="GZ645" s="12"/>
      <c r="HD645" s="12"/>
      <c r="JB645" s="33" t="s">
        <v>715</v>
      </c>
    </row>
    <row r="646" spans="1:262" s="33" customFormat="1" x14ac:dyDescent="0.25">
      <c r="A646" s="33">
        <v>30</v>
      </c>
      <c r="B646" s="47" t="s">
        <v>3887</v>
      </c>
      <c r="C646" s="33" t="s">
        <v>437</v>
      </c>
      <c r="D646" s="33" t="s">
        <v>438</v>
      </c>
      <c r="E646" s="33">
        <v>2002</v>
      </c>
      <c r="F646" s="33">
        <v>2000</v>
      </c>
      <c r="G646" s="33" t="s">
        <v>439</v>
      </c>
      <c r="H646" s="33" t="s">
        <v>440</v>
      </c>
      <c r="I646" s="32" t="s">
        <v>2815</v>
      </c>
      <c r="J646" s="33">
        <f t="shared" si="201"/>
        <v>38.533333333333331</v>
      </c>
      <c r="K646" s="33">
        <f t="shared" si="202"/>
        <v>-121.78333333333333</v>
      </c>
      <c r="L646" s="33">
        <v>18.399999999999999</v>
      </c>
      <c r="P646" s="33">
        <v>483</v>
      </c>
      <c r="R646" s="47">
        <v>4</v>
      </c>
      <c r="S646" s="47" t="s">
        <v>1858</v>
      </c>
      <c r="T646" s="47"/>
      <c r="U646" s="47">
        <v>36535</v>
      </c>
      <c r="V646" s="47" t="s">
        <v>1397</v>
      </c>
      <c r="W646" s="47" t="s">
        <v>1725</v>
      </c>
      <c r="X646" s="47" t="s">
        <v>1395</v>
      </c>
      <c r="Y646" s="47" t="s">
        <v>1417</v>
      </c>
      <c r="AA646" s="327">
        <v>36</v>
      </c>
      <c r="AB646" s="327">
        <v>46</v>
      </c>
      <c r="AC646" s="33" t="s">
        <v>139</v>
      </c>
      <c r="AG646" s="33" t="s">
        <v>1328</v>
      </c>
      <c r="AH646" s="33" t="s">
        <v>1533</v>
      </c>
      <c r="AI646" s="138" t="s">
        <v>577</v>
      </c>
      <c r="AJ646" s="33" t="s">
        <v>1588</v>
      </c>
      <c r="AK646" s="141" t="s">
        <v>1613</v>
      </c>
      <c r="AL646" s="33" t="s">
        <v>441</v>
      </c>
      <c r="AM646" s="33" t="s">
        <v>441</v>
      </c>
      <c r="AN646" s="33" t="s">
        <v>177</v>
      </c>
      <c r="AT646" s="33" t="s">
        <v>368</v>
      </c>
      <c r="AU646" s="33" t="s">
        <v>442</v>
      </c>
      <c r="AV646" s="33" t="s">
        <v>502</v>
      </c>
      <c r="AW646" s="33" t="s">
        <v>119</v>
      </c>
      <c r="AX646" s="33">
        <v>4</v>
      </c>
      <c r="AZ646" s="33" t="s">
        <v>335</v>
      </c>
      <c r="BD646" s="54"/>
      <c r="BP646" s="402"/>
      <c r="BQ646" s="402"/>
      <c r="BU646" s="402"/>
      <c r="BV646" s="402"/>
      <c r="BZ646" s="402"/>
      <c r="CA646" s="402"/>
      <c r="CE646" s="555"/>
      <c r="CF646" s="555"/>
      <c r="CG646" s="555"/>
      <c r="CH646" s="555"/>
      <c r="FL646" s="33">
        <v>0.1033</v>
      </c>
      <c r="FM646" s="33">
        <v>0.1086</v>
      </c>
      <c r="FP646" s="33" t="s">
        <v>444</v>
      </c>
      <c r="GZ646" s="12"/>
      <c r="HD646" s="12"/>
      <c r="JB646" s="33" t="s">
        <v>715</v>
      </c>
    </row>
    <row r="647" spans="1:262" s="33" customFormat="1" x14ac:dyDescent="0.25">
      <c r="A647" s="33">
        <v>30</v>
      </c>
      <c r="B647" s="47" t="s">
        <v>3887</v>
      </c>
      <c r="C647" s="33" t="s">
        <v>437</v>
      </c>
      <c r="D647" s="33" t="s">
        <v>438</v>
      </c>
      <c r="E647" s="33">
        <v>2002</v>
      </c>
      <c r="F647" s="33">
        <v>2000</v>
      </c>
      <c r="G647" s="33" t="s">
        <v>439</v>
      </c>
      <c r="H647" s="33" t="s">
        <v>440</v>
      </c>
      <c r="I647" s="32" t="s">
        <v>2815</v>
      </c>
      <c r="J647" s="33">
        <f t="shared" si="201"/>
        <v>38.533333333333331</v>
      </c>
      <c r="K647" s="33">
        <f t="shared" si="202"/>
        <v>-121.78333333333333</v>
      </c>
      <c r="L647" s="33">
        <v>18.399999999999999</v>
      </c>
      <c r="P647" s="33">
        <v>483</v>
      </c>
      <c r="R647" s="47">
        <v>4</v>
      </c>
      <c r="S647" s="47" t="s">
        <v>1858</v>
      </c>
      <c r="T647" s="47"/>
      <c r="U647" s="47">
        <v>36535</v>
      </c>
      <c r="V647" s="47" t="s">
        <v>1397</v>
      </c>
      <c r="W647" s="47" t="s">
        <v>1725</v>
      </c>
      <c r="X647" s="47" t="s">
        <v>1395</v>
      </c>
      <c r="Y647" s="47" t="s">
        <v>1417</v>
      </c>
      <c r="AA647" s="327">
        <v>36</v>
      </c>
      <c r="AB647" s="327">
        <v>46</v>
      </c>
      <c r="AC647" s="33" t="s">
        <v>139</v>
      </c>
      <c r="AG647" s="33" t="s">
        <v>1328</v>
      </c>
      <c r="AH647" s="33" t="s">
        <v>1533</v>
      </c>
      <c r="AI647" s="138" t="s">
        <v>577</v>
      </c>
      <c r="AJ647" s="33" t="s">
        <v>1588</v>
      </c>
      <c r="AK647" s="141" t="s">
        <v>1613</v>
      </c>
      <c r="AL647" s="33" t="s">
        <v>441</v>
      </c>
      <c r="AM647" s="33" t="s">
        <v>441</v>
      </c>
      <c r="AN647" s="33" t="s">
        <v>177</v>
      </c>
      <c r="AT647" s="33" t="s">
        <v>368</v>
      </c>
      <c r="AU647" s="33" t="s">
        <v>443</v>
      </c>
      <c r="AV647" s="33" t="s">
        <v>502</v>
      </c>
      <c r="AW647" s="33" t="s">
        <v>119</v>
      </c>
      <c r="AX647" s="33">
        <v>4</v>
      </c>
      <c r="AZ647" s="33" t="s">
        <v>335</v>
      </c>
      <c r="BD647" s="54"/>
      <c r="BP647" s="402"/>
      <c r="BQ647" s="402"/>
      <c r="BU647" s="402"/>
      <c r="BV647" s="402"/>
      <c r="BZ647" s="402"/>
      <c r="CA647" s="402"/>
      <c r="CE647" s="555"/>
      <c r="CF647" s="555"/>
      <c r="CG647" s="555"/>
      <c r="CH647" s="555"/>
      <c r="FL647" s="33">
        <v>0.1033</v>
      </c>
      <c r="FM647" s="33">
        <v>0.11219999999999999</v>
      </c>
      <c r="FP647" s="33" t="s">
        <v>444</v>
      </c>
      <c r="GZ647" s="12"/>
      <c r="HD647" s="12"/>
      <c r="JB647" s="33" t="s">
        <v>715</v>
      </c>
    </row>
    <row r="648" spans="1:262" s="33" customFormat="1" x14ac:dyDescent="0.25">
      <c r="A648" s="33">
        <v>30</v>
      </c>
      <c r="B648" s="47" t="s">
        <v>3887</v>
      </c>
      <c r="C648" s="33" t="s">
        <v>437</v>
      </c>
      <c r="D648" s="33" t="s">
        <v>438</v>
      </c>
      <c r="E648" s="33">
        <v>2002</v>
      </c>
      <c r="F648" s="33">
        <v>2000</v>
      </c>
      <c r="G648" s="33" t="s">
        <v>439</v>
      </c>
      <c r="H648" s="33" t="s">
        <v>440</v>
      </c>
      <c r="I648" s="32" t="s">
        <v>2815</v>
      </c>
      <c r="J648" s="33">
        <f t="shared" si="201"/>
        <v>38.533333333333331</v>
      </c>
      <c r="K648" s="33">
        <f t="shared" si="202"/>
        <v>-121.78333333333333</v>
      </c>
      <c r="L648" s="33">
        <v>18.399999999999999</v>
      </c>
      <c r="P648" s="33">
        <v>483</v>
      </c>
      <c r="R648" s="47">
        <v>4</v>
      </c>
      <c r="S648" s="47" t="s">
        <v>1858</v>
      </c>
      <c r="T648" s="47"/>
      <c r="U648" s="47">
        <v>36541</v>
      </c>
      <c r="V648" s="47" t="s">
        <v>1397</v>
      </c>
      <c r="W648" s="47" t="s">
        <v>1725</v>
      </c>
      <c r="X648" s="47" t="s">
        <v>1395</v>
      </c>
      <c r="Y648" s="47" t="s">
        <v>1417</v>
      </c>
      <c r="AA648" s="327">
        <v>36</v>
      </c>
      <c r="AB648" s="327">
        <v>46</v>
      </c>
      <c r="AC648" s="33" t="s">
        <v>139</v>
      </c>
      <c r="AG648" s="33" t="s">
        <v>1328</v>
      </c>
      <c r="AH648" s="33" t="s">
        <v>1533</v>
      </c>
      <c r="AI648" s="138" t="s">
        <v>577</v>
      </c>
      <c r="AJ648" s="33" t="s">
        <v>1588</v>
      </c>
      <c r="AK648" s="141" t="s">
        <v>1613</v>
      </c>
      <c r="AL648" s="33" t="s">
        <v>441</v>
      </c>
      <c r="AM648" s="33" t="s">
        <v>441</v>
      </c>
      <c r="AN648" s="33" t="s">
        <v>177</v>
      </c>
      <c r="AT648" s="33" t="s">
        <v>368</v>
      </c>
      <c r="AU648" s="33" t="s">
        <v>442</v>
      </c>
      <c r="AV648" s="33" t="s">
        <v>502</v>
      </c>
      <c r="AW648" s="33" t="s">
        <v>119</v>
      </c>
      <c r="AX648" s="33">
        <v>4</v>
      </c>
      <c r="AZ648" s="33" t="s">
        <v>335</v>
      </c>
      <c r="BD648" s="54"/>
      <c r="BP648" s="402"/>
      <c r="BQ648" s="402"/>
      <c r="BU648" s="402"/>
      <c r="BV648" s="402"/>
      <c r="BZ648" s="402"/>
      <c r="CA648" s="402"/>
      <c r="CE648" s="555"/>
      <c r="CF648" s="555"/>
      <c r="CG648" s="555"/>
      <c r="CH648" s="555"/>
      <c r="FL648" s="33">
        <v>0.1024</v>
      </c>
      <c r="FM648" s="33">
        <v>0.1095</v>
      </c>
      <c r="FP648" s="33" t="s">
        <v>444</v>
      </c>
      <c r="GZ648" s="12"/>
      <c r="HD648" s="12"/>
      <c r="JB648" s="33" t="s">
        <v>715</v>
      </c>
    </row>
    <row r="649" spans="1:262" s="33" customFormat="1" x14ac:dyDescent="0.25">
      <c r="A649" s="33">
        <v>30</v>
      </c>
      <c r="B649" s="47" t="s">
        <v>3887</v>
      </c>
      <c r="C649" s="33" t="s">
        <v>437</v>
      </c>
      <c r="D649" s="33" t="s">
        <v>438</v>
      </c>
      <c r="E649" s="33">
        <v>2002</v>
      </c>
      <c r="F649" s="33">
        <v>2000</v>
      </c>
      <c r="G649" s="33" t="s">
        <v>439</v>
      </c>
      <c r="H649" s="33" t="s">
        <v>440</v>
      </c>
      <c r="I649" s="32" t="s">
        <v>2815</v>
      </c>
      <c r="J649" s="33">
        <f t="shared" si="201"/>
        <v>38.533333333333331</v>
      </c>
      <c r="K649" s="33">
        <f t="shared" si="202"/>
        <v>-121.78333333333333</v>
      </c>
      <c r="L649" s="33">
        <v>18.399999999999999</v>
      </c>
      <c r="P649" s="33">
        <v>483</v>
      </c>
      <c r="R649" s="47">
        <v>4</v>
      </c>
      <c r="S649" s="47" t="s">
        <v>1858</v>
      </c>
      <c r="T649" s="47"/>
      <c r="U649" s="47">
        <v>36541</v>
      </c>
      <c r="V649" s="47" t="s">
        <v>1397</v>
      </c>
      <c r="W649" s="47" t="s">
        <v>1725</v>
      </c>
      <c r="X649" s="47" t="s">
        <v>1395</v>
      </c>
      <c r="Y649" s="47" t="s">
        <v>1417</v>
      </c>
      <c r="AA649" s="327">
        <v>36</v>
      </c>
      <c r="AB649" s="327">
        <v>46</v>
      </c>
      <c r="AC649" s="33" t="s">
        <v>139</v>
      </c>
      <c r="AG649" s="33" t="s">
        <v>1328</v>
      </c>
      <c r="AH649" s="33" t="s">
        <v>1533</v>
      </c>
      <c r="AI649" s="138" t="s">
        <v>577</v>
      </c>
      <c r="AJ649" s="33" t="s">
        <v>1588</v>
      </c>
      <c r="AK649" s="141" t="s">
        <v>1613</v>
      </c>
      <c r="AL649" s="33" t="s">
        <v>441</v>
      </c>
      <c r="AM649" s="33" t="s">
        <v>441</v>
      </c>
      <c r="AN649" s="33" t="s">
        <v>177</v>
      </c>
      <c r="AT649" s="33" t="s">
        <v>368</v>
      </c>
      <c r="AU649" s="33" t="s">
        <v>443</v>
      </c>
      <c r="AV649" s="33" t="s">
        <v>502</v>
      </c>
      <c r="AW649" s="33" t="s">
        <v>119</v>
      </c>
      <c r="AX649" s="33">
        <v>4</v>
      </c>
      <c r="AZ649" s="33" t="s">
        <v>335</v>
      </c>
      <c r="BD649" s="54"/>
      <c r="BP649" s="402"/>
      <c r="BQ649" s="402"/>
      <c r="BU649" s="402"/>
      <c r="BV649" s="402"/>
      <c r="BZ649" s="402"/>
      <c r="CA649" s="402"/>
      <c r="CE649" s="555"/>
      <c r="CF649" s="555"/>
      <c r="CG649" s="555"/>
      <c r="CH649" s="555"/>
      <c r="FL649" s="33">
        <v>0.1024</v>
      </c>
      <c r="FM649" s="33">
        <v>0.1095</v>
      </c>
      <c r="FP649" s="33" t="s">
        <v>444</v>
      </c>
      <c r="GZ649" s="12"/>
      <c r="HD649" s="12"/>
      <c r="JB649" s="33" t="s">
        <v>715</v>
      </c>
    </row>
    <row r="650" spans="1:262" s="33" customFormat="1" x14ac:dyDescent="0.25">
      <c r="A650" s="33">
        <v>30</v>
      </c>
      <c r="B650" s="47" t="s">
        <v>3887</v>
      </c>
      <c r="C650" s="33" t="s">
        <v>437</v>
      </c>
      <c r="D650" s="33" t="s">
        <v>438</v>
      </c>
      <c r="E650" s="33">
        <v>2002</v>
      </c>
      <c r="F650" s="33">
        <v>2000</v>
      </c>
      <c r="G650" s="33" t="s">
        <v>439</v>
      </c>
      <c r="H650" s="33" t="s">
        <v>440</v>
      </c>
      <c r="I650" s="32" t="s">
        <v>2815</v>
      </c>
      <c r="J650" s="33">
        <f t="shared" si="201"/>
        <v>38.533333333333331</v>
      </c>
      <c r="K650" s="33">
        <f t="shared" si="202"/>
        <v>-121.78333333333333</v>
      </c>
      <c r="L650" s="33">
        <v>18.399999999999999</v>
      </c>
      <c r="P650" s="33">
        <v>483</v>
      </c>
      <c r="R650" s="47">
        <v>4</v>
      </c>
      <c r="S650" s="47" t="s">
        <v>1858</v>
      </c>
      <c r="T650" s="47"/>
      <c r="U650" s="47">
        <v>36549</v>
      </c>
      <c r="V650" s="47" t="s">
        <v>1397</v>
      </c>
      <c r="W650" s="47" t="s">
        <v>1725</v>
      </c>
      <c r="X650" s="47" t="s">
        <v>1395</v>
      </c>
      <c r="Y650" s="47" t="s">
        <v>1417</v>
      </c>
      <c r="AA650" s="327">
        <v>36</v>
      </c>
      <c r="AB650" s="327">
        <v>46</v>
      </c>
      <c r="AC650" s="33" t="s">
        <v>139</v>
      </c>
      <c r="AG650" s="33" t="s">
        <v>1328</v>
      </c>
      <c r="AH650" s="33" t="s">
        <v>1533</v>
      </c>
      <c r="AI650" s="138" t="s">
        <v>577</v>
      </c>
      <c r="AJ650" s="33" t="s">
        <v>1588</v>
      </c>
      <c r="AK650" s="141" t="s">
        <v>1613</v>
      </c>
      <c r="AL650" s="33" t="s">
        <v>441</v>
      </c>
      <c r="AM650" s="33" t="s">
        <v>441</v>
      </c>
      <c r="AN650" s="33" t="s">
        <v>177</v>
      </c>
      <c r="AT650" s="33" t="s">
        <v>368</v>
      </c>
      <c r="AU650" s="33" t="s">
        <v>442</v>
      </c>
      <c r="AV650" s="33" t="s">
        <v>502</v>
      </c>
      <c r="AW650" s="33" t="s">
        <v>119</v>
      </c>
      <c r="AX650" s="33">
        <v>4</v>
      </c>
      <c r="AZ650" s="33" t="s">
        <v>335</v>
      </c>
      <c r="BD650" s="54"/>
      <c r="BP650" s="402"/>
      <c r="BQ650" s="402"/>
      <c r="BU650" s="402"/>
      <c r="BV650" s="402"/>
      <c r="BZ650" s="402"/>
      <c r="CA650" s="402"/>
      <c r="CE650" s="555"/>
      <c r="CF650" s="555"/>
      <c r="CG650" s="555"/>
      <c r="CH650" s="555"/>
      <c r="FL650" s="33">
        <v>0.10589999999999999</v>
      </c>
      <c r="FM650" s="33">
        <v>0.1086</v>
      </c>
      <c r="FP650" s="33" t="s">
        <v>444</v>
      </c>
      <c r="GZ650" s="12"/>
      <c r="HD650" s="12"/>
      <c r="JB650" s="33" t="s">
        <v>715</v>
      </c>
    </row>
    <row r="651" spans="1:262" s="33" customFormat="1" x14ac:dyDescent="0.25">
      <c r="A651" s="33">
        <v>30</v>
      </c>
      <c r="B651" s="47" t="s">
        <v>3887</v>
      </c>
      <c r="C651" s="33" t="s">
        <v>437</v>
      </c>
      <c r="D651" s="33" t="s">
        <v>438</v>
      </c>
      <c r="E651" s="33">
        <v>2002</v>
      </c>
      <c r="F651" s="33">
        <v>2000</v>
      </c>
      <c r="G651" s="33" t="s">
        <v>439</v>
      </c>
      <c r="H651" s="33" t="s">
        <v>440</v>
      </c>
      <c r="I651" s="32" t="s">
        <v>2815</v>
      </c>
      <c r="J651" s="33">
        <f t="shared" si="201"/>
        <v>38.533333333333331</v>
      </c>
      <c r="K651" s="33">
        <f t="shared" si="202"/>
        <v>-121.78333333333333</v>
      </c>
      <c r="L651" s="33">
        <v>18.399999999999999</v>
      </c>
      <c r="P651" s="33">
        <v>483</v>
      </c>
      <c r="R651" s="47">
        <v>4</v>
      </c>
      <c r="S651" s="47" t="s">
        <v>1858</v>
      </c>
      <c r="T651" s="47"/>
      <c r="U651" s="47">
        <v>36549</v>
      </c>
      <c r="V651" s="47" t="s">
        <v>1397</v>
      </c>
      <c r="W651" s="47" t="s">
        <v>1725</v>
      </c>
      <c r="X651" s="47" t="s">
        <v>1395</v>
      </c>
      <c r="Y651" s="47" t="s">
        <v>1417</v>
      </c>
      <c r="AA651" s="327">
        <v>36</v>
      </c>
      <c r="AB651" s="327">
        <v>46</v>
      </c>
      <c r="AC651" s="33" t="s">
        <v>139</v>
      </c>
      <c r="AG651" s="33" t="s">
        <v>1328</v>
      </c>
      <c r="AH651" s="33" t="s">
        <v>1533</v>
      </c>
      <c r="AI651" s="138" t="s">
        <v>577</v>
      </c>
      <c r="AJ651" s="33" t="s">
        <v>1588</v>
      </c>
      <c r="AK651" s="141" t="s">
        <v>1613</v>
      </c>
      <c r="AL651" s="33" t="s">
        <v>441</v>
      </c>
      <c r="AM651" s="33" t="s">
        <v>441</v>
      </c>
      <c r="AN651" s="33" t="s">
        <v>177</v>
      </c>
      <c r="AT651" s="33" t="s">
        <v>368</v>
      </c>
      <c r="AU651" s="33" t="s">
        <v>443</v>
      </c>
      <c r="AV651" s="33" t="s">
        <v>502</v>
      </c>
      <c r="AW651" s="33" t="s">
        <v>119</v>
      </c>
      <c r="AX651" s="33">
        <v>4</v>
      </c>
      <c r="AZ651" s="33" t="s">
        <v>335</v>
      </c>
      <c r="BD651" s="54"/>
      <c r="BP651" s="402"/>
      <c r="BQ651" s="402"/>
      <c r="BU651" s="402"/>
      <c r="BV651" s="402"/>
      <c r="BZ651" s="402"/>
      <c r="CA651" s="402"/>
      <c r="CE651" s="555"/>
      <c r="CF651" s="555"/>
      <c r="CG651" s="555"/>
      <c r="CH651" s="555"/>
      <c r="FL651" s="33">
        <v>0.10589999999999999</v>
      </c>
      <c r="FM651" s="33">
        <v>0.1086</v>
      </c>
      <c r="FP651" s="33" t="s">
        <v>444</v>
      </c>
      <c r="GZ651" s="12"/>
      <c r="HD651" s="12"/>
      <c r="JB651" s="33" t="s">
        <v>715</v>
      </c>
    </row>
    <row r="652" spans="1:262" s="33" customFormat="1" x14ac:dyDescent="0.25">
      <c r="A652" s="33">
        <v>30</v>
      </c>
      <c r="B652" s="47" t="s">
        <v>3887</v>
      </c>
      <c r="C652" s="33" t="s">
        <v>437</v>
      </c>
      <c r="D652" s="33" t="s">
        <v>438</v>
      </c>
      <c r="E652" s="33">
        <v>2002</v>
      </c>
      <c r="F652" s="33">
        <v>2000</v>
      </c>
      <c r="G652" s="33" t="s">
        <v>439</v>
      </c>
      <c r="H652" s="33" t="s">
        <v>440</v>
      </c>
      <c r="I652" s="32" t="s">
        <v>2815</v>
      </c>
      <c r="J652" s="33">
        <f t="shared" si="201"/>
        <v>38.533333333333331</v>
      </c>
      <c r="K652" s="33">
        <f t="shared" si="202"/>
        <v>-121.78333333333333</v>
      </c>
      <c r="L652" s="33">
        <v>18.399999999999999</v>
      </c>
      <c r="P652" s="33">
        <v>483</v>
      </c>
      <c r="R652" s="47">
        <v>4</v>
      </c>
      <c r="S652" s="47" t="s">
        <v>1858</v>
      </c>
      <c r="T652" s="47"/>
      <c r="U652" s="47">
        <v>36562</v>
      </c>
      <c r="V652" s="47" t="s">
        <v>1397</v>
      </c>
      <c r="W652" s="47" t="s">
        <v>1725</v>
      </c>
      <c r="X652" s="47" t="s">
        <v>1395</v>
      </c>
      <c r="Y652" s="47" t="s">
        <v>1417</v>
      </c>
      <c r="AA652" s="327">
        <v>36</v>
      </c>
      <c r="AB652" s="327">
        <v>46</v>
      </c>
      <c r="AC652" s="33" t="s">
        <v>139</v>
      </c>
      <c r="AG652" s="33" t="s">
        <v>1328</v>
      </c>
      <c r="AH652" s="33" t="s">
        <v>1533</v>
      </c>
      <c r="AI652" s="138" t="s">
        <v>577</v>
      </c>
      <c r="AJ652" s="33" t="s">
        <v>1588</v>
      </c>
      <c r="AK652" s="141" t="s">
        <v>1613</v>
      </c>
      <c r="AL652" s="33" t="s">
        <v>441</v>
      </c>
      <c r="AM652" s="33" t="s">
        <v>441</v>
      </c>
      <c r="AN652" s="33" t="s">
        <v>177</v>
      </c>
      <c r="AT652" s="33" t="s">
        <v>368</v>
      </c>
      <c r="AU652" s="33" t="s">
        <v>442</v>
      </c>
      <c r="AV652" s="33" t="s">
        <v>502</v>
      </c>
      <c r="AW652" s="33" t="s">
        <v>119</v>
      </c>
      <c r="AX652" s="33">
        <v>4</v>
      </c>
      <c r="AZ652" s="33" t="s">
        <v>335</v>
      </c>
      <c r="BD652" s="54"/>
      <c r="BP652" s="402"/>
      <c r="BQ652" s="402"/>
      <c r="BU652" s="402"/>
      <c r="BV652" s="402"/>
      <c r="BZ652" s="402"/>
      <c r="CA652" s="402"/>
      <c r="CE652" s="555"/>
      <c r="CF652" s="555"/>
      <c r="CG652" s="555"/>
      <c r="CH652" s="555"/>
      <c r="FL652" s="33">
        <v>0.11310000000000001</v>
      </c>
      <c r="FM652" s="33">
        <v>0.11310000000000001</v>
      </c>
      <c r="FP652" s="33" t="s">
        <v>444</v>
      </c>
      <c r="GZ652" s="12"/>
      <c r="HD652" s="12"/>
      <c r="JB652" s="33" t="s">
        <v>715</v>
      </c>
    </row>
    <row r="653" spans="1:262" s="33" customFormat="1" x14ac:dyDescent="0.25">
      <c r="A653" s="33">
        <v>30</v>
      </c>
      <c r="B653" s="47" t="s">
        <v>3887</v>
      </c>
      <c r="C653" s="33" t="s">
        <v>437</v>
      </c>
      <c r="D653" s="33" t="s">
        <v>438</v>
      </c>
      <c r="E653" s="33">
        <v>2002</v>
      </c>
      <c r="F653" s="33">
        <v>2000</v>
      </c>
      <c r="G653" s="33" t="s">
        <v>439</v>
      </c>
      <c r="H653" s="33" t="s">
        <v>440</v>
      </c>
      <c r="I653" s="32" t="s">
        <v>2815</v>
      </c>
      <c r="J653" s="33">
        <f t="shared" si="201"/>
        <v>38.533333333333331</v>
      </c>
      <c r="K653" s="33">
        <f t="shared" si="202"/>
        <v>-121.78333333333333</v>
      </c>
      <c r="L653" s="33">
        <v>18.399999999999999</v>
      </c>
      <c r="P653" s="33">
        <v>483</v>
      </c>
      <c r="R653" s="47">
        <v>4</v>
      </c>
      <c r="S653" s="47" t="s">
        <v>1858</v>
      </c>
      <c r="T653" s="47"/>
      <c r="U653" s="47">
        <v>36562</v>
      </c>
      <c r="V653" s="47" t="s">
        <v>1397</v>
      </c>
      <c r="W653" s="47" t="s">
        <v>1725</v>
      </c>
      <c r="X653" s="47" t="s">
        <v>1395</v>
      </c>
      <c r="Y653" s="47" t="s">
        <v>1417</v>
      </c>
      <c r="AA653" s="327">
        <v>36</v>
      </c>
      <c r="AB653" s="327">
        <v>46</v>
      </c>
      <c r="AC653" s="33" t="s">
        <v>139</v>
      </c>
      <c r="AG653" s="33" t="s">
        <v>1328</v>
      </c>
      <c r="AH653" s="33" t="s">
        <v>1533</v>
      </c>
      <c r="AI653" s="138" t="s">
        <v>577</v>
      </c>
      <c r="AJ653" s="33" t="s">
        <v>1588</v>
      </c>
      <c r="AK653" s="141" t="s">
        <v>1613</v>
      </c>
      <c r="AL653" s="33" t="s">
        <v>441</v>
      </c>
      <c r="AM653" s="33" t="s">
        <v>441</v>
      </c>
      <c r="AN653" s="33" t="s">
        <v>177</v>
      </c>
      <c r="AT653" s="33" t="s">
        <v>368</v>
      </c>
      <c r="AU653" s="33" t="s">
        <v>443</v>
      </c>
      <c r="AV653" s="33" t="s">
        <v>502</v>
      </c>
      <c r="AW653" s="33" t="s">
        <v>119</v>
      </c>
      <c r="AX653" s="33">
        <v>4</v>
      </c>
      <c r="AZ653" s="33" t="s">
        <v>335</v>
      </c>
      <c r="BD653" s="54"/>
      <c r="BP653" s="402"/>
      <c r="BQ653" s="402"/>
      <c r="BU653" s="402"/>
      <c r="BV653" s="402"/>
      <c r="BZ653" s="402"/>
      <c r="CA653" s="402"/>
      <c r="CE653" s="555"/>
      <c r="CF653" s="555"/>
      <c r="CG653" s="555"/>
      <c r="CH653" s="555"/>
      <c r="FL653" s="33">
        <v>0.11310000000000001</v>
      </c>
      <c r="FM653" s="33">
        <v>0.11310000000000001</v>
      </c>
      <c r="FP653" s="33" t="s">
        <v>444</v>
      </c>
      <c r="GZ653" s="12"/>
      <c r="HD653" s="12"/>
      <c r="JB653" s="33" t="s">
        <v>715</v>
      </c>
    </row>
    <row r="654" spans="1:262" s="33" customFormat="1" x14ac:dyDescent="0.25">
      <c r="A654" s="33">
        <v>30</v>
      </c>
      <c r="B654" s="47" t="s">
        <v>3887</v>
      </c>
      <c r="C654" s="33" t="s">
        <v>437</v>
      </c>
      <c r="D654" s="33" t="s">
        <v>438</v>
      </c>
      <c r="E654" s="33">
        <v>2002</v>
      </c>
      <c r="F654" s="33">
        <v>2000</v>
      </c>
      <c r="G654" s="33" t="s">
        <v>439</v>
      </c>
      <c r="H654" s="33" t="s">
        <v>440</v>
      </c>
      <c r="I654" s="32" t="s">
        <v>2815</v>
      </c>
      <c r="J654" s="33">
        <f t="shared" si="201"/>
        <v>38.533333333333331</v>
      </c>
      <c r="K654" s="33">
        <f t="shared" si="202"/>
        <v>-121.78333333333333</v>
      </c>
      <c r="L654" s="33">
        <v>18.399999999999999</v>
      </c>
      <c r="P654" s="33">
        <v>483</v>
      </c>
      <c r="R654" s="47">
        <v>4</v>
      </c>
      <c r="S654" s="47" t="s">
        <v>1858</v>
      </c>
      <c r="T654" s="47"/>
      <c r="U654" s="47">
        <v>36566</v>
      </c>
      <c r="V654" s="47" t="s">
        <v>1397</v>
      </c>
      <c r="W654" s="47" t="s">
        <v>1725</v>
      </c>
      <c r="X654" s="47" t="s">
        <v>1395</v>
      </c>
      <c r="Y654" s="47" t="s">
        <v>1417</v>
      </c>
      <c r="AA654" s="327">
        <v>36</v>
      </c>
      <c r="AB654" s="327">
        <v>46</v>
      </c>
      <c r="AC654" s="33" t="s">
        <v>139</v>
      </c>
      <c r="AG654" s="33" t="s">
        <v>1328</v>
      </c>
      <c r="AH654" s="33" t="s">
        <v>1533</v>
      </c>
      <c r="AI654" s="138" t="s">
        <v>577</v>
      </c>
      <c r="AJ654" s="33" t="s">
        <v>1588</v>
      </c>
      <c r="AK654" s="141" t="s">
        <v>1613</v>
      </c>
      <c r="AL654" s="33" t="s">
        <v>441</v>
      </c>
      <c r="AM654" s="33" t="s">
        <v>441</v>
      </c>
      <c r="AN654" s="33" t="s">
        <v>177</v>
      </c>
      <c r="AT654" s="33" t="s">
        <v>368</v>
      </c>
      <c r="AU654" s="33" t="s">
        <v>442</v>
      </c>
      <c r="AV654" s="33" t="s">
        <v>502</v>
      </c>
      <c r="AW654" s="33" t="s">
        <v>119</v>
      </c>
      <c r="AX654" s="33">
        <v>4</v>
      </c>
      <c r="AZ654" s="33" t="s">
        <v>335</v>
      </c>
      <c r="BD654" s="54"/>
      <c r="BP654" s="402"/>
      <c r="BQ654" s="402"/>
      <c r="BU654" s="402"/>
      <c r="BV654" s="402"/>
      <c r="BZ654" s="402"/>
      <c r="CA654" s="402"/>
      <c r="CE654" s="555"/>
      <c r="CF654" s="555"/>
      <c r="CG654" s="555"/>
      <c r="CH654" s="555"/>
      <c r="FL654" s="33">
        <v>0.113</v>
      </c>
      <c r="FM654" s="33">
        <v>0.114</v>
      </c>
      <c r="FP654" s="33" t="s">
        <v>444</v>
      </c>
      <c r="GZ654" s="12"/>
      <c r="HD654" s="12"/>
      <c r="JB654" s="33" t="s">
        <v>715</v>
      </c>
    </row>
    <row r="655" spans="1:262" s="33" customFormat="1" x14ac:dyDescent="0.25">
      <c r="A655" s="33">
        <v>30</v>
      </c>
      <c r="B655" s="47" t="s">
        <v>3887</v>
      </c>
      <c r="C655" s="33" t="s">
        <v>437</v>
      </c>
      <c r="D655" s="33" t="s">
        <v>438</v>
      </c>
      <c r="E655" s="33">
        <v>2002</v>
      </c>
      <c r="F655" s="33">
        <v>2000</v>
      </c>
      <c r="G655" s="33" t="s">
        <v>439</v>
      </c>
      <c r="H655" s="33" t="s">
        <v>440</v>
      </c>
      <c r="I655" s="32" t="s">
        <v>2815</v>
      </c>
      <c r="J655" s="33">
        <f t="shared" si="201"/>
        <v>38.533333333333331</v>
      </c>
      <c r="K655" s="33">
        <f t="shared" si="202"/>
        <v>-121.78333333333333</v>
      </c>
      <c r="L655" s="33">
        <v>18.399999999999999</v>
      </c>
      <c r="P655" s="33">
        <v>483</v>
      </c>
      <c r="R655" s="47">
        <v>4</v>
      </c>
      <c r="S655" s="47" t="s">
        <v>1858</v>
      </c>
      <c r="T655" s="47"/>
      <c r="U655" s="47">
        <v>36566</v>
      </c>
      <c r="V655" s="47" t="s">
        <v>1397</v>
      </c>
      <c r="W655" s="47" t="s">
        <v>1725</v>
      </c>
      <c r="X655" s="47" t="s">
        <v>1395</v>
      </c>
      <c r="Y655" s="47" t="s">
        <v>1417</v>
      </c>
      <c r="AA655" s="327">
        <v>36</v>
      </c>
      <c r="AB655" s="327">
        <v>46</v>
      </c>
      <c r="AC655" s="33" t="s">
        <v>139</v>
      </c>
      <c r="AG655" s="33" t="s">
        <v>1328</v>
      </c>
      <c r="AH655" s="33" t="s">
        <v>1533</v>
      </c>
      <c r="AI655" s="138" t="s">
        <v>577</v>
      </c>
      <c r="AJ655" s="33" t="s">
        <v>1588</v>
      </c>
      <c r="AK655" s="141" t="s">
        <v>1613</v>
      </c>
      <c r="AL655" s="33" t="s">
        <v>441</v>
      </c>
      <c r="AM655" s="33" t="s">
        <v>441</v>
      </c>
      <c r="AN655" s="33" t="s">
        <v>177</v>
      </c>
      <c r="AT655" s="33" t="s">
        <v>368</v>
      </c>
      <c r="AU655" s="33" t="s">
        <v>443</v>
      </c>
      <c r="AV655" s="33" t="s">
        <v>502</v>
      </c>
      <c r="AW655" s="33" t="s">
        <v>119</v>
      </c>
      <c r="AX655" s="33">
        <v>4</v>
      </c>
      <c r="AZ655" s="33" t="s">
        <v>335</v>
      </c>
      <c r="BD655" s="54"/>
      <c r="BP655" s="402"/>
      <c r="BQ655" s="402"/>
      <c r="BU655" s="402"/>
      <c r="BV655" s="402"/>
      <c r="BZ655" s="402"/>
      <c r="CA655" s="402"/>
      <c r="CE655" s="555"/>
      <c r="CF655" s="555"/>
      <c r="CG655" s="555"/>
      <c r="CH655" s="555"/>
      <c r="FL655" s="33">
        <v>0.113</v>
      </c>
      <c r="FM655" s="33">
        <v>0.112</v>
      </c>
      <c r="FP655" s="33" t="s">
        <v>444</v>
      </c>
      <c r="GZ655" s="12"/>
      <c r="HD655" s="12"/>
      <c r="JB655" s="33" t="s">
        <v>715</v>
      </c>
    </row>
    <row r="656" spans="1:262" s="33" customFormat="1" x14ac:dyDescent="0.25">
      <c r="A656" s="33">
        <v>30</v>
      </c>
      <c r="B656" s="47" t="s">
        <v>3887</v>
      </c>
      <c r="C656" s="33" t="s">
        <v>437</v>
      </c>
      <c r="D656" s="33" t="s">
        <v>438</v>
      </c>
      <c r="E656" s="33">
        <v>2002</v>
      </c>
      <c r="F656" s="33">
        <v>2000</v>
      </c>
      <c r="G656" s="33" t="s">
        <v>439</v>
      </c>
      <c r="H656" s="33" t="s">
        <v>440</v>
      </c>
      <c r="I656" s="32" t="s">
        <v>2815</v>
      </c>
      <c r="J656" s="33">
        <f t="shared" si="201"/>
        <v>38.533333333333331</v>
      </c>
      <c r="K656" s="33">
        <f t="shared" si="202"/>
        <v>-121.78333333333333</v>
      </c>
      <c r="L656" s="33">
        <v>18.399999999999999</v>
      </c>
      <c r="P656" s="33">
        <v>483</v>
      </c>
      <c r="R656" s="47">
        <v>4</v>
      </c>
      <c r="S656" s="47" t="s">
        <v>1858</v>
      </c>
      <c r="T656" s="47"/>
      <c r="U656" s="47">
        <v>36572</v>
      </c>
      <c r="V656" s="47" t="s">
        <v>1397</v>
      </c>
      <c r="W656" s="47" t="s">
        <v>1725</v>
      </c>
      <c r="X656" s="47" t="s">
        <v>1395</v>
      </c>
      <c r="Y656" s="47" t="s">
        <v>1417</v>
      </c>
      <c r="AA656" s="327">
        <v>36</v>
      </c>
      <c r="AB656" s="327">
        <v>46</v>
      </c>
      <c r="AC656" s="33" t="s">
        <v>139</v>
      </c>
      <c r="AG656" s="33" t="s">
        <v>1328</v>
      </c>
      <c r="AH656" s="33" t="s">
        <v>1533</v>
      </c>
      <c r="AI656" s="138" t="s">
        <v>577</v>
      </c>
      <c r="AJ656" s="33" t="s">
        <v>1588</v>
      </c>
      <c r="AK656" s="141" t="s">
        <v>1613</v>
      </c>
      <c r="AL656" s="33" t="s">
        <v>441</v>
      </c>
      <c r="AM656" s="33" t="s">
        <v>441</v>
      </c>
      <c r="AN656" s="33" t="s">
        <v>177</v>
      </c>
      <c r="AT656" s="33" t="s">
        <v>368</v>
      </c>
      <c r="AU656" s="33" t="s">
        <v>442</v>
      </c>
      <c r="AV656" s="33" t="s">
        <v>502</v>
      </c>
      <c r="AW656" s="33" t="s">
        <v>119</v>
      </c>
      <c r="AX656" s="33">
        <v>4</v>
      </c>
      <c r="AZ656" s="33" t="s">
        <v>335</v>
      </c>
      <c r="BD656" s="54"/>
      <c r="BP656" s="402"/>
      <c r="BQ656" s="402"/>
      <c r="BU656" s="402"/>
      <c r="BV656" s="402"/>
      <c r="BZ656" s="402"/>
      <c r="CA656" s="402"/>
      <c r="CE656" s="555"/>
      <c r="CF656" s="555"/>
      <c r="CG656" s="555"/>
      <c r="CH656" s="555"/>
      <c r="FL656" s="33">
        <v>0.1318</v>
      </c>
      <c r="FM656" s="33">
        <v>0.1318</v>
      </c>
      <c r="FP656" s="33" t="s">
        <v>444</v>
      </c>
      <c r="GZ656" s="12"/>
      <c r="HD656" s="12"/>
      <c r="JB656" s="33" t="s">
        <v>715</v>
      </c>
    </row>
    <row r="657" spans="1:262" s="33" customFormat="1" x14ac:dyDescent="0.25">
      <c r="A657" s="33">
        <v>30</v>
      </c>
      <c r="B657" s="47" t="s">
        <v>3887</v>
      </c>
      <c r="C657" s="33" t="s">
        <v>437</v>
      </c>
      <c r="D657" s="33" t="s">
        <v>438</v>
      </c>
      <c r="E657" s="33">
        <v>2002</v>
      </c>
      <c r="F657" s="33">
        <v>2000</v>
      </c>
      <c r="G657" s="33" t="s">
        <v>439</v>
      </c>
      <c r="H657" s="33" t="s">
        <v>440</v>
      </c>
      <c r="I657" s="32" t="s">
        <v>2815</v>
      </c>
      <c r="J657" s="33">
        <f t="shared" si="201"/>
        <v>38.533333333333331</v>
      </c>
      <c r="K657" s="33">
        <f t="shared" si="202"/>
        <v>-121.78333333333333</v>
      </c>
      <c r="L657" s="33">
        <v>18.399999999999999</v>
      </c>
      <c r="P657" s="33">
        <v>483</v>
      </c>
      <c r="R657" s="47">
        <v>4</v>
      </c>
      <c r="S657" s="47" t="s">
        <v>1858</v>
      </c>
      <c r="T657" s="47"/>
      <c r="U657" s="47">
        <v>36572</v>
      </c>
      <c r="V657" s="47" t="s">
        <v>1397</v>
      </c>
      <c r="W657" s="47" t="s">
        <v>1725</v>
      </c>
      <c r="X657" s="47" t="s">
        <v>1395</v>
      </c>
      <c r="Y657" s="47" t="s">
        <v>1417</v>
      </c>
      <c r="AA657" s="327">
        <v>36</v>
      </c>
      <c r="AB657" s="327">
        <v>46</v>
      </c>
      <c r="AC657" s="33" t="s">
        <v>139</v>
      </c>
      <c r="AG657" s="33" t="s">
        <v>1328</v>
      </c>
      <c r="AH657" s="33" t="s">
        <v>1533</v>
      </c>
      <c r="AI657" s="138" t="s">
        <v>577</v>
      </c>
      <c r="AJ657" s="33" t="s">
        <v>1588</v>
      </c>
      <c r="AK657" s="141" t="s">
        <v>1613</v>
      </c>
      <c r="AL657" s="33" t="s">
        <v>441</v>
      </c>
      <c r="AM657" s="33" t="s">
        <v>441</v>
      </c>
      <c r="AN657" s="33" t="s">
        <v>177</v>
      </c>
      <c r="AT657" s="33" t="s">
        <v>368</v>
      </c>
      <c r="AU657" s="33" t="s">
        <v>443</v>
      </c>
      <c r="AV657" s="33" t="s">
        <v>502</v>
      </c>
      <c r="AW657" s="33" t="s">
        <v>119</v>
      </c>
      <c r="AX657" s="33">
        <v>4</v>
      </c>
      <c r="AZ657" s="33" t="s">
        <v>335</v>
      </c>
      <c r="BD657" s="54"/>
      <c r="BP657" s="402"/>
      <c r="BQ657" s="402"/>
      <c r="BU657" s="402"/>
      <c r="BV657" s="402"/>
      <c r="BZ657" s="402"/>
      <c r="CA657" s="402"/>
      <c r="CE657" s="555"/>
      <c r="CF657" s="555"/>
      <c r="CG657" s="555"/>
      <c r="CH657" s="555"/>
      <c r="FL657" s="33">
        <v>0.1318</v>
      </c>
      <c r="FM657" s="33">
        <v>0.14699999999999999</v>
      </c>
      <c r="FP657" s="33" t="s">
        <v>444</v>
      </c>
      <c r="GZ657" s="12"/>
      <c r="HD657" s="12"/>
      <c r="JB657" s="33" t="s">
        <v>715</v>
      </c>
    </row>
    <row r="658" spans="1:262" s="33" customFormat="1" x14ac:dyDescent="0.25">
      <c r="A658" s="33">
        <v>30</v>
      </c>
      <c r="B658" s="47" t="s">
        <v>3887</v>
      </c>
      <c r="C658" s="33" t="s">
        <v>437</v>
      </c>
      <c r="D658" s="33" t="s">
        <v>438</v>
      </c>
      <c r="E658" s="33">
        <v>2002</v>
      </c>
      <c r="F658" s="33">
        <v>2000</v>
      </c>
      <c r="G658" s="33" t="s">
        <v>439</v>
      </c>
      <c r="H658" s="33" t="s">
        <v>440</v>
      </c>
      <c r="I658" s="32" t="s">
        <v>2815</v>
      </c>
      <c r="J658" s="33">
        <f t="shared" si="201"/>
        <v>38.533333333333331</v>
      </c>
      <c r="K658" s="33">
        <f t="shared" si="202"/>
        <v>-121.78333333333333</v>
      </c>
      <c r="L658" s="33">
        <v>18.399999999999999</v>
      </c>
      <c r="P658" s="33">
        <v>483</v>
      </c>
      <c r="R658" s="47">
        <v>4</v>
      </c>
      <c r="S658" s="47" t="s">
        <v>1858</v>
      </c>
      <c r="T658" s="47"/>
      <c r="U658" s="47">
        <v>36582</v>
      </c>
      <c r="V658" s="47" t="s">
        <v>1397</v>
      </c>
      <c r="W658" s="47" t="s">
        <v>1725</v>
      </c>
      <c r="X658" s="47" t="s">
        <v>1395</v>
      </c>
      <c r="Y658" s="47" t="s">
        <v>1417</v>
      </c>
      <c r="AA658" s="327">
        <v>36</v>
      </c>
      <c r="AB658" s="327">
        <v>46</v>
      </c>
      <c r="AC658" s="33" t="s">
        <v>139</v>
      </c>
      <c r="AG658" s="33" t="s">
        <v>1328</v>
      </c>
      <c r="AH658" s="33" t="s">
        <v>1533</v>
      </c>
      <c r="AI658" s="138" t="s">
        <v>577</v>
      </c>
      <c r="AJ658" s="33" t="s">
        <v>1588</v>
      </c>
      <c r="AK658" s="141" t="s">
        <v>1613</v>
      </c>
      <c r="AL658" s="33" t="s">
        <v>441</v>
      </c>
      <c r="AM658" s="33" t="s">
        <v>441</v>
      </c>
      <c r="AN658" s="33" t="s">
        <v>177</v>
      </c>
      <c r="AT658" s="33" t="s">
        <v>368</v>
      </c>
      <c r="AU658" s="33" t="s">
        <v>442</v>
      </c>
      <c r="AV658" s="33" t="s">
        <v>502</v>
      </c>
      <c r="AW658" s="33" t="s">
        <v>119</v>
      </c>
      <c r="AX658" s="33">
        <v>4</v>
      </c>
      <c r="AZ658" s="33" t="s">
        <v>335</v>
      </c>
      <c r="BD658" s="54"/>
      <c r="BP658" s="402"/>
      <c r="BQ658" s="402"/>
      <c r="BU658" s="402"/>
      <c r="BV658" s="402"/>
      <c r="BZ658" s="402"/>
      <c r="CA658" s="402"/>
      <c r="CE658" s="555"/>
      <c r="CF658" s="555"/>
      <c r="CG658" s="555"/>
      <c r="CH658" s="555"/>
      <c r="FL658" s="33">
        <v>0.14610000000000001</v>
      </c>
      <c r="FM658" s="33">
        <v>0.16400000000000001</v>
      </c>
      <c r="FP658" s="33" t="s">
        <v>444</v>
      </c>
      <c r="GZ658" s="12"/>
      <c r="HD658" s="12"/>
      <c r="JB658" s="33" t="s">
        <v>715</v>
      </c>
    </row>
    <row r="659" spans="1:262" s="33" customFormat="1" x14ac:dyDescent="0.25">
      <c r="A659" s="33">
        <v>30</v>
      </c>
      <c r="B659" s="47" t="s">
        <v>3887</v>
      </c>
      <c r="C659" s="33" t="s">
        <v>437</v>
      </c>
      <c r="D659" s="33" t="s">
        <v>438</v>
      </c>
      <c r="E659" s="33">
        <v>2002</v>
      </c>
      <c r="F659" s="33">
        <v>2000</v>
      </c>
      <c r="G659" s="33" t="s">
        <v>439</v>
      </c>
      <c r="H659" s="33" t="s">
        <v>440</v>
      </c>
      <c r="I659" s="32" t="s">
        <v>2815</v>
      </c>
      <c r="J659" s="33">
        <f t="shared" si="201"/>
        <v>38.533333333333331</v>
      </c>
      <c r="K659" s="33">
        <f t="shared" si="202"/>
        <v>-121.78333333333333</v>
      </c>
      <c r="L659" s="33">
        <v>18.399999999999999</v>
      </c>
      <c r="P659" s="33">
        <v>483</v>
      </c>
      <c r="R659" s="47">
        <v>4</v>
      </c>
      <c r="S659" s="47" t="s">
        <v>1858</v>
      </c>
      <c r="T659" s="47"/>
      <c r="U659" s="47">
        <v>36582</v>
      </c>
      <c r="V659" s="47" t="s">
        <v>1397</v>
      </c>
      <c r="W659" s="47" t="s">
        <v>1725</v>
      </c>
      <c r="X659" s="47" t="s">
        <v>1395</v>
      </c>
      <c r="Y659" s="47" t="s">
        <v>1417</v>
      </c>
      <c r="AA659" s="327">
        <v>36</v>
      </c>
      <c r="AB659" s="327">
        <v>46</v>
      </c>
      <c r="AC659" s="33" t="s">
        <v>139</v>
      </c>
      <c r="AG659" s="33" t="s">
        <v>1328</v>
      </c>
      <c r="AH659" s="33" t="s">
        <v>1533</v>
      </c>
      <c r="AI659" s="138" t="s">
        <v>577</v>
      </c>
      <c r="AJ659" s="33" t="s">
        <v>1588</v>
      </c>
      <c r="AK659" s="141" t="s">
        <v>1613</v>
      </c>
      <c r="AL659" s="33" t="s">
        <v>441</v>
      </c>
      <c r="AM659" s="33" t="s">
        <v>441</v>
      </c>
      <c r="AN659" s="33" t="s">
        <v>177</v>
      </c>
      <c r="AT659" s="33" t="s">
        <v>368</v>
      </c>
      <c r="AU659" s="33" t="s">
        <v>443</v>
      </c>
      <c r="AV659" s="33" t="s">
        <v>502</v>
      </c>
      <c r="AW659" s="33" t="s">
        <v>119</v>
      </c>
      <c r="AX659" s="33">
        <v>4</v>
      </c>
      <c r="AZ659" s="33" t="s">
        <v>335</v>
      </c>
      <c r="BD659" s="54"/>
      <c r="BP659" s="402"/>
      <c r="BQ659" s="402"/>
      <c r="BU659" s="402"/>
      <c r="BV659" s="402"/>
      <c r="BZ659" s="402"/>
      <c r="CA659" s="402"/>
      <c r="CE659" s="555"/>
      <c r="CF659" s="555"/>
      <c r="CG659" s="555"/>
      <c r="CH659" s="555"/>
      <c r="FL659" s="33">
        <v>0.14610000000000001</v>
      </c>
      <c r="FM659" s="33">
        <v>0.1658</v>
      </c>
      <c r="FP659" s="33" t="s">
        <v>444</v>
      </c>
      <c r="GZ659" s="12"/>
      <c r="HD659" s="12"/>
      <c r="JB659" s="33" t="s">
        <v>715</v>
      </c>
    </row>
    <row r="660" spans="1:262" s="33" customFormat="1" x14ac:dyDescent="0.25">
      <c r="A660" s="33">
        <v>30</v>
      </c>
      <c r="B660" s="47" t="s">
        <v>3887</v>
      </c>
      <c r="C660" s="33" t="s">
        <v>437</v>
      </c>
      <c r="D660" s="33" t="s">
        <v>438</v>
      </c>
      <c r="E660" s="33">
        <v>2002</v>
      </c>
      <c r="F660" s="33">
        <v>2000</v>
      </c>
      <c r="G660" s="33" t="s">
        <v>439</v>
      </c>
      <c r="H660" s="33" t="s">
        <v>440</v>
      </c>
      <c r="I660" s="32" t="s">
        <v>2815</v>
      </c>
      <c r="J660" s="33">
        <f t="shared" si="201"/>
        <v>38.533333333333331</v>
      </c>
      <c r="K660" s="33">
        <f t="shared" si="202"/>
        <v>-121.78333333333333</v>
      </c>
      <c r="L660" s="33">
        <v>18.399999999999999</v>
      </c>
      <c r="P660" s="33">
        <v>483</v>
      </c>
      <c r="R660" s="47">
        <v>4</v>
      </c>
      <c r="S660" s="47" t="s">
        <v>1858</v>
      </c>
      <c r="T660" s="47"/>
      <c r="U660" s="47">
        <v>36587</v>
      </c>
      <c r="V660" s="47" t="s">
        <v>1397</v>
      </c>
      <c r="W660" s="47" t="s">
        <v>1725</v>
      </c>
      <c r="X660" s="47" t="s">
        <v>1395</v>
      </c>
      <c r="Y660" s="47" t="s">
        <v>1417</v>
      </c>
      <c r="AA660" s="327">
        <v>36</v>
      </c>
      <c r="AB660" s="327">
        <v>46</v>
      </c>
      <c r="AC660" s="33" t="s">
        <v>139</v>
      </c>
      <c r="AG660" s="33" t="s">
        <v>1328</v>
      </c>
      <c r="AH660" s="33" t="s">
        <v>1533</v>
      </c>
      <c r="AI660" s="138" t="s">
        <v>577</v>
      </c>
      <c r="AJ660" s="33" t="s">
        <v>1588</v>
      </c>
      <c r="AK660" s="141" t="s">
        <v>1613</v>
      </c>
      <c r="AL660" s="33" t="s">
        <v>441</v>
      </c>
      <c r="AM660" s="33" t="s">
        <v>441</v>
      </c>
      <c r="AN660" s="33" t="s">
        <v>177</v>
      </c>
      <c r="AT660" s="33" t="s">
        <v>368</v>
      </c>
      <c r="AU660" s="33" t="s">
        <v>442</v>
      </c>
      <c r="AV660" s="33" t="s">
        <v>502</v>
      </c>
      <c r="AW660" s="33" t="s">
        <v>119</v>
      </c>
      <c r="AX660" s="33">
        <v>4</v>
      </c>
      <c r="AZ660" s="33" t="s">
        <v>335</v>
      </c>
      <c r="BD660" s="54"/>
      <c r="BP660" s="402"/>
      <c r="BQ660" s="402"/>
      <c r="BU660" s="402"/>
      <c r="BV660" s="402"/>
      <c r="BZ660" s="402"/>
      <c r="CA660" s="402"/>
      <c r="CE660" s="555"/>
      <c r="CF660" s="555"/>
      <c r="CG660" s="555"/>
      <c r="CH660" s="555"/>
      <c r="FL660" s="33">
        <v>0.15140000000000001</v>
      </c>
      <c r="FM660" s="33">
        <v>0.18720000000000001</v>
      </c>
      <c r="FP660" s="33" t="s">
        <v>444</v>
      </c>
      <c r="GZ660" s="12"/>
      <c r="HD660" s="12"/>
      <c r="JB660" s="33" t="s">
        <v>715</v>
      </c>
    </row>
    <row r="661" spans="1:262" s="33" customFormat="1" x14ac:dyDescent="0.25">
      <c r="A661" s="33">
        <v>30</v>
      </c>
      <c r="B661" s="47" t="s">
        <v>3887</v>
      </c>
      <c r="C661" s="33" t="s">
        <v>437</v>
      </c>
      <c r="D661" s="33" t="s">
        <v>438</v>
      </c>
      <c r="E661" s="33">
        <v>2002</v>
      </c>
      <c r="F661" s="33">
        <v>2000</v>
      </c>
      <c r="G661" s="33" t="s">
        <v>439</v>
      </c>
      <c r="H661" s="33" t="s">
        <v>440</v>
      </c>
      <c r="I661" s="32" t="s">
        <v>2815</v>
      </c>
      <c r="J661" s="33">
        <f t="shared" si="201"/>
        <v>38.533333333333331</v>
      </c>
      <c r="K661" s="33">
        <f t="shared" si="202"/>
        <v>-121.78333333333333</v>
      </c>
      <c r="L661" s="33">
        <v>18.399999999999999</v>
      </c>
      <c r="P661" s="33">
        <v>483</v>
      </c>
      <c r="R661" s="47">
        <v>4</v>
      </c>
      <c r="S661" s="47" t="s">
        <v>1858</v>
      </c>
      <c r="T661" s="47"/>
      <c r="U661" s="47">
        <v>36587</v>
      </c>
      <c r="V661" s="47" t="s">
        <v>1397</v>
      </c>
      <c r="W661" s="47" t="s">
        <v>1725</v>
      </c>
      <c r="X661" s="47" t="s">
        <v>1395</v>
      </c>
      <c r="Y661" s="47" t="s">
        <v>1417</v>
      </c>
      <c r="AA661" s="327">
        <v>36</v>
      </c>
      <c r="AB661" s="327">
        <v>46</v>
      </c>
      <c r="AC661" s="33" t="s">
        <v>139</v>
      </c>
      <c r="AG661" s="33" t="s">
        <v>1328</v>
      </c>
      <c r="AH661" s="33" t="s">
        <v>1533</v>
      </c>
      <c r="AI661" s="138" t="s">
        <v>577</v>
      </c>
      <c r="AJ661" s="33" t="s">
        <v>1588</v>
      </c>
      <c r="AK661" s="141" t="s">
        <v>1613</v>
      </c>
      <c r="AL661" s="33" t="s">
        <v>441</v>
      </c>
      <c r="AM661" s="33" t="s">
        <v>441</v>
      </c>
      <c r="AN661" s="33" t="s">
        <v>177</v>
      </c>
      <c r="AT661" s="33" t="s">
        <v>368</v>
      </c>
      <c r="AU661" s="33" t="s">
        <v>443</v>
      </c>
      <c r="AV661" s="33" t="s">
        <v>502</v>
      </c>
      <c r="AW661" s="33" t="s">
        <v>119</v>
      </c>
      <c r="AX661" s="33">
        <v>4</v>
      </c>
      <c r="AZ661" s="33" t="s">
        <v>335</v>
      </c>
      <c r="BD661" s="54"/>
      <c r="BP661" s="402"/>
      <c r="BQ661" s="402"/>
      <c r="BU661" s="402"/>
      <c r="BV661" s="402"/>
      <c r="BZ661" s="402"/>
      <c r="CA661" s="402"/>
      <c r="CE661" s="555"/>
      <c r="CF661" s="555"/>
      <c r="CG661" s="555"/>
      <c r="CH661" s="555"/>
      <c r="FL661" s="33">
        <v>0.15140000000000001</v>
      </c>
      <c r="FM661" s="33">
        <v>0.1792</v>
      </c>
      <c r="FP661" s="33" t="s">
        <v>444</v>
      </c>
      <c r="GZ661" s="12"/>
      <c r="HD661" s="12"/>
      <c r="JB661" s="33" t="s">
        <v>715</v>
      </c>
    </row>
    <row r="662" spans="1:262" s="33" customFormat="1" x14ac:dyDescent="0.25">
      <c r="A662" s="33">
        <v>30</v>
      </c>
      <c r="B662" s="47" t="s">
        <v>3887</v>
      </c>
      <c r="C662" s="33" t="s">
        <v>437</v>
      </c>
      <c r="D662" s="33" t="s">
        <v>438</v>
      </c>
      <c r="E662" s="33">
        <v>2002</v>
      </c>
      <c r="F662" s="33">
        <v>2000</v>
      </c>
      <c r="G662" s="33" t="s">
        <v>439</v>
      </c>
      <c r="H662" s="33" t="s">
        <v>440</v>
      </c>
      <c r="I662" s="32" t="s">
        <v>2815</v>
      </c>
      <c r="J662" s="33">
        <f t="shared" si="201"/>
        <v>38.533333333333331</v>
      </c>
      <c r="K662" s="33">
        <f t="shared" si="202"/>
        <v>-121.78333333333333</v>
      </c>
      <c r="L662" s="33">
        <v>18.399999999999999</v>
      </c>
      <c r="P662" s="33">
        <v>483</v>
      </c>
      <c r="R662" s="47">
        <v>4</v>
      </c>
      <c r="S662" s="47" t="s">
        <v>1858</v>
      </c>
      <c r="T662" s="47"/>
      <c r="U662" s="47">
        <v>36598</v>
      </c>
      <c r="V662" s="47" t="s">
        <v>1397</v>
      </c>
      <c r="W662" s="47" t="s">
        <v>1725</v>
      </c>
      <c r="X662" s="47" t="s">
        <v>1395</v>
      </c>
      <c r="Y662" s="47" t="s">
        <v>1417</v>
      </c>
      <c r="AA662" s="327">
        <v>36</v>
      </c>
      <c r="AB662" s="327">
        <v>46</v>
      </c>
      <c r="AC662" s="33" t="s">
        <v>139</v>
      </c>
      <c r="AG662" s="33" t="s">
        <v>1328</v>
      </c>
      <c r="AH662" s="33" t="s">
        <v>1533</v>
      </c>
      <c r="AI662" s="138" t="s">
        <v>577</v>
      </c>
      <c r="AJ662" s="33" t="s">
        <v>1588</v>
      </c>
      <c r="AK662" s="141" t="s">
        <v>1613</v>
      </c>
      <c r="AL662" s="33" t="s">
        <v>441</v>
      </c>
      <c r="AM662" s="33" t="s">
        <v>441</v>
      </c>
      <c r="AN662" s="33" t="s">
        <v>177</v>
      </c>
      <c r="AT662" s="33" t="s">
        <v>368</v>
      </c>
      <c r="AU662" s="33" t="s">
        <v>442</v>
      </c>
      <c r="AV662" s="33" t="s">
        <v>502</v>
      </c>
      <c r="AW662" s="33" t="s">
        <v>119</v>
      </c>
      <c r="AX662" s="33">
        <v>4</v>
      </c>
      <c r="AZ662" s="33" t="s">
        <v>335</v>
      </c>
      <c r="BD662" s="54"/>
      <c r="BP662" s="402"/>
      <c r="BQ662" s="402"/>
      <c r="BU662" s="402"/>
      <c r="BV662" s="402"/>
      <c r="BZ662" s="402"/>
      <c r="CA662" s="402"/>
      <c r="CE662" s="555"/>
      <c r="CF662" s="555"/>
      <c r="CG662" s="555"/>
      <c r="CH662" s="555"/>
      <c r="FL662" s="33">
        <v>0.14960000000000001</v>
      </c>
      <c r="FM662" s="33">
        <v>0.1953</v>
      </c>
      <c r="FP662" s="33" t="s">
        <v>444</v>
      </c>
      <c r="GZ662" s="12"/>
      <c r="HD662" s="12"/>
      <c r="JB662" s="33" t="s">
        <v>715</v>
      </c>
    </row>
    <row r="663" spans="1:262" s="33" customFormat="1" x14ac:dyDescent="0.25">
      <c r="A663" s="33">
        <v>30</v>
      </c>
      <c r="B663" s="47" t="s">
        <v>3887</v>
      </c>
      <c r="C663" s="33" t="s">
        <v>437</v>
      </c>
      <c r="D663" s="33" t="s">
        <v>438</v>
      </c>
      <c r="E663" s="33">
        <v>2002</v>
      </c>
      <c r="F663" s="33">
        <v>2000</v>
      </c>
      <c r="G663" s="33" t="s">
        <v>439</v>
      </c>
      <c r="H663" s="33" t="s">
        <v>440</v>
      </c>
      <c r="I663" s="32" t="s">
        <v>2815</v>
      </c>
      <c r="J663" s="33">
        <f t="shared" si="201"/>
        <v>38.533333333333331</v>
      </c>
      <c r="K663" s="33">
        <f t="shared" si="202"/>
        <v>-121.78333333333333</v>
      </c>
      <c r="L663" s="33">
        <v>18.399999999999999</v>
      </c>
      <c r="P663" s="33">
        <v>483</v>
      </c>
      <c r="R663" s="47">
        <v>4</v>
      </c>
      <c r="S663" s="47" t="s">
        <v>1858</v>
      </c>
      <c r="T663" s="47"/>
      <c r="U663" s="47">
        <v>36598</v>
      </c>
      <c r="V663" s="47" t="s">
        <v>1397</v>
      </c>
      <c r="W663" s="47" t="s">
        <v>1725</v>
      </c>
      <c r="X663" s="47" t="s">
        <v>1395</v>
      </c>
      <c r="Y663" s="47" t="s">
        <v>1417</v>
      </c>
      <c r="AA663" s="327">
        <v>36</v>
      </c>
      <c r="AB663" s="327">
        <v>46</v>
      </c>
      <c r="AC663" s="33" t="s">
        <v>139</v>
      </c>
      <c r="AG663" s="33" t="s">
        <v>1328</v>
      </c>
      <c r="AH663" s="33" t="s">
        <v>1533</v>
      </c>
      <c r="AI663" s="138" t="s">
        <v>577</v>
      </c>
      <c r="AJ663" s="33" t="s">
        <v>1588</v>
      </c>
      <c r="AK663" s="141" t="s">
        <v>1613</v>
      </c>
      <c r="AL663" s="33" t="s">
        <v>441</v>
      </c>
      <c r="AM663" s="33" t="s">
        <v>441</v>
      </c>
      <c r="AN663" s="33" t="s">
        <v>177</v>
      </c>
      <c r="AT663" s="33" t="s">
        <v>368</v>
      </c>
      <c r="AU663" s="33" t="s">
        <v>443</v>
      </c>
      <c r="AV663" s="33" t="s">
        <v>502</v>
      </c>
      <c r="AW663" s="33" t="s">
        <v>119</v>
      </c>
      <c r="AX663" s="33">
        <v>4</v>
      </c>
      <c r="AZ663" s="33" t="s">
        <v>335</v>
      </c>
      <c r="BD663" s="54"/>
      <c r="BP663" s="402"/>
      <c r="BQ663" s="402"/>
      <c r="BU663" s="402"/>
      <c r="BV663" s="402"/>
      <c r="BZ663" s="402"/>
      <c r="CA663" s="402"/>
      <c r="CE663" s="555"/>
      <c r="CF663" s="555"/>
      <c r="CG663" s="555"/>
      <c r="CH663" s="555"/>
      <c r="FL663" s="33">
        <v>0.14960000000000001</v>
      </c>
      <c r="FM663" s="33">
        <v>0.18540000000000001</v>
      </c>
      <c r="FP663" s="33" t="s">
        <v>444</v>
      </c>
      <c r="GZ663" s="12"/>
      <c r="HD663" s="12"/>
      <c r="JB663" s="33" t="s">
        <v>715</v>
      </c>
    </row>
    <row r="664" spans="1:262" s="21" customFormat="1" x14ac:dyDescent="0.25">
      <c r="A664" s="21">
        <v>30</v>
      </c>
      <c r="B664" s="43" t="s">
        <v>3888</v>
      </c>
      <c r="C664" s="21" t="s">
        <v>437</v>
      </c>
      <c r="D664" s="21" t="s">
        <v>438</v>
      </c>
      <c r="E664" s="21">
        <v>2002</v>
      </c>
      <c r="F664" s="21">
        <v>1998</v>
      </c>
      <c r="G664" s="21" t="s">
        <v>439</v>
      </c>
      <c r="H664" s="21" t="s">
        <v>440</v>
      </c>
      <c r="I664" s="32" t="s">
        <v>2815</v>
      </c>
      <c r="J664" s="21">
        <f t="shared" ref="J664:J695" si="203">38+32/60</f>
        <v>38.533333333333331</v>
      </c>
      <c r="K664" s="21">
        <f t="shared" ref="K664:K695" si="204">-121-47/60</f>
        <v>-121.78333333333333</v>
      </c>
      <c r="L664" s="21">
        <v>18.399999999999999</v>
      </c>
      <c r="P664" s="21">
        <v>483</v>
      </c>
      <c r="R664" s="43">
        <v>2</v>
      </c>
      <c r="S664" s="43" t="s">
        <v>1858</v>
      </c>
      <c r="T664" s="43"/>
      <c r="U664" s="43">
        <v>36145</v>
      </c>
      <c r="V664" s="43" t="s">
        <v>1398</v>
      </c>
      <c r="W664" s="43" t="s">
        <v>1725</v>
      </c>
      <c r="X664" s="43" t="s">
        <v>1395</v>
      </c>
      <c r="Y664" s="43" t="s">
        <v>1417</v>
      </c>
      <c r="AA664" s="322">
        <v>36</v>
      </c>
      <c r="AB664" s="322">
        <v>46</v>
      </c>
      <c r="AC664" s="21" t="s">
        <v>139</v>
      </c>
      <c r="AG664" s="21" t="s">
        <v>1328</v>
      </c>
      <c r="AH664" s="21" t="s">
        <v>1533</v>
      </c>
      <c r="AI664" s="138" t="s">
        <v>577</v>
      </c>
      <c r="AJ664" s="21" t="s">
        <v>1588</v>
      </c>
      <c r="AK664" s="141" t="s">
        <v>1613</v>
      </c>
      <c r="AL664" s="21" t="s">
        <v>441</v>
      </c>
      <c r="AM664" s="21" t="s">
        <v>441</v>
      </c>
      <c r="AN664" s="21" t="s">
        <v>177</v>
      </c>
      <c r="AT664" s="21" t="s">
        <v>368</v>
      </c>
      <c r="AU664" s="21" t="s">
        <v>442</v>
      </c>
      <c r="AV664" s="21" t="s">
        <v>502</v>
      </c>
      <c r="AW664" s="21" t="s">
        <v>119</v>
      </c>
      <c r="AX664" s="21">
        <v>4</v>
      </c>
      <c r="AZ664" s="21" t="s">
        <v>335</v>
      </c>
      <c r="BD664" s="54"/>
      <c r="BP664" s="396"/>
      <c r="BQ664" s="396"/>
      <c r="BU664" s="396"/>
      <c r="BV664" s="396"/>
      <c r="BZ664" s="396"/>
      <c r="CA664" s="396"/>
      <c r="CE664" s="549"/>
      <c r="CF664" s="549"/>
      <c r="CG664" s="549"/>
      <c r="CH664" s="549"/>
      <c r="FL664" s="21">
        <v>0.14299999999999999</v>
      </c>
      <c r="FM664" s="21">
        <v>0.19539999999999999</v>
      </c>
      <c r="FP664" s="21" t="s">
        <v>444</v>
      </c>
      <c r="GZ664" s="12"/>
      <c r="HD664" s="12"/>
      <c r="JB664" s="21" t="s">
        <v>715</v>
      </c>
    </row>
    <row r="665" spans="1:262" s="21" customFormat="1" x14ac:dyDescent="0.25">
      <c r="A665" s="21">
        <v>30</v>
      </c>
      <c r="B665" s="43" t="s">
        <v>3888</v>
      </c>
      <c r="C665" s="21" t="s">
        <v>437</v>
      </c>
      <c r="D665" s="21" t="s">
        <v>438</v>
      </c>
      <c r="E665" s="21">
        <v>2002</v>
      </c>
      <c r="F665" s="21">
        <v>1998</v>
      </c>
      <c r="G665" s="21" t="s">
        <v>439</v>
      </c>
      <c r="H665" s="21" t="s">
        <v>440</v>
      </c>
      <c r="I665" s="32" t="s">
        <v>2815</v>
      </c>
      <c r="J665" s="21">
        <f t="shared" si="203"/>
        <v>38.533333333333331</v>
      </c>
      <c r="K665" s="21">
        <f t="shared" si="204"/>
        <v>-121.78333333333333</v>
      </c>
      <c r="L665" s="21">
        <v>18.399999999999999</v>
      </c>
      <c r="P665" s="21">
        <v>483</v>
      </c>
      <c r="R665" s="43">
        <v>2</v>
      </c>
      <c r="S665" s="43" t="s">
        <v>1858</v>
      </c>
      <c r="T665" s="43"/>
      <c r="U665" s="43">
        <v>36145</v>
      </c>
      <c r="V665" s="43" t="s">
        <v>1398</v>
      </c>
      <c r="W665" s="43" t="s">
        <v>1725</v>
      </c>
      <c r="X665" s="43" t="s">
        <v>1395</v>
      </c>
      <c r="Y665" s="43" t="s">
        <v>1417</v>
      </c>
      <c r="AA665" s="322">
        <v>36</v>
      </c>
      <c r="AB665" s="322">
        <v>46</v>
      </c>
      <c r="AC665" s="21" t="s">
        <v>139</v>
      </c>
      <c r="AG665" s="21" t="s">
        <v>1328</v>
      </c>
      <c r="AH665" s="21" t="s">
        <v>1533</v>
      </c>
      <c r="AI665" s="138" t="s">
        <v>577</v>
      </c>
      <c r="AJ665" s="21" t="s">
        <v>1588</v>
      </c>
      <c r="AK665" s="141" t="s">
        <v>1613</v>
      </c>
      <c r="AL665" s="21" t="s">
        <v>441</v>
      </c>
      <c r="AM665" s="21" t="s">
        <v>441</v>
      </c>
      <c r="AN665" s="21" t="s">
        <v>177</v>
      </c>
      <c r="AT665" s="21" t="s">
        <v>368</v>
      </c>
      <c r="AU665" s="21" t="s">
        <v>443</v>
      </c>
      <c r="AV665" s="21" t="s">
        <v>502</v>
      </c>
      <c r="AW665" s="21" t="s">
        <v>119</v>
      </c>
      <c r="AX665" s="21">
        <v>4</v>
      </c>
      <c r="AZ665" s="21" t="s">
        <v>335</v>
      </c>
      <c r="BD665" s="54"/>
      <c r="BP665" s="396"/>
      <c r="BQ665" s="396"/>
      <c r="BU665" s="396"/>
      <c r="BV665" s="396"/>
      <c r="BZ665" s="396"/>
      <c r="CA665" s="396"/>
      <c r="CE665" s="549"/>
      <c r="CF665" s="549"/>
      <c r="CG665" s="549"/>
      <c r="CH665" s="549"/>
      <c r="FL665" s="21">
        <v>0.14299999999999999</v>
      </c>
      <c r="FM665" s="21">
        <v>0.17799999999999999</v>
      </c>
      <c r="FP665" s="21" t="s">
        <v>444</v>
      </c>
      <c r="GZ665" s="12"/>
      <c r="HD665" s="12"/>
      <c r="JB665" s="21" t="s">
        <v>715</v>
      </c>
    </row>
    <row r="666" spans="1:262" s="21" customFormat="1" x14ac:dyDescent="0.25">
      <c r="A666" s="21">
        <v>30</v>
      </c>
      <c r="B666" s="43" t="s">
        <v>3888</v>
      </c>
      <c r="C666" s="21" t="s">
        <v>437</v>
      </c>
      <c r="D666" s="21" t="s">
        <v>438</v>
      </c>
      <c r="E666" s="21">
        <v>2002</v>
      </c>
      <c r="F666" s="21">
        <v>1999</v>
      </c>
      <c r="G666" s="21" t="s">
        <v>439</v>
      </c>
      <c r="H666" s="21" t="s">
        <v>440</v>
      </c>
      <c r="I666" s="32" t="s">
        <v>2815</v>
      </c>
      <c r="J666" s="21">
        <f t="shared" si="203"/>
        <v>38.533333333333331</v>
      </c>
      <c r="K666" s="21">
        <f t="shared" si="204"/>
        <v>-121.78333333333333</v>
      </c>
      <c r="L666" s="21">
        <v>18.399999999999999</v>
      </c>
      <c r="P666" s="21">
        <v>483</v>
      </c>
      <c r="R666" s="43">
        <v>3</v>
      </c>
      <c r="S666" s="43" t="s">
        <v>1858</v>
      </c>
      <c r="T666" s="43"/>
      <c r="U666" s="43">
        <v>36170</v>
      </c>
      <c r="V666" s="43" t="s">
        <v>1398</v>
      </c>
      <c r="W666" s="43" t="s">
        <v>1725</v>
      </c>
      <c r="X666" s="43" t="s">
        <v>1395</v>
      </c>
      <c r="Y666" s="43" t="s">
        <v>1417</v>
      </c>
      <c r="AA666" s="322">
        <v>36</v>
      </c>
      <c r="AB666" s="322">
        <v>46</v>
      </c>
      <c r="AC666" s="21" t="s">
        <v>139</v>
      </c>
      <c r="AG666" s="21" t="s">
        <v>1328</v>
      </c>
      <c r="AH666" s="21" t="s">
        <v>1533</v>
      </c>
      <c r="AI666" s="138" t="s">
        <v>577</v>
      </c>
      <c r="AJ666" s="21" t="s">
        <v>1588</v>
      </c>
      <c r="AK666" s="141" t="s">
        <v>1613</v>
      </c>
      <c r="AL666" s="21" t="s">
        <v>441</v>
      </c>
      <c r="AM666" s="21" t="s">
        <v>441</v>
      </c>
      <c r="AN666" s="21" t="s">
        <v>177</v>
      </c>
      <c r="AT666" s="21" t="s">
        <v>368</v>
      </c>
      <c r="AU666" s="21" t="s">
        <v>442</v>
      </c>
      <c r="AV666" s="21" t="s">
        <v>502</v>
      </c>
      <c r="AW666" s="21" t="s">
        <v>119</v>
      </c>
      <c r="AX666" s="21">
        <v>4</v>
      </c>
      <c r="AZ666" s="21" t="s">
        <v>335</v>
      </c>
      <c r="BD666" s="54"/>
      <c r="BP666" s="396"/>
      <c r="BQ666" s="396"/>
      <c r="BU666" s="396"/>
      <c r="BV666" s="396"/>
      <c r="BZ666" s="396"/>
      <c r="CA666" s="396"/>
      <c r="CE666" s="549"/>
      <c r="CF666" s="549"/>
      <c r="CG666" s="549"/>
      <c r="CH666" s="549"/>
      <c r="FL666" s="21">
        <v>0.13950000000000001</v>
      </c>
      <c r="FM666" s="21">
        <v>0.1789</v>
      </c>
      <c r="FP666" s="21" t="s">
        <v>444</v>
      </c>
      <c r="GZ666" s="12"/>
      <c r="HD666" s="12"/>
      <c r="JB666" s="21" t="s">
        <v>715</v>
      </c>
    </row>
    <row r="667" spans="1:262" s="21" customFormat="1" x14ac:dyDescent="0.25">
      <c r="A667" s="21">
        <v>30</v>
      </c>
      <c r="B667" s="43" t="s">
        <v>3888</v>
      </c>
      <c r="C667" s="21" t="s">
        <v>437</v>
      </c>
      <c r="D667" s="21" t="s">
        <v>438</v>
      </c>
      <c r="E667" s="21">
        <v>2002</v>
      </c>
      <c r="F667" s="21">
        <v>1999</v>
      </c>
      <c r="G667" s="21" t="s">
        <v>439</v>
      </c>
      <c r="H667" s="21" t="s">
        <v>440</v>
      </c>
      <c r="I667" s="32" t="s">
        <v>2815</v>
      </c>
      <c r="J667" s="21">
        <f t="shared" si="203"/>
        <v>38.533333333333331</v>
      </c>
      <c r="K667" s="21">
        <f t="shared" si="204"/>
        <v>-121.78333333333333</v>
      </c>
      <c r="L667" s="21">
        <v>18.399999999999999</v>
      </c>
      <c r="P667" s="21">
        <v>483</v>
      </c>
      <c r="R667" s="43">
        <v>3</v>
      </c>
      <c r="S667" s="43" t="s">
        <v>1858</v>
      </c>
      <c r="T667" s="43"/>
      <c r="U667" s="43">
        <v>36170</v>
      </c>
      <c r="V667" s="43" t="s">
        <v>1398</v>
      </c>
      <c r="W667" s="43" t="s">
        <v>1725</v>
      </c>
      <c r="X667" s="43" t="s">
        <v>1395</v>
      </c>
      <c r="Y667" s="43" t="s">
        <v>1417</v>
      </c>
      <c r="AA667" s="322">
        <v>36</v>
      </c>
      <c r="AB667" s="322">
        <v>46</v>
      </c>
      <c r="AC667" s="21" t="s">
        <v>139</v>
      </c>
      <c r="AG667" s="21" t="s">
        <v>1328</v>
      </c>
      <c r="AH667" s="21" t="s">
        <v>1533</v>
      </c>
      <c r="AI667" s="138" t="s">
        <v>577</v>
      </c>
      <c r="AJ667" s="21" t="s">
        <v>1588</v>
      </c>
      <c r="AK667" s="141" t="s">
        <v>1613</v>
      </c>
      <c r="AL667" s="21" t="s">
        <v>441</v>
      </c>
      <c r="AM667" s="21" t="s">
        <v>441</v>
      </c>
      <c r="AN667" s="21" t="s">
        <v>177</v>
      </c>
      <c r="AT667" s="21" t="s">
        <v>368</v>
      </c>
      <c r="AU667" s="21" t="s">
        <v>443</v>
      </c>
      <c r="AV667" s="21" t="s">
        <v>502</v>
      </c>
      <c r="AW667" s="21" t="s">
        <v>119</v>
      </c>
      <c r="AX667" s="21">
        <v>4</v>
      </c>
      <c r="AZ667" s="21" t="s">
        <v>335</v>
      </c>
      <c r="BD667" s="54"/>
      <c r="BP667" s="396"/>
      <c r="BQ667" s="396"/>
      <c r="BU667" s="396"/>
      <c r="BV667" s="396"/>
      <c r="BZ667" s="396"/>
      <c r="CA667" s="396"/>
      <c r="CE667" s="549"/>
      <c r="CF667" s="549"/>
      <c r="CG667" s="549"/>
      <c r="CH667" s="549"/>
      <c r="FL667" s="21">
        <v>0.13950000000000001</v>
      </c>
      <c r="FM667" s="21">
        <v>0.16889999999999999</v>
      </c>
      <c r="FP667" s="21" t="s">
        <v>444</v>
      </c>
      <c r="GZ667" s="12"/>
      <c r="HD667" s="12"/>
      <c r="JB667" s="21" t="s">
        <v>715</v>
      </c>
    </row>
    <row r="668" spans="1:262" s="21" customFormat="1" x14ac:dyDescent="0.25">
      <c r="A668" s="21">
        <v>30</v>
      </c>
      <c r="B668" s="43" t="s">
        <v>3888</v>
      </c>
      <c r="C668" s="21" t="s">
        <v>437</v>
      </c>
      <c r="D668" s="21" t="s">
        <v>438</v>
      </c>
      <c r="E668" s="21">
        <v>2002</v>
      </c>
      <c r="F668" s="21">
        <v>1999</v>
      </c>
      <c r="G668" s="21" t="s">
        <v>439</v>
      </c>
      <c r="H668" s="21" t="s">
        <v>440</v>
      </c>
      <c r="I668" s="32" t="s">
        <v>2815</v>
      </c>
      <c r="J668" s="21">
        <f t="shared" si="203"/>
        <v>38.533333333333331</v>
      </c>
      <c r="K668" s="21">
        <f t="shared" si="204"/>
        <v>-121.78333333333333</v>
      </c>
      <c r="L668" s="21">
        <v>18.399999999999999</v>
      </c>
      <c r="P668" s="21">
        <v>483</v>
      </c>
      <c r="R668" s="43">
        <v>3</v>
      </c>
      <c r="S668" s="43" t="s">
        <v>1858</v>
      </c>
      <c r="T668" s="43"/>
      <c r="U668" s="43">
        <v>36187</v>
      </c>
      <c r="V668" s="43" t="s">
        <v>1398</v>
      </c>
      <c r="W668" s="43" t="s">
        <v>1725</v>
      </c>
      <c r="X668" s="43" t="s">
        <v>1395</v>
      </c>
      <c r="Y668" s="43" t="s">
        <v>1417</v>
      </c>
      <c r="AA668" s="322">
        <v>36</v>
      </c>
      <c r="AB668" s="322">
        <v>46</v>
      </c>
      <c r="AC668" s="21" t="s">
        <v>139</v>
      </c>
      <c r="AG668" s="21" t="s">
        <v>1328</v>
      </c>
      <c r="AH668" s="21" t="s">
        <v>1533</v>
      </c>
      <c r="AI668" s="138" t="s">
        <v>577</v>
      </c>
      <c r="AJ668" s="21" t="s">
        <v>1588</v>
      </c>
      <c r="AK668" s="141" t="s">
        <v>1613</v>
      </c>
      <c r="AL668" s="21" t="s">
        <v>441</v>
      </c>
      <c r="AM668" s="21" t="s">
        <v>441</v>
      </c>
      <c r="AN668" s="21" t="s">
        <v>177</v>
      </c>
      <c r="AT668" s="21" t="s">
        <v>368</v>
      </c>
      <c r="AU668" s="21" t="s">
        <v>442</v>
      </c>
      <c r="AV668" s="21" t="s">
        <v>502</v>
      </c>
      <c r="AW668" s="21" t="s">
        <v>119</v>
      </c>
      <c r="AX668" s="21">
        <v>4</v>
      </c>
      <c r="AZ668" s="21" t="s">
        <v>335</v>
      </c>
      <c r="BD668" s="54"/>
      <c r="BP668" s="396"/>
      <c r="BQ668" s="396"/>
      <c r="BU668" s="396"/>
      <c r="BV668" s="396"/>
      <c r="BZ668" s="396"/>
      <c r="CA668" s="396"/>
      <c r="CE668" s="549"/>
      <c r="CF668" s="549"/>
      <c r="CG668" s="549"/>
      <c r="CH668" s="549"/>
      <c r="FL668" s="21">
        <v>0.1414</v>
      </c>
      <c r="FM668" s="21">
        <v>0.18820000000000001</v>
      </c>
      <c r="FP668" s="21" t="s">
        <v>444</v>
      </c>
      <c r="GZ668" s="12"/>
      <c r="HD668" s="12"/>
      <c r="JB668" s="21" t="s">
        <v>715</v>
      </c>
    </row>
    <row r="669" spans="1:262" s="21" customFormat="1" x14ac:dyDescent="0.25">
      <c r="A669" s="21">
        <v>30</v>
      </c>
      <c r="B669" s="43" t="s">
        <v>3888</v>
      </c>
      <c r="C669" s="21" t="s">
        <v>437</v>
      </c>
      <c r="D669" s="21" t="s">
        <v>438</v>
      </c>
      <c r="E669" s="21">
        <v>2002</v>
      </c>
      <c r="F669" s="21">
        <v>1999</v>
      </c>
      <c r="G669" s="21" t="s">
        <v>439</v>
      </c>
      <c r="H669" s="21" t="s">
        <v>440</v>
      </c>
      <c r="I669" s="32" t="s">
        <v>2815</v>
      </c>
      <c r="J669" s="21">
        <f t="shared" si="203"/>
        <v>38.533333333333331</v>
      </c>
      <c r="K669" s="21">
        <f t="shared" si="204"/>
        <v>-121.78333333333333</v>
      </c>
      <c r="L669" s="21">
        <v>18.399999999999999</v>
      </c>
      <c r="P669" s="21">
        <v>483</v>
      </c>
      <c r="R669" s="43">
        <v>3</v>
      </c>
      <c r="S669" s="43" t="s">
        <v>1858</v>
      </c>
      <c r="T669" s="43"/>
      <c r="U669" s="43">
        <v>36187</v>
      </c>
      <c r="V669" s="43" t="s">
        <v>1398</v>
      </c>
      <c r="W669" s="43" t="s">
        <v>1725</v>
      </c>
      <c r="X669" s="43" t="s">
        <v>1395</v>
      </c>
      <c r="Y669" s="43" t="s">
        <v>1417</v>
      </c>
      <c r="AA669" s="322">
        <v>36</v>
      </c>
      <c r="AB669" s="322">
        <v>46</v>
      </c>
      <c r="AC669" s="21" t="s">
        <v>139</v>
      </c>
      <c r="AG669" s="21" t="s">
        <v>1328</v>
      </c>
      <c r="AH669" s="21" t="s">
        <v>1533</v>
      </c>
      <c r="AI669" s="138" t="s">
        <v>577</v>
      </c>
      <c r="AJ669" s="21" t="s">
        <v>1588</v>
      </c>
      <c r="AK669" s="141" t="s">
        <v>1613</v>
      </c>
      <c r="AL669" s="21" t="s">
        <v>441</v>
      </c>
      <c r="AM669" s="21" t="s">
        <v>441</v>
      </c>
      <c r="AN669" s="21" t="s">
        <v>177</v>
      </c>
      <c r="AT669" s="21" t="s">
        <v>368</v>
      </c>
      <c r="AU669" s="21" t="s">
        <v>443</v>
      </c>
      <c r="AV669" s="21" t="s">
        <v>502</v>
      </c>
      <c r="AW669" s="21" t="s">
        <v>119</v>
      </c>
      <c r="AX669" s="21">
        <v>4</v>
      </c>
      <c r="AZ669" s="21" t="s">
        <v>335</v>
      </c>
      <c r="BD669" s="54"/>
      <c r="BP669" s="396"/>
      <c r="BQ669" s="396"/>
      <c r="BU669" s="396"/>
      <c r="BV669" s="396"/>
      <c r="BZ669" s="396"/>
      <c r="CA669" s="396"/>
      <c r="CE669" s="549"/>
      <c r="CF669" s="549"/>
      <c r="CG669" s="549"/>
      <c r="CH669" s="549"/>
      <c r="FL669" s="21">
        <v>0.1414</v>
      </c>
      <c r="FM669" s="21">
        <v>0.17349999999999999</v>
      </c>
      <c r="FP669" s="21" t="s">
        <v>444</v>
      </c>
      <c r="GZ669" s="12"/>
      <c r="HD669" s="12"/>
      <c r="JB669" s="21" t="s">
        <v>715</v>
      </c>
    </row>
    <row r="670" spans="1:262" s="21" customFormat="1" x14ac:dyDescent="0.25">
      <c r="A670" s="21">
        <v>30</v>
      </c>
      <c r="B670" s="43" t="s">
        <v>3888</v>
      </c>
      <c r="C670" s="21" t="s">
        <v>437</v>
      </c>
      <c r="D670" s="21" t="s">
        <v>438</v>
      </c>
      <c r="E670" s="21">
        <v>2002</v>
      </c>
      <c r="F670" s="21">
        <v>1999</v>
      </c>
      <c r="G670" s="21" t="s">
        <v>439</v>
      </c>
      <c r="H670" s="21" t="s">
        <v>440</v>
      </c>
      <c r="I670" s="32" t="s">
        <v>2815</v>
      </c>
      <c r="J670" s="21">
        <f t="shared" si="203"/>
        <v>38.533333333333331</v>
      </c>
      <c r="K670" s="21">
        <f t="shared" si="204"/>
        <v>-121.78333333333333</v>
      </c>
      <c r="L670" s="21">
        <v>18.399999999999999</v>
      </c>
      <c r="P670" s="21">
        <v>483</v>
      </c>
      <c r="R670" s="43">
        <v>3</v>
      </c>
      <c r="S670" s="43" t="s">
        <v>1858</v>
      </c>
      <c r="T670" s="43"/>
      <c r="U670" s="43">
        <v>36198</v>
      </c>
      <c r="V670" s="43" t="s">
        <v>1398</v>
      </c>
      <c r="W670" s="43" t="s">
        <v>1725</v>
      </c>
      <c r="X670" s="43" t="s">
        <v>1395</v>
      </c>
      <c r="Y670" s="43" t="s">
        <v>1417</v>
      </c>
      <c r="AA670" s="322">
        <v>36</v>
      </c>
      <c r="AB670" s="322">
        <v>46</v>
      </c>
      <c r="AC670" s="21" t="s">
        <v>139</v>
      </c>
      <c r="AG670" s="21" t="s">
        <v>1328</v>
      </c>
      <c r="AH670" s="21" t="s">
        <v>1533</v>
      </c>
      <c r="AI670" s="138" t="s">
        <v>577</v>
      </c>
      <c r="AJ670" s="21" t="s">
        <v>1588</v>
      </c>
      <c r="AK670" s="141" t="s">
        <v>1613</v>
      </c>
      <c r="AL670" s="21" t="s">
        <v>441</v>
      </c>
      <c r="AM670" s="21" t="s">
        <v>441</v>
      </c>
      <c r="AN670" s="21" t="s">
        <v>177</v>
      </c>
      <c r="AT670" s="21" t="s">
        <v>368</v>
      </c>
      <c r="AU670" s="21" t="s">
        <v>442</v>
      </c>
      <c r="AV670" s="21" t="s">
        <v>502</v>
      </c>
      <c r="AW670" s="21" t="s">
        <v>119</v>
      </c>
      <c r="AX670" s="21">
        <v>4</v>
      </c>
      <c r="AZ670" s="21" t="s">
        <v>335</v>
      </c>
      <c r="BD670" s="54"/>
      <c r="BP670" s="396"/>
      <c r="BQ670" s="396"/>
      <c r="BU670" s="396"/>
      <c r="BV670" s="396"/>
      <c r="BZ670" s="396"/>
      <c r="CA670" s="396"/>
      <c r="CE670" s="549"/>
      <c r="CF670" s="549"/>
      <c r="CG670" s="549"/>
      <c r="CH670" s="549"/>
      <c r="FL670" s="21">
        <v>0.17630000000000001</v>
      </c>
      <c r="FM670" s="21">
        <v>0.1983</v>
      </c>
      <c r="FP670" s="21" t="s">
        <v>444</v>
      </c>
      <c r="GZ670" s="12"/>
      <c r="HD670" s="12"/>
      <c r="JB670" s="21" t="s">
        <v>715</v>
      </c>
    </row>
    <row r="671" spans="1:262" s="21" customFormat="1" x14ac:dyDescent="0.25">
      <c r="A671" s="21">
        <v>30</v>
      </c>
      <c r="B671" s="43" t="s">
        <v>3888</v>
      </c>
      <c r="C671" s="21" t="s">
        <v>437</v>
      </c>
      <c r="D671" s="21" t="s">
        <v>438</v>
      </c>
      <c r="E671" s="21">
        <v>2002</v>
      </c>
      <c r="F671" s="21">
        <v>1999</v>
      </c>
      <c r="G671" s="21" t="s">
        <v>439</v>
      </c>
      <c r="H671" s="21" t="s">
        <v>440</v>
      </c>
      <c r="I671" s="32" t="s">
        <v>2815</v>
      </c>
      <c r="J671" s="21">
        <f t="shared" si="203"/>
        <v>38.533333333333331</v>
      </c>
      <c r="K671" s="21">
        <f t="shared" si="204"/>
        <v>-121.78333333333333</v>
      </c>
      <c r="L671" s="21">
        <v>18.399999999999999</v>
      </c>
      <c r="P671" s="21">
        <v>483</v>
      </c>
      <c r="R671" s="43">
        <v>3</v>
      </c>
      <c r="S671" s="43" t="s">
        <v>1858</v>
      </c>
      <c r="T671" s="43"/>
      <c r="U671" s="43">
        <v>36198</v>
      </c>
      <c r="V671" s="43" t="s">
        <v>1398</v>
      </c>
      <c r="W671" s="43" t="s">
        <v>1725</v>
      </c>
      <c r="X671" s="43" t="s">
        <v>1395</v>
      </c>
      <c r="Y671" s="43" t="s">
        <v>1417</v>
      </c>
      <c r="AA671" s="322">
        <v>36</v>
      </c>
      <c r="AB671" s="322">
        <v>46</v>
      </c>
      <c r="AC671" s="21" t="s">
        <v>139</v>
      </c>
      <c r="AG671" s="21" t="s">
        <v>1328</v>
      </c>
      <c r="AH671" s="21" t="s">
        <v>1533</v>
      </c>
      <c r="AI671" s="138" t="s">
        <v>577</v>
      </c>
      <c r="AJ671" s="21" t="s">
        <v>1588</v>
      </c>
      <c r="AK671" s="141" t="s">
        <v>1613</v>
      </c>
      <c r="AL671" s="21" t="s">
        <v>441</v>
      </c>
      <c r="AM671" s="21" t="s">
        <v>441</v>
      </c>
      <c r="AN671" s="21" t="s">
        <v>177</v>
      </c>
      <c r="AT671" s="21" t="s">
        <v>368</v>
      </c>
      <c r="AU671" s="21" t="s">
        <v>443</v>
      </c>
      <c r="AV671" s="21" t="s">
        <v>502</v>
      </c>
      <c r="AW671" s="21" t="s">
        <v>119</v>
      </c>
      <c r="AX671" s="21">
        <v>4</v>
      </c>
      <c r="AZ671" s="21" t="s">
        <v>335</v>
      </c>
      <c r="BD671" s="54"/>
      <c r="BP671" s="396"/>
      <c r="BQ671" s="396"/>
      <c r="BU671" s="396"/>
      <c r="BV671" s="396"/>
      <c r="BZ671" s="396"/>
      <c r="CA671" s="396"/>
      <c r="CE671" s="549"/>
      <c r="CF671" s="549"/>
      <c r="CG671" s="549"/>
      <c r="CH671" s="549"/>
      <c r="FL671" s="21">
        <v>0.17630000000000001</v>
      </c>
      <c r="FM671" s="21">
        <v>0.14599999999999999</v>
      </c>
      <c r="FP671" s="21" t="s">
        <v>444</v>
      </c>
      <c r="GZ671" s="12"/>
      <c r="HD671" s="12"/>
      <c r="JB671" s="21" t="s">
        <v>715</v>
      </c>
    </row>
    <row r="672" spans="1:262" s="21" customFormat="1" x14ac:dyDescent="0.25">
      <c r="A672" s="21">
        <v>30</v>
      </c>
      <c r="B672" s="43" t="s">
        <v>3888</v>
      </c>
      <c r="C672" s="21" t="s">
        <v>437</v>
      </c>
      <c r="D672" s="21" t="s">
        <v>438</v>
      </c>
      <c r="E672" s="21">
        <v>2002</v>
      </c>
      <c r="F672" s="21">
        <v>1999</v>
      </c>
      <c r="G672" s="21" t="s">
        <v>439</v>
      </c>
      <c r="H672" s="21" t="s">
        <v>440</v>
      </c>
      <c r="I672" s="32" t="s">
        <v>2815</v>
      </c>
      <c r="J672" s="21">
        <f t="shared" si="203"/>
        <v>38.533333333333331</v>
      </c>
      <c r="K672" s="21">
        <f t="shared" si="204"/>
        <v>-121.78333333333333</v>
      </c>
      <c r="L672" s="21">
        <v>18.399999999999999</v>
      </c>
      <c r="P672" s="21">
        <v>483</v>
      </c>
      <c r="R672" s="43">
        <v>3</v>
      </c>
      <c r="S672" s="43" t="s">
        <v>1858</v>
      </c>
      <c r="T672" s="43"/>
      <c r="U672" s="43">
        <v>36232</v>
      </c>
      <c r="V672" s="43" t="s">
        <v>1398</v>
      </c>
      <c r="W672" s="43" t="s">
        <v>1725</v>
      </c>
      <c r="X672" s="43" t="s">
        <v>1395</v>
      </c>
      <c r="Y672" s="43" t="s">
        <v>1417</v>
      </c>
      <c r="AA672" s="322">
        <v>36</v>
      </c>
      <c r="AB672" s="322">
        <v>46</v>
      </c>
      <c r="AC672" s="21" t="s">
        <v>139</v>
      </c>
      <c r="AG672" s="21" t="s">
        <v>1328</v>
      </c>
      <c r="AH672" s="21" t="s">
        <v>1533</v>
      </c>
      <c r="AI672" s="138" t="s">
        <v>577</v>
      </c>
      <c r="AJ672" s="21" t="s">
        <v>1588</v>
      </c>
      <c r="AK672" s="141" t="s">
        <v>1613</v>
      </c>
      <c r="AL672" s="21" t="s">
        <v>441</v>
      </c>
      <c r="AM672" s="21" t="s">
        <v>441</v>
      </c>
      <c r="AN672" s="21" t="s">
        <v>177</v>
      </c>
      <c r="AT672" s="21" t="s">
        <v>368</v>
      </c>
      <c r="AU672" s="21" t="s">
        <v>442</v>
      </c>
      <c r="AV672" s="21" t="s">
        <v>502</v>
      </c>
      <c r="AW672" s="21" t="s">
        <v>119</v>
      </c>
      <c r="AX672" s="21">
        <v>4</v>
      </c>
      <c r="AZ672" s="21" t="s">
        <v>335</v>
      </c>
      <c r="BD672" s="54"/>
      <c r="BP672" s="396"/>
      <c r="BQ672" s="396"/>
      <c r="BU672" s="396"/>
      <c r="BV672" s="396"/>
      <c r="BZ672" s="396"/>
      <c r="CA672" s="396"/>
      <c r="CE672" s="549"/>
      <c r="CF672" s="549"/>
      <c r="CG672" s="549"/>
      <c r="CH672" s="549"/>
      <c r="FL672" s="21">
        <v>0.1699</v>
      </c>
      <c r="FM672" s="21">
        <v>0.1837</v>
      </c>
      <c r="FP672" s="21" t="s">
        <v>444</v>
      </c>
      <c r="GZ672" s="12"/>
      <c r="HD672" s="12"/>
      <c r="JB672" s="21" t="s">
        <v>715</v>
      </c>
    </row>
    <row r="673" spans="1:262" s="21" customFormat="1" x14ac:dyDescent="0.25">
      <c r="A673" s="21">
        <v>30</v>
      </c>
      <c r="B673" s="43" t="s">
        <v>3888</v>
      </c>
      <c r="C673" s="21" t="s">
        <v>437</v>
      </c>
      <c r="D673" s="21" t="s">
        <v>438</v>
      </c>
      <c r="E673" s="21">
        <v>2002</v>
      </c>
      <c r="F673" s="21">
        <v>1999</v>
      </c>
      <c r="G673" s="21" t="s">
        <v>439</v>
      </c>
      <c r="H673" s="21" t="s">
        <v>440</v>
      </c>
      <c r="I673" s="32" t="s">
        <v>2815</v>
      </c>
      <c r="J673" s="21">
        <f t="shared" si="203"/>
        <v>38.533333333333331</v>
      </c>
      <c r="K673" s="21">
        <f t="shared" si="204"/>
        <v>-121.78333333333333</v>
      </c>
      <c r="L673" s="21">
        <v>18.399999999999999</v>
      </c>
      <c r="P673" s="21">
        <v>483</v>
      </c>
      <c r="R673" s="43">
        <v>3</v>
      </c>
      <c r="S673" s="43" t="s">
        <v>1858</v>
      </c>
      <c r="T673" s="43"/>
      <c r="U673" s="43">
        <v>36232</v>
      </c>
      <c r="V673" s="43" t="s">
        <v>1398</v>
      </c>
      <c r="W673" s="43" t="s">
        <v>1725</v>
      </c>
      <c r="X673" s="43" t="s">
        <v>1395</v>
      </c>
      <c r="Y673" s="43" t="s">
        <v>1417</v>
      </c>
      <c r="AA673" s="322">
        <v>36</v>
      </c>
      <c r="AB673" s="322">
        <v>46</v>
      </c>
      <c r="AC673" s="21" t="s">
        <v>139</v>
      </c>
      <c r="AG673" s="21" t="s">
        <v>1328</v>
      </c>
      <c r="AH673" s="21" t="s">
        <v>1533</v>
      </c>
      <c r="AI673" s="138" t="s">
        <v>577</v>
      </c>
      <c r="AJ673" s="21" t="s">
        <v>1588</v>
      </c>
      <c r="AK673" s="141" t="s">
        <v>1613</v>
      </c>
      <c r="AL673" s="21" t="s">
        <v>441</v>
      </c>
      <c r="AM673" s="21" t="s">
        <v>441</v>
      </c>
      <c r="AN673" s="21" t="s">
        <v>177</v>
      </c>
      <c r="AT673" s="21" t="s">
        <v>368</v>
      </c>
      <c r="AU673" s="21" t="s">
        <v>443</v>
      </c>
      <c r="AV673" s="21" t="s">
        <v>502</v>
      </c>
      <c r="AW673" s="21" t="s">
        <v>119</v>
      </c>
      <c r="AX673" s="21">
        <v>4</v>
      </c>
      <c r="AZ673" s="21" t="s">
        <v>335</v>
      </c>
      <c r="BD673" s="54"/>
      <c r="BP673" s="396"/>
      <c r="BQ673" s="396"/>
      <c r="BU673" s="396"/>
      <c r="BV673" s="396"/>
      <c r="BZ673" s="396"/>
      <c r="CA673" s="396"/>
      <c r="CE673" s="549"/>
      <c r="CF673" s="549"/>
      <c r="CG673" s="549"/>
      <c r="CH673" s="549"/>
      <c r="FL673" s="21">
        <v>0.1699</v>
      </c>
      <c r="FM673" s="21">
        <v>0.1671</v>
      </c>
      <c r="FP673" s="21" t="s">
        <v>444</v>
      </c>
      <c r="GZ673" s="12"/>
      <c r="HD673" s="12"/>
      <c r="JB673" s="21" t="s">
        <v>715</v>
      </c>
    </row>
    <row r="674" spans="1:262" s="21" customFormat="1" x14ac:dyDescent="0.25">
      <c r="A674" s="21">
        <v>30</v>
      </c>
      <c r="B674" s="43" t="s">
        <v>3888</v>
      </c>
      <c r="C674" s="21" t="s">
        <v>437</v>
      </c>
      <c r="D674" s="21" t="s">
        <v>438</v>
      </c>
      <c r="E674" s="21">
        <v>2002</v>
      </c>
      <c r="F674" s="21">
        <v>1999</v>
      </c>
      <c r="G674" s="21" t="s">
        <v>439</v>
      </c>
      <c r="H674" s="21" t="s">
        <v>440</v>
      </c>
      <c r="I674" s="32" t="s">
        <v>2815</v>
      </c>
      <c r="J674" s="21">
        <f t="shared" si="203"/>
        <v>38.533333333333331</v>
      </c>
      <c r="K674" s="21">
        <f t="shared" si="204"/>
        <v>-121.78333333333333</v>
      </c>
      <c r="L674" s="21">
        <v>18.399999999999999</v>
      </c>
      <c r="P674" s="21">
        <v>483</v>
      </c>
      <c r="R674" s="43">
        <v>3</v>
      </c>
      <c r="S674" s="43" t="s">
        <v>1858</v>
      </c>
      <c r="T674" s="43"/>
      <c r="U674" s="43">
        <v>36234</v>
      </c>
      <c r="V674" s="43" t="s">
        <v>1398</v>
      </c>
      <c r="W674" s="43" t="s">
        <v>1725</v>
      </c>
      <c r="X674" s="43" t="s">
        <v>1395</v>
      </c>
      <c r="Y674" s="43" t="s">
        <v>1417</v>
      </c>
      <c r="AA674" s="322">
        <v>36</v>
      </c>
      <c r="AB674" s="322">
        <v>46</v>
      </c>
      <c r="AC674" s="21" t="s">
        <v>139</v>
      </c>
      <c r="AG674" s="21" t="s">
        <v>1328</v>
      </c>
      <c r="AH674" s="21" t="s">
        <v>1533</v>
      </c>
      <c r="AI674" s="138" t="s">
        <v>577</v>
      </c>
      <c r="AJ674" s="21" t="s">
        <v>1588</v>
      </c>
      <c r="AK674" s="141" t="s">
        <v>1613</v>
      </c>
      <c r="AL674" s="21" t="s">
        <v>441</v>
      </c>
      <c r="AM674" s="21" t="s">
        <v>441</v>
      </c>
      <c r="AN674" s="21" t="s">
        <v>177</v>
      </c>
      <c r="AT674" s="21" t="s">
        <v>368</v>
      </c>
      <c r="AU674" s="21" t="s">
        <v>442</v>
      </c>
      <c r="AV674" s="21" t="s">
        <v>502</v>
      </c>
      <c r="AW674" s="21" t="s">
        <v>119</v>
      </c>
      <c r="AX674" s="21">
        <v>4</v>
      </c>
      <c r="AZ674" s="21" t="s">
        <v>335</v>
      </c>
      <c r="BD674" s="54"/>
      <c r="BP674" s="396"/>
      <c r="BQ674" s="396"/>
      <c r="BU674" s="396"/>
      <c r="BV674" s="396"/>
      <c r="BZ674" s="396"/>
      <c r="CA674" s="396"/>
      <c r="CE674" s="549"/>
      <c r="CF674" s="549"/>
      <c r="CG674" s="549"/>
      <c r="CH674" s="549"/>
      <c r="FL674" s="21">
        <v>0.16350000000000001</v>
      </c>
      <c r="FM674" s="21">
        <v>0.17910000000000001</v>
      </c>
      <c r="FP674" s="21" t="s">
        <v>444</v>
      </c>
      <c r="GZ674" s="12"/>
      <c r="HD674" s="12"/>
      <c r="JB674" s="21" t="s">
        <v>715</v>
      </c>
    </row>
    <row r="675" spans="1:262" s="21" customFormat="1" x14ac:dyDescent="0.25">
      <c r="A675" s="21">
        <v>30</v>
      </c>
      <c r="B675" s="43" t="s">
        <v>3888</v>
      </c>
      <c r="C675" s="21" t="s">
        <v>437</v>
      </c>
      <c r="D675" s="21" t="s">
        <v>438</v>
      </c>
      <c r="E675" s="21">
        <v>2002</v>
      </c>
      <c r="F675" s="21">
        <v>1999</v>
      </c>
      <c r="G675" s="21" t="s">
        <v>439</v>
      </c>
      <c r="H675" s="21" t="s">
        <v>440</v>
      </c>
      <c r="I675" s="32" t="s">
        <v>2815</v>
      </c>
      <c r="J675" s="21">
        <f t="shared" si="203"/>
        <v>38.533333333333331</v>
      </c>
      <c r="K675" s="21">
        <f t="shared" si="204"/>
        <v>-121.78333333333333</v>
      </c>
      <c r="L675" s="21">
        <v>18.399999999999999</v>
      </c>
      <c r="P675" s="21">
        <v>483</v>
      </c>
      <c r="R675" s="43">
        <v>3</v>
      </c>
      <c r="S675" s="43" t="s">
        <v>1858</v>
      </c>
      <c r="T675" s="43"/>
      <c r="U675" s="43">
        <v>36234</v>
      </c>
      <c r="V675" s="43" t="s">
        <v>1398</v>
      </c>
      <c r="W675" s="43" t="s">
        <v>1725</v>
      </c>
      <c r="X675" s="43" t="s">
        <v>1395</v>
      </c>
      <c r="Y675" s="43" t="s">
        <v>1417</v>
      </c>
      <c r="AA675" s="322">
        <v>36</v>
      </c>
      <c r="AB675" s="322">
        <v>46</v>
      </c>
      <c r="AC675" s="21" t="s">
        <v>139</v>
      </c>
      <c r="AG675" s="21" t="s">
        <v>1328</v>
      </c>
      <c r="AH675" s="21" t="s">
        <v>1533</v>
      </c>
      <c r="AI675" s="138" t="s">
        <v>577</v>
      </c>
      <c r="AJ675" s="21" t="s">
        <v>1588</v>
      </c>
      <c r="AK675" s="141" t="s">
        <v>1613</v>
      </c>
      <c r="AL675" s="21" t="s">
        <v>441</v>
      </c>
      <c r="AM675" s="21" t="s">
        <v>441</v>
      </c>
      <c r="AN675" s="21" t="s">
        <v>177</v>
      </c>
      <c r="AT675" s="21" t="s">
        <v>368</v>
      </c>
      <c r="AU675" s="21" t="s">
        <v>443</v>
      </c>
      <c r="AV675" s="21" t="s">
        <v>502</v>
      </c>
      <c r="AW675" s="21" t="s">
        <v>119</v>
      </c>
      <c r="AX675" s="21">
        <v>4</v>
      </c>
      <c r="AZ675" s="21" t="s">
        <v>335</v>
      </c>
      <c r="BD675" s="54"/>
      <c r="BP675" s="396"/>
      <c r="BQ675" s="396"/>
      <c r="BU675" s="396"/>
      <c r="BV675" s="396"/>
      <c r="BZ675" s="396"/>
      <c r="CA675" s="396"/>
      <c r="CE675" s="549"/>
      <c r="CF675" s="549"/>
      <c r="CG675" s="549"/>
      <c r="CH675" s="549"/>
      <c r="FL675" s="21">
        <v>0.16350000000000001</v>
      </c>
      <c r="FM675" s="21">
        <v>0.16259999999999999</v>
      </c>
      <c r="FP675" s="21" t="s">
        <v>444</v>
      </c>
      <c r="GZ675" s="12"/>
      <c r="HD675" s="12"/>
      <c r="JB675" s="21" t="s">
        <v>715</v>
      </c>
    </row>
    <row r="676" spans="1:262" s="21" customFormat="1" x14ac:dyDescent="0.25">
      <c r="A676" s="21">
        <v>30</v>
      </c>
      <c r="B676" s="43" t="s">
        <v>3888</v>
      </c>
      <c r="C676" s="21" t="s">
        <v>437</v>
      </c>
      <c r="D676" s="21" t="s">
        <v>438</v>
      </c>
      <c r="E676" s="21">
        <v>2002</v>
      </c>
      <c r="F676" s="21">
        <v>1999</v>
      </c>
      <c r="G676" s="21" t="s">
        <v>439</v>
      </c>
      <c r="H676" s="21" t="s">
        <v>440</v>
      </c>
      <c r="I676" s="32" t="s">
        <v>2815</v>
      </c>
      <c r="J676" s="21">
        <f t="shared" si="203"/>
        <v>38.533333333333331</v>
      </c>
      <c r="K676" s="21">
        <f t="shared" si="204"/>
        <v>-121.78333333333333</v>
      </c>
      <c r="L676" s="21">
        <v>18.399999999999999</v>
      </c>
      <c r="P676" s="21">
        <v>483</v>
      </c>
      <c r="R676" s="43">
        <v>3</v>
      </c>
      <c r="S676" s="43" t="s">
        <v>1858</v>
      </c>
      <c r="T676" s="43"/>
      <c r="U676" s="43">
        <v>36514</v>
      </c>
      <c r="V676" s="43" t="s">
        <v>1398</v>
      </c>
      <c r="W676" s="43" t="s">
        <v>1725</v>
      </c>
      <c r="X676" s="43" t="s">
        <v>1395</v>
      </c>
      <c r="Y676" s="43" t="s">
        <v>1417</v>
      </c>
      <c r="AA676" s="322">
        <v>36</v>
      </c>
      <c r="AB676" s="322">
        <v>46</v>
      </c>
      <c r="AC676" s="21" t="s">
        <v>139</v>
      </c>
      <c r="AG676" s="21" t="s">
        <v>1328</v>
      </c>
      <c r="AH676" s="21" t="s">
        <v>1533</v>
      </c>
      <c r="AI676" s="138" t="s">
        <v>577</v>
      </c>
      <c r="AJ676" s="21" t="s">
        <v>1588</v>
      </c>
      <c r="AK676" s="141" t="s">
        <v>1613</v>
      </c>
      <c r="AL676" s="21" t="s">
        <v>441</v>
      </c>
      <c r="AM676" s="21" t="s">
        <v>441</v>
      </c>
      <c r="AN676" s="21" t="s">
        <v>177</v>
      </c>
      <c r="AT676" s="21" t="s">
        <v>368</v>
      </c>
      <c r="AU676" s="21" t="s">
        <v>442</v>
      </c>
      <c r="AV676" s="21" t="s">
        <v>502</v>
      </c>
      <c r="AW676" s="21" t="s">
        <v>119</v>
      </c>
      <c r="AX676" s="21">
        <v>4</v>
      </c>
      <c r="AZ676" s="21" t="s">
        <v>335</v>
      </c>
      <c r="BD676" s="54"/>
      <c r="BP676" s="396"/>
      <c r="BQ676" s="396"/>
      <c r="BU676" s="396"/>
      <c r="BV676" s="396"/>
      <c r="BZ676" s="396"/>
      <c r="CA676" s="396"/>
      <c r="CE676" s="549"/>
      <c r="CF676" s="549"/>
      <c r="CG676" s="549"/>
      <c r="CH676" s="549"/>
      <c r="FL676" s="21">
        <v>0.1416</v>
      </c>
      <c r="FM676" s="21">
        <v>0.18099999999999999</v>
      </c>
      <c r="FP676" s="21" t="s">
        <v>444</v>
      </c>
      <c r="GZ676" s="12"/>
      <c r="HD676" s="12"/>
      <c r="JB676" s="21" t="s">
        <v>715</v>
      </c>
    </row>
    <row r="677" spans="1:262" s="21" customFormat="1" x14ac:dyDescent="0.25">
      <c r="A677" s="21">
        <v>30</v>
      </c>
      <c r="B677" s="43" t="s">
        <v>3888</v>
      </c>
      <c r="C677" s="21" t="s">
        <v>437</v>
      </c>
      <c r="D677" s="21" t="s">
        <v>438</v>
      </c>
      <c r="E677" s="21">
        <v>2002</v>
      </c>
      <c r="F677" s="21">
        <v>1999</v>
      </c>
      <c r="G677" s="21" t="s">
        <v>439</v>
      </c>
      <c r="H677" s="21" t="s">
        <v>440</v>
      </c>
      <c r="I677" s="32" t="s">
        <v>2815</v>
      </c>
      <c r="J677" s="21">
        <f t="shared" si="203"/>
        <v>38.533333333333331</v>
      </c>
      <c r="K677" s="21">
        <f t="shared" si="204"/>
        <v>-121.78333333333333</v>
      </c>
      <c r="L677" s="21">
        <v>18.399999999999999</v>
      </c>
      <c r="P677" s="21">
        <v>483</v>
      </c>
      <c r="R677" s="43">
        <v>3</v>
      </c>
      <c r="S677" s="43" t="s">
        <v>1858</v>
      </c>
      <c r="T677" s="43"/>
      <c r="U677" s="43">
        <v>36514</v>
      </c>
      <c r="V677" s="43" t="s">
        <v>1398</v>
      </c>
      <c r="W677" s="43" t="s">
        <v>1725</v>
      </c>
      <c r="X677" s="43" t="s">
        <v>1395</v>
      </c>
      <c r="Y677" s="43" t="s">
        <v>1417</v>
      </c>
      <c r="AA677" s="322">
        <v>36</v>
      </c>
      <c r="AB677" s="322">
        <v>46</v>
      </c>
      <c r="AC677" s="21" t="s">
        <v>139</v>
      </c>
      <c r="AG677" s="21" t="s">
        <v>1328</v>
      </c>
      <c r="AH677" s="21" t="s">
        <v>1533</v>
      </c>
      <c r="AI677" s="138" t="s">
        <v>577</v>
      </c>
      <c r="AJ677" s="21" t="s">
        <v>1588</v>
      </c>
      <c r="AK677" s="141" t="s">
        <v>1613</v>
      </c>
      <c r="AL677" s="21" t="s">
        <v>441</v>
      </c>
      <c r="AM677" s="21" t="s">
        <v>441</v>
      </c>
      <c r="AN677" s="21" t="s">
        <v>177</v>
      </c>
      <c r="AT677" s="21" t="s">
        <v>368</v>
      </c>
      <c r="AU677" s="21" t="s">
        <v>443</v>
      </c>
      <c r="AV677" s="21" t="s">
        <v>502</v>
      </c>
      <c r="AW677" s="21" t="s">
        <v>119</v>
      </c>
      <c r="AX677" s="21">
        <v>4</v>
      </c>
      <c r="AZ677" s="21" t="s">
        <v>335</v>
      </c>
      <c r="BD677" s="54"/>
      <c r="BP677" s="396"/>
      <c r="BQ677" s="396"/>
      <c r="BU677" s="396"/>
      <c r="BV677" s="396"/>
      <c r="BZ677" s="396"/>
      <c r="CA677" s="396"/>
      <c r="CE677" s="549"/>
      <c r="CF677" s="549"/>
      <c r="CG677" s="549"/>
      <c r="CH677" s="549"/>
      <c r="FL677" s="21">
        <v>0.1416</v>
      </c>
      <c r="FM677" s="21">
        <v>0.17</v>
      </c>
      <c r="FP677" s="21" t="s">
        <v>444</v>
      </c>
      <c r="GZ677" s="12"/>
      <c r="HD677" s="12"/>
      <c r="JB677" s="21" t="s">
        <v>715</v>
      </c>
    </row>
    <row r="678" spans="1:262" s="21" customFormat="1" x14ac:dyDescent="0.25">
      <c r="A678" s="21">
        <v>30</v>
      </c>
      <c r="B678" s="43" t="s">
        <v>3888</v>
      </c>
      <c r="C678" s="21" t="s">
        <v>437</v>
      </c>
      <c r="D678" s="21" t="s">
        <v>438</v>
      </c>
      <c r="E678" s="21">
        <v>2002</v>
      </c>
      <c r="F678" s="21">
        <v>2000</v>
      </c>
      <c r="G678" s="21" t="s">
        <v>439</v>
      </c>
      <c r="H678" s="21" t="s">
        <v>440</v>
      </c>
      <c r="I678" s="32" t="s">
        <v>2815</v>
      </c>
      <c r="J678" s="21">
        <f t="shared" si="203"/>
        <v>38.533333333333331</v>
      </c>
      <c r="K678" s="21">
        <f t="shared" si="204"/>
        <v>-121.78333333333333</v>
      </c>
      <c r="L678" s="21">
        <v>18.399999999999999</v>
      </c>
      <c r="P678" s="21">
        <v>483</v>
      </c>
      <c r="R678" s="43">
        <v>4</v>
      </c>
      <c r="S678" s="43" t="s">
        <v>1858</v>
      </c>
      <c r="T678" s="43"/>
      <c r="U678" s="43">
        <v>36535</v>
      </c>
      <c r="V678" s="43" t="s">
        <v>1398</v>
      </c>
      <c r="W678" s="43" t="s">
        <v>1725</v>
      </c>
      <c r="X678" s="43" t="s">
        <v>1395</v>
      </c>
      <c r="Y678" s="43" t="s">
        <v>1417</v>
      </c>
      <c r="AA678" s="322">
        <v>36</v>
      </c>
      <c r="AB678" s="322">
        <v>46</v>
      </c>
      <c r="AC678" s="21" t="s">
        <v>139</v>
      </c>
      <c r="AG678" s="21" t="s">
        <v>1328</v>
      </c>
      <c r="AH678" s="21" t="s">
        <v>1533</v>
      </c>
      <c r="AI678" s="138" t="s">
        <v>577</v>
      </c>
      <c r="AJ678" s="21" t="s">
        <v>1588</v>
      </c>
      <c r="AK678" s="141" t="s">
        <v>1613</v>
      </c>
      <c r="AL678" s="21" t="s">
        <v>441</v>
      </c>
      <c r="AM678" s="21" t="s">
        <v>441</v>
      </c>
      <c r="AN678" s="21" t="s">
        <v>177</v>
      </c>
      <c r="AT678" s="21" t="s">
        <v>368</v>
      </c>
      <c r="AU678" s="21" t="s">
        <v>442</v>
      </c>
      <c r="AV678" s="21" t="s">
        <v>502</v>
      </c>
      <c r="AW678" s="21" t="s">
        <v>119</v>
      </c>
      <c r="AX678" s="21">
        <v>4</v>
      </c>
      <c r="AZ678" s="21" t="s">
        <v>335</v>
      </c>
      <c r="BD678" s="54"/>
      <c r="BP678" s="396"/>
      <c r="BQ678" s="396"/>
      <c r="BU678" s="396"/>
      <c r="BV678" s="396"/>
      <c r="BZ678" s="396"/>
      <c r="CA678" s="396"/>
      <c r="CE678" s="549"/>
      <c r="CF678" s="549"/>
      <c r="CG678" s="549"/>
      <c r="CH678" s="549"/>
      <c r="FL678" s="21">
        <v>0.14069999999999999</v>
      </c>
      <c r="FM678" s="21">
        <v>0.1865</v>
      </c>
      <c r="FP678" s="21" t="s">
        <v>444</v>
      </c>
      <c r="GZ678" s="12"/>
      <c r="HD678" s="12"/>
      <c r="JB678" s="21" t="s">
        <v>715</v>
      </c>
    </row>
    <row r="679" spans="1:262" s="21" customFormat="1" x14ac:dyDescent="0.25">
      <c r="A679" s="21">
        <v>30</v>
      </c>
      <c r="B679" s="43" t="s">
        <v>3888</v>
      </c>
      <c r="C679" s="21" t="s">
        <v>437</v>
      </c>
      <c r="D679" s="21" t="s">
        <v>438</v>
      </c>
      <c r="E679" s="21">
        <v>2002</v>
      </c>
      <c r="F679" s="21">
        <v>2000</v>
      </c>
      <c r="G679" s="21" t="s">
        <v>439</v>
      </c>
      <c r="H679" s="21" t="s">
        <v>440</v>
      </c>
      <c r="I679" s="32" t="s">
        <v>2815</v>
      </c>
      <c r="J679" s="21">
        <f t="shared" si="203"/>
        <v>38.533333333333331</v>
      </c>
      <c r="K679" s="21">
        <f t="shared" si="204"/>
        <v>-121.78333333333333</v>
      </c>
      <c r="L679" s="21">
        <v>18.399999999999999</v>
      </c>
      <c r="P679" s="21">
        <v>483</v>
      </c>
      <c r="R679" s="43">
        <v>4</v>
      </c>
      <c r="S679" s="43" t="s">
        <v>1858</v>
      </c>
      <c r="T679" s="43"/>
      <c r="U679" s="43">
        <v>36535</v>
      </c>
      <c r="V679" s="43" t="s">
        <v>1398</v>
      </c>
      <c r="W679" s="43" t="s">
        <v>1725</v>
      </c>
      <c r="X679" s="43" t="s">
        <v>1395</v>
      </c>
      <c r="Y679" s="43" t="s">
        <v>1417</v>
      </c>
      <c r="AA679" s="322">
        <v>36</v>
      </c>
      <c r="AB679" s="322">
        <v>46</v>
      </c>
      <c r="AC679" s="21" t="s">
        <v>139</v>
      </c>
      <c r="AG679" s="21" t="s">
        <v>1328</v>
      </c>
      <c r="AH679" s="21" t="s">
        <v>1533</v>
      </c>
      <c r="AI679" s="138" t="s">
        <v>577</v>
      </c>
      <c r="AJ679" s="21" t="s">
        <v>1588</v>
      </c>
      <c r="AK679" s="141" t="s">
        <v>1613</v>
      </c>
      <c r="AL679" s="21" t="s">
        <v>441</v>
      </c>
      <c r="AM679" s="21" t="s">
        <v>441</v>
      </c>
      <c r="AN679" s="21" t="s">
        <v>177</v>
      </c>
      <c r="AT679" s="21" t="s">
        <v>368</v>
      </c>
      <c r="AU679" s="21" t="s">
        <v>443</v>
      </c>
      <c r="AV679" s="21" t="s">
        <v>502</v>
      </c>
      <c r="AW679" s="21" t="s">
        <v>119</v>
      </c>
      <c r="AX679" s="21">
        <v>4</v>
      </c>
      <c r="AZ679" s="21" t="s">
        <v>335</v>
      </c>
      <c r="BD679" s="54"/>
      <c r="BP679" s="396"/>
      <c r="BQ679" s="396"/>
      <c r="BU679" s="396"/>
      <c r="BV679" s="396"/>
      <c r="BZ679" s="396"/>
      <c r="CA679" s="396"/>
      <c r="CE679" s="549"/>
      <c r="CF679" s="549"/>
      <c r="CG679" s="549"/>
      <c r="CH679" s="549"/>
      <c r="FL679" s="21">
        <v>0.14069999999999999</v>
      </c>
      <c r="FM679" s="21">
        <v>0.17280000000000001</v>
      </c>
      <c r="FP679" s="21" t="s">
        <v>444</v>
      </c>
      <c r="GZ679" s="12"/>
      <c r="HD679" s="12"/>
      <c r="JB679" s="21" t="s">
        <v>715</v>
      </c>
    </row>
    <row r="680" spans="1:262" s="21" customFormat="1" x14ac:dyDescent="0.25">
      <c r="A680" s="21">
        <v>30</v>
      </c>
      <c r="B680" s="43" t="s">
        <v>3888</v>
      </c>
      <c r="C680" s="21" t="s">
        <v>437</v>
      </c>
      <c r="D680" s="21" t="s">
        <v>438</v>
      </c>
      <c r="E680" s="21">
        <v>2002</v>
      </c>
      <c r="F680" s="21">
        <v>2000</v>
      </c>
      <c r="G680" s="21" t="s">
        <v>439</v>
      </c>
      <c r="H680" s="21" t="s">
        <v>440</v>
      </c>
      <c r="I680" s="32" t="s">
        <v>2815</v>
      </c>
      <c r="J680" s="21">
        <f t="shared" si="203"/>
        <v>38.533333333333331</v>
      </c>
      <c r="K680" s="21">
        <f t="shared" si="204"/>
        <v>-121.78333333333333</v>
      </c>
      <c r="L680" s="21">
        <v>18.399999999999999</v>
      </c>
      <c r="P680" s="21">
        <v>483</v>
      </c>
      <c r="R680" s="43">
        <v>4</v>
      </c>
      <c r="S680" s="43" t="s">
        <v>1858</v>
      </c>
      <c r="T680" s="43"/>
      <c r="U680" s="43">
        <v>36541</v>
      </c>
      <c r="V680" s="43" t="s">
        <v>1398</v>
      </c>
      <c r="W680" s="43" t="s">
        <v>1725</v>
      </c>
      <c r="X680" s="43" t="s">
        <v>1395</v>
      </c>
      <c r="Y680" s="43" t="s">
        <v>1417</v>
      </c>
      <c r="AA680" s="322">
        <v>36</v>
      </c>
      <c r="AB680" s="322">
        <v>46</v>
      </c>
      <c r="AC680" s="21" t="s">
        <v>139</v>
      </c>
      <c r="AG680" s="21" t="s">
        <v>1328</v>
      </c>
      <c r="AH680" s="21" t="s">
        <v>1533</v>
      </c>
      <c r="AI680" s="138" t="s">
        <v>577</v>
      </c>
      <c r="AJ680" s="21" t="s">
        <v>1588</v>
      </c>
      <c r="AK680" s="141" t="s">
        <v>1613</v>
      </c>
      <c r="AL680" s="21" t="s">
        <v>441</v>
      </c>
      <c r="AM680" s="21" t="s">
        <v>441</v>
      </c>
      <c r="AN680" s="21" t="s">
        <v>177</v>
      </c>
      <c r="AT680" s="21" t="s">
        <v>368</v>
      </c>
      <c r="AU680" s="21" t="s">
        <v>442</v>
      </c>
      <c r="AV680" s="21" t="s">
        <v>502</v>
      </c>
      <c r="AW680" s="21" t="s">
        <v>119</v>
      </c>
      <c r="AX680" s="21">
        <v>4</v>
      </c>
      <c r="AZ680" s="21" t="s">
        <v>335</v>
      </c>
      <c r="BD680" s="54"/>
      <c r="BP680" s="396"/>
      <c r="BQ680" s="396"/>
      <c r="BU680" s="396"/>
      <c r="BV680" s="396"/>
      <c r="BZ680" s="396"/>
      <c r="CA680" s="396"/>
      <c r="CE680" s="549"/>
      <c r="CF680" s="549"/>
      <c r="CG680" s="549"/>
      <c r="CH680" s="549"/>
      <c r="FL680" s="21">
        <v>0.1416</v>
      </c>
      <c r="FM680" s="21">
        <v>0.1875</v>
      </c>
      <c r="FP680" s="21" t="s">
        <v>444</v>
      </c>
      <c r="GZ680" s="12"/>
      <c r="HD680" s="12"/>
      <c r="JB680" s="21" t="s">
        <v>715</v>
      </c>
    </row>
    <row r="681" spans="1:262" s="21" customFormat="1" x14ac:dyDescent="0.25">
      <c r="A681" s="21">
        <v>30</v>
      </c>
      <c r="B681" s="43" t="s">
        <v>3888</v>
      </c>
      <c r="C681" s="21" t="s">
        <v>437</v>
      </c>
      <c r="D681" s="21" t="s">
        <v>438</v>
      </c>
      <c r="E681" s="21">
        <v>2002</v>
      </c>
      <c r="F681" s="21">
        <v>2000</v>
      </c>
      <c r="G681" s="21" t="s">
        <v>439</v>
      </c>
      <c r="H681" s="21" t="s">
        <v>440</v>
      </c>
      <c r="I681" s="32" t="s">
        <v>2815</v>
      </c>
      <c r="J681" s="21">
        <f t="shared" si="203"/>
        <v>38.533333333333331</v>
      </c>
      <c r="K681" s="21">
        <f t="shared" si="204"/>
        <v>-121.78333333333333</v>
      </c>
      <c r="L681" s="21">
        <v>18.399999999999999</v>
      </c>
      <c r="P681" s="21">
        <v>483</v>
      </c>
      <c r="R681" s="43">
        <v>4</v>
      </c>
      <c r="S681" s="43" t="s">
        <v>1858</v>
      </c>
      <c r="T681" s="43"/>
      <c r="U681" s="43">
        <v>36541</v>
      </c>
      <c r="V681" s="43" t="s">
        <v>1398</v>
      </c>
      <c r="W681" s="43" t="s">
        <v>1725</v>
      </c>
      <c r="X681" s="43" t="s">
        <v>1395</v>
      </c>
      <c r="Y681" s="43" t="s">
        <v>1417</v>
      </c>
      <c r="AA681" s="322">
        <v>36</v>
      </c>
      <c r="AB681" s="322">
        <v>46</v>
      </c>
      <c r="AC681" s="21" t="s">
        <v>139</v>
      </c>
      <c r="AG681" s="21" t="s">
        <v>1328</v>
      </c>
      <c r="AH681" s="21" t="s">
        <v>1533</v>
      </c>
      <c r="AI681" s="138" t="s">
        <v>577</v>
      </c>
      <c r="AJ681" s="21" t="s">
        <v>1588</v>
      </c>
      <c r="AK681" s="141" t="s">
        <v>1613</v>
      </c>
      <c r="AL681" s="21" t="s">
        <v>441</v>
      </c>
      <c r="AM681" s="21" t="s">
        <v>441</v>
      </c>
      <c r="AN681" s="21" t="s">
        <v>177</v>
      </c>
      <c r="AT681" s="21" t="s">
        <v>368</v>
      </c>
      <c r="AU681" s="21" t="s">
        <v>443</v>
      </c>
      <c r="AV681" s="21" t="s">
        <v>502</v>
      </c>
      <c r="AW681" s="21" t="s">
        <v>119</v>
      </c>
      <c r="AX681" s="21">
        <v>4</v>
      </c>
      <c r="AZ681" s="21" t="s">
        <v>335</v>
      </c>
      <c r="BD681" s="54"/>
      <c r="BP681" s="396"/>
      <c r="BQ681" s="396"/>
      <c r="BU681" s="396"/>
      <c r="BV681" s="396"/>
      <c r="BZ681" s="396"/>
      <c r="CA681" s="396"/>
      <c r="CE681" s="549"/>
      <c r="CF681" s="549"/>
      <c r="CG681" s="549"/>
      <c r="CH681" s="549"/>
      <c r="FL681" s="21">
        <v>0.1416</v>
      </c>
      <c r="FM681" s="21">
        <v>0.17280000000000001</v>
      </c>
      <c r="FP681" s="21" t="s">
        <v>444</v>
      </c>
      <c r="GZ681" s="12"/>
      <c r="HD681" s="12"/>
      <c r="JB681" s="21" t="s">
        <v>715</v>
      </c>
    </row>
    <row r="682" spans="1:262" s="21" customFormat="1" x14ac:dyDescent="0.25">
      <c r="A682" s="21">
        <v>30</v>
      </c>
      <c r="B682" s="43" t="s">
        <v>3888</v>
      </c>
      <c r="C682" s="21" t="s">
        <v>437</v>
      </c>
      <c r="D682" s="21" t="s">
        <v>438</v>
      </c>
      <c r="E682" s="21">
        <v>2002</v>
      </c>
      <c r="F682" s="21">
        <v>2000</v>
      </c>
      <c r="G682" s="21" t="s">
        <v>439</v>
      </c>
      <c r="H682" s="21" t="s">
        <v>440</v>
      </c>
      <c r="I682" s="32" t="s">
        <v>2815</v>
      </c>
      <c r="J682" s="21">
        <f t="shared" si="203"/>
        <v>38.533333333333331</v>
      </c>
      <c r="K682" s="21">
        <f t="shared" si="204"/>
        <v>-121.78333333333333</v>
      </c>
      <c r="L682" s="21">
        <v>18.399999999999999</v>
      </c>
      <c r="P682" s="21">
        <v>483</v>
      </c>
      <c r="R682" s="43">
        <v>4</v>
      </c>
      <c r="S682" s="43" t="s">
        <v>1858</v>
      </c>
      <c r="T682" s="43"/>
      <c r="U682" s="43">
        <v>36549</v>
      </c>
      <c r="V682" s="43" t="s">
        <v>1398</v>
      </c>
      <c r="W682" s="43" t="s">
        <v>1725</v>
      </c>
      <c r="X682" s="43" t="s">
        <v>1395</v>
      </c>
      <c r="Y682" s="43" t="s">
        <v>1417</v>
      </c>
      <c r="AA682" s="322">
        <v>36</v>
      </c>
      <c r="AB682" s="322">
        <v>46</v>
      </c>
      <c r="AC682" s="21" t="s">
        <v>139</v>
      </c>
      <c r="AG682" s="21" t="s">
        <v>1328</v>
      </c>
      <c r="AH682" s="21" t="s">
        <v>1533</v>
      </c>
      <c r="AI682" s="138" t="s">
        <v>577</v>
      </c>
      <c r="AJ682" s="21" t="s">
        <v>1588</v>
      </c>
      <c r="AK682" s="141" t="s">
        <v>1613</v>
      </c>
      <c r="AL682" s="21" t="s">
        <v>441</v>
      </c>
      <c r="AM682" s="21" t="s">
        <v>441</v>
      </c>
      <c r="AN682" s="21" t="s">
        <v>177</v>
      </c>
      <c r="AT682" s="21" t="s">
        <v>368</v>
      </c>
      <c r="AU682" s="21" t="s">
        <v>442</v>
      </c>
      <c r="AV682" s="21" t="s">
        <v>502</v>
      </c>
      <c r="AW682" s="21" t="s">
        <v>119</v>
      </c>
      <c r="AX682" s="21">
        <v>4</v>
      </c>
      <c r="AZ682" s="21" t="s">
        <v>335</v>
      </c>
      <c r="BD682" s="54"/>
      <c r="BP682" s="396"/>
      <c r="BQ682" s="396"/>
      <c r="BU682" s="396"/>
      <c r="BV682" s="396"/>
      <c r="BZ682" s="396"/>
      <c r="CA682" s="396"/>
      <c r="CE682" s="549"/>
      <c r="CF682" s="549"/>
      <c r="CG682" s="549"/>
      <c r="CH682" s="549"/>
      <c r="FL682" s="21">
        <v>0.1389</v>
      </c>
      <c r="FM682" s="21">
        <v>0.1875</v>
      </c>
      <c r="FP682" s="21" t="s">
        <v>444</v>
      </c>
      <c r="GZ682" s="12"/>
      <c r="HD682" s="12"/>
      <c r="JB682" s="21" t="s">
        <v>715</v>
      </c>
    </row>
    <row r="683" spans="1:262" s="21" customFormat="1" x14ac:dyDescent="0.25">
      <c r="A683" s="21">
        <v>30</v>
      </c>
      <c r="B683" s="43" t="s">
        <v>3888</v>
      </c>
      <c r="C683" s="21" t="s">
        <v>437</v>
      </c>
      <c r="D683" s="21" t="s">
        <v>438</v>
      </c>
      <c r="E683" s="21">
        <v>2002</v>
      </c>
      <c r="F683" s="21">
        <v>2000</v>
      </c>
      <c r="G683" s="21" t="s">
        <v>439</v>
      </c>
      <c r="H683" s="21" t="s">
        <v>440</v>
      </c>
      <c r="I683" s="32" t="s">
        <v>2815</v>
      </c>
      <c r="J683" s="21">
        <f t="shared" si="203"/>
        <v>38.533333333333331</v>
      </c>
      <c r="K683" s="21">
        <f t="shared" si="204"/>
        <v>-121.78333333333333</v>
      </c>
      <c r="L683" s="21">
        <v>18.399999999999999</v>
      </c>
      <c r="P683" s="21">
        <v>483</v>
      </c>
      <c r="R683" s="43">
        <v>4</v>
      </c>
      <c r="S683" s="43" t="s">
        <v>1858</v>
      </c>
      <c r="T683" s="43"/>
      <c r="U683" s="43">
        <v>36549</v>
      </c>
      <c r="V683" s="43" t="s">
        <v>1398</v>
      </c>
      <c r="W683" s="43" t="s">
        <v>1725</v>
      </c>
      <c r="X683" s="43" t="s">
        <v>1395</v>
      </c>
      <c r="Y683" s="43" t="s">
        <v>1417</v>
      </c>
      <c r="AA683" s="322">
        <v>36</v>
      </c>
      <c r="AB683" s="322">
        <v>46</v>
      </c>
      <c r="AC683" s="21" t="s">
        <v>139</v>
      </c>
      <c r="AG683" s="21" t="s">
        <v>1328</v>
      </c>
      <c r="AH683" s="21" t="s">
        <v>1533</v>
      </c>
      <c r="AI683" s="138" t="s">
        <v>577</v>
      </c>
      <c r="AJ683" s="21" t="s">
        <v>1588</v>
      </c>
      <c r="AK683" s="141" t="s">
        <v>1613</v>
      </c>
      <c r="AL683" s="21" t="s">
        <v>441</v>
      </c>
      <c r="AM683" s="21" t="s">
        <v>441</v>
      </c>
      <c r="AN683" s="21" t="s">
        <v>177</v>
      </c>
      <c r="AT683" s="21" t="s">
        <v>368</v>
      </c>
      <c r="AU683" s="21" t="s">
        <v>443</v>
      </c>
      <c r="AV683" s="21" t="s">
        <v>502</v>
      </c>
      <c r="AW683" s="21" t="s">
        <v>119</v>
      </c>
      <c r="AX683" s="21">
        <v>4</v>
      </c>
      <c r="AZ683" s="21" t="s">
        <v>335</v>
      </c>
      <c r="BD683" s="54"/>
      <c r="BP683" s="396"/>
      <c r="BQ683" s="396"/>
      <c r="BU683" s="396"/>
      <c r="BV683" s="396"/>
      <c r="BZ683" s="396"/>
      <c r="CA683" s="396"/>
      <c r="CE683" s="549"/>
      <c r="CF683" s="549"/>
      <c r="CG683" s="549"/>
      <c r="CH683" s="549"/>
      <c r="FL683" s="21">
        <v>0.1389</v>
      </c>
      <c r="FM683" s="21">
        <v>0.17469999999999999</v>
      </c>
      <c r="FP683" s="21" t="s">
        <v>444</v>
      </c>
      <c r="GZ683" s="12"/>
      <c r="HD683" s="12"/>
      <c r="JB683" s="21" t="s">
        <v>715</v>
      </c>
    </row>
    <row r="684" spans="1:262" s="21" customFormat="1" x14ac:dyDescent="0.25">
      <c r="A684" s="21">
        <v>30</v>
      </c>
      <c r="B684" s="43" t="s">
        <v>3888</v>
      </c>
      <c r="C684" s="21" t="s">
        <v>437</v>
      </c>
      <c r="D684" s="21" t="s">
        <v>438</v>
      </c>
      <c r="E684" s="21">
        <v>2002</v>
      </c>
      <c r="F684" s="21">
        <v>2000</v>
      </c>
      <c r="G684" s="21" t="s">
        <v>439</v>
      </c>
      <c r="H684" s="21" t="s">
        <v>440</v>
      </c>
      <c r="I684" s="32" t="s">
        <v>2815</v>
      </c>
      <c r="J684" s="21">
        <f t="shared" si="203"/>
        <v>38.533333333333331</v>
      </c>
      <c r="K684" s="21">
        <f t="shared" si="204"/>
        <v>-121.78333333333333</v>
      </c>
      <c r="L684" s="21">
        <v>18.399999999999999</v>
      </c>
      <c r="P684" s="21">
        <v>483</v>
      </c>
      <c r="R684" s="43">
        <v>4</v>
      </c>
      <c r="S684" s="43" t="s">
        <v>1858</v>
      </c>
      <c r="T684" s="43"/>
      <c r="U684" s="43">
        <v>36562</v>
      </c>
      <c r="V684" s="43" t="s">
        <v>1398</v>
      </c>
      <c r="W684" s="43" t="s">
        <v>1725</v>
      </c>
      <c r="X684" s="43" t="s">
        <v>1395</v>
      </c>
      <c r="Y684" s="43" t="s">
        <v>1417</v>
      </c>
      <c r="AA684" s="322">
        <v>36</v>
      </c>
      <c r="AB684" s="322">
        <v>46</v>
      </c>
      <c r="AC684" s="21" t="s">
        <v>139</v>
      </c>
      <c r="AG684" s="21" t="s">
        <v>1328</v>
      </c>
      <c r="AH684" s="21" t="s">
        <v>1533</v>
      </c>
      <c r="AI684" s="138" t="s">
        <v>577</v>
      </c>
      <c r="AJ684" s="21" t="s">
        <v>1588</v>
      </c>
      <c r="AK684" s="141" t="s">
        <v>1613</v>
      </c>
      <c r="AL684" s="21" t="s">
        <v>441</v>
      </c>
      <c r="AM684" s="21" t="s">
        <v>441</v>
      </c>
      <c r="AN684" s="21" t="s">
        <v>177</v>
      </c>
      <c r="AT684" s="21" t="s">
        <v>368</v>
      </c>
      <c r="AU684" s="21" t="s">
        <v>442</v>
      </c>
      <c r="AV684" s="21" t="s">
        <v>502</v>
      </c>
      <c r="AW684" s="21" t="s">
        <v>119</v>
      </c>
      <c r="AX684" s="21">
        <v>4</v>
      </c>
      <c r="AZ684" s="21" t="s">
        <v>335</v>
      </c>
      <c r="BD684" s="54"/>
      <c r="BP684" s="396"/>
      <c r="BQ684" s="396"/>
      <c r="BU684" s="396"/>
      <c r="BV684" s="396"/>
      <c r="BZ684" s="396"/>
      <c r="CA684" s="396"/>
      <c r="CE684" s="549"/>
      <c r="CF684" s="549"/>
      <c r="CG684" s="549"/>
      <c r="CH684" s="549"/>
      <c r="FL684" s="21">
        <v>0.14530000000000001</v>
      </c>
      <c r="FM684" s="21">
        <v>0.18940000000000001</v>
      </c>
      <c r="FP684" s="21" t="s">
        <v>444</v>
      </c>
      <c r="GZ684" s="12"/>
      <c r="HD684" s="12"/>
      <c r="JB684" s="21" t="s">
        <v>715</v>
      </c>
    </row>
    <row r="685" spans="1:262" s="21" customFormat="1" x14ac:dyDescent="0.25">
      <c r="A685" s="21">
        <v>30</v>
      </c>
      <c r="B685" s="43" t="s">
        <v>3888</v>
      </c>
      <c r="C685" s="21" t="s">
        <v>437</v>
      </c>
      <c r="D685" s="21" t="s">
        <v>438</v>
      </c>
      <c r="E685" s="21">
        <v>2002</v>
      </c>
      <c r="F685" s="21">
        <v>2000</v>
      </c>
      <c r="G685" s="21" t="s">
        <v>439</v>
      </c>
      <c r="H685" s="21" t="s">
        <v>440</v>
      </c>
      <c r="I685" s="32" t="s">
        <v>2815</v>
      </c>
      <c r="J685" s="21">
        <f t="shared" si="203"/>
        <v>38.533333333333331</v>
      </c>
      <c r="K685" s="21">
        <f t="shared" si="204"/>
        <v>-121.78333333333333</v>
      </c>
      <c r="L685" s="21">
        <v>18.399999999999999</v>
      </c>
      <c r="P685" s="21">
        <v>483</v>
      </c>
      <c r="R685" s="43">
        <v>4</v>
      </c>
      <c r="S685" s="43" t="s">
        <v>1858</v>
      </c>
      <c r="T685" s="43"/>
      <c r="U685" s="43">
        <v>36562</v>
      </c>
      <c r="V685" s="43" t="s">
        <v>1398</v>
      </c>
      <c r="W685" s="43" t="s">
        <v>1725</v>
      </c>
      <c r="X685" s="43" t="s">
        <v>1395</v>
      </c>
      <c r="Y685" s="43" t="s">
        <v>1417</v>
      </c>
      <c r="AA685" s="322">
        <v>36</v>
      </c>
      <c r="AB685" s="322">
        <v>46</v>
      </c>
      <c r="AC685" s="21" t="s">
        <v>139</v>
      </c>
      <c r="AG685" s="21" t="s">
        <v>1328</v>
      </c>
      <c r="AH685" s="21" t="s">
        <v>1533</v>
      </c>
      <c r="AI685" s="138" t="s">
        <v>577</v>
      </c>
      <c r="AJ685" s="21" t="s">
        <v>1588</v>
      </c>
      <c r="AK685" s="141" t="s">
        <v>1613</v>
      </c>
      <c r="AL685" s="21" t="s">
        <v>441</v>
      </c>
      <c r="AM685" s="21" t="s">
        <v>441</v>
      </c>
      <c r="AN685" s="21" t="s">
        <v>177</v>
      </c>
      <c r="AT685" s="21" t="s">
        <v>368</v>
      </c>
      <c r="AU685" s="21" t="s">
        <v>443</v>
      </c>
      <c r="AV685" s="21" t="s">
        <v>502</v>
      </c>
      <c r="AW685" s="21" t="s">
        <v>119</v>
      </c>
      <c r="AX685" s="21">
        <v>4</v>
      </c>
      <c r="AZ685" s="21" t="s">
        <v>335</v>
      </c>
      <c r="BD685" s="54"/>
      <c r="BP685" s="396"/>
      <c r="BQ685" s="396"/>
      <c r="BU685" s="396"/>
      <c r="BV685" s="396"/>
      <c r="BZ685" s="396"/>
      <c r="CA685" s="396"/>
      <c r="CE685" s="549"/>
      <c r="CF685" s="549"/>
      <c r="CG685" s="549"/>
      <c r="CH685" s="549"/>
      <c r="FL685" s="21">
        <v>0.14530000000000001</v>
      </c>
      <c r="FM685" s="21">
        <v>0.1774</v>
      </c>
      <c r="FP685" s="21" t="s">
        <v>444</v>
      </c>
      <c r="GZ685" s="12"/>
      <c r="HD685" s="12"/>
      <c r="JB685" s="21" t="s">
        <v>715</v>
      </c>
    </row>
    <row r="686" spans="1:262" s="21" customFormat="1" x14ac:dyDescent="0.25">
      <c r="A686" s="21">
        <v>30</v>
      </c>
      <c r="B686" s="43" t="s">
        <v>3888</v>
      </c>
      <c r="C686" s="21" t="s">
        <v>437</v>
      </c>
      <c r="D686" s="21" t="s">
        <v>438</v>
      </c>
      <c r="E686" s="21">
        <v>2002</v>
      </c>
      <c r="F686" s="21">
        <v>2000</v>
      </c>
      <c r="G686" s="21" t="s">
        <v>439</v>
      </c>
      <c r="H686" s="21" t="s">
        <v>440</v>
      </c>
      <c r="I686" s="32" t="s">
        <v>2815</v>
      </c>
      <c r="J686" s="21">
        <f t="shared" si="203"/>
        <v>38.533333333333331</v>
      </c>
      <c r="K686" s="21">
        <f t="shared" si="204"/>
        <v>-121.78333333333333</v>
      </c>
      <c r="L686" s="21">
        <v>18.399999999999999</v>
      </c>
      <c r="P686" s="21">
        <v>483</v>
      </c>
      <c r="R686" s="43">
        <v>4</v>
      </c>
      <c r="S686" s="43" t="s">
        <v>1858</v>
      </c>
      <c r="T686" s="43"/>
      <c r="U686" s="43">
        <v>36566</v>
      </c>
      <c r="V686" s="43" t="s">
        <v>1398</v>
      </c>
      <c r="W686" s="43" t="s">
        <v>1725</v>
      </c>
      <c r="X686" s="43" t="s">
        <v>1395</v>
      </c>
      <c r="Y686" s="43" t="s">
        <v>1417</v>
      </c>
      <c r="AA686" s="322">
        <v>36</v>
      </c>
      <c r="AB686" s="322">
        <v>46</v>
      </c>
      <c r="AC686" s="21" t="s">
        <v>139</v>
      </c>
      <c r="AG686" s="21" t="s">
        <v>1328</v>
      </c>
      <c r="AH686" s="21" t="s">
        <v>1533</v>
      </c>
      <c r="AI686" s="138" t="s">
        <v>577</v>
      </c>
      <c r="AJ686" s="21" t="s">
        <v>1588</v>
      </c>
      <c r="AK686" s="141" t="s">
        <v>1613</v>
      </c>
      <c r="AL686" s="21" t="s">
        <v>441</v>
      </c>
      <c r="AM686" s="21" t="s">
        <v>441</v>
      </c>
      <c r="AN686" s="21" t="s">
        <v>177</v>
      </c>
      <c r="AT686" s="21" t="s">
        <v>368</v>
      </c>
      <c r="AU686" s="21" t="s">
        <v>442</v>
      </c>
      <c r="AV686" s="21" t="s">
        <v>502</v>
      </c>
      <c r="AW686" s="21" t="s">
        <v>119</v>
      </c>
      <c r="AX686" s="21">
        <v>4</v>
      </c>
      <c r="AZ686" s="21" t="s">
        <v>335</v>
      </c>
      <c r="BD686" s="54"/>
      <c r="BP686" s="396"/>
      <c r="BQ686" s="396"/>
      <c r="BU686" s="396"/>
      <c r="BV686" s="396"/>
      <c r="BZ686" s="396"/>
      <c r="CA686" s="396"/>
      <c r="CE686" s="549"/>
      <c r="CF686" s="549"/>
      <c r="CG686" s="549"/>
      <c r="CH686" s="549"/>
      <c r="FL686" s="21">
        <v>0.14630000000000001</v>
      </c>
      <c r="FM686" s="21">
        <v>0.19489999999999999</v>
      </c>
      <c r="FP686" s="21" t="s">
        <v>444</v>
      </c>
      <c r="GZ686" s="12"/>
      <c r="HD686" s="12"/>
      <c r="JB686" s="21" t="s">
        <v>715</v>
      </c>
    </row>
    <row r="687" spans="1:262" s="21" customFormat="1" x14ac:dyDescent="0.25">
      <c r="A687" s="21">
        <v>30</v>
      </c>
      <c r="B687" s="43" t="s">
        <v>3888</v>
      </c>
      <c r="C687" s="21" t="s">
        <v>437</v>
      </c>
      <c r="D687" s="21" t="s">
        <v>438</v>
      </c>
      <c r="E687" s="21">
        <v>2002</v>
      </c>
      <c r="F687" s="21">
        <v>2000</v>
      </c>
      <c r="G687" s="21" t="s">
        <v>439</v>
      </c>
      <c r="H687" s="21" t="s">
        <v>440</v>
      </c>
      <c r="I687" s="32" t="s">
        <v>2815</v>
      </c>
      <c r="J687" s="21">
        <f t="shared" si="203"/>
        <v>38.533333333333331</v>
      </c>
      <c r="K687" s="21">
        <f t="shared" si="204"/>
        <v>-121.78333333333333</v>
      </c>
      <c r="L687" s="21">
        <v>18.399999999999999</v>
      </c>
      <c r="P687" s="21">
        <v>483</v>
      </c>
      <c r="R687" s="43">
        <v>4</v>
      </c>
      <c r="S687" s="43" t="s">
        <v>1858</v>
      </c>
      <c r="T687" s="43"/>
      <c r="U687" s="43">
        <v>36566</v>
      </c>
      <c r="V687" s="43" t="s">
        <v>1398</v>
      </c>
      <c r="W687" s="43" t="s">
        <v>1725</v>
      </c>
      <c r="X687" s="43" t="s">
        <v>1395</v>
      </c>
      <c r="Y687" s="43" t="s">
        <v>1417</v>
      </c>
      <c r="AA687" s="322">
        <v>36</v>
      </c>
      <c r="AB687" s="322">
        <v>46</v>
      </c>
      <c r="AC687" s="21" t="s">
        <v>139</v>
      </c>
      <c r="AG687" s="21" t="s">
        <v>1328</v>
      </c>
      <c r="AH687" s="21" t="s">
        <v>1533</v>
      </c>
      <c r="AI687" s="138" t="s">
        <v>577</v>
      </c>
      <c r="AJ687" s="21" t="s">
        <v>1588</v>
      </c>
      <c r="AK687" s="141" t="s">
        <v>1613</v>
      </c>
      <c r="AL687" s="21" t="s">
        <v>441</v>
      </c>
      <c r="AM687" s="21" t="s">
        <v>441</v>
      </c>
      <c r="AN687" s="21" t="s">
        <v>177</v>
      </c>
      <c r="AT687" s="21" t="s">
        <v>368</v>
      </c>
      <c r="AU687" s="21" t="s">
        <v>443</v>
      </c>
      <c r="AV687" s="21" t="s">
        <v>502</v>
      </c>
      <c r="AW687" s="21" t="s">
        <v>119</v>
      </c>
      <c r="AX687" s="21">
        <v>4</v>
      </c>
      <c r="AZ687" s="21" t="s">
        <v>335</v>
      </c>
      <c r="BD687" s="54"/>
      <c r="BP687" s="396"/>
      <c r="BQ687" s="396"/>
      <c r="BU687" s="396"/>
      <c r="BV687" s="396"/>
      <c r="BZ687" s="396"/>
      <c r="CA687" s="396"/>
      <c r="CE687" s="549"/>
      <c r="CF687" s="549"/>
      <c r="CG687" s="549"/>
      <c r="CH687" s="549"/>
      <c r="FL687" s="21">
        <v>0.14630000000000001</v>
      </c>
      <c r="FM687" s="21">
        <v>0.18110000000000001</v>
      </c>
      <c r="FP687" s="21" t="s">
        <v>444</v>
      </c>
      <c r="GZ687" s="12"/>
      <c r="HD687" s="12"/>
      <c r="JB687" s="21" t="s">
        <v>715</v>
      </c>
    </row>
    <row r="688" spans="1:262" s="21" customFormat="1" x14ac:dyDescent="0.25">
      <c r="A688" s="21">
        <v>30</v>
      </c>
      <c r="B688" s="43" t="s">
        <v>3888</v>
      </c>
      <c r="C688" s="21" t="s">
        <v>437</v>
      </c>
      <c r="D688" s="21" t="s">
        <v>438</v>
      </c>
      <c r="E688" s="21">
        <v>2002</v>
      </c>
      <c r="F688" s="21">
        <v>2000</v>
      </c>
      <c r="G688" s="21" t="s">
        <v>439</v>
      </c>
      <c r="H688" s="21" t="s">
        <v>440</v>
      </c>
      <c r="I688" s="32" t="s">
        <v>2815</v>
      </c>
      <c r="J688" s="21">
        <f t="shared" si="203"/>
        <v>38.533333333333331</v>
      </c>
      <c r="K688" s="21">
        <f t="shared" si="204"/>
        <v>-121.78333333333333</v>
      </c>
      <c r="L688" s="21">
        <v>18.399999999999999</v>
      </c>
      <c r="P688" s="21">
        <v>483</v>
      </c>
      <c r="R688" s="43">
        <v>4</v>
      </c>
      <c r="S688" s="43" t="s">
        <v>1858</v>
      </c>
      <c r="T688" s="43"/>
      <c r="U688" s="43">
        <v>36572</v>
      </c>
      <c r="V688" s="43" t="s">
        <v>1398</v>
      </c>
      <c r="W688" s="43" t="s">
        <v>1725</v>
      </c>
      <c r="X688" s="43" t="s">
        <v>1395</v>
      </c>
      <c r="Y688" s="43" t="s">
        <v>1417</v>
      </c>
      <c r="AA688" s="322">
        <v>36</v>
      </c>
      <c r="AB688" s="322">
        <v>46</v>
      </c>
      <c r="AC688" s="21" t="s">
        <v>139</v>
      </c>
      <c r="AG688" s="21" t="s">
        <v>1328</v>
      </c>
      <c r="AH688" s="21" t="s">
        <v>1533</v>
      </c>
      <c r="AI688" s="138" t="s">
        <v>577</v>
      </c>
      <c r="AJ688" s="21" t="s">
        <v>1588</v>
      </c>
      <c r="AK688" s="141" t="s">
        <v>1613</v>
      </c>
      <c r="AL688" s="21" t="s">
        <v>441</v>
      </c>
      <c r="AM688" s="21" t="s">
        <v>441</v>
      </c>
      <c r="AN688" s="21" t="s">
        <v>177</v>
      </c>
      <c r="AT688" s="21" t="s">
        <v>368</v>
      </c>
      <c r="AU688" s="21" t="s">
        <v>442</v>
      </c>
      <c r="AV688" s="21" t="s">
        <v>502</v>
      </c>
      <c r="AW688" s="21" t="s">
        <v>119</v>
      </c>
      <c r="AX688" s="21">
        <v>4</v>
      </c>
      <c r="AZ688" s="21" t="s">
        <v>335</v>
      </c>
      <c r="BD688" s="54"/>
      <c r="BP688" s="396"/>
      <c r="BQ688" s="396"/>
      <c r="BU688" s="396"/>
      <c r="BV688" s="396"/>
      <c r="BZ688" s="396"/>
      <c r="CA688" s="396"/>
      <c r="CE688" s="549"/>
      <c r="CF688" s="549"/>
      <c r="CG688" s="549"/>
      <c r="CH688" s="549"/>
      <c r="FL688" s="21">
        <v>0.15640000000000001</v>
      </c>
      <c r="FM688" s="21">
        <v>0.1958</v>
      </c>
      <c r="FP688" s="21" t="s">
        <v>444</v>
      </c>
      <c r="GZ688" s="12"/>
      <c r="HD688" s="12"/>
      <c r="JB688" s="21" t="s">
        <v>715</v>
      </c>
    </row>
    <row r="689" spans="1:263" s="21" customFormat="1" x14ac:dyDescent="0.25">
      <c r="A689" s="21">
        <v>30</v>
      </c>
      <c r="B689" s="43" t="s">
        <v>3888</v>
      </c>
      <c r="C689" s="21" t="s">
        <v>437</v>
      </c>
      <c r="D689" s="21" t="s">
        <v>438</v>
      </c>
      <c r="E689" s="21">
        <v>2002</v>
      </c>
      <c r="F689" s="21">
        <v>2000</v>
      </c>
      <c r="G689" s="21" t="s">
        <v>439</v>
      </c>
      <c r="H689" s="21" t="s">
        <v>440</v>
      </c>
      <c r="I689" s="32" t="s">
        <v>2815</v>
      </c>
      <c r="J689" s="21">
        <f t="shared" si="203"/>
        <v>38.533333333333331</v>
      </c>
      <c r="K689" s="21">
        <f t="shared" si="204"/>
        <v>-121.78333333333333</v>
      </c>
      <c r="L689" s="21">
        <v>18.399999999999999</v>
      </c>
      <c r="P689" s="21">
        <v>483</v>
      </c>
      <c r="R689" s="43">
        <v>4</v>
      </c>
      <c r="S689" s="43" t="s">
        <v>1858</v>
      </c>
      <c r="T689" s="43"/>
      <c r="U689" s="43">
        <v>36572</v>
      </c>
      <c r="V689" s="43" t="s">
        <v>1398</v>
      </c>
      <c r="W689" s="43" t="s">
        <v>1725</v>
      </c>
      <c r="X689" s="43" t="s">
        <v>1395</v>
      </c>
      <c r="Y689" s="43" t="s">
        <v>1417</v>
      </c>
      <c r="AA689" s="322">
        <v>36</v>
      </c>
      <c r="AB689" s="322">
        <v>46</v>
      </c>
      <c r="AC689" s="21" t="s">
        <v>139</v>
      </c>
      <c r="AG689" s="21" t="s">
        <v>1328</v>
      </c>
      <c r="AH689" s="21" t="s">
        <v>1533</v>
      </c>
      <c r="AI689" s="138" t="s">
        <v>577</v>
      </c>
      <c r="AJ689" s="21" t="s">
        <v>1588</v>
      </c>
      <c r="AK689" s="141" t="s">
        <v>1613</v>
      </c>
      <c r="AL689" s="21" t="s">
        <v>441</v>
      </c>
      <c r="AM689" s="21" t="s">
        <v>441</v>
      </c>
      <c r="AN689" s="21" t="s">
        <v>177</v>
      </c>
      <c r="AT689" s="21" t="s">
        <v>368</v>
      </c>
      <c r="AU689" s="21" t="s">
        <v>443</v>
      </c>
      <c r="AV689" s="21" t="s">
        <v>502</v>
      </c>
      <c r="AW689" s="21" t="s">
        <v>119</v>
      </c>
      <c r="AX689" s="21">
        <v>4</v>
      </c>
      <c r="AZ689" s="21" t="s">
        <v>335</v>
      </c>
      <c r="BD689" s="54"/>
      <c r="BP689" s="396"/>
      <c r="BQ689" s="396"/>
      <c r="BU689" s="396"/>
      <c r="BV689" s="396"/>
      <c r="BZ689" s="396"/>
      <c r="CA689" s="396"/>
      <c r="CE689" s="549"/>
      <c r="CF689" s="549"/>
      <c r="CG689" s="549"/>
      <c r="CH689" s="549"/>
      <c r="FL689" s="21">
        <v>0.15640000000000001</v>
      </c>
      <c r="FM689" s="21">
        <v>0.1958</v>
      </c>
      <c r="FP689" s="21" t="s">
        <v>444</v>
      </c>
      <c r="GZ689" s="12"/>
      <c r="HD689" s="12"/>
      <c r="JB689" s="21" t="s">
        <v>715</v>
      </c>
    </row>
    <row r="690" spans="1:263" s="21" customFormat="1" x14ac:dyDescent="0.25">
      <c r="A690" s="21">
        <v>30</v>
      </c>
      <c r="B690" s="43" t="s">
        <v>3888</v>
      </c>
      <c r="C690" s="21" t="s">
        <v>437</v>
      </c>
      <c r="D690" s="21" t="s">
        <v>438</v>
      </c>
      <c r="E690" s="21">
        <v>2002</v>
      </c>
      <c r="F690" s="21">
        <v>2000</v>
      </c>
      <c r="G690" s="21" t="s">
        <v>439</v>
      </c>
      <c r="H690" s="21" t="s">
        <v>440</v>
      </c>
      <c r="I690" s="32" t="s">
        <v>2815</v>
      </c>
      <c r="J690" s="21">
        <f t="shared" si="203"/>
        <v>38.533333333333331</v>
      </c>
      <c r="K690" s="21">
        <f t="shared" si="204"/>
        <v>-121.78333333333333</v>
      </c>
      <c r="L690" s="21">
        <v>18.399999999999999</v>
      </c>
      <c r="P690" s="21">
        <v>483</v>
      </c>
      <c r="R690" s="43">
        <v>4</v>
      </c>
      <c r="S690" s="43" t="s">
        <v>1858</v>
      </c>
      <c r="T690" s="43"/>
      <c r="U690" s="43">
        <v>36582</v>
      </c>
      <c r="V690" s="43" t="s">
        <v>1398</v>
      </c>
      <c r="W690" s="43" t="s">
        <v>1725</v>
      </c>
      <c r="X690" s="43" t="s">
        <v>1395</v>
      </c>
      <c r="Y690" s="43" t="s">
        <v>1417</v>
      </c>
      <c r="AA690" s="322">
        <v>36</v>
      </c>
      <c r="AB690" s="322">
        <v>46</v>
      </c>
      <c r="AC690" s="21" t="s">
        <v>139</v>
      </c>
      <c r="AG690" s="21" t="s">
        <v>1328</v>
      </c>
      <c r="AH690" s="21" t="s">
        <v>1533</v>
      </c>
      <c r="AI690" s="138" t="s">
        <v>577</v>
      </c>
      <c r="AJ690" s="21" t="s">
        <v>1588</v>
      </c>
      <c r="AK690" s="141" t="s">
        <v>1613</v>
      </c>
      <c r="AL690" s="21" t="s">
        <v>441</v>
      </c>
      <c r="AM690" s="21" t="s">
        <v>441</v>
      </c>
      <c r="AN690" s="21" t="s">
        <v>177</v>
      </c>
      <c r="AT690" s="21" t="s">
        <v>368</v>
      </c>
      <c r="AU690" s="21" t="s">
        <v>442</v>
      </c>
      <c r="AV690" s="21" t="s">
        <v>502</v>
      </c>
      <c r="AW690" s="21" t="s">
        <v>119</v>
      </c>
      <c r="AX690" s="21">
        <v>4</v>
      </c>
      <c r="AZ690" s="21" t="s">
        <v>335</v>
      </c>
      <c r="BD690" s="54"/>
      <c r="BP690" s="396"/>
      <c r="BQ690" s="396"/>
      <c r="BU690" s="396"/>
      <c r="BV690" s="396"/>
      <c r="BZ690" s="396"/>
      <c r="CA690" s="396"/>
      <c r="CE690" s="549"/>
      <c r="CF690" s="549"/>
      <c r="CG690" s="549"/>
      <c r="CH690" s="549"/>
      <c r="FL690" s="21">
        <v>0.17100000000000001</v>
      </c>
      <c r="FM690" s="21">
        <v>0.20399999999999999</v>
      </c>
      <c r="FP690" s="21" t="s">
        <v>444</v>
      </c>
      <c r="GZ690" s="12"/>
      <c r="HD690" s="12"/>
      <c r="JB690" s="21" t="s">
        <v>715</v>
      </c>
    </row>
    <row r="691" spans="1:263" s="21" customFormat="1" x14ac:dyDescent="0.25">
      <c r="A691" s="21">
        <v>30</v>
      </c>
      <c r="B691" s="43" t="s">
        <v>3888</v>
      </c>
      <c r="C691" s="21" t="s">
        <v>437</v>
      </c>
      <c r="D691" s="21" t="s">
        <v>438</v>
      </c>
      <c r="E691" s="21">
        <v>2002</v>
      </c>
      <c r="F691" s="21">
        <v>2000</v>
      </c>
      <c r="G691" s="21" t="s">
        <v>439</v>
      </c>
      <c r="H691" s="21" t="s">
        <v>440</v>
      </c>
      <c r="I691" s="32" t="s">
        <v>2815</v>
      </c>
      <c r="J691" s="21">
        <f t="shared" si="203"/>
        <v>38.533333333333331</v>
      </c>
      <c r="K691" s="21">
        <f t="shared" si="204"/>
        <v>-121.78333333333333</v>
      </c>
      <c r="L691" s="21">
        <v>18.399999999999999</v>
      </c>
      <c r="P691" s="21">
        <v>483</v>
      </c>
      <c r="R691" s="43">
        <v>4</v>
      </c>
      <c r="S691" s="43" t="s">
        <v>1858</v>
      </c>
      <c r="T691" s="43"/>
      <c r="U691" s="43">
        <v>36582</v>
      </c>
      <c r="V691" s="43" t="s">
        <v>1398</v>
      </c>
      <c r="W691" s="43" t="s">
        <v>1725</v>
      </c>
      <c r="X691" s="43" t="s">
        <v>1395</v>
      </c>
      <c r="Y691" s="43" t="s">
        <v>1417</v>
      </c>
      <c r="AA691" s="322">
        <v>36</v>
      </c>
      <c r="AB691" s="322">
        <v>46</v>
      </c>
      <c r="AC691" s="21" t="s">
        <v>139</v>
      </c>
      <c r="AG691" s="21" t="s">
        <v>1328</v>
      </c>
      <c r="AH691" s="21" t="s">
        <v>1533</v>
      </c>
      <c r="AI691" s="138" t="s">
        <v>577</v>
      </c>
      <c r="AJ691" s="21" t="s">
        <v>1588</v>
      </c>
      <c r="AK691" s="141" t="s">
        <v>1613</v>
      </c>
      <c r="AL691" s="21" t="s">
        <v>441</v>
      </c>
      <c r="AM691" s="21" t="s">
        <v>441</v>
      </c>
      <c r="AN691" s="21" t="s">
        <v>177</v>
      </c>
      <c r="AT691" s="21" t="s">
        <v>368</v>
      </c>
      <c r="AU691" s="21" t="s">
        <v>443</v>
      </c>
      <c r="AV691" s="21" t="s">
        <v>502</v>
      </c>
      <c r="AW691" s="21" t="s">
        <v>119</v>
      </c>
      <c r="AX691" s="21">
        <v>4</v>
      </c>
      <c r="AZ691" s="21" t="s">
        <v>335</v>
      </c>
      <c r="BD691" s="54"/>
      <c r="BP691" s="396"/>
      <c r="BQ691" s="396"/>
      <c r="BU691" s="396"/>
      <c r="BV691" s="396"/>
      <c r="BZ691" s="396"/>
      <c r="CA691" s="396"/>
      <c r="CE691" s="549"/>
      <c r="CF691" s="549"/>
      <c r="CG691" s="549"/>
      <c r="CH691" s="549"/>
      <c r="FL691" s="21">
        <v>0.17100000000000001</v>
      </c>
      <c r="FM691" s="21">
        <v>0.20399999999999999</v>
      </c>
      <c r="FP691" s="21" t="s">
        <v>444</v>
      </c>
      <c r="GZ691" s="12"/>
      <c r="HD691" s="12"/>
      <c r="JB691" s="21" t="s">
        <v>715</v>
      </c>
    </row>
    <row r="692" spans="1:263" s="21" customFormat="1" x14ac:dyDescent="0.25">
      <c r="A692" s="21">
        <v>30</v>
      </c>
      <c r="B692" s="43" t="s">
        <v>3888</v>
      </c>
      <c r="C692" s="21" t="s">
        <v>437</v>
      </c>
      <c r="D692" s="21" t="s">
        <v>438</v>
      </c>
      <c r="E692" s="21">
        <v>2002</v>
      </c>
      <c r="F692" s="21">
        <v>2000</v>
      </c>
      <c r="G692" s="21" t="s">
        <v>439</v>
      </c>
      <c r="H692" s="21" t="s">
        <v>440</v>
      </c>
      <c r="I692" s="32" t="s">
        <v>2815</v>
      </c>
      <c r="J692" s="21">
        <f t="shared" si="203"/>
        <v>38.533333333333331</v>
      </c>
      <c r="K692" s="21">
        <f t="shared" si="204"/>
        <v>-121.78333333333333</v>
      </c>
      <c r="L692" s="21">
        <v>18.399999999999999</v>
      </c>
      <c r="P692" s="21">
        <v>483</v>
      </c>
      <c r="R692" s="43">
        <v>4</v>
      </c>
      <c r="S692" s="43" t="s">
        <v>1858</v>
      </c>
      <c r="T692" s="43"/>
      <c r="U692" s="43">
        <v>36587</v>
      </c>
      <c r="V692" s="43" t="s">
        <v>1398</v>
      </c>
      <c r="W692" s="43" t="s">
        <v>1725</v>
      </c>
      <c r="X692" s="43" t="s">
        <v>1395</v>
      </c>
      <c r="Y692" s="43" t="s">
        <v>1417</v>
      </c>
      <c r="AA692" s="322">
        <v>36</v>
      </c>
      <c r="AB692" s="322">
        <v>46</v>
      </c>
      <c r="AC692" s="21" t="s">
        <v>139</v>
      </c>
      <c r="AG692" s="21" t="s">
        <v>1328</v>
      </c>
      <c r="AH692" s="21" t="s">
        <v>1533</v>
      </c>
      <c r="AI692" s="138" t="s">
        <v>577</v>
      </c>
      <c r="AJ692" s="21" t="s">
        <v>1588</v>
      </c>
      <c r="AK692" s="141" t="s">
        <v>1613</v>
      </c>
      <c r="AL692" s="21" t="s">
        <v>441</v>
      </c>
      <c r="AM692" s="21" t="s">
        <v>441</v>
      </c>
      <c r="AN692" s="21" t="s">
        <v>177</v>
      </c>
      <c r="AT692" s="21" t="s">
        <v>368</v>
      </c>
      <c r="AU692" s="21" t="s">
        <v>442</v>
      </c>
      <c r="AV692" s="21" t="s">
        <v>502</v>
      </c>
      <c r="AW692" s="21" t="s">
        <v>119</v>
      </c>
      <c r="AX692" s="21">
        <v>4</v>
      </c>
      <c r="AZ692" s="21" t="s">
        <v>335</v>
      </c>
      <c r="BD692" s="54"/>
      <c r="BP692" s="396"/>
      <c r="BQ692" s="396"/>
      <c r="BU692" s="396"/>
      <c r="BV692" s="396"/>
      <c r="BZ692" s="396"/>
      <c r="CA692" s="396"/>
      <c r="CE692" s="549"/>
      <c r="CF692" s="549"/>
      <c r="CG692" s="549"/>
      <c r="CH692" s="549"/>
      <c r="FL692" s="21">
        <v>0.17660000000000001</v>
      </c>
      <c r="FM692" s="21">
        <v>0.20860000000000001</v>
      </c>
      <c r="FP692" s="21" t="s">
        <v>444</v>
      </c>
      <c r="GZ692" s="12"/>
      <c r="HD692" s="12"/>
      <c r="JB692" s="21" t="s">
        <v>715</v>
      </c>
    </row>
    <row r="693" spans="1:263" s="21" customFormat="1" x14ac:dyDescent="0.25">
      <c r="A693" s="21">
        <v>30</v>
      </c>
      <c r="B693" s="43" t="s">
        <v>3888</v>
      </c>
      <c r="C693" s="21" t="s">
        <v>437</v>
      </c>
      <c r="D693" s="21" t="s">
        <v>438</v>
      </c>
      <c r="E693" s="21">
        <v>2002</v>
      </c>
      <c r="F693" s="21">
        <v>2000</v>
      </c>
      <c r="G693" s="21" t="s">
        <v>439</v>
      </c>
      <c r="H693" s="21" t="s">
        <v>440</v>
      </c>
      <c r="I693" s="32" t="s">
        <v>2815</v>
      </c>
      <c r="J693" s="21">
        <f t="shared" si="203"/>
        <v>38.533333333333331</v>
      </c>
      <c r="K693" s="21">
        <f t="shared" si="204"/>
        <v>-121.78333333333333</v>
      </c>
      <c r="L693" s="21">
        <v>18.399999999999999</v>
      </c>
      <c r="P693" s="21">
        <v>483</v>
      </c>
      <c r="R693" s="43">
        <v>4</v>
      </c>
      <c r="S693" s="43" t="s">
        <v>1858</v>
      </c>
      <c r="T693" s="43"/>
      <c r="U693" s="43">
        <v>36587</v>
      </c>
      <c r="V693" s="43" t="s">
        <v>1398</v>
      </c>
      <c r="W693" s="43" t="s">
        <v>1725</v>
      </c>
      <c r="X693" s="43" t="s">
        <v>1395</v>
      </c>
      <c r="Y693" s="43" t="s">
        <v>1417</v>
      </c>
      <c r="AA693" s="322">
        <v>36</v>
      </c>
      <c r="AB693" s="322">
        <v>46</v>
      </c>
      <c r="AC693" s="21" t="s">
        <v>139</v>
      </c>
      <c r="AG693" s="21" t="s">
        <v>1328</v>
      </c>
      <c r="AH693" s="21" t="s">
        <v>1533</v>
      </c>
      <c r="AI693" s="138" t="s">
        <v>577</v>
      </c>
      <c r="AJ693" s="21" t="s">
        <v>1588</v>
      </c>
      <c r="AK693" s="141" t="s">
        <v>1613</v>
      </c>
      <c r="AL693" s="21" t="s">
        <v>441</v>
      </c>
      <c r="AM693" s="21" t="s">
        <v>441</v>
      </c>
      <c r="AN693" s="21" t="s">
        <v>177</v>
      </c>
      <c r="AT693" s="21" t="s">
        <v>368</v>
      </c>
      <c r="AU693" s="21" t="s">
        <v>443</v>
      </c>
      <c r="AV693" s="21" t="s">
        <v>502</v>
      </c>
      <c r="AW693" s="21" t="s">
        <v>119</v>
      </c>
      <c r="AX693" s="21">
        <v>4</v>
      </c>
      <c r="AZ693" s="21" t="s">
        <v>335</v>
      </c>
      <c r="BD693" s="54"/>
      <c r="BP693" s="396"/>
      <c r="BQ693" s="396"/>
      <c r="BU693" s="396"/>
      <c r="BV693" s="396"/>
      <c r="BZ693" s="396"/>
      <c r="CA693" s="396"/>
      <c r="CE693" s="549"/>
      <c r="CF693" s="549"/>
      <c r="CG693" s="549"/>
      <c r="CH693" s="549"/>
      <c r="FL693" s="21">
        <v>0.17660000000000001</v>
      </c>
      <c r="FM693" s="21">
        <v>0.20860000000000001</v>
      </c>
      <c r="FP693" s="21" t="s">
        <v>444</v>
      </c>
      <c r="GZ693" s="12"/>
      <c r="HD693" s="12"/>
      <c r="JB693" s="21" t="s">
        <v>715</v>
      </c>
    </row>
    <row r="694" spans="1:263" s="21" customFormat="1" x14ac:dyDescent="0.25">
      <c r="A694" s="21">
        <v>30</v>
      </c>
      <c r="B694" s="43" t="s">
        <v>3888</v>
      </c>
      <c r="C694" s="21" t="s">
        <v>437</v>
      </c>
      <c r="D694" s="21" t="s">
        <v>438</v>
      </c>
      <c r="E694" s="21">
        <v>2002</v>
      </c>
      <c r="F694" s="21">
        <v>2000</v>
      </c>
      <c r="G694" s="21" t="s">
        <v>439</v>
      </c>
      <c r="H694" s="21" t="s">
        <v>440</v>
      </c>
      <c r="I694" s="32" t="s">
        <v>2815</v>
      </c>
      <c r="J694" s="21">
        <f t="shared" si="203"/>
        <v>38.533333333333331</v>
      </c>
      <c r="K694" s="21">
        <f t="shared" si="204"/>
        <v>-121.78333333333333</v>
      </c>
      <c r="L694" s="21">
        <v>18.399999999999999</v>
      </c>
      <c r="P694" s="21">
        <v>483</v>
      </c>
      <c r="R694" s="43">
        <v>4</v>
      </c>
      <c r="S694" s="43" t="s">
        <v>1858</v>
      </c>
      <c r="T694" s="43"/>
      <c r="U694" s="43">
        <v>36598</v>
      </c>
      <c r="V694" s="43" t="s">
        <v>1398</v>
      </c>
      <c r="W694" s="43" t="s">
        <v>1725</v>
      </c>
      <c r="X694" s="43" t="s">
        <v>1395</v>
      </c>
      <c r="Y694" s="43" t="s">
        <v>1417</v>
      </c>
      <c r="AA694" s="322">
        <v>36</v>
      </c>
      <c r="AB694" s="322">
        <v>46</v>
      </c>
      <c r="AC694" s="21" t="s">
        <v>139</v>
      </c>
      <c r="AG694" s="21" t="s">
        <v>1328</v>
      </c>
      <c r="AH694" s="21" t="s">
        <v>1533</v>
      </c>
      <c r="AI694" s="138" t="s">
        <v>577</v>
      </c>
      <c r="AJ694" s="21" t="s">
        <v>1588</v>
      </c>
      <c r="AK694" s="141" t="s">
        <v>1613</v>
      </c>
      <c r="AL694" s="21" t="s">
        <v>441</v>
      </c>
      <c r="AM694" s="21" t="s">
        <v>441</v>
      </c>
      <c r="AN694" s="21" t="s">
        <v>177</v>
      </c>
      <c r="AT694" s="21" t="s">
        <v>368</v>
      </c>
      <c r="AU694" s="21" t="s">
        <v>442</v>
      </c>
      <c r="AV694" s="21" t="s">
        <v>502</v>
      </c>
      <c r="AW694" s="21" t="s">
        <v>119</v>
      </c>
      <c r="AX694" s="21">
        <v>4</v>
      </c>
      <c r="AZ694" s="21" t="s">
        <v>335</v>
      </c>
      <c r="BD694" s="54"/>
      <c r="BP694" s="396"/>
      <c r="BQ694" s="396"/>
      <c r="BU694" s="396"/>
      <c r="BV694" s="396"/>
      <c r="BZ694" s="396"/>
      <c r="CA694" s="396"/>
      <c r="CE694" s="549"/>
      <c r="CF694" s="549"/>
      <c r="CG694" s="549"/>
      <c r="CH694" s="549"/>
      <c r="FL694" s="21">
        <v>0.1757</v>
      </c>
      <c r="FM694" s="21">
        <v>0.21790000000000001</v>
      </c>
      <c r="FP694" s="21" t="s">
        <v>444</v>
      </c>
      <c r="GZ694" s="12"/>
      <c r="HD694" s="12"/>
      <c r="JB694" s="21" t="s">
        <v>715</v>
      </c>
    </row>
    <row r="695" spans="1:263" s="21" customFormat="1" x14ac:dyDescent="0.25">
      <c r="A695" s="21">
        <v>30</v>
      </c>
      <c r="B695" s="43" t="s">
        <v>3888</v>
      </c>
      <c r="C695" s="21" t="s">
        <v>437</v>
      </c>
      <c r="D695" s="21" t="s">
        <v>438</v>
      </c>
      <c r="E695" s="21">
        <v>2002</v>
      </c>
      <c r="F695" s="21">
        <v>2000</v>
      </c>
      <c r="G695" s="21" t="s">
        <v>439</v>
      </c>
      <c r="H695" s="21" t="s">
        <v>440</v>
      </c>
      <c r="I695" s="32" t="s">
        <v>2815</v>
      </c>
      <c r="J695" s="21">
        <f t="shared" si="203"/>
        <v>38.533333333333331</v>
      </c>
      <c r="K695" s="21">
        <f t="shared" si="204"/>
        <v>-121.78333333333333</v>
      </c>
      <c r="L695" s="21">
        <v>18.399999999999999</v>
      </c>
      <c r="P695" s="21">
        <v>483</v>
      </c>
      <c r="R695" s="43">
        <v>4</v>
      </c>
      <c r="S695" s="43" t="s">
        <v>1858</v>
      </c>
      <c r="T695" s="43"/>
      <c r="U695" s="43">
        <v>36598</v>
      </c>
      <c r="V695" s="43" t="s">
        <v>1398</v>
      </c>
      <c r="W695" s="43" t="s">
        <v>1725</v>
      </c>
      <c r="X695" s="43" t="s">
        <v>1395</v>
      </c>
      <c r="Y695" s="43" t="s">
        <v>1417</v>
      </c>
      <c r="AA695" s="322">
        <v>36</v>
      </c>
      <c r="AB695" s="322">
        <v>46</v>
      </c>
      <c r="AC695" s="21" t="s">
        <v>139</v>
      </c>
      <c r="AG695" s="21" t="s">
        <v>1328</v>
      </c>
      <c r="AH695" s="21" t="s">
        <v>1533</v>
      </c>
      <c r="AI695" s="138" t="s">
        <v>577</v>
      </c>
      <c r="AJ695" s="21" t="s">
        <v>1588</v>
      </c>
      <c r="AK695" s="141" t="s">
        <v>1613</v>
      </c>
      <c r="AL695" s="21" t="s">
        <v>441</v>
      </c>
      <c r="AM695" s="21" t="s">
        <v>441</v>
      </c>
      <c r="AN695" s="21" t="s">
        <v>177</v>
      </c>
      <c r="AT695" s="21" t="s">
        <v>368</v>
      </c>
      <c r="AU695" s="21" t="s">
        <v>443</v>
      </c>
      <c r="AV695" s="21" t="s">
        <v>502</v>
      </c>
      <c r="AW695" s="21" t="s">
        <v>119</v>
      </c>
      <c r="AX695" s="21">
        <v>4</v>
      </c>
      <c r="AZ695" s="21" t="s">
        <v>335</v>
      </c>
      <c r="BD695" s="54"/>
      <c r="BP695" s="396"/>
      <c r="BQ695" s="396"/>
      <c r="BU695" s="396"/>
      <c r="BV695" s="396"/>
      <c r="BZ695" s="396"/>
      <c r="CA695" s="396"/>
      <c r="CE695" s="549"/>
      <c r="CF695" s="549"/>
      <c r="CG695" s="549"/>
      <c r="CH695" s="549"/>
      <c r="FL695" s="21">
        <v>0.1757</v>
      </c>
      <c r="FM695" s="21">
        <v>0.21060000000000001</v>
      </c>
      <c r="FP695" s="21" t="s">
        <v>444</v>
      </c>
      <c r="GZ695" s="12"/>
      <c r="HD695" s="12"/>
      <c r="JB695" s="21" t="s">
        <v>715</v>
      </c>
    </row>
    <row r="696" spans="1:263" s="24" customFormat="1" x14ac:dyDescent="0.25">
      <c r="A696" s="24">
        <v>31</v>
      </c>
      <c r="B696" s="42" t="s">
        <v>3889</v>
      </c>
      <c r="C696" s="24" t="s">
        <v>447</v>
      </c>
      <c r="D696" s="24" t="s">
        <v>448</v>
      </c>
      <c r="E696" s="24">
        <v>1999</v>
      </c>
      <c r="F696" s="24">
        <v>1997</v>
      </c>
      <c r="G696" s="24" t="s">
        <v>449</v>
      </c>
      <c r="H696" s="24" t="s">
        <v>318</v>
      </c>
      <c r="I696" s="32" t="s">
        <v>2815</v>
      </c>
      <c r="J696" s="24">
        <v>40.716666666666669</v>
      </c>
      <c r="K696" s="24">
        <v>-77.916666666666671</v>
      </c>
      <c r="L696" s="24">
        <v>350</v>
      </c>
      <c r="P696" s="24">
        <v>975</v>
      </c>
      <c r="R696" s="42">
        <v>1</v>
      </c>
      <c r="S696" s="42">
        <v>1</v>
      </c>
      <c r="T696" s="42"/>
      <c r="U696" s="42" t="s">
        <v>452</v>
      </c>
      <c r="V696" s="42" t="s">
        <v>1377</v>
      </c>
      <c r="W696" s="42" t="s">
        <v>1377</v>
      </c>
      <c r="X696" s="42" t="s">
        <v>1377</v>
      </c>
      <c r="Y696" s="42" t="s">
        <v>1377</v>
      </c>
      <c r="AA696" s="321"/>
      <c r="AB696" s="321"/>
      <c r="AC696" s="24" t="s">
        <v>450</v>
      </c>
      <c r="AD696" s="24">
        <v>6.38</v>
      </c>
      <c r="AH696" s="24" t="s">
        <v>1527</v>
      </c>
      <c r="AI696" s="138" t="s">
        <v>1581</v>
      </c>
      <c r="AJ696" s="24" t="s">
        <v>132</v>
      </c>
      <c r="AK696" s="140" t="s">
        <v>132</v>
      </c>
      <c r="AO696" s="24" t="s">
        <v>297</v>
      </c>
      <c r="AP696" s="24" t="s">
        <v>297</v>
      </c>
      <c r="AQ696" s="24" t="s">
        <v>2125</v>
      </c>
      <c r="AR696" s="24" t="s">
        <v>2125</v>
      </c>
      <c r="AS696" s="24" t="s">
        <v>177</v>
      </c>
      <c r="AT696" s="24" t="s">
        <v>457</v>
      </c>
      <c r="AU696" s="24" t="s">
        <v>457</v>
      </c>
      <c r="AW696" s="24" t="s">
        <v>119</v>
      </c>
      <c r="AX696" s="24">
        <v>5</v>
      </c>
      <c r="AZ696" s="24" t="s">
        <v>141</v>
      </c>
      <c r="BD696" s="53" t="s">
        <v>297</v>
      </c>
      <c r="BE696" s="24" t="s">
        <v>456</v>
      </c>
      <c r="BF696" s="24">
        <v>0.44500000000000001</v>
      </c>
      <c r="BG696" s="24">
        <v>0.36470000000000002</v>
      </c>
      <c r="BJ696" s="24" t="s">
        <v>834</v>
      </c>
      <c r="BK696" s="24">
        <f>(29.13*48545)/1000</f>
        <v>1414.1158499999999</v>
      </c>
      <c r="BL696" s="24">
        <f>(28.93*31255)/1000</f>
        <v>904.20715000000007</v>
      </c>
      <c r="BP696" s="395"/>
      <c r="BQ696" s="395"/>
      <c r="BU696" s="395"/>
      <c r="BV696" s="395"/>
      <c r="BZ696" s="395"/>
      <c r="CA696" s="395"/>
      <c r="CE696" s="548"/>
      <c r="CF696" s="548"/>
      <c r="CG696" s="548"/>
      <c r="CH696" s="548"/>
      <c r="DS696" s="24">
        <v>131.69999999999999</v>
      </c>
      <c r="DT696" s="24">
        <v>244.89</v>
      </c>
      <c r="GP696" s="24">
        <v>3.54</v>
      </c>
      <c r="GQ696" s="24">
        <v>18.39</v>
      </c>
      <c r="GT696" s="24" t="s">
        <v>455</v>
      </c>
      <c r="JB696" s="24" t="s">
        <v>464</v>
      </c>
      <c r="JC696" s="24" t="s">
        <v>455</v>
      </c>
    </row>
    <row r="697" spans="1:263" s="24" customFormat="1" x14ac:dyDescent="0.25">
      <c r="A697" s="24">
        <v>31</v>
      </c>
      <c r="B697" s="42" t="s">
        <v>3890</v>
      </c>
      <c r="C697" s="24" t="s">
        <v>447</v>
      </c>
      <c r="D697" s="24" t="s">
        <v>448</v>
      </c>
      <c r="E697" s="24">
        <v>1999</v>
      </c>
      <c r="F697" s="24">
        <v>1997</v>
      </c>
      <c r="G697" s="24" t="s">
        <v>449</v>
      </c>
      <c r="H697" s="24" t="s">
        <v>318</v>
      </c>
      <c r="I697" s="32" t="s">
        <v>2815</v>
      </c>
      <c r="J697" s="24">
        <v>40.716666666666669</v>
      </c>
      <c r="K697" s="24">
        <v>-77.916666666666671</v>
      </c>
      <c r="L697" s="24">
        <v>350</v>
      </c>
      <c r="P697" s="24">
        <v>975</v>
      </c>
      <c r="R697" s="42">
        <v>1</v>
      </c>
      <c r="S697" s="42">
        <v>1</v>
      </c>
      <c r="T697" s="42"/>
      <c r="U697" s="42" t="s">
        <v>452</v>
      </c>
      <c r="V697" s="42" t="s">
        <v>1377</v>
      </c>
      <c r="W697" s="42" t="s">
        <v>1377</v>
      </c>
      <c r="X697" s="42" t="s">
        <v>1377</v>
      </c>
      <c r="Y697" s="42" t="s">
        <v>1377</v>
      </c>
      <c r="AA697" s="321"/>
      <c r="AB697" s="321"/>
      <c r="AC697" s="24" t="s">
        <v>450</v>
      </c>
      <c r="AD697" s="24">
        <v>6.38</v>
      </c>
      <c r="AH697" s="24" t="s">
        <v>451</v>
      </c>
      <c r="AI697" s="138" t="s">
        <v>1584</v>
      </c>
      <c r="AJ697" s="24" t="s">
        <v>132</v>
      </c>
      <c r="AK697" s="140" t="s">
        <v>132</v>
      </c>
      <c r="AO697" s="24" t="s">
        <v>297</v>
      </c>
      <c r="AP697" s="24" t="s">
        <v>297</v>
      </c>
      <c r="AQ697" s="24" t="s">
        <v>2125</v>
      </c>
      <c r="AR697" s="24" t="s">
        <v>2125</v>
      </c>
      <c r="AS697" s="24" t="s">
        <v>177</v>
      </c>
      <c r="AT697" s="24" t="s">
        <v>457</v>
      </c>
      <c r="AU697" s="24" t="s">
        <v>457</v>
      </c>
      <c r="AW697" s="24" t="s">
        <v>119</v>
      </c>
      <c r="AX697" s="24">
        <v>5</v>
      </c>
      <c r="AZ697" s="24" t="s">
        <v>141</v>
      </c>
      <c r="BD697" s="53" t="s">
        <v>297</v>
      </c>
      <c r="BE697" s="24" t="s">
        <v>456</v>
      </c>
      <c r="BF697" s="24">
        <v>0.44500000000000001</v>
      </c>
      <c r="BG697" s="24">
        <v>0.48680000000000001</v>
      </c>
      <c r="BJ697" s="24" t="s">
        <v>834</v>
      </c>
      <c r="BK697" s="24">
        <f>(29.13*48545)/1000</f>
        <v>1414.1158499999999</v>
      </c>
      <c r="BL697" s="24">
        <f>(35.33*45885)/1000</f>
        <v>1621.1170499999998</v>
      </c>
      <c r="BP697" s="395"/>
      <c r="BQ697" s="395"/>
      <c r="BU697" s="395"/>
      <c r="BV697" s="395"/>
      <c r="BZ697" s="395"/>
      <c r="CA697" s="395"/>
      <c r="CE697" s="548"/>
      <c r="CF697" s="548"/>
      <c r="CG697" s="548"/>
      <c r="CH697" s="548"/>
      <c r="DS697" s="24">
        <v>131.69999999999999</v>
      </c>
      <c r="DT697" s="24">
        <v>271.95999999999998</v>
      </c>
      <c r="GP697" s="24">
        <v>3.54</v>
      </c>
      <c r="GQ697" s="24">
        <v>16.77</v>
      </c>
      <c r="GT697" s="24" t="s">
        <v>455</v>
      </c>
      <c r="JB697" s="24" t="s">
        <v>464</v>
      </c>
      <c r="JC697" s="24" t="s">
        <v>455</v>
      </c>
    </row>
    <row r="698" spans="1:263" s="24" customFormat="1" x14ac:dyDescent="0.25">
      <c r="A698" s="24">
        <v>31</v>
      </c>
      <c r="B698" s="42" t="s">
        <v>3889</v>
      </c>
      <c r="C698" s="24" t="s">
        <v>447</v>
      </c>
      <c r="D698" s="24" t="s">
        <v>448</v>
      </c>
      <c r="E698" s="24">
        <v>1999</v>
      </c>
      <c r="F698" s="24">
        <v>1997</v>
      </c>
      <c r="G698" s="24" t="s">
        <v>449</v>
      </c>
      <c r="H698" s="24" t="s">
        <v>318</v>
      </c>
      <c r="I698" s="32" t="s">
        <v>2815</v>
      </c>
      <c r="J698" s="24">
        <v>40.716666666666669</v>
      </c>
      <c r="K698" s="24">
        <v>-77.916666666666671</v>
      </c>
      <c r="L698" s="24">
        <v>350</v>
      </c>
      <c r="P698" s="24">
        <v>975</v>
      </c>
      <c r="R698" s="42">
        <v>1</v>
      </c>
      <c r="S698" s="42">
        <v>1</v>
      </c>
      <c r="T698" s="42"/>
      <c r="U698" s="42" t="s">
        <v>453</v>
      </c>
      <c r="V698" s="42" t="s">
        <v>1377</v>
      </c>
      <c r="W698" s="42" t="s">
        <v>1377</v>
      </c>
      <c r="X698" s="42" t="s">
        <v>1377</v>
      </c>
      <c r="Y698" s="42" t="s">
        <v>1377</v>
      </c>
      <c r="AA698" s="321"/>
      <c r="AB698" s="321"/>
      <c r="AC698" s="24" t="s">
        <v>450</v>
      </c>
      <c r="AD698" s="24">
        <v>6.38</v>
      </c>
      <c r="AH698" s="24" t="s">
        <v>1527</v>
      </c>
      <c r="AI698" s="138" t="s">
        <v>1581</v>
      </c>
      <c r="AJ698" s="24" t="s">
        <v>132</v>
      </c>
      <c r="AK698" s="140" t="s">
        <v>132</v>
      </c>
      <c r="AO698" s="24" t="s">
        <v>297</v>
      </c>
      <c r="AP698" s="24" t="s">
        <v>297</v>
      </c>
      <c r="AQ698" s="24" t="s">
        <v>2125</v>
      </c>
      <c r="AR698" s="24" t="s">
        <v>2125</v>
      </c>
      <c r="AS698" s="24" t="s">
        <v>177</v>
      </c>
      <c r="AT698" s="24" t="s">
        <v>457</v>
      </c>
      <c r="AU698" s="24" t="s">
        <v>457</v>
      </c>
      <c r="AW698" s="24" t="s">
        <v>119</v>
      </c>
      <c r="AX698" s="24">
        <v>5</v>
      </c>
      <c r="AZ698" s="24" t="s">
        <v>141</v>
      </c>
      <c r="BD698" s="53" t="s">
        <v>297</v>
      </c>
      <c r="BE698" s="24" t="s">
        <v>456</v>
      </c>
      <c r="BF698" s="24">
        <v>2.3849999999999998</v>
      </c>
      <c r="BG698" s="24">
        <v>2.7770000000000001</v>
      </c>
      <c r="BJ698" s="24" t="s">
        <v>834</v>
      </c>
      <c r="BP698" s="395"/>
      <c r="BQ698" s="395"/>
      <c r="BU698" s="395"/>
      <c r="BV698" s="395"/>
      <c r="BZ698" s="395"/>
      <c r="CA698" s="395"/>
      <c r="CE698" s="548"/>
      <c r="CF698" s="548"/>
      <c r="CG698" s="548"/>
      <c r="CH698" s="548"/>
      <c r="GP698" s="24">
        <v>16.531400000000001</v>
      </c>
      <c r="GQ698" s="24">
        <v>26.787500000000001</v>
      </c>
      <c r="GT698" s="24" t="s">
        <v>455</v>
      </c>
      <c r="JB698" s="24" t="s">
        <v>464</v>
      </c>
      <c r="JC698" s="24" t="s">
        <v>455</v>
      </c>
    </row>
    <row r="699" spans="1:263" s="24" customFormat="1" x14ac:dyDescent="0.25">
      <c r="A699" s="24">
        <v>31</v>
      </c>
      <c r="B699" s="42" t="s">
        <v>3890</v>
      </c>
      <c r="C699" s="24" t="s">
        <v>447</v>
      </c>
      <c r="D699" s="24" t="s">
        <v>448</v>
      </c>
      <c r="E699" s="24">
        <v>1999</v>
      </c>
      <c r="F699" s="24">
        <v>1997</v>
      </c>
      <c r="G699" s="24" t="s">
        <v>449</v>
      </c>
      <c r="H699" s="24" t="s">
        <v>318</v>
      </c>
      <c r="I699" s="32" t="s">
        <v>2815</v>
      </c>
      <c r="J699" s="24">
        <v>40.716666666666669</v>
      </c>
      <c r="K699" s="24">
        <v>-77.916666666666671</v>
      </c>
      <c r="L699" s="24">
        <v>350</v>
      </c>
      <c r="P699" s="24">
        <v>975</v>
      </c>
      <c r="R699" s="42">
        <v>1</v>
      </c>
      <c r="S699" s="42">
        <v>1</v>
      </c>
      <c r="T699" s="42"/>
      <c r="U699" s="42" t="s">
        <v>453</v>
      </c>
      <c r="V699" s="42" t="s">
        <v>1377</v>
      </c>
      <c r="W699" s="42" t="s">
        <v>1377</v>
      </c>
      <c r="X699" s="42" t="s">
        <v>1377</v>
      </c>
      <c r="Y699" s="42" t="s">
        <v>1377</v>
      </c>
      <c r="AA699" s="321"/>
      <c r="AB699" s="321"/>
      <c r="AC699" s="24" t="s">
        <v>450</v>
      </c>
      <c r="AD699" s="24">
        <v>6.38</v>
      </c>
      <c r="AH699" s="24" t="s">
        <v>451</v>
      </c>
      <c r="AI699" s="138" t="s">
        <v>1584</v>
      </c>
      <c r="AJ699" s="24" t="s">
        <v>132</v>
      </c>
      <c r="AK699" s="140" t="s">
        <v>132</v>
      </c>
      <c r="AO699" s="24" t="s">
        <v>297</v>
      </c>
      <c r="AP699" s="24" t="s">
        <v>297</v>
      </c>
      <c r="AQ699" s="24" t="s">
        <v>2125</v>
      </c>
      <c r="AR699" s="24" t="s">
        <v>2125</v>
      </c>
      <c r="AS699" s="24" t="s">
        <v>177</v>
      </c>
      <c r="AT699" s="24" t="s">
        <v>457</v>
      </c>
      <c r="AU699" s="24" t="s">
        <v>457</v>
      </c>
      <c r="AW699" s="24" t="s">
        <v>119</v>
      </c>
      <c r="AX699" s="24">
        <v>5</v>
      </c>
      <c r="AZ699" s="24" t="s">
        <v>141</v>
      </c>
      <c r="BD699" s="53" t="s">
        <v>297</v>
      </c>
      <c r="BE699" s="24" t="s">
        <v>456</v>
      </c>
      <c r="BF699" s="24">
        <v>2.3849999999999998</v>
      </c>
      <c r="BG699" s="24">
        <v>3.3530000000000002</v>
      </c>
      <c r="BJ699" s="24" t="s">
        <v>834</v>
      </c>
      <c r="BP699" s="395"/>
      <c r="BQ699" s="395"/>
      <c r="BU699" s="395"/>
      <c r="BV699" s="395"/>
      <c r="BZ699" s="395"/>
      <c r="CA699" s="395"/>
      <c r="CE699" s="548"/>
      <c r="CF699" s="548"/>
      <c r="CG699" s="548"/>
      <c r="CH699" s="548"/>
      <c r="GP699" s="24">
        <v>16.531400000000001</v>
      </c>
      <c r="GQ699" s="24">
        <v>39.47</v>
      </c>
      <c r="GT699" s="24" t="s">
        <v>455</v>
      </c>
      <c r="JB699" s="24" t="s">
        <v>464</v>
      </c>
      <c r="JC699" s="24" t="s">
        <v>455</v>
      </c>
    </row>
    <row r="700" spans="1:263" s="24" customFormat="1" x14ac:dyDescent="0.25">
      <c r="A700" s="24">
        <v>31</v>
      </c>
      <c r="B700" s="42" t="s">
        <v>3889</v>
      </c>
      <c r="C700" s="24" t="s">
        <v>447</v>
      </c>
      <c r="D700" s="24" t="s">
        <v>448</v>
      </c>
      <c r="E700" s="24">
        <v>1999</v>
      </c>
      <c r="F700" s="24">
        <v>1997</v>
      </c>
      <c r="G700" s="24" t="s">
        <v>449</v>
      </c>
      <c r="H700" s="24" t="s">
        <v>318</v>
      </c>
      <c r="I700" s="32" t="s">
        <v>2815</v>
      </c>
      <c r="J700" s="24">
        <v>40.716666666666669</v>
      </c>
      <c r="K700" s="24">
        <v>-77.916666666666671</v>
      </c>
      <c r="L700" s="24">
        <v>350</v>
      </c>
      <c r="P700" s="24">
        <v>975</v>
      </c>
      <c r="R700" s="42">
        <v>1</v>
      </c>
      <c r="S700" s="42">
        <v>1</v>
      </c>
      <c r="T700" s="42"/>
      <c r="U700" s="42" t="s">
        <v>454</v>
      </c>
      <c r="V700" s="42" t="s">
        <v>1377</v>
      </c>
      <c r="W700" s="42" t="s">
        <v>1377</v>
      </c>
      <c r="X700" s="42" t="s">
        <v>1377</v>
      </c>
      <c r="Y700" s="42" t="s">
        <v>1377</v>
      </c>
      <c r="AA700" s="321"/>
      <c r="AB700" s="321"/>
      <c r="AC700" s="24" t="s">
        <v>450</v>
      </c>
      <c r="AD700" s="24">
        <v>6.38</v>
      </c>
      <c r="AH700" s="24" t="s">
        <v>1527</v>
      </c>
      <c r="AI700" s="138" t="s">
        <v>1581</v>
      </c>
      <c r="AJ700" s="24" t="s">
        <v>132</v>
      </c>
      <c r="AK700" s="140" t="s">
        <v>132</v>
      </c>
      <c r="AO700" s="24" t="s">
        <v>297</v>
      </c>
      <c r="AP700" s="24" t="s">
        <v>297</v>
      </c>
      <c r="AQ700" s="24" t="s">
        <v>2125</v>
      </c>
      <c r="AR700" s="24" t="s">
        <v>2125</v>
      </c>
      <c r="AS700" s="24" t="s">
        <v>177</v>
      </c>
      <c r="AT700" s="24" t="s">
        <v>457</v>
      </c>
      <c r="AU700" s="24" t="s">
        <v>457</v>
      </c>
      <c r="AW700" s="24" t="s">
        <v>119</v>
      </c>
      <c r="AX700" s="24">
        <v>5</v>
      </c>
      <c r="AZ700" s="24" t="s">
        <v>141</v>
      </c>
      <c r="BD700" s="53" t="s">
        <v>297</v>
      </c>
      <c r="BP700" s="395"/>
      <c r="BQ700" s="395"/>
      <c r="BU700" s="395"/>
      <c r="BV700" s="395"/>
      <c r="BZ700" s="395"/>
      <c r="CA700" s="395"/>
      <c r="CE700" s="548"/>
      <c r="CF700" s="548"/>
      <c r="CG700" s="548"/>
      <c r="CH700" s="548"/>
      <c r="GP700" s="24">
        <v>45.444699999999997</v>
      </c>
      <c r="GQ700" s="24">
        <v>61.37</v>
      </c>
      <c r="GT700" s="24" t="s">
        <v>455</v>
      </c>
      <c r="JB700" s="24" t="s">
        <v>464</v>
      </c>
      <c r="JC700" s="24" t="s">
        <v>455</v>
      </c>
    </row>
    <row r="701" spans="1:263" s="24" customFormat="1" x14ac:dyDescent="0.25">
      <c r="A701" s="24">
        <v>31</v>
      </c>
      <c r="B701" s="42" t="s">
        <v>3890</v>
      </c>
      <c r="C701" s="24" t="s">
        <v>447</v>
      </c>
      <c r="D701" s="24" t="s">
        <v>448</v>
      </c>
      <c r="E701" s="24">
        <v>1999</v>
      </c>
      <c r="F701" s="24">
        <v>1997</v>
      </c>
      <c r="G701" s="24" t="s">
        <v>449</v>
      </c>
      <c r="H701" s="24" t="s">
        <v>318</v>
      </c>
      <c r="I701" s="32" t="s">
        <v>2815</v>
      </c>
      <c r="J701" s="24">
        <v>40.716666666666669</v>
      </c>
      <c r="K701" s="24">
        <v>-77.916666666666671</v>
      </c>
      <c r="L701" s="24">
        <v>350</v>
      </c>
      <c r="P701" s="24">
        <v>975</v>
      </c>
      <c r="R701" s="42">
        <v>1</v>
      </c>
      <c r="S701" s="42">
        <v>1</v>
      </c>
      <c r="T701" s="42"/>
      <c r="U701" s="42" t="s">
        <v>454</v>
      </c>
      <c r="V701" s="42" t="s">
        <v>1377</v>
      </c>
      <c r="W701" s="42" t="s">
        <v>1377</v>
      </c>
      <c r="X701" s="42" t="s">
        <v>1377</v>
      </c>
      <c r="Y701" s="42" t="s">
        <v>1377</v>
      </c>
      <c r="AA701" s="321"/>
      <c r="AB701" s="321"/>
      <c r="AC701" s="24" t="s">
        <v>450</v>
      </c>
      <c r="AD701" s="24">
        <v>6.38</v>
      </c>
      <c r="AH701" s="24" t="s">
        <v>451</v>
      </c>
      <c r="AI701" s="138" t="s">
        <v>1584</v>
      </c>
      <c r="AJ701" s="24" t="s">
        <v>132</v>
      </c>
      <c r="AK701" s="140" t="s">
        <v>132</v>
      </c>
      <c r="AO701" s="24" t="s">
        <v>297</v>
      </c>
      <c r="AP701" s="24" t="s">
        <v>297</v>
      </c>
      <c r="AQ701" s="24" t="s">
        <v>2125</v>
      </c>
      <c r="AR701" s="24" t="s">
        <v>2125</v>
      </c>
      <c r="AS701" s="24" t="s">
        <v>177</v>
      </c>
      <c r="AT701" s="24" t="s">
        <v>457</v>
      </c>
      <c r="AU701" s="24" t="s">
        <v>457</v>
      </c>
      <c r="AW701" s="24" t="s">
        <v>119</v>
      </c>
      <c r="AX701" s="24">
        <v>5</v>
      </c>
      <c r="AZ701" s="24" t="s">
        <v>141</v>
      </c>
      <c r="BD701" s="53" t="s">
        <v>297</v>
      </c>
      <c r="BP701" s="395"/>
      <c r="BQ701" s="395"/>
      <c r="BU701" s="395"/>
      <c r="BV701" s="395"/>
      <c r="BZ701" s="395"/>
      <c r="CA701" s="395"/>
      <c r="CE701" s="548"/>
      <c r="CF701" s="548"/>
      <c r="CG701" s="548"/>
      <c r="CH701" s="548"/>
      <c r="GP701" s="24">
        <v>45.444699999999997</v>
      </c>
      <c r="GQ701" s="24">
        <v>82.69</v>
      </c>
      <c r="GT701" s="24" t="s">
        <v>455</v>
      </c>
      <c r="JB701" s="24" t="s">
        <v>464</v>
      </c>
      <c r="JC701" s="24" t="s">
        <v>455</v>
      </c>
    </row>
    <row r="702" spans="1:263" s="33" customFormat="1" x14ac:dyDescent="0.25">
      <c r="A702" s="33">
        <v>32</v>
      </c>
      <c r="B702" s="47" t="s">
        <v>3891</v>
      </c>
      <c r="C702" s="33" t="s">
        <v>458</v>
      </c>
      <c r="D702" s="33" t="s">
        <v>459</v>
      </c>
      <c r="E702" s="33">
        <v>2007</v>
      </c>
      <c r="F702" s="33">
        <v>2001</v>
      </c>
      <c r="G702" s="33" t="s">
        <v>418</v>
      </c>
      <c r="H702" s="33" t="s">
        <v>460</v>
      </c>
      <c r="I702" s="32" t="s">
        <v>2815</v>
      </c>
      <c r="J702" s="33">
        <f t="shared" ref="J702:J711" si="205">42.05</f>
        <v>42.05</v>
      </c>
      <c r="K702" s="33">
        <f t="shared" ref="K702:K711" si="206">-93.71</f>
        <v>-93.71</v>
      </c>
      <c r="L702" s="33">
        <v>307.8</v>
      </c>
      <c r="M702" s="33">
        <v>10.1</v>
      </c>
      <c r="N702" s="33">
        <v>9.1999999999999993</v>
      </c>
      <c r="O702" s="33">
        <v>807</v>
      </c>
      <c r="P702" s="33">
        <v>837</v>
      </c>
      <c r="R702" s="47">
        <v>1</v>
      </c>
      <c r="S702" s="47" t="s">
        <v>1734</v>
      </c>
      <c r="T702" s="47"/>
      <c r="U702" s="47" t="s">
        <v>1909</v>
      </c>
      <c r="V702" s="47" t="s">
        <v>1399</v>
      </c>
      <c r="W702" s="47" t="s">
        <v>1726</v>
      </c>
      <c r="X702" s="47" t="s">
        <v>1399</v>
      </c>
      <c r="Y702" s="47" t="s">
        <v>1417</v>
      </c>
      <c r="Z702" s="33">
        <v>1.25</v>
      </c>
      <c r="AA702" s="327"/>
      <c r="AB702" s="327"/>
      <c r="AC702" s="33" t="s">
        <v>139</v>
      </c>
      <c r="AG702" s="33" t="s">
        <v>1329</v>
      </c>
      <c r="AH702" s="33" t="s">
        <v>463</v>
      </c>
      <c r="AI702" s="138" t="s">
        <v>1581</v>
      </c>
      <c r="AJ702" s="33" t="s">
        <v>158</v>
      </c>
      <c r="AK702" s="141" t="s">
        <v>1611</v>
      </c>
      <c r="AL702" s="33" t="s">
        <v>461</v>
      </c>
      <c r="AM702" s="33" t="s">
        <v>461</v>
      </c>
      <c r="AN702" s="33" t="s">
        <v>177</v>
      </c>
      <c r="AO702" s="33" t="s">
        <v>462</v>
      </c>
      <c r="AP702" s="33" t="s">
        <v>462</v>
      </c>
      <c r="AQ702" s="33" t="s">
        <v>2126</v>
      </c>
      <c r="AR702" s="33" t="s">
        <v>2126</v>
      </c>
      <c r="AS702" s="33" t="s">
        <v>177</v>
      </c>
      <c r="AW702" s="33" t="s">
        <v>119</v>
      </c>
      <c r="AX702" s="33">
        <v>4</v>
      </c>
      <c r="AZ702" s="33" t="s">
        <v>141</v>
      </c>
      <c r="BD702" s="54"/>
      <c r="BP702" s="402"/>
      <c r="BQ702" s="402"/>
      <c r="BU702" s="402"/>
      <c r="BV702" s="402"/>
      <c r="BZ702" s="402"/>
      <c r="CA702" s="402"/>
      <c r="CE702" s="555"/>
      <c r="CF702" s="555"/>
      <c r="CG702" s="555"/>
      <c r="CH702" s="555"/>
      <c r="CJ702" s="33">
        <f>27.6*0.067</f>
        <v>1.8492000000000002</v>
      </c>
      <c r="CK702" s="33">
        <f>27.8*0.067</f>
        <v>1.8626000000000003</v>
      </c>
      <c r="CN702" s="33" t="s">
        <v>465</v>
      </c>
      <c r="GZ702" s="12"/>
      <c r="HD702" s="12"/>
    </row>
    <row r="703" spans="1:263" s="33" customFormat="1" x14ac:dyDescent="0.25">
      <c r="A703" s="33">
        <v>32</v>
      </c>
      <c r="B703" s="47" t="s">
        <v>3892</v>
      </c>
      <c r="C703" s="33" t="s">
        <v>458</v>
      </c>
      <c r="D703" s="33" t="s">
        <v>459</v>
      </c>
      <c r="E703" s="33">
        <v>2007</v>
      </c>
      <c r="F703" s="33">
        <v>2001</v>
      </c>
      <c r="G703" s="33" t="s">
        <v>418</v>
      </c>
      <c r="H703" s="33" t="s">
        <v>460</v>
      </c>
      <c r="I703" s="32" t="s">
        <v>2815</v>
      </c>
      <c r="J703" s="33">
        <f t="shared" si="205"/>
        <v>42.05</v>
      </c>
      <c r="K703" s="33">
        <f t="shared" si="206"/>
        <v>-93.71</v>
      </c>
      <c r="L703" s="33">
        <v>307.8</v>
      </c>
      <c r="M703" s="33">
        <v>10.1</v>
      </c>
      <c r="N703" s="33">
        <v>9.1999999999999993</v>
      </c>
      <c r="O703" s="33">
        <v>807</v>
      </c>
      <c r="P703" s="33">
        <v>837</v>
      </c>
      <c r="R703" s="47">
        <v>1</v>
      </c>
      <c r="S703" s="47" t="s">
        <v>1734</v>
      </c>
      <c r="T703" s="47"/>
      <c r="U703" s="47" t="s">
        <v>1909</v>
      </c>
      <c r="V703" s="47" t="s">
        <v>1399</v>
      </c>
      <c r="W703" s="47" t="s">
        <v>1726</v>
      </c>
      <c r="X703" s="47" t="s">
        <v>1399</v>
      </c>
      <c r="Y703" s="47" t="s">
        <v>1417</v>
      </c>
      <c r="Z703" s="33">
        <v>1.25</v>
      </c>
      <c r="AA703" s="327"/>
      <c r="AB703" s="327"/>
      <c r="AC703" s="33" t="s">
        <v>139</v>
      </c>
      <c r="AG703" s="33" t="s">
        <v>1329</v>
      </c>
      <c r="AH703" s="33" t="s">
        <v>131</v>
      </c>
      <c r="AI703" s="138" t="s">
        <v>131</v>
      </c>
      <c r="AJ703" s="33" t="s">
        <v>132</v>
      </c>
      <c r="AK703" s="141" t="s">
        <v>1611</v>
      </c>
      <c r="AL703" s="33" t="s">
        <v>461</v>
      </c>
      <c r="AM703" s="33" t="s">
        <v>461</v>
      </c>
      <c r="AN703" s="33" t="s">
        <v>177</v>
      </c>
      <c r="AO703" s="33" t="s">
        <v>462</v>
      </c>
      <c r="AP703" s="33" t="s">
        <v>462</v>
      </c>
      <c r="AQ703" s="33" t="s">
        <v>2126</v>
      </c>
      <c r="AR703" s="33" t="s">
        <v>2126</v>
      </c>
      <c r="AS703" s="33" t="s">
        <v>177</v>
      </c>
      <c r="AW703" s="33" t="s">
        <v>119</v>
      </c>
      <c r="AX703" s="33">
        <v>4</v>
      </c>
      <c r="AZ703" s="33" t="s">
        <v>141</v>
      </c>
      <c r="BD703" s="54"/>
      <c r="BP703" s="402"/>
      <c r="BQ703" s="402"/>
      <c r="BU703" s="402"/>
      <c r="BV703" s="402"/>
      <c r="BZ703" s="402"/>
      <c r="CA703" s="402"/>
      <c r="CE703" s="555"/>
      <c r="CF703" s="555"/>
      <c r="CG703" s="555"/>
      <c r="CH703" s="555"/>
      <c r="CJ703" s="33">
        <f>27.6*0.067</f>
        <v>1.8492000000000002</v>
      </c>
      <c r="CK703" s="33">
        <f>13.7*0.067</f>
        <v>0.91790000000000005</v>
      </c>
      <c r="CN703" s="33" t="s">
        <v>465</v>
      </c>
      <c r="GZ703" s="12"/>
      <c r="HD703" s="12"/>
    </row>
    <row r="704" spans="1:263" s="33" customFormat="1" x14ac:dyDescent="0.25">
      <c r="A704" s="33">
        <v>32</v>
      </c>
      <c r="B704" s="47" t="s">
        <v>3891</v>
      </c>
      <c r="C704" s="33" t="s">
        <v>458</v>
      </c>
      <c r="D704" s="33" t="s">
        <v>459</v>
      </c>
      <c r="E704" s="33">
        <v>2007</v>
      </c>
      <c r="F704" s="33">
        <v>2002</v>
      </c>
      <c r="G704" s="33" t="s">
        <v>418</v>
      </c>
      <c r="H704" s="33" t="s">
        <v>460</v>
      </c>
      <c r="I704" s="32" t="s">
        <v>2815</v>
      </c>
      <c r="J704" s="33">
        <f t="shared" si="205"/>
        <v>42.05</v>
      </c>
      <c r="K704" s="33">
        <f t="shared" si="206"/>
        <v>-93.71</v>
      </c>
      <c r="L704" s="33">
        <v>307.8</v>
      </c>
      <c r="M704" s="33">
        <v>10.199999999999999</v>
      </c>
      <c r="N704" s="33">
        <v>9.1999999999999993</v>
      </c>
      <c r="O704" s="33">
        <v>831</v>
      </c>
      <c r="P704" s="33">
        <v>837</v>
      </c>
      <c r="R704" s="47">
        <v>2</v>
      </c>
      <c r="S704" s="47" t="s">
        <v>1734</v>
      </c>
      <c r="T704" s="47"/>
      <c r="U704" s="47" t="s">
        <v>1909</v>
      </c>
      <c r="V704" s="47" t="s">
        <v>1399</v>
      </c>
      <c r="W704" s="47" t="s">
        <v>1726</v>
      </c>
      <c r="X704" s="47" t="s">
        <v>1399</v>
      </c>
      <c r="Y704" s="47" t="s">
        <v>1417</v>
      </c>
      <c r="Z704" s="33">
        <v>1.25</v>
      </c>
      <c r="AA704" s="327"/>
      <c r="AB704" s="327"/>
      <c r="AC704" s="33" t="s">
        <v>139</v>
      </c>
      <c r="AG704" s="33" t="s">
        <v>1329</v>
      </c>
      <c r="AH704" s="33" t="s">
        <v>463</v>
      </c>
      <c r="AI704" s="138" t="s">
        <v>1581</v>
      </c>
      <c r="AJ704" s="33" t="s">
        <v>158</v>
      </c>
      <c r="AK704" s="141" t="s">
        <v>1611</v>
      </c>
      <c r="AL704" s="33" t="s">
        <v>461</v>
      </c>
      <c r="AM704" s="33" t="s">
        <v>461</v>
      </c>
      <c r="AN704" s="33" t="s">
        <v>177</v>
      </c>
      <c r="AO704" s="33" t="s">
        <v>462</v>
      </c>
      <c r="AP704" s="33" t="s">
        <v>462</v>
      </c>
      <c r="AQ704" s="33" t="s">
        <v>2126</v>
      </c>
      <c r="AR704" s="33" t="s">
        <v>2126</v>
      </c>
      <c r="AS704" s="33" t="s">
        <v>177</v>
      </c>
      <c r="AW704" s="33" t="s">
        <v>119</v>
      </c>
      <c r="AX704" s="33">
        <v>4</v>
      </c>
      <c r="AZ704" s="33" t="s">
        <v>141</v>
      </c>
      <c r="BD704" s="54"/>
      <c r="BK704" s="33">
        <f>12.4*1000</f>
        <v>12400</v>
      </c>
      <c r="BL704" s="33">
        <f>12.1*1000</f>
        <v>12100</v>
      </c>
      <c r="BP704" s="402"/>
      <c r="BQ704" s="402"/>
      <c r="BU704" s="402"/>
      <c r="BV704" s="402"/>
      <c r="BZ704" s="402"/>
      <c r="CA704" s="402"/>
      <c r="CE704" s="555"/>
      <c r="CF704" s="555"/>
      <c r="CG704" s="555"/>
      <c r="CH704" s="555"/>
      <c r="CJ704" s="33">
        <f>61.7*0.067</f>
        <v>4.1339000000000006</v>
      </c>
      <c r="CK704" s="33">
        <f>49.3*0.067</f>
        <v>3.3031000000000001</v>
      </c>
      <c r="CN704" s="33" t="s">
        <v>465</v>
      </c>
      <c r="FB704" s="33">
        <v>19.100000000000001</v>
      </c>
      <c r="FC704" s="33">
        <v>23.4</v>
      </c>
      <c r="FF704" s="33" t="s">
        <v>466</v>
      </c>
      <c r="GZ704" s="12"/>
      <c r="HD704" s="12"/>
    </row>
    <row r="705" spans="1:212" s="33" customFormat="1" x14ac:dyDescent="0.25">
      <c r="A705" s="33">
        <v>32</v>
      </c>
      <c r="B705" s="47" t="s">
        <v>3892</v>
      </c>
      <c r="C705" s="33" t="s">
        <v>458</v>
      </c>
      <c r="D705" s="33" t="s">
        <v>459</v>
      </c>
      <c r="E705" s="33">
        <v>2007</v>
      </c>
      <c r="F705" s="33">
        <v>2002</v>
      </c>
      <c r="G705" s="33" t="s">
        <v>418</v>
      </c>
      <c r="H705" s="33" t="s">
        <v>460</v>
      </c>
      <c r="I705" s="32" t="s">
        <v>2815</v>
      </c>
      <c r="J705" s="33">
        <f t="shared" si="205"/>
        <v>42.05</v>
      </c>
      <c r="K705" s="33">
        <f t="shared" si="206"/>
        <v>-93.71</v>
      </c>
      <c r="L705" s="33">
        <v>307.8</v>
      </c>
      <c r="M705" s="33">
        <v>10.199999999999999</v>
      </c>
      <c r="N705" s="33">
        <v>9.1999999999999993</v>
      </c>
      <c r="O705" s="33">
        <v>831</v>
      </c>
      <c r="P705" s="33">
        <v>837</v>
      </c>
      <c r="R705" s="47">
        <v>2</v>
      </c>
      <c r="S705" s="47" t="s">
        <v>1734</v>
      </c>
      <c r="T705" s="47"/>
      <c r="U705" s="47" t="s">
        <v>1909</v>
      </c>
      <c r="V705" s="47" t="s">
        <v>1399</v>
      </c>
      <c r="W705" s="47" t="s">
        <v>1726</v>
      </c>
      <c r="X705" s="47" t="s">
        <v>1399</v>
      </c>
      <c r="Y705" s="47" t="s">
        <v>1417</v>
      </c>
      <c r="Z705" s="33">
        <v>1.25</v>
      </c>
      <c r="AA705" s="327"/>
      <c r="AB705" s="327"/>
      <c r="AC705" s="33" t="s">
        <v>139</v>
      </c>
      <c r="AG705" s="33" t="s">
        <v>1329</v>
      </c>
      <c r="AH705" s="33" t="s">
        <v>131</v>
      </c>
      <c r="AI705" s="138" t="s">
        <v>131</v>
      </c>
      <c r="AJ705" s="33" t="s">
        <v>132</v>
      </c>
      <c r="AK705" s="141" t="s">
        <v>1611</v>
      </c>
      <c r="AL705" s="33" t="s">
        <v>461</v>
      </c>
      <c r="AM705" s="33" t="s">
        <v>461</v>
      </c>
      <c r="AN705" s="33" t="s">
        <v>177</v>
      </c>
      <c r="AO705" s="33" t="s">
        <v>462</v>
      </c>
      <c r="AP705" s="33" t="s">
        <v>462</v>
      </c>
      <c r="AQ705" s="33" t="s">
        <v>2126</v>
      </c>
      <c r="AR705" s="33" t="s">
        <v>2126</v>
      </c>
      <c r="AS705" s="33" t="s">
        <v>177</v>
      </c>
      <c r="AW705" s="33" t="s">
        <v>119</v>
      </c>
      <c r="AX705" s="33">
        <v>4</v>
      </c>
      <c r="AZ705" s="33" t="s">
        <v>141</v>
      </c>
      <c r="BB705" s="33">
        <f>2.43*1000</f>
        <v>2430</v>
      </c>
      <c r="BC705" s="33">
        <f>BB705/55.88</f>
        <v>43.486041517537579</v>
      </c>
      <c r="BD705" s="54"/>
      <c r="BK705" s="33">
        <f>12.4*1000</f>
        <v>12400</v>
      </c>
      <c r="BL705" s="33">
        <f>11.2*1000</f>
        <v>11200</v>
      </c>
      <c r="BP705" s="402"/>
      <c r="BQ705" s="402"/>
      <c r="BU705" s="402"/>
      <c r="BV705" s="402"/>
      <c r="BZ705" s="402"/>
      <c r="CA705" s="402"/>
      <c r="CE705" s="555"/>
      <c r="CF705" s="555"/>
      <c r="CG705" s="555"/>
      <c r="CH705" s="555"/>
      <c r="CJ705" s="33">
        <f>61.7*0.067</f>
        <v>4.1339000000000006</v>
      </c>
      <c r="CK705" s="33">
        <f>26.5*0.067</f>
        <v>1.7755000000000001</v>
      </c>
      <c r="CN705" s="33" t="s">
        <v>465</v>
      </c>
      <c r="FB705" s="33">
        <v>19.100000000000001</v>
      </c>
      <c r="FC705" s="33">
        <v>5.8</v>
      </c>
      <c r="FF705" s="33" t="s">
        <v>466</v>
      </c>
      <c r="GZ705" s="12"/>
      <c r="HD705" s="12"/>
    </row>
    <row r="706" spans="1:212" s="33" customFormat="1" x14ac:dyDescent="0.25">
      <c r="A706" s="33">
        <v>32</v>
      </c>
      <c r="B706" s="47" t="s">
        <v>3891</v>
      </c>
      <c r="C706" s="33" t="s">
        <v>458</v>
      </c>
      <c r="D706" s="33" t="s">
        <v>459</v>
      </c>
      <c r="E706" s="33">
        <v>2007</v>
      </c>
      <c r="F706" s="33">
        <v>2003</v>
      </c>
      <c r="G706" s="33" t="s">
        <v>418</v>
      </c>
      <c r="H706" s="33" t="s">
        <v>460</v>
      </c>
      <c r="I706" s="32" t="s">
        <v>2815</v>
      </c>
      <c r="J706" s="33">
        <f t="shared" si="205"/>
        <v>42.05</v>
      </c>
      <c r="K706" s="33">
        <f t="shared" si="206"/>
        <v>-93.71</v>
      </c>
      <c r="L706" s="33">
        <v>307.8</v>
      </c>
      <c r="M706" s="33">
        <v>9.4</v>
      </c>
      <c r="N706" s="33">
        <v>9.1999999999999993</v>
      </c>
      <c r="O706" s="33">
        <v>891</v>
      </c>
      <c r="P706" s="33">
        <v>837</v>
      </c>
      <c r="R706" s="47">
        <v>3</v>
      </c>
      <c r="S706" s="47" t="s">
        <v>1734</v>
      </c>
      <c r="T706" s="47"/>
      <c r="U706" s="47" t="s">
        <v>1909</v>
      </c>
      <c r="V706" s="47" t="s">
        <v>1399</v>
      </c>
      <c r="W706" s="47" t="s">
        <v>1726</v>
      </c>
      <c r="X706" s="47" t="s">
        <v>1399</v>
      </c>
      <c r="Y706" s="47" t="s">
        <v>1417</v>
      </c>
      <c r="Z706" s="33">
        <v>1.25</v>
      </c>
      <c r="AA706" s="327"/>
      <c r="AB706" s="327"/>
      <c r="AC706" s="33" t="s">
        <v>139</v>
      </c>
      <c r="AG706" s="33" t="s">
        <v>1329</v>
      </c>
      <c r="AH706" s="33" t="s">
        <v>463</v>
      </c>
      <c r="AI706" s="138" t="s">
        <v>1581</v>
      </c>
      <c r="AJ706" s="33" t="s">
        <v>158</v>
      </c>
      <c r="AK706" s="141" t="s">
        <v>1611</v>
      </c>
      <c r="AL706" s="33" t="s">
        <v>461</v>
      </c>
      <c r="AM706" s="33" t="s">
        <v>461</v>
      </c>
      <c r="AN706" s="33" t="s">
        <v>177</v>
      </c>
      <c r="AO706" s="33" t="s">
        <v>462</v>
      </c>
      <c r="AP706" s="33" t="s">
        <v>462</v>
      </c>
      <c r="AQ706" s="33" t="s">
        <v>2126</v>
      </c>
      <c r="AR706" s="33" t="s">
        <v>2126</v>
      </c>
      <c r="AS706" s="33" t="s">
        <v>177</v>
      </c>
      <c r="AW706" s="33" t="s">
        <v>119</v>
      </c>
      <c r="AX706" s="33">
        <v>4</v>
      </c>
      <c r="AZ706" s="33" t="s">
        <v>141</v>
      </c>
      <c r="BB706" s="33">
        <f>1.46*1000</f>
        <v>1460</v>
      </c>
      <c r="BC706" s="33">
        <f>BB706/18.8</f>
        <v>77.659574468085097</v>
      </c>
      <c r="BD706" s="54"/>
      <c r="BK706" s="33">
        <f>2.7*1000</f>
        <v>2700</v>
      </c>
      <c r="BL706" s="33">
        <f>2.4*1000</f>
        <v>2400</v>
      </c>
      <c r="BP706" s="402"/>
      <c r="BQ706" s="402"/>
      <c r="BU706" s="402"/>
      <c r="BV706" s="402"/>
      <c r="BZ706" s="402"/>
      <c r="CA706" s="402"/>
      <c r="CE706" s="555"/>
      <c r="CF706" s="555"/>
      <c r="CG706" s="555"/>
      <c r="CH706" s="555"/>
      <c r="CJ706" s="33">
        <f>52.9*0.067</f>
        <v>3.5443000000000002</v>
      </c>
      <c r="CK706" s="33">
        <f>54.6*0.067</f>
        <v>3.6582000000000003</v>
      </c>
      <c r="CN706" s="33" t="s">
        <v>465</v>
      </c>
      <c r="FB706" s="33">
        <v>24.7</v>
      </c>
      <c r="FC706" s="33">
        <v>24.8</v>
      </c>
      <c r="FF706" s="33" t="s">
        <v>466</v>
      </c>
      <c r="GZ706" s="12"/>
      <c r="HD706" s="12"/>
    </row>
    <row r="707" spans="1:212" s="33" customFormat="1" x14ac:dyDescent="0.25">
      <c r="A707" s="33">
        <v>32</v>
      </c>
      <c r="B707" s="47" t="s">
        <v>3892</v>
      </c>
      <c r="C707" s="33" t="s">
        <v>458</v>
      </c>
      <c r="D707" s="33" t="s">
        <v>459</v>
      </c>
      <c r="E707" s="33">
        <v>2007</v>
      </c>
      <c r="F707" s="33">
        <v>2003</v>
      </c>
      <c r="G707" s="33" t="s">
        <v>418</v>
      </c>
      <c r="H707" s="33" t="s">
        <v>460</v>
      </c>
      <c r="I707" s="32" t="s">
        <v>2815</v>
      </c>
      <c r="J707" s="33">
        <f t="shared" si="205"/>
        <v>42.05</v>
      </c>
      <c r="K707" s="33">
        <f t="shared" si="206"/>
        <v>-93.71</v>
      </c>
      <c r="L707" s="33">
        <v>307.8</v>
      </c>
      <c r="M707" s="33">
        <v>9.4</v>
      </c>
      <c r="N707" s="33">
        <v>9.1999999999999993</v>
      </c>
      <c r="O707" s="33">
        <v>891</v>
      </c>
      <c r="P707" s="33">
        <v>837</v>
      </c>
      <c r="R707" s="47">
        <v>3</v>
      </c>
      <c r="S707" s="47" t="s">
        <v>1734</v>
      </c>
      <c r="T707" s="47"/>
      <c r="U707" s="47" t="s">
        <v>1909</v>
      </c>
      <c r="V707" s="47" t="s">
        <v>1399</v>
      </c>
      <c r="W707" s="47" t="s">
        <v>1726</v>
      </c>
      <c r="X707" s="47" t="s">
        <v>1399</v>
      </c>
      <c r="Y707" s="47" t="s">
        <v>1417</v>
      </c>
      <c r="Z707" s="33">
        <v>1.25</v>
      </c>
      <c r="AA707" s="327"/>
      <c r="AB707" s="327"/>
      <c r="AC707" s="33" t="s">
        <v>139</v>
      </c>
      <c r="AG707" s="33" t="s">
        <v>1329</v>
      </c>
      <c r="AH707" s="33" t="s">
        <v>131</v>
      </c>
      <c r="AI707" s="138" t="s">
        <v>131</v>
      </c>
      <c r="AJ707" s="33" t="s">
        <v>132</v>
      </c>
      <c r="AK707" s="141" t="s">
        <v>1611</v>
      </c>
      <c r="AL707" s="33" t="s">
        <v>461</v>
      </c>
      <c r="AM707" s="33" t="s">
        <v>461</v>
      </c>
      <c r="AN707" s="33" t="s">
        <v>177</v>
      </c>
      <c r="AO707" s="33" t="s">
        <v>462</v>
      </c>
      <c r="AP707" s="33" t="s">
        <v>462</v>
      </c>
      <c r="AQ707" s="33" t="s">
        <v>2126</v>
      </c>
      <c r="AR707" s="33" t="s">
        <v>2126</v>
      </c>
      <c r="AS707" s="33" t="s">
        <v>177</v>
      </c>
      <c r="AW707" s="33" t="s">
        <v>119</v>
      </c>
      <c r="AX707" s="33">
        <v>4</v>
      </c>
      <c r="AZ707" s="33" t="s">
        <v>141</v>
      </c>
      <c r="BB707" s="33">
        <f>0.25*1000</f>
        <v>250</v>
      </c>
      <c r="BC707" s="33">
        <f>BB707/9.3</f>
        <v>26.881720430107524</v>
      </c>
      <c r="BD707" s="54"/>
      <c r="BK707" s="33">
        <f>2.7*1000</f>
        <v>2700</v>
      </c>
      <c r="BL707" s="33">
        <f>2.7*1000</f>
        <v>2700</v>
      </c>
      <c r="BP707" s="402"/>
      <c r="BQ707" s="402"/>
      <c r="BU707" s="402"/>
      <c r="BV707" s="402"/>
      <c r="BZ707" s="402"/>
      <c r="CA707" s="402"/>
      <c r="CE707" s="555"/>
      <c r="CF707" s="555"/>
      <c r="CG707" s="555"/>
      <c r="CH707" s="555"/>
      <c r="CJ707" s="33">
        <f>52.9*0.067</f>
        <v>3.5443000000000002</v>
      </c>
      <c r="CK707" s="33">
        <f>44.2*0.067</f>
        <v>2.9614000000000003</v>
      </c>
      <c r="CN707" s="33" t="s">
        <v>465</v>
      </c>
      <c r="FB707" s="33">
        <v>24.7</v>
      </c>
      <c r="FC707" s="33">
        <v>11.8</v>
      </c>
      <c r="FF707" s="33" t="s">
        <v>466</v>
      </c>
      <c r="GZ707" s="12"/>
      <c r="HD707" s="12"/>
    </row>
    <row r="708" spans="1:212" s="33" customFormat="1" x14ac:dyDescent="0.25">
      <c r="A708" s="33">
        <v>32</v>
      </c>
      <c r="B708" s="47" t="s">
        <v>3891</v>
      </c>
      <c r="C708" s="33" t="s">
        <v>458</v>
      </c>
      <c r="D708" s="33" t="s">
        <v>459</v>
      </c>
      <c r="E708" s="33">
        <v>2007</v>
      </c>
      <c r="F708" s="33">
        <v>2004</v>
      </c>
      <c r="G708" s="33" t="s">
        <v>418</v>
      </c>
      <c r="H708" s="33" t="s">
        <v>460</v>
      </c>
      <c r="I708" s="32" t="s">
        <v>2815</v>
      </c>
      <c r="J708" s="33">
        <f t="shared" si="205"/>
        <v>42.05</v>
      </c>
      <c r="K708" s="33">
        <f t="shared" si="206"/>
        <v>-93.71</v>
      </c>
      <c r="L708" s="33">
        <v>307.8</v>
      </c>
      <c r="M708" s="33">
        <v>9.9</v>
      </c>
      <c r="N708" s="33">
        <v>9.1999999999999993</v>
      </c>
      <c r="O708" s="33">
        <v>865</v>
      </c>
      <c r="P708" s="33">
        <v>837</v>
      </c>
      <c r="R708" s="47">
        <v>4</v>
      </c>
      <c r="S708" s="47" t="s">
        <v>1734</v>
      </c>
      <c r="T708" s="47"/>
      <c r="U708" s="47" t="s">
        <v>1909</v>
      </c>
      <c r="V708" s="47" t="s">
        <v>1399</v>
      </c>
      <c r="W708" s="47" t="s">
        <v>1726</v>
      </c>
      <c r="X708" s="47" t="s">
        <v>1399</v>
      </c>
      <c r="Y708" s="47" t="s">
        <v>1417</v>
      </c>
      <c r="Z708" s="33">
        <v>1.25</v>
      </c>
      <c r="AA708" s="327"/>
      <c r="AB708" s="327"/>
      <c r="AC708" s="33" t="s">
        <v>139</v>
      </c>
      <c r="AG708" s="33" t="s">
        <v>1329</v>
      </c>
      <c r="AH708" s="33" t="s">
        <v>463</v>
      </c>
      <c r="AI708" s="138" t="s">
        <v>1581</v>
      </c>
      <c r="AJ708" s="33" t="s">
        <v>158</v>
      </c>
      <c r="AK708" s="141" t="s">
        <v>1611</v>
      </c>
      <c r="AL708" s="33" t="s">
        <v>461</v>
      </c>
      <c r="AM708" s="33" t="s">
        <v>461</v>
      </c>
      <c r="AN708" s="33" t="s">
        <v>177</v>
      </c>
      <c r="AO708" s="33" t="s">
        <v>462</v>
      </c>
      <c r="AP708" s="33" t="s">
        <v>462</v>
      </c>
      <c r="AQ708" s="33" t="s">
        <v>2126</v>
      </c>
      <c r="AR708" s="33" t="s">
        <v>2126</v>
      </c>
      <c r="AS708" s="33" t="s">
        <v>177</v>
      </c>
      <c r="AW708" s="33" t="s">
        <v>119</v>
      </c>
      <c r="AX708" s="33">
        <v>4</v>
      </c>
      <c r="AZ708" s="33" t="s">
        <v>141</v>
      </c>
      <c r="BB708" s="33">
        <f>2.02*1000</f>
        <v>2020</v>
      </c>
      <c r="BC708" s="33">
        <f>BB708/25.5</f>
        <v>79.215686274509807</v>
      </c>
      <c r="BD708" s="54"/>
      <c r="BK708" s="33">
        <f>13.3*1000</f>
        <v>13300</v>
      </c>
      <c r="BL708" s="33">
        <f>13.1*1000</f>
        <v>13100</v>
      </c>
      <c r="BP708" s="402"/>
      <c r="BQ708" s="402"/>
      <c r="BU708" s="402"/>
      <c r="BV708" s="402"/>
      <c r="BZ708" s="402"/>
      <c r="CA708" s="402"/>
      <c r="CE708" s="555"/>
      <c r="CF708" s="555"/>
      <c r="CG708" s="555"/>
      <c r="CH708" s="555"/>
      <c r="CJ708" s="33">
        <f>94.6*0.067</f>
        <v>6.3381999999999996</v>
      </c>
      <c r="CK708" s="33">
        <f>59.6*0.067</f>
        <v>3.9932000000000003</v>
      </c>
      <c r="CN708" s="33" t="s">
        <v>465</v>
      </c>
      <c r="FB708" s="33">
        <v>19.8</v>
      </c>
      <c r="FC708" s="33">
        <v>17.399999999999999</v>
      </c>
      <c r="FF708" s="33" t="s">
        <v>466</v>
      </c>
      <c r="GZ708" s="12"/>
      <c r="HD708" s="12"/>
    </row>
    <row r="709" spans="1:212" s="33" customFormat="1" x14ac:dyDescent="0.25">
      <c r="A709" s="33">
        <v>32</v>
      </c>
      <c r="B709" s="47" t="s">
        <v>3892</v>
      </c>
      <c r="C709" s="33" t="s">
        <v>458</v>
      </c>
      <c r="D709" s="33" t="s">
        <v>459</v>
      </c>
      <c r="E709" s="33">
        <v>2007</v>
      </c>
      <c r="F709" s="33">
        <v>2004</v>
      </c>
      <c r="G709" s="33" t="s">
        <v>418</v>
      </c>
      <c r="H709" s="33" t="s">
        <v>460</v>
      </c>
      <c r="I709" s="32" t="s">
        <v>2815</v>
      </c>
      <c r="J709" s="33">
        <f t="shared" si="205"/>
        <v>42.05</v>
      </c>
      <c r="K709" s="33">
        <f t="shared" si="206"/>
        <v>-93.71</v>
      </c>
      <c r="L709" s="33">
        <v>307.8</v>
      </c>
      <c r="M709" s="33">
        <v>9.9</v>
      </c>
      <c r="N709" s="33">
        <v>9.1999999999999993</v>
      </c>
      <c r="O709" s="33">
        <v>865</v>
      </c>
      <c r="P709" s="33">
        <v>837</v>
      </c>
      <c r="R709" s="47">
        <v>4</v>
      </c>
      <c r="S709" s="47" t="s">
        <v>1734</v>
      </c>
      <c r="T709" s="47"/>
      <c r="U709" s="47" t="s">
        <v>1909</v>
      </c>
      <c r="V709" s="47" t="s">
        <v>1399</v>
      </c>
      <c r="W709" s="47" t="s">
        <v>1726</v>
      </c>
      <c r="X709" s="47" t="s">
        <v>1399</v>
      </c>
      <c r="Y709" s="47" t="s">
        <v>1417</v>
      </c>
      <c r="Z709" s="33">
        <v>1.25</v>
      </c>
      <c r="AA709" s="327"/>
      <c r="AB709" s="327"/>
      <c r="AC709" s="33" t="s">
        <v>139</v>
      </c>
      <c r="AG709" s="33" t="s">
        <v>1329</v>
      </c>
      <c r="AH709" s="33" t="s">
        <v>131</v>
      </c>
      <c r="AI709" s="138" t="s">
        <v>131</v>
      </c>
      <c r="AJ709" s="33" t="s">
        <v>132</v>
      </c>
      <c r="AK709" s="141" t="s">
        <v>1611</v>
      </c>
      <c r="AL709" s="33" t="s">
        <v>461</v>
      </c>
      <c r="AM709" s="33" t="s">
        <v>461</v>
      </c>
      <c r="AN709" s="33" t="s">
        <v>177</v>
      </c>
      <c r="AO709" s="33" t="s">
        <v>462</v>
      </c>
      <c r="AP709" s="33" t="s">
        <v>462</v>
      </c>
      <c r="AQ709" s="33" t="s">
        <v>2126</v>
      </c>
      <c r="AR709" s="33" t="s">
        <v>2126</v>
      </c>
      <c r="AS709" s="33" t="s">
        <v>177</v>
      </c>
      <c r="AW709" s="33" t="s">
        <v>119</v>
      </c>
      <c r="AX709" s="33">
        <v>4</v>
      </c>
      <c r="AZ709" s="33" t="s">
        <v>141</v>
      </c>
      <c r="BB709" s="33">
        <f>1.48*1000</f>
        <v>1480</v>
      </c>
      <c r="BC709" s="33">
        <f>BB709/48.5</f>
        <v>30.515463917525775</v>
      </c>
      <c r="BD709" s="54"/>
      <c r="BK709" s="33">
        <f>13.3*1000</f>
        <v>13300</v>
      </c>
      <c r="BL709" s="33">
        <f>13.3*1000</f>
        <v>13300</v>
      </c>
      <c r="BP709" s="402"/>
      <c r="BQ709" s="402"/>
      <c r="BU709" s="402"/>
      <c r="BV709" s="402"/>
      <c r="BZ709" s="402"/>
      <c r="CA709" s="402"/>
      <c r="CE709" s="555"/>
      <c r="CF709" s="555"/>
      <c r="CG709" s="555"/>
      <c r="CH709" s="555"/>
      <c r="CJ709" s="33">
        <f>94.6*0.067</f>
        <v>6.3381999999999996</v>
      </c>
      <c r="CK709" s="33">
        <f>70.4*0.067</f>
        <v>4.716800000000001</v>
      </c>
      <c r="CN709" s="33" t="s">
        <v>465</v>
      </c>
      <c r="FB709" s="33">
        <v>19.8</v>
      </c>
      <c r="FC709" s="33">
        <v>9.3000000000000007</v>
      </c>
      <c r="FF709" s="33" t="s">
        <v>466</v>
      </c>
      <c r="GZ709" s="12"/>
      <c r="HD709" s="12"/>
    </row>
    <row r="710" spans="1:212" s="33" customFormat="1" x14ac:dyDescent="0.25">
      <c r="A710" s="33">
        <v>32</v>
      </c>
      <c r="B710" s="47" t="s">
        <v>3891</v>
      </c>
      <c r="C710" s="33" t="s">
        <v>458</v>
      </c>
      <c r="D710" s="33" t="s">
        <v>459</v>
      </c>
      <c r="E710" s="33">
        <v>2007</v>
      </c>
      <c r="F710" s="33">
        <v>2005</v>
      </c>
      <c r="G710" s="33" t="s">
        <v>418</v>
      </c>
      <c r="H710" s="33" t="s">
        <v>460</v>
      </c>
      <c r="I710" s="32" t="s">
        <v>2815</v>
      </c>
      <c r="J710" s="33">
        <f t="shared" si="205"/>
        <v>42.05</v>
      </c>
      <c r="K710" s="33">
        <f t="shared" si="206"/>
        <v>-93.71</v>
      </c>
      <c r="L710" s="33">
        <v>307.8</v>
      </c>
      <c r="M710" s="33">
        <v>10.6</v>
      </c>
      <c r="N710" s="33">
        <v>9.1999999999999993</v>
      </c>
      <c r="O710" s="33">
        <v>893</v>
      </c>
      <c r="P710" s="33">
        <v>837</v>
      </c>
      <c r="R710" s="47">
        <v>5</v>
      </c>
      <c r="S710" s="47" t="s">
        <v>1734</v>
      </c>
      <c r="T710" s="47"/>
      <c r="U710" s="47" t="s">
        <v>1909</v>
      </c>
      <c r="V710" s="47" t="s">
        <v>1399</v>
      </c>
      <c r="W710" s="47" t="s">
        <v>1726</v>
      </c>
      <c r="X710" s="47" t="s">
        <v>1399</v>
      </c>
      <c r="Y710" s="47" t="s">
        <v>1417</v>
      </c>
      <c r="Z710" s="33">
        <v>1.25</v>
      </c>
      <c r="AA710" s="327"/>
      <c r="AB710" s="327"/>
      <c r="AC710" s="33" t="s">
        <v>139</v>
      </c>
      <c r="AG710" s="33" t="s">
        <v>1329</v>
      </c>
      <c r="AH710" s="33" t="s">
        <v>463</v>
      </c>
      <c r="AI710" s="138" t="s">
        <v>1581</v>
      </c>
      <c r="AJ710" s="33" t="s">
        <v>158</v>
      </c>
      <c r="AK710" s="141" t="s">
        <v>1611</v>
      </c>
      <c r="AL710" s="33" t="s">
        <v>461</v>
      </c>
      <c r="AM710" s="33" t="s">
        <v>461</v>
      </c>
      <c r="AN710" s="33" t="s">
        <v>177</v>
      </c>
      <c r="AO710" s="33" t="s">
        <v>462</v>
      </c>
      <c r="AP710" s="33" t="s">
        <v>462</v>
      </c>
      <c r="AQ710" s="33" t="s">
        <v>2126</v>
      </c>
      <c r="AR710" s="33" t="s">
        <v>2126</v>
      </c>
      <c r="AS710" s="33" t="s">
        <v>177</v>
      </c>
      <c r="AW710" s="33" t="s">
        <v>119</v>
      </c>
      <c r="AX710" s="33">
        <v>4</v>
      </c>
      <c r="AZ710" s="33" t="s">
        <v>141</v>
      </c>
      <c r="BB710" s="33">
        <f>1.48*1000</f>
        <v>1480</v>
      </c>
      <c r="BC710" s="33">
        <f>BB710/16</f>
        <v>92.5</v>
      </c>
      <c r="BD710" s="54"/>
      <c r="BK710" s="33">
        <f>4.5*1000</f>
        <v>4500</v>
      </c>
      <c r="BL710" s="33">
        <f>4.2*1000</f>
        <v>4200</v>
      </c>
      <c r="BP710" s="402"/>
      <c r="BQ710" s="402"/>
      <c r="BU710" s="402"/>
      <c r="BV710" s="402"/>
      <c r="BZ710" s="402"/>
      <c r="CA710" s="402"/>
      <c r="CE710" s="555"/>
      <c r="CF710" s="555"/>
      <c r="CG710" s="555"/>
      <c r="CH710" s="555"/>
      <c r="CJ710" s="33">
        <f>65.3*0.067</f>
        <v>4.3750999999999998</v>
      </c>
      <c r="CK710" s="33">
        <f>46.2*0.067</f>
        <v>3.0954000000000006</v>
      </c>
      <c r="CN710" s="33" t="s">
        <v>465</v>
      </c>
      <c r="FB710" s="33">
        <v>21.6</v>
      </c>
      <c r="FC710" s="33">
        <v>17.7</v>
      </c>
      <c r="FF710" s="33" t="s">
        <v>466</v>
      </c>
      <c r="GZ710" s="12"/>
      <c r="HD710" s="12"/>
    </row>
    <row r="711" spans="1:212" s="33" customFormat="1" x14ac:dyDescent="0.25">
      <c r="A711" s="33">
        <v>32</v>
      </c>
      <c r="B711" s="47" t="s">
        <v>3892</v>
      </c>
      <c r="C711" s="33" t="s">
        <v>458</v>
      </c>
      <c r="D711" s="33" t="s">
        <v>459</v>
      </c>
      <c r="E711" s="33">
        <v>2007</v>
      </c>
      <c r="F711" s="33">
        <v>2005</v>
      </c>
      <c r="G711" s="33" t="s">
        <v>418</v>
      </c>
      <c r="H711" s="33" t="s">
        <v>460</v>
      </c>
      <c r="I711" s="32" t="s">
        <v>2815</v>
      </c>
      <c r="J711" s="33">
        <f t="shared" si="205"/>
        <v>42.05</v>
      </c>
      <c r="K711" s="33">
        <f t="shared" si="206"/>
        <v>-93.71</v>
      </c>
      <c r="L711" s="33">
        <v>307.8</v>
      </c>
      <c r="M711" s="33">
        <v>10.6</v>
      </c>
      <c r="N711" s="33">
        <v>9.1999999999999993</v>
      </c>
      <c r="O711" s="33">
        <v>893</v>
      </c>
      <c r="P711" s="33">
        <v>837</v>
      </c>
      <c r="R711" s="47">
        <v>5</v>
      </c>
      <c r="S711" s="47" t="s">
        <v>1734</v>
      </c>
      <c r="T711" s="47"/>
      <c r="U711" s="47" t="s">
        <v>1909</v>
      </c>
      <c r="V711" s="47" t="s">
        <v>1399</v>
      </c>
      <c r="W711" s="47" t="s">
        <v>1726</v>
      </c>
      <c r="X711" s="47" t="s">
        <v>1399</v>
      </c>
      <c r="Y711" s="47" t="s">
        <v>1417</v>
      </c>
      <c r="Z711" s="33">
        <v>1.25</v>
      </c>
      <c r="AA711" s="327"/>
      <c r="AB711" s="327"/>
      <c r="AC711" s="33" t="s">
        <v>139</v>
      </c>
      <c r="AG711" s="33" t="s">
        <v>1329</v>
      </c>
      <c r="AH711" s="33" t="s">
        <v>131</v>
      </c>
      <c r="AI711" s="138" t="s">
        <v>131</v>
      </c>
      <c r="AJ711" s="33" t="s">
        <v>132</v>
      </c>
      <c r="AK711" s="141" t="s">
        <v>1611</v>
      </c>
      <c r="AL711" s="33" t="s">
        <v>461</v>
      </c>
      <c r="AM711" s="33" t="s">
        <v>461</v>
      </c>
      <c r="AN711" s="33" t="s">
        <v>177</v>
      </c>
      <c r="AO711" s="33" t="s">
        <v>462</v>
      </c>
      <c r="AP711" s="33" t="s">
        <v>462</v>
      </c>
      <c r="AQ711" s="33" t="s">
        <v>2126</v>
      </c>
      <c r="AR711" s="33" t="s">
        <v>2126</v>
      </c>
      <c r="AS711" s="33" t="s">
        <v>177</v>
      </c>
      <c r="AW711" s="33" t="s">
        <v>119</v>
      </c>
      <c r="AX711" s="33">
        <v>4</v>
      </c>
      <c r="AZ711" s="33" t="s">
        <v>141</v>
      </c>
      <c r="BB711" s="33">
        <f>2.74*1000</f>
        <v>2740</v>
      </c>
      <c r="BC711" s="33">
        <f>BB711/76.5</f>
        <v>35.816993464052288</v>
      </c>
      <c r="BD711" s="54"/>
      <c r="BK711" s="33">
        <f>4.5*1000</f>
        <v>4500</v>
      </c>
      <c r="BL711" s="33">
        <f>4.2*1000</f>
        <v>4200</v>
      </c>
      <c r="BP711" s="402"/>
      <c r="BQ711" s="402"/>
      <c r="BU711" s="402"/>
      <c r="BV711" s="402"/>
      <c r="BZ711" s="402"/>
      <c r="CA711" s="402"/>
      <c r="CE711" s="555"/>
      <c r="CF711" s="555"/>
      <c r="CG711" s="555"/>
      <c r="CH711" s="555"/>
      <c r="CJ711" s="33">
        <f>65.3*0.067</f>
        <v>4.3750999999999998</v>
      </c>
      <c r="CK711" s="33">
        <f>82.9*0.067</f>
        <v>5.5543000000000005</v>
      </c>
      <c r="CN711" s="33" t="s">
        <v>465</v>
      </c>
      <c r="FB711" s="33">
        <v>21.6</v>
      </c>
      <c r="FC711" s="33">
        <v>8</v>
      </c>
      <c r="FF711" s="33" t="s">
        <v>466</v>
      </c>
      <c r="GZ711" s="12"/>
      <c r="HD711" s="12"/>
    </row>
    <row r="712" spans="1:212" s="34" customFormat="1" x14ac:dyDescent="0.25">
      <c r="A712" s="34">
        <v>33</v>
      </c>
      <c r="B712" s="48" t="s">
        <v>3893</v>
      </c>
      <c r="C712" s="34" t="s">
        <v>467</v>
      </c>
      <c r="D712" s="34" t="s">
        <v>468</v>
      </c>
      <c r="E712" s="34">
        <v>2016</v>
      </c>
      <c r="F712" s="34">
        <v>2011</v>
      </c>
      <c r="G712" s="34" t="s">
        <v>469</v>
      </c>
      <c r="H712" s="34" t="s">
        <v>318</v>
      </c>
      <c r="I712" s="32" t="s">
        <v>2815</v>
      </c>
      <c r="J712" s="34">
        <v>40.72</v>
      </c>
      <c r="K712" s="34">
        <v>-77.92</v>
      </c>
      <c r="L712" s="34">
        <v>350</v>
      </c>
      <c r="R712" s="48">
        <v>1</v>
      </c>
      <c r="S712" s="48" t="s">
        <v>1858</v>
      </c>
      <c r="T712" s="48"/>
      <c r="U712" s="48" t="s">
        <v>1910</v>
      </c>
      <c r="V712" s="48" t="s">
        <v>1377</v>
      </c>
      <c r="W712" s="48" t="s">
        <v>1377</v>
      </c>
      <c r="X712" s="48" t="s">
        <v>1377</v>
      </c>
      <c r="Y712" s="48" t="s">
        <v>1377</v>
      </c>
      <c r="AA712" s="328"/>
      <c r="AB712" s="328"/>
      <c r="AC712" s="34" t="s">
        <v>450</v>
      </c>
      <c r="AG712" s="34" t="s">
        <v>1330</v>
      </c>
      <c r="AH712" s="34" t="s">
        <v>131</v>
      </c>
      <c r="AI712" s="138" t="s">
        <v>131</v>
      </c>
      <c r="AJ712" s="34" t="s">
        <v>158</v>
      </c>
      <c r="AK712" s="140" t="s">
        <v>158</v>
      </c>
      <c r="AO712" s="34" t="s">
        <v>470</v>
      </c>
      <c r="AP712" s="34" t="s">
        <v>470</v>
      </c>
      <c r="AQ712" s="34" t="s">
        <v>2126</v>
      </c>
      <c r="AR712" s="34" t="s">
        <v>2126</v>
      </c>
      <c r="AS712" s="34" t="s">
        <v>177</v>
      </c>
      <c r="AW712" s="34" t="s">
        <v>160</v>
      </c>
      <c r="AX712" s="34">
        <v>4</v>
      </c>
      <c r="AZ712" s="34" t="s">
        <v>335</v>
      </c>
      <c r="BD712" s="53"/>
      <c r="BK712" s="34">
        <f>2.4*1000</f>
        <v>2400</v>
      </c>
      <c r="BL712" s="34">
        <f>2.8*1000</f>
        <v>2800</v>
      </c>
      <c r="BP712" s="404"/>
      <c r="BQ712" s="404"/>
      <c r="BU712" s="404"/>
      <c r="BV712" s="404"/>
      <c r="BZ712" s="404"/>
      <c r="CA712" s="404"/>
      <c r="CE712" s="557"/>
      <c r="CF712" s="557"/>
      <c r="CG712" s="557"/>
      <c r="CH712" s="557"/>
      <c r="FV712" s="34">
        <v>1800</v>
      </c>
      <c r="FW712" s="34">
        <v>1770</v>
      </c>
      <c r="GZ712" s="12"/>
      <c r="HD712" s="12"/>
    </row>
    <row r="713" spans="1:212" s="34" customFormat="1" x14ac:dyDescent="0.25">
      <c r="A713" s="34">
        <v>33</v>
      </c>
      <c r="B713" s="48" t="s">
        <v>3893</v>
      </c>
      <c r="C713" s="34" t="s">
        <v>467</v>
      </c>
      <c r="D713" s="34" t="s">
        <v>468</v>
      </c>
      <c r="E713" s="34">
        <v>2016</v>
      </c>
      <c r="F713" s="34">
        <v>2011</v>
      </c>
      <c r="G713" s="34" t="s">
        <v>469</v>
      </c>
      <c r="H713" s="34" t="s">
        <v>318</v>
      </c>
      <c r="I713" s="32" t="s">
        <v>2815</v>
      </c>
      <c r="J713" s="34">
        <v>40.72</v>
      </c>
      <c r="K713" s="34">
        <v>-77.92</v>
      </c>
      <c r="L713" s="34">
        <v>350</v>
      </c>
      <c r="R713" s="48">
        <v>1</v>
      </c>
      <c r="S713" s="48" t="s">
        <v>1858</v>
      </c>
      <c r="T713" s="48"/>
      <c r="U713" s="48" t="s">
        <v>1911</v>
      </c>
      <c r="V713" s="48" t="s">
        <v>1377</v>
      </c>
      <c r="W713" s="48" t="s">
        <v>1377</v>
      </c>
      <c r="X713" s="48" t="s">
        <v>1377</v>
      </c>
      <c r="Y713" s="48" t="s">
        <v>1377</v>
      </c>
      <c r="AA713" s="328"/>
      <c r="AB713" s="328"/>
      <c r="AC713" s="34" t="s">
        <v>450</v>
      </c>
      <c r="AG713" s="34" t="s">
        <v>1330</v>
      </c>
      <c r="AH713" s="34" t="s">
        <v>131</v>
      </c>
      <c r="AI713" s="138" t="s">
        <v>131</v>
      </c>
      <c r="AJ713" s="34" t="s">
        <v>158</v>
      </c>
      <c r="AK713" s="140" t="s">
        <v>158</v>
      </c>
      <c r="AO713" s="34" t="s">
        <v>470</v>
      </c>
      <c r="AP713" s="34" t="s">
        <v>470</v>
      </c>
      <c r="AQ713" s="34" t="s">
        <v>2126</v>
      </c>
      <c r="AR713" s="34" t="s">
        <v>2126</v>
      </c>
      <c r="AS713" s="34" t="s">
        <v>177</v>
      </c>
      <c r="AW713" s="34" t="s">
        <v>160</v>
      </c>
      <c r="AX713" s="34">
        <v>4</v>
      </c>
      <c r="AZ713" s="34" t="s">
        <v>335</v>
      </c>
      <c r="BD713" s="53"/>
      <c r="BK713" s="34">
        <f>2.8*1000</f>
        <v>2800</v>
      </c>
      <c r="BL713" s="34">
        <f>3.2*1000</f>
        <v>3200</v>
      </c>
      <c r="BP713" s="404"/>
      <c r="BQ713" s="404"/>
      <c r="BU713" s="404"/>
      <c r="BV713" s="404"/>
      <c r="BZ713" s="404"/>
      <c r="CA713" s="404"/>
      <c r="CE713" s="557"/>
      <c r="CF713" s="557"/>
      <c r="CG713" s="557"/>
      <c r="CH713" s="557"/>
      <c r="FV713" s="34">
        <v>340</v>
      </c>
      <c r="FW713" s="34">
        <v>260</v>
      </c>
      <c r="GZ713" s="12"/>
      <c r="HD713" s="12"/>
    </row>
    <row r="714" spans="1:212" s="34" customFormat="1" x14ac:dyDescent="0.25">
      <c r="A714" s="34">
        <v>33</v>
      </c>
      <c r="B714" s="48" t="s">
        <v>3893</v>
      </c>
      <c r="C714" s="34" t="s">
        <v>467</v>
      </c>
      <c r="D714" s="34" t="s">
        <v>468</v>
      </c>
      <c r="E714" s="34">
        <v>2016</v>
      </c>
      <c r="F714" s="34">
        <v>2011</v>
      </c>
      <c r="G714" s="34" t="s">
        <v>469</v>
      </c>
      <c r="H714" s="34" t="s">
        <v>318</v>
      </c>
      <c r="I714" s="32" t="s">
        <v>2815</v>
      </c>
      <c r="J714" s="34">
        <v>40.72</v>
      </c>
      <c r="K714" s="34">
        <v>-77.92</v>
      </c>
      <c r="L714" s="34">
        <v>350</v>
      </c>
      <c r="R714" s="48">
        <v>1</v>
      </c>
      <c r="S714" s="48" t="s">
        <v>1858</v>
      </c>
      <c r="T714" s="48"/>
      <c r="U714" s="48" t="s">
        <v>1912</v>
      </c>
      <c r="V714" s="48" t="s">
        <v>1377</v>
      </c>
      <c r="W714" s="48" t="s">
        <v>1377</v>
      </c>
      <c r="X714" s="48" t="s">
        <v>1377</v>
      </c>
      <c r="Y714" s="48" t="s">
        <v>1377</v>
      </c>
      <c r="AA714" s="328"/>
      <c r="AB714" s="328"/>
      <c r="AC714" s="34" t="s">
        <v>450</v>
      </c>
      <c r="AG714" s="34" t="s">
        <v>1330</v>
      </c>
      <c r="AH714" s="34" t="s">
        <v>131</v>
      </c>
      <c r="AI714" s="138" t="s">
        <v>131</v>
      </c>
      <c r="AJ714" s="34" t="s">
        <v>158</v>
      </c>
      <c r="AK714" s="140" t="s">
        <v>158</v>
      </c>
      <c r="AO714" s="34" t="s">
        <v>470</v>
      </c>
      <c r="AP714" s="34" t="s">
        <v>470</v>
      </c>
      <c r="AQ714" s="34" t="s">
        <v>2126</v>
      </c>
      <c r="AR714" s="34" t="s">
        <v>2126</v>
      </c>
      <c r="AS714" s="34" t="s">
        <v>177</v>
      </c>
      <c r="AW714" s="34" t="s">
        <v>160</v>
      </c>
      <c r="AX714" s="34">
        <v>4</v>
      </c>
      <c r="AZ714" s="34" t="s">
        <v>335</v>
      </c>
      <c r="BD714" s="53"/>
      <c r="BK714" s="34">
        <f>2.3*1000</f>
        <v>2300</v>
      </c>
      <c r="BL714" s="34">
        <f>2.8*1000</f>
        <v>2800</v>
      </c>
      <c r="BP714" s="404"/>
      <c r="BQ714" s="404"/>
      <c r="BU714" s="404"/>
      <c r="BV714" s="404"/>
      <c r="BZ714" s="404"/>
      <c r="CA714" s="404"/>
      <c r="CE714" s="557"/>
      <c r="CF714" s="557"/>
      <c r="CG714" s="557"/>
      <c r="CH714" s="557"/>
      <c r="FV714" s="34">
        <v>600</v>
      </c>
      <c r="FW714" s="34">
        <v>670</v>
      </c>
      <c r="GZ714" s="12"/>
      <c r="HD714" s="12"/>
    </row>
    <row r="715" spans="1:212" s="34" customFormat="1" x14ac:dyDescent="0.25">
      <c r="A715" s="34">
        <v>33</v>
      </c>
      <c r="B715" s="48" t="s">
        <v>3893</v>
      </c>
      <c r="C715" s="34" t="s">
        <v>467</v>
      </c>
      <c r="D715" s="34" t="s">
        <v>468</v>
      </c>
      <c r="E715" s="34">
        <v>2016</v>
      </c>
      <c r="F715" s="34">
        <v>2011</v>
      </c>
      <c r="G715" s="34" t="s">
        <v>469</v>
      </c>
      <c r="H715" s="34" t="s">
        <v>318</v>
      </c>
      <c r="I715" s="32" t="s">
        <v>2815</v>
      </c>
      <c r="J715" s="34">
        <v>40.72</v>
      </c>
      <c r="K715" s="34">
        <v>-77.92</v>
      </c>
      <c r="L715" s="34">
        <v>350</v>
      </c>
      <c r="R715" s="48">
        <v>1</v>
      </c>
      <c r="S715" s="48" t="s">
        <v>1858</v>
      </c>
      <c r="T715" s="48"/>
      <c r="U715" s="48" t="s">
        <v>1913</v>
      </c>
      <c r="V715" s="48" t="s">
        <v>1377</v>
      </c>
      <c r="W715" s="48" t="s">
        <v>1377</v>
      </c>
      <c r="X715" s="48" t="s">
        <v>1377</v>
      </c>
      <c r="Y715" s="48" t="s">
        <v>1377</v>
      </c>
      <c r="AA715" s="328"/>
      <c r="AB715" s="328"/>
      <c r="AC715" s="34" t="s">
        <v>450</v>
      </c>
      <c r="AG715" s="34" t="s">
        <v>1330</v>
      </c>
      <c r="AH715" s="34" t="s">
        <v>131</v>
      </c>
      <c r="AI715" s="138" t="s">
        <v>131</v>
      </c>
      <c r="AJ715" s="34" t="s">
        <v>158</v>
      </c>
      <c r="AK715" s="140" t="s">
        <v>158</v>
      </c>
      <c r="AO715" s="34" t="s">
        <v>470</v>
      </c>
      <c r="AP715" s="34" t="s">
        <v>470</v>
      </c>
      <c r="AQ715" s="34" t="s">
        <v>2126</v>
      </c>
      <c r="AR715" s="34" t="s">
        <v>2126</v>
      </c>
      <c r="AS715" s="34" t="s">
        <v>177</v>
      </c>
      <c r="AW715" s="34" t="s">
        <v>160</v>
      </c>
      <c r="AX715" s="34">
        <v>4</v>
      </c>
      <c r="AZ715" s="34" t="s">
        <v>335</v>
      </c>
      <c r="BD715" s="53"/>
      <c r="BK715" s="34">
        <f>3*1000</f>
        <v>3000</v>
      </c>
      <c r="BL715" s="34">
        <f>3.8*1000</f>
        <v>3800</v>
      </c>
      <c r="BP715" s="404"/>
      <c r="BQ715" s="404"/>
      <c r="BU715" s="404"/>
      <c r="BV715" s="404"/>
      <c r="BZ715" s="404"/>
      <c r="CA715" s="404"/>
      <c r="CE715" s="557"/>
      <c r="CF715" s="557"/>
      <c r="CG715" s="557"/>
      <c r="CH715" s="557"/>
      <c r="FV715" s="34">
        <v>160</v>
      </c>
      <c r="FW715" s="34">
        <v>110</v>
      </c>
      <c r="GZ715" s="12"/>
      <c r="HD715" s="12"/>
    </row>
    <row r="716" spans="1:212" s="34" customFormat="1" x14ac:dyDescent="0.25">
      <c r="A716" s="34">
        <v>33</v>
      </c>
      <c r="B716" s="48" t="s">
        <v>3893</v>
      </c>
      <c r="C716" s="34" t="s">
        <v>467</v>
      </c>
      <c r="D716" s="34" t="s">
        <v>468</v>
      </c>
      <c r="E716" s="34">
        <v>2016</v>
      </c>
      <c r="F716" s="34">
        <v>2012</v>
      </c>
      <c r="G716" s="34" t="s">
        <v>469</v>
      </c>
      <c r="H716" s="34" t="s">
        <v>318</v>
      </c>
      <c r="I716" s="32" t="s">
        <v>2815</v>
      </c>
      <c r="J716" s="34">
        <v>40.72</v>
      </c>
      <c r="K716" s="34">
        <v>-77.92</v>
      </c>
      <c r="L716" s="34">
        <v>350</v>
      </c>
      <c r="R716" s="48">
        <v>2</v>
      </c>
      <c r="S716" s="48" t="s">
        <v>1858</v>
      </c>
      <c r="T716" s="48"/>
      <c r="U716" s="48" t="s">
        <v>1910</v>
      </c>
      <c r="V716" s="48" t="s">
        <v>1377</v>
      </c>
      <c r="W716" s="48" t="s">
        <v>1377</v>
      </c>
      <c r="X716" s="48" t="s">
        <v>1377</v>
      </c>
      <c r="Y716" s="48" t="s">
        <v>1377</v>
      </c>
      <c r="AA716" s="328"/>
      <c r="AB716" s="328"/>
      <c r="AC716" s="34" t="s">
        <v>450</v>
      </c>
      <c r="AG716" s="34" t="s">
        <v>1330</v>
      </c>
      <c r="AH716" s="34" t="s">
        <v>131</v>
      </c>
      <c r="AI716" s="138" t="s">
        <v>131</v>
      </c>
      <c r="AJ716" s="34" t="s">
        <v>158</v>
      </c>
      <c r="AK716" s="140" t="s">
        <v>158</v>
      </c>
      <c r="AO716" s="34" t="s">
        <v>470</v>
      </c>
      <c r="AP716" s="34" t="s">
        <v>470</v>
      </c>
      <c r="AQ716" s="34" t="s">
        <v>2126</v>
      </c>
      <c r="AR716" s="34" t="s">
        <v>2126</v>
      </c>
      <c r="AS716" s="34" t="s">
        <v>177</v>
      </c>
      <c r="AW716" s="34" t="s">
        <v>160</v>
      </c>
      <c r="AX716" s="34">
        <v>4</v>
      </c>
      <c r="AZ716" s="34" t="s">
        <v>335</v>
      </c>
      <c r="BD716" s="53"/>
      <c r="BK716" s="34">
        <f>3.6*1000</f>
        <v>3600</v>
      </c>
      <c r="BL716" s="34">
        <f>3.5*1000</f>
        <v>3500</v>
      </c>
      <c r="BP716" s="404"/>
      <c r="BQ716" s="404"/>
      <c r="BU716" s="404"/>
      <c r="BV716" s="404"/>
      <c r="BZ716" s="404"/>
      <c r="CA716" s="404"/>
      <c r="CE716" s="557"/>
      <c r="CF716" s="557"/>
      <c r="CG716" s="557"/>
      <c r="CH716" s="557"/>
      <c r="FV716" s="34">
        <v>30</v>
      </c>
      <c r="FW716" s="34">
        <v>910</v>
      </c>
      <c r="GZ716" s="12"/>
      <c r="HD716" s="12"/>
    </row>
    <row r="717" spans="1:212" s="34" customFormat="1" x14ac:dyDescent="0.25">
      <c r="A717" s="34">
        <v>33</v>
      </c>
      <c r="B717" s="48" t="s">
        <v>3893</v>
      </c>
      <c r="C717" s="34" t="s">
        <v>467</v>
      </c>
      <c r="D717" s="34" t="s">
        <v>468</v>
      </c>
      <c r="E717" s="34">
        <v>2016</v>
      </c>
      <c r="F717" s="34">
        <v>2012</v>
      </c>
      <c r="G717" s="34" t="s">
        <v>469</v>
      </c>
      <c r="H717" s="34" t="s">
        <v>318</v>
      </c>
      <c r="I717" s="32" t="s">
        <v>2815</v>
      </c>
      <c r="J717" s="34">
        <v>40.72</v>
      </c>
      <c r="K717" s="34">
        <v>-77.92</v>
      </c>
      <c r="L717" s="34">
        <v>350</v>
      </c>
      <c r="R717" s="48">
        <v>2</v>
      </c>
      <c r="S717" s="48" t="s">
        <v>1858</v>
      </c>
      <c r="T717" s="48"/>
      <c r="U717" s="48" t="s">
        <v>1911</v>
      </c>
      <c r="V717" s="48" t="s">
        <v>1377</v>
      </c>
      <c r="W717" s="48" t="s">
        <v>1377</v>
      </c>
      <c r="X717" s="48" t="s">
        <v>1377</v>
      </c>
      <c r="Y717" s="48" t="s">
        <v>1377</v>
      </c>
      <c r="AA717" s="328"/>
      <c r="AB717" s="328"/>
      <c r="AC717" s="34" t="s">
        <v>450</v>
      </c>
      <c r="AG717" s="34" t="s">
        <v>1330</v>
      </c>
      <c r="AH717" s="34" t="s">
        <v>131</v>
      </c>
      <c r="AI717" s="138" t="s">
        <v>131</v>
      </c>
      <c r="AJ717" s="34" t="s">
        <v>158</v>
      </c>
      <c r="AK717" s="140" t="s">
        <v>158</v>
      </c>
      <c r="AO717" s="34" t="s">
        <v>470</v>
      </c>
      <c r="AP717" s="34" t="s">
        <v>470</v>
      </c>
      <c r="AQ717" s="34" t="s">
        <v>2126</v>
      </c>
      <c r="AR717" s="34" t="s">
        <v>2126</v>
      </c>
      <c r="AS717" s="34" t="s">
        <v>177</v>
      </c>
      <c r="AW717" s="34" t="s">
        <v>160</v>
      </c>
      <c r="AX717" s="34">
        <v>4</v>
      </c>
      <c r="AZ717" s="34" t="s">
        <v>335</v>
      </c>
      <c r="BD717" s="53"/>
      <c r="BK717" s="34">
        <f>3.5*1000</f>
        <v>3500</v>
      </c>
      <c r="BL717" s="34">
        <f>3.7*1000</f>
        <v>3700</v>
      </c>
      <c r="BP717" s="404"/>
      <c r="BQ717" s="404"/>
      <c r="BU717" s="404"/>
      <c r="BV717" s="404"/>
      <c r="BZ717" s="404"/>
      <c r="CA717" s="404"/>
      <c r="CE717" s="557"/>
      <c r="CF717" s="557"/>
      <c r="CG717" s="557"/>
      <c r="CH717" s="557"/>
      <c r="FV717" s="34">
        <v>90</v>
      </c>
      <c r="FW717" s="34">
        <v>510</v>
      </c>
      <c r="GZ717" s="12"/>
      <c r="HD717" s="12"/>
    </row>
    <row r="718" spans="1:212" s="34" customFormat="1" x14ac:dyDescent="0.25">
      <c r="A718" s="34">
        <v>33</v>
      </c>
      <c r="B718" s="48" t="s">
        <v>3893</v>
      </c>
      <c r="C718" s="34" t="s">
        <v>467</v>
      </c>
      <c r="D718" s="34" t="s">
        <v>468</v>
      </c>
      <c r="E718" s="34">
        <v>2016</v>
      </c>
      <c r="F718" s="34">
        <v>2012</v>
      </c>
      <c r="G718" s="34" t="s">
        <v>469</v>
      </c>
      <c r="H718" s="34" t="s">
        <v>318</v>
      </c>
      <c r="I718" s="32" t="s">
        <v>2815</v>
      </c>
      <c r="J718" s="34">
        <v>40.72</v>
      </c>
      <c r="K718" s="34">
        <v>-77.92</v>
      </c>
      <c r="L718" s="34">
        <v>350</v>
      </c>
      <c r="R718" s="48">
        <v>2</v>
      </c>
      <c r="S718" s="48" t="s">
        <v>1858</v>
      </c>
      <c r="T718" s="48"/>
      <c r="U718" s="48" t="s">
        <v>1912</v>
      </c>
      <c r="V718" s="48" t="s">
        <v>1377</v>
      </c>
      <c r="W718" s="48" t="s">
        <v>1377</v>
      </c>
      <c r="X718" s="48" t="s">
        <v>1377</v>
      </c>
      <c r="Y718" s="48" t="s">
        <v>1377</v>
      </c>
      <c r="AA718" s="328"/>
      <c r="AB718" s="328"/>
      <c r="AC718" s="34" t="s">
        <v>450</v>
      </c>
      <c r="AG718" s="34" t="s">
        <v>1330</v>
      </c>
      <c r="AH718" s="34" t="s">
        <v>131</v>
      </c>
      <c r="AI718" s="138" t="s">
        <v>131</v>
      </c>
      <c r="AJ718" s="34" t="s">
        <v>158</v>
      </c>
      <c r="AK718" s="140" t="s">
        <v>158</v>
      </c>
      <c r="AO718" s="34" t="s">
        <v>470</v>
      </c>
      <c r="AP718" s="34" t="s">
        <v>470</v>
      </c>
      <c r="AQ718" s="34" t="s">
        <v>2126</v>
      </c>
      <c r="AR718" s="34" t="s">
        <v>2126</v>
      </c>
      <c r="AS718" s="34" t="s">
        <v>177</v>
      </c>
      <c r="AW718" s="34" t="s">
        <v>160</v>
      </c>
      <c r="AX718" s="34">
        <v>4</v>
      </c>
      <c r="AZ718" s="34" t="s">
        <v>335</v>
      </c>
      <c r="BD718" s="53"/>
      <c r="BK718" s="34">
        <f>3*1000</f>
        <v>3000</v>
      </c>
      <c r="BL718" s="34">
        <f>3.5*1000</f>
        <v>3500</v>
      </c>
      <c r="BP718" s="404"/>
      <c r="BQ718" s="404"/>
      <c r="BU718" s="404"/>
      <c r="BV718" s="404"/>
      <c r="BZ718" s="404"/>
      <c r="CA718" s="404"/>
      <c r="CE718" s="557"/>
      <c r="CF718" s="557"/>
      <c r="CG718" s="557"/>
      <c r="CH718" s="557"/>
      <c r="FV718" s="34">
        <v>490</v>
      </c>
      <c r="FW718" s="34">
        <v>470</v>
      </c>
      <c r="GZ718" s="12"/>
      <c r="HD718" s="12"/>
    </row>
    <row r="719" spans="1:212" s="34" customFormat="1" x14ac:dyDescent="0.25">
      <c r="A719" s="34">
        <v>33</v>
      </c>
      <c r="B719" s="48" t="s">
        <v>3893</v>
      </c>
      <c r="C719" s="34" t="s">
        <v>467</v>
      </c>
      <c r="D719" s="34" t="s">
        <v>468</v>
      </c>
      <c r="E719" s="34">
        <v>2016</v>
      </c>
      <c r="F719" s="34">
        <v>2012</v>
      </c>
      <c r="G719" s="34" t="s">
        <v>469</v>
      </c>
      <c r="H719" s="34" t="s">
        <v>318</v>
      </c>
      <c r="I719" s="32" t="s">
        <v>2815</v>
      </c>
      <c r="J719" s="34">
        <v>40.72</v>
      </c>
      <c r="K719" s="34">
        <v>-77.92</v>
      </c>
      <c r="L719" s="34">
        <v>350</v>
      </c>
      <c r="R719" s="48">
        <v>2</v>
      </c>
      <c r="S719" s="48" t="s">
        <v>1858</v>
      </c>
      <c r="T719" s="48"/>
      <c r="U719" s="48" t="s">
        <v>1913</v>
      </c>
      <c r="V719" s="48" t="s">
        <v>1377</v>
      </c>
      <c r="W719" s="48" t="s">
        <v>1377</v>
      </c>
      <c r="X719" s="48" t="s">
        <v>1377</v>
      </c>
      <c r="Y719" s="48" t="s">
        <v>1377</v>
      </c>
      <c r="AA719" s="328"/>
      <c r="AB719" s="328"/>
      <c r="AC719" s="34" t="s">
        <v>450</v>
      </c>
      <c r="AG719" s="34" t="s">
        <v>1330</v>
      </c>
      <c r="AH719" s="34" t="s">
        <v>131</v>
      </c>
      <c r="AI719" s="138" t="s">
        <v>131</v>
      </c>
      <c r="AJ719" s="34" t="s">
        <v>158</v>
      </c>
      <c r="AK719" s="140" t="s">
        <v>158</v>
      </c>
      <c r="AO719" s="34" t="s">
        <v>470</v>
      </c>
      <c r="AP719" s="34" t="s">
        <v>470</v>
      </c>
      <c r="AQ719" s="34" t="s">
        <v>2126</v>
      </c>
      <c r="AR719" s="34" t="s">
        <v>2126</v>
      </c>
      <c r="AS719" s="34" t="s">
        <v>177</v>
      </c>
      <c r="AW719" s="34" t="s">
        <v>160</v>
      </c>
      <c r="AX719" s="34">
        <v>4</v>
      </c>
      <c r="AZ719" s="34" t="s">
        <v>335</v>
      </c>
      <c r="BD719" s="53"/>
      <c r="BK719" s="34">
        <f>3.6*1000</f>
        <v>3600</v>
      </c>
      <c r="BL719" s="34">
        <f>3.8*1000</f>
        <v>3800</v>
      </c>
      <c r="BP719" s="404"/>
      <c r="BQ719" s="404"/>
      <c r="BU719" s="404"/>
      <c r="BV719" s="404"/>
      <c r="BZ719" s="404"/>
      <c r="CA719" s="404"/>
      <c r="CE719" s="557"/>
      <c r="CF719" s="557"/>
      <c r="CG719" s="557"/>
      <c r="CH719" s="557"/>
      <c r="FV719" s="34">
        <v>80</v>
      </c>
      <c r="FW719" s="34">
        <v>130</v>
      </c>
      <c r="GZ719" s="12"/>
      <c r="HD719" s="12"/>
    </row>
    <row r="720" spans="1:212" s="34" customFormat="1" x14ac:dyDescent="0.25">
      <c r="A720" s="34">
        <v>33</v>
      </c>
      <c r="B720" s="48" t="s">
        <v>3893</v>
      </c>
      <c r="C720" s="34" t="s">
        <v>467</v>
      </c>
      <c r="D720" s="34" t="s">
        <v>468</v>
      </c>
      <c r="E720" s="34">
        <v>2016</v>
      </c>
      <c r="F720" s="34">
        <v>2013</v>
      </c>
      <c r="G720" s="34" t="s">
        <v>469</v>
      </c>
      <c r="H720" s="34" t="s">
        <v>318</v>
      </c>
      <c r="I720" s="32" t="s">
        <v>2815</v>
      </c>
      <c r="J720" s="34">
        <v>40.72</v>
      </c>
      <c r="K720" s="34">
        <v>-77.92</v>
      </c>
      <c r="L720" s="34">
        <v>350</v>
      </c>
      <c r="R720" s="48">
        <v>3</v>
      </c>
      <c r="S720" s="48" t="s">
        <v>1858</v>
      </c>
      <c r="T720" s="48"/>
      <c r="U720" s="48" t="s">
        <v>1910</v>
      </c>
      <c r="V720" s="48" t="s">
        <v>1377</v>
      </c>
      <c r="W720" s="48" t="s">
        <v>1377</v>
      </c>
      <c r="X720" s="48" t="s">
        <v>1377</v>
      </c>
      <c r="Y720" s="48" t="s">
        <v>1377</v>
      </c>
      <c r="AA720" s="328"/>
      <c r="AB720" s="328"/>
      <c r="AC720" s="34" t="s">
        <v>450</v>
      </c>
      <c r="AG720" s="34" t="s">
        <v>1330</v>
      </c>
      <c r="AH720" s="34" t="s">
        <v>131</v>
      </c>
      <c r="AI720" s="138" t="s">
        <v>131</v>
      </c>
      <c r="AJ720" s="34" t="s">
        <v>158</v>
      </c>
      <c r="AK720" s="140" t="s">
        <v>158</v>
      </c>
      <c r="AO720" s="34" t="s">
        <v>470</v>
      </c>
      <c r="AP720" s="34" t="s">
        <v>470</v>
      </c>
      <c r="AQ720" s="34" t="s">
        <v>2126</v>
      </c>
      <c r="AR720" s="34" t="s">
        <v>2126</v>
      </c>
      <c r="AS720" s="34" t="s">
        <v>177</v>
      </c>
      <c r="AW720" s="34" t="s">
        <v>160</v>
      </c>
      <c r="AX720" s="34">
        <v>4</v>
      </c>
      <c r="AZ720" s="34" t="s">
        <v>335</v>
      </c>
      <c r="BD720" s="53"/>
      <c r="BK720" s="34">
        <f>3.6*1000</f>
        <v>3600</v>
      </c>
      <c r="BL720" s="34">
        <f>3.7*1000</f>
        <v>3700</v>
      </c>
      <c r="BP720" s="404"/>
      <c r="BQ720" s="404"/>
      <c r="BU720" s="404"/>
      <c r="BV720" s="404"/>
      <c r="BZ720" s="404"/>
      <c r="CA720" s="404"/>
      <c r="CE720" s="557"/>
      <c r="CF720" s="557"/>
      <c r="CG720" s="557"/>
      <c r="CH720" s="557"/>
      <c r="FV720" s="34">
        <v>1050</v>
      </c>
      <c r="FW720" s="34">
        <v>550</v>
      </c>
      <c r="GZ720" s="12"/>
      <c r="HD720" s="12"/>
    </row>
    <row r="721" spans="1:262" s="34" customFormat="1" x14ac:dyDescent="0.25">
      <c r="A721" s="34">
        <v>33</v>
      </c>
      <c r="B721" s="48" t="s">
        <v>3893</v>
      </c>
      <c r="C721" s="34" t="s">
        <v>467</v>
      </c>
      <c r="D721" s="34" t="s">
        <v>468</v>
      </c>
      <c r="E721" s="34">
        <v>2016</v>
      </c>
      <c r="F721" s="34">
        <v>2013</v>
      </c>
      <c r="G721" s="34" t="s">
        <v>469</v>
      </c>
      <c r="H721" s="34" t="s">
        <v>318</v>
      </c>
      <c r="I721" s="32" t="s">
        <v>2815</v>
      </c>
      <c r="J721" s="34">
        <v>40.72</v>
      </c>
      <c r="K721" s="34">
        <v>-77.92</v>
      </c>
      <c r="L721" s="34">
        <v>350</v>
      </c>
      <c r="R721" s="48">
        <v>3</v>
      </c>
      <c r="S721" s="48" t="s">
        <v>1858</v>
      </c>
      <c r="T721" s="48"/>
      <c r="U721" s="48" t="s">
        <v>1911</v>
      </c>
      <c r="V721" s="48" t="s">
        <v>1377</v>
      </c>
      <c r="W721" s="48" t="s">
        <v>1377</v>
      </c>
      <c r="X721" s="48" t="s">
        <v>1377</v>
      </c>
      <c r="Y721" s="48" t="s">
        <v>1377</v>
      </c>
      <c r="AA721" s="328"/>
      <c r="AB721" s="328"/>
      <c r="AC721" s="34" t="s">
        <v>450</v>
      </c>
      <c r="AG721" s="34" t="s">
        <v>1330</v>
      </c>
      <c r="AH721" s="34" t="s">
        <v>131</v>
      </c>
      <c r="AI721" s="138" t="s">
        <v>131</v>
      </c>
      <c r="AJ721" s="34" t="s">
        <v>158</v>
      </c>
      <c r="AK721" s="140" t="s">
        <v>158</v>
      </c>
      <c r="AO721" s="34" t="s">
        <v>470</v>
      </c>
      <c r="AP721" s="34" t="s">
        <v>470</v>
      </c>
      <c r="AQ721" s="34" t="s">
        <v>2126</v>
      </c>
      <c r="AR721" s="34" t="s">
        <v>2126</v>
      </c>
      <c r="AS721" s="34" t="s">
        <v>177</v>
      </c>
      <c r="AW721" s="34" t="s">
        <v>160</v>
      </c>
      <c r="AX721" s="34">
        <v>4</v>
      </c>
      <c r="AZ721" s="34" t="s">
        <v>335</v>
      </c>
      <c r="BD721" s="53"/>
      <c r="BK721" s="34">
        <f>3.4*1000</f>
        <v>3400</v>
      </c>
      <c r="BL721" s="34">
        <f>2.9*1000</f>
        <v>2900</v>
      </c>
      <c r="BP721" s="404"/>
      <c r="BQ721" s="404"/>
      <c r="BU721" s="404"/>
      <c r="BV721" s="404"/>
      <c r="BZ721" s="404"/>
      <c r="CA721" s="404"/>
      <c r="CE721" s="557"/>
      <c r="CF721" s="557"/>
      <c r="CG721" s="557"/>
      <c r="CH721" s="557"/>
      <c r="FV721" s="34">
        <v>1460</v>
      </c>
      <c r="FW721" s="34">
        <v>660</v>
      </c>
      <c r="GZ721" s="12"/>
      <c r="HD721" s="12"/>
    </row>
    <row r="722" spans="1:262" s="34" customFormat="1" x14ac:dyDescent="0.25">
      <c r="A722" s="34">
        <v>33</v>
      </c>
      <c r="B722" s="48" t="s">
        <v>3893</v>
      </c>
      <c r="C722" s="34" t="s">
        <v>467</v>
      </c>
      <c r="D722" s="34" t="s">
        <v>468</v>
      </c>
      <c r="E722" s="34">
        <v>2016</v>
      </c>
      <c r="F722" s="34">
        <v>2013</v>
      </c>
      <c r="G722" s="34" t="s">
        <v>469</v>
      </c>
      <c r="H722" s="34" t="s">
        <v>318</v>
      </c>
      <c r="I722" s="32" t="s">
        <v>2815</v>
      </c>
      <c r="J722" s="34">
        <v>40.72</v>
      </c>
      <c r="K722" s="34">
        <v>-77.92</v>
      </c>
      <c r="L722" s="34">
        <v>350</v>
      </c>
      <c r="R722" s="48">
        <v>3</v>
      </c>
      <c r="S722" s="48" t="s">
        <v>1858</v>
      </c>
      <c r="T722" s="48"/>
      <c r="U722" s="48" t="s">
        <v>1912</v>
      </c>
      <c r="V722" s="48" t="s">
        <v>1377</v>
      </c>
      <c r="W722" s="48" t="s">
        <v>1377</v>
      </c>
      <c r="X722" s="48" t="s">
        <v>1377</v>
      </c>
      <c r="Y722" s="48" t="s">
        <v>1377</v>
      </c>
      <c r="AA722" s="328"/>
      <c r="AB722" s="328"/>
      <c r="AC722" s="34" t="s">
        <v>450</v>
      </c>
      <c r="AG722" s="34" t="s">
        <v>1330</v>
      </c>
      <c r="AH722" s="34" t="s">
        <v>131</v>
      </c>
      <c r="AI722" s="138" t="s">
        <v>131</v>
      </c>
      <c r="AJ722" s="34" t="s">
        <v>158</v>
      </c>
      <c r="AK722" s="140" t="s">
        <v>158</v>
      </c>
      <c r="AO722" s="34" t="s">
        <v>470</v>
      </c>
      <c r="AP722" s="34" t="s">
        <v>470</v>
      </c>
      <c r="AQ722" s="34" t="s">
        <v>2126</v>
      </c>
      <c r="AR722" s="34" t="s">
        <v>2126</v>
      </c>
      <c r="AS722" s="34" t="s">
        <v>177</v>
      </c>
      <c r="AW722" s="34" t="s">
        <v>160</v>
      </c>
      <c r="AX722" s="34">
        <v>4</v>
      </c>
      <c r="AZ722" s="34" t="s">
        <v>335</v>
      </c>
      <c r="BD722" s="53"/>
      <c r="BK722" s="34">
        <f>3.4*1000</f>
        <v>3400</v>
      </c>
      <c r="BL722" s="34">
        <f>2.9*1000</f>
        <v>2900</v>
      </c>
      <c r="BP722" s="404"/>
      <c r="BQ722" s="404"/>
      <c r="BU722" s="404"/>
      <c r="BV722" s="404"/>
      <c r="BZ722" s="404"/>
      <c r="CA722" s="404"/>
      <c r="CE722" s="557"/>
      <c r="CF722" s="557"/>
      <c r="CG722" s="557"/>
      <c r="CH722" s="557"/>
      <c r="FV722" s="34">
        <v>1130</v>
      </c>
      <c r="FW722" s="34">
        <v>540</v>
      </c>
      <c r="GZ722" s="12"/>
      <c r="HD722" s="12"/>
    </row>
    <row r="723" spans="1:262" s="34" customFormat="1" x14ac:dyDescent="0.25">
      <c r="A723" s="34">
        <v>33</v>
      </c>
      <c r="B723" s="48" t="s">
        <v>3893</v>
      </c>
      <c r="C723" s="34" t="s">
        <v>467</v>
      </c>
      <c r="D723" s="34" t="s">
        <v>468</v>
      </c>
      <c r="E723" s="34">
        <v>2016</v>
      </c>
      <c r="F723" s="34">
        <v>2013</v>
      </c>
      <c r="G723" s="34" t="s">
        <v>469</v>
      </c>
      <c r="H723" s="34" t="s">
        <v>318</v>
      </c>
      <c r="I723" s="32" t="s">
        <v>2815</v>
      </c>
      <c r="J723" s="34">
        <v>40.72</v>
      </c>
      <c r="K723" s="34">
        <v>-77.92</v>
      </c>
      <c r="L723" s="34">
        <v>350</v>
      </c>
      <c r="R723" s="48">
        <v>3</v>
      </c>
      <c r="S723" s="48" t="s">
        <v>1858</v>
      </c>
      <c r="T723" s="48"/>
      <c r="U723" s="48" t="s">
        <v>1913</v>
      </c>
      <c r="V723" s="48" t="s">
        <v>1377</v>
      </c>
      <c r="W723" s="48" t="s">
        <v>1377</v>
      </c>
      <c r="X723" s="48" t="s">
        <v>1377</v>
      </c>
      <c r="Y723" s="48" t="s">
        <v>1377</v>
      </c>
      <c r="AA723" s="328"/>
      <c r="AB723" s="328"/>
      <c r="AC723" s="34" t="s">
        <v>450</v>
      </c>
      <c r="AG723" s="34" t="s">
        <v>1330</v>
      </c>
      <c r="AH723" s="34" t="s">
        <v>131</v>
      </c>
      <c r="AI723" s="138" t="s">
        <v>131</v>
      </c>
      <c r="AJ723" s="34" t="s">
        <v>158</v>
      </c>
      <c r="AK723" s="140" t="s">
        <v>158</v>
      </c>
      <c r="AO723" s="34" t="s">
        <v>470</v>
      </c>
      <c r="AP723" s="34" t="s">
        <v>470</v>
      </c>
      <c r="AQ723" s="34" t="s">
        <v>2126</v>
      </c>
      <c r="AR723" s="34" t="s">
        <v>2126</v>
      </c>
      <c r="AS723" s="34" t="s">
        <v>177</v>
      </c>
      <c r="AW723" s="34" t="s">
        <v>160</v>
      </c>
      <c r="AX723" s="34">
        <v>4</v>
      </c>
      <c r="AZ723" s="34" t="s">
        <v>335</v>
      </c>
      <c r="BD723" s="53"/>
      <c r="BK723" s="34">
        <f>3.6*1000</f>
        <v>3600</v>
      </c>
      <c r="BL723" s="34">
        <f>3.7*1000</f>
        <v>3700</v>
      </c>
      <c r="BP723" s="404"/>
      <c r="BQ723" s="404"/>
      <c r="BU723" s="404"/>
      <c r="BV723" s="404"/>
      <c r="BZ723" s="404"/>
      <c r="CA723" s="404"/>
      <c r="CE723" s="557"/>
      <c r="CF723" s="557"/>
      <c r="CG723" s="557"/>
      <c r="CH723" s="557"/>
      <c r="FV723" s="34">
        <v>510</v>
      </c>
      <c r="FW723" s="34">
        <v>200</v>
      </c>
      <c r="GZ723" s="12"/>
      <c r="HD723" s="12"/>
    </row>
    <row r="724" spans="1:262" s="32" customFormat="1" x14ac:dyDescent="0.25">
      <c r="A724" s="32">
        <v>33</v>
      </c>
      <c r="B724" s="44" t="s">
        <v>3894</v>
      </c>
      <c r="C724" s="32" t="s">
        <v>467</v>
      </c>
      <c r="D724" s="32" t="s">
        <v>468</v>
      </c>
      <c r="E724" s="32">
        <v>2016</v>
      </c>
      <c r="F724" s="32">
        <v>2012</v>
      </c>
      <c r="G724" s="32" t="s">
        <v>469</v>
      </c>
      <c r="H724" s="32" t="s">
        <v>318</v>
      </c>
      <c r="I724" s="32" t="s">
        <v>2815</v>
      </c>
      <c r="J724" s="32">
        <v>40.72</v>
      </c>
      <c r="K724" s="32">
        <v>-77.92</v>
      </c>
      <c r="L724" s="32">
        <v>350</v>
      </c>
      <c r="R724" s="44">
        <v>2</v>
      </c>
      <c r="S724" s="44" t="s">
        <v>1858</v>
      </c>
      <c r="T724" s="44"/>
      <c r="U724" s="44" t="s">
        <v>1910</v>
      </c>
      <c r="V724" s="44" t="s">
        <v>1377</v>
      </c>
      <c r="W724" s="44" t="s">
        <v>1377</v>
      </c>
      <c r="X724" s="44" t="s">
        <v>1377</v>
      </c>
      <c r="Y724" s="44" t="s">
        <v>1377</v>
      </c>
      <c r="AA724" s="323"/>
      <c r="AB724" s="323"/>
      <c r="AC724" s="32" t="s">
        <v>450</v>
      </c>
      <c r="AG724" s="32" t="s">
        <v>1330</v>
      </c>
      <c r="AH724" s="32" t="s">
        <v>243</v>
      </c>
      <c r="AI724" s="138" t="s">
        <v>577</v>
      </c>
      <c r="AJ724" s="32" t="s">
        <v>132</v>
      </c>
      <c r="AK724" s="140" t="s">
        <v>132</v>
      </c>
      <c r="AO724" s="32" t="s">
        <v>470</v>
      </c>
      <c r="AP724" s="32" t="s">
        <v>470</v>
      </c>
      <c r="AQ724" s="32" t="s">
        <v>2126</v>
      </c>
      <c r="AR724" s="32" t="s">
        <v>2126</v>
      </c>
      <c r="AS724" s="32" t="s">
        <v>177</v>
      </c>
      <c r="AW724" s="32" t="s">
        <v>160</v>
      </c>
      <c r="AX724" s="32">
        <v>4</v>
      </c>
      <c r="AZ724" s="32" t="s">
        <v>335</v>
      </c>
      <c r="BD724" s="53"/>
      <c r="BK724" s="32">
        <f>10.3*1000</f>
        <v>10300</v>
      </c>
      <c r="BL724" s="32">
        <f>11.9*1000</f>
        <v>11900</v>
      </c>
      <c r="BP724" s="397"/>
      <c r="BQ724" s="397"/>
      <c r="BU724" s="397"/>
      <c r="BV724" s="397"/>
      <c r="BZ724" s="397"/>
      <c r="CA724" s="397"/>
      <c r="CE724" s="550"/>
      <c r="CF724" s="550"/>
      <c r="CG724" s="550"/>
      <c r="CH724" s="550"/>
      <c r="FV724" s="32">
        <v>700</v>
      </c>
      <c r="FW724" s="32">
        <v>430</v>
      </c>
      <c r="GZ724" s="12"/>
      <c r="HD724" s="12"/>
    </row>
    <row r="725" spans="1:262" s="32" customFormat="1" x14ac:dyDescent="0.25">
      <c r="A725" s="32">
        <v>33</v>
      </c>
      <c r="B725" s="44" t="s">
        <v>3894</v>
      </c>
      <c r="C725" s="32" t="s">
        <v>467</v>
      </c>
      <c r="D725" s="32" t="s">
        <v>468</v>
      </c>
      <c r="E725" s="32">
        <v>2016</v>
      </c>
      <c r="F725" s="32">
        <v>2012</v>
      </c>
      <c r="G725" s="32" t="s">
        <v>469</v>
      </c>
      <c r="H725" s="32" t="s">
        <v>318</v>
      </c>
      <c r="I725" s="32" t="s">
        <v>2815</v>
      </c>
      <c r="J725" s="32">
        <v>40.72</v>
      </c>
      <c r="K725" s="32">
        <v>-77.92</v>
      </c>
      <c r="L725" s="32">
        <v>350</v>
      </c>
      <c r="R725" s="44">
        <v>2</v>
      </c>
      <c r="S725" s="44" t="s">
        <v>1858</v>
      </c>
      <c r="T725" s="44"/>
      <c r="U725" s="44" t="s">
        <v>1911</v>
      </c>
      <c r="V725" s="44" t="s">
        <v>1377</v>
      </c>
      <c r="W725" s="44" t="s">
        <v>1377</v>
      </c>
      <c r="X725" s="44" t="s">
        <v>1377</v>
      </c>
      <c r="Y725" s="44" t="s">
        <v>1377</v>
      </c>
      <c r="AA725" s="323"/>
      <c r="AB725" s="323"/>
      <c r="AC725" s="32" t="s">
        <v>450</v>
      </c>
      <c r="AG725" s="32" t="s">
        <v>1330</v>
      </c>
      <c r="AH725" s="32" t="s">
        <v>243</v>
      </c>
      <c r="AI725" s="138" t="s">
        <v>577</v>
      </c>
      <c r="AJ725" s="32" t="s">
        <v>132</v>
      </c>
      <c r="AK725" s="140" t="s">
        <v>132</v>
      </c>
      <c r="AO725" s="32" t="s">
        <v>470</v>
      </c>
      <c r="AP725" s="32" t="s">
        <v>470</v>
      </c>
      <c r="AQ725" s="32" t="s">
        <v>2126</v>
      </c>
      <c r="AR725" s="32" t="s">
        <v>2126</v>
      </c>
      <c r="AS725" s="32" t="s">
        <v>177</v>
      </c>
      <c r="AW725" s="32" t="s">
        <v>160</v>
      </c>
      <c r="AX725" s="32">
        <v>4</v>
      </c>
      <c r="AZ725" s="32" t="s">
        <v>335</v>
      </c>
      <c r="BD725" s="53"/>
      <c r="BK725" s="32">
        <f>10.1*1000</f>
        <v>10100</v>
      </c>
      <c r="BL725" s="32">
        <f>10.9*1000</f>
        <v>10900</v>
      </c>
      <c r="BP725" s="397"/>
      <c r="BQ725" s="397"/>
      <c r="BU725" s="397"/>
      <c r="BV725" s="397"/>
      <c r="BZ725" s="397"/>
      <c r="CA725" s="397"/>
      <c r="CE725" s="550"/>
      <c r="CF725" s="550"/>
      <c r="CG725" s="550"/>
      <c r="CH725" s="550"/>
      <c r="FV725" s="32">
        <v>150</v>
      </c>
      <c r="FW725" s="32">
        <v>530</v>
      </c>
      <c r="GZ725" s="12"/>
      <c r="HD725" s="12"/>
    </row>
    <row r="726" spans="1:262" s="32" customFormat="1" x14ac:dyDescent="0.25">
      <c r="A726" s="32">
        <v>33</v>
      </c>
      <c r="B726" s="44" t="s">
        <v>3894</v>
      </c>
      <c r="C726" s="32" t="s">
        <v>467</v>
      </c>
      <c r="D726" s="32" t="s">
        <v>468</v>
      </c>
      <c r="E726" s="32">
        <v>2016</v>
      </c>
      <c r="F726" s="32">
        <v>2012</v>
      </c>
      <c r="G726" s="32" t="s">
        <v>469</v>
      </c>
      <c r="H726" s="32" t="s">
        <v>318</v>
      </c>
      <c r="I726" s="32" t="s">
        <v>2815</v>
      </c>
      <c r="J726" s="32">
        <v>40.72</v>
      </c>
      <c r="K726" s="32">
        <v>-77.92</v>
      </c>
      <c r="L726" s="32">
        <v>350</v>
      </c>
      <c r="R726" s="44">
        <v>2</v>
      </c>
      <c r="S726" s="44" t="s">
        <v>1858</v>
      </c>
      <c r="T726" s="44"/>
      <c r="U726" s="44" t="s">
        <v>1912</v>
      </c>
      <c r="V726" s="44" t="s">
        <v>1377</v>
      </c>
      <c r="W726" s="44" t="s">
        <v>1377</v>
      </c>
      <c r="X726" s="44" t="s">
        <v>1377</v>
      </c>
      <c r="Y726" s="44" t="s">
        <v>1377</v>
      </c>
      <c r="AA726" s="323"/>
      <c r="AB726" s="323"/>
      <c r="AC726" s="32" t="s">
        <v>450</v>
      </c>
      <c r="AG726" s="32" t="s">
        <v>1330</v>
      </c>
      <c r="AH726" s="32" t="s">
        <v>243</v>
      </c>
      <c r="AI726" s="138" t="s">
        <v>577</v>
      </c>
      <c r="AJ726" s="32" t="s">
        <v>132</v>
      </c>
      <c r="AK726" s="140" t="s">
        <v>132</v>
      </c>
      <c r="AO726" s="32" t="s">
        <v>470</v>
      </c>
      <c r="AP726" s="32" t="s">
        <v>470</v>
      </c>
      <c r="AQ726" s="32" t="s">
        <v>2126</v>
      </c>
      <c r="AR726" s="32" t="s">
        <v>2126</v>
      </c>
      <c r="AS726" s="32" t="s">
        <v>177</v>
      </c>
      <c r="AW726" s="32" t="s">
        <v>160</v>
      </c>
      <c r="AX726" s="32">
        <v>4</v>
      </c>
      <c r="AZ726" s="32" t="s">
        <v>335</v>
      </c>
      <c r="BD726" s="53"/>
      <c r="BK726" s="32">
        <f>9.8*1000</f>
        <v>9800</v>
      </c>
      <c r="BL726" s="32">
        <f>10.1*1000</f>
        <v>10100</v>
      </c>
      <c r="BP726" s="397"/>
      <c r="BQ726" s="397"/>
      <c r="BU726" s="397"/>
      <c r="BV726" s="397"/>
      <c r="BZ726" s="397"/>
      <c r="CA726" s="397"/>
      <c r="CE726" s="550"/>
      <c r="CF726" s="550"/>
      <c r="CG726" s="550"/>
      <c r="CH726" s="550"/>
      <c r="FV726" s="32">
        <v>120</v>
      </c>
      <c r="FW726" s="32">
        <v>680</v>
      </c>
      <c r="GZ726" s="12"/>
      <c r="HD726" s="12"/>
    </row>
    <row r="727" spans="1:262" s="32" customFormat="1" x14ac:dyDescent="0.25">
      <c r="A727" s="32">
        <v>33</v>
      </c>
      <c r="B727" s="44" t="s">
        <v>3894</v>
      </c>
      <c r="C727" s="32" t="s">
        <v>467</v>
      </c>
      <c r="D727" s="32" t="s">
        <v>468</v>
      </c>
      <c r="E727" s="32">
        <v>2016</v>
      </c>
      <c r="F727" s="32">
        <v>2012</v>
      </c>
      <c r="G727" s="32" t="s">
        <v>469</v>
      </c>
      <c r="H727" s="32" t="s">
        <v>318</v>
      </c>
      <c r="I727" s="32" t="s">
        <v>2815</v>
      </c>
      <c r="J727" s="32">
        <v>40.72</v>
      </c>
      <c r="K727" s="32">
        <v>-77.92</v>
      </c>
      <c r="L727" s="32">
        <v>350</v>
      </c>
      <c r="R727" s="44">
        <v>2</v>
      </c>
      <c r="S727" s="44" t="s">
        <v>1858</v>
      </c>
      <c r="T727" s="44"/>
      <c r="U727" s="44" t="s">
        <v>1913</v>
      </c>
      <c r="V727" s="44" t="s">
        <v>1377</v>
      </c>
      <c r="W727" s="44" t="s">
        <v>1377</v>
      </c>
      <c r="X727" s="44" t="s">
        <v>1377</v>
      </c>
      <c r="Y727" s="44" t="s">
        <v>1377</v>
      </c>
      <c r="AA727" s="323"/>
      <c r="AB727" s="323"/>
      <c r="AC727" s="32" t="s">
        <v>450</v>
      </c>
      <c r="AG727" s="32" t="s">
        <v>1330</v>
      </c>
      <c r="AH727" s="32" t="s">
        <v>243</v>
      </c>
      <c r="AI727" s="138" t="s">
        <v>577</v>
      </c>
      <c r="AJ727" s="32" t="s">
        <v>132</v>
      </c>
      <c r="AK727" s="140" t="s">
        <v>132</v>
      </c>
      <c r="AO727" s="32" t="s">
        <v>470</v>
      </c>
      <c r="AP727" s="32" t="s">
        <v>470</v>
      </c>
      <c r="AQ727" s="32" t="s">
        <v>2126</v>
      </c>
      <c r="AR727" s="32" t="s">
        <v>2126</v>
      </c>
      <c r="AS727" s="32" t="s">
        <v>177</v>
      </c>
      <c r="AW727" s="32" t="s">
        <v>160</v>
      </c>
      <c r="AX727" s="32">
        <v>4</v>
      </c>
      <c r="AZ727" s="32" t="s">
        <v>335</v>
      </c>
      <c r="BD727" s="53"/>
      <c r="BK727" s="32">
        <f>10.6*1000</f>
        <v>10600</v>
      </c>
      <c r="BL727" s="32">
        <f>11.7*1000</f>
        <v>11700</v>
      </c>
      <c r="BP727" s="397"/>
      <c r="BQ727" s="397"/>
      <c r="BU727" s="397"/>
      <c r="BV727" s="397"/>
      <c r="BZ727" s="397"/>
      <c r="CA727" s="397"/>
      <c r="CE727" s="550"/>
      <c r="CF727" s="550"/>
      <c r="CG727" s="550"/>
      <c r="CH727" s="550"/>
      <c r="FV727" s="32">
        <v>50</v>
      </c>
      <c r="FW727" s="32">
        <v>290</v>
      </c>
      <c r="GZ727" s="12"/>
      <c r="HD727" s="12"/>
    </row>
    <row r="728" spans="1:262" s="32" customFormat="1" x14ac:dyDescent="0.25">
      <c r="A728" s="32">
        <v>33</v>
      </c>
      <c r="B728" s="44" t="s">
        <v>3894</v>
      </c>
      <c r="C728" s="32" t="s">
        <v>467</v>
      </c>
      <c r="D728" s="32" t="s">
        <v>468</v>
      </c>
      <c r="E728" s="32">
        <v>2016</v>
      </c>
      <c r="F728" s="32">
        <v>2013</v>
      </c>
      <c r="G728" s="32" t="s">
        <v>469</v>
      </c>
      <c r="H728" s="32" t="s">
        <v>318</v>
      </c>
      <c r="I728" s="32" t="s">
        <v>2815</v>
      </c>
      <c r="J728" s="32">
        <v>40.72</v>
      </c>
      <c r="K728" s="32">
        <v>-77.92</v>
      </c>
      <c r="L728" s="32">
        <v>350</v>
      </c>
      <c r="R728" s="44">
        <v>3</v>
      </c>
      <c r="S728" s="44" t="s">
        <v>1858</v>
      </c>
      <c r="T728" s="44"/>
      <c r="U728" s="44" t="s">
        <v>1910</v>
      </c>
      <c r="V728" s="44" t="s">
        <v>1377</v>
      </c>
      <c r="W728" s="44" t="s">
        <v>1377</v>
      </c>
      <c r="X728" s="44" t="s">
        <v>1377</v>
      </c>
      <c r="Y728" s="44" t="s">
        <v>1377</v>
      </c>
      <c r="AA728" s="323"/>
      <c r="AB728" s="323"/>
      <c r="AC728" s="32" t="s">
        <v>450</v>
      </c>
      <c r="AG728" s="32" t="s">
        <v>1330</v>
      </c>
      <c r="AH728" s="32" t="s">
        <v>243</v>
      </c>
      <c r="AI728" s="138" t="s">
        <v>577</v>
      </c>
      <c r="AJ728" s="32" t="s">
        <v>132</v>
      </c>
      <c r="AK728" s="140" t="s">
        <v>132</v>
      </c>
      <c r="AO728" s="32" t="s">
        <v>470</v>
      </c>
      <c r="AP728" s="32" t="s">
        <v>470</v>
      </c>
      <c r="AQ728" s="32" t="s">
        <v>2126</v>
      </c>
      <c r="AR728" s="32" t="s">
        <v>2126</v>
      </c>
      <c r="AS728" s="32" t="s">
        <v>177</v>
      </c>
      <c r="AW728" s="32" t="s">
        <v>160</v>
      </c>
      <c r="AX728" s="32">
        <v>4</v>
      </c>
      <c r="AZ728" s="32" t="s">
        <v>335</v>
      </c>
      <c r="BD728" s="53"/>
      <c r="BK728" s="32">
        <f>11.2*1000</f>
        <v>11200</v>
      </c>
      <c r="BL728" s="32">
        <f>11*1000</f>
        <v>11000</v>
      </c>
      <c r="BP728" s="397"/>
      <c r="BQ728" s="397"/>
      <c r="BU728" s="397"/>
      <c r="BV728" s="397"/>
      <c r="BZ728" s="397"/>
      <c r="CA728" s="397"/>
      <c r="CE728" s="550"/>
      <c r="CF728" s="550"/>
      <c r="CG728" s="550"/>
      <c r="CH728" s="550"/>
      <c r="FV728" s="32">
        <v>220</v>
      </c>
      <c r="FW728" s="32">
        <v>240</v>
      </c>
      <c r="GZ728" s="12"/>
      <c r="HD728" s="12"/>
    </row>
    <row r="729" spans="1:262" s="32" customFormat="1" x14ac:dyDescent="0.25">
      <c r="A729" s="32">
        <v>33</v>
      </c>
      <c r="B729" s="44" t="s">
        <v>3894</v>
      </c>
      <c r="C729" s="32" t="s">
        <v>467</v>
      </c>
      <c r="D729" s="32" t="s">
        <v>468</v>
      </c>
      <c r="E729" s="32">
        <v>2016</v>
      </c>
      <c r="F729" s="32">
        <v>2013</v>
      </c>
      <c r="G729" s="32" t="s">
        <v>469</v>
      </c>
      <c r="H729" s="32" t="s">
        <v>318</v>
      </c>
      <c r="I729" s="32" t="s">
        <v>2815</v>
      </c>
      <c r="J729" s="32">
        <v>40.72</v>
      </c>
      <c r="K729" s="32">
        <v>-77.92</v>
      </c>
      <c r="L729" s="32">
        <v>350</v>
      </c>
      <c r="R729" s="44">
        <v>3</v>
      </c>
      <c r="S729" s="44" t="s">
        <v>1858</v>
      </c>
      <c r="T729" s="44"/>
      <c r="U729" s="44" t="s">
        <v>1911</v>
      </c>
      <c r="V729" s="44" t="s">
        <v>1377</v>
      </c>
      <c r="W729" s="44" t="s">
        <v>1377</v>
      </c>
      <c r="X729" s="44" t="s">
        <v>1377</v>
      </c>
      <c r="Y729" s="44" t="s">
        <v>1377</v>
      </c>
      <c r="AA729" s="323"/>
      <c r="AB729" s="323"/>
      <c r="AC729" s="32" t="s">
        <v>450</v>
      </c>
      <c r="AG729" s="32" t="s">
        <v>1330</v>
      </c>
      <c r="AH729" s="32" t="s">
        <v>243</v>
      </c>
      <c r="AI729" s="138" t="s">
        <v>577</v>
      </c>
      <c r="AJ729" s="32" t="s">
        <v>132</v>
      </c>
      <c r="AK729" s="140" t="s">
        <v>132</v>
      </c>
      <c r="AO729" s="32" t="s">
        <v>470</v>
      </c>
      <c r="AP729" s="32" t="s">
        <v>470</v>
      </c>
      <c r="AQ729" s="32" t="s">
        <v>2126</v>
      </c>
      <c r="AR729" s="32" t="s">
        <v>2126</v>
      </c>
      <c r="AS729" s="32" t="s">
        <v>177</v>
      </c>
      <c r="AW729" s="32" t="s">
        <v>160</v>
      </c>
      <c r="AX729" s="32">
        <v>4</v>
      </c>
      <c r="AZ729" s="32" t="s">
        <v>335</v>
      </c>
      <c r="BD729" s="53"/>
      <c r="BK729" s="32">
        <f>11.2*1000</f>
        <v>11200</v>
      </c>
      <c r="BL729" s="32">
        <f>11.1*1000</f>
        <v>11100</v>
      </c>
      <c r="BP729" s="397"/>
      <c r="BQ729" s="397"/>
      <c r="BU729" s="397"/>
      <c r="BV729" s="397"/>
      <c r="BZ729" s="397"/>
      <c r="CA729" s="397"/>
      <c r="CE729" s="550"/>
      <c r="CF729" s="550"/>
      <c r="CG729" s="550"/>
      <c r="CH729" s="550"/>
      <c r="FV729" s="32">
        <v>230</v>
      </c>
      <c r="FW729" s="32">
        <v>140</v>
      </c>
      <c r="GZ729" s="12"/>
      <c r="HD729" s="12"/>
    </row>
    <row r="730" spans="1:262" s="32" customFormat="1" x14ac:dyDescent="0.25">
      <c r="A730" s="32">
        <v>33</v>
      </c>
      <c r="B730" s="44" t="s">
        <v>3894</v>
      </c>
      <c r="C730" s="32" t="s">
        <v>467</v>
      </c>
      <c r="D730" s="32" t="s">
        <v>468</v>
      </c>
      <c r="E730" s="32">
        <v>2016</v>
      </c>
      <c r="F730" s="32">
        <v>2013</v>
      </c>
      <c r="G730" s="32" t="s">
        <v>469</v>
      </c>
      <c r="H730" s="32" t="s">
        <v>318</v>
      </c>
      <c r="I730" s="32" t="s">
        <v>2815</v>
      </c>
      <c r="J730" s="32">
        <v>40.72</v>
      </c>
      <c r="K730" s="32">
        <v>-77.92</v>
      </c>
      <c r="L730" s="32">
        <v>350</v>
      </c>
      <c r="R730" s="44">
        <v>3</v>
      </c>
      <c r="S730" s="44" t="s">
        <v>1858</v>
      </c>
      <c r="T730" s="44"/>
      <c r="U730" s="44" t="s">
        <v>1912</v>
      </c>
      <c r="V730" s="44" t="s">
        <v>1377</v>
      </c>
      <c r="W730" s="44" t="s">
        <v>1377</v>
      </c>
      <c r="X730" s="44" t="s">
        <v>1377</v>
      </c>
      <c r="Y730" s="44" t="s">
        <v>1377</v>
      </c>
      <c r="AA730" s="323"/>
      <c r="AB730" s="323"/>
      <c r="AC730" s="32" t="s">
        <v>450</v>
      </c>
      <c r="AG730" s="32" t="s">
        <v>1330</v>
      </c>
      <c r="AH730" s="32" t="s">
        <v>243</v>
      </c>
      <c r="AI730" s="138" t="s">
        <v>577</v>
      </c>
      <c r="AJ730" s="32" t="s">
        <v>132</v>
      </c>
      <c r="AK730" s="140" t="s">
        <v>132</v>
      </c>
      <c r="AO730" s="32" t="s">
        <v>470</v>
      </c>
      <c r="AP730" s="32" t="s">
        <v>470</v>
      </c>
      <c r="AQ730" s="32" t="s">
        <v>2126</v>
      </c>
      <c r="AR730" s="32" t="s">
        <v>2126</v>
      </c>
      <c r="AS730" s="32" t="s">
        <v>177</v>
      </c>
      <c r="AW730" s="32" t="s">
        <v>160</v>
      </c>
      <c r="AX730" s="32">
        <v>4</v>
      </c>
      <c r="AZ730" s="32" t="s">
        <v>335</v>
      </c>
      <c r="BD730" s="53"/>
      <c r="BP730" s="397"/>
      <c r="BQ730" s="397"/>
      <c r="BU730" s="397"/>
      <c r="BV730" s="397"/>
      <c r="BZ730" s="397"/>
      <c r="CA730" s="397"/>
      <c r="CE730" s="550"/>
      <c r="CF730" s="550"/>
      <c r="CG730" s="550"/>
      <c r="CH730" s="550"/>
      <c r="FV730" s="32">
        <v>100</v>
      </c>
      <c r="FW730" s="32">
        <v>130</v>
      </c>
      <c r="GZ730" s="12"/>
      <c r="HD730" s="12"/>
    </row>
    <row r="731" spans="1:262" s="32" customFormat="1" x14ac:dyDescent="0.25">
      <c r="A731" s="32">
        <v>33</v>
      </c>
      <c r="B731" s="44" t="s">
        <v>3894</v>
      </c>
      <c r="C731" s="32" t="s">
        <v>467</v>
      </c>
      <c r="D731" s="32" t="s">
        <v>468</v>
      </c>
      <c r="E731" s="32">
        <v>2016</v>
      </c>
      <c r="F731" s="32">
        <v>2013</v>
      </c>
      <c r="G731" s="32" t="s">
        <v>469</v>
      </c>
      <c r="H731" s="32" t="s">
        <v>318</v>
      </c>
      <c r="I731" s="32" t="s">
        <v>2815</v>
      </c>
      <c r="J731" s="32">
        <v>40.72</v>
      </c>
      <c r="K731" s="32">
        <v>-77.92</v>
      </c>
      <c r="L731" s="32">
        <v>350</v>
      </c>
      <c r="R731" s="44">
        <v>3</v>
      </c>
      <c r="S731" s="44" t="s">
        <v>1858</v>
      </c>
      <c r="T731" s="44"/>
      <c r="U731" s="44" t="s">
        <v>1913</v>
      </c>
      <c r="V731" s="44" t="s">
        <v>1377</v>
      </c>
      <c r="W731" s="44" t="s">
        <v>1377</v>
      </c>
      <c r="X731" s="44" t="s">
        <v>1377</v>
      </c>
      <c r="Y731" s="44" t="s">
        <v>1377</v>
      </c>
      <c r="AA731" s="323"/>
      <c r="AB731" s="323"/>
      <c r="AC731" s="32" t="s">
        <v>450</v>
      </c>
      <c r="AG731" s="32" t="s">
        <v>1330</v>
      </c>
      <c r="AH731" s="32" t="s">
        <v>243</v>
      </c>
      <c r="AI731" s="138" t="s">
        <v>577</v>
      </c>
      <c r="AJ731" s="32" t="s">
        <v>132</v>
      </c>
      <c r="AK731" s="140" t="s">
        <v>132</v>
      </c>
      <c r="AO731" s="32" t="s">
        <v>470</v>
      </c>
      <c r="AP731" s="32" t="s">
        <v>470</v>
      </c>
      <c r="AQ731" s="32" t="s">
        <v>2126</v>
      </c>
      <c r="AR731" s="32" t="s">
        <v>2126</v>
      </c>
      <c r="AS731" s="32" t="s">
        <v>177</v>
      </c>
      <c r="AW731" s="32" t="s">
        <v>160</v>
      </c>
      <c r="AX731" s="32">
        <v>4</v>
      </c>
      <c r="AZ731" s="32" t="s">
        <v>335</v>
      </c>
      <c r="BD731" s="53"/>
      <c r="BK731" s="32">
        <f>12.4*1000</f>
        <v>12400</v>
      </c>
      <c r="BL731" s="32">
        <f>12.1*1000</f>
        <v>12100</v>
      </c>
      <c r="BP731" s="397"/>
      <c r="BQ731" s="397"/>
      <c r="BU731" s="397"/>
      <c r="BV731" s="397"/>
      <c r="BZ731" s="397"/>
      <c r="CA731" s="397"/>
      <c r="CE731" s="550"/>
      <c r="CF731" s="550"/>
      <c r="CG731" s="550"/>
      <c r="CH731" s="550"/>
      <c r="GZ731" s="12"/>
      <c r="HD731" s="12"/>
    </row>
    <row r="732" spans="1:262" s="32" customFormat="1" x14ac:dyDescent="0.25">
      <c r="A732" s="32">
        <v>33</v>
      </c>
      <c r="B732" s="44" t="s">
        <v>3894</v>
      </c>
      <c r="C732" s="32" t="s">
        <v>467</v>
      </c>
      <c r="D732" s="32" t="s">
        <v>468</v>
      </c>
      <c r="E732" s="32">
        <v>2016</v>
      </c>
      <c r="F732" s="32">
        <v>2014</v>
      </c>
      <c r="G732" s="32" t="s">
        <v>469</v>
      </c>
      <c r="H732" s="32" t="s">
        <v>318</v>
      </c>
      <c r="I732" s="32" t="s">
        <v>2815</v>
      </c>
      <c r="J732" s="32">
        <v>40.72</v>
      </c>
      <c r="K732" s="32">
        <v>-77.92</v>
      </c>
      <c r="L732" s="32">
        <v>350</v>
      </c>
      <c r="R732" s="44">
        <v>4</v>
      </c>
      <c r="S732" s="44" t="s">
        <v>1858</v>
      </c>
      <c r="T732" s="44"/>
      <c r="U732" s="44" t="s">
        <v>1910</v>
      </c>
      <c r="V732" s="44" t="s">
        <v>1377</v>
      </c>
      <c r="W732" s="44" t="s">
        <v>1377</v>
      </c>
      <c r="X732" s="44" t="s">
        <v>1377</v>
      </c>
      <c r="Y732" s="44" t="s">
        <v>1377</v>
      </c>
      <c r="AA732" s="323"/>
      <c r="AB732" s="323"/>
      <c r="AC732" s="32" t="s">
        <v>450</v>
      </c>
      <c r="AG732" s="32" t="s">
        <v>1330</v>
      </c>
      <c r="AH732" s="32" t="s">
        <v>243</v>
      </c>
      <c r="AI732" s="138" t="s">
        <v>577</v>
      </c>
      <c r="AJ732" s="32" t="s">
        <v>132</v>
      </c>
      <c r="AK732" s="140" t="s">
        <v>132</v>
      </c>
      <c r="AO732" s="32" t="s">
        <v>470</v>
      </c>
      <c r="AP732" s="32" t="s">
        <v>470</v>
      </c>
      <c r="AQ732" s="32" t="s">
        <v>2126</v>
      </c>
      <c r="AR732" s="32" t="s">
        <v>2126</v>
      </c>
      <c r="AS732" s="32" t="s">
        <v>177</v>
      </c>
      <c r="AW732" s="32" t="s">
        <v>160</v>
      </c>
      <c r="AX732" s="32">
        <v>4</v>
      </c>
      <c r="AZ732" s="32" t="s">
        <v>335</v>
      </c>
      <c r="BD732" s="53"/>
      <c r="BP732" s="397"/>
      <c r="BQ732" s="397"/>
      <c r="BU732" s="397"/>
      <c r="BV732" s="397"/>
      <c r="BZ732" s="397"/>
      <c r="CA732" s="397"/>
      <c r="CE732" s="550"/>
      <c r="CF732" s="550"/>
      <c r="CG732" s="550"/>
      <c r="CH732" s="550"/>
      <c r="FV732" s="32">
        <v>240</v>
      </c>
      <c r="FW732" s="32">
        <v>660</v>
      </c>
      <c r="GZ732" s="12"/>
      <c r="HD732" s="12"/>
    </row>
    <row r="733" spans="1:262" s="32" customFormat="1" x14ac:dyDescent="0.25">
      <c r="A733" s="32">
        <v>33</v>
      </c>
      <c r="B733" s="44" t="s">
        <v>3894</v>
      </c>
      <c r="C733" s="32" t="s">
        <v>467</v>
      </c>
      <c r="D733" s="32" t="s">
        <v>468</v>
      </c>
      <c r="E733" s="32">
        <v>2016</v>
      </c>
      <c r="F733" s="32">
        <v>2014</v>
      </c>
      <c r="G733" s="32" t="s">
        <v>469</v>
      </c>
      <c r="H733" s="32" t="s">
        <v>318</v>
      </c>
      <c r="I733" s="32" t="s">
        <v>2815</v>
      </c>
      <c r="J733" s="32">
        <v>40.72</v>
      </c>
      <c r="K733" s="32">
        <v>-77.92</v>
      </c>
      <c r="L733" s="32">
        <v>350</v>
      </c>
      <c r="R733" s="44">
        <v>4</v>
      </c>
      <c r="S733" s="44" t="s">
        <v>1858</v>
      </c>
      <c r="T733" s="44"/>
      <c r="U733" s="44" t="s">
        <v>1911</v>
      </c>
      <c r="V733" s="44" t="s">
        <v>1377</v>
      </c>
      <c r="W733" s="44" t="s">
        <v>1377</v>
      </c>
      <c r="X733" s="44" t="s">
        <v>1377</v>
      </c>
      <c r="Y733" s="44" t="s">
        <v>1377</v>
      </c>
      <c r="AA733" s="323"/>
      <c r="AB733" s="323"/>
      <c r="AC733" s="32" t="s">
        <v>450</v>
      </c>
      <c r="AG733" s="32" t="s">
        <v>1330</v>
      </c>
      <c r="AH733" s="32" t="s">
        <v>243</v>
      </c>
      <c r="AI733" s="138" t="s">
        <v>577</v>
      </c>
      <c r="AJ733" s="32" t="s">
        <v>132</v>
      </c>
      <c r="AK733" s="140" t="s">
        <v>132</v>
      </c>
      <c r="AO733" s="32" t="s">
        <v>470</v>
      </c>
      <c r="AP733" s="32" t="s">
        <v>470</v>
      </c>
      <c r="AQ733" s="32" t="s">
        <v>2126</v>
      </c>
      <c r="AR733" s="32" t="s">
        <v>2126</v>
      </c>
      <c r="AS733" s="32" t="s">
        <v>177</v>
      </c>
      <c r="AW733" s="32" t="s">
        <v>160</v>
      </c>
      <c r="AX733" s="32">
        <v>4</v>
      </c>
      <c r="AZ733" s="32" t="s">
        <v>335</v>
      </c>
      <c r="BD733" s="53"/>
      <c r="BP733" s="397"/>
      <c r="BQ733" s="397"/>
      <c r="BU733" s="397"/>
      <c r="BV733" s="397"/>
      <c r="BZ733" s="397"/>
      <c r="CA733" s="397"/>
      <c r="CE733" s="550"/>
      <c r="CF733" s="550"/>
      <c r="CG733" s="550"/>
      <c r="CH733" s="550"/>
      <c r="FV733" s="32">
        <v>30</v>
      </c>
      <c r="FW733" s="32">
        <v>250</v>
      </c>
      <c r="GZ733" s="12"/>
      <c r="HD733" s="12"/>
    </row>
    <row r="734" spans="1:262" s="32" customFormat="1" x14ac:dyDescent="0.25">
      <c r="A734" s="32">
        <v>33</v>
      </c>
      <c r="B734" s="44" t="s">
        <v>3894</v>
      </c>
      <c r="C734" s="32" t="s">
        <v>467</v>
      </c>
      <c r="D734" s="32" t="s">
        <v>468</v>
      </c>
      <c r="E734" s="32">
        <v>2016</v>
      </c>
      <c r="F734" s="32">
        <v>2014</v>
      </c>
      <c r="G734" s="32" t="s">
        <v>469</v>
      </c>
      <c r="H734" s="32" t="s">
        <v>318</v>
      </c>
      <c r="I734" s="32" t="s">
        <v>2815</v>
      </c>
      <c r="J734" s="32">
        <v>40.72</v>
      </c>
      <c r="K734" s="32">
        <v>-77.92</v>
      </c>
      <c r="L734" s="32">
        <v>350</v>
      </c>
      <c r="R734" s="44">
        <v>4</v>
      </c>
      <c r="S734" s="44" t="s">
        <v>1858</v>
      </c>
      <c r="T734" s="44"/>
      <c r="U734" s="44" t="s">
        <v>1912</v>
      </c>
      <c r="V734" s="44" t="s">
        <v>1377</v>
      </c>
      <c r="W734" s="44" t="s">
        <v>1377</v>
      </c>
      <c r="X734" s="44" t="s">
        <v>1377</v>
      </c>
      <c r="Y734" s="44" t="s">
        <v>1377</v>
      </c>
      <c r="AA734" s="323"/>
      <c r="AB734" s="323"/>
      <c r="AC734" s="32" t="s">
        <v>450</v>
      </c>
      <c r="AG734" s="32" t="s">
        <v>1330</v>
      </c>
      <c r="AH734" s="32" t="s">
        <v>243</v>
      </c>
      <c r="AI734" s="138" t="s">
        <v>577</v>
      </c>
      <c r="AJ734" s="32" t="s">
        <v>132</v>
      </c>
      <c r="AK734" s="140" t="s">
        <v>132</v>
      </c>
      <c r="AO734" s="32" t="s">
        <v>470</v>
      </c>
      <c r="AP734" s="32" t="s">
        <v>470</v>
      </c>
      <c r="AQ734" s="32" t="s">
        <v>2126</v>
      </c>
      <c r="AR734" s="32" t="s">
        <v>2126</v>
      </c>
      <c r="AS734" s="32" t="s">
        <v>177</v>
      </c>
      <c r="AW734" s="32" t="s">
        <v>160</v>
      </c>
      <c r="AX734" s="32">
        <v>4</v>
      </c>
      <c r="AZ734" s="32" t="s">
        <v>335</v>
      </c>
      <c r="BD734" s="53"/>
      <c r="BP734" s="397"/>
      <c r="BQ734" s="397"/>
      <c r="BU734" s="397"/>
      <c r="BV734" s="397"/>
      <c r="BZ734" s="397"/>
      <c r="CA734" s="397"/>
      <c r="CE734" s="550"/>
      <c r="CF734" s="550"/>
      <c r="CG734" s="550"/>
      <c r="CH734" s="550"/>
      <c r="FV734" s="32">
        <v>10</v>
      </c>
      <c r="FW734" s="32">
        <v>170</v>
      </c>
      <c r="GZ734" s="12"/>
      <c r="HD734" s="12"/>
    </row>
    <row r="735" spans="1:262" s="32" customFormat="1" x14ac:dyDescent="0.25">
      <c r="A735" s="32">
        <v>33</v>
      </c>
      <c r="B735" s="44" t="s">
        <v>3894</v>
      </c>
      <c r="C735" s="32" t="s">
        <v>467</v>
      </c>
      <c r="D735" s="32" t="s">
        <v>468</v>
      </c>
      <c r="E735" s="32">
        <v>2016</v>
      </c>
      <c r="F735" s="32">
        <v>2014</v>
      </c>
      <c r="G735" s="32" t="s">
        <v>469</v>
      </c>
      <c r="H735" s="32" t="s">
        <v>318</v>
      </c>
      <c r="I735" s="32" t="s">
        <v>2815</v>
      </c>
      <c r="J735" s="32">
        <v>40.72</v>
      </c>
      <c r="K735" s="32">
        <v>-77.92</v>
      </c>
      <c r="L735" s="32">
        <v>350</v>
      </c>
      <c r="R735" s="44">
        <v>4</v>
      </c>
      <c r="S735" s="44" t="s">
        <v>1858</v>
      </c>
      <c r="T735" s="44"/>
      <c r="U735" s="44" t="s">
        <v>1913</v>
      </c>
      <c r="V735" s="44" t="s">
        <v>1377</v>
      </c>
      <c r="W735" s="44" t="s">
        <v>1377</v>
      </c>
      <c r="X735" s="44" t="s">
        <v>1377</v>
      </c>
      <c r="Y735" s="44" t="s">
        <v>1377</v>
      </c>
      <c r="AA735" s="323"/>
      <c r="AB735" s="323"/>
      <c r="AC735" s="32" t="s">
        <v>450</v>
      </c>
      <c r="AG735" s="32" t="s">
        <v>1330</v>
      </c>
      <c r="AH735" s="32" t="s">
        <v>243</v>
      </c>
      <c r="AI735" s="138" t="s">
        <v>577</v>
      </c>
      <c r="AJ735" s="32" t="s">
        <v>132</v>
      </c>
      <c r="AK735" s="140" t="s">
        <v>132</v>
      </c>
      <c r="AO735" s="32" t="s">
        <v>470</v>
      </c>
      <c r="AP735" s="32" t="s">
        <v>470</v>
      </c>
      <c r="AQ735" s="32" t="s">
        <v>2126</v>
      </c>
      <c r="AR735" s="32" t="s">
        <v>2126</v>
      </c>
      <c r="AS735" s="32" t="s">
        <v>177</v>
      </c>
      <c r="AW735" s="32" t="s">
        <v>160</v>
      </c>
      <c r="AX735" s="32">
        <v>4</v>
      </c>
      <c r="AZ735" s="32" t="s">
        <v>335</v>
      </c>
      <c r="BD735" s="53"/>
      <c r="BP735" s="397"/>
      <c r="BQ735" s="397"/>
      <c r="BU735" s="397"/>
      <c r="BV735" s="397"/>
      <c r="BZ735" s="397"/>
      <c r="CA735" s="397"/>
      <c r="CE735" s="550"/>
      <c r="CF735" s="550"/>
      <c r="CG735" s="550"/>
      <c r="CH735" s="550"/>
      <c r="FV735" s="32">
        <v>10</v>
      </c>
      <c r="FW735" s="32">
        <v>70</v>
      </c>
      <c r="GZ735" s="12"/>
      <c r="HD735" s="12"/>
    </row>
    <row r="736" spans="1:262" s="33" customFormat="1" x14ac:dyDescent="0.25">
      <c r="A736" s="33">
        <v>34</v>
      </c>
      <c r="B736" s="47" t="s">
        <v>3895</v>
      </c>
      <c r="C736" s="33" t="s">
        <v>471</v>
      </c>
      <c r="D736" s="33" t="s">
        <v>472</v>
      </c>
      <c r="E736" s="33">
        <v>2004</v>
      </c>
      <c r="F736" s="33">
        <v>1989</v>
      </c>
      <c r="G736" s="33" t="s">
        <v>473</v>
      </c>
      <c r="H736" s="33" t="s">
        <v>474</v>
      </c>
      <c r="I736" s="32" t="s">
        <v>2815</v>
      </c>
      <c r="J736" s="33">
        <f>30+1/60</f>
        <v>30.016666666666666</v>
      </c>
      <c r="K736" s="33">
        <f>-85-32/60</f>
        <v>-85.533333333333331</v>
      </c>
      <c r="L736" s="33">
        <v>4.8</v>
      </c>
      <c r="R736" s="47">
        <v>4</v>
      </c>
      <c r="S736" s="47" t="s">
        <v>1717</v>
      </c>
      <c r="T736" s="47"/>
      <c r="U736" s="47" t="s">
        <v>1914</v>
      </c>
      <c r="V736" s="47" t="s">
        <v>1377</v>
      </c>
      <c r="W736" s="47" t="s">
        <v>1377</v>
      </c>
      <c r="X736" s="47" t="s">
        <v>1377</v>
      </c>
      <c r="Y736" s="47" t="s">
        <v>1377</v>
      </c>
      <c r="AA736" s="327">
        <v>66</v>
      </c>
      <c r="AB736" s="327">
        <v>22</v>
      </c>
      <c r="AC736" s="33" t="s">
        <v>450</v>
      </c>
      <c r="AG736" s="33" t="s">
        <v>1333</v>
      </c>
      <c r="AH736" s="33" t="s">
        <v>1527</v>
      </c>
      <c r="AI736" s="138" t="s">
        <v>1581</v>
      </c>
      <c r="AJ736" s="33" t="s">
        <v>132</v>
      </c>
      <c r="AK736" s="141" t="s">
        <v>1621</v>
      </c>
      <c r="AL736" s="33" t="s">
        <v>421</v>
      </c>
      <c r="AM736" s="33" t="s">
        <v>421</v>
      </c>
      <c r="AN736" s="33" t="s">
        <v>177</v>
      </c>
      <c r="AO736" s="33" t="s">
        <v>477</v>
      </c>
      <c r="AP736" s="33" t="s">
        <v>156</v>
      </c>
      <c r="AQ736" s="33" t="s">
        <v>2125</v>
      </c>
      <c r="AR736" s="33" t="s">
        <v>2126</v>
      </c>
      <c r="AS736" s="33" t="s">
        <v>502</v>
      </c>
      <c r="AT736" s="33" t="s">
        <v>475</v>
      </c>
      <c r="AU736" s="33" t="s">
        <v>476</v>
      </c>
      <c r="AV736" s="33" t="s">
        <v>502</v>
      </c>
      <c r="AW736" s="33" t="s">
        <v>160</v>
      </c>
      <c r="BD736" s="54"/>
      <c r="BE736" s="33" t="s">
        <v>478</v>
      </c>
      <c r="BK736" s="33">
        <f>(11.1+8.1+11.6+8+9.9+8.3+7.3+10.7+10.2)/9*1000</f>
        <v>9466.6666666666661</v>
      </c>
      <c r="BL736" s="33">
        <f>(8.6+8.9+9.9)/3*1000</f>
        <v>9133.3333333333321</v>
      </c>
      <c r="BP736" s="402"/>
      <c r="BQ736" s="402"/>
      <c r="BU736" s="402"/>
      <c r="BV736" s="402"/>
      <c r="BZ736" s="402"/>
      <c r="CA736" s="402"/>
      <c r="CE736" s="555"/>
      <c r="CF736" s="555"/>
      <c r="CG736" s="555"/>
      <c r="CH736" s="555"/>
      <c r="FB736" s="33">
        <f>(17.8+9.6+6.6)/3</f>
        <v>11.333333333333334</v>
      </c>
      <c r="FC736" s="33">
        <f>(19.9+22.4+31.6+26.8+32.6+24.1+13.3+27.6+16.9)/9</f>
        <v>23.911111111111111</v>
      </c>
      <c r="FF736" s="33" t="s">
        <v>466</v>
      </c>
      <c r="GZ736" s="12"/>
      <c r="HD736" s="12"/>
      <c r="JB736" s="33" t="s">
        <v>466</v>
      </c>
    </row>
    <row r="737" spans="1:262" s="33" customFormat="1" x14ac:dyDescent="0.25">
      <c r="A737" s="33">
        <v>34</v>
      </c>
      <c r="B737" s="47" t="s">
        <v>3895</v>
      </c>
      <c r="C737" s="33" t="s">
        <v>471</v>
      </c>
      <c r="D737" s="33" t="s">
        <v>472</v>
      </c>
      <c r="E737" s="33">
        <v>2004</v>
      </c>
      <c r="F737" s="33">
        <v>1989</v>
      </c>
      <c r="G737" s="33" t="s">
        <v>473</v>
      </c>
      <c r="H737" s="33" t="s">
        <v>474</v>
      </c>
      <c r="I737" s="32" t="s">
        <v>2815</v>
      </c>
      <c r="J737" s="33">
        <f>30+1/60</f>
        <v>30.016666666666666</v>
      </c>
      <c r="K737" s="33">
        <f>-85-32/60</f>
        <v>-85.533333333333331</v>
      </c>
      <c r="L737" s="33">
        <v>4.8</v>
      </c>
      <c r="R737" s="47">
        <v>4</v>
      </c>
      <c r="S737" s="47" t="s">
        <v>1717</v>
      </c>
      <c r="T737" s="47"/>
      <c r="U737" s="47" t="s">
        <v>1914</v>
      </c>
      <c r="V737" s="47" t="s">
        <v>1377</v>
      </c>
      <c r="W737" s="47" t="s">
        <v>1377</v>
      </c>
      <c r="X737" s="47" t="s">
        <v>1377</v>
      </c>
      <c r="Y737" s="47" t="s">
        <v>1377</v>
      </c>
      <c r="AA737" s="327">
        <v>66</v>
      </c>
      <c r="AB737" s="327">
        <v>22</v>
      </c>
      <c r="AC737" s="33" t="s">
        <v>450</v>
      </c>
      <c r="AG737" s="33" t="s">
        <v>1333</v>
      </c>
      <c r="AH737" s="33" t="s">
        <v>1527</v>
      </c>
      <c r="AI737" s="138" t="s">
        <v>1581</v>
      </c>
      <c r="AJ737" s="33" t="s">
        <v>132</v>
      </c>
      <c r="AK737" s="141" t="s">
        <v>1621</v>
      </c>
      <c r="AL737" s="33" t="s">
        <v>421</v>
      </c>
      <c r="AM737" s="33" t="s">
        <v>421</v>
      </c>
      <c r="AN737" s="33" t="s">
        <v>177</v>
      </c>
      <c r="AO737" s="33" t="s">
        <v>477</v>
      </c>
      <c r="AP737" s="33" t="s">
        <v>156</v>
      </c>
      <c r="AQ737" s="33" t="s">
        <v>2125</v>
      </c>
      <c r="AR737" s="33" t="s">
        <v>2126</v>
      </c>
      <c r="AS737" s="33" t="s">
        <v>502</v>
      </c>
      <c r="AT737" s="33" t="s">
        <v>475</v>
      </c>
      <c r="AU737" s="33" t="s">
        <v>476</v>
      </c>
      <c r="AV737" s="33" t="s">
        <v>502</v>
      </c>
      <c r="AW737" s="33" t="s">
        <v>160</v>
      </c>
      <c r="BD737" s="54"/>
      <c r="BE737" s="33" t="s">
        <v>479</v>
      </c>
      <c r="BK737" s="33">
        <f>(11.5+8.3+12.1+8.4+9.6+7.6+7.1+10.6+9.9)/9*1000</f>
        <v>9455.5555555555566</v>
      </c>
      <c r="BL737" s="33">
        <f>(8.5+8.6+10.1)/3*1000</f>
        <v>9066.6666666666679</v>
      </c>
      <c r="BP737" s="402"/>
      <c r="BQ737" s="402"/>
      <c r="BU737" s="402"/>
      <c r="BV737" s="402"/>
      <c r="BZ737" s="402"/>
      <c r="CA737" s="402"/>
      <c r="CE737" s="555"/>
      <c r="CF737" s="555"/>
      <c r="CG737" s="555"/>
      <c r="CH737" s="555"/>
      <c r="FB737" s="33">
        <f>(15.1+10.7+6.4)/3</f>
        <v>10.733333333333333</v>
      </c>
      <c r="FC737" s="33">
        <f>(20+25+33.5+29+34.5+22.5+15.6+30.1+17.1)/9</f>
        <v>25.255555555555553</v>
      </c>
      <c r="FF737" s="33" t="s">
        <v>466</v>
      </c>
      <c r="GZ737" s="12"/>
      <c r="HD737" s="12"/>
      <c r="JB737" s="33" t="s">
        <v>466</v>
      </c>
    </row>
    <row r="738" spans="1:262" s="33" customFormat="1" x14ac:dyDescent="0.25">
      <c r="A738" s="33">
        <v>34</v>
      </c>
      <c r="B738" s="47" t="s">
        <v>3895</v>
      </c>
      <c r="C738" s="33" t="s">
        <v>471</v>
      </c>
      <c r="D738" s="33" t="s">
        <v>472</v>
      </c>
      <c r="E738" s="33">
        <v>2004</v>
      </c>
      <c r="F738" s="33">
        <v>1989</v>
      </c>
      <c r="G738" s="33" t="s">
        <v>473</v>
      </c>
      <c r="H738" s="33" t="s">
        <v>474</v>
      </c>
      <c r="I738" s="32" t="s">
        <v>2815</v>
      </c>
      <c r="J738" s="33">
        <f>30+1/60</f>
        <v>30.016666666666666</v>
      </c>
      <c r="K738" s="33">
        <f>-85-32/60</f>
        <v>-85.533333333333331</v>
      </c>
      <c r="L738" s="33">
        <v>4.8</v>
      </c>
      <c r="R738" s="47">
        <v>4</v>
      </c>
      <c r="S738" s="47" t="s">
        <v>1717</v>
      </c>
      <c r="T738" s="47"/>
      <c r="U738" s="47" t="s">
        <v>1914</v>
      </c>
      <c r="V738" s="47" t="s">
        <v>1377</v>
      </c>
      <c r="W738" s="47" t="s">
        <v>1377</v>
      </c>
      <c r="X738" s="47" t="s">
        <v>1377</v>
      </c>
      <c r="Y738" s="47" t="s">
        <v>1377</v>
      </c>
      <c r="AA738" s="327">
        <v>66</v>
      </c>
      <c r="AB738" s="327">
        <v>22</v>
      </c>
      <c r="AC738" s="33" t="s">
        <v>450</v>
      </c>
      <c r="AG738" s="33" t="s">
        <v>1333</v>
      </c>
      <c r="AH738" s="33" t="s">
        <v>1527</v>
      </c>
      <c r="AI738" s="138" t="s">
        <v>1581</v>
      </c>
      <c r="AJ738" s="33" t="s">
        <v>132</v>
      </c>
      <c r="AK738" s="141" t="s">
        <v>1621</v>
      </c>
      <c r="AL738" s="33" t="s">
        <v>421</v>
      </c>
      <c r="AM738" s="33" t="s">
        <v>421</v>
      </c>
      <c r="AN738" s="33" t="s">
        <v>177</v>
      </c>
      <c r="AO738" s="33" t="s">
        <v>477</v>
      </c>
      <c r="AP738" s="33" t="s">
        <v>156</v>
      </c>
      <c r="AQ738" s="33" t="s">
        <v>2125</v>
      </c>
      <c r="AR738" s="33" t="s">
        <v>2126</v>
      </c>
      <c r="AS738" s="33" t="s">
        <v>502</v>
      </c>
      <c r="AT738" s="33" t="s">
        <v>475</v>
      </c>
      <c r="AU738" s="33" t="s">
        <v>476</v>
      </c>
      <c r="AV738" s="33" t="s">
        <v>502</v>
      </c>
      <c r="AW738" s="33" t="s">
        <v>160</v>
      </c>
      <c r="BD738" s="54"/>
      <c r="BE738" s="33" t="s">
        <v>480</v>
      </c>
      <c r="BK738" s="33">
        <f>(11.3+8.5+12.1+7.7+8.8+7.7+7.9+10.1+10)/9*1000</f>
        <v>9344.4444444444453</v>
      </c>
      <c r="BL738" s="33">
        <f>(9.2+8.8+10.1)/3*1000</f>
        <v>9366.6666666666679</v>
      </c>
      <c r="BP738" s="402"/>
      <c r="BQ738" s="402"/>
      <c r="BU738" s="402"/>
      <c r="BV738" s="402"/>
      <c r="BZ738" s="402"/>
      <c r="CA738" s="402"/>
      <c r="CE738" s="555"/>
      <c r="CF738" s="555"/>
      <c r="CG738" s="555"/>
      <c r="CH738" s="555"/>
      <c r="FB738" s="33">
        <f>(15.9+10.3+6.9)/3</f>
        <v>11.033333333333333</v>
      </c>
      <c r="FC738" s="33">
        <f>(20.3+23.4+30.5+27.4+30.1+20.7+15.7+28+15.3)/9</f>
        <v>23.488888888888887</v>
      </c>
      <c r="FF738" s="33" t="s">
        <v>466</v>
      </c>
      <c r="GZ738" s="12"/>
      <c r="HD738" s="12"/>
      <c r="JB738" s="33" t="s">
        <v>466</v>
      </c>
    </row>
    <row r="739" spans="1:262" s="24" customFormat="1" x14ac:dyDescent="0.25">
      <c r="A739" s="24">
        <v>35</v>
      </c>
      <c r="B739" s="42" t="s">
        <v>3896</v>
      </c>
      <c r="C739" s="24" t="s">
        <v>481</v>
      </c>
      <c r="D739" s="24" t="s">
        <v>482</v>
      </c>
      <c r="E739" s="24">
        <v>2011</v>
      </c>
      <c r="F739" s="24">
        <v>2006</v>
      </c>
      <c r="G739" s="24" t="s">
        <v>127</v>
      </c>
      <c r="H739" s="24" t="s">
        <v>483</v>
      </c>
      <c r="I739" s="32" t="s">
        <v>2815</v>
      </c>
      <c r="J739" s="24">
        <f t="shared" ref="J739:J746" si="207">38+32/60</f>
        <v>38.533333333333331</v>
      </c>
      <c r="K739" s="24">
        <f t="shared" ref="K739:K746" si="208">-121-52/60</f>
        <v>-121.86666666666666</v>
      </c>
      <c r="L739" s="24">
        <v>27.1</v>
      </c>
      <c r="Q739" s="24" t="s">
        <v>484</v>
      </c>
      <c r="R739" s="42">
        <v>1</v>
      </c>
      <c r="S739" s="42">
        <v>1</v>
      </c>
      <c r="T739" s="42"/>
      <c r="U739" s="42" t="s">
        <v>372</v>
      </c>
      <c r="V739" s="42" t="s">
        <v>1382</v>
      </c>
      <c r="W739" s="42" t="s">
        <v>1717</v>
      </c>
      <c r="X739" s="42" t="s">
        <v>1382</v>
      </c>
      <c r="Y739" s="42" t="s">
        <v>1382</v>
      </c>
      <c r="AA739" s="321"/>
      <c r="AB739" s="321"/>
      <c r="AC739" s="24" t="s">
        <v>450</v>
      </c>
      <c r="AG739" s="24" t="s">
        <v>1331</v>
      </c>
      <c r="AH739" s="24" t="s">
        <v>243</v>
      </c>
      <c r="AI739" s="138" t="s">
        <v>577</v>
      </c>
      <c r="AJ739" s="24" t="s">
        <v>242</v>
      </c>
      <c r="AK739" s="140" t="s">
        <v>1616</v>
      </c>
      <c r="AL739" s="24" t="s">
        <v>1156</v>
      </c>
      <c r="AM739" s="24" t="s">
        <v>1156</v>
      </c>
      <c r="AN739" s="24" t="s">
        <v>177</v>
      </c>
      <c r="AO739" s="24" t="s">
        <v>487</v>
      </c>
      <c r="AP739" s="24" t="s">
        <v>442</v>
      </c>
      <c r="AQ739" s="24" t="s">
        <v>2125</v>
      </c>
      <c r="AR739" s="24" t="s">
        <v>2125</v>
      </c>
      <c r="AS739" s="24" t="s">
        <v>502</v>
      </c>
      <c r="AT739" s="24" t="s">
        <v>486</v>
      </c>
      <c r="AU739" s="24" t="s">
        <v>486</v>
      </c>
      <c r="AV739" s="24" t="s">
        <v>502</v>
      </c>
      <c r="AW739" s="24" t="s">
        <v>160</v>
      </c>
      <c r="AX739" s="24">
        <v>3</v>
      </c>
      <c r="AZ739" s="24" t="s">
        <v>485</v>
      </c>
      <c r="BD739" s="53"/>
      <c r="BP739" s="395"/>
      <c r="BQ739" s="395"/>
      <c r="BU739" s="395"/>
      <c r="BV739" s="395"/>
      <c r="BZ739" s="395"/>
      <c r="CA739" s="395"/>
      <c r="CE739" s="548"/>
      <c r="CF739" s="548"/>
      <c r="CG739" s="548"/>
      <c r="CH739" s="548"/>
      <c r="GU739" s="24">
        <f>(5.99+29+17.85+7)/4</f>
        <v>14.96</v>
      </c>
      <c r="GV739" s="24">
        <f>(5.5+25.83+16.22+9.47)/4</f>
        <v>14.254999999999999</v>
      </c>
      <c r="GY739" s="24" t="s">
        <v>1657</v>
      </c>
      <c r="HY739" s="24">
        <f>326*0.61/29</f>
        <v>6.8572413793103442</v>
      </c>
      <c r="HZ739" s="24">
        <f>178*0.61/29</f>
        <v>3.7441379310344827</v>
      </c>
      <c r="IC739" s="24" t="s">
        <v>488</v>
      </c>
      <c r="JB739" s="24" t="s">
        <v>722</v>
      </c>
    </row>
    <row r="740" spans="1:262" s="24" customFormat="1" x14ac:dyDescent="0.25">
      <c r="A740" s="24">
        <v>35</v>
      </c>
      <c r="B740" s="42" t="s">
        <v>3896</v>
      </c>
      <c r="C740" s="24" t="s">
        <v>481</v>
      </c>
      <c r="D740" s="24" t="s">
        <v>482</v>
      </c>
      <c r="E740" s="24">
        <v>2011</v>
      </c>
      <c r="F740" s="24">
        <v>2006</v>
      </c>
      <c r="G740" s="24" t="s">
        <v>127</v>
      </c>
      <c r="H740" s="24" t="s">
        <v>483</v>
      </c>
      <c r="I740" s="32" t="s">
        <v>2815</v>
      </c>
      <c r="J740" s="24">
        <f t="shared" si="207"/>
        <v>38.533333333333331</v>
      </c>
      <c r="K740" s="24">
        <f t="shared" si="208"/>
        <v>-121.86666666666666</v>
      </c>
      <c r="L740" s="24">
        <v>27.1</v>
      </c>
      <c r="Q740" s="24" t="s">
        <v>484</v>
      </c>
      <c r="R740" s="42">
        <v>1</v>
      </c>
      <c r="S740" s="42">
        <v>1</v>
      </c>
      <c r="T740" s="42"/>
      <c r="U740" s="42" t="s">
        <v>490</v>
      </c>
      <c r="V740" s="42" t="s">
        <v>1382</v>
      </c>
      <c r="W740" s="42" t="s">
        <v>1717</v>
      </c>
      <c r="X740" s="42" t="s">
        <v>1382</v>
      </c>
      <c r="Y740" s="42" t="s">
        <v>1382</v>
      </c>
      <c r="AA740" s="321"/>
      <c r="AB740" s="321"/>
      <c r="AC740" s="24" t="s">
        <v>450</v>
      </c>
      <c r="AG740" s="24" t="s">
        <v>1331</v>
      </c>
      <c r="AH740" s="24" t="s">
        <v>243</v>
      </c>
      <c r="AI740" s="138" t="s">
        <v>577</v>
      </c>
      <c r="AJ740" s="24" t="s">
        <v>242</v>
      </c>
      <c r="AK740" s="140" t="s">
        <v>1616</v>
      </c>
      <c r="AL740" s="24" t="s">
        <v>1156</v>
      </c>
      <c r="AM740" s="24" t="s">
        <v>1156</v>
      </c>
      <c r="AN740" s="24" t="s">
        <v>177</v>
      </c>
      <c r="AO740" s="24" t="s">
        <v>487</v>
      </c>
      <c r="AP740" s="24" t="s">
        <v>442</v>
      </c>
      <c r="AQ740" s="24" t="s">
        <v>2125</v>
      </c>
      <c r="AR740" s="24" t="s">
        <v>2125</v>
      </c>
      <c r="AS740" s="24" t="s">
        <v>502</v>
      </c>
      <c r="AT740" s="24" t="s">
        <v>486</v>
      </c>
      <c r="AU740" s="24" t="s">
        <v>486</v>
      </c>
      <c r="AV740" s="24" t="s">
        <v>502</v>
      </c>
      <c r="AW740" s="24" t="s">
        <v>160</v>
      </c>
      <c r="AX740" s="24">
        <v>3</v>
      </c>
      <c r="AZ740" s="24" t="s">
        <v>485</v>
      </c>
      <c r="BD740" s="53"/>
      <c r="BP740" s="395"/>
      <c r="BQ740" s="395"/>
      <c r="BU740" s="395"/>
      <c r="BV740" s="395"/>
      <c r="BZ740" s="395"/>
      <c r="CA740" s="395"/>
      <c r="CE740" s="548"/>
      <c r="CF740" s="548"/>
      <c r="CG740" s="548"/>
      <c r="CH740" s="548"/>
      <c r="GU740" s="24">
        <f>(5.99+29+17.85+7)/4</f>
        <v>14.96</v>
      </c>
      <c r="GV740" s="24">
        <f>(6.07+26.97+16.55+9.63)/4</f>
        <v>14.805000000000001</v>
      </c>
      <c r="GY740" s="24" t="s">
        <v>1657</v>
      </c>
      <c r="HY740" s="24">
        <f>237*0.61/69</f>
        <v>2.0952173913043479</v>
      </c>
      <c r="HZ740" s="24">
        <f>328*0.61/69</f>
        <v>2.899710144927536</v>
      </c>
      <c r="IC740" s="24" t="s">
        <v>488</v>
      </c>
      <c r="JB740" s="24" t="s">
        <v>722</v>
      </c>
    </row>
    <row r="741" spans="1:262" s="24" customFormat="1" x14ac:dyDescent="0.25">
      <c r="A741" s="24">
        <v>35</v>
      </c>
      <c r="B741" s="42" t="s">
        <v>3896</v>
      </c>
      <c r="C741" s="24" t="s">
        <v>481</v>
      </c>
      <c r="D741" s="24" t="s">
        <v>482</v>
      </c>
      <c r="E741" s="24">
        <v>2011</v>
      </c>
      <c r="F741" s="24">
        <v>2006</v>
      </c>
      <c r="G741" s="24" t="s">
        <v>127</v>
      </c>
      <c r="H741" s="24" t="s">
        <v>483</v>
      </c>
      <c r="I741" s="32" t="s">
        <v>2815</v>
      </c>
      <c r="J741" s="24">
        <f t="shared" si="207"/>
        <v>38.533333333333331</v>
      </c>
      <c r="K741" s="24">
        <f t="shared" si="208"/>
        <v>-121.86666666666666</v>
      </c>
      <c r="L741" s="24">
        <v>27.1</v>
      </c>
      <c r="Q741" s="24" t="s">
        <v>484</v>
      </c>
      <c r="R741" s="42">
        <v>1</v>
      </c>
      <c r="S741" s="42">
        <v>1</v>
      </c>
      <c r="T741" s="42"/>
      <c r="U741" s="42" t="s">
        <v>491</v>
      </c>
      <c r="V741" s="42" t="s">
        <v>1382</v>
      </c>
      <c r="W741" s="42" t="s">
        <v>1717</v>
      </c>
      <c r="X741" s="42" t="s">
        <v>1382</v>
      </c>
      <c r="Y741" s="42" t="s">
        <v>1382</v>
      </c>
      <c r="AA741" s="321"/>
      <c r="AB741" s="321"/>
      <c r="AC741" s="24" t="s">
        <v>450</v>
      </c>
      <c r="AG741" s="24" t="s">
        <v>1331</v>
      </c>
      <c r="AH741" s="24" t="s">
        <v>243</v>
      </c>
      <c r="AI741" s="138" t="s">
        <v>577</v>
      </c>
      <c r="AJ741" s="24" t="s">
        <v>242</v>
      </c>
      <c r="AK741" s="140" t="s">
        <v>1616</v>
      </c>
      <c r="AL741" s="24" t="s">
        <v>1156</v>
      </c>
      <c r="AM741" s="24" t="s">
        <v>1156</v>
      </c>
      <c r="AN741" s="24" t="s">
        <v>177</v>
      </c>
      <c r="AO741" s="24" t="s">
        <v>487</v>
      </c>
      <c r="AP741" s="24" t="s">
        <v>442</v>
      </c>
      <c r="AQ741" s="24" t="s">
        <v>2125</v>
      </c>
      <c r="AR741" s="24" t="s">
        <v>2125</v>
      </c>
      <c r="AS741" s="24" t="s">
        <v>502</v>
      </c>
      <c r="AT741" s="24" t="s">
        <v>486</v>
      </c>
      <c r="AU741" s="24" t="s">
        <v>486</v>
      </c>
      <c r="AV741" s="24" t="s">
        <v>502</v>
      </c>
      <c r="AW741" s="24" t="s">
        <v>160</v>
      </c>
      <c r="AX741" s="24">
        <v>3</v>
      </c>
      <c r="AZ741" s="24" t="s">
        <v>485</v>
      </c>
      <c r="BD741" s="53"/>
      <c r="BP741" s="395"/>
      <c r="BQ741" s="395"/>
      <c r="BU741" s="395"/>
      <c r="BV741" s="395"/>
      <c r="BZ741" s="395"/>
      <c r="CA741" s="395"/>
      <c r="CE741" s="548"/>
      <c r="CF741" s="548"/>
      <c r="CG741" s="548"/>
      <c r="CH741" s="548"/>
      <c r="GU741" s="24">
        <f>(6.64+26.81+18.02+6.37)/4</f>
        <v>14.459999999999999</v>
      </c>
      <c r="GV741" s="24">
        <f>(6.64+25.18+17.86+6.13)/4</f>
        <v>13.952500000000001</v>
      </c>
      <c r="GY741" s="24" t="s">
        <v>1658</v>
      </c>
      <c r="HY741" s="24">
        <f>278*0.61/100</f>
        <v>1.6957999999999998</v>
      </c>
      <c r="HZ741" s="24">
        <f>354*0.61/100</f>
        <v>2.1593999999999998</v>
      </c>
      <c r="IC741" s="24" t="s">
        <v>488</v>
      </c>
      <c r="JB741" s="24" t="s">
        <v>722</v>
      </c>
    </row>
    <row r="742" spans="1:262" s="24" customFormat="1" x14ac:dyDescent="0.25">
      <c r="A742" s="24">
        <v>35</v>
      </c>
      <c r="B742" s="42" t="s">
        <v>3896</v>
      </c>
      <c r="C742" s="24" t="s">
        <v>481</v>
      </c>
      <c r="D742" s="24" t="s">
        <v>482</v>
      </c>
      <c r="E742" s="24">
        <v>2011</v>
      </c>
      <c r="F742" s="24">
        <v>2006</v>
      </c>
      <c r="G742" s="24" t="s">
        <v>127</v>
      </c>
      <c r="H742" s="24" t="s">
        <v>483</v>
      </c>
      <c r="I742" s="32" t="s">
        <v>2815</v>
      </c>
      <c r="J742" s="24">
        <f t="shared" si="207"/>
        <v>38.533333333333331</v>
      </c>
      <c r="K742" s="24">
        <f t="shared" si="208"/>
        <v>-121.86666666666666</v>
      </c>
      <c r="L742" s="24">
        <v>27.1</v>
      </c>
      <c r="Q742" s="24" t="s">
        <v>484</v>
      </c>
      <c r="R742" s="42">
        <v>1</v>
      </c>
      <c r="S742" s="42">
        <v>1</v>
      </c>
      <c r="T742" s="42"/>
      <c r="U742" s="42" t="s">
        <v>492</v>
      </c>
      <c r="V742" s="42" t="s">
        <v>1382</v>
      </c>
      <c r="W742" s="42" t="s">
        <v>1717</v>
      </c>
      <c r="X742" s="42" t="s">
        <v>1382</v>
      </c>
      <c r="Y742" s="42" t="s">
        <v>1382</v>
      </c>
      <c r="AA742" s="321"/>
      <c r="AB742" s="321"/>
      <c r="AC742" s="24" t="s">
        <v>450</v>
      </c>
      <c r="AG742" s="24" t="s">
        <v>1331</v>
      </c>
      <c r="AH742" s="24" t="s">
        <v>243</v>
      </c>
      <c r="AI742" s="138" t="s">
        <v>577</v>
      </c>
      <c r="AJ742" s="24" t="s">
        <v>242</v>
      </c>
      <c r="AK742" s="140" t="s">
        <v>1616</v>
      </c>
      <c r="AL742" s="24" t="s">
        <v>1156</v>
      </c>
      <c r="AM742" s="24" t="s">
        <v>1156</v>
      </c>
      <c r="AN742" s="24" t="s">
        <v>177</v>
      </c>
      <c r="AO742" s="24" t="s">
        <v>487</v>
      </c>
      <c r="AP742" s="24" t="s">
        <v>442</v>
      </c>
      <c r="AQ742" s="24" t="s">
        <v>2125</v>
      </c>
      <c r="AR742" s="24" t="s">
        <v>2125</v>
      </c>
      <c r="AS742" s="24" t="s">
        <v>502</v>
      </c>
      <c r="AT742" s="24" t="s">
        <v>486</v>
      </c>
      <c r="AU742" s="24" t="s">
        <v>486</v>
      </c>
      <c r="AV742" s="24" t="s">
        <v>502</v>
      </c>
      <c r="AW742" s="24" t="s">
        <v>160</v>
      </c>
      <c r="AX742" s="24">
        <v>3</v>
      </c>
      <c r="AZ742" s="24" t="s">
        <v>485</v>
      </c>
      <c r="BD742" s="53"/>
      <c r="BP742" s="395"/>
      <c r="BQ742" s="395"/>
      <c r="BU742" s="395"/>
      <c r="BV742" s="395"/>
      <c r="BZ742" s="395"/>
      <c r="CA742" s="395"/>
      <c r="CE742" s="548"/>
      <c r="CF742" s="548"/>
      <c r="CG742" s="548"/>
      <c r="CH742" s="548"/>
      <c r="GU742" s="24">
        <f>(6.64+26.81+18.02+6.37)/4</f>
        <v>14.459999999999999</v>
      </c>
      <c r="GV742" s="24">
        <f>(6.4+25.51+18.91+6.94)/4</f>
        <v>14.440000000000001</v>
      </c>
      <c r="GY742" s="24" t="s">
        <v>1658</v>
      </c>
      <c r="HY742" s="24">
        <f>154*0.61/134</f>
        <v>0.70104477611940297</v>
      </c>
      <c r="HZ742" s="24">
        <f>238*0.61/134</f>
        <v>1.0834328358208956</v>
      </c>
      <c r="IC742" s="24" t="s">
        <v>488</v>
      </c>
      <c r="JB742" s="24" t="s">
        <v>722</v>
      </c>
    </row>
    <row r="743" spans="1:262" s="32" customFormat="1" x14ac:dyDescent="0.25">
      <c r="A743" s="32">
        <v>35</v>
      </c>
      <c r="B743" s="44" t="s">
        <v>3896</v>
      </c>
      <c r="C743" s="32" t="s">
        <v>481</v>
      </c>
      <c r="D743" s="32" t="s">
        <v>482</v>
      </c>
      <c r="E743" s="32">
        <v>2011</v>
      </c>
      <c r="F743" s="32">
        <v>2006</v>
      </c>
      <c r="G743" s="32" t="s">
        <v>127</v>
      </c>
      <c r="H743" s="32" t="s">
        <v>483</v>
      </c>
      <c r="I743" s="32" t="s">
        <v>2815</v>
      </c>
      <c r="J743" s="32">
        <f t="shared" si="207"/>
        <v>38.533333333333331</v>
      </c>
      <c r="K743" s="32">
        <f t="shared" si="208"/>
        <v>-121.86666666666666</v>
      </c>
      <c r="L743" s="32">
        <v>27.1</v>
      </c>
      <c r="Q743" s="32" t="s">
        <v>484</v>
      </c>
      <c r="R743" s="44">
        <v>1</v>
      </c>
      <c r="S743" s="44">
        <v>1</v>
      </c>
      <c r="T743" s="44"/>
      <c r="U743" s="44" t="s">
        <v>372</v>
      </c>
      <c r="V743" s="44" t="s">
        <v>1382</v>
      </c>
      <c r="W743" s="44" t="s">
        <v>1717</v>
      </c>
      <c r="X743" s="44" t="s">
        <v>1382</v>
      </c>
      <c r="Y743" s="44" t="s">
        <v>1382</v>
      </c>
      <c r="AA743" s="323"/>
      <c r="AB743" s="323"/>
      <c r="AC743" s="32" t="s">
        <v>450</v>
      </c>
      <c r="AG743" s="32" t="s">
        <v>1331</v>
      </c>
      <c r="AH743" s="32" t="s">
        <v>243</v>
      </c>
      <c r="AI743" s="138" t="s">
        <v>577</v>
      </c>
      <c r="AJ743" s="32" t="s">
        <v>242</v>
      </c>
      <c r="AK743" s="140" t="s">
        <v>1616</v>
      </c>
      <c r="AL743" s="32" t="s">
        <v>1156</v>
      </c>
      <c r="AM743" s="32" t="s">
        <v>1156</v>
      </c>
      <c r="AN743" s="32" t="s">
        <v>177</v>
      </c>
      <c r="AO743" s="32" t="s">
        <v>487</v>
      </c>
      <c r="AP743" s="32" t="s">
        <v>442</v>
      </c>
      <c r="AQ743" s="32" t="s">
        <v>2125</v>
      </c>
      <c r="AR743" s="32" t="s">
        <v>2125</v>
      </c>
      <c r="AS743" s="32" t="s">
        <v>502</v>
      </c>
      <c r="AT743" s="32" t="s">
        <v>486</v>
      </c>
      <c r="AU743" s="32" t="s">
        <v>489</v>
      </c>
      <c r="AV743" s="32" t="s">
        <v>502</v>
      </c>
      <c r="AW743" s="32" t="s">
        <v>160</v>
      </c>
      <c r="AX743" s="32">
        <v>3</v>
      </c>
      <c r="AZ743" s="32" t="s">
        <v>485</v>
      </c>
      <c r="BD743" s="53"/>
      <c r="BP743" s="397"/>
      <c r="BQ743" s="397"/>
      <c r="BU743" s="397"/>
      <c r="BV743" s="397"/>
      <c r="BZ743" s="397"/>
      <c r="CA743" s="397"/>
      <c r="CE743" s="550"/>
      <c r="CF743" s="550"/>
      <c r="CG743" s="550"/>
      <c r="CH743" s="550"/>
      <c r="GZ743" s="12"/>
      <c r="HD743" s="12"/>
      <c r="HY743" s="32">
        <f>326*0.61/29</f>
        <v>6.8572413793103442</v>
      </c>
      <c r="HZ743" s="32">
        <f>194*0.61/29</f>
        <v>4.0806896551724137</v>
      </c>
      <c r="IC743" s="32" t="s">
        <v>488</v>
      </c>
      <c r="JB743" s="32" t="s">
        <v>722</v>
      </c>
    </row>
    <row r="744" spans="1:262" s="32" customFormat="1" x14ac:dyDescent="0.25">
      <c r="A744" s="32">
        <v>35</v>
      </c>
      <c r="B744" s="44" t="s">
        <v>3896</v>
      </c>
      <c r="C744" s="32" t="s">
        <v>481</v>
      </c>
      <c r="D744" s="32" t="s">
        <v>482</v>
      </c>
      <c r="E744" s="32">
        <v>2011</v>
      </c>
      <c r="F744" s="32">
        <v>2006</v>
      </c>
      <c r="G744" s="32" t="s">
        <v>127</v>
      </c>
      <c r="H744" s="32" t="s">
        <v>483</v>
      </c>
      <c r="I744" s="32" t="s">
        <v>2815</v>
      </c>
      <c r="J744" s="32">
        <f t="shared" si="207"/>
        <v>38.533333333333331</v>
      </c>
      <c r="K744" s="32">
        <f t="shared" si="208"/>
        <v>-121.86666666666666</v>
      </c>
      <c r="L744" s="32">
        <v>27.1</v>
      </c>
      <c r="Q744" s="32" t="s">
        <v>484</v>
      </c>
      <c r="R744" s="44">
        <v>1</v>
      </c>
      <c r="S744" s="44">
        <v>1</v>
      </c>
      <c r="T744" s="44"/>
      <c r="U744" s="44" t="s">
        <v>490</v>
      </c>
      <c r="V744" s="44" t="s">
        <v>1382</v>
      </c>
      <c r="W744" s="44" t="s">
        <v>1717</v>
      </c>
      <c r="X744" s="44" t="s">
        <v>1382</v>
      </c>
      <c r="Y744" s="44" t="s">
        <v>1382</v>
      </c>
      <c r="AA744" s="323"/>
      <c r="AB744" s="323"/>
      <c r="AC744" s="32" t="s">
        <v>450</v>
      </c>
      <c r="AG744" s="32" t="s">
        <v>1331</v>
      </c>
      <c r="AH744" s="32" t="s">
        <v>243</v>
      </c>
      <c r="AI744" s="138" t="s">
        <v>577</v>
      </c>
      <c r="AJ744" s="32" t="s">
        <v>242</v>
      </c>
      <c r="AK744" s="140" t="s">
        <v>1616</v>
      </c>
      <c r="AL744" s="32" t="s">
        <v>1156</v>
      </c>
      <c r="AM744" s="32" t="s">
        <v>1156</v>
      </c>
      <c r="AN744" s="32" t="s">
        <v>177</v>
      </c>
      <c r="AO744" s="32" t="s">
        <v>487</v>
      </c>
      <c r="AP744" s="32" t="s">
        <v>442</v>
      </c>
      <c r="AQ744" s="32" t="s">
        <v>2125</v>
      </c>
      <c r="AR744" s="32" t="s">
        <v>2125</v>
      </c>
      <c r="AS744" s="32" t="s">
        <v>502</v>
      </c>
      <c r="AT744" s="32" t="s">
        <v>486</v>
      </c>
      <c r="AU744" s="32" t="s">
        <v>489</v>
      </c>
      <c r="AV744" s="32" t="s">
        <v>502</v>
      </c>
      <c r="AW744" s="32" t="s">
        <v>160</v>
      </c>
      <c r="AX744" s="32">
        <v>3</v>
      </c>
      <c r="AZ744" s="32" t="s">
        <v>485</v>
      </c>
      <c r="BD744" s="53"/>
      <c r="BP744" s="397"/>
      <c r="BQ744" s="397"/>
      <c r="BU744" s="397"/>
      <c r="BV744" s="397"/>
      <c r="BZ744" s="397"/>
      <c r="CA744" s="397"/>
      <c r="CE744" s="550"/>
      <c r="CF744" s="550"/>
      <c r="CG744" s="550"/>
      <c r="CH744" s="550"/>
      <c r="GZ744" s="12"/>
      <c r="HD744" s="12"/>
      <c r="HY744" s="32">
        <f>237*0.61/69</f>
        <v>2.0952173913043479</v>
      </c>
      <c r="HZ744" s="32">
        <f>163*0.61/69</f>
        <v>1.441014492753623</v>
      </c>
      <c r="IC744" s="32" t="s">
        <v>488</v>
      </c>
      <c r="JB744" s="32" t="s">
        <v>722</v>
      </c>
    </row>
    <row r="745" spans="1:262" s="32" customFormat="1" x14ac:dyDescent="0.25">
      <c r="A745" s="32">
        <v>35</v>
      </c>
      <c r="B745" s="44" t="s">
        <v>3896</v>
      </c>
      <c r="C745" s="32" t="s">
        <v>481</v>
      </c>
      <c r="D745" s="32" t="s">
        <v>482</v>
      </c>
      <c r="E745" s="32">
        <v>2011</v>
      </c>
      <c r="F745" s="32">
        <v>2006</v>
      </c>
      <c r="G745" s="32" t="s">
        <v>127</v>
      </c>
      <c r="H745" s="32" t="s">
        <v>483</v>
      </c>
      <c r="I745" s="32" t="s">
        <v>2815</v>
      </c>
      <c r="J745" s="32">
        <f t="shared" si="207"/>
        <v>38.533333333333331</v>
      </c>
      <c r="K745" s="32">
        <f t="shared" si="208"/>
        <v>-121.86666666666666</v>
      </c>
      <c r="L745" s="32">
        <v>27.1</v>
      </c>
      <c r="Q745" s="32" t="s">
        <v>484</v>
      </c>
      <c r="R745" s="44">
        <v>1</v>
      </c>
      <c r="S745" s="44">
        <v>1</v>
      </c>
      <c r="T745" s="44"/>
      <c r="U745" s="44" t="s">
        <v>491</v>
      </c>
      <c r="V745" s="44" t="s">
        <v>1382</v>
      </c>
      <c r="W745" s="44" t="s">
        <v>1717</v>
      </c>
      <c r="X745" s="44" t="s">
        <v>1382</v>
      </c>
      <c r="Y745" s="44" t="s">
        <v>1382</v>
      </c>
      <c r="AA745" s="323"/>
      <c r="AB745" s="323"/>
      <c r="AC745" s="32" t="s">
        <v>450</v>
      </c>
      <c r="AG745" s="32" t="s">
        <v>1331</v>
      </c>
      <c r="AH745" s="32" t="s">
        <v>243</v>
      </c>
      <c r="AI745" s="138" t="s">
        <v>577</v>
      </c>
      <c r="AJ745" s="32" t="s">
        <v>242</v>
      </c>
      <c r="AK745" s="140" t="s">
        <v>1616</v>
      </c>
      <c r="AL745" s="32" t="s">
        <v>1156</v>
      </c>
      <c r="AM745" s="32" t="s">
        <v>1156</v>
      </c>
      <c r="AN745" s="32" t="s">
        <v>177</v>
      </c>
      <c r="AO745" s="32" t="s">
        <v>487</v>
      </c>
      <c r="AP745" s="32" t="s">
        <v>442</v>
      </c>
      <c r="AQ745" s="32" t="s">
        <v>2125</v>
      </c>
      <c r="AR745" s="32" t="s">
        <v>2125</v>
      </c>
      <c r="AS745" s="32" t="s">
        <v>502</v>
      </c>
      <c r="AT745" s="32" t="s">
        <v>486</v>
      </c>
      <c r="AU745" s="32" t="s">
        <v>489</v>
      </c>
      <c r="AV745" s="32" t="s">
        <v>502</v>
      </c>
      <c r="AW745" s="32" t="s">
        <v>160</v>
      </c>
      <c r="AX745" s="32">
        <v>3</v>
      </c>
      <c r="AZ745" s="32" t="s">
        <v>485</v>
      </c>
      <c r="BD745" s="53"/>
      <c r="BP745" s="397"/>
      <c r="BQ745" s="397"/>
      <c r="BU745" s="397"/>
      <c r="BV745" s="397"/>
      <c r="BZ745" s="397"/>
      <c r="CA745" s="397"/>
      <c r="CE745" s="550"/>
      <c r="CF745" s="550"/>
      <c r="CG745" s="550"/>
      <c r="CH745" s="550"/>
      <c r="GZ745" s="12"/>
      <c r="HD745" s="12"/>
      <c r="JB745" s="32" t="s">
        <v>722</v>
      </c>
    </row>
    <row r="746" spans="1:262" s="32" customFormat="1" x14ac:dyDescent="0.25">
      <c r="A746" s="32">
        <v>35</v>
      </c>
      <c r="B746" s="44" t="s">
        <v>3896</v>
      </c>
      <c r="C746" s="32" t="s">
        <v>481</v>
      </c>
      <c r="D746" s="32" t="s">
        <v>482</v>
      </c>
      <c r="E746" s="32">
        <v>2011</v>
      </c>
      <c r="F746" s="32">
        <v>2006</v>
      </c>
      <c r="G746" s="32" t="s">
        <v>127</v>
      </c>
      <c r="H746" s="32" t="s">
        <v>483</v>
      </c>
      <c r="I746" s="32" t="s">
        <v>2815</v>
      </c>
      <c r="J746" s="32">
        <f t="shared" si="207"/>
        <v>38.533333333333331</v>
      </c>
      <c r="K746" s="32">
        <f t="shared" si="208"/>
        <v>-121.86666666666666</v>
      </c>
      <c r="L746" s="32">
        <v>27.1</v>
      </c>
      <c r="Q746" s="32" t="s">
        <v>484</v>
      </c>
      <c r="R746" s="44">
        <v>1</v>
      </c>
      <c r="S746" s="44">
        <v>1</v>
      </c>
      <c r="T746" s="44"/>
      <c r="U746" s="44" t="s">
        <v>492</v>
      </c>
      <c r="V746" s="44" t="s">
        <v>1382</v>
      </c>
      <c r="W746" s="44" t="s">
        <v>1717</v>
      </c>
      <c r="X746" s="44" t="s">
        <v>1382</v>
      </c>
      <c r="Y746" s="44" t="s">
        <v>1382</v>
      </c>
      <c r="AA746" s="323"/>
      <c r="AB746" s="323"/>
      <c r="AC746" s="32" t="s">
        <v>450</v>
      </c>
      <c r="AG746" s="32" t="s">
        <v>1331</v>
      </c>
      <c r="AH746" s="32" t="s">
        <v>243</v>
      </c>
      <c r="AI746" s="138" t="s">
        <v>577</v>
      </c>
      <c r="AJ746" s="32" t="s">
        <v>242</v>
      </c>
      <c r="AK746" s="140" t="s">
        <v>1616</v>
      </c>
      <c r="AL746" s="32" t="s">
        <v>1156</v>
      </c>
      <c r="AM746" s="32" t="s">
        <v>1156</v>
      </c>
      <c r="AN746" s="32" t="s">
        <v>177</v>
      </c>
      <c r="AO746" s="32" t="s">
        <v>487</v>
      </c>
      <c r="AP746" s="32" t="s">
        <v>442</v>
      </c>
      <c r="AQ746" s="32" t="s">
        <v>2125</v>
      </c>
      <c r="AR746" s="32" t="s">
        <v>2125</v>
      </c>
      <c r="AS746" s="32" t="s">
        <v>502</v>
      </c>
      <c r="AT746" s="32" t="s">
        <v>486</v>
      </c>
      <c r="AU746" s="32" t="s">
        <v>489</v>
      </c>
      <c r="AV746" s="32" t="s">
        <v>502</v>
      </c>
      <c r="AW746" s="32" t="s">
        <v>160</v>
      </c>
      <c r="AX746" s="32">
        <v>3</v>
      </c>
      <c r="AZ746" s="32" t="s">
        <v>485</v>
      </c>
      <c r="BD746" s="53"/>
      <c r="BP746" s="397"/>
      <c r="BQ746" s="397"/>
      <c r="BU746" s="397"/>
      <c r="BV746" s="397"/>
      <c r="BZ746" s="397"/>
      <c r="CA746" s="397"/>
      <c r="CE746" s="550"/>
      <c r="CF746" s="550"/>
      <c r="CG746" s="550"/>
      <c r="CH746" s="550"/>
      <c r="GZ746" s="12"/>
      <c r="HD746" s="12"/>
      <c r="HY746" s="32">
        <f>154*0.61/134</f>
        <v>0.70104477611940297</v>
      </c>
      <c r="HZ746" s="32">
        <f>401*0.61/134</f>
        <v>1.8254477611940298</v>
      </c>
      <c r="IC746" s="32" t="s">
        <v>488</v>
      </c>
      <c r="JB746" s="32" t="s">
        <v>722</v>
      </c>
    </row>
    <row r="747" spans="1:262" s="5" customFormat="1" x14ac:dyDescent="0.25">
      <c r="A747" s="5">
        <v>36</v>
      </c>
      <c r="B747" s="52" t="s">
        <v>3897</v>
      </c>
      <c r="C747" s="5" t="s">
        <v>493</v>
      </c>
      <c r="D747" s="5" t="s">
        <v>494</v>
      </c>
      <c r="E747" s="5">
        <v>1992</v>
      </c>
      <c r="F747" s="5">
        <v>1982</v>
      </c>
      <c r="G747" s="5" t="s">
        <v>495</v>
      </c>
      <c r="H747" s="5" t="s">
        <v>496</v>
      </c>
      <c r="I747" s="32" t="s">
        <v>2815</v>
      </c>
      <c r="J747" s="5">
        <f t="shared" ref="J747:J752" si="209">33+54/60</f>
        <v>33.9</v>
      </c>
      <c r="K747" s="5">
        <f t="shared" ref="K747:K752" si="210">-83-24/60</f>
        <v>-83.4</v>
      </c>
      <c r="L747" s="5">
        <v>185.5</v>
      </c>
      <c r="R747" s="52">
        <v>3</v>
      </c>
      <c r="S747" s="52">
        <v>3</v>
      </c>
      <c r="T747" s="52"/>
      <c r="U747" s="52" t="s">
        <v>1915</v>
      </c>
      <c r="V747" s="52" t="s">
        <v>1387</v>
      </c>
      <c r="W747" s="52" t="s">
        <v>1717</v>
      </c>
      <c r="X747" s="52" t="s">
        <v>1387</v>
      </c>
      <c r="Y747" s="52" t="s">
        <v>1387</v>
      </c>
      <c r="AA747" s="332"/>
      <c r="AB747" s="332"/>
      <c r="AC747" s="5" t="s">
        <v>796</v>
      </c>
      <c r="AG747" s="5" t="s">
        <v>1332</v>
      </c>
      <c r="AH747" s="5" t="s">
        <v>1521</v>
      </c>
      <c r="AI747" s="138" t="s">
        <v>577</v>
      </c>
      <c r="AJ747" s="5" t="s">
        <v>220</v>
      </c>
      <c r="AK747" s="141" t="s">
        <v>220</v>
      </c>
      <c r="AO747" s="5" t="s">
        <v>487</v>
      </c>
      <c r="AP747" s="5" t="s">
        <v>497</v>
      </c>
      <c r="AQ747" s="5" t="s">
        <v>2125</v>
      </c>
      <c r="AR747" s="5" t="s">
        <v>2126</v>
      </c>
      <c r="AS747" s="5" t="s">
        <v>502</v>
      </c>
      <c r="AT747" s="5" t="s">
        <v>498</v>
      </c>
      <c r="AU747" s="5" t="s">
        <v>338</v>
      </c>
      <c r="AV747" s="5" t="s">
        <v>502</v>
      </c>
      <c r="AW747" s="5" t="s">
        <v>119</v>
      </c>
      <c r="AX747" s="5">
        <v>3</v>
      </c>
      <c r="AZ747" s="5" t="s">
        <v>335</v>
      </c>
      <c r="BD747" s="54"/>
      <c r="BE747" s="5" t="s">
        <v>503</v>
      </c>
      <c r="BK747" s="5">
        <f>13.1*1000/5</f>
        <v>2620</v>
      </c>
      <c r="BL747" s="5">
        <f>15.3*1000/5</f>
        <v>3060</v>
      </c>
      <c r="BO747" s="5" t="s">
        <v>509</v>
      </c>
      <c r="BP747" s="403"/>
      <c r="BQ747" s="403"/>
      <c r="BU747" s="403">
        <v>0.64</v>
      </c>
      <c r="BV747" s="403">
        <v>1.81</v>
      </c>
      <c r="BY747" s="5" t="s">
        <v>163</v>
      </c>
      <c r="BZ747" s="403"/>
      <c r="CA747" s="403"/>
      <c r="CD747" s="5" t="s">
        <v>3120</v>
      </c>
      <c r="CE747" s="556">
        <v>0.64</v>
      </c>
      <c r="CF747" s="556">
        <v>1.81</v>
      </c>
      <c r="CG747" s="556"/>
      <c r="CH747" s="556"/>
      <c r="CI747" s="5" t="s">
        <v>4546</v>
      </c>
      <c r="CJ747" s="5">
        <f>0.05*10000</f>
        <v>500</v>
      </c>
      <c r="CK747" s="5">
        <v>1500</v>
      </c>
      <c r="CN747" s="5" t="s">
        <v>512</v>
      </c>
      <c r="DS747" s="5">
        <f>0.41*1000</f>
        <v>410</v>
      </c>
      <c r="DT747" s="5">
        <f>0.86*1000</f>
        <v>860</v>
      </c>
      <c r="DW747" s="5" t="s">
        <v>513</v>
      </c>
      <c r="EW747" s="5">
        <v>37</v>
      </c>
      <c r="EX747" s="5">
        <v>6</v>
      </c>
      <c r="FA747" s="5" t="s">
        <v>514</v>
      </c>
      <c r="GZ747" s="12"/>
      <c r="HD747" s="12"/>
      <c r="JB747" s="5" t="s">
        <v>723</v>
      </c>
    </row>
    <row r="748" spans="1:262" s="33" customFormat="1" x14ac:dyDescent="0.25">
      <c r="A748" s="33">
        <v>36</v>
      </c>
      <c r="B748" s="47" t="s">
        <v>3897</v>
      </c>
      <c r="C748" s="33" t="s">
        <v>493</v>
      </c>
      <c r="D748" s="33" t="s">
        <v>494</v>
      </c>
      <c r="E748" s="33">
        <v>1992</v>
      </c>
      <c r="F748" s="33">
        <v>1982</v>
      </c>
      <c r="G748" s="33" t="s">
        <v>495</v>
      </c>
      <c r="H748" s="33" t="s">
        <v>496</v>
      </c>
      <c r="I748" s="32" t="s">
        <v>2815</v>
      </c>
      <c r="J748" s="33">
        <f t="shared" si="209"/>
        <v>33.9</v>
      </c>
      <c r="K748" s="33">
        <f t="shared" si="210"/>
        <v>-83.4</v>
      </c>
      <c r="L748" s="33">
        <v>185.5</v>
      </c>
      <c r="R748" s="47">
        <v>3</v>
      </c>
      <c r="S748" s="47">
        <v>3</v>
      </c>
      <c r="T748" s="47"/>
      <c r="U748" s="47" t="s">
        <v>1915</v>
      </c>
      <c r="V748" s="47" t="s">
        <v>1387</v>
      </c>
      <c r="W748" s="47" t="s">
        <v>1717</v>
      </c>
      <c r="X748" s="47" t="s">
        <v>1387</v>
      </c>
      <c r="Y748" s="47" t="s">
        <v>1387</v>
      </c>
      <c r="AA748" s="327"/>
      <c r="AB748" s="327"/>
      <c r="AC748" s="33" t="s">
        <v>796</v>
      </c>
      <c r="AG748" s="33" t="s">
        <v>1332</v>
      </c>
      <c r="AH748" s="33" t="s">
        <v>1521</v>
      </c>
      <c r="AI748" s="138" t="s">
        <v>577</v>
      </c>
      <c r="AJ748" s="33" t="s">
        <v>220</v>
      </c>
      <c r="AK748" s="141" t="s">
        <v>220</v>
      </c>
      <c r="AO748" s="33" t="s">
        <v>487</v>
      </c>
      <c r="AP748" s="33" t="s">
        <v>497</v>
      </c>
      <c r="AQ748" s="33" t="s">
        <v>2125</v>
      </c>
      <c r="AR748" s="33" t="s">
        <v>2126</v>
      </c>
      <c r="AS748" s="33" t="s">
        <v>502</v>
      </c>
      <c r="AT748" s="33" t="s">
        <v>498</v>
      </c>
      <c r="AU748" s="33" t="s">
        <v>338</v>
      </c>
      <c r="AV748" s="33" t="s">
        <v>502</v>
      </c>
      <c r="AW748" s="33" t="s">
        <v>119</v>
      </c>
      <c r="AX748" s="33">
        <v>3</v>
      </c>
      <c r="AZ748" s="33" t="s">
        <v>335</v>
      </c>
      <c r="BD748" s="54"/>
      <c r="BE748" s="33" t="s">
        <v>504</v>
      </c>
      <c r="BK748" s="33">
        <f>18.4*1000/5</f>
        <v>3680</v>
      </c>
      <c r="BL748" s="33">
        <f>24.7*1000/5</f>
        <v>4940</v>
      </c>
      <c r="BO748" s="33" t="s">
        <v>510</v>
      </c>
      <c r="BP748" s="402"/>
      <c r="BQ748" s="402"/>
      <c r="BU748" s="402">
        <v>1.3</v>
      </c>
      <c r="BV748" s="402">
        <v>2.25</v>
      </c>
      <c r="BY748" s="33" t="s">
        <v>163</v>
      </c>
      <c r="BZ748" s="402"/>
      <c r="CA748" s="402"/>
      <c r="CD748" s="33" t="s">
        <v>3120</v>
      </c>
      <c r="CE748" s="555">
        <v>1.3</v>
      </c>
      <c r="CF748" s="555">
        <v>2.25</v>
      </c>
      <c r="CG748" s="555"/>
      <c r="CH748" s="555"/>
      <c r="CI748" s="33" t="s">
        <v>4546</v>
      </c>
      <c r="CJ748" s="33">
        <v>900</v>
      </c>
      <c r="CK748" s="33">
        <v>1700</v>
      </c>
      <c r="CN748" s="33" t="s">
        <v>512</v>
      </c>
      <c r="DS748" s="33">
        <f>0.5*1000</f>
        <v>500</v>
      </c>
      <c r="DT748" s="33">
        <f>0.86*1000</f>
        <v>860</v>
      </c>
      <c r="DW748" s="33" t="s">
        <v>513</v>
      </c>
      <c r="EW748" s="33">
        <v>35</v>
      </c>
      <c r="EX748" s="33">
        <v>6</v>
      </c>
      <c r="FA748" s="33" t="s">
        <v>514</v>
      </c>
      <c r="GZ748" s="12"/>
      <c r="HD748" s="12"/>
      <c r="JB748" s="5" t="s">
        <v>723</v>
      </c>
    </row>
    <row r="749" spans="1:262" s="28" customFormat="1" x14ac:dyDescent="0.25">
      <c r="A749" s="28">
        <v>36</v>
      </c>
      <c r="B749" s="46" t="s">
        <v>3897</v>
      </c>
      <c r="C749" s="28" t="s">
        <v>493</v>
      </c>
      <c r="D749" s="28" t="s">
        <v>494</v>
      </c>
      <c r="E749" s="28">
        <v>1992</v>
      </c>
      <c r="F749" s="28">
        <v>1982</v>
      </c>
      <c r="G749" s="28" t="s">
        <v>495</v>
      </c>
      <c r="H749" s="28" t="s">
        <v>496</v>
      </c>
      <c r="I749" s="32" t="s">
        <v>2815</v>
      </c>
      <c r="J749" s="28">
        <f t="shared" si="209"/>
        <v>33.9</v>
      </c>
      <c r="K749" s="28">
        <f t="shared" si="210"/>
        <v>-83.4</v>
      </c>
      <c r="L749" s="28">
        <v>185.5</v>
      </c>
      <c r="R749" s="46">
        <v>3</v>
      </c>
      <c r="S749" s="46">
        <v>3</v>
      </c>
      <c r="T749" s="46"/>
      <c r="U749" s="46" t="s">
        <v>1915</v>
      </c>
      <c r="V749" s="46" t="s">
        <v>1387</v>
      </c>
      <c r="W749" s="46" t="s">
        <v>1717</v>
      </c>
      <c r="X749" s="46" t="s">
        <v>1387</v>
      </c>
      <c r="Y749" s="46" t="s">
        <v>1387</v>
      </c>
      <c r="AA749" s="326"/>
      <c r="AB749" s="326"/>
      <c r="AC749" s="28" t="s">
        <v>796</v>
      </c>
      <c r="AG749" s="28" t="s">
        <v>1332</v>
      </c>
      <c r="AH749" s="28" t="s">
        <v>1521</v>
      </c>
      <c r="AI749" s="138" t="s">
        <v>577</v>
      </c>
      <c r="AJ749" s="28" t="s">
        <v>220</v>
      </c>
      <c r="AK749" s="141" t="s">
        <v>220</v>
      </c>
      <c r="AO749" s="28" t="s">
        <v>487</v>
      </c>
      <c r="AP749" s="28" t="s">
        <v>497</v>
      </c>
      <c r="AQ749" s="28" t="s">
        <v>2125</v>
      </c>
      <c r="AR749" s="28" t="s">
        <v>2126</v>
      </c>
      <c r="AS749" s="28" t="s">
        <v>502</v>
      </c>
      <c r="AT749" s="28" t="s">
        <v>498</v>
      </c>
      <c r="AU749" s="28" t="s">
        <v>338</v>
      </c>
      <c r="AV749" s="28" t="s">
        <v>502</v>
      </c>
      <c r="AW749" s="28" t="s">
        <v>119</v>
      </c>
      <c r="AX749" s="28">
        <v>3</v>
      </c>
      <c r="AZ749" s="28" t="s">
        <v>335</v>
      </c>
      <c r="BE749" s="28" t="s">
        <v>505</v>
      </c>
      <c r="BK749" s="28">
        <f>16.1*1000/5</f>
        <v>3220.0000000000005</v>
      </c>
      <c r="BL749" s="28">
        <f>15.4*1000/5</f>
        <v>3080</v>
      </c>
      <c r="BO749" s="28" t="s">
        <v>511</v>
      </c>
      <c r="BP749" s="401"/>
      <c r="BQ749" s="401"/>
      <c r="BU749" s="401">
        <v>1.17</v>
      </c>
      <c r="BV749" s="401">
        <v>2.86</v>
      </c>
      <c r="BY749" s="28" t="s">
        <v>163</v>
      </c>
      <c r="BZ749" s="401"/>
      <c r="CA749" s="401"/>
      <c r="CD749" s="28" t="s">
        <v>3120</v>
      </c>
      <c r="CE749" s="554">
        <v>1.17</v>
      </c>
      <c r="CF749" s="554">
        <v>2.86</v>
      </c>
      <c r="CG749" s="554"/>
      <c r="CH749" s="554"/>
      <c r="CI749" s="28" t="s">
        <v>4546</v>
      </c>
      <c r="CJ749" s="28">
        <v>900</v>
      </c>
      <c r="CK749" s="28">
        <v>2200</v>
      </c>
      <c r="CN749" s="28" t="s">
        <v>512</v>
      </c>
      <c r="DS749" s="28">
        <f>0.59*1000</f>
        <v>590</v>
      </c>
      <c r="DT749" s="28">
        <f>0.88*1000</f>
        <v>880</v>
      </c>
      <c r="DW749" s="28" t="s">
        <v>513</v>
      </c>
      <c r="GZ749" s="107"/>
      <c r="HD749" s="107"/>
      <c r="JB749" s="28" t="s">
        <v>723</v>
      </c>
    </row>
    <row r="750" spans="1:262" s="5" customFormat="1" x14ac:dyDescent="0.25">
      <c r="A750" s="5">
        <v>36</v>
      </c>
      <c r="B750" s="52" t="s">
        <v>3898</v>
      </c>
      <c r="C750" s="5" t="s">
        <v>493</v>
      </c>
      <c r="D750" s="5" t="s">
        <v>494</v>
      </c>
      <c r="E750" s="5">
        <v>1992</v>
      </c>
      <c r="F750" s="5">
        <v>1982</v>
      </c>
      <c r="G750" s="5" t="s">
        <v>495</v>
      </c>
      <c r="H750" s="5" t="s">
        <v>496</v>
      </c>
      <c r="I750" s="32" t="s">
        <v>2815</v>
      </c>
      <c r="J750" s="5">
        <f t="shared" si="209"/>
        <v>33.9</v>
      </c>
      <c r="K750" s="5">
        <f t="shared" si="210"/>
        <v>-83.4</v>
      </c>
      <c r="L750" s="5">
        <v>185.5</v>
      </c>
      <c r="R750" s="52">
        <v>3</v>
      </c>
      <c r="S750" s="52">
        <v>3</v>
      </c>
      <c r="T750" s="52"/>
      <c r="U750" s="52" t="s">
        <v>1915</v>
      </c>
      <c r="V750" s="52" t="s">
        <v>1387</v>
      </c>
      <c r="W750" s="52" t="s">
        <v>1717</v>
      </c>
      <c r="X750" s="52" t="s">
        <v>1387</v>
      </c>
      <c r="Y750" s="52" t="s">
        <v>1387</v>
      </c>
      <c r="AA750" s="332"/>
      <c r="AB750" s="332"/>
      <c r="AC750" s="5" t="s">
        <v>796</v>
      </c>
      <c r="AG750" s="5" t="s">
        <v>1332</v>
      </c>
      <c r="AH750" s="5" t="s">
        <v>1521</v>
      </c>
      <c r="AI750" s="138" t="s">
        <v>577</v>
      </c>
      <c r="AJ750" s="5" t="s">
        <v>220</v>
      </c>
      <c r="AK750" s="141" t="s">
        <v>220</v>
      </c>
      <c r="AO750" s="5" t="s">
        <v>487</v>
      </c>
      <c r="AP750" s="5" t="s">
        <v>497</v>
      </c>
      <c r="AQ750" s="5" t="s">
        <v>2125</v>
      </c>
      <c r="AR750" s="5" t="s">
        <v>2126</v>
      </c>
      <c r="AS750" s="5" t="s">
        <v>502</v>
      </c>
      <c r="AT750" s="5" t="s">
        <v>499</v>
      </c>
      <c r="AU750" s="5" t="s">
        <v>500</v>
      </c>
      <c r="AV750" s="5" t="s">
        <v>502</v>
      </c>
      <c r="AW750" s="5" t="s">
        <v>119</v>
      </c>
      <c r="AX750" s="5">
        <v>3</v>
      </c>
      <c r="AZ750" s="5" t="s">
        <v>335</v>
      </c>
      <c r="BD750" s="54"/>
      <c r="BE750" s="5" t="s">
        <v>506</v>
      </c>
      <c r="BK750" s="5">
        <f>31.1*1000/5</f>
        <v>6220</v>
      </c>
      <c r="BL750" s="5">
        <f>29.9*1000/5</f>
        <v>5980</v>
      </c>
      <c r="BO750" s="5" t="s">
        <v>509</v>
      </c>
      <c r="BP750" s="403"/>
      <c r="BQ750" s="403"/>
      <c r="BU750" s="403">
        <v>0.71</v>
      </c>
      <c r="BV750" s="403">
        <v>1.81</v>
      </c>
      <c r="BY750" s="5" t="s">
        <v>163</v>
      </c>
      <c r="BZ750" s="403"/>
      <c r="CA750" s="403"/>
      <c r="CD750" s="5" t="s">
        <v>3120</v>
      </c>
      <c r="CE750" s="556">
        <v>0.71</v>
      </c>
      <c r="CF750" s="556">
        <v>1.81</v>
      </c>
      <c r="CG750" s="556"/>
      <c r="CH750" s="556"/>
      <c r="CI750" s="5" t="s">
        <v>4546</v>
      </c>
      <c r="CJ750" s="5">
        <f>0.06*10000</f>
        <v>600</v>
      </c>
      <c r="CK750" s="5">
        <v>1400</v>
      </c>
      <c r="CN750" s="5" t="s">
        <v>512</v>
      </c>
      <c r="DS750" s="5">
        <f>0.59*1000</f>
        <v>590</v>
      </c>
      <c r="DT750" s="5">
        <f>0.88*1000</f>
        <v>880</v>
      </c>
      <c r="DW750" s="5" t="s">
        <v>513</v>
      </c>
      <c r="GZ750" s="12"/>
      <c r="HD750" s="12"/>
      <c r="JB750" s="5" t="s">
        <v>723</v>
      </c>
    </row>
    <row r="751" spans="1:262" s="33" customFormat="1" x14ac:dyDescent="0.25">
      <c r="A751" s="33">
        <v>36</v>
      </c>
      <c r="B751" s="47" t="s">
        <v>3898</v>
      </c>
      <c r="C751" s="33" t="s">
        <v>493</v>
      </c>
      <c r="D751" s="33" t="s">
        <v>494</v>
      </c>
      <c r="E751" s="33">
        <v>1992</v>
      </c>
      <c r="F751" s="33">
        <v>1982</v>
      </c>
      <c r="G751" s="33" t="s">
        <v>495</v>
      </c>
      <c r="H751" s="33" t="s">
        <v>496</v>
      </c>
      <c r="I751" s="32" t="s">
        <v>2815</v>
      </c>
      <c r="J751" s="33">
        <f t="shared" si="209"/>
        <v>33.9</v>
      </c>
      <c r="K751" s="33">
        <f t="shared" si="210"/>
        <v>-83.4</v>
      </c>
      <c r="L751" s="33">
        <v>185.5</v>
      </c>
      <c r="R751" s="47">
        <v>3</v>
      </c>
      <c r="S751" s="47">
        <v>3</v>
      </c>
      <c r="T751" s="47"/>
      <c r="U751" s="47" t="s">
        <v>1915</v>
      </c>
      <c r="V751" s="47" t="s">
        <v>1387</v>
      </c>
      <c r="W751" s="47" t="s">
        <v>1717</v>
      </c>
      <c r="X751" s="47" t="s">
        <v>1387</v>
      </c>
      <c r="Y751" s="47" t="s">
        <v>1387</v>
      </c>
      <c r="AA751" s="327"/>
      <c r="AB751" s="327"/>
      <c r="AC751" s="33" t="s">
        <v>796</v>
      </c>
      <c r="AG751" s="33" t="s">
        <v>1332</v>
      </c>
      <c r="AH751" s="33" t="s">
        <v>1521</v>
      </c>
      <c r="AI751" s="138" t="s">
        <v>577</v>
      </c>
      <c r="AJ751" s="33" t="s">
        <v>220</v>
      </c>
      <c r="AK751" s="141" t="s">
        <v>220</v>
      </c>
      <c r="AO751" s="33" t="s">
        <v>487</v>
      </c>
      <c r="AP751" s="33" t="s">
        <v>497</v>
      </c>
      <c r="AQ751" s="33" t="s">
        <v>2125</v>
      </c>
      <c r="AR751" s="33" t="s">
        <v>2126</v>
      </c>
      <c r="AS751" s="33" t="s">
        <v>502</v>
      </c>
      <c r="AT751" s="33" t="s">
        <v>499</v>
      </c>
      <c r="AU751" s="33" t="s">
        <v>500</v>
      </c>
      <c r="AV751" s="33" t="s">
        <v>502</v>
      </c>
      <c r="AW751" s="33" t="s">
        <v>119</v>
      </c>
      <c r="AX751" s="33">
        <v>3</v>
      </c>
      <c r="AZ751" s="33" t="s">
        <v>335</v>
      </c>
      <c r="BD751" s="54"/>
      <c r="BE751" s="33" t="s">
        <v>507</v>
      </c>
      <c r="BK751" s="33">
        <f>32.1*1000/5</f>
        <v>6420</v>
      </c>
      <c r="BL751" s="33">
        <f>32.8*1000/5</f>
        <v>6560</v>
      </c>
      <c r="BO751" s="33" t="s">
        <v>510</v>
      </c>
      <c r="BP751" s="402"/>
      <c r="BQ751" s="402"/>
      <c r="BU751" s="402">
        <v>1.38</v>
      </c>
      <c r="BV751" s="402">
        <v>2.38</v>
      </c>
      <c r="BY751" s="33" t="s">
        <v>163</v>
      </c>
      <c r="BZ751" s="402"/>
      <c r="CA751" s="402"/>
      <c r="CD751" s="33" t="s">
        <v>3120</v>
      </c>
      <c r="CE751" s="555">
        <v>1.38</v>
      </c>
      <c r="CF751" s="555">
        <v>2.38</v>
      </c>
      <c r="CG751" s="555"/>
      <c r="CH751" s="555"/>
      <c r="CI751" s="33" t="s">
        <v>4546</v>
      </c>
      <c r="CJ751" s="33">
        <v>1100</v>
      </c>
      <c r="CK751" s="33">
        <v>1900</v>
      </c>
      <c r="CN751" s="33" t="s">
        <v>512</v>
      </c>
      <c r="DS751" s="33">
        <f>0.69*1000</f>
        <v>690</v>
      </c>
      <c r="DT751" s="33">
        <v>900</v>
      </c>
      <c r="DW751" s="33" t="s">
        <v>513</v>
      </c>
      <c r="GZ751" s="12"/>
      <c r="HD751" s="12"/>
      <c r="JB751" s="5" t="s">
        <v>723</v>
      </c>
    </row>
    <row r="752" spans="1:262" s="28" customFormat="1" x14ac:dyDescent="0.25">
      <c r="A752" s="28">
        <v>36</v>
      </c>
      <c r="B752" s="46" t="s">
        <v>3898</v>
      </c>
      <c r="C752" s="28" t="s">
        <v>493</v>
      </c>
      <c r="D752" s="28" t="s">
        <v>494</v>
      </c>
      <c r="E752" s="28">
        <v>1992</v>
      </c>
      <c r="F752" s="28">
        <v>1982</v>
      </c>
      <c r="G752" s="28" t="s">
        <v>495</v>
      </c>
      <c r="H752" s="28" t="s">
        <v>496</v>
      </c>
      <c r="I752" s="32" t="s">
        <v>2815</v>
      </c>
      <c r="J752" s="28">
        <f t="shared" si="209"/>
        <v>33.9</v>
      </c>
      <c r="K752" s="28">
        <f t="shared" si="210"/>
        <v>-83.4</v>
      </c>
      <c r="L752" s="28">
        <v>185.5</v>
      </c>
      <c r="R752" s="46">
        <v>3</v>
      </c>
      <c r="S752" s="46">
        <v>3</v>
      </c>
      <c r="T752" s="46"/>
      <c r="U752" s="46" t="s">
        <v>1915</v>
      </c>
      <c r="V752" s="46" t="s">
        <v>1387</v>
      </c>
      <c r="W752" s="46" t="s">
        <v>1717</v>
      </c>
      <c r="X752" s="46" t="s">
        <v>1387</v>
      </c>
      <c r="Y752" s="46" t="s">
        <v>1387</v>
      </c>
      <c r="AA752" s="326"/>
      <c r="AB752" s="326"/>
      <c r="AC752" s="28" t="s">
        <v>796</v>
      </c>
      <c r="AG752" s="28" t="s">
        <v>1332</v>
      </c>
      <c r="AH752" s="28" t="s">
        <v>1521</v>
      </c>
      <c r="AI752" s="138" t="s">
        <v>577</v>
      </c>
      <c r="AJ752" s="28" t="s">
        <v>220</v>
      </c>
      <c r="AK752" s="141" t="s">
        <v>220</v>
      </c>
      <c r="AO752" s="28" t="s">
        <v>487</v>
      </c>
      <c r="AP752" s="28" t="s">
        <v>497</v>
      </c>
      <c r="AQ752" s="28" t="s">
        <v>2125</v>
      </c>
      <c r="AR752" s="28" t="s">
        <v>2126</v>
      </c>
      <c r="AS752" s="28" t="s">
        <v>502</v>
      </c>
      <c r="AT752" s="28" t="s">
        <v>499</v>
      </c>
      <c r="AU752" s="28" t="s">
        <v>500</v>
      </c>
      <c r="AV752" s="28" t="s">
        <v>502</v>
      </c>
      <c r="AW752" s="28" t="s">
        <v>119</v>
      </c>
      <c r="AX752" s="28">
        <v>3</v>
      </c>
      <c r="AZ752" s="28" t="s">
        <v>335</v>
      </c>
      <c r="BE752" s="28" t="s">
        <v>508</v>
      </c>
      <c r="BK752" s="28">
        <f>35.7*1000/5</f>
        <v>7140</v>
      </c>
      <c r="BL752" s="28">
        <f>30.3*1000/5</f>
        <v>6060</v>
      </c>
      <c r="BO752" s="28" t="s">
        <v>511</v>
      </c>
      <c r="BP752" s="401"/>
      <c r="BQ752" s="401"/>
      <c r="BU752" s="401">
        <v>1.44</v>
      </c>
      <c r="BV752" s="401">
        <v>3.07</v>
      </c>
      <c r="BY752" s="28" t="s">
        <v>163</v>
      </c>
      <c r="BZ752" s="401"/>
      <c r="CA752" s="401"/>
      <c r="CD752" s="28" t="s">
        <v>3120</v>
      </c>
      <c r="CE752" s="554">
        <v>1.44</v>
      </c>
      <c r="CF752" s="554">
        <v>3.07</v>
      </c>
      <c r="CG752" s="554"/>
      <c r="CH752" s="554"/>
      <c r="CI752" s="28" t="s">
        <v>4546</v>
      </c>
      <c r="CJ752" s="28">
        <v>1100</v>
      </c>
      <c r="CK752" s="28">
        <v>2300</v>
      </c>
      <c r="CN752" s="28" t="s">
        <v>512</v>
      </c>
      <c r="DS752" s="28">
        <f>0.7*1000</f>
        <v>700</v>
      </c>
      <c r="DT752" s="28">
        <v>930</v>
      </c>
      <c r="DW752" s="28" t="s">
        <v>513</v>
      </c>
      <c r="GZ752" s="107"/>
      <c r="HD752" s="107"/>
      <c r="JB752" s="28" t="s">
        <v>723</v>
      </c>
    </row>
    <row r="753" spans="1:262" s="32" customFormat="1" x14ac:dyDescent="0.25">
      <c r="A753" s="32">
        <v>37</v>
      </c>
      <c r="B753" s="44" t="s">
        <v>3899</v>
      </c>
      <c r="C753" s="32" t="s">
        <v>515</v>
      </c>
      <c r="D753" s="32" t="s">
        <v>516</v>
      </c>
      <c r="E753" s="32">
        <v>2012</v>
      </c>
      <c r="F753" s="32">
        <v>2009</v>
      </c>
      <c r="G753" s="32" t="s">
        <v>112</v>
      </c>
      <c r="H753" s="32" t="s">
        <v>517</v>
      </c>
      <c r="I753" s="32" t="s">
        <v>2815</v>
      </c>
      <c r="J753" s="32">
        <f t="shared" ref="J753:J766" si="211">44+19/60</f>
        <v>44.31666666666667</v>
      </c>
      <c r="K753" s="32">
        <f t="shared" ref="K753:K766" si="212">-96-46/60</f>
        <v>-96.766666666666666</v>
      </c>
      <c r="L753" s="32">
        <v>504.6</v>
      </c>
      <c r="N753" s="32">
        <v>8</v>
      </c>
      <c r="O753" s="32">
        <v>580</v>
      </c>
      <c r="R753" s="44">
        <v>1</v>
      </c>
      <c r="S753" s="44">
        <v>2</v>
      </c>
      <c r="T753" s="44"/>
      <c r="U753" s="44" t="s">
        <v>1916</v>
      </c>
      <c r="V753" s="44" t="s">
        <v>1382</v>
      </c>
      <c r="W753" s="44" t="s">
        <v>1717</v>
      </c>
      <c r="X753" s="44" t="s">
        <v>1382</v>
      </c>
      <c r="Y753" s="44" t="s">
        <v>1382</v>
      </c>
      <c r="AA753" s="323">
        <v>60</v>
      </c>
      <c r="AB753" s="323">
        <f t="shared" ref="AB753:AB766" si="213">100-60-28</f>
        <v>12</v>
      </c>
      <c r="AC753" s="32" t="s">
        <v>518</v>
      </c>
      <c r="AD753" s="32">
        <v>7.4</v>
      </c>
      <c r="AE753" s="32">
        <v>2.9</v>
      </c>
      <c r="AF753" s="32">
        <v>0.31</v>
      </c>
      <c r="AG753" s="32" t="s">
        <v>1334</v>
      </c>
      <c r="AH753" s="32" t="s">
        <v>523</v>
      </c>
      <c r="AI753" s="138" t="s">
        <v>1129</v>
      </c>
      <c r="AJ753" s="32" t="s">
        <v>520</v>
      </c>
      <c r="AK753" s="140" t="s">
        <v>1624</v>
      </c>
      <c r="AL753" s="32" t="s">
        <v>1622</v>
      </c>
      <c r="AM753" s="32" t="s">
        <v>1622</v>
      </c>
      <c r="AN753" s="32" t="s">
        <v>177</v>
      </c>
      <c r="AO753" s="32" t="s">
        <v>521</v>
      </c>
      <c r="AP753" s="32" t="s">
        <v>156</v>
      </c>
      <c r="AQ753" s="32" t="s">
        <v>2125</v>
      </c>
      <c r="AR753" s="32" t="s">
        <v>2126</v>
      </c>
      <c r="AS753" s="32" t="s">
        <v>502</v>
      </c>
      <c r="AW753" s="32" t="s">
        <v>160</v>
      </c>
      <c r="AX753" s="32">
        <v>4</v>
      </c>
      <c r="AZ753" s="32" t="s">
        <v>141</v>
      </c>
      <c r="BD753" s="53"/>
      <c r="BP753" s="397"/>
      <c r="BQ753" s="397"/>
      <c r="BU753" s="397"/>
      <c r="BV753" s="397"/>
      <c r="BZ753" s="397"/>
      <c r="CA753" s="397"/>
      <c r="CE753" s="550"/>
      <c r="CF753" s="550"/>
      <c r="CG753" s="550"/>
      <c r="CH753" s="550"/>
      <c r="GP753" s="32">
        <v>58.12</v>
      </c>
      <c r="GQ753" s="32">
        <v>82.59</v>
      </c>
      <c r="GT753" s="32" t="s">
        <v>522</v>
      </c>
      <c r="JB753" s="32" t="s">
        <v>724</v>
      </c>
    </row>
    <row r="754" spans="1:262" s="32" customFormat="1" x14ac:dyDescent="0.25">
      <c r="A754" s="32">
        <v>37</v>
      </c>
      <c r="B754" s="44" t="s">
        <v>3900</v>
      </c>
      <c r="C754" s="32" t="s">
        <v>515</v>
      </c>
      <c r="D754" s="32" t="s">
        <v>516</v>
      </c>
      <c r="E754" s="32">
        <v>2012</v>
      </c>
      <c r="F754" s="32">
        <v>2009</v>
      </c>
      <c r="G754" s="32" t="s">
        <v>112</v>
      </c>
      <c r="H754" s="32" t="s">
        <v>517</v>
      </c>
      <c r="I754" s="32" t="s">
        <v>2815</v>
      </c>
      <c r="J754" s="32">
        <f t="shared" si="211"/>
        <v>44.31666666666667</v>
      </c>
      <c r="K754" s="32">
        <f t="shared" si="212"/>
        <v>-96.766666666666666</v>
      </c>
      <c r="L754" s="32">
        <v>504.6</v>
      </c>
      <c r="N754" s="32">
        <v>8</v>
      </c>
      <c r="O754" s="32">
        <v>580</v>
      </c>
      <c r="R754" s="44">
        <v>1</v>
      </c>
      <c r="S754" s="44">
        <v>2</v>
      </c>
      <c r="T754" s="44"/>
      <c r="U754" s="44" t="s">
        <v>1916</v>
      </c>
      <c r="V754" s="44" t="s">
        <v>1382</v>
      </c>
      <c r="W754" s="44" t="s">
        <v>1717</v>
      </c>
      <c r="X754" s="44" t="s">
        <v>1382</v>
      </c>
      <c r="Y754" s="44" t="s">
        <v>1382</v>
      </c>
      <c r="AA754" s="323">
        <v>60</v>
      </c>
      <c r="AB754" s="323">
        <f t="shared" si="213"/>
        <v>12</v>
      </c>
      <c r="AC754" s="32" t="s">
        <v>518</v>
      </c>
      <c r="AD754" s="32">
        <v>7.4</v>
      </c>
      <c r="AE754" s="32">
        <v>2.9</v>
      </c>
      <c r="AF754" s="32">
        <v>0.31</v>
      </c>
      <c r="AG754" s="32" t="s">
        <v>1334</v>
      </c>
      <c r="AH754" s="32" t="s">
        <v>520</v>
      </c>
      <c r="AI754" s="138" t="s">
        <v>1581</v>
      </c>
      <c r="AJ754" s="32" t="s">
        <v>520</v>
      </c>
      <c r="AK754" s="140" t="s">
        <v>1624</v>
      </c>
      <c r="AL754" s="32" t="s">
        <v>1622</v>
      </c>
      <c r="AM754" s="32" t="s">
        <v>1622</v>
      </c>
      <c r="AN754" s="32" t="s">
        <v>177</v>
      </c>
      <c r="AO754" s="32" t="s">
        <v>521</v>
      </c>
      <c r="AP754" s="32" t="s">
        <v>156</v>
      </c>
      <c r="AQ754" s="32" t="s">
        <v>2125</v>
      </c>
      <c r="AR754" s="32" t="s">
        <v>2126</v>
      </c>
      <c r="AS754" s="32" t="s">
        <v>502</v>
      </c>
      <c r="AW754" s="32" t="s">
        <v>160</v>
      </c>
      <c r="AX754" s="32">
        <v>4</v>
      </c>
      <c r="AZ754" s="32" t="s">
        <v>141</v>
      </c>
      <c r="BD754" s="53"/>
      <c r="BP754" s="397"/>
      <c r="BQ754" s="397"/>
      <c r="BU754" s="397"/>
      <c r="BV754" s="397"/>
      <c r="BZ754" s="397"/>
      <c r="CA754" s="397"/>
      <c r="CE754" s="550"/>
      <c r="CF754" s="550"/>
      <c r="CG754" s="550"/>
      <c r="CH754" s="550"/>
      <c r="GP754" s="32">
        <v>58.12</v>
      </c>
      <c r="GQ754" s="32">
        <v>146.5</v>
      </c>
      <c r="GT754" s="32" t="s">
        <v>522</v>
      </c>
      <c r="JB754" s="32" t="s">
        <v>724</v>
      </c>
    </row>
    <row r="755" spans="1:262" s="32" customFormat="1" x14ac:dyDescent="0.25">
      <c r="A755" s="32">
        <v>37</v>
      </c>
      <c r="B755" s="44" t="s">
        <v>3901</v>
      </c>
      <c r="C755" s="32" t="s">
        <v>515</v>
      </c>
      <c r="D755" s="32" t="s">
        <v>516</v>
      </c>
      <c r="E755" s="32">
        <v>2012</v>
      </c>
      <c r="F755" s="32">
        <v>2009</v>
      </c>
      <c r="G755" s="32" t="s">
        <v>112</v>
      </c>
      <c r="H755" s="32" t="s">
        <v>517</v>
      </c>
      <c r="I755" s="32" t="s">
        <v>2815</v>
      </c>
      <c r="J755" s="32">
        <f t="shared" si="211"/>
        <v>44.31666666666667</v>
      </c>
      <c r="K755" s="32">
        <f t="shared" si="212"/>
        <v>-96.766666666666666</v>
      </c>
      <c r="L755" s="32">
        <v>504.6</v>
      </c>
      <c r="N755" s="32">
        <v>8</v>
      </c>
      <c r="O755" s="32">
        <v>580</v>
      </c>
      <c r="R755" s="44">
        <v>1</v>
      </c>
      <c r="S755" s="44">
        <v>2</v>
      </c>
      <c r="T755" s="44"/>
      <c r="U755" s="44" t="s">
        <v>1916</v>
      </c>
      <c r="V755" s="44" t="s">
        <v>1382</v>
      </c>
      <c r="W755" s="44" t="s">
        <v>1717</v>
      </c>
      <c r="X755" s="44" t="s">
        <v>1382</v>
      </c>
      <c r="Y755" s="44" t="s">
        <v>1382</v>
      </c>
      <c r="AA755" s="323">
        <v>60</v>
      </c>
      <c r="AB755" s="323">
        <f t="shared" si="213"/>
        <v>12</v>
      </c>
      <c r="AC755" s="32" t="s">
        <v>518</v>
      </c>
      <c r="AD755" s="32">
        <v>7.4</v>
      </c>
      <c r="AE755" s="32">
        <v>2.9</v>
      </c>
      <c r="AF755" s="32">
        <v>0.31</v>
      </c>
      <c r="AG755" s="32" t="s">
        <v>1334</v>
      </c>
      <c r="AH755" s="32" t="s">
        <v>243</v>
      </c>
      <c r="AI755" s="138" t="s">
        <v>577</v>
      </c>
      <c r="AJ755" s="32" t="s">
        <v>520</v>
      </c>
      <c r="AK755" s="140" t="s">
        <v>1624</v>
      </c>
      <c r="AL755" s="32" t="s">
        <v>1622</v>
      </c>
      <c r="AM755" s="32" t="s">
        <v>1622</v>
      </c>
      <c r="AN755" s="32" t="s">
        <v>177</v>
      </c>
      <c r="AO755" s="32" t="s">
        <v>521</v>
      </c>
      <c r="AP755" s="32" t="s">
        <v>156</v>
      </c>
      <c r="AQ755" s="32" t="s">
        <v>2125</v>
      </c>
      <c r="AR755" s="32" t="s">
        <v>2126</v>
      </c>
      <c r="AS755" s="32" t="s">
        <v>502</v>
      </c>
      <c r="AW755" s="32" t="s">
        <v>160</v>
      </c>
      <c r="AX755" s="32">
        <v>4</v>
      </c>
      <c r="AZ755" s="32" t="s">
        <v>141</v>
      </c>
      <c r="BD755" s="53"/>
      <c r="BP755" s="397"/>
      <c r="BQ755" s="397"/>
      <c r="BU755" s="397"/>
      <c r="BV755" s="397"/>
      <c r="BZ755" s="397"/>
      <c r="CA755" s="397"/>
      <c r="CE755" s="550"/>
      <c r="CF755" s="550"/>
      <c r="CG755" s="550"/>
      <c r="CH755" s="550"/>
      <c r="GP755" s="32">
        <v>58.12</v>
      </c>
      <c r="GQ755" s="32">
        <v>111.06</v>
      </c>
      <c r="GT755" s="32" t="s">
        <v>522</v>
      </c>
      <c r="JB755" s="32" t="s">
        <v>724</v>
      </c>
    </row>
    <row r="756" spans="1:262" s="32" customFormat="1" x14ac:dyDescent="0.25">
      <c r="A756" s="32">
        <v>37</v>
      </c>
      <c r="B756" s="44" t="s">
        <v>3902</v>
      </c>
      <c r="C756" s="32" t="s">
        <v>515</v>
      </c>
      <c r="D756" s="32" t="s">
        <v>516</v>
      </c>
      <c r="E756" s="32">
        <v>2012</v>
      </c>
      <c r="F756" s="32">
        <v>2009</v>
      </c>
      <c r="G756" s="32" t="s">
        <v>112</v>
      </c>
      <c r="H756" s="32" t="s">
        <v>517</v>
      </c>
      <c r="I756" s="32" t="s">
        <v>2815</v>
      </c>
      <c r="J756" s="32">
        <f t="shared" si="211"/>
        <v>44.31666666666667</v>
      </c>
      <c r="K756" s="32">
        <f t="shared" si="212"/>
        <v>-96.766666666666666</v>
      </c>
      <c r="L756" s="32">
        <v>504.6</v>
      </c>
      <c r="N756" s="32">
        <v>8</v>
      </c>
      <c r="O756" s="32">
        <v>580</v>
      </c>
      <c r="R756" s="44">
        <v>1</v>
      </c>
      <c r="S756" s="44">
        <v>2</v>
      </c>
      <c r="T756" s="44"/>
      <c r="U756" s="44" t="s">
        <v>1916</v>
      </c>
      <c r="V756" s="44" t="s">
        <v>1382</v>
      </c>
      <c r="W756" s="44" t="s">
        <v>1717</v>
      </c>
      <c r="X756" s="44" t="s">
        <v>1382</v>
      </c>
      <c r="Y756" s="44" t="s">
        <v>1382</v>
      </c>
      <c r="AA756" s="323">
        <v>60</v>
      </c>
      <c r="AB756" s="323">
        <f t="shared" si="213"/>
        <v>12</v>
      </c>
      <c r="AC756" s="32" t="s">
        <v>518</v>
      </c>
      <c r="AD756" s="32">
        <v>7.4</v>
      </c>
      <c r="AE756" s="32">
        <v>2.9</v>
      </c>
      <c r="AF756" s="32">
        <v>0.31</v>
      </c>
      <c r="AG756" s="32" t="s">
        <v>1334</v>
      </c>
      <c r="AH756" s="32" t="s">
        <v>1557</v>
      </c>
      <c r="AI756" s="138" t="s">
        <v>1585</v>
      </c>
      <c r="AJ756" s="32" t="s">
        <v>520</v>
      </c>
      <c r="AK756" s="140" t="s">
        <v>1624</v>
      </c>
      <c r="AL756" s="32" t="s">
        <v>1622</v>
      </c>
      <c r="AM756" s="32" t="s">
        <v>1622</v>
      </c>
      <c r="AN756" s="32" t="s">
        <v>177</v>
      </c>
      <c r="AO756" s="32" t="s">
        <v>521</v>
      </c>
      <c r="AP756" s="32" t="s">
        <v>156</v>
      </c>
      <c r="AQ756" s="32" t="s">
        <v>2125</v>
      </c>
      <c r="AR756" s="32" t="s">
        <v>2126</v>
      </c>
      <c r="AS756" s="32" t="s">
        <v>502</v>
      </c>
      <c r="AW756" s="32" t="s">
        <v>160</v>
      </c>
      <c r="AX756" s="32">
        <v>4</v>
      </c>
      <c r="AZ756" s="32" t="s">
        <v>141</v>
      </c>
      <c r="BD756" s="53"/>
      <c r="BP756" s="397"/>
      <c r="BQ756" s="397"/>
      <c r="BU756" s="397"/>
      <c r="BV756" s="397"/>
      <c r="BZ756" s="397"/>
      <c r="CA756" s="397"/>
      <c r="CE756" s="550"/>
      <c r="CF756" s="550"/>
      <c r="CG756" s="550"/>
      <c r="CH756" s="550"/>
      <c r="GP756" s="32">
        <v>58.12</v>
      </c>
      <c r="GQ756" s="32">
        <v>213.15</v>
      </c>
      <c r="GT756" s="32" t="s">
        <v>522</v>
      </c>
      <c r="JB756" s="32" t="s">
        <v>724</v>
      </c>
    </row>
    <row r="757" spans="1:262" s="32" customFormat="1" x14ac:dyDescent="0.25">
      <c r="A757" s="32">
        <v>37</v>
      </c>
      <c r="B757" s="44" t="s">
        <v>3903</v>
      </c>
      <c r="C757" s="32" t="s">
        <v>515</v>
      </c>
      <c r="D757" s="32" t="s">
        <v>516</v>
      </c>
      <c r="E757" s="32">
        <v>2012</v>
      </c>
      <c r="F757" s="32">
        <v>2009</v>
      </c>
      <c r="G757" s="32" t="s">
        <v>112</v>
      </c>
      <c r="H757" s="32" t="s">
        <v>517</v>
      </c>
      <c r="I757" s="32" t="s">
        <v>2815</v>
      </c>
      <c r="J757" s="32">
        <f t="shared" si="211"/>
        <v>44.31666666666667</v>
      </c>
      <c r="K757" s="32">
        <f t="shared" si="212"/>
        <v>-96.766666666666666</v>
      </c>
      <c r="L757" s="32">
        <v>504.6</v>
      </c>
      <c r="N757" s="32">
        <v>8</v>
      </c>
      <c r="O757" s="32">
        <v>580</v>
      </c>
      <c r="R757" s="44">
        <v>1</v>
      </c>
      <c r="S757" s="44">
        <v>2</v>
      </c>
      <c r="T757" s="44"/>
      <c r="U757" s="44" t="s">
        <v>1916</v>
      </c>
      <c r="V757" s="44" t="s">
        <v>1382</v>
      </c>
      <c r="W757" s="44" t="s">
        <v>1717</v>
      </c>
      <c r="X757" s="44" t="s">
        <v>1382</v>
      </c>
      <c r="Y757" s="44" t="s">
        <v>1382</v>
      </c>
      <c r="AA757" s="323">
        <v>60</v>
      </c>
      <c r="AB757" s="323">
        <f t="shared" si="213"/>
        <v>12</v>
      </c>
      <c r="AC757" s="32" t="s">
        <v>518</v>
      </c>
      <c r="AD757" s="32">
        <v>7.4</v>
      </c>
      <c r="AE757" s="32">
        <v>2.9</v>
      </c>
      <c r="AF757" s="32">
        <v>0.31</v>
      </c>
      <c r="AG757" s="32" t="s">
        <v>1334</v>
      </c>
      <c r="AH757" s="32" t="s">
        <v>1559</v>
      </c>
      <c r="AI757" s="138" t="s">
        <v>1582</v>
      </c>
      <c r="AJ757" s="32" t="s">
        <v>520</v>
      </c>
      <c r="AK757" s="140" t="s">
        <v>1624</v>
      </c>
      <c r="AL757" s="32" t="s">
        <v>1622</v>
      </c>
      <c r="AM757" s="32" t="s">
        <v>1622</v>
      </c>
      <c r="AN757" s="32" t="s">
        <v>177</v>
      </c>
      <c r="AO757" s="32" t="s">
        <v>521</v>
      </c>
      <c r="AP757" s="32" t="s">
        <v>156</v>
      </c>
      <c r="AQ757" s="32" t="s">
        <v>2125</v>
      </c>
      <c r="AR757" s="32" t="s">
        <v>2126</v>
      </c>
      <c r="AS757" s="32" t="s">
        <v>502</v>
      </c>
      <c r="AW757" s="32" t="s">
        <v>160</v>
      </c>
      <c r="AX757" s="32">
        <v>4</v>
      </c>
      <c r="AZ757" s="32" t="s">
        <v>141</v>
      </c>
      <c r="BD757" s="53"/>
      <c r="BP757" s="397"/>
      <c r="BQ757" s="397"/>
      <c r="BU757" s="397"/>
      <c r="BV757" s="397"/>
      <c r="BZ757" s="397"/>
      <c r="CA757" s="397"/>
      <c r="CE757" s="550"/>
      <c r="CF757" s="550"/>
      <c r="CG757" s="550"/>
      <c r="CH757" s="550"/>
      <c r="GP757" s="32">
        <v>58.12</v>
      </c>
      <c r="GQ757" s="32">
        <v>176.05</v>
      </c>
      <c r="GT757" s="32" t="s">
        <v>522</v>
      </c>
      <c r="JB757" s="32" t="s">
        <v>724</v>
      </c>
    </row>
    <row r="758" spans="1:262" s="32" customFormat="1" x14ac:dyDescent="0.25">
      <c r="A758" s="32">
        <v>37</v>
      </c>
      <c r="B758" s="44" t="s">
        <v>3904</v>
      </c>
      <c r="C758" s="32" t="s">
        <v>515</v>
      </c>
      <c r="D758" s="32" t="s">
        <v>516</v>
      </c>
      <c r="E758" s="32">
        <v>2012</v>
      </c>
      <c r="F758" s="32">
        <v>2009</v>
      </c>
      <c r="G758" s="32" t="s">
        <v>112</v>
      </c>
      <c r="H758" s="32" t="s">
        <v>517</v>
      </c>
      <c r="I758" s="32" t="s">
        <v>2815</v>
      </c>
      <c r="J758" s="32">
        <f t="shared" si="211"/>
        <v>44.31666666666667</v>
      </c>
      <c r="K758" s="32">
        <f t="shared" si="212"/>
        <v>-96.766666666666666</v>
      </c>
      <c r="L758" s="32">
        <v>504.6</v>
      </c>
      <c r="N758" s="32">
        <v>8</v>
      </c>
      <c r="O758" s="32">
        <v>580</v>
      </c>
      <c r="R758" s="44">
        <v>1</v>
      </c>
      <c r="S758" s="44">
        <v>2</v>
      </c>
      <c r="T758" s="44"/>
      <c r="U758" s="44" t="s">
        <v>1916</v>
      </c>
      <c r="V758" s="44" t="s">
        <v>1382</v>
      </c>
      <c r="W758" s="44" t="s">
        <v>1717</v>
      </c>
      <c r="X758" s="44" t="s">
        <v>1382</v>
      </c>
      <c r="Y758" s="44" t="s">
        <v>1382</v>
      </c>
      <c r="AA758" s="323">
        <v>60</v>
      </c>
      <c r="AB758" s="323">
        <f t="shared" si="213"/>
        <v>12</v>
      </c>
      <c r="AC758" s="32" t="s">
        <v>518</v>
      </c>
      <c r="AD758" s="32">
        <v>7.4</v>
      </c>
      <c r="AE758" s="32">
        <v>2.9</v>
      </c>
      <c r="AF758" s="32">
        <v>0.31</v>
      </c>
      <c r="AG758" s="32" t="s">
        <v>1334</v>
      </c>
      <c r="AH758" s="32" t="s">
        <v>1558</v>
      </c>
      <c r="AI758" s="138" t="s">
        <v>1585</v>
      </c>
      <c r="AJ758" s="32" t="s">
        <v>520</v>
      </c>
      <c r="AK758" s="140" t="s">
        <v>1624</v>
      </c>
      <c r="AL758" s="32" t="s">
        <v>1622</v>
      </c>
      <c r="AM758" s="32" t="s">
        <v>1622</v>
      </c>
      <c r="AN758" s="32" t="s">
        <v>177</v>
      </c>
      <c r="AO758" s="32" t="s">
        <v>521</v>
      </c>
      <c r="AP758" s="32" t="s">
        <v>156</v>
      </c>
      <c r="AQ758" s="32" t="s">
        <v>2125</v>
      </c>
      <c r="AR758" s="32" t="s">
        <v>2126</v>
      </c>
      <c r="AS758" s="32" t="s">
        <v>502</v>
      </c>
      <c r="AW758" s="32" t="s">
        <v>160</v>
      </c>
      <c r="AX758" s="32">
        <v>4</v>
      </c>
      <c r="AZ758" s="32" t="s">
        <v>141</v>
      </c>
      <c r="BD758" s="53"/>
      <c r="BP758" s="397"/>
      <c r="BQ758" s="397"/>
      <c r="BU758" s="397"/>
      <c r="BV758" s="397"/>
      <c r="BZ758" s="397"/>
      <c r="CA758" s="397"/>
      <c r="CE758" s="550"/>
      <c r="CF758" s="550"/>
      <c r="CG758" s="550"/>
      <c r="CH758" s="550"/>
      <c r="GP758" s="32">
        <v>58.12</v>
      </c>
      <c r="GQ758" s="32">
        <v>83.92</v>
      </c>
      <c r="GT758" s="32" t="s">
        <v>522</v>
      </c>
      <c r="JB758" s="32" t="s">
        <v>724</v>
      </c>
    </row>
    <row r="759" spans="1:262" s="32" customFormat="1" x14ac:dyDescent="0.25">
      <c r="A759" s="32">
        <v>37</v>
      </c>
      <c r="B759" s="44" t="s">
        <v>3905</v>
      </c>
      <c r="C759" s="32" t="s">
        <v>515</v>
      </c>
      <c r="D759" s="32" t="s">
        <v>516</v>
      </c>
      <c r="E759" s="32">
        <v>2012</v>
      </c>
      <c r="F759" s="32">
        <v>2009</v>
      </c>
      <c r="G759" s="32" t="s">
        <v>112</v>
      </c>
      <c r="H759" s="32" t="s">
        <v>517</v>
      </c>
      <c r="I759" s="32" t="s">
        <v>2815</v>
      </c>
      <c r="J759" s="32">
        <f t="shared" si="211"/>
        <v>44.31666666666667</v>
      </c>
      <c r="K759" s="32">
        <f t="shared" si="212"/>
        <v>-96.766666666666666</v>
      </c>
      <c r="L759" s="32">
        <v>504.6</v>
      </c>
      <c r="N759" s="32">
        <v>8</v>
      </c>
      <c r="O759" s="32">
        <v>580</v>
      </c>
      <c r="R759" s="44">
        <v>1</v>
      </c>
      <c r="S759" s="44">
        <v>2</v>
      </c>
      <c r="T759" s="44"/>
      <c r="U759" s="44" t="s">
        <v>1916</v>
      </c>
      <c r="V759" s="44" t="s">
        <v>1382</v>
      </c>
      <c r="W759" s="44" t="s">
        <v>1717</v>
      </c>
      <c r="X759" s="44" t="s">
        <v>1382</v>
      </c>
      <c r="Y759" s="44" t="s">
        <v>1382</v>
      </c>
      <c r="AA759" s="323">
        <v>60</v>
      </c>
      <c r="AB759" s="323">
        <f t="shared" si="213"/>
        <v>12</v>
      </c>
      <c r="AC759" s="32" t="s">
        <v>518</v>
      </c>
      <c r="AD759" s="32">
        <v>7.4</v>
      </c>
      <c r="AE759" s="32">
        <v>2.9</v>
      </c>
      <c r="AF759" s="32">
        <v>0.31</v>
      </c>
      <c r="AG759" s="32" t="s">
        <v>1334</v>
      </c>
      <c r="AH759" s="32" t="s">
        <v>1556</v>
      </c>
      <c r="AI759" s="138" t="s">
        <v>635</v>
      </c>
      <c r="AJ759" s="32" t="s">
        <v>520</v>
      </c>
      <c r="AK759" s="140" t="s">
        <v>1624</v>
      </c>
      <c r="AL759" s="32" t="s">
        <v>1622</v>
      </c>
      <c r="AM759" s="32" t="s">
        <v>1622</v>
      </c>
      <c r="AN759" s="32" t="s">
        <v>177</v>
      </c>
      <c r="AO759" s="32" t="s">
        <v>521</v>
      </c>
      <c r="AP759" s="32" t="s">
        <v>156</v>
      </c>
      <c r="AQ759" s="32" t="s">
        <v>2125</v>
      </c>
      <c r="AR759" s="32" t="s">
        <v>2126</v>
      </c>
      <c r="AS759" s="32" t="s">
        <v>502</v>
      </c>
      <c r="AW759" s="32" t="s">
        <v>160</v>
      </c>
      <c r="AX759" s="32">
        <v>4</v>
      </c>
      <c r="AZ759" s="32" t="s">
        <v>141</v>
      </c>
      <c r="BD759" s="53"/>
      <c r="BP759" s="397"/>
      <c r="BQ759" s="397"/>
      <c r="BU759" s="397"/>
      <c r="BV759" s="397"/>
      <c r="BZ759" s="397"/>
      <c r="CA759" s="397"/>
      <c r="CE759" s="550"/>
      <c r="CF759" s="550"/>
      <c r="CG759" s="550"/>
      <c r="CH759" s="550"/>
      <c r="GP759" s="32">
        <v>58.12</v>
      </c>
      <c r="GQ759" s="32">
        <v>179.97</v>
      </c>
      <c r="GT759" s="32" t="s">
        <v>522</v>
      </c>
      <c r="JB759" s="32" t="s">
        <v>724</v>
      </c>
    </row>
    <row r="760" spans="1:262" s="24" customFormat="1" x14ac:dyDescent="0.25">
      <c r="A760" s="24">
        <v>37</v>
      </c>
      <c r="B760" s="42" t="s">
        <v>3899</v>
      </c>
      <c r="C760" s="24" t="s">
        <v>515</v>
      </c>
      <c r="D760" s="24" t="s">
        <v>516</v>
      </c>
      <c r="E760" s="24">
        <v>2012</v>
      </c>
      <c r="F760" s="24">
        <v>2010</v>
      </c>
      <c r="G760" s="24" t="s">
        <v>112</v>
      </c>
      <c r="H760" s="24" t="s">
        <v>517</v>
      </c>
      <c r="I760" s="32" t="s">
        <v>2815</v>
      </c>
      <c r="J760" s="24">
        <f t="shared" si="211"/>
        <v>44.31666666666667</v>
      </c>
      <c r="K760" s="24">
        <f t="shared" si="212"/>
        <v>-96.766666666666666</v>
      </c>
      <c r="L760" s="24">
        <v>504.6</v>
      </c>
      <c r="N760" s="24">
        <v>8</v>
      </c>
      <c r="O760" s="24">
        <v>580</v>
      </c>
      <c r="R760" s="42">
        <v>2</v>
      </c>
      <c r="S760" s="42">
        <v>2</v>
      </c>
      <c r="T760" s="42"/>
      <c r="U760" s="42" t="s">
        <v>1916</v>
      </c>
      <c r="V760" s="42" t="s">
        <v>1382</v>
      </c>
      <c r="W760" s="42" t="s">
        <v>1717</v>
      </c>
      <c r="X760" s="42" t="s">
        <v>1382</v>
      </c>
      <c r="Y760" s="42" t="s">
        <v>1382</v>
      </c>
      <c r="AA760" s="321">
        <v>60</v>
      </c>
      <c r="AB760" s="321">
        <f t="shared" si="213"/>
        <v>12</v>
      </c>
      <c r="AC760" s="24" t="s">
        <v>518</v>
      </c>
      <c r="AD760" s="24">
        <v>7.4</v>
      </c>
      <c r="AE760" s="24">
        <v>2.9</v>
      </c>
      <c r="AF760" s="24">
        <v>0.31</v>
      </c>
      <c r="AG760" s="24" t="s">
        <v>1334</v>
      </c>
      <c r="AH760" s="24" t="s">
        <v>523</v>
      </c>
      <c r="AI760" s="138" t="s">
        <v>1129</v>
      </c>
      <c r="AJ760" s="24" t="s">
        <v>520</v>
      </c>
      <c r="AK760" s="140" t="s">
        <v>1624</v>
      </c>
      <c r="AL760" s="24" t="s">
        <v>1622</v>
      </c>
      <c r="AM760" s="24" t="s">
        <v>1622</v>
      </c>
      <c r="AN760" s="24" t="s">
        <v>177</v>
      </c>
      <c r="AO760" s="24" t="s">
        <v>521</v>
      </c>
      <c r="AP760" s="24" t="s">
        <v>156</v>
      </c>
      <c r="AQ760" s="24" t="s">
        <v>2125</v>
      </c>
      <c r="AR760" s="24" t="s">
        <v>2126</v>
      </c>
      <c r="AS760" s="24" t="s">
        <v>502</v>
      </c>
      <c r="AW760" s="24" t="s">
        <v>160</v>
      </c>
      <c r="AX760" s="24">
        <v>4</v>
      </c>
      <c r="AZ760" s="24" t="s">
        <v>141</v>
      </c>
      <c r="BD760" s="53"/>
      <c r="BP760" s="395"/>
      <c r="BQ760" s="395"/>
      <c r="BU760" s="395"/>
      <c r="BV760" s="395"/>
      <c r="BZ760" s="395"/>
      <c r="CA760" s="395"/>
      <c r="CE760" s="548"/>
      <c r="CF760" s="548"/>
      <c r="CG760" s="548"/>
      <c r="CH760" s="548"/>
      <c r="GP760" s="24">
        <v>27.44</v>
      </c>
      <c r="GQ760" s="24">
        <v>40.340000000000003</v>
      </c>
      <c r="GT760" s="24" t="s">
        <v>522</v>
      </c>
      <c r="JB760" s="24" t="s">
        <v>724</v>
      </c>
    </row>
    <row r="761" spans="1:262" s="24" customFormat="1" x14ac:dyDescent="0.25">
      <c r="A761" s="24">
        <v>37</v>
      </c>
      <c r="B761" s="42" t="s">
        <v>3900</v>
      </c>
      <c r="C761" s="24" t="s">
        <v>515</v>
      </c>
      <c r="D761" s="24" t="s">
        <v>516</v>
      </c>
      <c r="E761" s="24">
        <v>2012</v>
      </c>
      <c r="F761" s="24">
        <v>2010</v>
      </c>
      <c r="G761" s="24" t="s">
        <v>112</v>
      </c>
      <c r="H761" s="24" t="s">
        <v>517</v>
      </c>
      <c r="I761" s="32" t="s">
        <v>2815</v>
      </c>
      <c r="J761" s="24">
        <f t="shared" si="211"/>
        <v>44.31666666666667</v>
      </c>
      <c r="K761" s="24">
        <f t="shared" si="212"/>
        <v>-96.766666666666666</v>
      </c>
      <c r="L761" s="24">
        <v>504.6</v>
      </c>
      <c r="N761" s="24">
        <v>8</v>
      </c>
      <c r="O761" s="24">
        <v>580</v>
      </c>
      <c r="R761" s="42">
        <v>2</v>
      </c>
      <c r="S761" s="42">
        <v>2</v>
      </c>
      <c r="T761" s="42"/>
      <c r="U761" s="42" t="s">
        <v>1916</v>
      </c>
      <c r="V761" s="42" t="s">
        <v>1382</v>
      </c>
      <c r="W761" s="42" t="s">
        <v>1717</v>
      </c>
      <c r="X761" s="42" t="s">
        <v>1382</v>
      </c>
      <c r="Y761" s="42" t="s">
        <v>1382</v>
      </c>
      <c r="AA761" s="321">
        <v>60</v>
      </c>
      <c r="AB761" s="321">
        <f t="shared" si="213"/>
        <v>12</v>
      </c>
      <c r="AC761" s="24" t="s">
        <v>518</v>
      </c>
      <c r="AD761" s="24">
        <v>7.4</v>
      </c>
      <c r="AE761" s="24">
        <v>2.9</v>
      </c>
      <c r="AF761" s="24">
        <v>0.31</v>
      </c>
      <c r="AG761" s="24" t="s">
        <v>1334</v>
      </c>
      <c r="AH761" s="24" t="s">
        <v>520</v>
      </c>
      <c r="AI761" s="138" t="s">
        <v>1581</v>
      </c>
      <c r="AJ761" s="24" t="s">
        <v>520</v>
      </c>
      <c r="AK761" s="140" t="s">
        <v>1624</v>
      </c>
      <c r="AL761" s="24" t="s">
        <v>1622</v>
      </c>
      <c r="AM761" s="24" t="s">
        <v>1622</v>
      </c>
      <c r="AN761" s="24" t="s">
        <v>177</v>
      </c>
      <c r="AO761" s="24" t="s">
        <v>521</v>
      </c>
      <c r="AP761" s="24" t="s">
        <v>156</v>
      </c>
      <c r="AQ761" s="24" t="s">
        <v>2125</v>
      </c>
      <c r="AR761" s="24" t="s">
        <v>2126</v>
      </c>
      <c r="AS761" s="24" t="s">
        <v>502</v>
      </c>
      <c r="AW761" s="24" t="s">
        <v>160</v>
      </c>
      <c r="AX761" s="24">
        <v>4</v>
      </c>
      <c r="AZ761" s="24" t="s">
        <v>141</v>
      </c>
      <c r="BD761" s="53"/>
      <c r="BP761" s="395"/>
      <c r="BQ761" s="395"/>
      <c r="BU761" s="395"/>
      <c r="BV761" s="395"/>
      <c r="BZ761" s="395"/>
      <c r="CA761" s="395"/>
      <c r="CE761" s="548"/>
      <c r="CF761" s="548"/>
      <c r="CG761" s="548"/>
      <c r="CH761" s="548"/>
      <c r="GP761" s="24">
        <v>27.44</v>
      </c>
      <c r="GQ761" s="24">
        <v>83.55</v>
      </c>
      <c r="GT761" s="24" t="s">
        <v>522</v>
      </c>
      <c r="JB761" s="24" t="s">
        <v>724</v>
      </c>
    </row>
    <row r="762" spans="1:262" s="24" customFormat="1" x14ac:dyDescent="0.25">
      <c r="A762" s="24">
        <v>37</v>
      </c>
      <c r="B762" s="42" t="s">
        <v>3901</v>
      </c>
      <c r="C762" s="24" t="s">
        <v>515</v>
      </c>
      <c r="D762" s="24" t="s">
        <v>516</v>
      </c>
      <c r="E762" s="24">
        <v>2012</v>
      </c>
      <c r="F762" s="24">
        <v>2010</v>
      </c>
      <c r="G762" s="24" t="s">
        <v>112</v>
      </c>
      <c r="H762" s="24" t="s">
        <v>517</v>
      </c>
      <c r="I762" s="32" t="s">
        <v>2815</v>
      </c>
      <c r="J762" s="24">
        <f t="shared" si="211"/>
        <v>44.31666666666667</v>
      </c>
      <c r="K762" s="24">
        <f t="shared" si="212"/>
        <v>-96.766666666666666</v>
      </c>
      <c r="L762" s="24">
        <v>504.6</v>
      </c>
      <c r="N762" s="24">
        <v>8</v>
      </c>
      <c r="O762" s="24">
        <v>580</v>
      </c>
      <c r="R762" s="42">
        <v>2</v>
      </c>
      <c r="S762" s="42">
        <v>2</v>
      </c>
      <c r="T762" s="42"/>
      <c r="U762" s="42" t="s">
        <v>1916</v>
      </c>
      <c r="V762" s="42" t="s">
        <v>1382</v>
      </c>
      <c r="W762" s="42" t="s">
        <v>1717</v>
      </c>
      <c r="X762" s="42" t="s">
        <v>1382</v>
      </c>
      <c r="Y762" s="42" t="s">
        <v>1382</v>
      </c>
      <c r="AA762" s="321">
        <v>60</v>
      </c>
      <c r="AB762" s="321">
        <f t="shared" si="213"/>
        <v>12</v>
      </c>
      <c r="AC762" s="24" t="s">
        <v>518</v>
      </c>
      <c r="AD762" s="24">
        <v>7.4</v>
      </c>
      <c r="AE762" s="24">
        <v>2.9</v>
      </c>
      <c r="AF762" s="24">
        <v>0.31</v>
      </c>
      <c r="AG762" s="24" t="s">
        <v>1334</v>
      </c>
      <c r="AH762" s="24" t="s">
        <v>243</v>
      </c>
      <c r="AI762" s="138" t="s">
        <v>577</v>
      </c>
      <c r="AJ762" s="24" t="s">
        <v>520</v>
      </c>
      <c r="AK762" s="140" t="s">
        <v>1624</v>
      </c>
      <c r="AL762" s="24" t="s">
        <v>1622</v>
      </c>
      <c r="AM762" s="24" t="s">
        <v>1622</v>
      </c>
      <c r="AN762" s="24" t="s">
        <v>177</v>
      </c>
      <c r="AO762" s="24" t="s">
        <v>521</v>
      </c>
      <c r="AP762" s="24" t="s">
        <v>156</v>
      </c>
      <c r="AQ762" s="24" t="s">
        <v>2125</v>
      </c>
      <c r="AR762" s="24" t="s">
        <v>2126</v>
      </c>
      <c r="AS762" s="24" t="s">
        <v>502</v>
      </c>
      <c r="AW762" s="24" t="s">
        <v>160</v>
      </c>
      <c r="AX762" s="24">
        <v>4</v>
      </c>
      <c r="AZ762" s="24" t="s">
        <v>141</v>
      </c>
      <c r="BD762" s="53"/>
      <c r="BP762" s="395"/>
      <c r="BQ762" s="395"/>
      <c r="BU762" s="395"/>
      <c r="BV762" s="395"/>
      <c r="BZ762" s="395"/>
      <c r="CA762" s="395"/>
      <c r="CE762" s="548"/>
      <c r="CF762" s="548"/>
      <c r="CG762" s="548"/>
      <c r="CH762" s="548"/>
      <c r="GP762" s="24">
        <v>27.44</v>
      </c>
      <c r="GQ762" s="24">
        <v>41.73</v>
      </c>
      <c r="GT762" s="24" t="s">
        <v>522</v>
      </c>
      <c r="JB762" s="24" t="s">
        <v>724</v>
      </c>
    </row>
    <row r="763" spans="1:262" s="24" customFormat="1" x14ac:dyDescent="0.25">
      <c r="A763" s="24">
        <v>37</v>
      </c>
      <c r="B763" s="42" t="s">
        <v>3902</v>
      </c>
      <c r="C763" s="24" t="s">
        <v>515</v>
      </c>
      <c r="D763" s="24" t="s">
        <v>516</v>
      </c>
      <c r="E763" s="24">
        <v>2012</v>
      </c>
      <c r="F763" s="24">
        <v>2010</v>
      </c>
      <c r="G763" s="24" t="s">
        <v>112</v>
      </c>
      <c r="H763" s="24" t="s">
        <v>517</v>
      </c>
      <c r="I763" s="32" t="s">
        <v>2815</v>
      </c>
      <c r="J763" s="24">
        <f t="shared" si="211"/>
        <v>44.31666666666667</v>
      </c>
      <c r="K763" s="24">
        <f t="shared" si="212"/>
        <v>-96.766666666666666</v>
      </c>
      <c r="L763" s="24">
        <v>504.6</v>
      </c>
      <c r="N763" s="24">
        <v>8</v>
      </c>
      <c r="O763" s="24">
        <v>580</v>
      </c>
      <c r="R763" s="42">
        <v>2</v>
      </c>
      <c r="S763" s="42">
        <v>2</v>
      </c>
      <c r="T763" s="42"/>
      <c r="U763" s="42" t="s">
        <v>1916</v>
      </c>
      <c r="V763" s="42" t="s">
        <v>1382</v>
      </c>
      <c r="W763" s="42" t="s">
        <v>1717</v>
      </c>
      <c r="X763" s="42" t="s">
        <v>1382</v>
      </c>
      <c r="Y763" s="42" t="s">
        <v>1382</v>
      </c>
      <c r="AA763" s="321">
        <v>60</v>
      </c>
      <c r="AB763" s="321">
        <f t="shared" si="213"/>
        <v>12</v>
      </c>
      <c r="AC763" s="24" t="s">
        <v>518</v>
      </c>
      <c r="AD763" s="24">
        <v>7.4</v>
      </c>
      <c r="AE763" s="24">
        <v>2.9</v>
      </c>
      <c r="AF763" s="24">
        <v>0.31</v>
      </c>
      <c r="AG763" s="24" t="s">
        <v>1334</v>
      </c>
      <c r="AH763" s="24" t="s">
        <v>1557</v>
      </c>
      <c r="AI763" s="138" t="s">
        <v>1585</v>
      </c>
      <c r="AJ763" s="24" t="s">
        <v>520</v>
      </c>
      <c r="AK763" s="140" t="s">
        <v>1624</v>
      </c>
      <c r="AL763" s="24" t="s">
        <v>1622</v>
      </c>
      <c r="AM763" s="24" t="s">
        <v>1622</v>
      </c>
      <c r="AN763" s="24" t="s">
        <v>177</v>
      </c>
      <c r="AO763" s="24" t="s">
        <v>521</v>
      </c>
      <c r="AP763" s="24" t="s">
        <v>156</v>
      </c>
      <c r="AQ763" s="24" t="s">
        <v>2125</v>
      </c>
      <c r="AR763" s="24" t="s">
        <v>2126</v>
      </c>
      <c r="AS763" s="24" t="s">
        <v>502</v>
      </c>
      <c r="AW763" s="24" t="s">
        <v>160</v>
      </c>
      <c r="AX763" s="24">
        <v>4</v>
      </c>
      <c r="AZ763" s="24" t="s">
        <v>141</v>
      </c>
      <c r="BD763" s="53"/>
      <c r="BP763" s="395"/>
      <c r="BQ763" s="395"/>
      <c r="BU763" s="395"/>
      <c r="BV763" s="395"/>
      <c r="BZ763" s="395"/>
      <c r="CA763" s="395"/>
      <c r="CE763" s="548"/>
      <c r="CF763" s="548"/>
      <c r="CG763" s="548"/>
      <c r="CH763" s="548"/>
      <c r="GP763" s="24">
        <v>27.44</v>
      </c>
      <c r="GQ763" s="24">
        <v>76.89</v>
      </c>
      <c r="GT763" s="24" t="s">
        <v>522</v>
      </c>
      <c r="JB763" s="24" t="s">
        <v>724</v>
      </c>
    </row>
    <row r="764" spans="1:262" s="24" customFormat="1" x14ac:dyDescent="0.25">
      <c r="A764" s="24">
        <v>37</v>
      </c>
      <c r="B764" s="42" t="s">
        <v>3903</v>
      </c>
      <c r="C764" s="24" t="s">
        <v>515</v>
      </c>
      <c r="D764" s="24" t="s">
        <v>516</v>
      </c>
      <c r="E764" s="24">
        <v>2012</v>
      </c>
      <c r="F764" s="24">
        <v>2010</v>
      </c>
      <c r="G764" s="24" t="s">
        <v>112</v>
      </c>
      <c r="H764" s="24" t="s">
        <v>517</v>
      </c>
      <c r="I764" s="32" t="s">
        <v>2815</v>
      </c>
      <c r="J764" s="24">
        <f t="shared" si="211"/>
        <v>44.31666666666667</v>
      </c>
      <c r="K764" s="24">
        <f t="shared" si="212"/>
        <v>-96.766666666666666</v>
      </c>
      <c r="L764" s="24">
        <v>504.6</v>
      </c>
      <c r="N764" s="24">
        <v>8</v>
      </c>
      <c r="O764" s="24">
        <v>580</v>
      </c>
      <c r="R764" s="42">
        <v>2</v>
      </c>
      <c r="S764" s="42">
        <v>2</v>
      </c>
      <c r="T764" s="42"/>
      <c r="U764" s="42" t="s">
        <v>1916</v>
      </c>
      <c r="V764" s="42" t="s">
        <v>1382</v>
      </c>
      <c r="W764" s="42" t="s">
        <v>1717</v>
      </c>
      <c r="X764" s="42" t="s">
        <v>1382</v>
      </c>
      <c r="Y764" s="42" t="s">
        <v>1382</v>
      </c>
      <c r="AA764" s="321">
        <v>60</v>
      </c>
      <c r="AB764" s="321">
        <f t="shared" si="213"/>
        <v>12</v>
      </c>
      <c r="AC764" s="24" t="s">
        <v>518</v>
      </c>
      <c r="AD764" s="24">
        <v>7.4</v>
      </c>
      <c r="AE764" s="24">
        <v>2.9</v>
      </c>
      <c r="AF764" s="24">
        <v>0.31</v>
      </c>
      <c r="AG764" s="24" t="s">
        <v>1334</v>
      </c>
      <c r="AH764" s="24" t="s">
        <v>1559</v>
      </c>
      <c r="AI764" s="138" t="s">
        <v>1582</v>
      </c>
      <c r="AJ764" s="24" t="s">
        <v>520</v>
      </c>
      <c r="AK764" s="140" t="s">
        <v>1624</v>
      </c>
      <c r="AL764" s="24" t="s">
        <v>1622</v>
      </c>
      <c r="AM764" s="24" t="s">
        <v>1622</v>
      </c>
      <c r="AN764" s="24" t="s">
        <v>177</v>
      </c>
      <c r="AO764" s="24" t="s">
        <v>521</v>
      </c>
      <c r="AP764" s="24" t="s">
        <v>156</v>
      </c>
      <c r="AQ764" s="24" t="s">
        <v>2125</v>
      </c>
      <c r="AR764" s="24" t="s">
        <v>2126</v>
      </c>
      <c r="AS764" s="24" t="s">
        <v>502</v>
      </c>
      <c r="AW764" s="24" t="s">
        <v>160</v>
      </c>
      <c r="AX764" s="24">
        <v>4</v>
      </c>
      <c r="AZ764" s="24" t="s">
        <v>141</v>
      </c>
      <c r="BD764" s="53"/>
      <c r="BP764" s="395"/>
      <c r="BQ764" s="395"/>
      <c r="BU764" s="395"/>
      <c r="BV764" s="395"/>
      <c r="BZ764" s="395"/>
      <c r="CA764" s="395"/>
      <c r="CE764" s="548"/>
      <c r="CF764" s="548"/>
      <c r="CG764" s="548"/>
      <c r="CH764" s="548"/>
      <c r="GP764" s="24">
        <v>27.44</v>
      </c>
      <c r="GQ764" s="24">
        <v>103.25</v>
      </c>
      <c r="GT764" s="24" t="s">
        <v>522</v>
      </c>
      <c r="JB764" s="24" t="s">
        <v>724</v>
      </c>
    </row>
    <row r="765" spans="1:262" s="24" customFormat="1" x14ac:dyDescent="0.25">
      <c r="A765" s="24">
        <v>37</v>
      </c>
      <c r="B765" s="42" t="s">
        <v>3904</v>
      </c>
      <c r="C765" s="24" t="s">
        <v>515</v>
      </c>
      <c r="D765" s="24" t="s">
        <v>516</v>
      </c>
      <c r="E765" s="24">
        <v>2012</v>
      </c>
      <c r="F765" s="24">
        <v>2010</v>
      </c>
      <c r="G765" s="24" t="s">
        <v>112</v>
      </c>
      <c r="H765" s="24" t="s">
        <v>517</v>
      </c>
      <c r="I765" s="32" t="s">
        <v>2815</v>
      </c>
      <c r="J765" s="24">
        <f t="shared" si="211"/>
        <v>44.31666666666667</v>
      </c>
      <c r="K765" s="24">
        <f t="shared" si="212"/>
        <v>-96.766666666666666</v>
      </c>
      <c r="L765" s="24">
        <v>504.6</v>
      </c>
      <c r="N765" s="24">
        <v>8</v>
      </c>
      <c r="O765" s="24">
        <v>580</v>
      </c>
      <c r="R765" s="42">
        <v>2</v>
      </c>
      <c r="S765" s="42">
        <v>2</v>
      </c>
      <c r="T765" s="42"/>
      <c r="U765" s="42" t="s">
        <v>1916</v>
      </c>
      <c r="V765" s="42" t="s">
        <v>1382</v>
      </c>
      <c r="W765" s="42" t="s">
        <v>1717</v>
      </c>
      <c r="X765" s="42" t="s">
        <v>1382</v>
      </c>
      <c r="Y765" s="42" t="s">
        <v>1382</v>
      </c>
      <c r="AA765" s="321">
        <v>60</v>
      </c>
      <c r="AB765" s="321">
        <f t="shared" si="213"/>
        <v>12</v>
      </c>
      <c r="AC765" s="24" t="s">
        <v>518</v>
      </c>
      <c r="AD765" s="24">
        <v>7.4</v>
      </c>
      <c r="AE765" s="24">
        <v>2.9</v>
      </c>
      <c r="AF765" s="24">
        <v>0.31</v>
      </c>
      <c r="AG765" s="24" t="s">
        <v>1334</v>
      </c>
      <c r="AH765" s="24" t="s">
        <v>1558</v>
      </c>
      <c r="AI765" s="138" t="s">
        <v>1585</v>
      </c>
      <c r="AJ765" s="24" t="s">
        <v>520</v>
      </c>
      <c r="AK765" s="140" t="s">
        <v>1624</v>
      </c>
      <c r="AL765" s="24" t="s">
        <v>1622</v>
      </c>
      <c r="AM765" s="24" t="s">
        <v>1622</v>
      </c>
      <c r="AN765" s="24" t="s">
        <v>177</v>
      </c>
      <c r="AO765" s="24" t="s">
        <v>521</v>
      </c>
      <c r="AP765" s="24" t="s">
        <v>156</v>
      </c>
      <c r="AQ765" s="24" t="s">
        <v>2125</v>
      </c>
      <c r="AR765" s="24" t="s">
        <v>2126</v>
      </c>
      <c r="AS765" s="24" t="s">
        <v>502</v>
      </c>
      <c r="AW765" s="24" t="s">
        <v>160</v>
      </c>
      <c r="AX765" s="24">
        <v>4</v>
      </c>
      <c r="AZ765" s="24" t="s">
        <v>141</v>
      </c>
      <c r="BD765" s="53"/>
      <c r="BP765" s="395"/>
      <c r="BQ765" s="395"/>
      <c r="BU765" s="395"/>
      <c r="BV765" s="395"/>
      <c r="BZ765" s="395"/>
      <c r="CA765" s="395"/>
      <c r="CE765" s="548"/>
      <c r="CF765" s="548"/>
      <c r="CG765" s="548"/>
      <c r="CH765" s="548"/>
      <c r="GP765" s="24">
        <v>27.44</v>
      </c>
      <c r="GQ765" s="24">
        <v>42.8</v>
      </c>
      <c r="GT765" s="24" t="s">
        <v>522</v>
      </c>
      <c r="JB765" s="24" t="s">
        <v>724</v>
      </c>
    </row>
    <row r="766" spans="1:262" s="24" customFormat="1" x14ac:dyDescent="0.25">
      <c r="A766" s="24">
        <v>37</v>
      </c>
      <c r="B766" s="42" t="s">
        <v>3905</v>
      </c>
      <c r="C766" s="24" t="s">
        <v>515</v>
      </c>
      <c r="D766" s="24" t="s">
        <v>516</v>
      </c>
      <c r="E766" s="24">
        <v>2012</v>
      </c>
      <c r="F766" s="24">
        <v>2010</v>
      </c>
      <c r="G766" s="24" t="s">
        <v>112</v>
      </c>
      <c r="H766" s="24" t="s">
        <v>517</v>
      </c>
      <c r="I766" s="32" t="s">
        <v>2815</v>
      </c>
      <c r="J766" s="24">
        <f t="shared" si="211"/>
        <v>44.31666666666667</v>
      </c>
      <c r="K766" s="24">
        <f t="shared" si="212"/>
        <v>-96.766666666666666</v>
      </c>
      <c r="L766" s="24">
        <v>504.6</v>
      </c>
      <c r="N766" s="24">
        <v>8</v>
      </c>
      <c r="O766" s="24">
        <v>580</v>
      </c>
      <c r="R766" s="42">
        <v>2</v>
      </c>
      <c r="S766" s="42">
        <v>2</v>
      </c>
      <c r="T766" s="42"/>
      <c r="U766" s="42" t="s">
        <v>1916</v>
      </c>
      <c r="V766" s="42" t="s">
        <v>1382</v>
      </c>
      <c r="W766" s="42" t="s">
        <v>1717</v>
      </c>
      <c r="X766" s="42" t="s">
        <v>1382</v>
      </c>
      <c r="Y766" s="42" t="s">
        <v>1382</v>
      </c>
      <c r="AA766" s="321">
        <v>60</v>
      </c>
      <c r="AB766" s="321">
        <f t="shared" si="213"/>
        <v>12</v>
      </c>
      <c r="AC766" s="24" t="s">
        <v>518</v>
      </c>
      <c r="AD766" s="24">
        <v>7.4</v>
      </c>
      <c r="AE766" s="24">
        <v>2.9</v>
      </c>
      <c r="AF766" s="24">
        <v>0.31</v>
      </c>
      <c r="AG766" s="24" t="s">
        <v>1334</v>
      </c>
      <c r="AH766" s="24" t="s">
        <v>1556</v>
      </c>
      <c r="AI766" s="138" t="s">
        <v>635</v>
      </c>
      <c r="AJ766" s="24" t="s">
        <v>520</v>
      </c>
      <c r="AK766" s="140" t="s">
        <v>1624</v>
      </c>
      <c r="AL766" s="24" t="s">
        <v>1622</v>
      </c>
      <c r="AM766" s="24" t="s">
        <v>1622</v>
      </c>
      <c r="AN766" s="24" t="s">
        <v>177</v>
      </c>
      <c r="AO766" s="24" t="s">
        <v>521</v>
      </c>
      <c r="AP766" s="24" t="s">
        <v>156</v>
      </c>
      <c r="AQ766" s="24" t="s">
        <v>2125</v>
      </c>
      <c r="AR766" s="24" t="s">
        <v>2126</v>
      </c>
      <c r="AS766" s="24" t="s">
        <v>502</v>
      </c>
      <c r="AW766" s="24" t="s">
        <v>160</v>
      </c>
      <c r="AX766" s="24">
        <v>4</v>
      </c>
      <c r="AZ766" s="24" t="s">
        <v>141</v>
      </c>
      <c r="BD766" s="53"/>
      <c r="BP766" s="395"/>
      <c r="BQ766" s="395"/>
      <c r="BU766" s="395"/>
      <c r="BV766" s="395"/>
      <c r="BZ766" s="395"/>
      <c r="CA766" s="395"/>
      <c r="CE766" s="548"/>
      <c r="CF766" s="548"/>
      <c r="CG766" s="548"/>
      <c r="CH766" s="548"/>
      <c r="GP766" s="24">
        <v>27.44</v>
      </c>
      <c r="GQ766" s="24">
        <v>111.51</v>
      </c>
      <c r="GT766" s="24" t="s">
        <v>522</v>
      </c>
      <c r="JB766" s="24" t="s">
        <v>724</v>
      </c>
    </row>
    <row r="767" spans="1:262" s="33" customFormat="1" x14ac:dyDescent="0.25">
      <c r="A767" s="33">
        <v>38</v>
      </c>
      <c r="B767" s="47" t="s">
        <v>3906</v>
      </c>
      <c r="C767" s="33" t="s">
        <v>524</v>
      </c>
      <c r="D767" s="33" t="s">
        <v>525</v>
      </c>
      <c r="E767" s="33">
        <v>2005</v>
      </c>
      <c r="F767" s="33">
        <v>1999</v>
      </c>
      <c r="G767" s="33" t="s">
        <v>296</v>
      </c>
      <c r="H767" s="33" t="s">
        <v>526</v>
      </c>
      <c r="I767" s="32" t="s">
        <v>2815</v>
      </c>
      <c r="J767" s="33">
        <v>40.19</v>
      </c>
      <c r="K767" s="33">
        <v>-103.17</v>
      </c>
      <c r="L767" s="33">
        <v>1401.6</v>
      </c>
      <c r="R767" s="47" t="s">
        <v>1719</v>
      </c>
      <c r="S767" s="47" t="s">
        <v>1860</v>
      </c>
      <c r="T767" s="47"/>
      <c r="U767" s="47" t="s">
        <v>1920</v>
      </c>
      <c r="V767" s="47" t="s">
        <v>1380</v>
      </c>
      <c r="W767" s="47" t="s">
        <v>1716</v>
      </c>
      <c r="X767" s="47" t="s">
        <v>1380</v>
      </c>
      <c r="Y767" s="47" t="s">
        <v>1389</v>
      </c>
      <c r="AA767" s="327"/>
      <c r="AB767" s="327"/>
      <c r="AC767" s="33" t="s">
        <v>450</v>
      </c>
      <c r="AH767" s="33" t="s">
        <v>527</v>
      </c>
      <c r="AI767" s="138" t="s">
        <v>1581</v>
      </c>
      <c r="AJ767" s="33" t="s">
        <v>1527</v>
      </c>
      <c r="AK767" s="141" t="s">
        <v>1623</v>
      </c>
      <c r="AL767" s="33" t="s">
        <v>567</v>
      </c>
      <c r="AM767" s="33" t="s">
        <v>541</v>
      </c>
      <c r="AN767" s="33" t="s">
        <v>502</v>
      </c>
      <c r="AO767" s="33" t="s">
        <v>298</v>
      </c>
      <c r="AP767" s="33" t="s">
        <v>156</v>
      </c>
      <c r="AQ767" s="33" t="s">
        <v>2125</v>
      </c>
      <c r="AR767" s="33" t="s">
        <v>2126</v>
      </c>
      <c r="AS767" s="33" t="s">
        <v>502</v>
      </c>
      <c r="AT767" s="33" t="s">
        <v>528</v>
      </c>
      <c r="AU767" s="33" t="s">
        <v>528</v>
      </c>
      <c r="AW767" s="33" t="s">
        <v>119</v>
      </c>
      <c r="BD767" s="54"/>
      <c r="BP767" s="402"/>
      <c r="BQ767" s="402"/>
      <c r="BU767" s="402"/>
      <c r="BV767" s="402"/>
      <c r="BZ767" s="402"/>
      <c r="CA767" s="402"/>
      <c r="CE767" s="555"/>
      <c r="CF767" s="555"/>
      <c r="CG767" s="555"/>
      <c r="CH767" s="555"/>
      <c r="DS767" s="33">
        <v>110</v>
      </c>
      <c r="DT767" s="33">
        <v>124</v>
      </c>
      <c r="GZ767" s="12"/>
      <c r="HD767" s="12"/>
      <c r="HJ767" s="33">
        <v>25.1</v>
      </c>
      <c r="HK767" s="33">
        <v>24.9</v>
      </c>
      <c r="HN767" s="33" t="s">
        <v>569</v>
      </c>
      <c r="HY767" s="33">
        <f>0.077</f>
        <v>7.6999999999999999E-2</v>
      </c>
      <c r="HZ767" s="33">
        <v>0.16200000000000001</v>
      </c>
      <c r="IC767" s="33" t="s">
        <v>568</v>
      </c>
      <c r="IN767" s="33">
        <f>(114+203)/2*0.614</f>
        <v>97.319000000000003</v>
      </c>
      <c r="IO767" s="33">
        <f>177*0.614</f>
        <v>108.678</v>
      </c>
      <c r="IS767" s="33">
        <f>29.7*0.614</f>
        <v>18.235799999999998</v>
      </c>
      <c r="IT767" s="33">
        <f>31.8*0.614</f>
        <v>19.525200000000002</v>
      </c>
      <c r="JB767" s="33" t="s">
        <v>725</v>
      </c>
    </row>
    <row r="768" spans="1:262" s="33" customFormat="1" x14ac:dyDescent="0.25">
      <c r="A768" s="33">
        <v>38</v>
      </c>
      <c r="B768" s="47" t="s">
        <v>3907</v>
      </c>
      <c r="C768" s="33" t="s">
        <v>524</v>
      </c>
      <c r="D768" s="33" t="s">
        <v>525</v>
      </c>
      <c r="E768" s="33">
        <v>2005</v>
      </c>
      <c r="F768" s="33">
        <v>1999</v>
      </c>
      <c r="G768" s="33" t="s">
        <v>296</v>
      </c>
      <c r="H768" s="33" t="s">
        <v>526</v>
      </c>
      <c r="I768" s="32" t="s">
        <v>2815</v>
      </c>
      <c r="J768" s="33">
        <v>40.19</v>
      </c>
      <c r="K768" s="33">
        <v>-103.17</v>
      </c>
      <c r="L768" s="33">
        <v>1401.6</v>
      </c>
      <c r="R768" s="47" t="s">
        <v>1719</v>
      </c>
      <c r="S768" s="47" t="s">
        <v>1860</v>
      </c>
      <c r="T768" s="47"/>
      <c r="U768" s="47" t="s">
        <v>1920</v>
      </c>
      <c r="V768" s="47" t="s">
        <v>1381</v>
      </c>
      <c r="W768" s="47" t="s">
        <v>1716</v>
      </c>
      <c r="X768" s="47" t="s">
        <v>1380</v>
      </c>
      <c r="Y768" s="47" t="s">
        <v>1389</v>
      </c>
      <c r="AA768" s="327"/>
      <c r="AB768" s="327"/>
      <c r="AC768" s="33" t="s">
        <v>450</v>
      </c>
      <c r="AH768" s="33" t="s">
        <v>527</v>
      </c>
      <c r="AI768" s="138" t="s">
        <v>1581</v>
      </c>
      <c r="AJ768" s="33" t="s">
        <v>1527</v>
      </c>
      <c r="AK768" s="141" t="s">
        <v>1623</v>
      </c>
      <c r="AL768" s="33" t="s">
        <v>567</v>
      </c>
      <c r="AM768" s="33" t="s">
        <v>541</v>
      </c>
      <c r="AN768" s="33" t="s">
        <v>502</v>
      </c>
      <c r="AO768" s="33" t="s">
        <v>298</v>
      </c>
      <c r="AP768" s="33" t="s">
        <v>156</v>
      </c>
      <c r="AQ768" s="33" t="s">
        <v>2125</v>
      </c>
      <c r="AR768" s="33" t="s">
        <v>2126</v>
      </c>
      <c r="AS768" s="33" t="s">
        <v>502</v>
      </c>
      <c r="AT768" s="33" t="s">
        <v>528</v>
      </c>
      <c r="AU768" s="33" t="s">
        <v>528</v>
      </c>
      <c r="AW768" s="33" t="s">
        <v>119</v>
      </c>
      <c r="BD768" s="54"/>
      <c r="BP768" s="402"/>
      <c r="BQ768" s="402"/>
      <c r="BU768" s="402"/>
      <c r="BV768" s="402"/>
      <c r="BZ768" s="402"/>
      <c r="CA768" s="402"/>
      <c r="CE768" s="555"/>
      <c r="CF768" s="555"/>
      <c r="CG768" s="555"/>
      <c r="CH768" s="555"/>
      <c r="GZ768" s="12"/>
      <c r="HD768" s="12"/>
      <c r="HJ768" s="33">
        <v>9.1</v>
      </c>
      <c r="HK768" s="33">
        <v>10</v>
      </c>
      <c r="HN768" s="33" t="s">
        <v>569</v>
      </c>
      <c r="HY768" s="33">
        <f>0.057</f>
        <v>5.7000000000000002E-2</v>
      </c>
      <c r="HZ768" s="33">
        <v>5.2999999999999999E-2</v>
      </c>
      <c r="IC768" s="33" t="s">
        <v>568</v>
      </c>
      <c r="IN768" s="33">
        <f>114*0.614</f>
        <v>69.995999999999995</v>
      </c>
      <c r="IO768" s="33">
        <f>134*0.614</f>
        <v>82.275999999999996</v>
      </c>
      <c r="IS768" s="33">
        <f>15.8*0.614</f>
        <v>9.7012</v>
      </c>
      <c r="IT768" s="33">
        <f>15.8*0.614</f>
        <v>9.7012</v>
      </c>
      <c r="JB768" s="33" t="s">
        <v>725</v>
      </c>
    </row>
    <row r="769" spans="1:262" s="33" customFormat="1" x14ac:dyDescent="0.25">
      <c r="A769" s="33">
        <v>38</v>
      </c>
      <c r="B769" s="47" t="s">
        <v>3908</v>
      </c>
      <c r="C769" s="33" t="s">
        <v>524</v>
      </c>
      <c r="D769" s="33" t="s">
        <v>525</v>
      </c>
      <c r="E769" s="33">
        <v>2005</v>
      </c>
      <c r="F769" s="33">
        <v>1999</v>
      </c>
      <c r="G769" s="33" t="s">
        <v>296</v>
      </c>
      <c r="H769" s="33" t="s">
        <v>526</v>
      </c>
      <c r="I769" s="32" t="s">
        <v>2815</v>
      </c>
      <c r="J769" s="33">
        <v>40.19</v>
      </c>
      <c r="K769" s="33">
        <v>-103.17</v>
      </c>
      <c r="L769" s="33">
        <v>1401.6</v>
      </c>
      <c r="R769" s="47" t="s">
        <v>1719</v>
      </c>
      <c r="S769" s="47" t="s">
        <v>1860</v>
      </c>
      <c r="T769" s="47"/>
      <c r="U769" s="47" t="s">
        <v>1920</v>
      </c>
      <c r="V769" s="47" t="s">
        <v>1390</v>
      </c>
      <c r="W769" s="47" t="s">
        <v>1717</v>
      </c>
      <c r="X769" s="47" t="s">
        <v>1380</v>
      </c>
      <c r="Y769" s="47" t="s">
        <v>1389</v>
      </c>
      <c r="AA769" s="327"/>
      <c r="AB769" s="327"/>
      <c r="AC769" s="33" t="s">
        <v>450</v>
      </c>
      <c r="AH769" s="33" t="s">
        <v>527</v>
      </c>
      <c r="AI769" s="138" t="s">
        <v>1581</v>
      </c>
      <c r="AJ769" s="33" t="s">
        <v>1527</v>
      </c>
      <c r="AK769" s="141" t="s">
        <v>1623</v>
      </c>
      <c r="AL769" s="33" t="s">
        <v>567</v>
      </c>
      <c r="AM769" s="33" t="s">
        <v>541</v>
      </c>
      <c r="AN769" s="33" t="s">
        <v>502</v>
      </c>
      <c r="AO769" s="33" t="s">
        <v>298</v>
      </c>
      <c r="AP769" s="33" t="s">
        <v>156</v>
      </c>
      <c r="AQ769" s="33" t="s">
        <v>2125</v>
      </c>
      <c r="AR769" s="33" t="s">
        <v>2126</v>
      </c>
      <c r="AS769" s="33" t="s">
        <v>502</v>
      </c>
      <c r="AT769" s="33" t="s">
        <v>528</v>
      </c>
      <c r="AU769" s="33" t="s">
        <v>528</v>
      </c>
      <c r="AW769" s="33" t="s">
        <v>119</v>
      </c>
      <c r="BD769" s="54"/>
      <c r="BP769" s="402"/>
      <c r="BQ769" s="402"/>
      <c r="BU769" s="402"/>
      <c r="BV769" s="402"/>
      <c r="BZ769" s="402"/>
      <c r="CA769" s="402"/>
      <c r="CE769" s="555"/>
      <c r="CF769" s="555"/>
      <c r="CG769" s="555"/>
      <c r="CH769" s="555"/>
      <c r="GZ769" s="39"/>
      <c r="HD769" s="39"/>
      <c r="HJ769" s="33">
        <v>23</v>
      </c>
      <c r="HK769" s="33">
        <v>14.6</v>
      </c>
      <c r="HN769" s="33" t="s">
        <v>569</v>
      </c>
      <c r="HY769" s="33">
        <f>0.124</f>
        <v>0.124</v>
      </c>
      <c r="HZ769" s="33">
        <v>0.05</v>
      </c>
      <c r="IC769" s="33" t="s">
        <v>568</v>
      </c>
      <c r="IN769" s="33">
        <f>203*0.614</f>
        <v>124.642</v>
      </c>
      <c r="IO769" s="33">
        <f>254*0.614</f>
        <v>155.95599999999999</v>
      </c>
      <c r="IS769" s="33">
        <f>28.1*0.614</f>
        <v>17.253399999999999</v>
      </c>
      <c r="IT769" s="33">
        <f>29.7*0.614</f>
        <v>18.235799999999998</v>
      </c>
      <c r="JB769" s="33" t="s">
        <v>725</v>
      </c>
    </row>
    <row r="770" spans="1:262" s="28" customFormat="1" x14ac:dyDescent="0.25">
      <c r="A770" s="28">
        <v>38</v>
      </c>
      <c r="B770" s="46" t="s">
        <v>3909</v>
      </c>
      <c r="C770" s="28" t="s">
        <v>524</v>
      </c>
      <c r="D770" s="28" t="s">
        <v>525</v>
      </c>
      <c r="E770" s="28">
        <v>2005</v>
      </c>
      <c r="F770" s="28">
        <v>1999</v>
      </c>
      <c r="G770" s="28" t="s">
        <v>296</v>
      </c>
      <c r="H770" s="28" t="s">
        <v>529</v>
      </c>
      <c r="I770" s="32" t="s">
        <v>2815</v>
      </c>
      <c r="J770" s="28">
        <v>44.34</v>
      </c>
      <c r="K770" s="28">
        <v>-96.82</v>
      </c>
      <c r="L770" s="28">
        <v>501</v>
      </c>
      <c r="R770" s="46" t="s">
        <v>1719</v>
      </c>
      <c r="S770" s="46" t="s">
        <v>1860</v>
      </c>
      <c r="T770" s="46"/>
      <c r="U770" s="46" t="s">
        <v>1920</v>
      </c>
      <c r="V770" s="46" t="s">
        <v>1380</v>
      </c>
      <c r="W770" s="46" t="s">
        <v>1716</v>
      </c>
      <c r="X770" s="46" t="s">
        <v>1380</v>
      </c>
      <c r="Y770" s="46" t="s">
        <v>1389</v>
      </c>
      <c r="AA770" s="326"/>
      <c r="AB770" s="326"/>
      <c r="AC770" s="28" t="s">
        <v>518</v>
      </c>
      <c r="AH770" s="28" t="s">
        <v>114</v>
      </c>
      <c r="AI770" s="138" t="s">
        <v>577</v>
      </c>
      <c r="AJ770" s="28" t="s">
        <v>132</v>
      </c>
      <c r="AK770" s="141" t="s">
        <v>1623</v>
      </c>
      <c r="AL770" s="28" t="s">
        <v>543</v>
      </c>
      <c r="AM770" s="28" t="s">
        <v>542</v>
      </c>
      <c r="AN770" s="28" t="s">
        <v>502</v>
      </c>
      <c r="AO770" s="28" t="s">
        <v>530</v>
      </c>
      <c r="AP770" s="28" t="s">
        <v>530</v>
      </c>
      <c r="AQ770" s="28" t="s">
        <v>2125</v>
      </c>
      <c r="AR770" s="28" t="s">
        <v>2125</v>
      </c>
      <c r="AS770" s="28" t="s">
        <v>177</v>
      </c>
      <c r="AT770" s="28" t="s">
        <v>539</v>
      </c>
      <c r="AU770" s="28">
        <v>0</v>
      </c>
      <c r="AV770" s="28" t="s">
        <v>502</v>
      </c>
      <c r="AW770" s="28" t="s">
        <v>119</v>
      </c>
      <c r="BD770" s="54"/>
      <c r="BP770" s="401"/>
      <c r="BQ770" s="401"/>
      <c r="BU770" s="401"/>
      <c r="BV770" s="401"/>
      <c r="BZ770" s="401"/>
      <c r="CA770" s="401"/>
      <c r="CE770" s="554"/>
      <c r="CF770" s="554"/>
      <c r="CG770" s="554"/>
      <c r="CH770" s="554"/>
      <c r="DS770" s="28">
        <v>491</v>
      </c>
      <c r="DT770" s="28">
        <v>495</v>
      </c>
      <c r="GZ770" s="39"/>
      <c r="HD770" s="39"/>
      <c r="HJ770" s="28">
        <v>26.3</v>
      </c>
      <c r="HK770" s="28">
        <v>34.299999999999997</v>
      </c>
      <c r="HN770" s="28" t="s">
        <v>569</v>
      </c>
      <c r="HY770" s="28">
        <f>0.061</f>
        <v>6.0999999999999999E-2</v>
      </c>
      <c r="HZ770" s="28">
        <v>4.8000000000000001E-2</v>
      </c>
      <c r="IC770" s="28" t="s">
        <v>568</v>
      </c>
      <c r="IN770" s="28">
        <f>331*0.614</f>
        <v>203.23400000000001</v>
      </c>
      <c r="IO770" s="28">
        <f>375*0.614</f>
        <v>230.25</v>
      </c>
      <c r="IS770" s="28">
        <f>34.6*0.614</f>
        <v>21.244399999999999</v>
      </c>
      <c r="IT770" s="28">
        <f>40.4*0.614</f>
        <v>24.805599999999998</v>
      </c>
      <c r="JB770" s="28" t="s">
        <v>725</v>
      </c>
    </row>
    <row r="771" spans="1:262" s="28" customFormat="1" x14ac:dyDescent="0.25">
      <c r="A771" s="28">
        <v>38</v>
      </c>
      <c r="B771" s="46" t="s">
        <v>3910</v>
      </c>
      <c r="C771" s="28" t="s">
        <v>524</v>
      </c>
      <c r="D771" s="28" t="s">
        <v>525</v>
      </c>
      <c r="E771" s="28">
        <v>2005</v>
      </c>
      <c r="F771" s="28">
        <v>1999</v>
      </c>
      <c r="G771" s="28" t="s">
        <v>296</v>
      </c>
      <c r="H771" s="28" t="s">
        <v>529</v>
      </c>
      <c r="I771" s="32" t="s">
        <v>2815</v>
      </c>
      <c r="J771" s="28">
        <v>44.34</v>
      </c>
      <c r="K771" s="28">
        <v>-96.82</v>
      </c>
      <c r="L771" s="28">
        <v>501</v>
      </c>
      <c r="R771" s="46" t="s">
        <v>1719</v>
      </c>
      <c r="S771" s="46" t="s">
        <v>1860</v>
      </c>
      <c r="T771" s="46"/>
      <c r="U771" s="46" t="s">
        <v>1920</v>
      </c>
      <c r="V771" s="46" t="s">
        <v>1381</v>
      </c>
      <c r="W771" s="46" t="s">
        <v>1716</v>
      </c>
      <c r="X771" s="46" t="s">
        <v>1380</v>
      </c>
      <c r="Y771" s="46" t="s">
        <v>1389</v>
      </c>
      <c r="AA771" s="326"/>
      <c r="AB771" s="326"/>
      <c r="AC771" s="28" t="s">
        <v>518</v>
      </c>
      <c r="AH771" s="28" t="s">
        <v>114</v>
      </c>
      <c r="AI771" s="138" t="s">
        <v>577</v>
      </c>
      <c r="AJ771" s="28" t="s">
        <v>132</v>
      </c>
      <c r="AK771" s="141" t="s">
        <v>1623</v>
      </c>
      <c r="AL771" s="28" t="s">
        <v>543</v>
      </c>
      <c r="AM771" s="28" t="s">
        <v>542</v>
      </c>
      <c r="AN771" s="28" t="s">
        <v>502</v>
      </c>
      <c r="AO771" s="28" t="s">
        <v>530</v>
      </c>
      <c r="AP771" s="28" t="s">
        <v>530</v>
      </c>
      <c r="AQ771" s="28" t="s">
        <v>2125</v>
      </c>
      <c r="AR771" s="28" t="s">
        <v>2125</v>
      </c>
      <c r="AS771" s="28" t="s">
        <v>177</v>
      </c>
      <c r="AT771" s="28" t="s">
        <v>539</v>
      </c>
      <c r="AU771" s="28">
        <v>0</v>
      </c>
      <c r="AV771" s="28" t="s">
        <v>502</v>
      </c>
      <c r="AW771" s="28" t="s">
        <v>119</v>
      </c>
      <c r="BD771" s="54"/>
      <c r="BP771" s="401"/>
      <c r="BQ771" s="401"/>
      <c r="BU771" s="401"/>
      <c r="BV771" s="401"/>
      <c r="BZ771" s="401"/>
      <c r="CA771" s="401"/>
      <c r="CE771" s="554"/>
      <c r="CF771" s="554"/>
      <c r="CG771" s="554"/>
      <c r="CH771" s="554"/>
      <c r="GZ771" s="39"/>
      <c r="HD771" s="39"/>
      <c r="HJ771" s="28">
        <v>17.8</v>
      </c>
      <c r="HK771" s="28">
        <v>17.399999999999999</v>
      </c>
      <c r="HN771" s="28" t="s">
        <v>569</v>
      </c>
      <c r="HY771" s="28">
        <f>0.026</f>
        <v>2.5999999999999999E-2</v>
      </c>
      <c r="HZ771" s="28">
        <v>2.7E-2</v>
      </c>
      <c r="IC771" s="28" t="s">
        <v>568</v>
      </c>
      <c r="IN771" s="28">
        <f>366*0.614</f>
        <v>224.72399999999999</v>
      </c>
      <c r="IO771" s="28">
        <f>380*0.614</f>
        <v>233.32</v>
      </c>
      <c r="IS771" s="28">
        <f>32.3*0.614</f>
        <v>19.832199999999997</v>
      </c>
      <c r="IT771" s="28">
        <f>31*0.614</f>
        <v>19.033999999999999</v>
      </c>
      <c r="JB771" s="28" t="s">
        <v>725</v>
      </c>
    </row>
    <row r="772" spans="1:262" s="28" customFormat="1" x14ac:dyDescent="0.25">
      <c r="A772" s="28">
        <v>38</v>
      </c>
      <c r="B772" s="46" t="s">
        <v>3911</v>
      </c>
      <c r="C772" s="28" t="s">
        <v>524</v>
      </c>
      <c r="D772" s="28" t="s">
        <v>525</v>
      </c>
      <c r="E772" s="28">
        <v>2005</v>
      </c>
      <c r="F772" s="28">
        <v>1999</v>
      </c>
      <c r="G772" s="28" t="s">
        <v>296</v>
      </c>
      <c r="H772" s="28" t="s">
        <v>529</v>
      </c>
      <c r="I772" s="32" t="s">
        <v>2815</v>
      </c>
      <c r="J772" s="28">
        <v>44.34</v>
      </c>
      <c r="K772" s="28">
        <v>-96.82</v>
      </c>
      <c r="L772" s="28">
        <v>501</v>
      </c>
      <c r="R772" s="46" t="s">
        <v>1719</v>
      </c>
      <c r="S772" s="46" t="s">
        <v>1860</v>
      </c>
      <c r="T772" s="46"/>
      <c r="U772" s="46" t="s">
        <v>1920</v>
      </c>
      <c r="V772" s="46" t="s">
        <v>1390</v>
      </c>
      <c r="W772" s="46" t="s">
        <v>1717</v>
      </c>
      <c r="X772" s="46" t="s">
        <v>1380</v>
      </c>
      <c r="Y772" s="46" t="s">
        <v>1389</v>
      </c>
      <c r="AA772" s="326"/>
      <c r="AB772" s="326"/>
      <c r="AC772" s="28" t="s">
        <v>518</v>
      </c>
      <c r="AH772" s="28" t="s">
        <v>114</v>
      </c>
      <c r="AI772" s="138" t="s">
        <v>577</v>
      </c>
      <c r="AJ772" s="28" t="s">
        <v>132</v>
      </c>
      <c r="AK772" s="141" t="s">
        <v>1623</v>
      </c>
      <c r="AL772" s="28" t="s">
        <v>543</v>
      </c>
      <c r="AM772" s="28" t="s">
        <v>542</v>
      </c>
      <c r="AN772" s="28" t="s">
        <v>502</v>
      </c>
      <c r="AO772" s="28" t="s">
        <v>530</v>
      </c>
      <c r="AP772" s="28" t="s">
        <v>530</v>
      </c>
      <c r="AQ772" s="28" t="s">
        <v>2125</v>
      </c>
      <c r="AR772" s="28" t="s">
        <v>2125</v>
      </c>
      <c r="AS772" s="28" t="s">
        <v>177</v>
      </c>
      <c r="AT772" s="28" t="s">
        <v>539</v>
      </c>
      <c r="AU772" s="28">
        <v>0</v>
      </c>
      <c r="AV772" s="28" t="s">
        <v>502</v>
      </c>
      <c r="AW772" s="28" t="s">
        <v>119</v>
      </c>
      <c r="BD772" s="54"/>
      <c r="BP772" s="401"/>
      <c r="BQ772" s="401"/>
      <c r="BU772" s="401"/>
      <c r="BV772" s="401"/>
      <c r="BZ772" s="401"/>
      <c r="CA772" s="401"/>
      <c r="CE772" s="554"/>
      <c r="CF772" s="554"/>
      <c r="CG772" s="554"/>
      <c r="CH772" s="554"/>
      <c r="GZ772" s="39"/>
      <c r="HD772" s="39"/>
      <c r="HJ772" s="28">
        <v>21.5</v>
      </c>
      <c r="HK772" s="28">
        <v>21.5</v>
      </c>
      <c r="HN772" s="28" t="s">
        <v>569</v>
      </c>
      <c r="HY772" s="28">
        <v>0.02</v>
      </c>
      <c r="HZ772" s="28">
        <v>2.1000000000000001E-2</v>
      </c>
      <c r="IC772" s="28" t="s">
        <v>568</v>
      </c>
      <c r="IN772" s="28">
        <f>548*0.614</f>
        <v>336.47199999999998</v>
      </c>
      <c r="IO772" s="28">
        <f>544*0.614</f>
        <v>334.01600000000002</v>
      </c>
      <c r="IS772" s="28">
        <f>57.8*0.614</f>
        <v>35.489199999999997</v>
      </c>
      <c r="IT772" s="28">
        <f>51.4*0.614</f>
        <v>31.5596</v>
      </c>
      <c r="JB772" s="28" t="s">
        <v>725</v>
      </c>
    </row>
    <row r="773" spans="1:262" s="33" customFormat="1" x14ac:dyDescent="0.25">
      <c r="A773" s="33">
        <v>38</v>
      </c>
      <c r="B773" s="47" t="s">
        <v>3912</v>
      </c>
      <c r="C773" s="33" t="s">
        <v>524</v>
      </c>
      <c r="D773" s="33" t="s">
        <v>525</v>
      </c>
      <c r="E773" s="33">
        <v>2005</v>
      </c>
      <c r="F773" s="33">
        <v>1999</v>
      </c>
      <c r="G773" s="33" t="s">
        <v>296</v>
      </c>
      <c r="H773" s="33" t="s">
        <v>540</v>
      </c>
      <c r="I773" s="32" t="s">
        <v>2815</v>
      </c>
      <c r="J773" s="33">
        <v>35.18</v>
      </c>
      <c r="K773" s="33">
        <v>-102.08</v>
      </c>
      <c r="L773" s="33">
        <v>1154</v>
      </c>
      <c r="R773" s="47" t="s">
        <v>1927</v>
      </c>
      <c r="S773" s="47" t="s">
        <v>1721</v>
      </c>
      <c r="T773" s="47"/>
      <c r="U773" s="47" t="s">
        <v>1921</v>
      </c>
      <c r="V773" s="47" t="s">
        <v>1380</v>
      </c>
      <c r="W773" s="47" t="s">
        <v>1716</v>
      </c>
      <c r="X773" s="47" t="s">
        <v>1380</v>
      </c>
      <c r="Y773" s="47" t="s">
        <v>1389</v>
      </c>
      <c r="AA773" s="327"/>
      <c r="AB773" s="327"/>
      <c r="AC773" s="33" t="s">
        <v>1052</v>
      </c>
      <c r="AH773" s="33" t="s">
        <v>1527</v>
      </c>
      <c r="AI773" s="138" t="s">
        <v>1581</v>
      </c>
      <c r="AJ773" s="33" t="s">
        <v>116</v>
      </c>
      <c r="AK773" s="141" t="s">
        <v>1623</v>
      </c>
      <c r="AL773" s="33" t="s">
        <v>544</v>
      </c>
      <c r="AM773" s="33" t="s">
        <v>545</v>
      </c>
      <c r="AN773" s="33" t="s">
        <v>502</v>
      </c>
      <c r="AO773" s="33" t="s">
        <v>156</v>
      </c>
      <c r="AP773" s="33" t="s">
        <v>156</v>
      </c>
      <c r="AQ773" s="33" t="s">
        <v>2126</v>
      </c>
      <c r="AR773" s="33" t="s">
        <v>2126</v>
      </c>
      <c r="AS773" s="33" t="s">
        <v>177</v>
      </c>
      <c r="AT773" s="33" t="s">
        <v>528</v>
      </c>
      <c r="AU773" s="33">
        <v>0</v>
      </c>
      <c r="AV773" s="33" t="s">
        <v>502</v>
      </c>
      <c r="AW773" s="33" t="s">
        <v>119</v>
      </c>
      <c r="BD773" s="54"/>
      <c r="BP773" s="402"/>
      <c r="BQ773" s="402"/>
      <c r="BU773" s="402"/>
      <c r="BV773" s="402"/>
      <c r="BZ773" s="402"/>
      <c r="CA773" s="402"/>
      <c r="CE773" s="555"/>
      <c r="CF773" s="555"/>
      <c r="CG773" s="555"/>
      <c r="CH773" s="555"/>
      <c r="DS773" s="33">
        <v>377</v>
      </c>
      <c r="DT773" s="33">
        <v>456</v>
      </c>
      <c r="GZ773" s="39"/>
      <c r="HD773" s="39"/>
      <c r="HJ773" s="33">
        <v>17.600000000000001</v>
      </c>
      <c r="HK773" s="33">
        <v>31.9</v>
      </c>
      <c r="HN773" s="33" t="s">
        <v>569</v>
      </c>
      <c r="HY773" s="33">
        <v>8.4000000000000005E-2</v>
      </c>
      <c r="HZ773" s="33">
        <v>6.6000000000000003E-2</v>
      </c>
      <c r="IC773" s="33" t="s">
        <v>568</v>
      </c>
      <c r="IN773" s="33">
        <f>209*0.614</f>
        <v>128.32599999999999</v>
      </c>
      <c r="IO773" s="33">
        <f>331*0.614</f>
        <v>203.23400000000001</v>
      </c>
      <c r="IS773" s="33">
        <f>26.3*0.614</f>
        <v>16.148199999999999</v>
      </c>
      <c r="IT773" s="33">
        <f>37.1*0.614</f>
        <v>22.779399999999999</v>
      </c>
      <c r="JB773" s="33" t="s">
        <v>725</v>
      </c>
    </row>
    <row r="774" spans="1:262" s="33" customFormat="1" x14ac:dyDescent="0.25">
      <c r="A774" s="33">
        <v>38</v>
      </c>
      <c r="B774" s="47" t="s">
        <v>3913</v>
      </c>
      <c r="C774" s="33" t="s">
        <v>524</v>
      </c>
      <c r="D774" s="33" t="s">
        <v>525</v>
      </c>
      <c r="E774" s="33">
        <v>2005</v>
      </c>
      <c r="F774" s="33">
        <v>1999</v>
      </c>
      <c r="G774" s="33" t="s">
        <v>296</v>
      </c>
      <c r="H774" s="33" t="s">
        <v>540</v>
      </c>
      <c r="I774" s="32" t="s">
        <v>2815</v>
      </c>
      <c r="J774" s="33">
        <v>35.18</v>
      </c>
      <c r="K774" s="33">
        <v>-102.08</v>
      </c>
      <c r="L774" s="33">
        <v>1154</v>
      </c>
      <c r="R774" s="47" t="s">
        <v>1927</v>
      </c>
      <c r="S774" s="47" t="s">
        <v>1721</v>
      </c>
      <c r="T774" s="47"/>
      <c r="U774" s="47" t="s">
        <v>1921</v>
      </c>
      <c r="V774" s="47" t="s">
        <v>1381</v>
      </c>
      <c r="W774" s="47" t="s">
        <v>1716</v>
      </c>
      <c r="X774" s="47" t="s">
        <v>1380</v>
      </c>
      <c r="Y774" s="47" t="s">
        <v>1389</v>
      </c>
      <c r="AA774" s="327"/>
      <c r="AB774" s="327"/>
      <c r="AC774" s="33" t="s">
        <v>1052</v>
      </c>
      <c r="AH774" s="33" t="s">
        <v>1527</v>
      </c>
      <c r="AI774" s="138" t="s">
        <v>1581</v>
      </c>
      <c r="AJ774" s="33" t="s">
        <v>116</v>
      </c>
      <c r="AK774" s="141" t="s">
        <v>1623</v>
      </c>
      <c r="AL774" s="33" t="s">
        <v>544</v>
      </c>
      <c r="AM774" s="33" t="s">
        <v>545</v>
      </c>
      <c r="AN774" s="33" t="s">
        <v>502</v>
      </c>
      <c r="AO774" s="33" t="s">
        <v>156</v>
      </c>
      <c r="AP774" s="33" t="s">
        <v>156</v>
      </c>
      <c r="AQ774" s="33" t="s">
        <v>2126</v>
      </c>
      <c r="AR774" s="33" t="s">
        <v>2126</v>
      </c>
      <c r="AS774" s="33" t="s">
        <v>177</v>
      </c>
      <c r="AT774" s="33" t="s">
        <v>528</v>
      </c>
      <c r="AU774" s="33">
        <v>0</v>
      </c>
      <c r="AV774" s="33" t="s">
        <v>502</v>
      </c>
      <c r="AW774" s="33" t="s">
        <v>119</v>
      </c>
      <c r="BD774" s="54"/>
      <c r="BP774" s="402"/>
      <c r="BQ774" s="402"/>
      <c r="BU774" s="402"/>
      <c r="BV774" s="402"/>
      <c r="BZ774" s="402"/>
      <c r="CA774" s="402"/>
      <c r="CE774" s="555"/>
      <c r="CF774" s="555"/>
      <c r="CG774" s="555"/>
      <c r="CH774" s="555"/>
      <c r="GZ774" s="39"/>
      <c r="HD774" s="39"/>
      <c r="HJ774" s="33">
        <v>8</v>
      </c>
      <c r="HK774" s="33">
        <v>10.4</v>
      </c>
      <c r="HN774" s="33" t="s">
        <v>569</v>
      </c>
      <c r="HY774" s="33">
        <v>2.5000000000000001E-2</v>
      </c>
      <c r="HZ774" s="33">
        <v>2.7E-2</v>
      </c>
      <c r="IC774" s="33" t="s">
        <v>568</v>
      </c>
      <c r="IN774" s="33">
        <f>197*0.614</f>
        <v>120.958</v>
      </c>
      <c r="IO774" s="33">
        <f>223*0.614</f>
        <v>136.922</v>
      </c>
      <c r="IS774" s="33">
        <f>20.3*0.614</f>
        <v>12.4642</v>
      </c>
      <c r="IT774" s="33">
        <f>24.6*0.614</f>
        <v>15.1044</v>
      </c>
      <c r="JB774" s="33" t="s">
        <v>725</v>
      </c>
    </row>
    <row r="775" spans="1:262" s="33" customFormat="1" x14ac:dyDescent="0.25">
      <c r="A775" s="33">
        <v>38</v>
      </c>
      <c r="B775" s="47" t="s">
        <v>3914</v>
      </c>
      <c r="C775" s="33" t="s">
        <v>524</v>
      </c>
      <c r="D775" s="33" t="s">
        <v>525</v>
      </c>
      <c r="E775" s="33">
        <v>2005</v>
      </c>
      <c r="F775" s="33">
        <v>1999</v>
      </c>
      <c r="G775" s="33" t="s">
        <v>296</v>
      </c>
      <c r="H775" s="33" t="s">
        <v>540</v>
      </c>
      <c r="I775" s="32" t="s">
        <v>2815</v>
      </c>
      <c r="J775" s="33">
        <v>35.18</v>
      </c>
      <c r="K775" s="33">
        <v>-102.08</v>
      </c>
      <c r="L775" s="33">
        <v>1154</v>
      </c>
      <c r="R775" s="47" t="s">
        <v>1927</v>
      </c>
      <c r="S775" s="47" t="s">
        <v>1721</v>
      </c>
      <c r="T775" s="47"/>
      <c r="U775" s="47" t="s">
        <v>1921</v>
      </c>
      <c r="V775" s="47" t="s">
        <v>1390</v>
      </c>
      <c r="W775" s="47" t="s">
        <v>1717</v>
      </c>
      <c r="X775" s="47" t="s">
        <v>1380</v>
      </c>
      <c r="Y775" s="47" t="s">
        <v>1389</v>
      </c>
      <c r="AA775" s="327"/>
      <c r="AB775" s="327"/>
      <c r="AC775" s="33" t="s">
        <v>1052</v>
      </c>
      <c r="AH775" s="33" t="s">
        <v>1527</v>
      </c>
      <c r="AI775" s="138" t="s">
        <v>1581</v>
      </c>
      <c r="AJ775" s="33" t="s">
        <v>116</v>
      </c>
      <c r="AK775" s="141" t="s">
        <v>1623</v>
      </c>
      <c r="AL775" s="33" t="s">
        <v>544</v>
      </c>
      <c r="AM775" s="33" t="s">
        <v>545</v>
      </c>
      <c r="AN775" s="33" t="s">
        <v>502</v>
      </c>
      <c r="AO775" s="33" t="s">
        <v>156</v>
      </c>
      <c r="AP775" s="33" t="s">
        <v>156</v>
      </c>
      <c r="AQ775" s="33" t="s">
        <v>2126</v>
      </c>
      <c r="AR775" s="33" t="s">
        <v>2126</v>
      </c>
      <c r="AS775" s="33" t="s">
        <v>177</v>
      </c>
      <c r="AT775" s="33" t="s">
        <v>528</v>
      </c>
      <c r="AU775" s="33">
        <v>0</v>
      </c>
      <c r="AV775" s="33" t="s">
        <v>502</v>
      </c>
      <c r="AW775" s="33" t="s">
        <v>119</v>
      </c>
      <c r="BD775" s="54"/>
      <c r="BP775" s="402"/>
      <c r="BQ775" s="402"/>
      <c r="BU775" s="402"/>
      <c r="BV775" s="402"/>
      <c r="BZ775" s="402"/>
      <c r="CA775" s="402"/>
      <c r="CE775" s="555"/>
      <c r="CF775" s="555"/>
      <c r="CG775" s="555"/>
      <c r="CH775" s="555"/>
      <c r="GZ775" s="39"/>
      <c r="HD775" s="39"/>
      <c r="HJ775" s="33">
        <v>7.2</v>
      </c>
      <c r="HK775" s="33">
        <v>12.3</v>
      </c>
      <c r="HN775" s="33" t="s">
        <v>569</v>
      </c>
      <c r="HY775" s="33">
        <v>0.03</v>
      </c>
      <c r="HZ775" s="33">
        <v>7.2999999999999995E-2</v>
      </c>
      <c r="IC775" s="33" t="s">
        <v>568</v>
      </c>
      <c r="IN775" s="33">
        <f>305*0.614</f>
        <v>187.27</v>
      </c>
      <c r="IO775" s="33">
        <f>384*0.614</f>
        <v>235.77600000000001</v>
      </c>
      <c r="IS775" s="33">
        <f>35.5*0.614</f>
        <v>21.797000000000001</v>
      </c>
      <c r="IT775" s="33">
        <f>42.3*0.614</f>
        <v>25.972199999999997</v>
      </c>
      <c r="JB775" s="33" t="s">
        <v>725</v>
      </c>
    </row>
    <row r="776" spans="1:262" s="28" customFormat="1" x14ac:dyDescent="0.25">
      <c r="A776" s="28">
        <v>38</v>
      </c>
      <c r="B776" s="46" t="s">
        <v>3915</v>
      </c>
      <c r="C776" s="28" t="s">
        <v>524</v>
      </c>
      <c r="D776" s="28" t="s">
        <v>525</v>
      </c>
      <c r="E776" s="28">
        <v>2005</v>
      </c>
      <c r="F776" s="28">
        <v>1999</v>
      </c>
      <c r="G776" s="28" t="s">
        <v>296</v>
      </c>
      <c r="H776" s="28" t="s">
        <v>546</v>
      </c>
      <c r="I776" s="32" t="s">
        <v>2815</v>
      </c>
      <c r="J776" s="28">
        <v>46.89</v>
      </c>
      <c r="K776" s="28">
        <v>-96.78</v>
      </c>
      <c r="L776" s="28">
        <v>274.10000000000002</v>
      </c>
      <c r="R776" s="46" t="s">
        <v>1928</v>
      </c>
      <c r="S776" s="46" t="s">
        <v>1926</v>
      </c>
      <c r="T776" s="46"/>
      <c r="U776" s="46" t="s">
        <v>1922</v>
      </c>
      <c r="V776" s="46" t="s">
        <v>1380</v>
      </c>
      <c r="W776" s="46" t="s">
        <v>1716</v>
      </c>
      <c r="X776" s="46" t="s">
        <v>1380</v>
      </c>
      <c r="Y776" s="46" t="s">
        <v>1389</v>
      </c>
      <c r="AA776" s="326"/>
      <c r="AB776" s="326"/>
      <c r="AC776" s="28" t="s">
        <v>547</v>
      </c>
      <c r="AH776" s="28" t="s">
        <v>396</v>
      </c>
      <c r="AI776" s="138" t="s">
        <v>577</v>
      </c>
      <c r="AJ776" s="28" t="s">
        <v>116</v>
      </c>
      <c r="AK776" s="141" t="s">
        <v>1623</v>
      </c>
      <c r="AL776" s="28" t="s">
        <v>548</v>
      </c>
      <c r="AM776" s="28" t="s">
        <v>548</v>
      </c>
      <c r="AN776" s="28" t="s">
        <v>177</v>
      </c>
      <c r="AO776" s="28" t="s">
        <v>156</v>
      </c>
      <c r="AP776" s="28" t="s">
        <v>549</v>
      </c>
      <c r="AQ776" s="28" t="s">
        <v>2126</v>
      </c>
      <c r="AR776" s="28" t="s">
        <v>2125</v>
      </c>
      <c r="AS776" s="28" t="s">
        <v>502</v>
      </c>
      <c r="AT776" s="28">
        <v>0</v>
      </c>
      <c r="AU776" s="28">
        <v>0</v>
      </c>
      <c r="AV776" s="28" t="s">
        <v>177</v>
      </c>
      <c r="AW776" s="28" t="s">
        <v>119</v>
      </c>
      <c r="BD776" s="54"/>
      <c r="BP776" s="401"/>
      <c r="BQ776" s="401"/>
      <c r="BU776" s="401"/>
      <c r="BV776" s="401"/>
      <c r="BZ776" s="401"/>
      <c r="CA776" s="401"/>
      <c r="CE776" s="554"/>
      <c r="CF776" s="554"/>
      <c r="CG776" s="554"/>
      <c r="CH776" s="554"/>
      <c r="DS776" s="28">
        <v>739</v>
      </c>
      <c r="DT776" s="28">
        <v>832</v>
      </c>
      <c r="GZ776" s="39"/>
      <c r="HD776" s="39"/>
      <c r="HJ776" s="28">
        <v>14.4</v>
      </c>
      <c r="HK776" s="28">
        <v>21.2</v>
      </c>
      <c r="HN776" s="28" t="s">
        <v>569</v>
      </c>
      <c r="HY776" s="28">
        <v>0.05</v>
      </c>
      <c r="HZ776" s="28">
        <v>2.5000000000000001E-2</v>
      </c>
      <c r="IC776" s="28" t="s">
        <v>568</v>
      </c>
      <c r="IN776" s="28">
        <f>243*0.614</f>
        <v>149.202</v>
      </c>
      <c r="IO776" s="28">
        <f>491*0.614</f>
        <v>301.47399999999999</v>
      </c>
      <c r="IS776" s="28">
        <f>42*0.614</f>
        <v>25.788</v>
      </c>
      <c r="IT776" s="28">
        <f>62.6*0.614</f>
        <v>38.436399999999999</v>
      </c>
      <c r="JB776" s="28" t="s">
        <v>725</v>
      </c>
    </row>
    <row r="777" spans="1:262" s="28" customFormat="1" x14ac:dyDescent="0.25">
      <c r="A777" s="28">
        <v>38</v>
      </c>
      <c r="B777" s="46" t="s">
        <v>3916</v>
      </c>
      <c r="C777" s="28" t="s">
        <v>524</v>
      </c>
      <c r="D777" s="28" t="s">
        <v>525</v>
      </c>
      <c r="E777" s="28">
        <v>2005</v>
      </c>
      <c r="F777" s="28">
        <v>1999</v>
      </c>
      <c r="G777" s="28" t="s">
        <v>296</v>
      </c>
      <c r="H777" s="28" t="s">
        <v>546</v>
      </c>
      <c r="I777" s="32" t="s">
        <v>2815</v>
      </c>
      <c r="J777" s="28">
        <v>46.89</v>
      </c>
      <c r="K777" s="28">
        <v>-96.78</v>
      </c>
      <c r="L777" s="28">
        <v>274.10000000000002</v>
      </c>
      <c r="R777" s="46" t="s">
        <v>1928</v>
      </c>
      <c r="S777" s="46" t="s">
        <v>1926</v>
      </c>
      <c r="T777" s="46"/>
      <c r="U777" s="46" t="s">
        <v>1922</v>
      </c>
      <c r="V777" s="46" t="s">
        <v>1381</v>
      </c>
      <c r="W777" s="46" t="s">
        <v>1716</v>
      </c>
      <c r="X777" s="46" t="s">
        <v>1380</v>
      </c>
      <c r="Y777" s="46" t="s">
        <v>1389</v>
      </c>
      <c r="AA777" s="326"/>
      <c r="AB777" s="326"/>
      <c r="AC777" s="28" t="s">
        <v>547</v>
      </c>
      <c r="AH777" s="28" t="s">
        <v>396</v>
      </c>
      <c r="AI777" s="138" t="s">
        <v>577</v>
      </c>
      <c r="AJ777" s="28" t="s">
        <v>116</v>
      </c>
      <c r="AK777" s="141" t="s">
        <v>1623</v>
      </c>
      <c r="AL777" s="28" t="s">
        <v>548</v>
      </c>
      <c r="AM777" s="28" t="s">
        <v>548</v>
      </c>
      <c r="AN777" s="28" t="s">
        <v>177</v>
      </c>
      <c r="AO777" s="28" t="s">
        <v>156</v>
      </c>
      <c r="AP777" s="28" t="s">
        <v>549</v>
      </c>
      <c r="AQ777" s="28" t="s">
        <v>2126</v>
      </c>
      <c r="AR777" s="28" t="s">
        <v>2125</v>
      </c>
      <c r="AS777" s="28" t="s">
        <v>502</v>
      </c>
      <c r="AT777" s="28">
        <v>0</v>
      </c>
      <c r="AU777" s="28">
        <v>0</v>
      </c>
      <c r="AV777" s="28" t="s">
        <v>177</v>
      </c>
      <c r="AW777" s="28" t="s">
        <v>119</v>
      </c>
      <c r="BD777" s="54"/>
      <c r="BP777" s="401"/>
      <c r="BQ777" s="401"/>
      <c r="BU777" s="401"/>
      <c r="BV777" s="401"/>
      <c r="BZ777" s="401"/>
      <c r="CA777" s="401"/>
      <c r="CE777" s="554"/>
      <c r="CF777" s="554"/>
      <c r="CG777" s="554"/>
      <c r="CH777" s="554"/>
      <c r="GZ777" s="39"/>
      <c r="HD777" s="39"/>
      <c r="HJ777" s="28">
        <v>11.7</v>
      </c>
      <c r="HK777" s="28">
        <v>10.1</v>
      </c>
      <c r="HN777" s="28" t="s">
        <v>569</v>
      </c>
      <c r="HY777" s="28">
        <v>2.3E-2</v>
      </c>
      <c r="HZ777" s="28">
        <v>1.9E-2</v>
      </c>
      <c r="IC777" s="28" t="s">
        <v>568</v>
      </c>
      <c r="IN777" s="28">
        <f>259*0.614</f>
        <v>159.02600000000001</v>
      </c>
      <c r="IO777" s="28">
        <f>334*0.614</f>
        <v>205.07599999999999</v>
      </c>
      <c r="IS777" s="28">
        <f>42.9*0.614</f>
        <v>26.340599999999998</v>
      </c>
      <c r="IT777" s="28">
        <f>42.3*0.614</f>
        <v>25.972199999999997</v>
      </c>
      <c r="JB777" s="28" t="s">
        <v>725</v>
      </c>
    </row>
    <row r="778" spans="1:262" s="28" customFormat="1" x14ac:dyDescent="0.25">
      <c r="A778" s="28">
        <v>38</v>
      </c>
      <c r="B778" s="46" t="s">
        <v>3917</v>
      </c>
      <c r="C778" s="28" t="s">
        <v>524</v>
      </c>
      <c r="D778" s="28" t="s">
        <v>525</v>
      </c>
      <c r="E778" s="28">
        <v>2005</v>
      </c>
      <c r="F778" s="28">
        <v>1999</v>
      </c>
      <c r="G778" s="28" t="s">
        <v>296</v>
      </c>
      <c r="H778" s="28" t="s">
        <v>546</v>
      </c>
      <c r="I778" s="32" t="s">
        <v>2815</v>
      </c>
      <c r="J778" s="28">
        <v>46.89</v>
      </c>
      <c r="K778" s="28">
        <v>-96.78</v>
      </c>
      <c r="L778" s="28">
        <v>274.10000000000002</v>
      </c>
      <c r="R778" s="46" t="s">
        <v>1928</v>
      </c>
      <c r="S778" s="46" t="s">
        <v>1926</v>
      </c>
      <c r="T778" s="46"/>
      <c r="U778" s="46" t="s">
        <v>1922</v>
      </c>
      <c r="V778" s="46" t="s">
        <v>1390</v>
      </c>
      <c r="W778" s="46" t="s">
        <v>1717</v>
      </c>
      <c r="X778" s="46" t="s">
        <v>1380</v>
      </c>
      <c r="Y778" s="46" t="s">
        <v>1389</v>
      </c>
      <c r="AA778" s="326"/>
      <c r="AB778" s="326"/>
      <c r="AC778" s="28" t="s">
        <v>547</v>
      </c>
      <c r="AH778" s="28" t="s">
        <v>396</v>
      </c>
      <c r="AI778" s="138" t="s">
        <v>577</v>
      </c>
      <c r="AJ778" s="28" t="s">
        <v>116</v>
      </c>
      <c r="AK778" s="141" t="s">
        <v>1623</v>
      </c>
      <c r="AL778" s="28" t="s">
        <v>548</v>
      </c>
      <c r="AM778" s="28" t="s">
        <v>548</v>
      </c>
      <c r="AN778" s="28" t="s">
        <v>177</v>
      </c>
      <c r="AO778" s="28" t="s">
        <v>156</v>
      </c>
      <c r="AP778" s="28" t="s">
        <v>549</v>
      </c>
      <c r="AQ778" s="28" t="s">
        <v>2126</v>
      </c>
      <c r="AR778" s="28" t="s">
        <v>2125</v>
      </c>
      <c r="AS778" s="28" t="s">
        <v>502</v>
      </c>
      <c r="AT778" s="28">
        <v>0</v>
      </c>
      <c r="AU778" s="28">
        <v>0</v>
      </c>
      <c r="AV778" s="28" t="s">
        <v>177</v>
      </c>
      <c r="AW778" s="28" t="s">
        <v>119</v>
      </c>
      <c r="BD778" s="54"/>
      <c r="BP778" s="401"/>
      <c r="BQ778" s="401"/>
      <c r="BU778" s="401"/>
      <c r="BV778" s="401"/>
      <c r="BZ778" s="401"/>
      <c r="CA778" s="401"/>
      <c r="CE778" s="554"/>
      <c r="CF778" s="554"/>
      <c r="CG778" s="554"/>
      <c r="CH778" s="554"/>
      <c r="GZ778" s="39"/>
      <c r="HD778" s="39"/>
      <c r="HJ778" s="28">
        <v>12.9</v>
      </c>
      <c r="HK778" s="28">
        <v>10.6</v>
      </c>
      <c r="HN778" s="28" t="s">
        <v>569</v>
      </c>
      <c r="HY778" s="28">
        <v>2.1000000000000001E-2</v>
      </c>
      <c r="HZ778" s="28">
        <v>2.4E-2</v>
      </c>
      <c r="IC778" s="28" t="s">
        <v>568</v>
      </c>
      <c r="IN778" s="28">
        <f>391*0.614</f>
        <v>240.07399999999998</v>
      </c>
      <c r="IO778" s="28">
        <f>401*0.614</f>
        <v>246.214</v>
      </c>
      <c r="IS778" s="28">
        <f>64.9*0.614</f>
        <v>39.848600000000005</v>
      </c>
      <c r="IT778" s="28">
        <f>52*0.614</f>
        <v>31.928000000000001</v>
      </c>
      <c r="JB778" s="28" t="s">
        <v>725</v>
      </c>
    </row>
    <row r="779" spans="1:262" s="33" customFormat="1" x14ac:dyDescent="0.25">
      <c r="A779" s="33">
        <v>38</v>
      </c>
      <c r="B779" s="47" t="s">
        <v>3918</v>
      </c>
      <c r="C779" s="33" t="s">
        <v>524</v>
      </c>
      <c r="D779" s="33" t="s">
        <v>525</v>
      </c>
      <c r="E779" s="33">
        <v>2005</v>
      </c>
      <c r="F779" s="33">
        <v>1999</v>
      </c>
      <c r="G779" s="33" t="s">
        <v>296</v>
      </c>
      <c r="H779" s="33" t="s">
        <v>550</v>
      </c>
      <c r="I779" s="32" t="s">
        <v>2815</v>
      </c>
      <c r="J779" s="33">
        <v>46.84</v>
      </c>
      <c r="K779" s="33">
        <v>-100.91</v>
      </c>
      <c r="L779" s="33">
        <v>558.1</v>
      </c>
      <c r="R779" s="47" t="s">
        <v>1929</v>
      </c>
      <c r="S779" s="47" t="s">
        <v>1927</v>
      </c>
      <c r="T779" s="47"/>
      <c r="U779" s="47" t="s">
        <v>1923</v>
      </c>
      <c r="V779" s="47" t="s">
        <v>1380</v>
      </c>
      <c r="W779" s="47" t="s">
        <v>1716</v>
      </c>
      <c r="X779" s="47" t="s">
        <v>1380</v>
      </c>
      <c r="Y779" s="47" t="s">
        <v>1389</v>
      </c>
      <c r="AA779" s="327"/>
      <c r="AB779" s="327"/>
      <c r="AC779" s="33" t="s">
        <v>450</v>
      </c>
      <c r="AH779" s="33" t="s">
        <v>551</v>
      </c>
      <c r="AI779" s="138" t="s">
        <v>1586</v>
      </c>
      <c r="AJ779" s="33" t="s">
        <v>1536</v>
      </c>
      <c r="AK779" s="141" t="s">
        <v>1623</v>
      </c>
      <c r="AL779" s="33" t="s">
        <v>552</v>
      </c>
      <c r="AM779" s="33" t="s">
        <v>553</v>
      </c>
      <c r="AN779" s="33" t="s">
        <v>502</v>
      </c>
      <c r="AO779" s="33" t="s">
        <v>530</v>
      </c>
      <c r="AP779" s="33" t="s">
        <v>156</v>
      </c>
      <c r="AQ779" s="33" t="s">
        <v>2125</v>
      </c>
      <c r="AR779" s="33" t="s">
        <v>2126</v>
      </c>
      <c r="AS779" s="33" t="s">
        <v>502</v>
      </c>
      <c r="AT779" s="33" t="s">
        <v>554</v>
      </c>
      <c r="AU779" s="33" t="s">
        <v>554</v>
      </c>
      <c r="AV779" s="33" t="s">
        <v>177</v>
      </c>
      <c r="AW779" s="33" t="s">
        <v>119</v>
      </c>
      <c r="BD779" s="54"/>
      <c r="BP779" s="402"/>
      <c r="BQ779" s="402"/>
      <c r="BU779" s="402"/>
      <c r="BV779" s="402"/>
      <c r="BZ779" s="402"/>
      <c r="CA779" s="402"/>
      <c r="CE779" s="555"/>
      <c r="CF779" s="555"/>
      <c r="CG779" s="555"/>
      <c r="CH779" s="555"/>
      <c r="DS779" s="33">
        <v>218</v>
      </c>
      <c r="DT779" s="33">
        <v>507</v>
      </c>
      <c r="GZ779" s="39"/>
      <c r="HD779" s="39"/>
      <c r="HJ779" s="33">
        <v>21.7</v>
      </c>
      <c r="HK779" s="33">
        <v>35.6</v>
      </c>
      <c r="HN779" s="33" t="s">
        <v>569</v>
      </c>
      <c r="HY779" s="33">
        <v>4.4999999999999998E-2</v>
      </c>
      <c r="HZ779" s="33">
        <v>4.8000000000000001E-2</v>
      </c>
      <c r="IC779" s="33" t="s">
        <v>568</v>
      </c>
      <c r="IN779" s="33">
        <f>297*0.614</f>
        <v>182.358</v>
      </c>
      <c r="IO779" s="33">
        <f>444*0.614</f>
        <v>272.61599999999999</v>
      </c>
      <c r="IS779" s="33">
        <f>30.9*0.614</f>
        <v>18.9726</v>
      </c>
      <c r="IT779" s="33">
        <f>49.2*0.614</f>
        <v>30.2088</v>
      </c>
      <c r="JB779" s="33" t="s">
        <v>725</v>
      </c>
    </row>
    <row r="780" spans="1:262" s="33" customFormat="1" x14ac:dyDescent="0.25">
      <c r="A780" s="33">
        <v>38</v>
      </c>
      <c r="B780" s="47" t="s">
        <v>3919</v>
      </c>
      <c r="C780" s="33" t="s">
        <v>524</v>
      </c>
      <c r="D780" s="33" t="s">
        <v>525</v>
      </c>
      <c r="E780" s="33">
        <v>2005</v>
      </c>
      <c r="F780" s="33">
        <v>1999</v>
      </c>
      <c r="G780" s="33" t="s">
        <v>296</v>
      </c>
      <c r="H780" s="33" t="s">
        <v>550</v>
      </c>
      <c r="I780" s="32" t="s">
        <v>2815</v>
      </c>
      <c r="J780" s="33">
        <v>46.84</v>
      </c>
      <c r="K780" s="33">
        <v>-100.91</v>
      </c>
      <c r="L780" s="33">
        <v>558.1</v>
      </c>
      <c r="R780" s="47" t="s">
        <v>1929</v>
      </c>
      <c r="S780" s="47" t="s">
        <v>1927</v>
      </c>
      <c r="T780" s="47"/>
      <c r="U780" s="47" t="s">
        <v>1923</v>
      </c>
      <c r="V780" s="47" t="s">
        <v>1381</v>
      </c>
      <c r="W780" s="47" t="s">
        <v>1716</v>
      </c>
      <c r="X780" s="47" t="s">
        <v>1380</v>
      </c>
      <c r="Y780" s="47" t="s">
        <v>1389</v>
      </c>
      <c r="AA780" s="327"/>
      <c r="AB780" s="327"/>
      <c r="AC780" s="33" t="s">
        <v>450</v>
      </c>
      <c r="AH780" s="33" t="s">
        <v>551</v>
      </c>
      <c r="AI780" s="138" t="s">
        <v>1586</v>
      </c>
      <c r="AJ780" s="33" t="s">
        <v>1536</v>
      </c>
      <c r="AK780" s="141" t="s">
        <v>1623</v>
      </c>
      <c r="AL780" s="33" t="s">
        <v>552</v>
      </c>
      <c r="AM780" s="33" t="s">
        <v>553</v>
      </c>
      <c r="AN780" s="33" t="s">
        <v>502</v>
      </c>
      <c r="AO780" s="33" t="s">
        <v>530</v>
      </c>
      <c r="AP780" s="33" t="s">
        <v>156</v>
      </c>
      <c r="AQ780" s="33" t="s">
        <v>2125</v>
      </c>
      <c r="AR780" s="33" t="s">
        <v>2126</v>
      </c>
      <c r="AS780" s="33" t="s">
        <v>502</v>
      </c>
      <c r="AT780" s="33" t="s">
        <v>554</v>
      </c>
      <c r="AU780" s="33" t="s">
        <v>554</v>
      </c>
      <c r="AV780" s="33" t="s">
        <v>177</v>
      </c>
      <c r="AW780" s="33" t="s">
        <v>119</v>
      </c>
      <c r="BD780" s="54"/>
      <c r="BP780" s="402"/>
      <c r="BQ780" s="402"/>
      <c r="BU780" s="402"/>
      <c r="BV780" s="402"/>
      <c r="BZ780" s="402"/>
      <c r="CA780" s="402"/>
      <c r="CE780" s="555"/>
      <c r="CF780" s="555"/>
      <c r="CG780" s="555"/>
      <c r="CH780" s="555"/>
      <c r="GZ780" s="39"/>
      <c r="HD780" s="39"/>
      <c r="HJ780" s="33">
        <v>7.5</v>
      </c>
      <c r="HK780" s="33">
        <v>19.7</v>
      </c>
      <c r="HN780" s="33" t="s">
        <v>569</v>
      </c>
      <c r="HY780" s="33">
        <v>2.3E-2</v>
      </c>
      <c r="HZ780" s="33">
        <v>2.4E-2</v>
      </c>
      <c r="IC780" s="33" t="s">
        <v>568</v>
      </c>
      <c r="IN780" s="33">
        <f>213*0.614</f>
        <v>130.78200000000001</v>
      </c>
      <c r="IO780" s="33">
        <f>227*0.614</f>
        <v>139.37799999999999</v>
      </c>
      <c r="IS780" s="33">
        <f>16.8*0.614</f>
        <v>10.315200000000001</v>
      </c>
      <c r="IT780" s="33">
        <f>30.1*0.614</f>
        <v>18.481400000000001</v>
      </c>
      <c r="JB780" s="33" t="s">
        <v>725</v>
      </c>
    </row>
    <row r="781" spans="1:262" s="33" customFormat="1" x14ac:dyDescent="0.25">
      <c r="A781" s="33">
        <v>38</v>
      </c>
      <c r="B781" s="47" t="s">
        <v>3920</v>
      </c>
      <c r="C781" s="33" t="s">
        <v>524</v>
      </c>
      <c r="D781" s="33" t="s">
        <v>525</v>
      </c>
      <c r="E781" s="33">
        <v>2005</v>
      </c>
      <c r="F781" s="33">
        <v>1999</v>
      </c>
      <c r="G781" s="33" t="s">
        <v>296</v>
      </c>
      <c r="H781" s="33" t="s">
        <v>550</v>
      </c>
      <c r="I781" s="32" t="s">
        <v>2815</v>
      </c>
      <c r="J781" s="33">
        <v>46.84</v>
      </c>
      <c r="K781" s="33">
        <v>-100.91</v>
      </c>
      <c r="L781" s="33">
        <v>558.1</v>
      </c>
      <c r="R781" s="47" t="s">
        <v>1929</v>
      </c>
      <c r="S781" s="47" t="s">
        <v>1927</v>
      </c>
      <c r="T781" s="47"/>
      <c r="U781" s="47" t="s">
        <v>1923</v>
      </c>
      <c r="V781" s="47" t="s">
        <v>1390</v>
      </c>
      <c r="W781" s="47" t="s">
        <v>1717</v>
      </c>
      <c r="X781" s="47" t="s">
        <v>1380</v>
      </c>
      <c r="Y781" s="47" t="s">
        <v>1389</v>
      </c>
      <c r="AA781" s="327"/>
      <c r="AB781" s="327"/>
      <c r="AC781" s="33" t="s">
        <v>450</v>
      </c>
      <c r="AH781" s="33" t="s">
        <v>551</v>
      </c>
      <c r="AI781" s="138" t="s">
        <v>1586</v>
      </c>
      <c r="AJ781" s="33" t="s">
        <v>1536</v>
      </c>
      <c r="AK781" s="141" t="s">
        <v>1623</v>
      </c>
      <c r="AL781" s="33" t="s">
        <v>552</v>
      </c>
      <c r="AM781" s="33" t="s">
        <v>553</v>
      </c>
      <c r="AN781" s="33" t="s">
        <v>502</v>
      </c>
      <c r="AO781" s="33" t="s">
        <v>530</v>
      </c>
      <c r="AP781" s="33" t="s">
        <v>156</v>
      </c>
      <c r="AQ781" s="33" t="s">
        <v>2125</v>
      </c>
      <c r="AR781" s="33" t="s">
        <v>2126</v>
      </c>
      <c r="AS781" s="33" t="s">
        <v>502</v>
      </c>
      <c r="AT781" s="33" t="s">
        <v>554</v>
      </c>
      <c r="AU781" s="33" t="s">
        <v>554</v>
      </c>
      <c r="AV781" s="33" t="s">
        <v>177</v>
      </c>
      <c r="AW781" s="33" t="s">
        <v>119</v>
      </c>
      <c r="BD781" s="54"/>
      <c r="BP781" s="402"/>
      <c r="BQ781" s="402"/>
      <c r="BU781" s="402"/>
      <c r="BV781" s="402"/>
      <c r="BZ781" s="402"/>
      <c r="CA781" s="402"/>
      <c r="CE781" s="555"/>
      <c r="CF781" s="555"/>
      <c r="CG781" s="555"/>
      <c r="CH781" s="555"/>
      <c r="GZ781" s="39"/>
      <c r="HD781" s="39"/>
      <c r="HJ781" s="33">
        <v>9</v>
      </c>
      <c r="HK781" s="33">
        <v>15.7</v>
      </c>
      <c r="HN781" s="33" t="s">
        <v>569</v>
      </c>
      <c r="HY781" s="33">
        <v>2.3E-2</v>
      </c>
      <c r="HZ781" s="33">
        <v>0.02</v>
      </c>
      <c r="IC781" s="33" t="s">
        <v>568</v>
      </c>
      <c r="IN781" s="33">
        <f>275*0.614</f>
        <v>168.85</v>
      </c>
      <c r="IO781" s="33">
        <f>453*0.614</f>
        <v>278.142</v>
      </c>
      <c r="IS781" s="33">
        <f>23.5*0.614</f>
        <v>14.429</v>
      </c>
      <c r="IT781" s="33">
        <f>36.5*0.614</f>
        <v>22.411000000000001</v>
      </c>
      <c r="JB781" s="33" t="s">
        <v>725</v>
      </c>
    </row>
    <row r="782" spans="1:262" s="28" customFormat="1" x14ac:dyDescent="0.25">
      <c r="A782" s="28">
        <v>38</v>
      </c>
      <c r="B782" s="46" t="s">
        <v>3921</v>
      </c>
      <c r="C782" s="28" t="s">
        <v>524</v>
      </c>
      <c r="D782" s="28" t="s">
        <v>525</v>
      </c>
      <c r="E782" s="28">
        <v>2005</v>
      </c>
      <c r="F782" s="28">
        <v>1999</v>
      </c>
      <c r="G782" s="28" t="s">
        <v>296</v>
      </c>
      <c r="H782" s="28" t="s">
        <v>555</v>
      </c>
      <c r="I782" s="32" t="s">
        <v>2815</v>
      </c>
      <c r="J782" s="28">
        <v>41.23</v>
      </c>
      <c r="K782" s="28">
        <v>-96.51</v>
      </c>
      <c r="L782" s="28">
        <v>365.7</v>
      </c>
      <c r="R782" s="46" t="s">
        <v>1721</v>
      </c>
      <c r="S782" s="46" t="s">
        <v>1918</v>
      </c>
      <c r="T782" s="46"/>
      <c r="U782" s="46" t="s">
        <v>1924</v>
      </c>
      <c r="V782" s="46" t="s">
        <v>1380</v>
      </c>
      <c r="W782" s="46" t="s">
        <v>1716</v>
      </c>
      <c r="X782" s="46" t="s">
        <v>1380</v>
      </c>
      <c r="Y782" s="46" t="s">
        <v>1389</v>
      </c>
      <c r="AA782" s="326"/>
      <c r="AB782" s="326"/>
      <c r="AC782" s="28" t="s">
        <v>1052</v>
      </c>
      <c r="AH782" s="28" t="s">
        <v>1517</v>
      </c>
      <c r="AI782" s="138" t="s">
        <v>1582</v>
      </c>
      <c r="AJ782" s="28" t="s">
        <v>132</v>
      </c>
      <c r="AK782" s="141" t="s">
        <v>1623</v>
      </c>
      <c r="AL782" s="28" t="s">
        <v>543</v>
      </c>
      <c r="AM782" s="28" t="s">
        <v>556</v>
      </c>
      <c r="AN782" s="28" t="s">
        <v>502</v>
      </c>
      <c r="AO782" s="28" t="s">
        <v>560</v>
      </c>
      <c r="AP782" s="28" t="s">
        <v>560</v>
      </c>
      <c r="AQ782" s="28" t="s">
        <v>2125</v>
      </c>
      <c r="AR782" s="28" t="s">
        <v>2125</v>
      </c>
      <c r="AS782" s="28" t="s">
        <v>177</v>
      </c>
      <c r="AT782" s="28" t="s">
        <v>557</v>
      </c>
      <c r="AU782" s="28" t="s">
        <v>557</v>
      </c>
      <c r="AV782" s="28" t="s">
        <v>177</v>
      </c>
      <c r="AW782" s="28" t="s">
        <v>119</v>
      </c>
      <c r="BD782" s="54"/>
      <c r="BP782" s="401"/>
      <c r="BQ782" s="401"/>
      <c r="BU782" s="401"/>
      <c r="BV782" s="401"/>
      <c r="BZ782" s="401"/>
      <c r="CA782" s="401"/>
      <c r="CE782" s="554"/>
      <c r="CF782" s="554"/>
      <c r="CG782" s="554"/>
      <c r="CH782" s="554"/>
      <c r="DS782" s="28">
        <v>584</v>
      </c>
      <c r="DT782" s="28">
        <v>622</v>
      </c>
      <c r="GZ782" s="39"/>
      <c r="HD782" s="39"/>
      <c r="HJ782" s="28">
        <v>19.3</v>
      </c>
      <c r="HK782" s="28">
        <v>29.5</v>
      </c>
      <c r="HN782" s="28" t="s">
        <v>569</v>
      </c>
      <c r="HY782" s="28">
        <v>7.1999999999999995E-2</v>
      </c>
      <c r="HZ782" s="28">
        <v>6.2E-2</v>
      </c>
      <c r="IC782" s="28" t="s">
        <v>568</v>
      </c>
      <c r="IN782" s="28">
        <f>195*0.614</f>
        <v>119.73</v>
      </c>
      <c r="IO782" s="28">
        <f>324*0.614</f>
        <v>198.93600000000001</v>
      </c>
      <c r="IS782" s="28">
        <f>29.6*0.614</f>
        <v>18.174400000000002</v>
      </c>
      <c r="IT782" s="28">
        <f>36.7*0.614</f>
        <v>22.533800000000003</v>
      </c>
      <c r="JB782" s="28" t="s">
        <v>725</v>
      </c>
    </row>
    <row r="783" spans="1:262" s="28" customFormat="1" x14ac:dyDescent="0.25">
      <c r="A783" s="28">
        <v>38</v>
      </c>
      <c r="B783" s="46" t="s">
        <v>3922</v>
      </c>
      <c r="C783" s="28" t="s">
        <v>524</v>
      </c>
      <c r="D783" s="28" t="s">
        <v>525</v>
      </c>
      <c r="E783" s="28">
        <v>2005</v>
      </c>
      <c r="F783" s="28">
        <v>1999</v>
      </c>
      <c r="G783" s="28" t="s">
        <v>296</v>
      </c>
      <c r="H783" s="28" t="s">
        <v>555</v>
      </c>
      <c r="I783" s="32" t="s">
        <v>2815</v>
      </c>
      <c r="J783" s="28">
        <v>41.23</v>
      </c>
      <c r="K783" s="28">
        <v>-96.51</v>
      </c>
      <c r="L783" s="28">
        <v>365.7</v>
      </c>
      <c r="R783" s="46" t="s">
        <v>1721</v>
      </c>
      <c r="S783" s="46" t="s">
        <v>1918</v>
      </c>
      <c r="T783" s="46"/>
      <c r="U783" s="46" t="s">
        <v>1924</v>
      </c>
      <c r="V783" s="46" t="s">
        <v>1381</v>
      </c>
      <c r="W783" s="46" t="s">
        <v>1716</v>
      </c>
      <c r="X783" s="46" t="s">
        <v>1380</v>
      </c>
      <c r="Y783" s="46" t="s">
        <v>1389</v>
      </c>
      <c r="AA783" s="326"/>
      <c r="AB783" s="326"/>
      <c r="AC783" s="28" t="s">
        <v>1052</v>
      </c>
      <c r="AH783" s="28" t="s">
        <v>1517</v>
      </c>
      <c r="AI783" s="138" t="s">
        <v>1582</v>
      </c>
      <c r="AJ783" s="28" t="s">
        <v>132</v>
      </c>
      <c r="AK783" s="141" t="s">
        <v>1623</v>
      </c>
      <c r="AL783" s="28" t="s">
        <v>543</v>
      </c>
      <c r="AM783" s="28" t="s">
        <v>556</v>
      </c>
      <c r="AN783" s="28" t="s">
        <v>502</v>
      </c>
      <c r="AO783" s="28" t="s">
        <v>560</v>
      </c>
      <c r="AP783" s="28" t="s">
        <v>560</v>
      </c>
      <c r="AQ783" s="28" t="s">
        <v>2125</v>
      </c>
      <c r="AR783" s="28" t="s">
        <v>2125</v>
      </c>
      <c r="AS783" s="28" t="s">
        <v>177</v>
      </c>
      <c r="AT783" s="28" t="s">
        <v>557</v>
      </c>
      <c r="AU783" s="28" t="s">
        <v>557</v>
      </c>
      <c r="AV783" s="28" t="s">
        <v>177</v>
      </c>
      <c r="AW783" s="28" t="s">
        <v>119</v>
      </c>
      <c r="BD783" s="54"/>
      <c r="BP783" s="401"/>
      <c r="BQ783" s="401"/>
      <c r="BU783" s="401"/>
      <c r="BV783" s="401"/>
      <c r="BZ783" s="401"/>
      <c r="CA783" s="401"/>
      <c r="CE783" s="554"/>
      <c r="CF783" s="554"/>
      <c r="CG783" s="554"/>
      <c r="CH783" s="554"/>
      <c r="GZ783" s="39"/>
      <c r="HD783" s="39"/>
      <c r="HJ783" s="28">
        <v>10.8</v>
      </c>
      <c r="HK783" s="28">
        <v>11.3</v>
      </c>
      <c r="HN783" s="28" t="s">
        <v>569</v>
      </c>
      <c r="HY783" s="28">
        <v>0.04</v>
      </c>
      <c r="HZ783" s="28">
        <v>3.1E-2</v>
      </c>
      <c r="IC783" s="28" t="s">
        <v>568</v>
      </c>
      <c r="IN783" s="28">
        <f>237*0.614</f>
        <v>145.518</v>
      </c>
      <c r="IO783" s="28">
        <f>272*0.614</f>
        <v>167.00800000000001</v>
      </c>
      <c r="IS783" s="28">
        <f>28.1*0.614</f>
        <v>17.253399999999999</v>
      </c>
      <c r="IT783" s="28">
        <f>32.2*0.614</f>
        <v>19.770800000000001</v>
      </c>
      <c r="JB783" s="28" t="s">
        <v>725</v>
      </c>
    </row>
    <row r="784" spans="1:262" s="28" customFormat="1" x14ac:dyDescent="0.25">
      <c r="A784" s="28">
        <v>38</v>
      </c>
      <c r="B784" s="46" t="s">
        <v>3923</v>
      </c>
      <c r="C784" s="28" t="s">
        <v>524</v>
      </c>
      <c r="D784" s="28" t="s">
        <v>525</v>
      </c>
      <c r="E784" s="28">
        <v>2005</v>
      </c>
      <c r="F784" s="28">
        <v>1999</v>
      </c>
      <c r="G784" s="28" t="s">
        <v>296</v>
      </c>
      <c r="H784" s="28" t="s">
        <v>555</v>
      </c>
      <c r="I784" s="32" t="s">
        <v>2815</v>
      </c>
      <c r="J784" s="28">
        <v>41.23</v>
      </c>
      <c r="K784" s="28">
        <v>-96.51</v>
      </c>
      <c r="L784" s="28">
        <v>365.7</v>
      </c>
      <c r="R784" s="46" t="s">
        <v>1721</v>
      </c>
      <c r="S784" s="46" t="s">
        <v>1918</v>
      </c>
      <c r="T784" s="46"/>
      <c r="U784" s="46" t="s">
        <v>1924</v>
      </c>
      <c r="V784" s="46" t="s">
        <v>1390</v>
      </c>
      <c r="W784" s="46" t="s">
        <v>1717</v>
      </c>
      <c r="X784" s="46" t="s">
        <v>1380</v>
      </c>
      <c r="Y784" s="46" t="s">
        <v>1389</v>
      </c>
      <c r="AA784" s="326"/>
      <c r="AB784" s="326"/>
      <c r="AC784" s="28" t="s">
        <v>1052</v>
      </c>
      <c r="AH784" s="28" t="s">
        <v>1517</v>
      </c>
      <c r="AI784" s="138" t="s">
        <v>1582</v>
      </c>
      <c r="AJ784" s="28" t="s">
        <v>132</v>
      </c>
      <c r="AK784" s="141" t="s">
        <v>1623</v>
      </c>
      <c r="AL784" s="28" t="s">
        <v>543</v>
      </c>
      <c r="AM784" s="28" t="s">
        <v>556</v>
      </c>
      <c r="AN784" s="28" t="s">
        <v>502</v>
      </c>
      <c r="AO784" s="28" t="s">
        <v>560</v>
      </c>
      <c r="AP784" s="28" t="s">
        <v>560</v>
      </c>
      <c r="AQ784" s="28" t="s">
        <v>2125</v>
      </c>
      <c r="AR784" s="28" t="s">
        <v>2125</v>
      </c>
      <c r="AS784" s="28" t="s">
        <v>177</v>
      </c>
      <c r="AT784" s="28" t="s">
        <v>557</v>
      </c>
      <c r="AU784" s="28" t="s">
        <v>557</v>
      </c>
      <c r="AV784" s="28" t="s">
        <v>177</v>
      </c>
      <c r="AW784" s="28" t="s">
        <v>119</v>
      </c>
      <c r="BD784" s="54"/>
      <c r="BP784" s="401"/>
      <c r="BQ784" s="401"/>
      <c r="BU784" s="401"/>
      <c r="BV784" s="401"/>
      <c r="BZ784" s="401"/>
      <c r="CA784" s="401"/>
      <c r="CE784" s="554"/>
      <c r="CF784" s="554"/>
      <c r="CG784" s="554"/>
      <c r="CH784" s="554"/>
      <c r="GZ784" s="39"/>
      <c r="HD784" s="39"/>
      <c r="HJ784" s="28">
        <v>7.4</v>
      </c>
      <c r="HK784" s="28">
        <v>7.9</v>
      </c>
      <c r="HN784" s="28" t="s">
        <v>569</v>
      </c>
      <c r="HY784" s="28">
        <v>2.7E-2</v>
      </c>
      <c r="HZ784" s="28">
        <v>3.4000000000000002E-2</v>
      </c>
      <c r="IC784" s="28" t="s">
        <v>568</v>
      </c>
      <c r="IN784" s="28">
        <f>317*0.614</f>
        <v>194.63800000000001</v>
      </c>
      <c r="IO784" s="28">
        <f>284*0.614</f>
        <v>174.376</v>
      </c>
      <c r="IS784" s="28">
        <f>37.2*0.614</f>
        <v>22.840800000000002</v>
      </c>
      <c r="IT784" s="28">
        <f>31.5*0.614</f>
        <v>19.341000000000001</v>
      </c>
      <c r="JB784" s="28" t="s">
        <v>725</v>
      </c>
    </row>
    <row r="785" spans="1:263" s="33" customFormat="1" x14ac:dyDescent="0.25">
      <c r="A785" s="33">
        <v>38</v>
      </c>
      <c r="B785" s="47" t="s">
        <v>3924</v>
      </c>
      <c r="C785" s="33" t="s">
        <v>524</v>
      </c>
      <c r="D785" s="33" t="s">
        <v>525</v>
      </c>
      <c r="E785" s="33">
        <v>2005</v>
      </c>
      <c r="F785" s="33">
        <v>1999</v>
      </c>
      <c r="G785" s="33" t="s">
        <v>296</v>
      </c>
      <c r="H785" s="33" t="s">
        <v>558</v>
      </c>
      <c r="I785" s="32" t="s">
        <v>2815</v>
      </c>
      <c r="J785" s="33">
        <v>47.72</v>
      </c>
      <c r="K785" s="33">
        <v>-104.16</v>
      </c>
      <c r="L785" s="33">
        <v>589</v>
      </c>
      <c r="R785" s="47" t="s">
        <v>1927</v>
      </c>
      <c r="S785" s="47" t="s">
        <v>1721</v>
      </c>
      <c r="T785" s="47"/>
      <c r="U785" s="47" t="s">
        <v>1921</v>
      </c>
      <c r="V785" s="47" t="s">
        <v>1380</v>
      </c>
      <c r="W785" s="47" t="s">
        <v>1716</v>
      </c>
      <c r="X785" s="47" t="s">
        <v>1380</v>
      </c>
      <c r="Y785" s="47" t="s">
        <v>1389</v>
      </c>
      <c r="AA785" s="327"/>
      <c r="AB785" s="327"/>
      <c r="AC785" s="33" t="s">
        <v>139</v>
      </c>
      <c r="AH785" s="33" t="s">
        <v>1536</v>
      </c>
      <c r="AI785" s="138" t="s">
        <v>1581</v>
      </c>
      <c r="AJ785" s="33" t="s">
        <v>1599</v>
      </c>
      <c r="AK785" s="141" t="s">
        <v>1623</v>
      </c>
      <c r="AL785" s="33" t="s">
        <v>552</v>
      </c>
      <c r="AM785" s="33" t="s">
        <v>559</v>
      </c>
      <c r="AN785" s="33" t="s">
        <v>502</v>
      </c>
      <c r="AO785" s="33" t="s">
        <v>560</v>
      </c>
      <c r="AP785" s="33" t="s">
        <v>156</v>
      </c>
      <c r="AQ785" s="33" t="s">
        <v>2125</v>
      </c>
      <c r="AR785" s="33" t="s">
        <v>2126</v>
      </c>
      <c r="AS785" s="33" t="s">
        <v>502</v>
      </c>
      <c r="AT785" s="33" t="s">
        <v>500</v>
      </c>
      <c r="AU785" s="33" t="s">
        <v>500</v>
      </c>
      <c r="AV785" s="33" t="s">
        <v>177</v>
      </c>
      <c r="AW785" s="33" t="s">
        <v>119</v>
      </c>
      <c r="BD785" s="54"/>
      <c r="BP785" s="402"/>
      <c r="BQ785" s="402"/>
      <c r="BU785" s="402"/>
      <c r="BV785" s="402"/>
      <c r="BZ785" s="402"/>
      <c r="CA785" s="402"/>
      <c r="CE785" s="555"/>
      <c r="CF785" s="555"/>
      <c r="CG785" s="555"/>
      <c r="CH785" s="555"/>
      <c r="DS785" s="33">
        <v>486</v>
      </c>
      <c r="DT785" s="33">
        <v>360</v>
      </c>
      <c r="GZ785" s="39"/>
      <c r="HD785" s="39"/>
      <c r="HJ785" s="33">
        <v>20.3</v>
      </c>
      <c r="HK785" s="33">
        <v>20.399999999999999</v>
      </c>
      <c r="HN785" s="33" t="s">
        <v>569</v>
      </c>
      <c r="IS785" s="33">
        <f>24.3*0.614</f>
        <v>14.920199999999999</v>
      </c>
      <c r="IT785" s="33">
        <f>27.6*0.614</f>
        <v>16.946400000000001</v>
      </c>
      <c r="JB785" s="33" t="s">
        <v>725</v>
      </c>
    </row>
    <row r="786" spans="1:263" s="33" customFormat="1" x14ac:dyDescent="0.25">
      <c r="A786" s="33">
        <v>38</v>
      </c>
      <c r="B786" s="47" t="s">
        <v>3925</v>
      </c>
      <c r="C786" s="33" t="s">
        <v>524</v>
      </c>
      <c r="D786" s="33" t="s">
        <v>525</v>
      </c>
      <c r="E786" s="33">
        <v>2005</v>
      </c>
      <c r="F786" s="33">
        <v>1999</v>
      </c>
      <c r="G786" s="33" t="s">
        <v>296</v>
      </c>
      <c r="H786" s="33" t="s">
        <v>558</v>
      </c>
      <c r="I786" s="32" t="s">
        <v>2815</v>
      </c>
      <c r="J786" s="33">
        <v>47.72</v>
      </c>
      <c r="K786" s="33">
        <v>-104.16</v>
      </c>
      <c r="L786" s="33">
        <v>589</v>
      </c>
      <c r="R786" s="47" t="s">
        <v>1927</v>
      </c>
      <c r="S786" s="47" t="s">
        <v>1721</v>
      </c>
      <c r="T786" s="47"/>
      <c r="U786" s="47" t="s">
        <v>1921</v>
      </c>
      <c r="V786" s="47" t="s">
        <v>1381</v>
      </c>
      <c r="W786" s="47" t="s">
        <v>1716</v>
      </c>
      <c r="X786" s="47" t="s">
        <v>1380</v>
      </c>
      <c r="Y786" s="47" t="s">
        <v>1389</v>
      </c>
      <c r="AA786" s="327"/>
      <c r="AB786" s="327"/>
      <c r="AC786" s="33" t="s">
        <v>139</v>
      </c>
      <c r="AH786" s="33" t="s">
        <v>1536</v>
      </c>
      <c r="AI786" s="138" t="s">
        <v>1581</v>
      </c>
      <c r="AJ786" s="33" t="s">
        <v>1599</v>
      </c>
      <c r="AK786" s="141" t="s">
        <v>1623</v>
      </c>
      <c r="AL786" s="33" t="s">
        <v>552</v>
      </c>
      <c r="AM786" s="33" t="s">
        <v>559</v>
      </c>
      <c r="AN786" s="33" t="s">
        <v>502</v>
      </c>
      <c r="AO786" s="33" t="s">
        <v>560</v>
      </c>
      <c r="AP786" s="33" t="s">
        <v>156</v>
      </c>
      <c r="AQ786" s="33" t="s">
        <v>2125</v>
      </c>
      <c r="AR786" s="33" t="s">
        <v>2126</v>
      </c>
      <c r="AS786" s="33" t="s">
        <v>502</v>
      </c>
      <c r="AT786" s="33" t="s">
        <v>500</v>
      </c>
      <c r="AU786" s="33" t="s">
        <v>500</v>
      </c>
      <c r="AV786" s="33" t="s">
        <v>177</v>
      </c>
      <c r="AW786" s="33" t="s">
        <v>119</v>
      </c>
      <c r="BD786" s="54"/>
      <c r="BP786" s="402"/>
      <c r="BQ786" s="402"/>
      <c r="BU786" s="402"/>
      <c r="BV786" s="402"/>
      <c r="BZ786" s="402"/>
      <c r="CA786" s="402"/>
      <c r="CE786" s="555"/>
      <c r="CF786" s="555"/>
      <c r="CG786" s="555"/>
      <c r="CH786" s="555"/>
      <c r="GZ786" s="39"/>
      <c r="HD786" s="39"/>
      <c r="HJ786" s="33">
        <v>8.5</v>
      </c>
      <c r="HK786" s="33">
        <v>13</v>
      </c>
      <c r="HN786" s="33" t="s">
        <v>569</v>
      </c>
      <c r="HY786" s="33">
        <v>4.7E-2</v>
      </c>
      <c r="HZ786" s="33">
        <v>5.2999999999999999E-2</v>
      </c>
      <c r="IC786" s="33" t="s">
        <v>568</v>
      </c>
      <c r="IN786" s="33">
        <f>208*0.614</f>
        <v>127.712</v>
      </c>
      <c r="IO786" s="33">
        <f>193*0.614</f>
        <v>118.502</v>
      </c>
      <c r="IS786" s="33">
        <f>21.8*0.614</f>
        <v>13.385200000000001</v>
      </c>
      <c r="IT786" s="33">
        <f>17.4*0.614</f>
        <v>10.683599999999998</v>
      </c>
      <c r="JB786" s="33" t="s">
        <v>725</v>
      </c>
    </row>
    <row r="787" spans="1:263" s="33" customFormat="1" x14ac:dyDescent="0.25">
      <c r="A787" s="33">
        <v>38</v>
      </c>
      <c r="B787" s="47" t="s">
        <v>3926</v>
      </c>
      <c r="C787" s="33" t="s">
        <v>524</v>
      </c>
      <c r="D787" s="33" t="s">
        <v>525</v>
      </c>
      <c r="E787" s="33">
        <v>2005</v>
      </c>
      <c r="F787" s="33">
        <v>1999</v>
      </c>
      <c r="G787" s="33" t="s">
        <v>296</v>
      </c>
      <c r="H787" s="33" t="s">
        <v>558</v>
      </c>
      <c r="I787" s="32" t="s">
        <v>2815</v>
      </c>
      <c r="J787" s="33">
        <v>47.72</v>
      </c>
      <c r="K787" s="33">
        <v>-104.16</v>
      </c>
      <c r="L787" s="33">
        <v>589</v>
      </c>
      <c r="R787" s="47" t="s">
        <v>1927</v>
      </c>
      <c r="S787" s="47" t="s">
        <v>1721</v>
      </c>
      <c r="T787" s="47"/>
      <c r="U787" s="47" t="s">
        <v>1921</v>
      </c>
      <c r="V787" s="47" t="s">
        <v>1390</v>
      </c>
      <c r="W787" s="47" t="s">
        <v>1717</v>
      </c>
      <c r="X787" s="47" t="s">
        <v>1380</v>
      </c>
      <c r="Y787" s="47" t="s">
        <v>1389</v>
      </c>
      <c r="AA787" s="327"/>
      <c r="AB787" s="327"/>
      <c r="AC787" s="33" t="s">
        <v>139</v>
      </c>
      <c r="AH787" s="33" t="s">
        <v>1536</v>
      </c>
      <c r="AI787" s="138" t="s">
        <v>1581</v>
      </c>
      <c r="AJ787" s="33" t="s">
        <v>1599</v>
      </c>
      <c r="AK787" s="141" t="s">
        <v>1623</v>
      </c>
      <c r="AL787" s="33" t="s">
        <v>552</v>
      </c>
      <c r="AM787" s="33" t="s">
        <v>559</v>
      </c>
      <c r="AN787" s="33" t="s">
        <v>502</v>
      </c>
      <c r="AO787" s="33" t="s">
        <v>560</v>
      </c>
      <c r="AP787" s="33" t="s">
        <v>156</v>
      </c>
      <c r="AQ787" s="33" t="s">
        <v>2125</v>
      </c>
      <c r="AR787" s="33" t="s">
        <v>2126</v>
      </c>
      <c r="AS787" s="33" t="s">
        <v>502</v>
      </c>
      <c r="AT787" s="33" t="s">
        <v>500</v>
      </c>
      <c r="AU787" s="33" t="s">
        <v>500</v>
      </c>
      <c r="AV787" s="33" t="s">
        <v>177</v>
      </c>
      <c r="AW787" s="33" t="s">
        <v>119</v>
      </c>
      <c r="BD787" s="54"/>
      <c r="BP787" s="402"/>
      <c r="BQ787" s="402"/>
      <c r="BU787" s="402"/>
      <c r="BV787" s="402"/>
      <c r="BZ787" s="402"/>
      <c r="CA787" s="402"/>
      <c r="CE787" s="555"/>
      <c r="CF787" s="555"/>
      <c r="CG787" s="555"/>
      <c r="CH787" s="555"/>
      <c r="GZ787" s="39"/>
      <c r="HD787" s="39"/>
      <c r="HJ787" s="33">
        <v>6.3</v>
      </c>
      <c r="HK787" s="33">
        <v>10.8</v>
      </c>
      <c r="HN787" s="33" t="s">
        <v>569</v>
      </c>
      <c r="HY787" s="33">
        <v>5.1999999999999998E-2</v>
      </c>
      <c r="HZ787" s="33">
        <v>5.8000000000000003E-2</v>
      </c>
      <c r="IC787" s="33" t="s">
        <v>568</v>
      </c>
      <c r="IN787" s="33">
        <f>263*0.614</f>
        <v>161.482</v>
      </c>
      <c r="IO787" s="33">
        <f>211*0.614</f>
        <v>129.554</v>
      </c>
      <c r="IS787" s="33">
        <f>26.1*0.614</f>
        <v>16.025400000000001</v>
      </c>
      <c r="IT787" s="33">
        <f>20*0.614</f>
        <v>12.28</v>
      </c>
      <c r="JB787" s="33" t="s">
        <v>725</v>
      </c>
    </row>
    <row r="788" spans="1:263" s="28" customFormat="1" x14ac:dyDescent="0.25">
      <c r="A788" s="28">
        <v>38</v>
      </c>
      <c r="B788" s="46" t="s">
        <v>3927</v>
      </c>
      <c r="C788" s="28" t="s">
        <v>524</v>
      </c>
      <c r="D788" s="28" t="s">
        <v>525</v>
      </c>
      <c r="E788" s="28">
        <v>2005</v>
      </c>
      <c r="F788" s="28">
        <v>1999</v>
      </c>
      <c r="G788" s="28" t="s">
        <v>296</v>
      </c>
      <c r="H788" s="28" t="s">
        <v>561</v>
      </c>
      <c r="I788" s="32" t="s">
        <v>2815</v>
      </c>
      <c r="J788" s="28">
        <v>50.29</v>
      </c>
      <c r="K788" s="28">
        <v>-107.73</v>
      </c>
      <c r="L788" s="28">
        <v>781</v>
      </c>
      <c r="R788" s="46" t="s">
        <v>1930</v>
      </c>
      <c r="S788" s="46" t="s">
        <v>1919</v>
      </c>
      <c r="T788" s="46"/>
      <c r="U788" s="46" t="s">
        <v>1925</v>
      </c>
      <c r="V788" s="46" t="s">
        <v>1380</v>
      </c>
      <c r="W788" s="46" t="s">
        <v>1716</v>
      </c>
      <c r="X788" s="46" t="s">
        <v>1380</v>
      </c>
      <c r="Y788" s="46" t="s">
        <v>1389</v>
      </c>
      <c r="AA788" s="326"/>
      <c r="AB788" s="326"/>
      <c r="AC788" s="28" t="s">
        <v>450</v>
      </c>
      <c r="AH788" s="28" t="s">
        <v>562</v>
      </c>
      <c r="AI788" s="138" t="s">
        <v>577</v>
      </c>
      <c r="AJ788" s="28" t="s">
        <v>1599</v>
      </c>
      <c r="AK788" s="141" t="s">
        <v>1623</v>
      </c>
      <c r="AL788" s="28" t="s">
        <v>552</v>
      </c>
      <c r="AM788" s="28" t="s">
        <v>563</v>
      </c>
      <c r="AN788" s="28" t="s">
        <v>502</v>
      </c>
      <c r="AO788" s="28" t="s">
        <v>564</v>
      </c>
      <c r="AP788" s="28" t="s">
        <v>564</v>
      </c>
      <c r="AQ788" s="28" t="s">
        <v>2125</v>
      </c>
      <c r="AR788" s="28" t="s">
        <v>2125</v>
      </c>
      <c r="AS788" s="28" t="s">
        <v>177</v>
      </c>
      <c r="AT788" s="28" t="s">
        <v>528</v>
      </c>
      <c r="AU788" s="28" t="s">
        <v>528</v>
      </c>
      <c r="AW788" s="28" t="s">
        <v>119</v>
      </c>
      <c r="BD788" s="54"/>
      <c r="BP788" s="401"/>
      <c r="BQ788" s="401"/>
      <c r="BU788" s="401"/>
      <c r="BV788" s="401"/>
      <c r="BZ788" s="401"/>
      <c r="CA788" s="401"/>
      <c r="CE788" s="554"/>
      <c r="CF788" s="554"/>
      <c r="CG788" s="554"/>
      <c r="CH788" s="554"/>
      <c r="DS788" s="28">
        <v>485</v>
      </c>
      <c r="DT788" s="28">
        <v>609</v>
      </c>
      <c r="GZ788" s="39"/>
      <c r="HD788" s="39"/>
      <c r="HJ788" s="28">
        <v>23.7</v>
      </c>
      <c r="HK788" s="28">
        <v>45.8</v>
      </c>
      <c r="HN788" s="28" t="s">
        <v>569</v>
      </c>
      <c r="HY788" s="28">
        <v>5.7000000000000002E-2</v>
      </c>
      <c r="HZ788" s="28">
        <v>8.6999999999999994E-2</v>
      </c>
      <c r="IC788" s="28" t="s">
        <v>568</v>
      </c>
      <c r="IN788" s="28">
        <f>288*0.614</f>
        <v>176.83199999999999</v>
      </c>
      <c r="IO788" s="28">
        <f>491*0.614</f>
        <v>301.47399999999999</v>
      </c>
      <c r="IS788" s="28">
        <f>32.8*0.614</f>
        <v>20.139199999999999</v>
      </c>
      <c r="IT788" s="28">
        <f>45.2*0.614</f>
        <v>27.752800000000001</v>
      </c>
      <c r="JB788" s="28" t="s">
        <v>725</v>
      </c>
    </row>
    <row r="789" spans="1:263" s="28" customFormat="1" x14ac:dyDescent="0.25">
      <c r="A789" s="28">
        <v>38</v>
      </c>
      <c r="B789" s="46" t="s">
        <v>3928</v>
      </c>
      <c r="C789" s="28" t="s">
        <v>524</v>
      </c>
      <c r="D789" s="28" t="s">
        <v>525</v>
      </c>
      <c r="E789" s="28">
        <v>2005</v>
      </c>
      <c r="F789" s="28">
        <v>1999</v>
      </c>
      <c r="G789" s="28" t="s">
        <v>296</v>
      </c>
      <c r="H789" s="28" t="s">
        <v>561</v>
      </c>
      <c r="I789" s="32" t="s">
        <v>2815</v>
      </c>
      <c r="J789" s="28">
        <v>50.29</v>
      </c>
      <c r="K789" s="28">
        <v>-107.73</v>
      </c>
      <c r="L789" s="28">
        <v>781</v>
      </c>
      <c r="R789" s="46" t="s">
        <v>1930</v>
      </c>
      <c r="S789" s="46" t="s">
        <v>1919</v>
      </c>
      <c r="T789" s="46"/>
      <c r="U789" s="46" t="s">
        <v>1925</v>
      </c>
      <c r="V789" s="46" t="s">
        <v>1381</v>
      </c>
      <c r="W789" s="46" t="s">
        <v>1716</v>
      </c>
      <c r="X789" s="46" t="s">
        <v>1380</v>
      </c>
      <c r="Y789" s="46" t="s">
        <v>1389</v>
      </c>
      <c r="AA789" s="326"/>
      <c r="AB789" s="326"/>
      <c r="AC789" s="28" t="s">
        <v>450</v>
      </c>
      <c r="AH789" s="28" t="s">
        <v>562</v>
      </c>
      <c r="AI789" s="138" t="s">
        <v>577</v>
      </c>
      <c r="AJ789" s="28" t="s">
        <v>1599</v>
      </c>
      <c r="AK789" s="141" t="s">
        <v>1623</v>
      </c>
      <c r="AL789" s="28" t="s">
        <v>552</v>
      </c>
      <c r="AM789" s="28" t="s">
        <v>563</v>
      </c>
      <c r="AN789" s="28" t="s">
        <v>502</v>
      </c>
      <c r="AO789" s="28" t="s">
        <v>564</v>
      </c>
      <c r="AP789" s="28" t="s">
        <v>564</v>
      </c>
      <c r="AQ789" s="28" t="s">
        <v>2125</v>
      </c>
      <c r="AR789" s="28" t="s">
        <v>2125</v>
      </c>
      <c r="AS789" s="28" t="s">
        <v>177</v>
      </c>
      <c r="AT789" s="28" t="s">
        <v>528</v>
      </c>
      <c r="AU789" s="28" t="s">
        <v>528</v>
      </c>
      <c r="AW789" s="28" t="s">
        <v>119</v>
      </c>
      <c r="BD789" s="54"/>
      <c r="BP789" s="401"/>
      <c r="BQ789" s="401"/>
      <c r="BU789" s="401"/>
      <c r="BV789" s="401"/>
      <c r="BZ789" s="401"/>
      <c r="CA789" s="401"/>
      <c r="CE789" s="554"/>
      <c r="CF789" s="554"/>
      <c r="CG789" s="554"/>
      <c r="CH789" s="554"/>
      <c r="GZ789" s="39"/>
      <c r="HD789" s="39"/>
      <c r="HJ789" s="28">
        <v>14.2</v>
      </c>
      <c r="HK789" s="28">
        <v>22.6</v>
      </c>
      <c r="HN789" s="28" t="s">
        <v>569</v>
      </c>
      <c r="HY789" s="28">
        <v>2.9000000000000001E-2</v>
      </c>
      <c r="HZ789" s="28">
        <v>2.3E-2</v>
      </c>
      <c r="IC789" s="28" t="s">
        <v>568</v>
      </c>
      <c r="IN789" s="28">
        <f>227*0.614</f>
        <v>139.37799999999999</v>
      </c>
      <c r="IO789" s="28">
        <f>352*0.614</f>
        <v>216.12799999999999</v>
      </c>
      <c r="IS789" s="28">
        <f>23.3*0.614</f>
        <v>14.3062</v>
      </c>
      <c r="IT789" s="28">
        <f>35.6*0.614</f>
        <v>21.8584</v>
      </c>
      <c r="JB789" s="28" t="s">
        <v>725</v>
      </c>
    </row>
    <row r="790" spans="1:263" s="28" customFormat="1" x14ac:dyDescent="0.25">
      <c r="A790" s="28">
        <v>38</v>
      </c>
      <c r="B790" s="46" t="s">
        <v>3929</v>
      </c>
      <c r="C790" s="28" t="s">
        <v>524</v>
      </c>
      <c r="D790" s="28" t="s">
        <v>525</v>
      </c>
      <c r="E790" s="28">
        <v>2005</v>
      </c>
      <c r="F790" s="28">
        <v>1999</v>
      </c>
      <c r="G790" s="28" t="s">
        <v>296</v>
      </c>
      <c r="H790" s="28" t="s">
        <v>561</v>
      </c>
      <c r="I790" s="32" t="s">
        <v>2815</v>
      </c>
      <c r="J790" s="28">
        <v>50.29</v>
      </c>
      <c r="K790" s="28">
        <v>-107.73</v>
      </c>
      <c r="L790" s="28">
        <v>781</v>
      </c>
      <c r="R790" s="46" t="s">
        <v>1930</v>
      </c>
      <c r="S790" s="46" t="s">
        <v>1919</v>
      </c>
      <c r="T790" s="46"/>
      <c r="U790" s="46" t="s">
        <v>1925</v>
      </c>
      <c r="V790" s="46" t="s">
        <v>1390</v>
      </c>
      <c r="W790" s="46" t="s">
        <v>1717</v>
      </c>
      <c r="X790" s="46" t="s">
        <v>1380</v>
      </c>
      <c r="Y790" s="46" t="s">
        <v>1389</v>
      </c>
      <c r="AA790" s="326"/>
      <c r="AB790" s="326"/>
      <c r="AC790" s="28" t="s">
        <v>450</v>
      </c>
      <c r="AH790" s="28" t="s">
        <v>562</v>
      </c>
      <c r="AI790" s="138" t="s">
        <v>577</v>
      </c>
      <c r="AJ790" s="28" t="s">
        <v>1599</v>
      </c>
      <c r="AK790" s="141" t="s">
        <v>1623</v>
      </c>
      <c r="AL790" s="28" t="s">
        <v>552</v>
      </c>
      <c r="AM790" s="28" t="s">
        <v>563</v>
      </c>
      <c r="AN790" s="28" t="s">
        <v>502</v>
      </c>
      <c r="AO790" s="28" t="s">
        <v>564</v>
      </c>
      <c r="AP790" s="28" t="s">
        <v>564</v>
      </c>
      <c r="AQ790" s="28" t="s">
        <v>2125</v>
      </c>
      <c r="AR790" s="28" t="s">
        <v>2125</v>
      </c>
      <c r="AS790" s="28" t="s">
        <v>177</v>
      </c>
      <c r="AT790" s="28" t="s">
        <v>528</v>
      </c>
      <c r="AU790" s="28" t="s">
        <v>528</v>
      </c>
      <c r="AW790" s="28" t="s">
        <v>119</v>
      </c>
      <c r="BD790" s="54"/>
      <c r="BP790" s="401"/>
      <c r="BQ790" s="401"/>
      <c r="BU790" s="401"/>
      <c r="BV790" s="401"/>
      <c r="BZ790" s="401"/>
      <c r="CA790" s="401"/>
      <c r="CE790" s="554"/>
      <c r="CF790" s="554"/>
      <c r="CG790" s="554"/>
      <c r="CH790" s="554"/>
      <c r="GZ790" s="39"/>
      <c r="HD790" s="39"/>
      <c r="HJ790" s="28">
        <v>12.5</v>
      </c>
      <c r="HK790" s="28">
        <v>15.1</v>
      </c>
      <c r="HN790" s="28" t="s">
        <v>569</v>
      </c>
      <c r="HY790" s="28">
        <v>3.5000000000000003E-2</v>
      </c>
      <c r="HZ790" s="28">
        <v>2.5999999999999999E-2</v>
      </c>
      <c r="IC790" s="28" t="s">
        <v>568</v>
      </c>
      <c r="IN790" s="28">
        <f>239*0.614</f>
        <v>146.74600000000001</v>
      </c>
      <c r="IO790" s="28">
        <f>320*0.614</f>
        <v>196.48</v>
      </c>
      <c r="IS790" s="28">
        <f>26.1*0.614</f>
        <v>16.025400000000001</v>
      </c>
      <c r="IT790" s="28">
        <f>45.1*0.614</f>
        <v>27.691400000000002</v>
      </c>
      <c r="JB790" s="28" t="s">
        <v>725</v>
      </c>
    </row>
    <row r="791" spans="1:263" s="35" customFormat="1" x14ac:dyDescent="0.25">
      <c r="A791" s="35">
        <v>39</v>
      </c>
      <c r="B791" s="49" t="s">
        <v>3930</v>
      </c>
      <c r="C791" s="35" t="s">
        <v>570</v>
      </c>
      <c r="D791" s="35" t="s">
        <v>571</v>
      </c>
      <c r="E791" s="35">
        <v>2006</v>
      </c>
      <c r="F791" s="35">
        <v>2002</v>
      </c>
      <c r="G791" s="35" t="s">
        <v>127</v>
      </c>
      <c r="H791" s="35" t="s">
        <v>1604</v>
      </c>
      <c r="I791" s="32" t="s">
        <v>2815</v>
      </c>
      <c r="J791" s="35">
        <f t="shared" ref="J791:J792" si="214">41+26/60</f>
        <v>41.43333333333333</v>
      </c>
      <c r="K791" s="35">
        <f t="shared" ref="K791:K792" si="215">-85-23/60</f>
        <v>-85.38333333333334</v>
      </c>
      <c r="L791" s="35">
        <v>292.60000000000002</v>
      </c>
      <c r="R791" s="49" t="s">
        <v>1719</v>
      </c>
      <c r="S791" s="49" t="s">
        <v>1719</v>
      </c>
      <c r="T791" s="49"/>
      <c r="U791" s="49" t="s">
        <v>1932</v>
      </c>
      <c r="V791" s="49" t="s">
        <v>1400</v>
      </c>
      <c r="W791" s="49" t="s">
        <v>1727</v>
      </c>
      <c r="X791" s="49" t="s">
        <v>1400</v>
      </c>
      <c r="Y791" s="49" t="s">
        <v>1400</v>
      </c>
      <c r="AA791" s="329"/>
      <c r="AB791" s="329"/>
      <c r="AC791" s="35" t="s">
        <v>139</v>
      </c>
      <c r="AD791" s="35">
        <v>6.1</v>
      </c>
      <c r="AG791" s="35" t="s">
        <v>1327</v>
      </c>
      <c r="AH791" s="35" t="s">
        <v>1509</v>
      </c>
      <c r="AI791" s="138" t="s">
        <v>131</v>
      </c>
      <c r="AJ791" s="35" t="s">
        <v>1587</v>
      </c>
      <c r="AK791" s="140" t="s">
        <v>1621</v>
      </c>
      <c r="AL791" s="35" t="s">
        <v>576</v>
      </c>
      <c r="AM791" s="35" t="s">
        <v>575</v>
      </c>
      <c r="AN791" s="35" t="s">
        <v>502</v>
      </c>
      <c r="AO791" s="35" t="s">
        <v>574</v>
      </c>
      <c r="AP791" s="35" t="s">
        <v>574</v>
      </c>
      <c r="AQ791" s="35" t="s">
        <v>2125</v>
      </c>
      <c r="AR791" s="35" t="s">
        <v>2125</v>
      </c>
      <c r="AS791" s="35" t="s">
        <v>177</v>
      </c>
      <c r="AT791" s="35" t="s">
        <v>573</v>
      </c>
      <c r="AU791" s="35" t="s">
        <v>572</v>
      </c>
      <c r="AV791" s="35" t="s">
        <v>502</v>
      </c>
      <c r="AW791" s="35" t="s">
        <v>160</v>
      </c>
      <c r="AX791" s="35">
        <v>4</v>
      </c>
      <c r="AZ791" s="35" t="s">
        <v>141</v>
      </c>
      <c r="BD791" s="53"/>
      <c r="BE791" s="35" t="s">
        <v>578</v>
      </c>
      <c r="BP791" s="405"/>
      <c r="BQ791" s="405"/>
      <c r="BU791" s="405">
        <v>1.2370000000000001</v>
      </c>
      <c r="BV791" s="405">
        <v>1.35</v>
      </c>
      <c r="BY791" s="35" t="s">
        <v>163</v>
      </c>
      <c r="BZ791" s="405"/>
      <c r="CA791" s="405"/>
      <c r="CD791" s="35" t="s">
        <v>3120</v>
      </c>
      <c r="CE791" s="558">
        <v>1.2370000000000001</v>
      </c>
      <c r="CF791" s="558">
        <v>1.35</v>
      </c>
      <c r="CG791" s="558"/>
      <c r="CH791" s="558"/>
      <c r="CI791" s="35" t="s">
        <v>4546</v>
      </c>
      <c r="CJ791" s="35">
        <v>1141</v>
      </c>
      <c r="CK791" s="35">
        <v>1277</v>
      </c>
      <c r="CN791" s="35" t="s">
        <v>234</v>
      </c>
      <c r="GZ791" s="40"/>
      <c r="HD791" s="40"/>
      <c r="JB791" s="35" t="s">
        <v>726</v>
      </c>
    </row>
    <row r="792" spans="1:263" s="35" customFormat="1" x14ac:dyDescent="0.25">
      <c r="A792" s="35">
        <v>39</v>
      </c>
      <c r="B792" s="49" t="s">
        <v>3931</v>
      </c>
      <c r="C792" s="35" t="s">
        <v>570</v>
      </c>
      <c r="D792" s="35" t="s">
        <v>571</v>
      </c>
      <c r="E792" s="35">
        <v>2006</v>
      </c>
      <c r="F792" s="35">
        <v>2002</v>
      </c>
      <c r="G792" s="35" t="s">
        <v>127</v>
      </c>
      <c r="H792" s="35" t="s">
        <v>1604</v>
      </c>
      <c r="I792" s="32" t="s">
        <v>2815</v>
      </c>
      <c r="J792" s="35">
        <f t="shared" si="214"/>
        <v>41.43333333333333</v>
      </c>
      <c r="K792" s="35">
        <f t="shared" si="215"/>
        <v>-85.38333333333334</v>
      </c>
      <c r="L792" s="35">
        <v>292.60000000000002</v>
      </c>
      <c r="R792" s="49" t="s">
        <v>1719</v>
      </c>
      <c r="S792" s="49" t="s">
        <v>1719</v>
      </c>
      <c r="T792" s="49"/>
      <c r="U792" s="49" t="s">
        <v>1932</v>
      </c>
      <c r="V792" s="49" t="s">
        <v>1400</v>
      </c>
      <c r="W792" s="49" t="s">
        <v>1727</v>
      </c>
      <c r="X792" s="49" t="s">
        <v>1400</v>
      </c>
      <c r="Y792" s="49" t="s">
        <v>1400</v>
      </c>
      <c r="AA792" s="329"/>
      <c r="AB792" s="329"/>
      <c r="AC792" s="35" t="s">
        <v>139</v>
      </c>
      <c r="AD792" s="35">
        <v>6.1</v>
      </c>
      <c r="AG792" s="35" t="s">
        <v>1327</v>
      </c>
      <c r="AH792" s="35" t="s">
        <v>1509</v>
      </c>
      <c r="AI792" s="138" t="s">
        <v>131</v>
      </c>
      <c r="AJ792" s="35" t="s">
        <v>1587</v>
      </c>
      <c r="AK792" s="140" t="s">
        <v>1621</v>
      </c>
      <c r="AL792" s="35" t="s">
        <v>576</v>
      </c>
      <c r="AM792" s="35" t="s">
        <v>575</v>
      </c>
      <c r="AN792" s="35" t="s">
        <v>502</v>
      </c>
      <c r="AO792" s="35" t="s">
        <v>574</v>
      </c>
      <c r="AP792" s="35" t="s">
        <v>574</v>
      </c>
      <c r="AQ792" s="35" t="s">
        <v>2125</v>
      </c>
      <c r="AR792" s="35" t="s">
        <v>2125</v>
      </c>
      <c r="AS792" s="35" t="s">
        <v>177</v>
      </c>
      <c r="AT792" s="35" t="s">
        <v>573</v>
      </c>
      <c r="AU792" s="35" t="s">
        <v>577</v>
      </c>
      <c r="AV792" s="35" t="s">
        <v>502</v>
      </c>
      <c r="AW792" s="35" t="s">
        <v>160</v>
      </c>
      <c r="AX792" s="35">
        <v>4</v>
      </c>
      <c r="AZ792" s="35" t="s">
        <v>141</v>
      </c>
      <c r="BD792" s="53"/>
      <c r="BE792" s="35" t="s">
        <v>579</v>
      </c>
      <c r="BP792" s="405"/>
      <c r="BQ792" s="405"/>
      <c r="BU792" s="405">
        <v>1.2370000000000001</v>
      </c>
      <c r="BV792" s="405">
        <v>1.4</v>
      </c>
      <c r="BY792" s="35" t="s">
        <v>163</v>
      </c>
      <c r="BZ792" s="405"/>
      <c r="CA792" s="405"/>
      <c r="CD792" s="35" t="s">
        <v>3120</v>
      </c>
      <c r="CE792" s="558">
        <v>1.2370000000000001</v>
      </c>
      <c r="CF792" s="558">
        <v>1.4</v>
      </c>
      <c r="CG792" s="558"/>
      <c r="CH792" s="558"/>
      <c r="CI792" s="35" t="s">
        <v>4546</v>
      </c>
      <c r="CJ792" s="35">
        <v>1141</v>
      </c>
      <c r="CK792" s="35">
        <v>1335</v>
      </c>
      <c r="CN792" s="35" t="s">
        <v>234</v>
      </c>
      <c r="GZ792" s="40"/>
      <c r="HD792" s="40"/>
      <c r="JB792" s="35" t="s">
        <v>726</v>
      </c>
    </row>
    <row r="793" spans="1:263" s="33" customFormat="1" x14ac:dyDescent="0.25">
      <c r="A793" s="33">
        <v>40</v>
      </c>
      <c r="B793" s="47" t="s">
        <v>3932</v>
      </c>
      <c r="C793" s="33" t="s">
        <v>581</v>
      </c>
      <c r="D793" s="33" t="s">
        <v>582</v>
      </c>
      <c r="E793" s="33">
        <v>2015</v>
      </c>
      <c r="F793" s="33">
        <v>1997</v>
      </c>
      <c r="G793" s="33" t="s">
        <v>127</v>
      </c>
      <c r="H793" s="33" t="s">
        <v>593</v>
      </c>
      <c r="I793" s="32" t="s">
        <v>2815</v>
      </c>
      <c r="J793" s="33">
        <v>35.619999999999997</v>
      </c>
      <c r="K793" s="33">
        <v>-88.85</v>
      </c>
      <c r="L793" s="33">
        <v>107.7</v>
      </c>
      <c r="P793" s="33">
        <v>1375</v>
      </c>
      <c r="R793" s="47">
        <v>15</v>
      </c>
      <c r="S793" s="47" t="s">
        <v>1930</v>
      </c>
      <c r="T793" s="47"/>
      <c r="U793" s="47" t="s">
        <v>1933</v>
      </c>
      <c r="V793" s="47" t="s">
        <v>1380</v>
      </c>
      <c r="W793" s="47" t="s">
        <v>1716</v>
      </c>
      <c r="X793" s="47" t="s">
        <v>1380</v>
      </c>
      <c r="Y793" s="47" t="s">
        <v>1380</v>
      </c>
      <c r="Z793" s="33">
        <f t="shared" ref="Z793:Z798" si="216">(1.4+1.39+1.43)/3</f>
        <v>1.4066666666666665</v>
      </c>
      <c r="AA793" s="327"/>
      <c r="AB793" s="327"/>
      <c r="AC793" s="33" t="s">
        <v>450</v>
      </c>
      <c r="AG793" s="33" t="s">
        <v>1335</v>
      </c>
      <c r="AH793" s="33" t="s">
        <v>243</v>
      </c>
      <c r="AI793" s="138" t="s">
        <v>577</v>
      </c>
      <c r="AJ793" s="33" t="s">
        <v>584</v>
      </c>
      <c r="AK793" s="141" t="s">
        <v>1646</v>
      </c>
      <c r="AW793" s="33" t="s">
        <v>160</v>
      </c>
      <c r="AX793" s="33">
        <v>4</v>
      </c>
      <c r="AZ793" s="33" t="s">
        <v>335</v>
      </c>
      <c r="BD793" s="54"/>
      <c r="BE793" s="33" t="s">
        <v>583</v>
      </c>
      <c r="BK793" s="33">
        <v>1375</v>
      </c>
      <c r="BL793" s="33">
        <v>1608</v>
      </c>
      <c r="BP793" s="402">
        <v>1.43</v>
      </c>
      <c r="BQ793" s="402">
        <v>1.4</v>
      </c>
      <c r="BU793" s="402"/>
      <c r="BV793" s="402"/>
      <c r="BZ793" s="402"/>
      <c r="CA793" s="402"/>
      <c r="CE793" s="555"/>
      <c r="CF793" s="555"/>
      <c r="CG793" s="555"/>
      <c r="CH793" s="555"/>
      <c r="CO793" s="33">
        <v>101.62</v>
      </c>
      <c r="CP793" s="33">
        <v>78.61</v>
      </c>
      <c r="CT793" s="33">
        <v>233.55</v>
      </c>
      <c r="CU793" s="33">
        <v>199.67</v>
      </c>
      <c r="CY793" s="33">
        <v>5.44</v>
      </c>
      <c r="CZ793" s="33">
        <v>5.4</v>
      </c>
      <c r="DD793" s="33">
        <f>CT793+896.37+74.81</f>
        <v>1204.73</v>
      </c>
      <c r="DE793" s="33">
        <f>CU793+858.65+75.77</f>
        <v>1134.0899999999999</v>
      </c>
      <c r="DH793" s="33" t="s">
        <v>4556</v>
      </c>
      <c r="FL793" s="33">
        <v>21.08</v>
      </c>
      <c r="FM793" s="33">
        <v>23.69</v>
      </c>
      <c r="GP793" s="39">
        <v>27.94</v>
      </c>
      <c r="GQ793" s="33">
        <v>28.6</v>
      </c>
      <c r="GT793" s="39" t="s">
        <v>585</v>
      </c>
      <c r="GU793" s="39"/>
      <c r="GV793" s="39"/>
      <c r="GW793" s="39"/>
      <c r="GX793" s="39"/>
      <c r="GY793" s="39"/>
      <c r="HY793" s="33">
        <f>4.45*0.0441</f>
        <v>0.196245</v>
      </c>
      <c r="HZ793" s="33">
        <f>6.24*0.0441</f>
        <v>0.27518399999999998</v>
      </c>
      <c r="IN793" s="33">
        <v>336.42</v>
      </c>
      <c r="IO793" s="33">
        <v>400.79</v>
      </c>
      <c r="IS793" s="33">
        <v>78.03</v>
      </c>
      <c r="IT793" s="33">
        <v>99.31</v>
      </c>
      <c r="IX793" s="33">
        <v>99999</v>
      </c>
      <c r="IY793" s="33">
        <v>99999</v>
      </c>
      <c r="JB793" s="33" t="s">
        <v>610</v>
      </c>
      <c r="JC793" s="33" t="s">
        <v>904</v>
      </c>
    </row>
    <row r="794" spans="1:263" s="33" customFormat="1" x14ac:dyDescent="0.25">
      <c r="A794" s="33">
        <v>40</v>
      </c>
      <c r="B794" s="47" t="s">
        <v>3932</v>
      </c>
      <c r="C794" s="33" t="s">
        <v>581</v>
      </c>
      <c r="D794" s="33" t="s">
        <v>582</v>
      </c>
      <c r="E794" s="33">
        <v>2015</v>
      </c>
      <c r="F794" s="33">
        <v>1997</v>
      </c>
      <c r="G794" s="33" t="s">
        <v>127</v>
      </c>
      <c r="H794" s="33" t="s">
        <v>593</v>
      </c>
      <c r="I794" s="32" t="s">
        <v>2815</v>
      </c>
      <c r="J794" s="33">
        <v>35.619999999999997</v>
      </c>
      <c r="K794" s="33">
        <v>-88.85</v>
      </c>
      <c r="L794" s="33">
        <v>107.7</v>
      </c>
      <c r="P794" s="33">
        <v>1375</v>
      </c>
      <c r="R794" s="47">
        <v>15</v>
      </c>
      <c r="S794" s="47" t="s">
        <v>1930</v>
      </c>
      <c r="T794" s="47"/>
      <c r="U794" s="47" t="s">
        <v>1933</v>
      </c>
      <c r="V794" s="47" t="s">
        <v>1380</v>
      </c>
      <c r="W794" s="47" t="s">
        <v>1716</v>
      </c>
      <c r="X794" s="47" t="s">
        <v>1380</v>
      </c>
      <c r="Y794" s="47" t="s">
        <v>1380</v>
      </c>
      <c r="Z794" s="33">
        <f t="shared" si="216"/>
        <v>1.4066666666666665</v>
      </c>
      <c r="AA794" s="327"/>
      <c r="AB794" s="327"/>
      <c r="AC794" s="33" t="s">
        <v>450</v>
      </c>
      <c r="AG794" s="33" t="s">
        <v>1335</v>
      </c>
      <c r="AH794" s="33" t="s">
        <v>116</v>
      </c>
      <c r="AI794" s="138" t="s">
        <v>1581</v>
      </c>
      <c r="AJ794" s="33" t="s">
        <v>584</v>
      </c>
      <c r="AK794" s="141" t="s">
        <v>1646</v>
      </c>
      <c r="AW794" s="33" t="s">
        <v>160</v>
      </c>
      <c r="AX794" s="33">
        <v>4</v>
      </c>
      <c r="AZ794" s="33" t="s">
        <v>335</v>
      </c>
      <c r="BD794" s="54"/>
      <c r="BE794" s="33" t="s">
        <v>583</v>
      </c>
      <c r="BK794" s="33">
        <v>1375</v>
      </c>
      <c r="BL794" s="33">
        <v>1344</v>
      </c>
      <c r="BP794" s="402">
        <v>1.43</v>
      </c>
      <c r="BQ794" s="402">
        <v>1.39</v>
      </c>
      <c r="BU794" s="402"/>
      <c r="BV794" s="402"/>
      <c r="BZ794" s="402"/>
      <c r="CA794" s="402"/>
      <c r="CE794" s="555"/>
      <c r="CF794" s="555"/>
      <c r="CG794" s="555"/>
      <c r="CH794" s="555"/>
      <c r="CO794" s="33">
        <v>101.62</v>
      </c>
      <c r="CP794" s="33">
        <v>99.5</v>
      </c>
      <c r="CT794" s="33">
        <v>233.55</v>
      </c>
      <c r="CU794" s="33">
        <v>224.88</v>
      </c>
      <c r="CY794" s="33">
        <v>5.44</v>
      </c>
      <c r="CZ794" s="33">
        <v>5.51</v>
      </c>
      <c r="DD794" s="33">
        <f>CT794+896.37+74.81</f>
        <v>1204.73</v>
      </c>
      <c r="DE794" s="33">
        <f>CU794+881.48+73.17</f>
        <v>1179.5300000000002</v>
      </c>
      <c r="DH794" s="33" t="s">
        <v>4556</v>
      </c>
      <c r="FL794" s="33">
        <v>21.08</v>
      </c>
      <c r="FM794" s="33">
        <v>21.44</v>
      </c>
      <c r="GP794" s="39">
        <v>27.94</v>
      </c>
      <c r="GQ794" s="33">
        <v>28.41</v>
      </c>
      <c r="GT794" s="39" t="s">
        <v>585</v>
      </c>
      <c r="GU794" s="39"/>
      <c r="GV794" s="39"/>
      <c r="GW794" s="39"/>
      <c r="GX794" s="39"/>
      <c r="GY794" s="39"/>
      <c r="HY794" s="33">
        <f>4.45*0.0441</f>
        <v>0.196245</v>
      </c>
      <c r="HZ794" s="33">
        <f>4.42*0.0441</f>
        <v>0.19492200000000001</v>
      </c>
      <c r="IN794" s="33">
        <v>336.42</v>
      </c>
      <c r="IO794" s="33">
        <v>351.74</v>
      </c>
      <c r="IS794" s="33">
        <v>78.03</v>
      </c>
      <c r="IT794" s="33">
        <v>78.819999999999993</v>
      </c>
      <c r="IX794" s="33">
        <v>99999</v>
      </c>
      <c r="IY794" s="33">
        <v>99999</v>
      </c>
      <c r="JB794" s="33" t="s">
        <v>610</v>
      </c>
      <c r="JC794" s="33" t="s">
        <v>904</v>
      </c>
    </row>
    <row r="795" spans="1:263" s="28" customFormat="1" x14ac:dyDescent="0.25">
      <c r="A795" s="184">
        <v>40</v>
      </c>
      <c r="B795" s="538" t="s">
        <v>3933</v>
      </c>
      <c r="C795" s="28" t="s">
        <v>581</v>
      </c>
      <c r="D795" s="28" t="s">
        <v>582</v>
      </c>
      <c r="E795" s="28">
        <v>2015</v>
      </c>
      <c r="F795" s="28">
        <v>1997</v>
      </c>
      <c r="G795" s="28" t="s">
        <v>127</v>
      </c>
      <c r="H795" s="28" t="s">
        <v>593</v>
      </c>
      <c r="I795" s="32" t="s">
        <v>2815</v>
      </c>
      <c r="J795" s="28">
        <v>35.619999999999997</v>
      </c>
      <c r="K795" s="28">
        <v>-88.85</v>
      </c>
      <c r="L795" s="28">
        <v>107.7</v>
      </c>
      <c r="P795" s="28">
        <v>1375</v>
      </c>
      <c r="R795" s="46">
        <v>15</v>
      </c>
      <c r="S795" s="46" t="s">
        <v>1930</v>
      </c>
      <c r="T795" s="46"/>
      <c r="U795" s="47" t="s">
        <v>1933</v>
      </c>
      <c r="V795" s="46" t="s">
        <v>1380</v>
      </c>
      <c r="W795" s="46" t="s">
        <v>1716</v>
      </c>
      <c r="X795" s="46" t="s">
        <v>1380</v>
      </c>
      <c r="Y795" s="46" t="s">
        <v>1380</v>
      </c>
      <c r="Z795" s="28">
        <f t="shared" si="216"/>
        <v>1.4066666666666665</v>
      </c>
      <c r="AA795" s="326"/>
      <c r="AB795" s="326"/>
      <c r="AC795" s="28" t="s">
        <v>450</v>
      </c>
      <c r="AG795" s="28" t="s">
        <v>1335</v>
      </c>
      <c r="AH795" s="28" t="s">
        <v>243</v>
      </c>
      <c r="AI795" s="138" t="s">
        <v>577</v>
      </c>
      <c r="AJ795" s="28" t="s">
        <v>584</v>
      </c>
      <c r="AK795" s="141" t="s">
        <v>1646</v>
      </c>
      <c r="AO795" s="28" t="s">
        <v>156</v>
      </c>
      <c r="AP795" s="28" t="s">
        <v>156</v>
      </c>
      <c r="AQ795" s="28" t="s">
        <v>2126</v>
      </c>
      <c r="AR795" s="28" t="s">
        <v>2126</v>
      </c>
      <c r="AS795" s="28" t="s">
        <v>177</v>
      </c>
      <c r="AT795" s="28">
        <v>0</v>
      </c>
      <c r="AU795" s="28">
        <v>0</v>
      </c>
      <c r="AV795" s="28" t="s">
        <v>177</v>
      </c>
      <c r="AW795" s="28" t="s">
        <v>160</v>
      </c>
      <c r="AX795" s="28">
        <v>4</v>
      </c>
      <c r="AZ795" s="28" t="s">
        <v>335</v>
      </c>
      <c r="BE795" s="28" t="s">
        <v>583</v>
      </c>
      <c r="BP795" s="401"/>
      <c r="BQ795" s="401"/>
      <c r="BU795" s="401">
        <f t="shared" ref="BU795:BU810" si="217">(BZ795*1000000)/(100*100*Z795*W795/100*1000000)*100</f>
        <v>0.94597156398104287</v>
      </c>
      <c r="BV795" s="401">
        <f t="shared" ref="BV795:BV810" si="218">(CA795*1000000)/(100*100*Z795*W795/100*1000000)*100</f>
        <v>1.2672985781990525</v>
      </c>
      <c r="BZ795" s="401">
        <f>9.98</f>
        <v>9.98</v>
      </c>
      <c r="CA795" s="401">
        <v>13.37</v>
      </c>
      <c r="CD795" s="28" t="s">
        <v>4422</v>
      </c>
      <c r="CE795" s="554">
        <v>9.98</v>
      </c>
      <c r="CF795" s="554">
        <v>13.37</v>
      </c>
      <c r="CG795" s="554"/>
      <c r="CH795" s="554"/>
      <c r="CI795" s="28" t="s">
        <v>4547</v>
      </c>
      <c r="CJ795" s="28">
        <v>1.07</v>
      </c>
      <c r="CK795" s="28">
        <v>1.41</v>
      </c>
      <c r="CN795" s="28" t="s">
        <v>1678</v>
      </c>
      <c r="GP795" s="28">
        <v>8.6199999999999992</v>
      </c>
      <c r="GQ795" s="28">
        <v>8.66</v>
      </c>
      <c r="GT795" s="28" t="s">
        <v>1704</v>
      </c>
      <c r="GZ795" s="28">
        <v>98.5</v>
      </c>
      <c r="HA795" s="28">
        <v>70.16</v>
      </c>
      <c r="HD795" s="28" t="s">
        <v>1701</v>
      </c>
      <c r="IX795" s="28">
        <v>99999</v>
      </c>
      <c r="IY795" s="33">
        <v>99999</v>
      </c>
      <c r="JB795" s="28" t="s">
        <v>610</v>
      </c>
      <c r="JC795" s="28" t="s">
        <v>904</v>
      </c>
    </row>
    <row r="796" spans="1:263" s="28" customFormat="1" x14ac:dyDescent="0.25">
      <c r="A796" s="184">
        <v>40</v>
      </c>
      <c r="B796" s="538" t="s">
        <v>3934</v>
      </c>
      <c r="C796" s="28" t="s">
        <v>581</v>
      </c>
      <c r="D796" s="28" t="s">
        <v>582</v>
      </c>
      <c r="E796" s="28">
        <v>2015</v>
      </c>
      <c r="F796" s="28">
        <v>1997</v>
      </c>
      <c r="G796" s="28" t="s">
        <v>127</v>
      </c>
      <c r="H796" s="28" t="s">
        <v>593</v>
      </c>
      <c r="I796" s="32" t="s">
        <v>2815</v>
      </c>
      <c r="J796" s="28">
        <v>35.619999999999997</v>
      </c>
      <c r="K796" s="28">
        <v>-88.85</v>
      </c>
      <c r="L796" s="28">
        <v>107.7</v>
      </c>
      <c r="P796" s="28">
        <v>1375</v>
      </c>
      <c r="R796" s="46">
        <v>15</v>
      </c>
      <c r="S796" s="46" t="s">
        <v>1930</v>
      </c>
      <c r="T796" s="46"/>
      <c r="U796" s="47" t="s">
        <v>1933</v>
      </c>
      <c r="V796" s="46" t="s">
        <v>1380</v>
      </c>
      <c r="W796" s="46" t="s">
        <v>1716</v>
      </c>
      <c r="X796" s="46" t="s">
        <v>1380</v>
      </c>
      <c r="Y796" s="46" t="s">
        <v>1380</v>
      </c>
      <c r="Z796" s="28">
        <f t="shared" si="216"/>
        <v>1.4066666666666665</v>
      </c>
      <c r="AA796" s="326"/>
      <c r="AB796" s="326"/>
      <c r="AC796" s="28" t="s">
        <v>450</v>
      </c>
      <c r="AG796" s="28" t="s">
        <v>1335</v>
      </c>
      <c r="AH796" s="28" t="s">
        <v>116</v>
      </c>
      <c r="AI796" s="138" t="s">
        <v>1581</v>
      </c>
      <c r="AJ796" s="28" t="s">
        <v>584</v>
      </c>
      <c r="AK796" s="141" t="s">
        <v>1646</v>
      </c>
      <c r="AO796" s="28" t="s">
        <v>156</v>
      </c>
      <c r="AP796" s="28" t="s">
        <v>156</v>
      </c>
      <c r="AQ796" s="28" t="s">
        <v>2126</v>
      </c>
      <c r="AR796" s="28" t="s">
        <v>2126</v>
      </c>
      <c r="AS796" s="28" t="s">
        <v>177</v>
      </c>
      <c r="AT796" s="28">
        <v>0</v>
      </c>
      <c r="AU796" s="28">
        <v>0</v>
      </c>
      <c r="AV796" s="28" t="s">
        <v>177</v>
      </c>
      <c r="AW796" s="28" t="s">
        <v>160</v>
      </c>
      <c r="AX796" s="28">
        <v>4</v>
      </c>
      <c r="AZ796" s="28" t="s">
        <v>335</v>
      </c>
      <c r="BE796" s="28" t="s">
        <v>583</v>
      </c>
      <c r="BP796" s="401"/>
      <c r="BQ796" s="401"/>
      <c r="BU796" s="401">
        <f t="shared" si="217"/>
        <v>0.94597156398104287</v>
      </c>
      <c r="BV796" s="401">
        <f t="shared" si="218"/>
        <v>1.0388625592417065</v>
      </c>
      <c r="BZ796" s="401">
        <f>9.98</f>
        <v>9.98</v>
      </c>
      <c r="CA796" s="401">
        <v>10.96</v>
      </c>
      <c r="CD796" s="28" t="s">
        <v>4422</v>
      </c>
      <c r="CE796" s="554">
        <v>9.98</v>
      </c>
      <c r="CF796" s="554">
        <v>10.96</v>
      </c>
      <c r="CG796" s="554"/>
      <c r="CH796" s="554"/>
      <c r="CI796" s="28" t="s">
        <v>4547</v>
      </c>
      <c r="CJ796" s="28">
        <v>1.07</v>
      </c>
      <c r="CK796" s="28">
        <v>1.1000000000000001</v>
      </c>
      <c r="CN796" s="28" t="s">
        <v>1678</v>
      </c>
      <c r="GP796" s="28">
        <v>8.6199999999999992</v>
      </c>
      <c r="GQ796" s="28">
        <v>8.6</v>
      </c>
      <c r="GT796" s="28" t="s">
        <v>1704</v>
      </c>
      <c r="GZ796" s="28">
        <v>98.5</v>
      </c>
      <c r="HA796" s="28">
        <v>82.91</v>
      </c>
      <c r="HD796" s="28" t="s">
        <v>1701</v>
      </c>
      <c r="IX796" s="28">
        <v>99999</v>
      </c>
      <c r="IY796" s="33">
        <v>99999</v>
      </c>
      <c r="JB796" s="28" t="s">
        <v>610</v>
      </c>
      <c r="JC796" s="28" t="s">
        <v>904</v>
      </c>
    </row>
    <row r="797" spans="1:263" s="28" customFormat="1" x14ac:dyDescent="0.25">
      <c r="A797" s="184">
        <v>40</v>
      </c>
      <c r="B797" s="538" t="s">
        <v>3935</v>
      </c>
      <c r="C797" s="28" t="s">
        <v>581</v>
      </c>
      <c r="D797" s="28" t="s">
        <v>582</v>
      </c>
      <c r="E797" s="28">
        <v>2015</v>
      </c>
      <c r="F797" s="28">
        <v>1997</v>
      </c>
      <c r="G797" s="28" t="s">
        <v>127</v>
      </c>
      <c r="H797" s="28" t="s">
        <v>593</v>
      </c>
      <c r="I797" s="32" t="s">
        <v>2815</v>
      </c>
      <c r="J797" s="28">
        <v>35.619999999999997</v>
      </c>
      <c r="K797" s="28">
        <v>-88.85</v>
      </c>
      <c r="L797" s="28">
        <v>107.7</v>
      </c>
      <c r="P797" s="28">
        <v>1375</v>
      </c>
      <c r="R797" s="46">
        <v>15</v>
      </c>
      <c r="S797" s="46" t="s">
        <v>1930</v>
      </c>
      <c r="T797" s="46"/>
      <c r="U797" s="47" t="s">
        <v>1933</v>
      </c>
      <c r="V797" s="46" t="s">
        <v>1380</v>
      </c>
      <c r="W797" s="46" t="s">
        <v>1716</v>
      </c>
      <c r="X797" s="46" t="s">
        <v>1380</v>
      </c>
      <c r="Y797" s="46" t="s">
        <v>1380</v>
      </c>
      <c r="Z797" s="28">
        <f t="shared" si="216"/>
        <v>1.4066666666666665</v>
      </c>
      <c r="AA797" s="326"/>
      <c r="AB797" s="326"/>
      <c r="AC797" s="28" t="s">
        <v>450</v>
      </c>
      <c r="AG797" s="28" t="s">
        <v>1335</v>
      </c>
      <c r="AH797" s="28" t="s">
        <v>243</v>
      </c>
      <c r="AI797" s="138" t="s">
        <v>577</v>
      </c>
      <c r="AJ797" s="28" t="s">
        <v>584</v>
      </c>
      <c r="AK797" s="141" t="s">
        <v>1646</v>
      </c>
      <c r="AO797" s="28" t="s">
        <v>586</v>
      </c>
      <c r="AP797" s="28" t="s">
        <v>586</v>
      </c>
      <c r="AQ797" s="28" t="s">
        <v>2125</v>
      </c>
      <c r="AR797" s="28" t="s">
        <v>2125</v>
      </c>
      <c r="AS797" s="28" t="s">
        <v>177</v>
      </c>
      <c r="AT797" s="28">
        <v>0</v>
      </c>
      <c r="AU797" s="28">
        <v>0</v>
      </c>
      <c r="AV797" s="28" t="s">
        <v>177</v>
      </c>
      <c r="AW797" s="28" t="s">
        <v>160</v>
      </c>
      <c r="AX797" s="28">
        <v>4</v>
      </c>
      <c r="AZ797" s="28" t="s">
        <v>335</v>
      </c>
      <c r="BE797" s="28" t="s">
        <v>583</v>
      </c>
      <c r="BP797" s="401"/>
      <c r="BQ797" s="401"/>
      <c r="BU797" s="401">
        <f t="shared" si="217"/>
        <v>0.83601895734597176</v>
      </c>
      <c r="BV797" s="401">
        <f t="shared" si="218"/>
        <v>0.9251184834123225</v>
      </c>
      <c r="BZ797" s="401">
        <f>8.82</f>
        <v>8.82</v>
      </c>
      <c r="CA797" s="401">
        <v>9.76</v>
      </c>
      <c r="CD797" s="28" t="s">
        <v>4422</v>
      </c>
      <c r="CE797" s="554">
        <v>8.82</v>
      </c>
      <c r="CF797" s="554">
        <v>9.76</v>
      </c>
      <c r="CG797" s="554"/>
      <c r="CH797" s="554"/>
      <c r="CI797" s="28" t="s">
        <v>4547</v>
      </c>
      <c r="CJ797" s="28">
        <v>0.95</v>
      </c>
      <c r="CK797" s="28">
        <v>1.1000000000000001</v>
      </c>
      <c r="CN797" s="28" t="s">
        <v>1678</v>
      </c>
      <c r="GP797" s="28">
        <v>3.93</v>
      </c>
      <c r="GQ797" s="28">
        <v>3.01</v>
      </c>
      <c r="GT797" s="28" t="s">
        <v>1705</v>
      </c>
      <c r="GZ797" s="28">
        <v>81.599999999999994</v>
      </c>
      <c r="HA797" s="28">
        <v>53.26</v>
      </c>
      <c r="HD797" s="28" t="s">
        <v>1701</v>
      </c>
      <c r="IX797" s="28">
        <v>99999</v>
      </c>
      <c r="IY797" s="33">
        <v>99999</v>
      </c>
      <c r="JB797" s="28" t="s">
        <v>610</v>
      </c>
      <c r="JC797" s="28" t="s">
        <v>904</v>
      </c>
    </row>
    <row r="798" spans="1:263" s="28" customFormat="1" x14ac:dyDescent="0.25">
      <c r="A798" s="184">
        <v>40</v>
      </c>
      <c r="B798" s="538" t="s">
        <v>3936</v>
      </c>
      <c r="C798" s="28" t="s">
        <v>581</v>
      </c>
      <c r="D798" s="28" t="s">
        <v>582</v>
      </c>
      <c r="E798" s="28">
        <v>2015</v>
      </c>
      <c r="F798" s="28">
        <v>1997</v>
      </c>
      <c r="G798" s="28" t="s">
        <v>127</v>
      </c>
      <c r="H798" s="28" t="s">
        <v>593</v>
      </c>
      <c r="I798" s="32" t="s">
        <v>2815</v>
      </c>
      <c r="J798" s="28">
        <v>35.619999999999997</v>
      </c>
      <c r="K798" s="28">
        <v>-88.85</v>
      </c>
      <c r="L798" s="28">
        <v>107.7</v>
      </c>
      <c r="P798" s="28">
        <v>1375</v>
      </c>
      <c r="R798" s="46">
        <v>15</v>
      </c>
      <c r="S798" s="46" t="s">
        <v>1930</v>
      </c>
      <c r="T798" s="46"/>
      <c r="U798" s="47" t="s">
        <v>1933</v>
      </c>
      <c r="V798" s="46" t="s">
        <v>1380</v>
      </c>
      <c r="W798" s="46" t="s">
        <v>1716</v>
      </c>
      <c r="X798" s="46" t="s">
        <v>1380</v>
      </c>
      <c r="Y798" s="46" t="s">
        <v>1380</v>
      </c>
      <c r="Z798" s="28">
        <f t="shared" si="216"/>
        <v>1.4066666666666665</v>
      </c>
      <c r="AA798" s="326"/>
      <c r="AB798" s="326"/>
      <c r="AC798" s="28" t="s">
        <v>450</v>
      </c>
      <c r="AG798" s="28" t="s">
        <v>1335</v>
      </c>
      <c r="AH798" s="28" t="s">
        <v>116</v>
      </c>
      <c r="AI798" s="138" t="s">
        <v>1581</v>
      </c>
      <c r="AJ798" s="28" t="s">
        <v>584</v>
      </c>
      <c r="AK798" s="141" t="s">
        <v>1646</v>
      </c>
      <c r="AO798" s="28" t="s">
        <v>586</v>
      </c>
      <c r="AP798" s="28" t="s">
        <v>586</v>
      </c>
      <c r="AQ798" s="28" t="s">
        <v>2125</v>
      </c>
      <c r="AR798" s="28" t="s">
        <v>2125</v>
      </c>
      <c r="AS798" s="28" t="s">
        <v>177</v>
      </c>
      <c r="AT798" s="28">
        <v>0</v>
      </c>
      <c r="AU798" s="28">
        <v>0</v>
      </c>
      <c r="AV798" s="28" t="s">
        <v>177</v>
      </c>
      <c r="AW798" s="28" t="s">
        <v>160</v>
      </c>
      <c r="AX798" s="28">
        <v>4</v>
      </c>
      <c r="AZ798" s="28" t="s">
        <v>335</v>
      </c>
      <c r="BE798" s="28" t="s">
        <v>583</v>
      </c>
      <c r="BP798" s="401"/>
      <c r="BQ798" s="401"/>
      <c r="BU798" s="401">
        <f t="shared" si="217"/>
        <v>0.83601895734597176</v>
      </c>
      <c r="BV798" s="401">
        <f t="shared" si="218"/>
        <v>0.7203791469194315</v>
      </c>
      <c r="BZ798" s="401">
        <f>8.82</f>
        <v>8.82</v>
      </c>
      <c r="CA798" s="401">
        <v>7.6</v>
      </c>
      <c r="CD798" s="28" t="s">
        <v>4422</v>
      </c>
      <c r="CE798" s="554">
        <v>8.82</v>
      </c>
      <c r="CF798" s="554">
        <v>7.6</v>
      </c>
      <c r="CG798" s="554"/>
      <c r="CH798" s="554"/>
      <c r="CI798" s="28" t="s">
        <v>4547</v>
      </c>
      <c r="CJ798" s="28">
        <v>0.95</v>
      </c>
      <c r="CK798" s="28">
        <v>0.78</v>
      </c>
      <c r="CN798" s="28" t="s">
        <v>1678</v>
      </c>
      <c r="GP798" s="28">
        <v>3.93</v>
      </c>
      <c r="GQ798" s="28">
        <v>3.9</v>
      </c>
      <c r="GT798" s="28" t="s">
        <v>1705</v>
      </c>
      <c r="GZ798" s="28">
        <v>81.599999999999994</v>
      </c>
      <c r="HA798" s="28">
        <v>59.16</v>
      </c>
      <c r="HD798" s="28" t="s">
        <v>1701</v>
      </c>
      <c r="IX798" s="28">
        <v>99999</v>
      </c>
      <c r="IY798" s="33">
        <v>99999</v>
      </c>
      <c r="JB798" s="28" t="s">
        <v>610</v>
      </c>
      <c r="JC798" s="28" t="s">
        <v>904</v>
      </c>
    </row>
    <row r="799" spans="1:263" s="33" customFormat="1" x14ac:dyDescent="0.25">
      <c r="A799" s="184">
        <v>40</v>
      </c>
      <c r="B799" s="538" t="s">
        <v>3937</v>
      </c>
      <c r="C799" s="33" t="s">
        <v>581</v>
      </c>
      <c r="D799" s="33" t="s">
        <v>582</v>
      </c>
      <c r="E799" s="33">
        <v>2015</v>
      </c>
      <c r="F799" s="33">
        <v>1997</v>
      </c>
      <c r="G799" s="33" t="s">
        <v>127</v>
      </c>
      <c r="H799" s="33" t="s">
        <v>593</v>
      </c>
      <c r="I799" s="32" t="s">
        <v>2815</v>
      </c>
      <c r="J799" s="33">
        <v>35.619999999999997</v>
      </c>
      <c r="K799" s="33">
        <v>-88.85</v>
      </c>
      <c r="L799" s="33">
        <v>107.7</v>
      </c>
      <c r="P799" s="33">
        <v>1375</v>
      </c>
      <c r="R799" s="47">
        <v>15</v>
      </c>
      <c r="S799" s="47" t="s">
        <v>1930</v>
      </c>
      <c r="T799" s="47"/>
      <c r="U799" s="47" t="s">
        <v>1933</v>
      </c>
      <c r="V799" s="47" t="s">
        <v>1380</v>
      </c>
      <c r="W799" s="47" t="s">
        <v>1716</v>
      </c>
      <c r="X799" s="47" t="s">
        <v>1380</v>
      </c>
      <c r="Y799" s="47" t="s">
        <v>1380</v>
      </c>
      <c r="Z799" s="33">
        <f t="shared" ref="Z799:Z810" si="219">(1.4+1.39+1.43)/3</f>
        <v>1.4066666666666665</v>
      </c>
      <c r="AA799" s="327"/>
      <c r="AB799" s="327"/>
      <c r="AC799" s="33" t="s">
        <v>450</v>
      </c>
      <c r="AG799" s="33" t="s">
        <v>1335</v>
      </c>
      <c r="AH799" s="33" t="s">
        <v>243</v>
      </c>
      <c r="AI799" s="138" t="s">
        <v>577</v>
      </c>
      <c r="AJ799" s="33" t="s">
        <v>584</v>
      </c>
      <c r="AK799" s="141" t="s">
        <v>1646</v>
      </c>
      <c r="AO799" s="33" t="s">
        <v>156</v>
      </c>
      <c r="AP799" s="33" t="s">
        <v>156</v>
      </c>
      <c r="AQ799" s="33" t="s">
        <v>2126</v>
      </c>
      <c r="AR799" s="33" t="s">
        <v>2126</v>
      </c>
      <c r="AS799" s="33" t="s">
        <v>177</v>
      </c>
      <c r="AT799" s="33">
        <v>34</v>
      </c>
      <c r="AU799" s="33">
        <v>34</v>
      </c>
      <c r="AV799" s="33" t="s">
        <v>177</v>
      </c>
      <c r="AW799" s="33" t="s">
        <v>160</v>
      </c>
      <c r="AX799" s="33">
        <v>4</v>
      </c>
      <c r="AZ799" s="33" t="s">
        <v>335</v>
      </c>
      <c r="BD799" s="54"/>
      <c r="BE799" s="33" t="s">
        <v>583</v>
      </c>
      <c r="BP799" s="402"/>
      <c r="BQ799" s="402"/>
      <c r="BU799" s="402">
        <f t="shared" si="217"/>
        <v>1.0255924170616115</v>
      </c>
      <c r="BV799" s="402">
        <f t="shared" si="218"/>
        <v>1.2388625592417064</v>
      </c>
      <c r="BZ799" s="402">
        <f>10.82</f>
        <v>10.82</v>
      </c>
      <c r="CA799" s="402">
        <v>13.07</v>
      </c>
      <c r="CD799" s="28" t="s">
        <v>4422</v>
      </c>
      <c r="CE799" s="555">
        <v>10.82</v>
      </c>
      <c r="CF799" s="555">
        <v>13.07</v>
      </c>
      <c r="CG799" s="555"/>
      <c r="CH799" s="555"/>
      <c r="CI799" s="28" t="s">
        <v>4547</v>
      </c>
      <c r="CJ799" s="33">
        <v>1.04</v>
      </c>
      <c r="CK799" s="33">
        <v>1.29</v>
      </c>
      <c r="CN799" s="33" t="s">
        <v>1678</v>
      </c>
      <c r="GP799" s="33">
        <v>0.31</v>
      </c>
      <c r="GQ799" s="33">
        <v>0.3</v>
      </c>
      <c r="GT799" s="33" t="s">
        <v>1706</v>
      </c>
      <c r="GZ799" s="33">
        <v>90.9</v>
      </c>
      <c r="HA799" s="33">
        <v>84.19</v>
      </c>
      <c r="HD799" s="33" t="s">
        <v>1701</v>
      </c>
      <c r="IX799" s="33">
        <v>99999</v>
      </c>
      <c r="IY799" s="33">
        <v>99999</v>
      </c>
      <c r="JB799" s="33" t="s">
        <v>610</v>
      </c>
      <c r="JC799" s="33" t="s">
        <v>904</v>
      </c>
    </row>
    <row r="800" spans="1:263" s="33" customFormat="1" x14ac:dyDescent="0.25">
      <c r="A800" s="184">
        <v>40</v>
      </c>
      <c r="B800" s="538" t="s">
        <v>3938</v>
      </c>
      <c r="C800" s="33" t="s">
        <v>581</v>
      </c>
      <c r="D800" s="33" t="s">
        <v>582</v>
      </c>
      <c r="E800" s="33">
        <v>2015</v>
      </c>
      <c r="F800" s="33">
        <v>1997</v>
      </c>
      <c r="G800" s="33" t="s">
        <v>127</v>
      </c>
      <c r="H800" s="33" t="s">
        <v>593</v>
      </c>
      <c r="I800" s="32" t="s">
        <v>2815</v>
      </c>
      <c r="J800" s="33">
        <v>35.619999999999997</v>
      </c>
      <c r="K800" s="33">
        <v>-88.85</v>
      </c>
      <c r="L800" s="33">
        <v>107.7</v>
      </c>
      <c r="P800" s="33">
        <v>1375</v>
      </c>
      <c r="R800" s="47">
        <v>15</v>
      </c>
      <c r="S800" s="47" t="s">
        <v>1930</v>
      </c>
      <c r="T800" s="47"/>
      <c r="U800" s="47" t="s">
        <v>1933</v>
      </c>
      <c r="V800" s="47" t="s">
        <v>1380</v>
      </c>
      <c r="W800" s="47" t="s">
        <v>1716</v>
      </c>
      <c r="X800" s="47" t="s">
        <v>1380</v>
      </c>
      <c r="Y800" s="47" t="s">
        <v>1380</v>
      </c>
      <c r="Z800" s="33">
        <f t="shared" si="219"/>
        <v>1.4066666666666665</v>
      </c>
      <c r="AA800" s="327"/>
      <c r="AB800" s="327"/>
      <c r="AC800" s="33" t="s">
        <v>450</v>
      </c>
      <c r="AG800" s="33" t="s">
        <v>1335</v>
      </c>
      <c r="AH800" s="33" t="s">
        <v>116</v>
      </c>
      <c r="AI800" s="138" t="s">
        <v>1581</v>
      </c>
      <c r="AJ800" s="33" t="s">
        <v>584</v>
      </c>
      <c r="AK800" s="141" t="s">
        <v>1646</v>
      </c>
      <c r="AO800" s="33" t="s">
        <v>156</v>
      </c>
      <c r="AP800" s="33" t="s">
        <v>156</v>
      </c>
      <c r="AQ800" s="33" t="s">
        <v>2126</v>
      </c>
      <c r="AR800" s="33" t="s">
        <v>2126</v>
      </c>
      <c r="AS800" s="33" t="s">
        <v>177</v>
      </c>
      <c r="AT800" s="33">
        <v>34</v>
      </c>
      <c r="AU800" s="33">
        <v>34</v>
      </c>
      <c r="AV800" s="33" t="s">
        <v>177</v>
      </c>
      <c r="AW800" s="33" t="s">
        <v>160</v>
      </c>
      <c r="AX800" s="33">
        <v>4</v>
      </c>
      <c r="AZ800" s="33" t="s">
        <v>335</v>
      </c>
      <c r="BD800" s="54"/>
      <c r="BE800" s="33" t="s">
        <v>583</v>
      </c>
      <c r="BP800" s="402"/>
      <c r="BQ800" s="402"/>
      <c r="BU800" s="402">
        <f t="shared" si="217"/>
        <v>1.0255924170616115</v>
      </c>
      <c r="BV800" s="402">
        <f t="shared" si="218"/>
        <v>1.3857819905213273</v>
      </c>
      <c r="BZ800" s="402">
        <v>10.82</v>
      </c>
      <c r="CA800" s="402">
        <v>14.62</v>
      </c>
      <c r="CD800" s="28" t="s">
        <v>4422</v>
      </c>
      <c r="CE800" s="555">
        <v>10.82</v>
      </c>
      <c r="CF800" s="555">
        <v>14.62</v>
      </c>
      <c r="CG800" s="555"/>
      <c r="CH800" s="555"/>
      <c r="CI800" s="28" t="s">
        <v>4547</v>
      </c>
      <c r="CJ800" s="33">
        <v>1.04</v>
      </c>
      <c r="CK800" s="33">
        <v>1.3</v>
      </c>
      <c r="CN800" s="33" t="s">
        <v>1678</v>
      </c>
      <c r="GP800" s="33">
        <v>0.31</v>
      </c>
      <c r="GQ800" s="33">
        <v>0.3</v>
      </c>
      <c r="GT800" s="33" t="s">
        <v>1706</v>
      </c>
      <c r="GZ800" s="33">
        <v>90.9</v>
      </c>
      <c r="HA800" s="33">
        <v>112.79</v>
      </c>
      <c r="HD800" s="33" t="s">
        <v>1701</v>
      </c>
      <c r="IX800" s="33">
        <v>99999</v>
      </c>
      <c r="IY800" s="33">
        <v>99999</v>
      </c>
      <c r="JB800" s="33" t="s">
        <v>610</v>
      </c>
      <c r="JC800" s="33" t="s">
        <v>904</v>
      </c>
    </row>
    <row r="801" spans="1:263" s="33" customFormat="1" x14ac:dyDescent="0.25">
      <c r="A801" s="184">
        <v>40</v>
      </c>
      <c r="B801" s="538" t="s">
        <v>3939</v>
      </c>
      <c r="C801" s="33" t="s">
        <v>581</v>
      </c>
      <c r="D801" s="33" t="s">
        <v>582</v>
      </c>
      <c r="E801" s="33">
        <v>2015</v>
      </c>
      <c r="F801" s="33">
        <v>1997</v>
      </c>
      <c r="G801" s="33" t="s">
        <v>127</v>
      </c>
      <c r="H801" s="33" t="s">
        <v>593</v>
      </c>
      <c r="I801" s="32" t="s">
        <v>2815</v>
      </c>
      <c r="J801" s="33">
        <v>35.619999999999997</v>
      </c>
      <c r="K801" s="33">
        <v>-88.85</v>
      </c>
      <c r="L801" s="33">
        <v>107.7</v>
      </c>
      <c r="P801" s="33">
        <v>1375</v>
      </c>
      <c r="R801" s="47">
        <v>15</v>
      </c>
      <c r="S801" s="47" t="s">
        <v>1930</v>
      </c>
      <c r="T801" s="47"/>
      <c r="U801" s="47" t="s">
        <v>1933</v>
      </c>
      <c r="V801" s="47" t="s">
        <v>1380</v>
      </c>
      <c r="W801" s="47" t="s">
        <v>1716</v>
      </c>
      <c r="X801" s="47" t="s">
        <v>1380</v>
      </c>
      <c r="Y801" s="47" t="s">
        <v>1380</v>
      </c>
      <c r="Z801" s="33">
        <f t="shared" si="219"/>
        <v>1.4066666666666665</v>
      </c>
      <c r="AA801" s="327"/>
      <c r="AB801" s="327"/>
      <c r="AC801" s="33" t="s">
        <v>450</v>
      </c>
      <c r="AG801" s="33" t="s">
        <v>1335</v>
      </c>
      <c r="AH801" s="33" t="s">
        <v>243</v>
      </c>
      <c r="AI801" s="138" t="s">
        <v>577</v>
      </c>
      <c r="AJ801" s="33" t="s">
        <v>584</v>
      </c>
      <c r="AK801" s="141" t="s">
        <v>1646</v>
      </c>
      <c r="AO801" s="33" t="s">
        <v>586</v>
      </c>
      <c r="AP801" s="33" t="s">
        <v>586</v>
      </c>
      <c r="AQ801" s="33" t="s">
        <v>2125</v>
      </c>
      <c r="AR801" s="33" t="s">
        <v>2125</v>
      </c>
      <c r="AS801" s="33" t="s">
        <v>177</v>
      </c>
      <c r="AT801" s="33">
        <v>34</v>
      </c>
      <c r="AU801" s="33">
        <v>34</v>
      </c>
      <c r="AV801" s="33" t="s">
        <v>177</v>
      </c>
      <c r="AW801" s="33" t="s">
        <v>160</v>
      </c>
      <c r="AX801" s="33">
        <v>4</v>
      </c>
      <c r="AZ801" s="33" t="s">
        <v>335</v>
      </c>
      <c r="BD801" s="54"/>
      <c r="BE801" s="33" t="s">
        <v>583</v>
      </c>
      <c r="BP801" s="402"/>
      <c r="BQ801" s="402"/>
      <c r="BU801" s="402">
        <f t="shared" si="217"/>
        <v>0.90710900473933676</v>
      </c>
      <c r="BV801" s="402">
        <f t="shared" si="218"/>
        <v>0.95639810426540306</v>
      </c>
      <c r="BZ801" s="402">
        <v>9.57</v>
      </c>
      <c r="CA801" s="402">
        <v>10.09</v>
      </c>
      <c r="CD801" s="28" t="s">
        <v>4422</v>
      </c>
      <c r="CE801" s="555">
        <v>9.57</v>
      </c>
      <c r="CF801" s="555">
        <v>10.09</v>
      </c>
      <c r="CG801" s="555"/>
      <c r="CH801" s="555"/>
      <c r="CI801" s="28" t="s">
        <v>4547</v>
      </c>
      <c r="CJ801" s="33">
        <v>0.97</v>
      </c>
      <c r="CK801" s="33">
        <v>1</v>
      </c>
      <c r="CN801" s="33" t="s">
        <v>1678</v>
      </c>
      <c r="GZ801" s="33">
        <v>73.28</v>
      </c>
      <c r="HA801" s="33">
        <v>66.22</v>
      </c>
      <c r="HD801" s="33" t="s">
        <v>1701</v>
      </c>
      <c r="IX801" s="33">
        <v>99999</v>
      </c>
      <c r="IY801" s="33">
        <v>99999</v>
      </c>
      <c r="JB801" s="33" t="s">
        <v>610</v>
      </c>
      <c r="JC801" s="33" t="s">
        <v>904</v>
      </c>
    </row>
    <row r="802" spans="1:263" s="33" customFormat="1" x14ac:dyDescent="0.25">
      <c r="A802" s="184">
        <v>40</v>
      </c>
      <c r="B802" s="538" t="s">
        <v>3940</v>
      </c>
      <c r="C802" s="33" t="s">
        <v>581</v>
      </c>
      <c r="D802" s="33" t="s">
        <v>582</v>
      </c>
      <c r="E802" s="33">
        <v>2015</v>
      </c>
      <c r="F802" s="33">
        <v>1997</v>
      </c>
      <c r="G802" s="33" t="s">
        <v>127</v>
      </c>
      <c r="H802" s="33" t="s">
        <v>593</v>
      </c>
      <c r="I802" s="32" t="s">
        <v>2815</v>
      </c>
      <c r="J802" s="33">
        <v>35.619999999999997</v>
      </c>
      <c r="K802" s="33">
        <v>-88.85</v>
      </c>
      <c r="L802" s="33">
        <v>107.7</v>
      </c>
      <c r="P802" s="33">
        <v>1375</v>
      </c>
      <c r="R802" s="47">
        <v>15</v>
      </c>
      <c r="S802" s="47" t="s">
        <v>1930</v>
      </c>
      <c r="T802" s="47"/>
      <c r="U802" s="47" t="s">
        <v>1933</v>
      </c>
      <c r="V802" s="47" t="s">
        <v>1380</v>
      </c>
      <c r="W802" s="47" t="s">
        <v>1716</v>
      </c>
      <c r="X802" s="47" t="s">
        <v>1380</v>
      </c>
      <c r="Y802" s="47" t="s">
        <v>1380</v>
      </c>
      <c r="Z802" s="33">
        <f t="shared" si="219"/>
        <v>1.4066666666666665</v>
      </c>
      <c r="AA802" s="327"/>
      <c r="AB802" s="327"/>
      <c r="AC802" s="33" t="s">
        <v>450</v>
      </c>
      <c r="AG802" s="33" t="s">
        <v>1335</v>
      </c>
      <c r="AH802" s="33" t="s">
        <v>116</v>
      </c>
      <c r="AI802" s="138" t="s">
        <v>1581</v>
      </c>
      <c r="AJ802" s="33" t="s">
        <v>584</v>
      </c>
      <c r="AK802" s="141" t="s">
        <v>1646</v>
      </c>
      <c r="AO802" s="33" t="s">
        <v>586</v>
      </c>
      <c r="AP802" s="33" t="s">
        <v>586</v>
      </c>
      <c r="AQ802" s="33" t="s">
        <v>2125</v>
      </c>
      <c r="AR802" s="33" t="s">
        <v>2125</v>
      </c>
      <c r="AS802" s="33" t="s">
        <v>177</v>
      </c>
      <c r="AT802" s="33">
        <v>34</v>
      </c>
      <c r="AU802" s="33">
        <v>34</v>
      </c>
      <c r="AV802" s="33" t="s">
        <v>177</v>
      </c>
      <c r="AW802" s="33" t="s">
        <v>160</v>
      </c>
      <c r="AX802" s="33">
        <v>4</v>
      </c>
      <c r="AZ802" s="33" t="s">
        <v>335</v>
      </c>
      <c r="BD802" s="54"/>
      <c r="BE802" s="33" t="s">
        <v>583</v>
      </c>
      <c r="BP802" s="402"/>
      <c r="BQ802" s="402"/>
      <c r="BU802" s="402">
        <f t="shared" si="217"/>
        <v>0.90710900473933676</v>
      </c>
      <c r="BV802" s="402">
        <f t="shared" si="218"/>
        <v>0.85781990521327023</v>
      </c>
      <c r="BZ802" s="402">
        <v>9.57</v>
      </c>
      <c r="CA802" s="402">
        <v>9.0500000000000007</v>
      </c>
      <c r="CD802" s="28" t="s">
        <v>4422</v>
      </c>
      <c r="CE802" s="555">
        <v>9.57</v>
      </c>
      <c r="CF802" s="555">
        <v>9.0500000000000007</v>
      </c>
      <c r="CG802" s="555"/>
      <c r="CH802" s="555"/>
      <c r="CI802" s="28" t="s">
        <v>4547</v>
      </c>
      <c r="CJ802" s="33">
        <v>0.97</v>
      </c>
      <c r="CK802" s="33">
        <v>1.01</v>
      </c>
      <c r="CN802" s="33" t="s">
        <v>1678</v>
      </c>
      <c r="GZ802" s="33">
        <v>73.28</v>
      </c>
      <c r="HA802" s="33">
        <v>51.57</v>
      </c>
      <c r="HD802" s="33" t="s">
        <v>1701</v>
      </c>
      <c r="IX802" s="33">
        <v>99999</v>
      </c>
      <c r="IY802" s="33">
        <v>99999</v>
      </c>
      <c r="JB802" s="33" t="s">
        <v>610</v>
      </c>
      <c r="JC802" s="33" t="s">
        <v>904</v>
      </c>
    </row>
    <row r="803" spans="1:263" s="28" customFormat="1" x14ac:dyDescent="0.25">
      <c r="A803" s="184">
        <v>40</v>
      </c>
      <c r="B803" s="538" t="s">
        <v>3941</v>
      </c>
      <c r="C803" s="28" t="s">
        <v>581</v>
      </c>
      <c r="D803" s="28" t="s">
        <v>582</v>
      </c>
      <c r="E803" s="28">
        <v>2015</v>
      </c>
      <c r="F803" s="28">
        <v>1997</v>
      </c>
      <c r="G803" s="28" t="s">
        <v>127</v>
      </c>
      <c r="H803" s="28" t="s">
        <v>593</v>
      </c>
      <c r="I803" s="32" t="s">
        <v>2815</v>
      </c>
      <c r="J803" s="28">
        <v>35.619999999999997</v>
      </c>
      <c r="K803" s="28">
        <v>-88.85</v>
      </c>
      <c r="L803" s="28">
        <v>107.7</v>
      </c>
      <c r="P803" s="28">
        <v>1375</v>
      </c>
      <c r="R803" s="46">
        <v>15</v>
      </c>
      <c r="S803" s="46" t="s">
        <v>1930</v>
      </c>
      <c r="T803" s="46"/>
      <c r="U803" s="47" t="s">
        <v>1933</v>
      </c>
      <c r="V803" s="46" t="s">
        <v>1380</v>
      </c>
      <c r="W803" s="46" t="s">
        <v>1716</v>
      </c>
      <c r="X803" s="46" t="s">
        <v>1380</v>
      </c>
      <c r="Y803" s="46" t="s">
        <v>1380</v>
      </c>
      <c r="Z803" s="28">
        <f t="shared" si="219"/>
        <v>1.4066666666666665</v>
      </c>
      <c r="AA803" s="326"/>
      <c r="AB803" s="326"/>
      <c r="AC803" s="28" t="s">
        <v>450</v>
      </c>
      <c r="AG803" s="28" t="s">
        <v>1335</v>
      </c>
      <c r="AH803" s="28" t="s">
        <v>243</v>
      </c>
      <c r="AI803" s="138" t="s">
        <v>577</v>
      </c>
      <c r="AJ803" s="28" t="s">
        <v>584</v>
      </c>
      <c r="AK803" s="141" t="s">
        <v>1646</v>
      </c>
      <c r="AO803" s="28" t="s">
        <v>156</v>
      </c>
      <c r="AP803" s="28" t="s">
        <v>156</v>
      </c>
      <c r="AQ803" s="28" t="s">
        <v>2126</v>
      </c>
      <c r="AR803" s="28" t="s">
        <v>2126</v>
      </c>
      <c r="AS803" s="28" t="s">
        <v>177</v>
      </c>
      <c r="AT803" s="28">
        <v>67</v>
      </c>
      <c r="AU803" s="28">
        <v>67</v>
      </c>
      <c r="AV803" s="28" t="s">
        <v>177</v>
      </c>
      <c r="AW803" s="28" t="s">
        <v>160</v>
      </c>
      <c r="AX803" s="28">
        <v>4</v>
      </c>
      <c r="AZ803" s="28" t="s">
        <v>335</v>
      </c>
      <c r="BE803" s="28" t="s">
        <v>583</v>
      </c>
      <c r="BP803" s="401"/>
      <c r="BQ803" s="401"/>
      <c r="BU803" s="402">
        <f t="shared" si="217"/>
        <v>0.95545023696682485</v>
      </c>
      <c r="BV803" s="402">
        <f t="shared" si="218"/>
        <v>1.2255924170616117</v>
      </c>
      <c r="BZ803" s="401">
        <v>10.08</v>
      </c>
      <c r="CA803" s="401">
        <v>12.93</v>
      </c>
      <c r="CD803" s="28" t="s">
        <v>4422</v>
      </c>
      <c r="CE803" s="554">
        <v>10.08</v>
      </c>
      <c r="CF803" s="554">
        <v>12.93</v>
      </c>
      <c r="CG803" s="554"/>
      <c r="CH803" s="554"/>
      <c r="CI803" s="28" t="s">
        <v>4547</v>
      </c>
      <c r="CJ803" s="28">
        <v>1.06</v>
      </c>
      <c r="CK803" s="28">
        <v>1.34</v>
      </c>
      <c r="CN803" s="28" t="s">
        <v>1678</v>
      </c>
      <c r="GZ803" s="28">
        <v>82.24</v>
      </c>
      <c r="HA803" s="28">
        <v>87.42</v>
      </c>
      <c r="HD803" s="28" t="s">
        <v>1701</v>
      </c>
      <c r="IX803" s="28">
        <v>99999</v>
      </c>
      <c r="IY803" s="33">
        <v>99999</v>
      </c>
      <c r="JB803" s="28" t="s">
        <v>610</v>
      </c>
      <c r="JC803" s="28" t="s">
        <v>904</v>
      </c>
    </row>
    <row r="804" spans="1:263" s="28" customFormat="1" x14ac:dyDescent="0.25">
      <c r="A804" s="184">
        <v>40</v>
      </c>
      <c r="B804" s="538" t="s">
        <v>3942</v>
      </c>
      <c r="C804" s="28" t="s">
        <v>581</v>
      </c>
      <c r="D804" s="28" t="s">
        <v>582</v>
      </c>
      <c r="E804" s="28">
        <v>2015</v>
      </c>
      <c r="F804" s="28">
        <v>1997</v>
      </c>
      <c r="G804" s="28" t="s">
        <v>127</v>
      </c>
      <c r="H804" s="28" t="s">
        <v>593</v>
      </c>
      <c r="I804" s="32" t="s">
        <v>2815</v>
      </c>
      <c r="J804" s="28">
        <v>35.619999999999997</v>
      </c>
      <c r="K804" s="28">
        <v>-88.85</v>
      </c>
      <c r="L804" s="28">
        <v>107.7</v>
      </c>
      <c r="P804" s="28">
        <v>1375</v>
      </c>
      <c r="R804" s="46">
        <v>15</v>
      </c>
      <c r="S804" s="46" t="s">
        <v>1930</v>
      </c>
      <c r="T804" s="46"/>
      <c r="U804" s="47" t="s">
        <v>1933</v>
      </c>
      <c r="V804" s="46" t="s">
        <v>1380</v>
      </c>
      <c r="W804" s="46" t="s">
        <v>1716</v>
      </c>
      <c r="X804" s="46" t="s">
        <v>1380</v>
      </c>
      <c r="Y804" s="46" t="s">
        <v>1380</v>
      </c>
      <c r="Z804" s="28">
        <f t="shared" si="219"/>
        <v>1.4066666666666665</v>
      </c>
      <c r="AA804" s="326"/>
      <c r="AB804" s="326"/>
      <c r="AC804" s="28" t="s">
        <v>450</v>
      </c>
      <c r="AG804" s="28" t="s">
        <v>1335</v>
      </c>
      <c r="AH804" s="28" t="s">
        <v>116</v>
      </c>
      <c r="AI804" s="138" t="s">
        <v>1581</v>
      </c>
      <c r="AJ804" s="28" t="s">
        <v>584</v>
      </c>
      <c r="AK804" s="141" t="s">
        <v>1646</v>
      </c>
      <c r="AO804" s="28" t="s">
        <v>156</v>
      </c>
      <c r="AP804" s="28" t="s">
        <v>156</v>
      </c>
      <c r="AQ804" s="28" t="s">
        <v>2126</v>
      </c>
      <c r="AR804" s="28" t="s">
        <v>2126</v>
      </c>
      <c r="AS804" s="28" t="s">
        <v>177</v>
      </c>
      <c r="AT804" s="28">
        <v>67</v>
      </c>
      <c r="AU804" s="28">
        <v>67</v>
      </c>
      <c r="AV804" s="28" t="s">
        <v>177</v>
      </c>
      <c r="AW804" s="28" t="s">
        <v>160</v>
      </c>
      <c r="AX804" s="28">
        <v>4</v>
      </c>
      <c r="AZ804" s="28" t="s">
        <v>335</v>
      </c>
      <c r="BE804" s="28" t="s">
        <v>583</v>
      </c>
      <c r="BP804" s="401"/>
      <c r="BQ804" s="401"/>
      <c r="BU804" s="402">
        <f t="shared" si="217"/>
        <v>0.95545023696682485</v>
      </c>
      <c r="BV804" s="402">
        <f t="shared" si="218"/>
        <v>1.0293838862559244</v>
      </c>
      <c r="BZ804" s="401">
        <v>10.08</v>
      </c>
      <c r="CA804" s="401">
        <v>10.86</v>
      </c>
      <c r="CD804" s="28" t="s">
        <v>4422</v>
      </c>
      <c r="CE804" s="554">
        <v>10.08</v>
      </c>
      <c r="CF804" s="554">
        <v>10.86</v>
      </c>
      <c r="CG804" s="554"/>
      <c r="CH804" s="554"/>
      <c r="CI804" s="28" t="s">
        <v>4547</v>
      </c>
      <c r="CJ804" s="28">
        <v>1.06</v>
      </c>
      <c r="CK804" s="28">
        <v>1.1000000000000001</v>
      </c>
      <c r="CN804" s="28" t="s">
        <v>1678</v>
      </c>
      <c r="GZ804" s="28">
        <v>82.24</v>
      </c>
      <c r="HA804" s="28">
        <v>77.459999999999994</v>
      </c>
      <c r="HD804" s="28" t="s">
        <v>1701</v>
      </c>
      <c r="IX804" s="28">
        <v>99999</v>
      </c>
      <c r="IY804" s="33">
        <v>99999</v>
      </c>
      <c r="JB804" s="28" t="s">
        <v>610</v>
      </c>
      <c r="JC804" s="28" t="s">
        <v>904</v>
      </c>
    </row>
    <row r="805" spans="1:263" s="28" customFormat="1" x14ac:dyDescent="0.25">
      <c r="A805" s="184">
        <v>40</v>
      </c>
      <c r="B805" s="538" t="s">
        <v>3943</v>
      </c>
      <c r="C805" s="28" t="s">
        <v>581</v>
      </c>
      <c r="D805" s="28" t="s">
        <v>582</v>
      </c>
      <c r="E805" s="28">
        <v>2015</v>
      </c>
      <c r="F805" s="28">
        <v>1997</v>
      </c>
      <c r="G805" s="28" t="s">
        <v>127</v>
      </c>
      <c r="H805" s="28" t="s">
        <v>593</v>
      </c>
      <c r="I805" s="32" t="s">
        <v>2815</v>
      </c>
      <c r="J805" s="28">
        <v>35.619999999999997</v>
      </c>
      <c r="K805" s="28">
        <v>-88.85</v>
      </c>
      <c r="L805" s="28">
        <v>107.7</v>
      </c>
      <c r="P805" s="28">
        <v>1375</v>
      </c>
      <c r="R805" s="46">
        <v>15</v>
      </c>
      <c r="S805" s="46" t="s">
        <v>1930</v>
      </c>
      <c r="T805" s="46"/>
      <c r="U805" s="47" t="s">
        <v>1933</v>
      </c>
      <c r="V805" s="46" t="s">
        <v>1380</v>
      </c>
      <c r="W805" s="46" t="s">
        <v>1716</v>
      </c>
      <c r="X805" s="46" t="s">
        <v>1380</v>
      </c>
      <c r="Y805" s="46" t="s">
        <v>1380</v>
      </c>
      <c r="Z805" s="28">
        <f t="shared" si="219"/>
        <v>1.4066666666666665</v>
      </c>
      <c r="AA805" s="326"/>
      <c r="AB805" s="326"/>
      <c r="AC805" s="28" t="s">
        <v>450</v>
      </c>
      <c r="AG805" s="28" t="s">
        <v>1335</v>
      </c>
      <c r="AH805" s="28" t="s">
        <v>243</v>
      </c>
      <c r="AI805" s="138" t="s">
        <v>577</v>
      </c>
      <c r="AJ805" s="28" t="s">
        <v>584</v>
      </c>
      <c r="AK805" s="141" t="s">
        <v>1646</v>
      </c>
      <c r="AO805" s="28" t="s">
        <v>586</v>
      </c>
      <c r="AP805" s="28" t="s">
        <v>586</v>
      </c>
      <c r="AQ805" s="28" t="s">
        <v>2125</v>
      </c>
      <c r="AR805" s="28" t="s">
        <v>2125</v>
      </c>
      <c r="AS805" s="28" t="s">
        <v>177</v>
      </c>
      <c r="AT805" s="28">
        <v>67</v>
      </c>
      <c r="AU805" s="28">
        <v>67</v>
      </c>
      <c r="AV805" s="28" t="s">
        <v>177</v>
      </c>
      <c r="AW805" s="28" t="s">
        <v>160</v>
      </c>
      <c r="AX805" s="28">
        <v>4</v>
      </c>
      <c r="AZ805" s="28" t="s">
        <v>335</v>
      </c>
      <c r="BE805" s="28" t="s">
        <v>583</v>
      </c>
      <c r="BP805" s="401"/>
      <c r="BQ805" s="401"/>
      <c r="BU805" s="402">
        <f t="shared" si="217"/>
        <v>0.95545023696682485</v>
      </c>
      <c r="BV805" s="402">
        <f t="shared" si="218"/>
        <v>0.97251184834123239</v>
      </c>
      <c r="BZ805" s="401">
        <v>10.08</v>
      </c>
      <c r="CA805" s="401">
        <v>10.26</v>
      </c>
      <c r="CD805" s="28" t="s">
        <v>4422</v>
      </c>
      <c r="CE805" s="554">
        <v>10.08</v>
      </c>
      <c r="CF805" s="554">
        <v>10.26</v>
      </c>
      <c r="CG805" s="554"/>
      <c r="CH805" s="554"/>
      <c r="CI805" s="28" t="s">
        <v>4547</v>
      </c>
      <c r="CJ805" s="28">
        <v>1.02</v>
      </c>
      <c r="CK805" s="28">
        <v>1.06</v>
      </c>
      <c r="CN805" s="28" t="s">
        <v>1678</v>
      </c>
      <c r="GZ805" s="28">
        <v>70.03</v>
      </c>
      <c r="HA805" s="28">
        <v>68</v>
      </c>
      <c r="HD805" s="28" t="s">
        <v>1701</v>
      </c>
      <c r="IX805" s="28">
        <v>99999</v>
      </c>
      <c r="IY805" s="33">
        <v>99999</v>
      </c>
      <c r="JB805" s="28" t="s">
        <v>610</v>
      </c>
      <c r="JC805" s="28" t="s">
        <v>904</v>
      </c>
    </row>
    <row r="806" spans="1:263" s="28" customFormat="1" x14ac:dyDescent="0.25">
      <c r="A806" s="184">
        <v>40</v>
      </c>
      <c r="B806" s="538" t="s">
        <v>3944</v>
      </c>
      <c r="C806" s="28" t="s">
        <v>581</v>
      </c>
      <c r="D806" s="28" t="s">
        <v>582</v>
      </c>
      <c r="E806" s="28">
        <v>2015</v>
      </c>
      <c r="F806" s="28">
        <v>1997</v>
      </c>
      <c r="G806" s="28" t="s">
        <v>127</v>
      </c>
      <c r="H806" s="28" t="s">
        <v>593</v>
      </c>
      <c r="I806" s="32" t="s">
        <v>2815</v>
      </c>
      <c r="J806" s="28">
        <v>35.619999999999997</v>
      </c>
      <c r="K806" s="28">
        <v>-88.85</v>
      </c>
      <c r="L806" s="28">
        <v>107.7</v>
      </c>
      <c r="P806" s="28">
        <v>1375</v>
      </c>
      <c r="R806" s="46">
        <v>15</v>
      </c>
      <c r="S806" s="46" t="s">
        <v>1930</v>
      </c>
      <c r="T806" s="46"/>
      <c r="U806" s="47" t="s">
        <v>1933</v>
      </c>
      <c r="V806" s="46" t="s">
        <v>1380</v>
      </c>
      <c r="W806" s="46" t="s">
        <v>1716</v>
      </c>
      <c r="X806" s="46" t="s">
        <v>1380</v>
      </c>
      <c r="Y806" s="46" t="s">
        <v>1380</v>
      </c>
      <c r="Z806" s="28">
        <f t="shared" si="219"/>
        <v>1.4066666666666665</v>
      </c>
      <c r="AA806" s="326"/>
      <c r="AB806" s="326"/>
      <c r="AC806" s="28" t="s">
        <v>450</v>
      </c>
      <c r="AG806" s="28" t="s">
        <v>1335</v>
      </c>
      <c r="AH806" s="28" t="s">
        <v>116</v>
      </c>
      <c r="AI806" s="138" t="s">
        <v>1581</v>
      </c>
      <c r="AJ806" s="28" t="s">
        <v>584</v>
      </c>
      <c r="AK806" s="141" t="s">
        <v>1646</v>
      </c>
      <c r="AO806" s="28" t="s">
        <v>586</v>
      </c>
      <c r="AP806" s="28" t="s">
        <v>586</v>
      </c>
      <c r="AQ806" s="28" t="s">
        <v>2125</v>
      </c>
      <c r="AR806" s="28" t="s">
        <v>2125</v>
      </c>
      <c r="AS806" s="28" t="s">
        <v>177</v>
      </c>
      <c r="AT806" s="28">
        <v>67</v>
      </c>
      <c r="AU806" s="28">
        <v>67</v>
      </c>
      <c r="AV806" s="28" t="s">
        <v>177</v>
      </c>
      <c r="AW806" s="28" t="s">
        <v>160</v>
      </c>
      <c r="AX806" s="28">
        <v>4</v>
      </c>
      <c r="AZ806" s="28" t="s">
        <v>335</v>
      </c>
      <c r="BE806" s="28" t="s">
        <v>583</v>
      </c>
      <c r="BP806" s="401"/>
      <c r="BQ806" s="401"/>
      <c r="BU806" s="402">
        <f t="shared" si="217"/>
        <v>0.95545023696682485</v>
      </c>
      <c r="BV806" s="402">
        <f t="shared" si="218"/>
        <v>0.98672985781990552</v>
      </c>
      <c r="BZ806" s="401">
        <v>10.08</v>
      </c>
      <c r="CA806" s="401">
        <v>10.41</v>
      </c>
      <c r="CD806" s="28" t="s">
        <v>4422</v>
      </c>
      <c r="CE806" s="554">
        <v>10.08</v>
      </c>
      <c r="CF806" s="554">
        <v>10.41</v>
      </c>
      <c r="CG806" s="554"/>
      <c r="CH806" s="554"/>
      <c r="CI806" s="28" t="s">
        <v>4547</v>
      </c>
      <c r="CJ806" s="28">
        <v>1.02</v>
      </c>
      <c r="CK806" s="28">
        <v>1.07</v>
      </c>
      <c r="CN806" s="28" t="s">
        <v>1678</v>
      </c>
      <c r="GZ806" s="28">
        <v>70.03</v>
      </c>
      <c r="HA806" s="28">
        <v>66</v>
      </c>
      <c r="HD806" s="28" t="s">
        <v>1701</v>
      </c>
      <c r="IX806" s="28">
        <v>99999</v>
      </c>
      <c r="IY806" s="33">
        <v>99999</v>
      </c>
      <c r="JB806" s="28" t="s">
        <v>610</v>
      </c>
      <c r="JC806" s="28" t="s">
        <v>904</v>
      </c>
    </row>
    <row r="807" spans="1:263" s="33" customFormat="1" x14ac:dyDescent="0.25">
      <c r="A807" s="184">
        <v>40</v>
      </c>
      <c r="B807" s="538" t="s">
        <v>3945</v>
      </c>
      <c r="C807" s="33" t="s">
        <v>581</v>
      </c>
      <c r="D807" s="33" t="s">
        <v>582</v>
      </c>
      <c r="E807" s="33">
        <v>2015</v>
      </c>
      <c r="F807" s="33">
        <v>1997</v>
      </c>
      <c r="G807" s="33" t="s">
        <v>127</v>
      </c>
      <c r="H807" s="33" t="s">
        <v>593</v>
      </c>
      <c r="I807" s="32" t="s">
        <v>2815</v>
      </c>
      <c r="J807" s="33">
        <v>35.619999999999997</v>
      </c>
      <c r="K807" s="33">
        <v>-88.85</v>
      </c>
      <c r="L807" s="33">
        <v>107.7</v>
      </c>
      <c r="P807" s="33">
        <v>1375</v>
      </c>
      <c r="R807" s="47">
        <v>15</v>
      </c>
      <c r="S807" s="47" t="s">
        <v>1930</v>
      </c>
      <c r="T807" s="47"/>
      <c r="U807" s="47" t="s">
        <v>1933</v>
      </c>
      <c r="V807" s="47" t="s">
        <v>1380</v>
      </c>
      <c r="W807" s="47" t="s">
        <v>1716</v>
      </c>
      <c r="X807" s="47" t="s">
        <v>1380</v>
      </c>
      <c r="Y807" s="47" t="s">
        <v>1380</v>
      </c>
      <c r="Z807" s="33">
        <f t="shared" si="219"/>
        <v>1.4066666666666665</v>
      </c>
      <c r="AA807" s="327"/>
      <c r="AB807" s="327"/>
      <c r="AC807" s="33" t="s">
        <v>450</v>
      </c>
      <c r="AG807" s="33" t="s">
        <v>1335</v>
      </c>
      <c r="AH807" s="33" t="s">
        <v>243</v>
      </c>
      <c r="AI807" s="138" t="s">
        <v>577</v>
      </c>
      <c r="AJ807" s="33" t="s">
        <v>584</v>
      </c>
      <c r="AK807" s="141" t="s">
        <v>1646</v>
      </c>
      <c r="AO807" s="33" t="s">
        <v>156</v>
      </c>
      <c r="AP807" s="33" t="s">
        <v>156</v>
      </c>
      <c r="AQ807" s="33" t="s">
        <v>2126</v>
      </c>
      <c r="AR807" s="33" t="s">
        <v>2126</v>
      </c>
      <c r="AS807" s="33" t="s">
        <v>177</v>
      </c>
      <c r="AT807" s="33">
        <v>101</v>
      </c>
      <c r="AU807" s="33">
        <v>101</v>
      </c>
      <c r="AV807" s="33" t="s">
        <v>177</v>
      </c>
      <c r="AW807" s="33" t="s">
        <v>160</v>
      </c>
      <c r="AX807" s="33">
        <v>4</v>
      </c>
      <c r="AZ807" s="33" t="s">
        <v>335</v>
      </c>
      <c r="BD807" s="54"/>
      <c r="BE807" s="33" t="s">
        <v>583</v>
      </c>
      <c r="BP807" s="402"/>
      <c r="BQ807" s="402"/>
      <c r="BU807" s="402">
        <f t="shared" si="217"/>
        <v>1.3289099526066355</v>
      </c>
      <c r="BV807" s="402">
        <f t="shared" si="218"/>
        <v>1.1924170616113747</v>
      </c>
      <c r="BZ807" s="402">
        <v>14.02</v>
      </c>
      <c r="CA807" s="402">
        <v>12.58</v>
      </c>
      <c r="CD807" s="28" t="s">
        <v>4422</v>
      </c>
      <c r="CE807" s="555">
        <v>14.02</v>
      </c>
      <c r="CF807" s="555">
        <v>12.58</v>
      </c>
      <c r="CG807" s="555"/>
      <c r="CH807" s="555"/>
      <c r="CI807" s="28" t="s">
        <v>4547</v>
      </c>
      <c r="CJ807" s="33">
        <v>1.47</v>
      </c>
      <c r="CK807" s="33">
        <v>1.25</v>
      </c>
      <c r="CN807" s="33" t="s">
        <v>1678</v>
      </c>
      <c r="GZ807" s="33">
        <v>86.18</v>
      </c>
      <c r="HA807" s="33">
        <v>71.55</v>
      </c>
      <c r="HD807" s="33" t="s">
        <v>1701</v>
      </c>
      <c r="IX807" s="33">
        <v>99999</v>
      </c>
      <c r="IY807" s="33">
        <v>99999</v>
      </c>
      <c r="JB807" s="33" t="s">
        <v>610</v>
      </c>
      <c r="JC807" s="33" t="s">
        <v>904</v>
      </c>
    </row>
    <row r="808" spans="1:263" s="33" customFormat="1" x14ac:dyDescent="0.25">
      <c r="A808" s="184">
        <v>40</v>
      </c>
      <c r="B808" s="538" t="s">
        <v>3946</v>
      </c>
      <c r="C808" s="33" t="s">
        <v>581</v>
      </c>
      <c r="D808" s="33" t="s">
        <v>582</v>
      </c>
      <c r="E808" s="33">
        <v>2015</v>
      </c>
      <c r="F808" s="33">
        <v>1997</v>
      </c>
      <c r="G808" s="33" t="s">
        <v>127</v>
      </c>
      <c r="H808" s="33" t="s">
        <v>593</v>
      </c>
      <c r="I808" s="32" t="s">
        <v>2815</v>
      </c>
      <c r="J808" s="33">
        <v>35.619999999999997</v>
      </c>
      <c r="K808" s="33">
        <v>-88.85</v>
      </c>
      <c r="L808" s="33">
        <v>107.7</v>
      </c>
      <c r="P808" s="33">
        <v>1375</v>
      </c>
      <c r="R808" s="47">
        <v>15</v>
      </c>
      <c r="S808" s="47" t="s">
        <v>1930</v>
      </c>
      <c r="T808" s="47"/>
      <c r="U808" s="47" t="s">
        <v>1933</v>
      </c>
      <c r="V808" s="47" t="s">
        <v>1380</v>
      </c>
      <c r="W808" s="47" t="s">
        <v>1716</v>
      </c>
      <c r="X808" s="47" t="s">
        <v>1380</v>
      </c>
      <c r="Y808" s="47" t="s">
        <v>1380</v>
      </c>
      <c r="Z808" s="33">
        <f t="shared" si="219"/>
        <v>1.4066666666666665</v>
      </c>
      <c r="AA808" s="327"/>
      <c r="AB808" s="327"/>
      <c r="AC808" s="33" t="s">
        <v>450</v>
      </c>
      <c r="AG808" s="33" t="s">
        <v>1335</v>
      </c>
      <c r="AH808" s="33" t="s">
        <v>116</v>
      </c>
      <c r="AI808" s="138" t="s">
        <v>1581</v>
      </c>
      <c r="AJ808" s="33" t="s">
        <v>584</v>
      </c>
      <c r="AK808" s="141" t="s">
        <v>1646</v>
      </c>
      <c r="AO808" s="33" t="s">
        <v>156</v>
      </c>
      <c r="AP808" s="33" t="s">
        <v>156</v>
      </c>
      <c r="AQ808" s="33" t="s">
        <v>2126</v>
      </c>
      <c r="AR808" s="33" t="s">
        <v>2126</v>
      </c>
      <c r="AS808" s="33" t="s">
        <v>177</v>
      </c>
      <c r="AT808" s="33">
        <v>101</v>
      </c>
      <c r="AU808" s="33">
        <v>101</v>
      </c>
      <c r="AV808" s="33" t="s">
        <v>177</v>
      </c>
      <c r="AW808" s="33" t="s">
        <v>160</v>
      </c>
      <c r="AX808" s="33">
        <v>4</v>
      </c>
      <c r="AZ808" s="33" t="s">
        <v>335</v>
      </c>
      <c r="BD808" s="54"/>
      <c r="BE808" s="33" t="s">
        <v>583</v>
      </c>
      <c r="BP808" s="402"/>
      <c r="BQ808" s="402"/>
      <c r="BU808" s="402">
        <f t="shared" si="217"/>
        <v>1.3289099526066355</v>
      </c>
      <c r="BV808" s="402">
        <f t="shared" si="218"/>
        <v>1.265402843601896</v>
      </c>
      <c r="BZ808" s="402">
        <v>14.02</v>
      </c>
      <c r="CA808" s="402">
        <v>13.35</v>
      </c>
      <c r="CD808" s="28" t="s">
        <v>4422</v>
      </c>
      <c r="CE808" s="555">
        <v>14.02</v>
      </c>
      <c r="CF808" s="555">
        <v>13.35</v>
      </c>
      <c r="CG808" s="555"/>
      <c r="CH808" s="555"/>
      <c r="CI808" s="28" t="s">
        <v>4547</v>
      </c>
      <c r="CJ808" s="33">
        <v>1.47</v>
      </c>
      <c r="CK808" s="33">
        <v>1.39</v>
      </c>
      <c r="CN808" s="33" t="s">
        <v>1678</v>
      </c>
      <c r="GZ808" s="33">
        <v>86.18</v>
      </c>
      <c r="HA808" s="33">
        <v>81.77</v>
      </c>
      <c r="HD808" s="33" t="s">
        <v>1701</v>
      </c>
      <c r="IX808" s="33">
        <v>99999</v>
      </c>
      <c r="IY808" s="33">
        <v>99999</v>
      </c>
      <c r="JB808" s="33" t="s">
        <v>610</v>
      </c>
      <c r="JC808" s="33" t="s">
        <v>904</v>
      </c>
    </row>
    <row r="809" spans="1:263" s="33" customFormat="1" x14ac:dyDescent="0.25">
      <c r="A809" s="184">
        <v>40</v>
      </c>
      <c r="B809" s="538" t="s">
        <v>3947</v>
      </c>
      <c r="C809" s="33" t="s">
        <v>581</v>
      </c>
      <c r="D809" s="33" t="s">
        <v>582</v>
      </c>
      <c r="E809" s="33">
        <v>2015</v>
      </c>
      <c r="F809" s="33">
        <v>1997</v>
      </c>
      <c r="G809" s="33" t="s">
        <v>127</v>
      </c>
      <c r="H809" s="33" t="s">
        <v>593</v>
      </c>
      <c r="I809" s="32" t="s">
        <v>2815</v>
      </c>
      <c r="J809" s="33">
        <v>35.619999999999997</v>
      </c>
      <c r="K809" s="33">
        <v>-88.85</v>
      </c>
      <c r="L809" s="33">
        <v>107.7</v>
      </c>
      <c r="P809" s="33">
        <v>1375</v>
      </c>
      <c r="R809" s="47">
        <v>15</v>
      </c>
      <c r="S809" s="47" t="s">
        <v>1930</v>
      </c>
      <c r="T809" s="47"/>
      <c r="U809" s="47" t="s">
        <v>1933</v>
      </c>
      <c r="V809" s="47" t="s">
        <v>1380</v>
      </c>
      <c r="W809" s="47" t="s">
        <v>1716</v>
      </c>
      <c r="X809" s="47" t="s">
        <v>1380</v>
      </c>
      <c r="Y809" s="47" t="s">
        <v>1380</v>
      </c>
      <c r="Z809" s="33">
        <f t="shared" si="219"/>
        <v>1.4066666666666665</v>
      </c>
      <c r="AA809" s="327"/>
      <c r="AB809" s="327"/>
      <c r="AC809" s="33" t="s">
        <v>450</v>
      </c>
      <c r="AG809" s="33" t="s">
        <v>1335</v>
      </c>
      <c r="AH809" s="33" t="s">
        <v>243</v>
      </c>
      <c r="AI809" s="138" t="s">
        <v>577</v>
      </c>
      <c r="AJ809" s="33" t="s">
        <v>584</v>
      </c>
      <c r="AK809" s="141" t="s">
        <v>1646</v>
      </c>
      <c r="AO809" s="33" t="s">
        <v>586</v>
      </c>
      <c r="AP809" s="33" t="s">
        <v>586</v>
      </c>
      <c r="AQ809" s="33" t="s">
        <v>2125</v>
      </c>
      <c r="AR809" s="33" t="s">
        <v>2125</v>
      </c>
      <c r="AS809" s="33" t="s">
        <v>177</v>
      </c>
      <c r="AT809" s="33">
        <v>101</v>
      </c>
      <c r="AU809" s="33">
        <v>101</v>
      </c>
      <c r="AV809" s="33" t="s">
        <v>177</v>
      </c>
      <c r="AW809" s="33" t="s">
        <v>160</v>
      </c>
      <c r="AX809" s="33">
        <v>4</v>
      </c>
      <c r="AZ809" s="33" t="s">
        <v>335</v>
      </c>
      <c r="BD809" s="54"/>
      <c r="BE809" s="33" t="s">
        <v>583</v>
      </c>
      <c r="BP809" s="402"/>
      <c r="BQ809" s="402"/>
      <c r="BU809" s="402">
        <f t="shared" si="217"/>
        <v>1.1109004739336494</v>
      </c>
      <c r="BV809" s="402">
        <f t="shared" si="218"/>
        <v>1.0767772511848344</v>
      </c>
      <c r="BZ809" s="402">
        <v>11.72</v>
      </c>
      <c r="CA809" s="402">
        <v>11.36</v>
      </c>
      <c r="CD809" s="28" t="s">
        <v>4422</v>
      </c>
      <c r="CE809" s="555">
        <v>11.72</v>
      </c>
      <c r="CF809" s="555">
        <v>11.36</v>
      </c>
      <c r="CG809" s="555"/>
      <c r="CH809" s="555"/>
      <c r="CI809" s="28" t="s">
        <v>4547</v>
      </c>
      <c r="CJ809" s="33">
        <v>1.31</v>
      </c>
      <c r="CK809" s="33">
        <v>1.19</v>
      </c>
      <c r="CN809" s="33" t="s">
        <v>1678</v>
      </c>
      <c r="GZ809" s="33">
        <v>61.36</v>
      </c>
      <c r="HA809" s="33">
        <v>70.5</v>
      </c>
      <c r="HD809" s="33" t="s">
        <v>1701</v>
      </c>
      <c r="IX809" s="33">
        <v>99999</v>
      </c>
      <c r="IY809" s="33">
        <v>99999</v>
      </c>
      <c r="JB809" s="33" t="s">
        <v>610</v>
      </c>
      <c r="JC809" s="33" t="s">
        <v>904</v>
      </c>
    </row>
    <row r="810" spans="1:263" s="33" customFormat="1" x14ac:dyDescent="0.25">
      <c r="A810" s="184">
        <v>40</v>
      </c>
      <c r="B810" s="538" t="s">
        <v>3948</v>
      </c>
      <c r="C810" s="33" t="s">
        <v>581</v>
      </c>
      <c r="D810" s="33" t="s">
        <v>582</v>
      </c>
      <c r="E810" s="33">
        <v>2015</v>
      </c>
      <c r="F810" s="33">
        <v>1997</v>
      </c>
      <c r="G810" s="33" t="s">
        <v>127</v>
      </c>
      <c r="H810" s="33" t="s">
        <v>593</v>
      </c>
      <c r="I810" s="32" t="s">
        <v>2815</v>
      </c>
      <c r="J810" s="33">
        <v>35.619999999999997</v>
      </c>
      <c r="K810" s="33">
        <v>-88.85</v>
      </c>
      <c r="L810" s="33">
        <v>107.7</v>
      </c>
      <c r="P810" s="33">
        <v>1375</v>
      </c>
      <c r="R810" s="47">
        <v>15</v>
      </c>
      <c r="S810" s="47" t="s">
        <v>1930</v>
      </c>
      <c r="T810" s="47"/>
      <c r="U810" s="47" t="s">
        <v>1933</v>
      </c>
      <c r="V810" s="47" t="s">
        <v>1380</v>
      </c>
      <c r="W810" s="47" t="s">
        <v>1716</v>
      </c>
      <c r="X810" s="47" t="s">
        <v>1380</v>
      </c>
      <c r="Y810" s="47" t="s">
        <v>1380</v>
      </c>
      <c r="Z810" s="33">
        <f t="shared" si="219"/>
        <v>1.4066666666666665</v>
      </c>
      <c r="AA810" s="327"/>
      <c r="AB810" s="327"/>
      <c r="AC810" s="33" t="s">
        <v>450</v>
      </c>
      <c r="AG810" s="33" t="s">
        <v>1335</v>
      </c>
      <c r="AH810" s="33" t="s">
        <v>116</v>
      </c>
      <c r="AI810" s="138" t="s">
        <v>1581</v>
      </c>
      <c r="AJ810" s="33" t="s">
        <v>584</v>
      </c>
      <c r="AK810" s="141" t="s">
        <v>1646</v>
      </c>
      <c r="AO810" s="33" t="s">
        <v>586</v>
      </c>
      <c r="AP810" s="33" t="s">
        <v>586</v>
      </c>
      <c r="AQ810" s="33" t="s">
        <v>2125</v>
      </c>
      <c r="AR810" s="33" t="s">
        <v>2125</v>
      </c>
      <c r="AS810" s="33" t="s">
        <v>177</v>
      </c>
      <c r="AT810" s="33">
        <v>101</v>
      </c>
      <c r="AU810" s="33">
        <v>101</v>
      </c>
      <c r="AV810" s="33" t="s">
        <v>177</v>
      </c>
      <c r="AW810" s="33" t="s">
        <v>160</v>
      </c>
      <c r="AX810" s="33">
        <v>4</v>
      </c>
      <c r="AZ810" s="33" t="s">
        <v>335</v>
      </c>
      <c r="BD810" s="54"/>
      <c r="BE810" s="33" t="s">
        <v>583</v>
      </c>
      <c r="BP810" s="402"/>
      <c r="BQ810" s="402"/>
      <c r="BU810" s="402">
        <f t="shared" si="217"/>
        <v>1.1109004739336494</v>
      </c>
      <c r="BV810" s="402">
        <f t="shared" si="218"/>
        <v>1.1497630331753557</v>
      </c>
      <c r="BZ810" s="402">
        <v>11.72</v>
      </c>
      <c r="CA810" s="402">
        <v>12.13</v>
      </c>
      <c r="CD810" s="28" t="s">
        <v>4422</v>
      </c>
      <c r="CE810" s="555">
        <v>11.72</v>
      </c>
      <c r="CF810" s="555">
        <v>12.13</v>
      </c>
      <c r="CG810" s="555"/>
      <c r="CH810" s="555"/>
      <c r="CI810" s="28" t="s">
        <v>4547</v>
      </c>
      <c r="CJ810" s="33">
        <v>1.31</v>
      </c>
      <c r="CK810" s="33">
        <v>1.2</v>
      </c>
      <c r="CN810" s="33" t="s">
        <v>1678</v>
      </c>
      <c r="GZ810" s="33">
        <v>61.36</v>
      </c>
      <c r="HA810" s="33">
        <v>54.78</v>
      </c>
      <c r="HD810" s="33" t="s">
        <v>1701</v>
      </c>
      <c r="IX810" s="33">
        <v>99999</v>
      </c>
      <c r="IY810" s="33">
        <v>99999</v>
      </c>
      <c r="JB810" s="33" t="s">
        <v>610</v>
      </c>
      <c r="JC810" s="33" t="s">
        <v>904</v>
      </c>
    </row>
    <row r="811" spans="1:263" s="24" customFormat="1" x14ac:dyDescent="0.25">
      <c r="A811" s="24">
        <v>41</v>
      </c>
      <c r="B811" s="42" t="s">
        <v>3949</v>
      </c>
      <c r="C811" s="24" t="s">
        <v>591</v>
      </c>
      <c r="D811" s="24" t="s">
        <v>592</v>
      </c>
      <c r="E811" s="24">
        <v>1994</v>
      </c>
      <c r="F811" s="24">
        <v>1986</v>
      </c>
      <c r="G811" s="24" t="s">
        <v>418</v>
      </c>
      <c r="H811" s="24" t="s">
        <v>594</v>
      </c>
      <c r="I811" s="32" t="s">
        <v>2815</v>
      </c>
      <c r="J811" s="24">
        <v>38.03</v>
      </c>
      <c r="K811" s="24">
        <v>-84.51</v>
      </c>
      <c r="L811" s="24">
        <v>299.60000000000002</v>
      </c>
      <c r="R811" s="42">
        <v>2</v>
      </c>
      <c r="S811" s="42" t="s">
        <v>1722</v>
      </c>
      <c r="T811" s="42"/>
      <c r="U811" s="42" t="s">
        <v>1934</v>
      </c>
      <c r="V811" s="42" t="s">
        <v>1379</v>
      </c>
      <c r="W811" s="42" t="s">
        <v>1715</v>
      </c>
      <c r="X811" s="42" t="s">
        <v>1379</v>
      </c>
      <c r="Y811" s="42" t="s">
        <v>1379</v>
      </c>
      <c r="Z811" s="24">
        <v>1.05</v>
      </c>
      <c r="AA811" s="321">
        <v>7.3</v>
      </c>
      <c r="AB811" s="321">
        <v>70.2</v>
      </c>
      <c r="AC811" s="24" t="s">
        <v>450</v>
      </c>
      <c r="AD811" s="24">
        <v>5.48</v>
      </c>
      <c r="AE811" s="24">
        <v>1.1599999999999999</v>
      </c>
      <c r="AG811" s="24" t="s">
        <v>1336</v>
      </c>
      <c r="AH811" s="24" t="s">
        <v>131</v>
      </c>
      <c r="AI811" s="138" t="s">
        <v>131</v>
      </c>
      <c r="AJ811" s="24" t="s">
        <v>132</v>
      </c>
      <c r="AK811" s="140" t="s">
        <v>132</v>
      </c>
      <c r="AW811" s="24" t="s">
        <v>119</v>
      </c>
      <c r="AX811" s="24">
        <v>2</v>
      </c>
      <c r="AZ811" s="24" t="s">
        <v>141</v>
      </c>
      <c r="BD811" s="53"/>
      <c r="BP811" s="395"/>
      <c r="BQ811" s="395"/>
      <c r="BU811" s="395"/>
      <c r="BV811" s="395"/>
      <c r="BZ811" s="395"/>
      <c r="CA811" s="395"/>
      <c r="CE811" s="548"/>
      <c r="CF811" s="548"/>
      <c r="CG811" s="548"/>
      <c r="CH811" s="548"/>
      <c r="FB811" s="24">
        <v>46.84</v>
      </c>
      <c r="FC811" s="24">
        <v>51.58</v>
      </c>
      <c r="FF811" s="24" t="s">
        <v>595</v>
      </c>
      <c r="JB811" s="24" t="s">
        <v>727</v>
      </c>
    </row>
    <row r="812" spans="1:263" s="24" customFormat="1" x14ac:dyDescent="0.25">
      <c r="A812" s="24">
        <v>41</v>
      </c>
      <c r="B812" s="42" t="s">
        <v>3949</v>
      </c>
      <c r="C812" s="24" t="s">
        <v>591</v>
      </c>
      <c r="D812" s="24" t="s">
        <v>592</v>
      </c>
      <c r="E812" s="24">
        <v>1994</v>
      </c>
      <c r="F812" s="24">
        <v>1986</v>
      </c>
      <c r="G812" s="24" t="s">
        <v>418</v>
      </c>
      <c r="H812" s="24" t="s">
        <v>594</v>
      </c>
      <c r="I812" s="32" t="s">
        <v>2815</v>
      </c>
      <c r="J812" s="24">
        <v>38.03</v>
      </c>
      <c r="K812" s="24">
        <v>-84.51</v>
      </c>
      <c r="L812" s="24">
        <v>299.60000000000002</v>
      </c>
      <c r="R812" s="42">
        <v>2</v>
      </c>
      <c r="S812" s="42" t="s">
        <v>1722</v>
      </c>
      <c r="T812" s="42"/>
      <c r="U812" s="42" t="s">
        <v>1935</v>
      </c>
      <c r="V812" s="42" t="s">
        <v>1379</v>
      </c>
      <c r="W812" s="42" t="s">
        <v>1715</v>
      </c>
      <c r="X812" s="42" t="s">
        <v>1379</v>
      </c>
      <c r="Y812" s="42" t="s">
        <v>1379</v>
      </c>
      <c r="Z812" s="24">
        <v>1.05</v>
      </c>
      <c r="AA812" s="321">
        <v>7.3</v>
      </c>
      <c r="AB812" s="321">
        <v>70.2</v>
      </c>
      <c r="AC812" s="24" t="s">
        <v>450</v>
      </c>
      <c r="AD812" s="24">
        <v>5.48</v>
      </c>
      <c r="AE812" s="24">
        <v>1.1599999999999999</v>
      </c>
      <c r="AG812" s="24" t="s">
        <v>1336</v>
      </c>
      <c r="AH812" s="24" t="s">
        <v>131</v>
      </c>
      <c r="AI812" s="138" t="s">
        <v>131</v>
      </c>
      <c r="AJ812" s="24" t="s">
        <v>132</v>
      </c>
      <c r="AK812" s="140" t="s">
        <v>132</v>
      </c>
      <c r="AW812" s="24" t="s">
        <v>119</v>
      </c>
      <c r="AX812" s="24">
        <v>2</v>
      </c>
      <c r="AZ812" s="24" t="s">
        <v>141</v>
      </c>
      <c r="BD812" s="53"/>
      <c r="BP812" s="395"/>
      <c r="BQ812" s="395"/>
      <c r="BU812" s="395"/>
      <c r="BV812" s="395"/>
      <c r="BZ812" s="395"/>
      <c r="CA812" s="395"/>
      <c r="CE812" s="548"/>
      <c r="CF812" s="548"/>
      <c r="CG812" s="548"/>
      <c r="CH812" s="548"/>
      <c r="FB812" s="24">
        <v>0.25</v>
      </c>
      <c r="FC812" s="24">
        <v>0.25</v>
      </c>
      <c r="FF812" s="24" t="s">
        <v>595</v>
      </c>
      <c r="JB812" s="24" t="s">
        <v>727</v>
      </c>
    </row>
    <row r="813" spans="1:263" s="24" customFormat="1" x14ac:dyDescent="0.25">
      <c r="A813" s="24">
        <v>41</v>
      </c>
      <c r="B813" s="42" t="s">
        <v>3949</v>
      </c>
      <c r="C813" s="24" t="s">
        <v>591</v>
      </c>
      <c r="D813" s="24" t="s">
        <v>592</v>
      </c>
      <c r="E813" s="24">
        <v>1994</v>
      </c>
      <c r="F813" s="24">
        <v>1986</v>
      </c>
      <c r="G813" s="24" t="s">
        <v>418</v>
      </c>
      <c r="H813" s="24" t="s">
        <v>594</v>
      </c>
      <c r="I813" s="32" t="s">
        <v>2815</v>
      </c>
      <c r="J813" s="24">
        <v>38.03</v>
      </c>
      <c r="K813" s="24">
        <v>-84.51</v>
      </c>
      <c r="L813" s="24">
        <v>299.60000000000002</v>
      </c>
      <c r="R813" s="42">
        <v>2</v>
      </c>
      <c r="S813" s="42" t="s">
        <v>1722</v>
      </c>
      <c r="T813" s="42"/>
      <c r="U813" s="42" t="s">
        <v>1936</v>
      </c>
      <c r="V813" s="42" t="s">
        <v>1379</v>
      </c>
      <c r="W813" s="42" t="s">
        <v>1715</v>
      </c>
      <c r="X813" s="42" t="s">
        <v>1379</v>
      </c>
      <c r="Y813" s="42" t="s">
        <v>1379</v>
      </c>
      <c r="Z813" s="24">
        <v>1.05</v>
      </c>
      <c r="AA813" s="321">
        <v>7.3</v>
      </c>
      <c r="AB813" s="321">
        <v>70.2</v>
      </c>
      <c r="AC813" s="24" t="s">
        <v>450</v>
      </c>
      <c r="AD813" s="24">
        <v>5.48</v>
      </c>
      <c r="AE813" s="24">
        <v>1.1599999999999999</v>
      </c>
      <c r="AG813" s="24" t="s">
        <v>1336</v>
      </c>
      <c r="AH813" s="24" t="s">
        <v>131</v>
      </c>
      <c r="AI813" s="138" t="s">
        <v>131</v>
      </c>
      <c r="AJ813" s="24" t="s">
        <v>132</v>
      </c>
      <c r="AK813" s="140" t="s">
        <v>132</v>
      </c>
      <c r="AW813" s="24" t="s">
        <v>119</v>
      </c>
      <c r="AX813" s="24">
        <v>2</v>
      </c>
      <c r="AZ813" s="24" t="s">
        <v>141</v>
      </c>
      <c r="BD813" s="53"/>
      <c r="BP813" s="395"/>
      <c r="BQ813" s="395"/>
      <c r="BU813" s="395"/>
      <c r="BV813" s="395"/>
      <c r="BZ813" s="395"/>
      <c r="CA813" s="395"/>
      <c r="CE813" s="548"/>
      <c r="CF813" s="548"/>
      <c r="CG813" s="548"/>
      <c r="CH813" s="548"/>
      <c r="FB813" s="24">
        <v>0.05</v>
      </c>
      <c r="FC813" s="24">
        <v>0.05</v>
      </c>
      <c r="FF813" s="24" t="s">
        <v>595</v>
      </c>
      <c r="JB813" s="24" t="s">
        <v>727</v>
      </c>
    </row>
    <row r="814" spans="1:263" s="24" customFormat="1" x14ac:dyDescent="0.25">
      <c r="A814" s="24">
        <v>41</v>
      </c>
      <c r="B814" s="42" t="s">
        <v>3949</v>
      </c>
      <c r="C814" s="24" t="s">
        <v>591</v>
      </c>
      <c r="D814" s="24" t="s">
        <v>592</v>
      </c>
      <c r="E814" s="24">
        <v>1994</v>
      </c>
      <c r="F814" s="24">
        <v>1986</v>
      </c>
      <c r="G814" s="24" t="s">
        <v>418</v>
      </c>
      <c r="H814" s="24" t="s">
        <v>594</v>
      </c>
      <c r="I814" s="32" t="s">
        <v>2815</v>
      </c>
      <c r="J814" s="24">
        <v>38.03</v>
      </c>
      <c r="K814" s="24">
        <v>-84.51</v>
      </c>
      <c r="L814" s="24">
        <v>299.60000000000002</v>
      </c>
      <c r="R814" s="42">
        <v>2</v>
      </c>
      <c r="S814" s="42" t="s">
        <v>1722</v>
      </c>
      <c r="T814" s="42"/>
      <c r="U814" s="42" t="s">
        <v>1937</v>
      </c>
      <c r="V814" s="42" t="s">
        <v>1379</v>
      </c>
      <c r="W814" s="42" t="s">
        <v>1715</v>
      </c>
      <c r="X814" s="42" t="s">
        <v>1379</v>
      </c>
      <c r="Y814" s="42" t="s">
        <v>1379</v>
      </c>
      <c r="Z814" s="24">
        <v>1.05</v>
      </c>
      <c r="AA814" s="321">
        <v>7.3</v>
      </c>
      <c r="AB814" s="321">
        <v>70.2</v>
      </c>
      <c r="AC814" s="24" t="s">
        <v>450</v>
      </c>
      <c r="AD814" s="24">
        <v>5.48</v>
      </c>
      <c r="AE814" s="24">
        <v>1.1599999999999999</v>
      </c>
      <c r="AG814" s="24" t="s">
        <v>1336</v>
      </c>
      <c r="AH814" s="24" t="s">
        <v>131</v>
      </c>
      <c r="AI814" s="138" t="s">
        <v>131</v>
      </c>
      <c r="AJ814" s="24" t="s">
        <v>132</v>
      </c>
      <c r="AK814" s="140" t="s">
        <v>132</v>
      </c>
      <c r="AW814" s="24" t="s">
        <v>119</v>
      </c>
      <c r="AX814" s="24">
        <v>2</v>
      </c>
      <c r="AZ814" s="24" t="s">
        <v>141</v>
      </c>
      <c r="BD814" s="53"/>
      <c r="BP814" s="395"/>
      <c r="BQ814" s="395"/>
      <c r="BU814" s="395"/>
      <c r="BV814" s="395"/>
      <c r="BZ814" s="395"/>
      <c r="CA814" s="395"/>
      <c r="CE814" s="548"/>
      <c r="CF814" s="548"/>
      <c r="CG814" s="548"/>
      <c r="CH814" s="548"/>
      <c r="FB814" s="24">
        <v>0.3</v>
      </c>
      <c r="FC814" s="24">
        <v>0.3</v>
      </c>
      <c r="FF814" s="24" t="s">
        <v>595</v>
      </c>
      <c r="JB814" s="24" t="s">
        <v>727</v>
      </c>
    </row>
    <row r="815" spans="1:263" s="24" customFormat="1" x14ac:dyDescent="0.25">
      <c r="A815" s="24">
        <v>41</v>
      </c>
      <c r="B815" s="42" t="s">
        <v>3949</v>
      </c>
      <c r="C815" s="24" t="s">
        <v>591</v>
      </c>
      <c r="D815" s="24" t="s">
        <v>592</v>
      </c>
      <c r="E815" s="24">
        <v>1994</v>
      </c>
      <c r="F815" s="24">
        <v>1986</v>
      </c>
      <c r="G815" s="24" t="s">
        <v>418</v>
      </c>
      <c r="H815" s="24" t="s">
        <v>594</v>
      </c>
      <c r="I815" s="32" t="s">
        <v>2815</v>
      </c>
      <c r="J815" s="24">
        <v>38.03</v>
      </c>
      <c r="K815" s="24">
        <v>-84.51</v>
      </c>
      <c r="L815" s="24">
        <v>299.60000000000002</v>
      </c>
      <c r="R815" s="42">
        <v>2</v>
      </c>
      <c r="S815" s="42" t="s">
        <v>1722</v>
      </c>
      <c r="T815" s="42"/>
      <c r="U815" s="42" t="s">
        <v>1938</v>
      </c>
      <c r="V815" s="42" t="s">
        <v>1379</v>
      </c>
      <c r="W815" s="42" t="s">
        <v>1715</v>
      </c>
      <c r="X815" s="42" t="s">
        <v>1379</v>
      </c>
      <c r="Y815" s="42" t="s">
        <v>1379</v>
      </c>
      <c r="Z815" s="24">
        <v>1.05</v>
      </c>
      <c r="AA815" s="321">
        <v>7.3</v>
      </c>
      <c r="AB815" s="321">
        <v>70.2</v>
      </c>
      <c r="AC815" s="24" t="s">
        <v>450</v>
      </c>
      <c r="AD815" s="24">
        <v>5.48</v>
      </c>
      <c r="AE815" s="24">
        <v>1.1599999999999999</v>
      </c>
      <c r="AG815" s="24" t="s">
        <v>1336</v>
      </c>
      <c r="AH815" s="24" t="s">
        <v>131</v>
      </c>
      <c r="AI815" s="138" t="s">
        <v>131</v>
      </c>
      <c r="AJ815" s="24" t="s">
        <v>132</v>
      </c>
      <c r="AK815" s="140" t="s">
        <v>132</v>
      </c>
      <c r="AW815" s="24" t="s">
        <v>119</v>
      </c>
      <c r="AX815" s="24">
        <v>2</v>
      </c>
      <c r="AZ815" s="24" t="s">
        <v>141</v>
      </c>
      <c r="BD815" s="53"/>
      <c r="BP815" s="395"/>
      <c r="BQ815" s="395"/>
      <c r="BU815" s="395"/>
      <c r="BV815" s="395"/>
      <c r="BZ815" s="395"/>
      <c r="CA815" s="395"/>
      <c r="CE815" s="548"/>
      <c r="CF815" s="548"/>
      <c r="CG815" s="548"/>
      <c r="CH815" s="548"/>
      <c r="FB815" s="24">
        <v>0.03</v>
      </c>
      <c r="FC815" s="24">
        <v>0.03</v>
      </c>
      <c r="FF815" s="24" t="s">
        <v>595</v>
      </c>
      <c r="JB815" s="24" t="s">
        <v>727</v>
      </c>
    </row>
    <row r="816" spans="1:263" s="24" customFormat="1" x14ac:dyDescent="0.25">
      <c r="A816" s="24">
        <v>41</v>
      </c>
      <c r="B816" s="42" t="s">
        <v>3949</v>
      </c>
      <c r="C816" s="24" t="s">
        <v>591</v>
      </c>
      <c r="D816" s="24" t="s">
        <v>592</v>
      </c>
      <c r="E816" s="24">
        <v>1994</v>
      </c>
      <c r="F816" s="24">
        <v>1986</v>
      </c>
      <c r="G816" s="24" t="s">
        <v>418</v>
      </c>
      <c r="H816" s="24" t="s">
        <v>594</v>
      </c>
      <c r="I816" s="32" t="s">
        <v>2815</v>
      </c>
      <c r="J816" s="24">
        <v>38.03</v>
      </c>
      <c r="K816" s="24">
        <v>-84.51</v>
      </c>
      <c r="L816" s="24">
        <v>299.60000000000002</v>
      </c>
      <c r="R816" s="42">
        <v>2</v>
      </c>
      <c r="S816" s="42" t="s">
        <v>1722</v>
      </c>
      <c r="T816" s="42"/>
      <c r="U816" s="42" t="s">
        <v>1939</v>
      </c>
      <c r="V816" s="42" t="s">
        <v>1379</v>
      </c>
      <c r="W816" s="42" t="s">
        <v>1715</v>
      </c>
      <c r="X816" s="42" t="s">
        <v>1379</v>
      </c>
      <c r="Y816" s="42" t="s">
        <v>1379</v>
      </c>
      <c r="Z816" s="24">
        <v>1.05</v>
      </c>
      <c r="AA816" s="321">
        <v>7.3</v>
      </c>
      <c r="AB816" s="321">
        <v>70.2</v>
      </c>
      <c r="AC816" s="24" t="s">
        <v>450</v>
      </c>
      <c r="AD816" s="24">
        <v>5.48</v>
      </c>
      <c r="AE816" s="24">
        <v>1.1599999999999999</v>
      </c>
      <c r="AG816" s="24" t="s">
        <v>1336</v>
      </c>
      <c r="AH816" s="24" t="s">
        <v>131</v>
      </c>
      <c r="AI816" s="138" t="s">
        <v>131</v>
      </c>
      <c r="AJ816" s="24" t="s">
        <v>132</v>
      </c>
      <c r="AK816" s="140" t="s">
        <v>132</v>
      </c>
      <c r="AW816" s="24" t="s">
        <v>119</v>
      </c>
      <c r="AX816" s="24">
        <v>2</v>
      </c>
      <c r="AZ816" s="24" t="s">
        <v>141</v>
      </c>
      <c r="BD816" s="53"/>
      <c r="BP816" s="395"/>
      <c r="BQ816" s="395"/>
      <c r="BU816" s="395"/>
      <c r="BV816" s="395"/>
      <c r="BZ816" s="395"/>
      <c r="CA816" s="395"/>
      <c r="CE816" s="548"/>
      <c r="CF816" s="548"/>
      <c r="CG816" s="548"/>
      <c r="CH816" s="548"/>
      <c r="FB816" s="24">
        <v>34.22</v>
      </c>
      <c r="FC816" s="24">
        <v>26.66</v>
      </c>
      <c r="FF816" s="24" t="s">
        <v>595</v>
      </c>
      <c r="JB816" s="24" t="s">
        <v>727</v>
      </c>
    </row>
    <row r="817" spans="1:262" s="32" customFormat="1" x14ac:dyDescent="0.25">
      <c r="A817" s="32">
        <v>41</v>
      </c>
      <c r="B817" s="44" t="s">
        <v>3949</v>
      </c>
      <c r="C817" s="32" t="s">
        <v>591</v>
      </c>
      <c r="D817" s="32" t="s">
        <v>592</v>
      </c>
      <c r="E817" s="32">
        <v>1994</v>
      </c>
      <c r="F817" s="32">
        <v>1987</v>
      </c>
      <c r="G817" s="32" t="s">
        <v>418</v>
      </c>
      <c r="H817" s="32" t="s">
        <v>594</v>
      </c>
      <c r="I817" s="32" t="s">
        <v>2815</v>
      </c>
      <c r="J817" s="32">
        <v>38.03</v>
      </c>
      <c r="K817" s="32">
        <v>-84.51</v>
      </c>
      <c r="L817" s="32">
        <v>299.60000000000002</v>
      </c>
      <c r="R817" s="44">
        <v>3</v>
      </c>
      <c r="S817" s="44" t="s">
        <v>1722</v>
      </c>
      <c r="T817" s="44"/>
      <c r="U817" s="44" t="s">
        <v>1940</v>
      </c>
      <c r="V817" s="44" t="s">
        <v>1379</v>
      </c>
      <c r="W817" s="44" t="s">
        <v>1715</v>
      </c>
      <c r="X817" s="44" t="s">
        <v>1379</v>
      </c>
      <c r="Y817" s="44" t="s">
        <v>1379</v>
      </c>
      <c r="Z817" s="32">
        <v>1.05</v>
      </c>
      <c r="AA817" s="323">
        <v>7.3</v>
      </c>
      <c r="AB817" s="323">
        <v>70.2</v>
      </c>
      <c r="AC817" s="32" t="s">
        <v>450</v>
      </c>
      <c r="AD817" s="32">
        <v>5.48</v>
      </c>
      <c r="AE817" s="32">
        <v>1.1599999999999999</v>
      </c>
      <c r="AG817" s="32" t="s">
        <v>1336</v>
      </c>
      <c r="AH817" s="32" t="s">
        <v>131</v>
      </c>
      <c r="AI817" s="138" t="s">
        <v>131</v>
      </c>
      <c r="AJ817" s="32" t="s">
        <v>132</v>
      </c>
      <c r="AK817" s="140" t="s">
        <v>132</v>
      </c>
      <c r="AW817" s="32" t="s">
        <v>119</v>
      </c>
      <c r="AX817" s="32">
        <v>2</v>
      </c>
      <c r="AZ817" s="32" t="s">
        <v>141</v>
      </c>
      <c r="BD817" s="53"/>
      <c r="BP817" s="397"/>
      <c r="BQ817" s="397"/>
      <c r="BU817" s="397"/>
      <c r="BV817" s="397"/>
      <c r="BZ817" s="397"/>
      <c r="CA817" s="397"/>
      <c r="CE817" s="550"/>
      <c r="CF817" s="550"/>
      <c r="CG817" s="550"/>
      <c r="CH817" s="550"/>
      <c r="FB817" s="32">
        <v>84.75</v>
      </c>
      <c r="FC817" s="32">
        <v>81.73</v>
      </c>
      <c r="FF817" s="32" t="s">
        <v>595</v>
      </c>
      <c r="JB817" s="32" t="s">
        <v>727</v>
      </c>
    </row>
    <row r="818" spans="1:262" s="32" customFormat="1" x14ac:dyDescent="0.25">
      <c r="A818" s="32">
        <v>41</v>
      </c>
      <c r="B818" s="44" t="s">
        <v>3949</v>
      </c>
      <c r="C818" s="32" t="s">
        <v>591</v>
      </c>
      <c r="D818" s="32" t="s">
        <v>592</v>
      </c>
      <c r="E818" s="32">
        <v>1994</v>
      </c>
      <c r="F818" s="32">
        <v>1987</v>
      </c>
      <c r="G818" s="32" t="s">
        <v>418</v>
      </c>
      <c r="H818" s="32" t="s">
        <v>594</v>
      </c>
      <c r="I818" s="32" t="s">
        <v>2815</v>
      </c>
      <c r="J818" s="32">
        <v>38.03</v>
      </c>
      <c r="K818" s="32">
        <v>-84.51</v>
      </c>
      <c r="L818" s="32">
        <v>299.60000000000002</v>
      </c>
      <c r="R818" s="44">
        <v>3</v>
      </c>
      <c r="S818" s="44" t="s">
        <v>1722</v>
      </c>
      <c r="T818" s="44"/>
      <c r="U818" s="44" t="s">
        <v>1941</v>
      </c>
      <c r="V818" s="44" t="s">
        <v>1379</v>
      </c>
      <c r="W818" s="44" t="s">
        <v>1715</v>
      </c>
      <c r="X818" s="44" t="s">
        <v>1379</v>
      </c>
      <c r="Y818" s="44" t="s">
        <v>1379</v>
      </c>
      <c r="Z818" s="32">
        <v>1.05</v>
      </c>
      <c r="AA818" s="323">
        <v>7.3</v>
      </c>
      <c r="AB818" s="323">
        <v>70.2</v>
      </c>
      <c r="AC818" s="32" t="s">
        <v>450</v>
      </c>
      <c r="AD818" s="32">
        <v>5.48</v>
      </c>
      <c r="AE818" s="32">
        <v>1.1599999999999999</v>
      </c>
      <c r="AG818" s="32" t="s">
        <v>1336</v>
      </c>
      <c r="AH818" s="32" t="s">
        <v>131</v>
      </c>
      <c r="AI818" s="138" t="s">
        <v>131</v>
      </c>
      <c r="AJ818" s="32" t="s">
        <v>132</v>
      </c>
      <c r="AK818" s="140" t="s">
        <v>132</v>
      </c>
      <c r="AW818" s="32" t="s">
        <v>119</v>
      </c>
      <c r="AX818" s="32">
        <v>2</v>
      </c>
      <c r="AZ818" s="32" t="s">
        <v>141</v>
      </c>
      <c r="BD818" s="53"/>
      <c r="BP818" s="397"/>
      <c r="BQ818" s="397"/>
      <c r="BU818" s="397"/>
      <c r="BV818" s="397"/>
      <c r="BZ818" s="397"/>
      <c r="CA818" s="397"/>
      <c r="CE818" s="550"/>
      <c r="CF818" s="550"/>
      <c r="CG818" s="550"/>
      <c r="CH818" s="550"/>
      <c r="FB818" s="32">
        <v>87.58</v>
      </c>
      <c r="FC818" s="32">
        <v>85.64</v>
      </c>
      <c r="FF818" s="32" t="s">
        <v>595</v>
      </c>
      <c r="JB818" s="32" t="s">
        <v>727</v>
      </c>
    </row>
    <row r="819" spans="1:262" s="32" customFormat="1" x14ac:dyDescent="0.25">
      <c r="A819" s="32">
        <v>41</v>
      </c>
      <c r="B819" s="44" t="s">
        <v>3949</v>
      </c>
      <c r="C819" s="32" t="s">
        <v>591</v>
      </c>
      <c r="D819" s="32" t="s">
        <v>592</v>
      </c>
      <c r="E819" s="32">
        <v>1994</v>
      </c>
      <c r="F819" s="32">
        <v>1987</v>
      </c>
      <c r="G819" s="32" t="s">
        <v>418</v>
      </c>
      <c r="H819" s="32" t="s">
        <v>594</v>
      </c>
      <c r="I819" s="32" t="s">
        <v>2815</v>
      </c>
      <c r="J819" s="32">
        <v>38.03</v>
      </c>
      <c r="K819" s="32">
        <v>-84.51</v>
      </c>
      <c r="L819" s="32">
        <v>299.60000000000002</v>
      </c>
      <c r="R819" s="44">
        <v>3</v>
      </c>
      <c r="S819" s="44" t="s">
        <v>1722</v>
      </c>
      <c r="T819" s="44"/>
      <c r="U819" s="44" t="s">
        <v>1942</v>
      </c>
      <c r="V819" s="44" t="s">
        <v>1379</v>
      </c>
      <c r="W819" s="44" t="s">
        <v>1715</v>
      </c>
      <c r="X819" s="44" t="s">
        <v>1379</v>
      </c>
      <c r="Y819" s="44" t="s">
        <v>1379</v>
      </c>
      <c r="Z819" s="32">
        <v>1.05</v>
      </c>
      <c r="AA819" s="323">
        <v>7.3</v>
      </c>
      <c r="AB819" s="323">
        <v>70.2</v>
      </c>
      <c r="AC819" s="32" t="s">
        <v>450</v>
      </c>
      <c r="AD819" s="32">
        <v>5.48</v>
      </c>
      <c r="AE819" s="32">
        <v>1.1599999999999999</v>
      </c>
      <c r="AG819" s="32" t="s">
        <v>1336</v>
      </c>
      <c r="AH819" s="32" t="s">
        <v>131</v>
      </c>
      <c r="AI819" s="138" t="s">
        <v>131</v>
      </c>
      <c r="AJ819" s="32" t="s">
        <v>132</v>
      </c>
      <c r="AK819" s="140" t="s">
        <v>132</v>
      </c>
      <c r="AW819" s="32" t="s">
        <v>119</v>
      </c>
      <c r="AX819" s="32">
        <v>2</v>
      </c>
      <c r="AZ819" s="32" t="s">
        <v>141</v>
      </c>
      <c r="BD819" s="53"/>
      <c r="BP819" s="397"/>
      <c r="BQ819" s="397"/>
      <c r="BU819" s="397"/>
      <c r="BV819" s="397"/>
      <c r="BZ819" s="397"/>
      <c r="CA819" s="397"/>
      <c r="CE819" s="550"/>
      <c r="CF819" s="550"/>
      <c r="CG819" s="550"/>
      <c r="CH819" s="550"/>
      <c r="FB819" s="32">
        <v>95.59</v>
      </c>
      <c r="FC819" s="32">
        <v>74.66</v>
      </c>
      <c r="FF819" s="32" t="s">
        <v>595</v>
      </c>
      <c r="JB819" s="32" t="s">
        <v>727</v>
      </c>
    </row>
    <row r="820" spans="1:262" s="32" customFormat="1" x14ac:dyDescent="0.25">
      <c r="A820" s="32">
        <v>41</v>
      </c>
      <c r="B820" s="44" t="s">
        <v>3949</v>
      </c>
      <c r="C820" s="32" t="s">
        <v>591</v>
      </c>
      <c r="D820" s="32" t="s">
        <v>592</v>
      </c>
      <c r="E820" s="32">
        <v>1994</v>
      </c>
      <c r="F820" s="32">
        <v>1987</v>
      </c>
      <c r="G820" s="32" t="s">
        <v>418</v>
      </c>
      <c r="H820" s="32" t="s">
        <v>594</v>
      </c>
      <c r="I820" s="32" t="s">
        <v>2815</v>
      </c>
      <c r="J820" s="32">
        <v>38.03</v>
      </c>
      <c r="K820" s="32">
        <v>-84.51</v>
      </c>
      <c r="L820" s="32">
        <v>299.60000000000002</v>
      </c>
      <c r="R820" s="44">
        <v>3</v>
      </c>
      <c r="S820" s="44" t="s">
        <v>1722</v>
      </c>
      <c r="T820" s="44"/>
      <c r="U820" s="44" t="s">
        <v>1943</v>
      </c>
      <c r="V820" s="44" t="s">
        <v>1379</v>
      </c>
      <c r="W820" s="44" t="s">
        <v>1715</v>
      </c>
      <c r="X820" s="44" t="s">
        <v>1379</v>
      </c>
      <c r="Y820" s="44" t="s">
        <v>1379</v>
      </c>
      <c r="Z820" s="32">
        <v>1.05</v>
      </c>
      <c r="AA820" s="323">
        <v>7.3</v>
      </c>
      <c r="AB820" s="323">
        <v>70.2</v>
      </c>
      <c r="AC820" s="32" t="s">
        <v>450</v>
      </c>
      <c r="AD820" s="32">
        <v>5.48</v>
      </c>
      <c r="AE820" s="32">
        <v>1.1599999999999999</v>
      </c>
      <c r="AG820" s="32" t="s">
        <v>1336</v>
      </c>
      <c r="AH820" s="32" t="s">
        <v>131</v>
      </c>
      <c r="AI820" s="138" t="s">
        <v>131</v>
      </c>
      <c r="AJ820" s="32" t="s">
        <v>132</v>
      </c>
      <c r="AK820" s="140" t="s">
        <v>132</v>
      </c>
      <c r="AW820" s="32" t="s">
        <v>119</v>
      </c>
      <c r="AX820" s="32">
        <v>2</v>
      </c>
      <c r="AZ820" s="32" t="s">
        <v>141</v>
      </c>
      <c r="BD820" s="53"/>
      <c r="BP820" s="397"/>
      <c r="BQ820" s="397"/>
      <c r="BU820" s="397"/>
      <c r="BV820" s="397"/>
      <c r="BZ820" s="397"/>
      <c r="CA820" s="397"/>
      <c r="CE820" s="550"/>
      <c r="CF820" s="550"/>
      <c r="CG820" s="550"/>
      <c r="CH820" s="550"/>
      <c r="FB820" s="32">
        <v>79.63</v>
      </c>
      <c r="FC820" s="32">
        <v>51.37</v>
      </c>
      <c r="FF820" s="32" t="s">
        <v>595</v>
      </c>
      <c r="JB820" s="32" t="s">
        <v>727</v>
      </c>
    </row>
    <row r="821" spans="1:262" s="32" customFormat="1" x14ac:dyDescent="0.25">
      <c r="A821" s="32">
        <v>41</v>
      </c>
      <c r="B821" s="44" t="s">
        <v>3949</v>
      </c>
      <c r="C821" s="32" t="s">
        <v>591</v>
      </c>
      <c r="D821" s="32" t="s">
        <v>592</v>
      </c>
      <c r="E821" s="32">
        <v>1994</v>
      </c>
      <c r="F821" s="32">
        <v>1987</v>
      </c>
      <c r="G821" s="32" t="s">
        <v>418</v>
      </c>
      <c r="H821" s="32" t="s">
        <v>594</v>
      </c>
      <c r="I821" s="32" t="s">
        <v>2815</v>
      </c>
      <c r="J821" s="32">
        <v>38.03</v>
      </c>
      <c r="K821" s="32">
        <v>-84.51</v>
      </c>
      <c r="L821" s="32">
        <v>299.60000000000002</v>
      </c>
      <c r="R821" s="44">
        <v>3</v>
      </c>
      <c r="S821" s="44" t="s">
        <v>1722</v>
      </c>
      <c r="T821" s="44"/>
      <c r="U821" s="44" t="s">
        <v>1934</v>
      </c>
      <c r="V821" s="44" t="s">
        <v>1379</v>
      </c>
      <c r="W821" s="44" t="s">
        <v>1715</v>
      </c>
      <c r="X821" s="44" t="s">
        <v>1379</v>
      </c>
      <c r="Y821" s="44" t="s">
        <v>1379</v>
      </c>
      <c r="Z821" s="32">
        <v>1.05</v>
      </c>
      <c r="AA821" s="323">
        <v>7.3</v>
      </c>
      <c r="AB821" s="323">
        <v>70.2</v>
      </c>
      <c r="AC821" s="32" t="s">
        <v>450</v>
      </c>
      <c r="AD821" s="32">
        <v>5.48</v>
      </c>
      <c r="AE821" s="32">
        <v>1.1599999999999999</v>
      </c>
      <c r="AG821" s="32" t="s">
        <v>1336</v>
      </c>
      <c r="AH821" s="32" t="s">
        <v>131</v>
      </c>
      <c r="AI821" s="138" t="s">
        <v>131</v>
      </c>
      <c r="AJ821" s="32" t="s">
        <v>132</v>
      </c>
      <c r="AK821" s="140" t="s">
        <v>132</v>
      </c>
      <c r="AW821" s="32" t="s">
        <v>119</v>
      </c>
      <c r="AX821" s="32">
        <v>2</v>
      </c>
      <c r="AZ821" s="32" t="s">
        <v>141</v>
      </c>
      <c r="BD821" s="53"/>
      <c r="BP821" s="397"/>
      <c r="BQ821" s="397"/>
      <c r="BU821" s="397"/>
      <c r="BV821" s="397"/>
      <c r="BZ821" s="397"/>
      <c r="CA821" s="397"/>
      <c r="CE821" s="550"/>
      <c r="CF821" s="550"/>
      <c r="CG821" s="550"/>
      <c r="CH821" s="550"/>
      <c r="FB821" s="32">
        <v>17.940000000000001</v>
      </c>
      <c r="FC821" s="32">
        <v>0.24</v>
      </c>
      <c r="FF821" s="32" t="s">
        <v>595</v>
      </c>
      <c r="JB821" s="32" t="s">
        <v>727</v>
      </c>
    </row>
    <row r="822" spans="1:262" s="32" customFormat="1" x14ac:dyDescent="0.25">
      <c r="A822" s="32">
        <v>41</v>
      </c>
      <c r="B822" s="44" t="s">
        <v>3949</v>
      </c>
      <c r="C822" s="32" t="s">
        <v>591</v>
      </c>
      <c r="D822" s="32" t="s">
        <v>592</v>
      </c>
      <c r="E822" s="32">
        <v>1994</v>
      </c>
      <c r="F822" s="32">
        <v>1987</v>
      </c>
      <c r="G822" s="32" t="s">
        <v>418</v>
      </c>
      <c r="H822" s="32" t="s">
        <v>594</v>
      </c>
      <c r="I822" s="32" t="s">
        <v>2815</v>
      </c>
      <c r="J822" s="32">
        <v>38.03</v>
      </c>
      <c r="K822" s="32">
        <v>-84.51</v>
      </c>
      <c r="L822" s="32">
        <v>299.60000000000002</v>
      </c>
      <c r="R822" s="44">
        <v>3</v>
      </c>
      <c r="S822" s="44" t="s">
        <v>1722</v>
      </c>
      <c r="T822" s="44"/>
      <c r="U822" s="44" t="s">
        <v>1935</v>
      </c>
      <c r="V822" s="44" t="s">
        <v>1379</v>
      </c>
      <c r="W822" s="44" t="s">
        <v>1715</v>
      </c>
      <c r="X822" s="44" t="s">
        <v>1379</v>
      </c>
      <c r="Y822" s="44" t="s">
        <v>1379</v>
      </c>
      <c r="Z822" s="32">
        <v>1.05</v>
      </c>
      <c r="AA822" s="323">
        <v>7.3</v>
      </c>
      <c r="AB822" s="323">
        <v>70.2</v>
      </c>
      <c r="AC822" s="32" t="s">
        <v>450</v>
      </c>
      <c r="AD822" s="32">
        <v>5.48</v>
      </c>
      <c r="AE822" s="32">
        <v>1.1599999999999999</v>
      </c>
      <c r="AG822" s="32" t="s">
        <v>1336</v>
      </c>
      <c r="AH822" s="32" t="s">
        <v>131</v>
      </c>
      <c r="AI822" s="138" t="s">
        <v>131</v>
      </c>
      <c r="AJ822" s="32" t="s">
        <v>132</v>
      </c>
      <c r="AK822" s="140" t="s">
        <v>132</v>
      </c>
      <c r="AW822" s="32" t="s">
        <v>119</v>
      </c>
      <c r="AX822" s="32">
        <v>2</v>
      </c>
      <c r="AZ822" s="32" t="s">
        <v>141</v>
      </c>
      <c r="BD822" s="53"/>
      <c r="BP822" s="397"/>
      <c r="BQ822" s="397"/>
      <c r="BU822" s="397"/>
      <c r="BV822" s="397"/>
      <c r="BZ822" s="397"/>
      <c r="CA822" s="397"/>
      <c r="CE822" s="550"/>
      <c r="CF822" s="550"/>
      <c r="CG822" s="550"/>
      <c r="CH822" s="550"/>
      <c r="FB822" s="32">
        <v>30.46</v>
      </c>
      <c r="FC822" s="32">
        <v>0.26</v>
      </c>
      <c r="FF822" s="32" t="s">
        <v>595</v>
      </c>
      <c r="JB822" s="32" t="s">
        <v>727</v>
      </c>
    </row>
    <row r="823" spans="1:262" s="32" customFormat="1" x14ac:dyDescent="0.25">
      <c r="A823" s="32">
        <v>41</v>
      </c>
      <c r="B823" s="44" t="s">
        <v>3949</v>
      </c>
      <c r="C823" s="32" t="s">
        <v>591</v>
      </c>
      <c r="D823" s="32" t="s">
        <v>592</v>
      </c>
      <c r="E823" s="32">
        <v>1994</v>
      </c>
      <c r="F823" s="32">
        <v>1987</v>
      </c>
      <c r="G823" s="32" t="s">
        <v>418</v>
      </c>
      <c r="H823" s="32" t="s">
        <v>594</v>
      </c>
      <c r="I823" s="32" t="s">
        <v>2815</v>
      </c>
      <c r="J823" s="32">
        <v>38.03</v>
      </c>
      <c r="K823" s="32">
        <v>-84.51</v>
      </c>
      <c r="L823" s="32">
        <v>299.60000000000002</v>
      </c>
      <c r="R823" s="44">
        <v>3</v>
      </c>
      <c r="S823" s="44" t="s">
        <v>1722</v>
      </c>
      <c r="T823" s="44"/>
      <c r="U823" s="44" t="s">
        <v>1936</v>
      </c>
      <c r="V823" s="44" t="s">
        <v>1379</v>
      </c>
      <c r="W823" s="44" t="s">
        <v>1715</v>
      </c>
      <c r="X823" s="44" t="s">
        <v>1379</v>
      </c>
      <c r="Y823" s="44" t="s">
        <v>1379</v>
      </c>
      <c r="Z823" s="32">
        <v>1.05</v>
      </c>
      <c r="AA823" s="323">
        <v>7.3</v>
      </c>
      <c r="AB823" s="323">
        <v>70.2</v>
      </c>
      <c r="AC823" s="32" t="s">
        <v>450</v>
      </c>
      <c r="AD823" s="32">
        <v>5.48</v>
      </c>
      <c r="AE823" s="32">
        <v>1.1599999999999999</v>
      </c>
      <c r="AG823" s="32" t="s">
        <v>1336</v>
      </c>
      <c r="AH823" s="32" t="s">
        <v>131</v>
      </c>
      <c r="AI823" s="138" t="s">
        <v>131</v>
      </c>
      <c r="AJ823" s="32" t="s">
        <v>132</v>
      </c>
      <c r="AK823" s="140" t="s">
        <v>132</v>
      </c>
      <c r="AW823" s="32" t="s">
        <v>119</v>
      </c>
      <c r="AX823" s="32">
        <v>2</v>
      </c>
      <c r="AZ823" s="32" t="s">
        <v>141</v>
      </c>
      <c r="BD823" s="53"/>
      <c r="BP823" s="397"/>
      <c r="BQ823" s="397"/>
      <c r="BU823" s="397"/>
      <c r="BV823" s="397"/>
      <c r="BZ823" s="397"/>
      <c r="CA823" s="397"/>
      <c r="CE823" s="550"/>
      <c r="CF823" s="550"/>
      <c r="CG823" s="550"/>
      <c r="CH823" s="550"/>
      <c r="FB823" s="32">
        <v>48.81</v>
      </c>
      <c r="FC823" s="32">
        <v>15.59</v>
      </c>
      <c r="FF823" s="32" t="s">
        <v>595</v>
      </c>
      <c r="JB823" s="32" t="s">
        <v>727</v>
      </c>
    </row>
    <row r="824" spans="1:262" s="32" customFormat="1" x14ac:dyDescent="0.25">
      <c r="A824" s="32">
        <v>41</v>
      </c>
      <c r="B824" s="44" t="s">
        <v>3949</v>
      </c>
      <c r="C824" s="32" t="s">
        <v>591</v>
      </c>
      <c r="D824" s="32" t="s">
        <v>592</v>
      </c>
      <c r="E824" s="32">
        <v>1994</v>
      </c>
      <c r="F824" s="32">
        <v>1987</v>
      </c>
      <c r="G824" s="32" t="s">
        <v>418</v>
      </c>
      <c r="H824" s="32" t="s">
        <v>594</v>
      </c>
      <c r="I824" s="32" t="s">
        <v>2815</v>
      </c>
      <c r="J824" s="32">
        <v>38.03</v>
      </c>
      <c r="K824" s="32">
        <v>-84.51</v>
      </c>
      <c r="L824" s="32">
        <v>299.60000000000002</v>
      </c>
      <c r="R824" s="44">
        <v>3</v>
      </c>
      <c r="S824" s="44" t="s">
        <v>1722</v>
      </c>
      <c r="T824" s="44"/>
      <c r="U824" s="44" t="s">
        <v>1937</v>
      </c>
      <c r="V824" s="44" t="s">
        <v>1379</v>
      </c>
      <c r="W824" s="44" t="s">
        <v>1715</v>
      </c>
      <c r="X824" s="44" t="s">
        <v>1379</v>
      </c>
      <c r="Y824" s="44" t="s">
        <v>1379</v>
      </c>
      <c r="Z824" s="32">
        <v>1.05</v>
      </c>
      <c r="AA824" s="323">
        <v>7.3</v>
      </c>
      <c r="AB824" s="323">
        <v>70.2</v>
      </c>
      <c r="AC824" s="32" t="s">
        <v>450</v>
      </c>
      <c r="AD824" s="32">
        <v>5.48</v>
      </c>
      <c r="AE824" s="32">
        <v>1.1599999999999999</v>
      </c>
      <c r="AG824" s="32" t="s">
        <v>1336</v>
      </c>
      <c r="AH824" s="32" t="s">
        <v>131</v>
      </c>
      <c r="AI824" s="138" t="s">
        <v>131</v>
      </c>
      <c r="AJ824" s="32" t="s">
        <v>132</v>
      </c>
      <c r="AK824" s="140" t="s">
        <v>132</v>
      </c>
      <c r="AW824" s="32" t="s">
        <v>119</v>
      </c>
      <c r="AX824" s="32">
        <v>2</v>
      </c>
      <c r="AZ824" s="32" t="s">
        <v>141</v>
      </c>
      <c r="BD824" s="53"/>
      <c r="BP824" s="397"/>
      <c r="BQ824" s="397"/>
      <c r="BU824" s="397"/>
      <c r="BV824" s="397"/>
      <c r="BZ824" s="397"/>
      <c r="CA824" s="397"/>
      <c r="CE824" s="550"/>
      <c r="CF824" s="550"/>
      <c r="CG824" s="550"/>
      <c r="CH824" s="550"/>
      <c r="FB824" s="32">
        <v>35.020000000000003</v>
      </c>
      <c r="FC824" s="32">
        <v>35.020000000000003</v>
      </c>
      <c r="FF824" s="32" t="s">
        <v>595</v>
      </c>
      <c r="JB824" s="32" t="s">
        <v>727</v>
      </c>
    </row>
    <row r="825" spans="1:262" s="32" customFormat="1" x14ac:dyDescent="0.25">
      <c r="A825" s="32">
        <v>41</v>
      </c>
      <c r="B825" s="44" t="s">
        <v>3949</v>
      </c>
      <c r="C825" s="32" t="s">
        <v>591</v>
      </c>
      <c r="D825" s="32" t="s">
        <v>592</v>
      </c>
      <c r="E825" s="32">
        <v>1994</v>
      </c>
      <c r="F825" s="32">
        <v>1987</v>
      </c>
      <c r="G825" s="32" t="s">
        <v>418</v>
      </c>
      <c r="H825" s="32" t="s">
        <v>594</v>
      </c>
      <c r="I825" s="32" t="s">
        <v>2815</v>
      </c>
      <c r="J825" s="32">
        <v>38.03</v>
      </c>
      <c r="K825" s="32">
        <v>-84.51</v>
      </c>
      <c r="L825" s="32">
        <v>299.60000000000002</v>
      </c>
      <c r="R825" s="44">
        <v>3</v>
      </c>
      <c r="S825" s="44" t="s">
        <v>1722</v>
      </c>
      <c r="T825" s="44"/>
      <c r="U825" s="44" t="s">
        <v>1944</v>
      </c>
      <c r="V825" s="44" t="s">
        <v>1379</v>
      </c>
      <c r="W825" s="44" t="s">
        <v>1715</v>
      </c>
      <c r="X825" s="44" t="s">
        <v>1379</v>
      </c>
      <c r="Y825" s="44" t="s">
        <v>1379</v>
      </c>
      <c r="Z825" s="32">
        <v>1.05</v>
      </c>
      <c r="AA825" s="323">
        <v>7.3</v>
      </c>
      <c r="AB825" s="323">
        <v>70.2</v>
      </c>
      <c r="AC825" s="32" t="s">
        <v>450</v>
      </c>
      <c r="AD825" s="32">
        <v>5.48</v>
      </c>
      <c r="AE825" s="32">
        <v>1.1599999999999999</v>
      </c>
      <c r="AG825" s="32" t="s">
        <v>1336</v>
      </c>
      <c r="AH825" s="32" t="s">
        <v>131</v>
      </c>
      <c r="AI825" s="138" t="s">
        <v>131</v>
      </c>
      <c r="AJ825" s="32" t="s">
        <v>132</v>
      </c>
      <c r="AK825" s="140" t="s">
        <v>132</v>
      </c>
      <c r="AW825" s="32" t="s">
        <v>119</v>
      </c>
      <c r="AX825" s="32">
        <v>2</v>
      </c>
      <c r="AZ825" s="32" t="s">
        <v>141</v>
      </c>
      <c r="BD825" s="53"/>
      <c r="BP825" s="397"/>
      <c r="BQ825" s="397"/>
      <c r="BU825" s="397"/>
      <c r="BV825" s="397"/>
      <c r="BZ825" s="397"/>
      <c r="CA825" s="397"/>
      <c r="CE825" s="550"/>
      <c r="CF825" s="550"/>
      <c r="CG825" s="550"/>
      <c r="CH825" s="550"/>
      <c r="FB825" s="32">
        <v>0.5</v>
      </c>
      <c r="FC825" s="32">
        <v>0.5</v>
      </c>
      <c r="FF825" s="32" t="s">
        <v>595</v>
      </c>
      <c r="JB825" s="32" t="s">
        <v>727</v>
      </c>
    </row>
    <row r="826" spans="1:262" s="32" customFormat="1" x14ac:dyDescent="0.25">
      <c r="A826" s="32">
        <v>41</v>
      </c>
      <c r="B826" s="44" t="s">
        <v>3949</v>
      </c>
      <c r="C826" s="32" t="s">
        <v>591</v>
      </c>
      <c r="D826" s="32" t="s">
        <v>592</v>
      </c>
      <c r="E826" s="32">
        <v>1994</v>
      </c>
      <c r="F826" s="32">
        <v>1987</v>
      </c>
      <c r="G826" s="32" t="s">
        <v>418</v>
      </c>
      <c r="H826" s="32" t="s">
        <v>594</v>
      </c>
      <c r="I826" s="32" t="s">
        <v>2815</v>
      </c>
      <c r="J826" s="32">
        <v>38.03</v>
      </c>
      <c r="K826" s="32">
        <v>-84.51</v>
      </c>
      <c r="L826" s="32">
        <v>299.60000000000002</v>
      </c>
      <c r="R826" s="44">
        <v>3</v>
      </c>
      <c r="S826" s="44" t="s">
        <v>1722</v>
      </c>
      <c r="T826" s="44"/>
      <c r="U826" s="44" t="s">
        <v>1939</v>
      </c>
      <c r="V826" s="44" t="s">
        <v>1379</v>
      </c>
      <c r="W826" s="44" t="s">
        <v>1715</v>
      </c>
      <c r="X826" s="44" t="s">
        <v>1379</v>
      </c>
      <c r="Y826" s="44" t="s">
        <v>1379</v>
      </c>
      <c r="Z826" s="32">
        <v>1.05</v>
      </c>
      <c r="AA826" s="323">
        <v>7.3</v>
      </c>
      <c r="AB826" s="323">
        <v>70.2</v>
      </c>
      <c r="AC826" s="32" t="s">
        <v>450</v>
      </c>
      <c r="AD826" s="32">
        <v>5.48</v>
      </c>
      <c r="AE826" s="32">
        <v>1.1599999999999999</v>
      </c>
      <c r="AG826" s="32" t="s">
        <v>1336</v>
      </c>
      <c r="AH826" s="32" t="s">
        <v>131</v>
      </c>
      <c r="AI826" s="138" t="s">
        <v>131</v>
      </c>
      <c r="AJ826" s="32" t="s">
        <v>132</v>
      </c>
      <c r="AK826" s="140" t="s">
        <v>132</v>
      </c>
      <c r="AW826" s="32" t="s">
        <v>119</v>
      </c>
      <c r="AX826" s="32">
        <v>2</v>
      </c>
      <c r="AZ826" s="32" t="s">
        <v>141</v>
      </c>
      <c r="BD826" s="53"/>
      <c r="BP826" s="397"/>
      <c r="BQ826" s="397"/>
      <c r="BU826" s="397"/>
      <c r="BV826" s="397"/>
      <c r="BZ826" s="397"/>
      <c r="CA826" s="397"/>
      <c r="CE826" s="550"/>
      <c r="CF826" s="550"/>
      <c r="CG826" s="550"/>
      <c r="CH826" s="550"/>
      <c r="FB826" s="32">
        <v>0.17</v>
      </c>
      <c r="FC826" s="32">
        <v>0.17</v>
      </c>
      <c r="FF826" s="32" t="s">
        <v>595</v>
      </c>
      <c r="JB826" s="32" t="s">
        <v>727</v>
      </c>
    </row>
    <row r="827" spans="1:262" s="32" customFormat="1" x14ac:dyDescent="0.25">
      <c r="A827" s="32">
        <v>41</v>
      </c>
      <c r="B827" s="44" t="s">
        <v>3949</v>
      </c>
      <c r="C827" s="32" t="s">
        <v>591</v>
      </c>
      <c r="D827" s="32" t="s">
        <v>592</v>
      </c>
      <c r="E827" s="32">
        <v>1994</v>
      </c>
      <c r="F827" s="32">
        <v>1987</v>
      </c>
      <c r="G827" s="32" t="s">
        <v>418</v>
      </c>
      <c r="H827" s="32" t="s">
        <v>594</v>
      </c>
      <c r="I827" s="32" t="s">
        <v>2815</v>
      </c>
      <c r="J827" s="32">
        <v>38.03</v>
      </c>
      <c r="K827" s="32">
        <v>-84.51</v>
      </c>
      <c r="L827" s="32">
        <v>299.60000000000002</v>
      </c>
      <c r="R827" s="44">
        <v>3</v>
      </c>
      <c r="S827" s="44" t="s">
        <v>1722</v>
      </c>
      <c r="T827" s="44"/>
      <c r="U827" s="44" t="s">
        <v>1945</v>
      </c>
      <c r="V827" s="44" t="s">
        <v>1379</v>
      </c>
      <c r="W827" s="44" t="s">
        <v>1715</v>
      </c>
      <c r="X827" s="44" t="s">
        <v>1379</v>
      </c>
      <c r="Y827" s="44" t="s">
        <v>1379</v>
      </c>
      <c r="Z827" s="32">
        <v>1.05</v>
      </c>
      <c r="AA827" s="323">
        <v>7.3</v>
      </c>
      <c r="AB827" s="323">
        <v>70.2</v>
      </c>
      <c r="AC827" s="32" t="s">
        <v>450</v>
      </c>
      <c r="AD827" s="32">
        <v>5.48</v>
      </c>
      <c r="AE827" s="32">
        <v>1.1599999999999999</v>
      </c>
      <c r="AG827" s="32" t="s">
        <v>1336</v>
      </c>
      <c r="AH827" s="32" t="s">
        <v>131</v>
      </c>
      <c r="AI827" s="138" t="s">
        <v>131</v>
      </c>
      <c r="AJ827" s="32" t="s">
        <v>132</v>
      </c>
      <c r="AK827" s="140" t="s">
        <v>132</v>
      </c>
      <c r="AW827" s="32" t="s">
        <v>119</v>
      </c>
      <c r="AX827" s="32">
        <v>2</v>
      </c>
      <c r="AZ827" s="32" t="s">
        <v>141</v>
      </c>
      <c r="BD827" s="53"/>
      <c r="BP827" s="397"/>
      <c r="BQ827" s="397"/>
      <c r="BU827" s="397"/>
      <c r="BV827" s="397"/>
      <c r="BZ827" s="397"/>
      <c r="CA827" s="397"/>
      <c r="CE827" s="550"/>
      <c r="CF827" s="550"/>
      <c r="CG827" s="550"/>
      <c r="CH827" s="550"/>
      <c r="FB827" s="32">
        <v>25.21</v>
      </c>
      <c r="FC827" s="32">
        <v>12.69</v>
      </c>
      <c r="FF827" s="32" t="s">
        <v>595</v>
      </c>
      <c r="JB827" s="32" t="s">
        <v>727</v>
      </c>
    </row>
    <row r="828" spans="1:262" s="24" customFormat="1" x14ac:dyDescent="0.25">
      <c r="A828" s="24">
        <v>41</v>
      </c>
      <c r="B828" s="42" t="s">
        <v>3949</v>
      </c>
      <c r="C828" s="24" t="s">
        <v>591</v>
      </c>
      <c r="D828" s="24" t="s">
        <v>592</v>
      </c>
      <c r="E828" s="24">
        <v>1994</v>
      </c>
      <c r="F828" s="24">
        <v>1988</v>
      </c>
      <c r="G828" s="24" t="s">
        <v>418</v>
      </c>
      <c r="H828" s="24" t="s">
        <v>594</v>
      </c>
      <c r="I828" s="32" t="s">
        <v>2815</v>
      </c>
      <c r="J828" s="24">
        <v>38.03</v>
      </c>
      <c r="K828" s="24">
        <v>-84.51</v>
      </c>
      <c r="L828" s="24">
        <v>299.60000000000002</v>
      </c>
      <c r="R828" s="42">
        <v>4</v>
      </c>
      <c r="S828" s="42" t="s">
        <v>1722</v>
      </c>
      <c r="T828" s="42"/>
      <c r="U828" s="42" t="s">
        <v>1940</v>
      </c>
      <c r="V828" s="42" t="s">
        <v>1379</v>
      </c>
      <c r="W828" s="42" t="s">
        <v>1715</v>
      </c>
      <c r="X828" s="42" t="s">
        <v>1379</v>
      </c>
      <c r="Y828" s="42" t="s">
        <v>1379</v>
      </c>
      <c r="Z828" s="24">
        <v>1.05</v>
      </c>
      <c r="AA828" s="321">
        <v>7.3</v>
      </c>
      <c r="AB828" s="321">
        <v>70.2</v>
      </c>
      <c r="AC828" s="24" t="s">
        <v>450</v>
      </c>
      <c r="AD828" s="24">
        <v>5.48</v>
      </c>
      <c r="AE828" s="24">
        <v>1.1599999999999999</v>
      </c>
      <c r="AG828" s="24" t="s">
        <v>1336</v>
      </c>
      <c r="AH828" s="24" t="s">
        <v>131</v>
      </c>
      <c r="AI828" s="138" t="s">
        <v>131</v>
      </c>
      <c r="AJ828" s="24" t="s">
        <v>132</v>
      </c>
      <c r="AK828" s="140" t="s">
        <v>132</v>
      </c>
      <c r="AW828" s="24" t="s">
        <v>119</v>
      </c>
      <c r="AX828" s="24">
        <v>2</v>
      </c>
      <c r="AZ828" s="24" t="s">
        <v>141</v>
      </c>
      <c r="BD828" s="53"/>
      <c r="BP828" s="395"/>
      <c r="BQ828" s="395"/>
      <c r="BU828" s="395"/>
      <c r="BV828" s="395"/>
      <c r="BZ828" s="395"/>
      <c r="CA828" s="395"/>
      <c r="CE828" s="548"/>
      <c r="CF828" s="548"/>
      <c r="CG828" s="548"/>
      <c r="CH828" s="548"/>
      <c r="FB828" s="24">
        <v>95.55</v>
      </c>
      <c r="FC828" s="24">
        <v>92.09</v>
      </c>
      <c r="FF828" s="24" t="s">
        <v>595</v>
      </c>
      <c r="JB828" s="24" t="s">
        <v>727</v>
      </c>
    </row>
    <row r="829" spans="1:262" s="24" customFormat="1" x14ac:dyDescent="0.25">
      <c r="A829" s="24">
        <v>41</v>
      </c>
      <c r="B829" s="42" t="s">
        <v>3949</v>
      </c>
      <c r="C829" s="24" t="s">
        <v>591</v>
      </c>
      <c r="D829" s="24" t="s">
        <v>592</v>
      </c>
      <c r="E829" s="24">
        <v>1994</v>
      </c>
      <c r="F829" s="24">
        <v>1988</v>
      </c>
      <c r="G829" s="24" t="s">
        <v>418</v>
      </c>
      <c r="H829" s="24" t="s">
        <v>594</v>
      </c>
      <c r="I829" s="32" t="s">
        <v>2815</v>
      </c>
      <c r="J829" s="24">
        <v>38.03</v>
      </c>
      <c r="K829" s="24">
        <v>-84.51</v>
      </c>
      <c r="L829" s="24">
        <v>299.60000000000002</v>
      </c>
      <c r="R829" s="42">
        <v>4</v>
      </c>
      <c r="S829" s="42" t="s">
        <v>1722</v>
      </c>
      <c r="T829" s="42"/>
      <c r="U829" s="42" t="s">
        <v>1941</v>
      </c>
      <c r="V829" s="42" t="s">
        <v>1379</v>
      </c>
      <c r="W829" s="42" t="s">
        <v>1715</v>
      </c>
      <c r="X829" s="42" t="s">
        <v>1379</v>
      </c>
      <c r="Y829" s="42" t="s">
        <v>1379</v>
      </c>
      <c r="Z829" s="24">
        <v>1.05</v>
      </c>
      <c r="AA829" s="321">
        <v>7.3</v>
      </c>
      <c r="AB829" s="321">
        <v>70.2</v>
      </c>
      <c r="AC829" s="24" t="s">
        <v>450</v>
      </c>
      <c r="AD829" s="24">
        <v>5.48</v>
      </c>
      <c r="AE829" s="24">
        <v>1.1599999999999999</v>
      </c>
      <c r="AG829" s="24" t="s">
        <v>1336</v>
      </c>
      <c r="AH829" s="24" t="s">
        <v>131</v>
      </c>
      <c r="AI829" s="138" t="s">
        <v>131</v>
      </c>
      <c r="AJ829" s="24" t="s">
        <v>132</v>
      </c>
      <c r="AK829" s="140" t="s">
        <v>132</v>
      </c>
      <c r="AW829" s="24" t="s">
        <v>119</v>
      </c>
      <c r="AX829" s="24">
        <v>2</v>
      </c>
      <c r="AZ829" s="24" t="s">
        <v>141</v>
      </c>
      <c r="BD829" s="53"/>
      <c r="BP829" s="395"/>
      <c r="BQ829" s="395"/>
      <c r="BU829" s="395"/>
      <c r="BV829" s="395"/>
      <c r="BZ829" s="395"/>
      <c r="CA829" s="395"/>
      <c r="CE829" s="548"/>
      <c r="CF829" s="548"/>
      <c r="CG829" s="548"/>
      <c r="CH829" s="548"/>
      <c r="FB829" s="24">
        <v>81.97</v>
      </c>
      <c r="FC829" s="24">
        <v>79.599999999999994</v>
      </c>
      <c r="FF829" s="24" t="s">
        <v>595</v>
      </c>
      <c r="JB829" s="24" t="s">
        <v>727</v>
      </c>
    </row>
    <row r="830" spans="1:262" s="24" customFormat="1" x14ac:dyDescent="0.25">
      <c r="A830" s="24">
        <v>41</v>
      </c>
      <c r="B830" s="42" t="s">
        <v>3949</v>
      </c>
      <c r="C830" s="24" t="s">
        <v>591</v>
      </c>
      <c r="D830" s="24" t="s">
        <v>592</v>
      </c>
      <c r="E830" s="24">
        <v>1994</v>
      </c>
      <c r="F830" s="24">
        <v>1988</v>
      </c>
      <c r="G830" s="24" t="s">
        <v>418</v>
      </c>
      <c r="H830" s="24" t="s">
        <v>594</v>
      </c>
      <c r="I830" s="32" t="s">
        <v>2815</v>
      </c>
      <c r="J830" s="24">
        <v>38.03</v>
      </c>
      <c r="K830" s="24">
        <v>-84.51</v>
      </c>
      <c r="L830" s="24">
        <v>299.60000000000002</v>
      </c>
      <c r="R830" s="42">
        <v>4</v>
      </c>
      <c r="S830" s="42" t="s">
        <v>1722</v>
      </c>
      <c r="T830" s="42"/>
      <c r="U830" s="42" t="s">
        <v>1942</v>
      </c>
      <c r="V830" s="42" t="s">
        <v>1379</v>
      </c>
      <c r="W830" s="42" t="s">
        <v>1715</v>
      </c>
      <c r="X830" s="42" t="s">
        <v>1379</v>
      </c>
      <c r="Y830" s="42" t="s">
        <v>1379</v>
      </c>
      <c r="Z830" s="24">
        <v>1.05</v>
      </c>
      <c r="AA830" s="321">
        <v>7.3</v>
      </c>
      <c r="AB830" s="321">
        <v>70.2</v>
      </c>
      <c r="AC830" s="24" t="s">
        <v>450</v>
      </c>
      <c r="AD830" s="24">
        <v>5.48</v>
      </c>
      <c r="AE830" s="24">
        <v>1.1599999999999999</v>
      </c>
      <c r="AG830" s="24" t="s">
        <v>1336</v>
      </c>
      <c r="AH830" s="24" t="s">
        <v>131</v>
      </c>
      <c r="AI830" s="138" t="s">
        <v>131</v>
      </c>
      <c r="AJ830" s="24" t="s">
        <v>132</v>
      </c>
      <c r="AK830" s="140" t="s">
        <v>132</v>
      </c>
      <c r="AW830" s="24" t="s">
        <v>119</v>
      </c>
      <c r="AX830" s="24">
        <v>2</v>
      </c>
      <c r="AZ830" s="24" t="s">
        <v>141</v>
      </c>
      <c r="BD830" s="53"/>
      <c r="BP830" s="395"/>
      <c r="BQ830" s="395"/>
      <c r="BU830" s="395"/>
      <c r="BV830" s="395"/>
      <c r="BZ830" s="395"/>
      <c r="CA830" s="395"/>
      <c r="CE830" s="548"/>
      <c r="CF830" s="548"/>
      <c r="CG830" s="548"/>
      <c r="CH830" s="548"/>
      <c r="FB830" s="24">
        <v>100</v>
      </c>
      <c r="FC830" s="24">
        <v>95.79</v>
      </c>
      <c r="FF830" s="24" t="s">
        <v>595</v>
      </c>
      <c r="JB830" s="24" t="s">
        <v>727</v>
      </c>
    </row>
    <row r="831" spans="1:262" s="24" customFormat="1" x14ac:dyDescent="0.25">
      <c r="A831" s="24">
        <v>41</v>
      </c>
      <c r="B831" s="42" t="s">
        <v>3949</v>
      </c>
      <c r="C831" s="24" t="s">
        <v>591</v>
      </c>
      <c r="D831" s="24" t="s">
        <v>592</v>
      </c>
      <c r="E831" s="24">
        <v>1994</v>
      </c>
      <c r="F831" s="24">
        <v>1988</v>
      </c>
      <c r="G831" s="24" t="s">
        <v>418</v>
      </c>
      <c r="H831" s="24" t="s">
        <v>594</v>
      </c>
      <c r="I831" s="32" t="s">
        <v>2815</v>
      </c>
      <c r="J831" s="24">
        <v>38.03</v>
      </c>
      <c r="K831" s="24">
        <v>-84.51</v>
      </c>
      <c r="L831" s="24">
        <v>299.60000000000002</v>
      </c>
      <c r="R831" s="42">
        <v>4</v>
      </c>
      <c r="S831" s="42" t="s">
        <v>1722</v>
      </c>
      <c r="T831" s="42"/>
      <c r="U831" s="42" t="s">
        <v>1943</v>
      </c>
      <c r="V831" s="42" t="s">
        <v>1379</v>
      </c>
      <c r="W831" s="42" t="s">
        <v>1715</v>
      </c>
      <c r="X831" s="42" t="s">
        <v>1379</v>
      </c>
      <c r="Y831" s="42" t="s">
        <v>1379</v>
      </c>
      <c r="Z831" s="24">
        <v>1.05</v>
      </c>
      <c r="AA831" s="321">
        <v>7.3</v>
      </c>
      <c r="AB831" s="321">
        <v>70.2</v>
      </c>
      <c r="AC831" s="24" t="s">
        <v>450</v>
      </c>
      <c r="AD831" s="24">
        <v>5.48</v>
      </c>
      <c r="AE831" s="24">
        <v>1.1599999999999999</v>
      </c>
      <c r="AG831" s="24" t="s">
        <v>1336</v>
      </c>
      <c r="AH831" s="24" t="s">
        <v>131</v>
      </c>
      <c r="AI831" s="138" t="s">
        <v>131</v>
      </c>
      <c r="AJ831" s="24" t="s">
        <v>132</v>
      </c>
      <c r="AK831" s="140" t="s">
        <v>132</v>
      </c>
      <c r="AW831" s="24" t="s">
        <v>119</v>
      </c>
      <c r="AX831" s="24">
        <v>2</v>
      </c>
      <c r="AZ831" s="24" t="s">
        <v>141</v>
      </c>
      <c r="BD831" s="53"/>
      <c r="BP831" s="395"/>
      <c r="BQ831" s="395"/>
      <c r="BU831" s="395"/>
      <c r="BV831" s="395"/>
      <c r="BZ831" s="395"/>
      <c r="CA831" s="395"/>
      <c r="CE831" s="548"/>
      <c r="CF831" s="548"/>
      <c r="CG831" s="548"/>
      <c r="CH831" s="548"/>
      <c r="FB831" s="24">
        <v>85.89</v>
      </c>
      <c r="FC831" s="24">
        <v>83.51</v>
      </c>
      <c r="FF831" s="24" t="s">
        <v>595</v>
      </c>
      <c r="JB831" s="24" t="s">
        <v>727</v>
      </c>
    </row>
    <row r="832" spans="1:262" s="24" customFormat="1" x14ac:dyDescent="0.25">
      <c r="A832" s="24">
        <v>41</v>
      </c>
      <c r="B832" s="42" t="s">
        <v>3949</v>
      </c>
      <c r="C832" s="24" t="s">
        <v>591</v>
      </c>
      <c r="D832" s="24" t="s">
        <v>592</v>
      </c>
      <c r="E832" s="24">
        <v>1994</v>
      </c>
      <c r="F832" s="24">
        <v>1988</v>
      </c>
      <c r="G832" s="24" t="s">
        <v>418</v>
      </c>
      <c r="H832" s="24" t="s">
        <v>594</v>
      </c>
      <c r="I832" s="32" t="s">
        <v>2815</v>
      </c>
      <c r="J832" s="24">
        <v>38.03</v>
      </c>
      <c r="K832" s="24">
        <v>-84.51</v>
      </c>
      <c r="L832" s="24">
        <v>299.60000000000002</v>
      </c>
      <c r="R832" s="42">
        <v>4</v>
      </c>
      <c r="S832" s="42" t="s">
        <v>1722</v>
      </c>
      <c r="T832" s="42"/>
      <c r="U832" s="42" t="s">
        <v>1943</v>
      </c>
      <c r="V832" s="42" t="s">
        <v>1379</v>
      </c>
      <c r="W832" s="42" t="s">
        <v>1715</v>
      </c>
      <c r="X832" s="42" t="s">
        <v>1379</v>
      </c>
      <c r="Y832" s="42" t="s">
        <v>1379</v>
      </c>
      <c r="Z832" s="24">
        <v>1.05</v>
      </c>
      <c r="AA832" s="321">
        <v>7.3</v>
      </c>
      <c r="AB832" s="321">
        <v>70.2</v>
      </c>
      <c r="AC832" s="24" t="s">
        <v>450</v>
      </c>
      <c r="AD832" s="24">
        <v>5.48</v>
      </c>
      <c r="AE832" s="24">
        <v>1.1599999999999999</v>
      </c>
      <c r="AG832" s="24" t="s">
        <v>1336</v>
      </c>
      <c r="AH832" s="24" t="s">
        <v>131</v>
      </c>
      <c r="AI832" s="138" t="s">
        <v>131</v>
      </c>
      <c r="AJ832" s="24" t="s">
        <v>132</v>
      </c>
      <c r="AK832" s="140" t="s">
        <v>132</v>
      </c>
      <c r="AW832" s="24" t="s">
        <v>119</v>
      </c>
      <c r="AX832" s="24">
        <v>2</v>
      </c>
      <c r="AZ832" s="24" t="s">
        <v>141</v>
      </c>
      <c r="BD832" s="53"/>
      <c r="BP832" s="395"/>
      <c r="BQ832" s="395"/>
      <c r="BU832" s="395"/>
      <c r="BV832" s="395"/>
      <c r="BZ832" s="395"/>
      <c r="CA832" s="395"/>
      <c r="CE832" s="548"/>
      <c r="CF832" s="548"/>
      <c r="CG832" s="548"/>
      <c r="CH832" s="548"/>
      <c r="FB832" s="24">
        <v>52.89</v>
      </c>
      <c r="FC832" s="24">
        <v>31.31</v>
      </c>
      <c r="FF832" s="24" t="s">
        <v>595</v>
      </c>
      <c r="JB832" s="24" t="s">
        <v>727</v>
      </c>
    </row>
    <row r="833" spans="1:262" s="24" customFormat="1" x14ac:dyDescent="0.25">
      <c r="A833" s="24">
        <v>41</v>
      </c>
      <c r="B833" s="42" t="s">
        <v>3949</v>
      </c>
      <c r="C833" s="24" t="s">
        <v>591</v>
      </c>
      <c r="D833" s="24" t="s">
        <v>592</v>
      </c>
      <c r="E833" s="24">
        <v>1994</v>
      </c>
      <c r="F833" s="24">
        <v>1988</v>
      </c>
      <c r="G833" s="24" t="s">
        <v>418</v>
      </c>
      <c r="H833" s="24" t="s">
        <v>594</v>
      </c>
      <c r="I833" s="32" t="s">
        <v>2815</v>
      </c>
      <c r="J833" s="24">
        <v>38.03</v>
      </c>
      <c r="K833" s="24">
        <v>-84.51</v>
      </c>
      <c r="L833" s="24">
        <v>299.60000000000002</v>
      </c>
      <c r="R833" s="42">
        <v>4</v>
      </c>
      <c r="S833" s="42" t="s">
        <v>1722</v>
      </c>
      <c r="T833" s="42"/>
      <c r="U833" s="42" t="s">
        <v>1934</v>
      </c>
      <c r="V833" s="42" t="s">
        <v>1379</v>
      </c>
      <c r="W833" s="42" t="s">
        <v>1715</v>
      </c>
      <c r="X833" s="42" t="s">
        <v>1379</v>
      </c>
      <c r="Y833" s="42" t="s">
        <v>1379</v>
      </c>
      <c r="Z833" s="24">
        <v>1.05</v>
      </c>
      <c r="AA833" s="321">
        <v>7.3</v>
      </c>
      <c r="AB833" s="321">
        <v>70.2</v>
      </c>
      <c r="AC833" s="24" t="s">
        <v>450</v>
      </c>
      <c r="AD833" s="24">
        <v>5.48</v>
      </c>
      <c r="AE833" s="24">
        <v>1.1599999999999999</v>
      </c>
      <c r="AG833" s="24" t="s">
        <v>1336</v>
      </c>
      <c r="AH833" s="24" t="s">
        <v>131</v>
      </c>
      <c r="AI833" s="138" t="s">
        <v>131</v>
      </c>
      <c r="AJ833" s="24" t="s">
        <v>132</v>
      </c>
      <c r="AK833" s="140" t="s">
        <v>132</v>
      </c>
      <c r="AW833" s="24" t="s">
        <v>119</v>
      </c>
      <c r="AX833" s="24">
        <v>2</v>
      </c>
      <c r="AZ833" s="24" t="s">
        <v>141</v>
      </c>
      <c r="BD833" s="53"/>
      <c r="BP833" s="395"/>
      <c r="BQ833" s="395"/>
      <c r="BU833" s="395"/>
      <c r="BV833" s="395"/>
      <c r="BZ833" s="395"/>
      <c r="CA833" s="395"/>
      <c r="CE833" s="548"/>
      <c r="CF833" s="548"/>
      <c r="CG833" s="548"/>
      <c r="CH833" s="548"/>
      <c r="FB833" s="24">
        <v>82.67</v>
      </c>
      <c r="FC833" s="24">
        <v>75.98</v>
      </c>
      <c r="FF833" s="24" t="s">
        <v>595</v>
      </c>
      <c r="JB833" s="24" t="s">
        <v>727</v>
      </c>
    </row>
    <row r="834" spans="1:262" s="24" customFormat="1" x14ac:dyDescent="0.25">
      <c r="A834" s="24">
        <v>41</v>
      </c>
      <c r="B834" s="42" t="s">
        <v>3949</v>
      </c>
      <c r="C834" s="24" t="s">
        <v>591</v>
      </c>
      <c r="D834" s="24" t="s">
        <v>592</v>
      </c>
      <c r="E834" s="24">
        <v>1994</v>
      </c>
      <c r="F834" s="24">
        <v>1988</v>
      </c>
      <c r="G834" s="24" t="s">
        <v>418</v>
      </c>
      <c r="H834" s="24" t="s">
        <v>594</v>
      </c>
      <c r="I834" s="32" t="s">
        <v>2815</v>
      </c>
      <c r="J834" s="24">
        <v>38.03</v>
      </c>
      <c r="K834" s="24">
        <v>-84.51</v>
      </c>
      <c r="L834" s="24">
        <v>299.60000000000002</v>
      </c>
      <c r="R834" s="42">
        <v>4</v>
      </c>
      <c r="S834" s="42" t="s">
        <v>1722</v>
      </c>
      <c r="T834" s="42"/>
      <c r="U834" s="42" t="s">
        <v>1934</v>
      </c>
      <c r="V834" s="42" t="s">
        <v>1379</v>
      </c>
      <c r="W834" s="42" t="s">
        <v>1715</v>
      </c>
      <c r="X834" s="42" t="s">
        <v>1379</v>
      </c>
      <c r="Y834" s="42" t="s">
        <v>1379</v>
      </c>
      <c r="Z834" s="24">
        <v>1.05</v>
      </c>
      <c r="AA834" s="321">
        <v>7.3</v>
      </c>
      <c r="AB834" s="321">
        <v>70.2</v>
      </c>
      <c r="AC834" s="24" t="s">
        <v>450</v>
      </c>
      <c r="AD834" s="24">
        <v>5.48</v>
      </c>
      <c r="AE834" s="24">
        <v>1.1599999999999999</v>
      </c>
      <c r="AG834" s="24" t="s">
        <v>1336</v>
      </c>
      <c r="AH834" s="24" t="s">
        <v>131</v>
      </c>
      <c r="AI834" s="138" t="s">
        <v>131</v>
      </c>
      <c r="AJ834" s="24" t="s">
        <v>132</v>
      </c>
      <c r="AK834" s="140" t="s">
        <v>132</v>
      </c>
      <c r="AW834" s="24" t="s">
        <v>119</v>
      </c>
      <c r="AX834" s="24">
        <v>2</v>
      </c>
      <c r="AZ834" s="24" t="s">
        <v>141</v>
      </c>
      <c r="BD834" s="53"/>
      <c r="BP834" s="395"/>
      <c r="BQ834" s="395"/>
      <c r="BU834" s="395"/>
      <c r="BV834" s="395"/>
      <c r="BZ834" s="395"/>
      <c r="CA834" s="395"/>
      <c r="CE834" s="548"/>
      <c r="CF834" s="548"/>
      <c r="CG834" s="548"/>
      <c r="CH834" s="548"/>
      <c r="FB834" s="24">
        <v>66.94</v>
      </c>
      <c r="FC834" s="24">
        <v>24.65</v>
      </c>
      <c r="FF834" s="24" t="s">
        <v>595</v>
      </c>
      <c r="JB834" s="24" t="s">
        <v>727</v>
      </c>
    </row>
    <row r="835" spans="1:262" s="24" customFormat="1" x14ac:dyDescent="0.25">
      <c r="A835" s="24">
        <v>41</v>
      </c>
      <c r="B835" s="42" t="s">
        <v>3949</v>
      </c>
      <c r="C835" s="24" t="s">
        <v>591</v>
      </c>
      <c r="D835" s="24" t="s">
        <v>592</v>
      </c>
      <c r="E835" s="24">
        <v>1994</v>
      </c>
      <c r="F835" s="24">
        <v>1988</v>
      </c>
      <c r="G835" s="24" t="s">
        <v>418</v>
      </c>
      <c r="H835" s="24" t="s">
        <v>594</v>
      </c>
      <c r="I835" s="32" t="s">
        <v>2815</v>
      </c>
      <c r="J835" s="24">
        <v>38.03</v>
      </c>
      <c r="K835" s="24">
        <v>-84.51</v>
      </c>
      <c r="L835" s="24">
        <v>299.60000000000002</v>
      </c>
      <c r="R835" s="42">
        <v>4</v>
      </c>
      <c r="S835" s="42" t="s">
        <v>1722</v>
      </c>
      <c r="T835" s="42"/>
      <c r="U835" s="42" t="s">
        <v>1935</v>
      </c>
      <c r="V835" s="42" t="s">
        <v>1379</v>
      </c>
      <c r="W835" s="42" t="s">
        <v>1715</v>
      </c>
      <c r="X835" s="42" t="s">
        <v>1379</v>
      </c>
      <c r="Y835" s="42" t="s">
        <v>1379</v>
      </c>
      <c r="Z835" s="24">
        <v>1.05</v>
      </c>
      <c r="AA835" s="321">
        <v>7.3</v>
      </c>
      <c r="AB835" s="321">
        <v>70.2</v>
      </c>
      <c r="AC835" s="24" t="s">
        <v>450</v>
      </c>
      <c r="AD835" s="24">
        <v>5.48</v>
      </c>
      <c r="AE835" s="24">
        <v>1.1599999999999999</v>
      </c>
      <c r="AG835" s="24" t="s">
        <v>1336</v>
      </c>
      <c r="AH835" s="24" t="s">
        <v>131</v>
      </c>
      <c r="AI835" s="138" t="s">
        <v>131</v>
      </c>
      <c r="AJ835" s="24" t="s">
        <v>132</v>
      </c>
      <c r="AK835" s="140" t="s">
        <v>132</v>
      </c>
      <c r="AW835" s="24" t="s">
        <v>119</v>
      </c>
      <c r="AX835" s="24">
        <v>2</v>
      </c>
      <c r="AZ835" s="24" t="s">
        <v>141</v>
      </c>
      <c r="BD835" s="53"/>
      <c r="BP835" s="395"/>
      <c r="BQ835" s="395"/>
      <c r="BU835" s="395"/>
      <c r="BV835" s="395"/>
      <c r="BZ835" s="395"/>
      <c r="CA835" s="395"/>
      <c r="CE835" s="548"/>
      <c r="CF835" s="548"/>
      <c r="CG835" s="548"/>
      <c r="CH835" s="548"/>
      <c r="FB835" s="24">
        <v>28.97</v>
      </c>
      <c r="FC835" s="24">
        <v>16.03</v>
      </c>
      <c r="FF835" s="24" t="s">
        <v>595</v>
      </c>
      <c r="JB835" s="24" t="s">
        <v>727</v>
      </c>
    </row>
    <row r="836" spans="1:262" s="24" customFormat="1" x14ac:dyDescent="0.25">
      <c r="A836" s="24">
        <v>41</v>
      </c>
      <c r="B836" s="42" t="s">
        <v>3949</v>
      </c>
      <c r="C836" s="24" t="s">
        <v>591</v>
      </c>
      <c r="D836" s="24" t="s">
        <v>592</v>
      </c>
      <c r="E836" s="24">
        <v>1994</v>
      </c>
      <c r="F836" s="24">
        <v>1988</v>
      </c>
      <c r="G836" s="24" t="s">
        <v>418</v>
      </c>
      <c r="H836" s="24" t="s">
        <v>594</v>
      </c>
      <c r="I836" s="32" t="s">
        <v>2815</v>
      </c>
      <c r="J836" s="24">
        <v>38.03</v>
      </c>
      <c r="K836" s="24">
        <v>-84.51</v>
      </c>
      <c r="L836" s="24">
        <v>299.60000000000002</v>
      </c>
      <c r="R836" s="42">
        <v>4</v>
      </c>
      <c r="S836" s="42" t="s">
        <v>1722</v>
      </c>
      <c r="T836" s="42"/>
      <c r="U836" s="42" t="s">
        <v>1936</v>
      </c>
      <c r="V836" s="42" t="s">
        <v>1379</v>
      </c>
      <c r="W836" s="42" t="s">
        <v>1715</v>
      </c>
      <c r="X836" s="42" t="s">
        <v>1379</v>
      </c>
      <c r="Y836" s="42" t="s">
        <v>1379</v>
      </c>
      <c r="Z836" s="24">
        <v>1.05</v>
      </c>
      <c r="AA836" s="321">
        <v>7.3</v>
      </c>
      <c r="AB836" s="321">
        <v>70.2</v>
      </c>
      <c r="AC836" s="24" t="s">
        <v>450</v>
      </c>
      <c r="AD836" s="24">
        <v>5.48</v>
      </c>
      <c r="AE836" s="24">
        <v>1.1599999999999999</v>
      </c>
      <c r="AG836" s="24" t="s">
        <v>1336</v>
      </c>
      <c r="AH836" s="24" t="s">
        <v>131</v>
      </c>
      <c r="AI836" s="138" t="s">
        <v>131</v>
      </c>
      <c r="AJ836" s="24" t="s">
        <v>132</v>
      </c>
      <c r="AK836" s="140" t="s">
        <v>132</v>
      </c>
      <c r="AW836" s="24" t="s">
        <v>119</v>
      </c>
      <c r="AX836" s="24">
        <v>2</v>
      </c>
      <c r="AZ836" s="24" t="s">
        <v>141</v>
      </c>
      <c r="BD836" s="53"/>
      <c r="BP836" s="395"/>
      <c r="BQ836" s="395"/>
      <c r="BU836" s="395"/>
      <c r="BV836" s="395"/>
      <c r="BZ836" s="395"/>
      <c r="CA836" s="395"/>
      <c r="CE836" s="548"/>
      <c r="CF836" s="548"/>
      <c r="CG836" s="548"/>
      <c r="CH836" s="548"/>
      <c r="FB836" s="24">
        <v>43.01</v>
      </c>
      <c r="FC836" s="24">
        <v>58.39</v>
      </c>
      <c r="FF836" s="24" t="s">
        <v>595</v>
      </c>
      <c r="JB836" s="24" t="s">
        <v>727</v>
      </c>
    </row>
    <row r="837" spans="1:262" s="24" customFormat="1" x14ac:dyDescent="0.25">
      <c r="A837" s="24">
        <v>41</v>
      </c>
      <c r="B837" s="42" t="s">
        <v>3949</v>
      </c>
      <c r="C837" s="24" t="s">
        <v>591</v>
      </c>
      <c r="D837" s="24" t="s">
        <v>592</v>
      </c>
      <c r="E837" s="24">
        <v>1994</v>
      </c>
      <c r="F837" s="24">
        <v>1988</v>
      </c>
      <c r="G837" s="24" t="s">
        <v>418</v>
      </c>
      <c r="H837" s="24" t="s">
        <v>594</v>
      </c>
      <c r="I837" s="32" t="s">
        <v>2815</v>
      </c>
      <c r="J837" s="24">
        <v>38.03</v>
      </c>
      <c r="K837" s="24">
        <v>-84.51</v>
      </c>
      <c r="L837" s="24">
        <v>299.60000000000002</v>
      </c>
      <c r="R837" s="42">
        <v>4</v>
      </c>
      <c r="S837" s="42" t="s">
        <v>1722</v>
      </c>
      <c r="T837" s="42"/>
      <c r="U837" s="42" t="s">
        <v>1937</v>
      </c>
      <c r="V837" s="42" t="s">
        <v>1379</v>
      </c>
      <c r="W837" s="42" t="s">
        <v>1715</v>
      </c>
      <c r="X837" s="42" t="s">
        <v>1379</v>
      </c>
      <c r="Y837" s="42" t="s">
        <v>1379</v>
      </c>
      <c r="Z837" s="24">
        <v>1.05</v>
      </c>
      <c r="AA837" s="321">
        <v>7.3</v>
      </c>
      <c r="AB837" s="321">
        <v>70.2</v>
      </c>
      <c r="AC837" s="24" t="s">
        <v>450</v>
      </c>
      <c r="AD837" s="24">
        <v>5.48</v>
      </c>
      <c r="AE837" s="24">
        <v>1.1599999999999999</v>
      </c>
      <c r="AG837" s="24" t="s">
        <v>1336</v>
      </c>
      <c r="AH837" s="24" t="s">
        <v>131</v>
      </c>
      <c r="AI837" s="138" t="s">
        <v>131</v>
      </c>
      <c r="AJ837" s="24" t="s">
        <v>132</v>
      </c>
      <c r="AK837" s="140" t="s">
        <v>132</v>
      </c>
      <c r="AW837" s="24" t="s">
        <v>119</v>
      </c>
      <c r="AX837" s="24">
        <v>2</v>
      </c>
      <c r="AZ837" s="24" t="s">
        <v>141</v>
      </c>
      <c r="BD837" s="53"/>
      <c r="BP837" s="395"/>
      <c r="BQ837" s="395"/>
      <c r="BU837" s="395"/>
      <c r="BV837" s="395"/>
      <c r="BZ837" s="395"/>
      <c r="CA837" s="395"/>
      <c r="CE837" s="548"/>
      <c r="CF837" s="548"/>
      <c r="CG837" s="548"/>
      <c r="CH837" s="548"/>
      <c r="FB837" s="24">
        <v>1.59</v>
      </c>
      <c r="FC837" s="24">
        <v>15.62</v>
      </c>
      <c r="FF837" s="24" t="s">
        <v>595</v>
      </c>
      <c r="JB837" s="24" t="s">
        <v>727</v>
      </c>
    </row>
    <row r="838" spans="1:262" s="24" customFormat="1" x14ac:dyDescent="0.25">
      <c r="A838" s="24">
        <v>41</v>
      </c>
      <c r="B838" s="42" t="s">
        <v>3949</v>
      </c>
      <c r="C838" s="24" t="s">
        <v>591</v>
      </c>
      <c r="D838" s="24" t="s">
        <v>592</v>
      </c>
      <c r="E838" s="24">
        <v>1994</v>
      </c>
      <c r="F838" s="24">
        <v>1988</v>
      </c>
      <c r="G838" s="24" t="s">
        <v>418</v>
      </c>
      <c r="H838" s="24" t="s">
        <v>594</v>
      </c>
      <c r="I838" s="32" t="s">
        <v>2815</v>
      </c>
      <c r="J838" s="24">
        <v>38.03</v>
      </c>
      <c r="K838" s="24">
        <v>-84.51</v>
      </c>
      <c r="L838" s="24">
        <v>299.60000000000002</v>
      </c>
      <c r="R838" s="42">
        <v>4</v>
      </c>
      <c r="S838" s="42" t="s">
        <v>1722</v>
      </c>
      <c r="T838" s="42"/>
      <c r="U838" s="42" t="s">
        <v>1938</v>
      </c>
      <c r="V838" s="42" t="s">
        <v>1379</v>
      </c>
      <c r="W838" s="42" t="s">
        <v>1715</v>
      </c>
      <c r="X838" s="42" t="s">
        <v>1379</v>
      </c>
      <c r="Y838" s="42" t="s">
        <v>1379</v>
      </c>
      <c r="Z838" s="24">
        <v>1.05</v>
      </c>
      <c r="AA838" s="321">
        <v>7.3</v>
      </c>
      <c r="AB838" s="321">
        <v>70.2</v>
      </c>
      <c r="AC838" s="24" t="s">
        <v>450</v>
      </c>
      <c r="AD838" s="24">
        <v>5.48</v>
      </c>
      <c r="AE838" s="24">
        <v>1.1599999999999999</v>
      </c>
      <c r="AG838" s="24" t="s">
        <v>1336</v>
      </c>
      <c r="AH838" s="24" t="s">
        <v>131</v>
      </c>
      <c r="AI838" s="138" t="s">
        <v>131</v>
      </c>
      <c r="AJ838" s="24" t="s">
        <v>132</v>
      </c>
      <c r="AK838" s="140" t="s">
        <v>132</v>
      </c>
      <c r="AW838" s="24" t="s">
        <v>119</v>
      </c>
      <c r="AX838" s="24">
        <v>2</v>
      </c>
      <c r="AZ838" s="24" t="s">
        <v>141</v>
      </c>
      <c r="BD838" s="53"/>
      <c r="BP838" s="395"/>
      <c r="BQ838" s="395"/>
      <c r="BU838" s="395"/>
      <c r="BV838" s="395"/>
      <c r="BZ838" s="395"/>
      <c r="CA838" s="395"/>
      <c r="CE838" s="548"/>
      <c r="CF838" s="548"/>
      <c r="CG838" s="548"/>
      <c r="CH838" s="548"/>
      <c r="FB838" s="24">
        <v>4.8499999999999996</v>
      </c>
      <c r="FC838" s="24">
        <v>10.67</v>
      </c>
      <c r="FF838" s="24" t="s">
        <v>595</v>
      </c>
      <c r="JB838" s="24" t="s">
        <v>727</v>
      </c>
    </row>
    <row r="839" spans="1:262" s="24" customFormat="1" x14ac:dyDescent="0.25">
      <c r="A839" s="24">
        <v>41</v>
      </c>
      <c r="B839" s="42" t="s">
        <v>3949</v>
      </c>
      <c r="C839" s="24" t="s">
        <v>591</v>
      </c>
      <c r="D839" s="24" t="s">
        <v>592</v>
      </c>
      <c r="E839" s="24">
        <v>1994</v>
      </c>
      <c r="F839" s="24">
        <v>1988</v>
      </c>
      <c r="G839" s="24" t="s">
        <v>418</v>
      </c>
      <c r="H839" s="24" t="s">
        <v>594</v>
      </c>
      <c r="I839" s="32" t="s">
        <v>2815</v>
      </c>
      <c r="J839" s="24">
        <v>38.03</v>
      </c>
      <c r="K839" s="24">
        <v>-84.51</v>
      </c>
      <c r="L839" s="24">
        <v>299.60000000000002</v>
      </c>
      <c r="R839" s="42">
        <v>4</v>
      </c>
      <c r="S839" s="42" t="s">
        <v>1722</v>
      </c>
      <c r="T839" s="42"/>
      <c r="U839" s="42" t="s">
        <v>1939</v>
      </c>
      <c r="V839" s="42" t="s">
        <v>1379</v>
      </c>
      <c r="W839" s="42" t="s">
        <v>1715</v>
      </c>
      <c r="X839" s="42" t="s">
        <v>1379</v>
      </c>
      <c r="Y839" s="42" t="s">
        <v>1379</v>
      </c>
      <c r="Z839" s="24">
        <v>1.05</v>
      </c>
      <c r="AA839" s="321">
        <v>7.3</v>
      </c>
      <c r="AB839" s="321">
        <v>70.2</v>
      </c>
      <c r="AC839" s="24" t="s">
        <v>450</v>
      </c>
      <c r="AD839" s="24">
        <v>5.48</v>
      </c>
      <c r="AE839" s="24">
        <v>1.1599999999999999</v>
      </c>
      <c r="AG839" s="24" t="s">
        <v>1336</v>
      </c>
      <c r="AH839" s="24" t="s">
        <v>131</v>
      </c>
      <c r="AI839" s="138" t="s">
        <v>131</v>
      </c>
      <c r="AJ839" s="24" t="s">
        <v>132</v>
      </c>
      <c r="AK839" s="140" t="s">
        <v>132</v>
      </c>
      <c r="AW839" s="24" t="s">
        <v>119</v>
      </c>
      <c r="AX839" s="24">
        <v>2</v>
      </c>
      <c r="AZ839" s="24" t="s">
        <v>141</v>
      </c>
      <c r="BD839" s="53"/>
      <c r="BP839" s="395"/>
      <c r="BQ839" s="395"/>
      <c r="BU839" s="395"/>
      <c r="BV839" s="395"/>
      <c r="BZ839" s="395"/>
      <c r="CA839" s="395"/>
      <c r="CE839" s="548"/>
      <c r="CF839" s="548"/>
      <c r="CG839" s="548"/>
      <c r="CH839" s="548"/>
      <c r="FB839" s="24">
        <v>0.13</v>
      </c>
      <c r="FC839" s="24">
        <v>4.4400000000000004</v>
      </c>
      <c r="FF839" s="24" t="s">
        <v>595</v>
      </c>
      <c r="JB839" s="24" t="s">
        <v>727</v>
      </c>
    </row>
    <row r="840" spans="1:262" s="24" customFormat="1" x14ac:dyDescent="0.25">
      <c r="A840" s="24">
        <v>41</v>
      </c>
      <c r="B840" s="42" t="s">
        <v>3949</v>
      </c>
      <c r="C840" s="24" t="s">
        <v>591</v>
      </c>
      <c r="D840" s="24" t="s">
        <v>592</v>
      </c>
      <c r="E840" s="24">
        <v>1994</v>
      </c>
      <c r="F840" s="24">
        <v>1988</v>
      </c>
      <c r="G840" s="24" t="s">
        <v>418</v>
      </c>
      <c r="H840" s="24" t="s">
        <v>594</v>
      </c>
      <c r="I840" s="32" t="s">
        <v>2815</v>
      </c>
      <c r="J840" s="24">
        <v>38.03</v>
      </c>
      <c r="K840" s="24">
        <v>-84.51</v>
      </c>
      <c r="L840" s="24">
        <v>299.60000000000002</v>
      </c>
      <c r="R840" s="42">
        <v>4</v>
      </c>
      <c r="S840" s="42" t="s">
        <v>1722</v>
      </c>
      <c r="T840" s="42"/>
      <c r="U840" s="42" t="s">
        <v>1939</v>
      </c>
      <c r="V840" s="42" t="s">
        <v>1379</v>
      </c>
      <c r="W840" s="42" t="s">
        <v>1715</v>
      </c>
      <c r="X840" s="42" t="s">
        <v>1379</v>
      </c>
      <c r="Y840" s="42" t="s">
        <v>1379</v>
      </c>
      <c r="Z840" s="24">
        <v>1.05</v>
      </c>
      <c r="AA840" s="321">
        <v>7.3</v>
      </c>
      <c r="AB840" s="321">
        <v>70.2</v>
      </c>
      <c r="AC840" s="24" t="s">
        <v>450</v>
      </c>
      <c r="AD840" s="24">
        <v>5.48</v>
      </c>
      <c r="AE840" s="24">
        <v>1.1599999999999999</v>
      </c>
      <c r="AG840" s="24" t="s">
        <v>1336</v>
      </c>
      <c r="AH840" s="24" t="s">
        <v>131</v>
      </c>
      <c r="AI840" s="138" t="s">
        <v>131</v>
      </c>
      <c r="AJ840" s="24" t="s">
        <v>132</v>
      </c>
      <c r="AK840" s="140" t="s">
        <v>132</v>
      </c>
      <c r="AW840" s="24" t="s">
        <v>119</v>
      </c>
      <c r="AX840" s="24">
        <v>2</v>
      </c>
      <c r="AZ840" s="24" t="s">
        <v>141</v>
      </c>
      <c r="BD840" s="53"/>
      <c r="BP840" s="395"/>
      <c r="BQ840" s="395"/>
      <c r="BU840" s="395"/>
      <c r="BV840" s="395"/>
      <c r="BZ840" s="395"/>
      <c r="CA840" s="395"/>
      <c r="CE840" s="548"/>
      <c r="CF840" s="548"/>
      <c r="CG840" s="548"/>
      <c r="CH840" s="548"/>
      <c r="FB840" s="24">
        <v>72.64</v>
      </c>
      <c r="FC840" s="24">
        <v>95.51</v>
      </c>
      <c r="FF840" s="24" t="s">
        <v>595</v>
      </c>
      <c r="JB840" s="24" t="s">
        <v>727</v>
      </c>
    </row>
    <row r="841" spans="1:262" s="24" customFormat="1" x14ac:dyDescent="0.25">
      <c r="A841" s="24">
        <v>41</v>
      </c>
      <c r="B841" s="42" t="s">
        <v>3949</v>
      </c>
      <c r="C841" s="24" t="s">
        <v>591</v>
      </c>
      <c r="D841" s="24" t="s">
        <v>592</v>
      </c>
      <c r="E841" s="24">
        <v>1994</v>
      </c>
      <c r="F841" s="24">
        <v>1988</v>
      </c>
      <c r="G841" s="24" t="s">
        <v>418</v>
      </c>
      <c r="H841" s="24" t="s">
        <v>594</v>
      </c>
      <c r="I841" s="32" t="s">
        <v>2815</v>
      </c>
      <c r="J841" s="24">
        <v>38.03</v>
      </c>
      <c r="K841" s="24">
        <v>-84.51</v>
      </c>
      <c r="L841" s="24">
        <v>299.60000000000002</v>
      </c>
      <c r="R841" s="42">
        <v>4</v>
      </c>
      <c r="S841" s="42" t="s">
        <v>1722</v>
      </c>
      <c r="T841" s="42"/>
      <c r="U841" s="42" t="s">
        <v>1945</v>
      </c>
      <c r="V841" s="42" t="s">
        <v>1379</v>
      </c>
      <c r="W841" s="42" t="s">
        <v>1715</v>
      </c>
      <c r="X841" s="42" t="s">
        <v>1379</v>
      </c>
      <c r="Y841" s="42" t="s">
        <v>1379</v>
      </c>
      <c r="Z841" s="24">
        <v>1.05</v>
      </c>
      <c r="AA841" s="321">
        <v>7.3</v>
      </c>
      <c r="AB841" s="321">
        <v>70.2</v>
      </c>
      <c r="AC841" s="24" t="s">
        <v>450</v>
      </c>
      <c r="AD841" s="24">
        <v>5.48</v>
      </c>
      <c r="AE841" s="24">
        <v>1.1599999999999999</v>
      </c>
      <c r="AG841" s="24" t="s">
        <v>1336</v>
      </c>
      <c r="AH841" s="24" t="s">
        <v>131</v>
      </c>
      <c r="AI841" s="138" t="s">
        <v>131</v>
      </c>
      <c r="AJ841" s="24" t="s">
        <v>132</v>
      </c>
      <c r="AK841" s="140" t="s">
        <v>132</v>
      </c>
      <c r="AW841" s="24" t="s">
        <v>119</v>
      </c>
      <c r="AX841" s="24">
        <v>2</v>
      </c>
      <c r="AZ841" s="24" t="s">
        <v>141</v>
      </c>
      <c r="BD841" s="53"/>
      <c r="BP841" s="395"/>
      <c r="BQ841" s="395"/>
      <c r="BU841" s="395"/>
      <c r="BV841" s="395"/>
      <c r="BZ841" s="395"/>
      <c r="CA841" s="395"/>
      <c r="CE841" s="548"/>
      <c r="CF841" s="548"/>
      <c r="CG841" s="548"/>
      <c r="CH841" s="548"/>
      <c r="FB841" s="24">
        <v>28.22</v>
      </c>
      <c r="FC841" s="24">
        <v>32.53</v>
      </c>
      <c r="FF841" s="24" t="s">
        <v>595</v>
      </c>
      <c r="JB841" s="24" t="s">
        <v>727</v>
      </c>
    </row>
    <row r="842" spans="1:262" s="24" customFormat="1" x14ac:dyDescent="0.25">
      <c r="A842" s="24">
        <v>41</v>
      </c>
      <c r="B842" s="42" t="s">
        <v>3949</v>
      </c>
      <c r="C842" s="24" t="s">
        <v>591</v>
      </c>
      <c r="D842" s="24" t="s">
        <v>592</v>
      </c>
      <c r="E842" s="24">
        <v>1994</v>
      </c>
      <c r="F842" s="24">
        <v>1988</v>
      </c>
      <c r="G842" s="24" t="s">
        <v>418</v>
      </c>
      <c r="H842" s="24" t="s">
        <v>594</v>
      </c>
      <c r="I842" s="32" t="s">
        <v>2815</v>
      </c>
      <c r="J842" s="24">
        <v>38.03</v>
      </c>
      <c r="K842" s="24">
        <v>-84.51</v>
      </c>
      <c r="L842" s="24">
        <v>299.60000000000002</v>
      </c>
      <c r="R842" s="42">
        <v>4</v>
      </c>
      <c r="S842" s="42" t="s">
        <v>1722</v>
      </c>
      <c r="T842" s="42"/>
      <c r="U842" s="42" t="s">
        <v>1945</v>
      </c>
      <c r="V842" s="42" t="s">
        <v>1379</v>
      </c>
      <c r="W842" s="42" t="s">
        <v>1715</v>
      </c>
      <c r="X842" s="42" t="s">
        <v>1379</v>
      </c>
      <c r="Y842" s="42" t="s">
        <v>1379</v>
      </c>
      <c r="Z842" s="24">
        <v>1.05</v>
      </c>
      <c r="AA842" s="321">
        <v>7.3</v>
      </c>
      <c r="AB842" s="321">
        <v>70.2</v>
      </c>
      <c r="AC842" s="24" t="s">
        <v>450</v>
      </c>
      <c r="AD842" s="24">
        <v>5.48</v>
      </c>
      <c r="AE842" s="24">
        <v>1.1599999999999999</v>
      </c>
      <c r="AG842" s="24" t="s">
        <v>1336</v>
      </c>
      <c r="AH842" s="24" t="s">
        <v>131</v>
      </c>
      <c r="AI842" s="138" t="s">
        <v>131</v>
      </c>
      <c r="AJ842" s="24" t="s">
        <v>132</v>
      </c>
      <c r="AK842" s="140" t="s">
        <v>132</v>
      </c>
      <c r="AW842" s="24" t="s">
        <v>119</v>
      </c>
      <c r="AX842" s="24">
        <v>2</v>
      </c>
      <c r="AZ842" s="24" t="s">
        <v>141</v>
      </c>
      <c r="BD842" s="53"/>
      <c r="BP842" s="395"/>
      <c r="BQ842" s="395"/>
      <c r="BU842" s="395"/>
      <c r="BV842" s="395"/>
      <c r="BZ842" s="395"/>
      <c r="CA842" s="395"/>
      <c r="CE842" s="548"/>
      <c r="CF842" s="548"/>
      <c r="CG842" s="548"/>
      <c r="CH842" s="548"/>
      <c r="FB842" s="24">
        <v>73.099999999999994</v>
      </c>
      <c r="FC842" s="24">
        <v>69.22</v>
      </c>
      <c r="FF842" s="24" t="s">
        <v>595</v>
      </c>
      <c r="JB842" s="24" t="s">
        <v>727</v>
      </c>
    </row>
    <row r="843" spans="1:262" s="24" customFormat="1" x14ac:dyDescent="0.25">
      <c r="A843" s="24">
        <v>41</v>
      </c>
      <c r="B843" s="42" t="s">
        <v>3949</v>
      </c>
      <c r="C843" s="24" t="s">
        <v>591</v>
      </c>
      <c r="D843" s="24" t="s">
        <v>592</v>
      </c>
      <c r="E843" s="24">
        <v>1994</v>
      </c>
      <c r="F843" s="24">
        <v>1988</v>
      </c>
      <c r="G843" s="24" t="s">
        <v>418</v>
      </c>
      <c r="H843" s="24" t="s">
        <v>594</v>
      </c>
      <c r="I843" s="32" t="s">
        <v>2815</v>
      </c>
      <c r="J843" s="24">
        <v>38.03</v>
      </c>
      <c r="K843" s="24">
        <v>-84.51</v>
      </c>
      <c r="L843" s="24">
        <v>299.60000000000002</v>
      </c>
      <c r="R843" s="42">
        <v>4</v>
      </c>
      <c r="S843" s="42" t="s">
        <v>1722</v>
      </c>
      <c r="T843" s="42"/>
      <c r="U843" s="42" t="s">
        <v>1945</v>
      </c>
      <c r="V843" s="42" t="s">
        <v>1379</v>
      </c>
      <c r="W843" s="42" t="s">
        <v>1715</v>
      </c>
      <c r="X843" s="42" t="s">
        <v>1379</v>
      </c>
      <c r="Y843" s="42" t="s">
        <v>1379</v>
      </c>
      <c r="Z843" s="24">
        <v>1.05</v>
      </c>
      <c r="AA843" s="321">
        <v>7.3</v>
      </c>
      <c r="AB843" s="321">
        <v>70.2</v>
      </c>
      <c r="AC843" s="24" t="s">
        <v>450</v>
      </c>
      <c r="AD843" s="24">
        <v>5.48</v>
      </c>
      <c r="AE843" s="24">
        <v>1.1599999999999999</v>
      </c>
      <c r="AG843" s="24" t="s">
        <v>1336</v>
      </c>
      <c r="AH843" s="24" t="s">
        <v>131</v>
      </c>
      <c r="AI843" s="138" t="s">
        <v>131</v>
      </c>
      <c r="AJ843" s="24" t="s">
        <v>132</v>
      </c>
      <c r="AK843" s="140" t="s">
        <v>132</v>
      </c>
      <c r="AW843" s="24" t="s">
        <v>119</v>
      </c>
      <c r="AX843" s="24">
        <v>2</v>
      </c>
      <c r="AZ843" s="24" t="s">
        <v>141</v>
      </c>
      <c r="BD843" s="53"/>
      <c r="BP843" s="395"/>
      <c r="BQ843" s="395"/>
      <c r="BU843" s="395"/>
      <c r="BV843" s="395"/>
      <c r="BZ843" s="395"/>
      <c r="CA843" s="395"/>
      <c r="CE843" s="548"/>
      <c r="CF843" s="548"/>
      <c r="CG843" s="548"/>
      <c r="CH843" s="548"/>
      <c r="FB843" s="24">
        <v>92.54</v>
      </c>
      <c r="FC843" s="24">
        <v>83.7</v>
      </c>
      <c r="FF843" s="24" t="s">
        <v>595</v>
      </c>
      <c r="JB843" s="24" t="s">
        <v>727</v>
      </c>
    </row>
    <row r="844" spans="1:262" s="32" customFormat="1" x14ac:dyDescent="0.25">
      <c r="A844" s="32">
        <v>41</v>
      </c>
      <c r="B844" s="44" t="s">
        <v>3949</v>
      </c>
      <c r="C844" s="32" t="s">
        <v>591</v>
      </c>
      <c r="D844" s="32" t="s">
        <v>592</v>
      </c>
      <c r="E844" s="32">
        <v>1994</v>
      </c>
      <c r="F844" s="32">
        <v>1989</v>
      </c>
      <c r="G844" s="32" t="s">
        <v>418</v>
      </c>
      <c r="H844" s="32" t="s">
        <v>594</v>
      </c>
      <c r="I844" s="32" t="s">
        <v>2815</v>
      </c>
      <c r="J844" s="32">
        <v>38.03</v>
      </c>
      <c r="K844" s="32">
        <v>-84.51</v>
      </c>
      <c r="L844" s="32">
        <v>299.60000000000002</v>
      </c>
      <c r="R844" s="44">
        <v>5</v>
      </c>
      <c r="S844" s="44" t="s">
        <v>1722</v>
      </c>
      <c r="T844" s="44"/>
      <c r="U844" s="44" t="s">
        <v>602</v>
      </c>
      <c r="V844" s="44" t="s">
        <v>1379</v>
      </c>
      <c r="W844" s="44" t="s">
        <v>1715</v>
      </c>
      <c r="X844" s="44" t="s">
        <v>1379</v>
      </c>
      <c r="Y844" s="44" t="s">
        <v>1379</v>
      </c>
      <c r="Z844" s="32">
        <v>1.05</v>
      </c>
      <c r="AA844" s="323">
        <v>7.3</v>
      </c>
      <c r="AB844" s="323">
        <v>70.2</v>
      </c>
      <c r="AC844" s="32" t="s">
        <v>450</v>
      </c>
      <c r="AD844" s="32">
        <v>5.48</v>
      </c>
      <c r="AE844" s="32">
        <v>1.1599999999999999</v>
      </c>
      <c r="AG844" s="32" t="s">
        <v>1336</v>
      </c>
      <c r="AH844" s="32" t="s">
        <v>131</v>
      </c>
      <c r="AI844" s="138" t="s">
        <v>131</v>
      </c>
      <c r="AJ844" s="32" t="s">
        <v>132</v>
      </c>
      <c r="AK844" s="140" t="s">
        <v>132</v>
      </c>
      <c r="AW844" s="32" t="s">
        <v>119</v>
      </c>
      <c r="AX844" s="32">
        <v>2</v>
      </c>
      <c r="AZ844" s="32" t="s">
        <v>141</v>
      </c>
      <c r="BD844" s="53"/>
      <c r="BP844" s="397"/>
      <c r="BQ844" s="397"/>
      <c r="BU844" s="397"/>
      <c r="BV844" s="397"/>
      <c r="BZ844" s="397"/>
      <c r="CA844" s="397"/>
      <c r="CE844" s="550"/>
      <c r="CF844" s="550"/>
      <c r="CG844" s="550"/>
      <c r="CH844" s="550"/>
      <c r="FB844" s="32">
        <v>91.05</v>
      </c>
      <c r="FC844" s="32">
        <v>89.54</v>
      </c>
      <c r="FF844" s="32" t="s">
        <v>595</v>
      </c>
      <c r="JB844" s="32" t="s">
        <v>727</v>
      </c>
    </row>
    <row r="845" spans="1:262" s="32" customFormat="1" x14ac:dyDescent="0.25">
      <c r="A845" s="32">
        <v>41</v>
      </c>
      <c r="B845" s="44" t="s">
        <v>3949</v>
      </c>
      <c r="C845" s="32" t="s">
        <v>591</v>
      </c>
      <c r="D845" s="32" t="s">
        <v>592</v>
      </c>
      <c r="E845" s="32">
        <v>1994</v>
      </c>
      <c r="F845" s="32">
        <v>1989</v>
      </c>
      <c r="G845" s="32" t="s">
        <v>418</v>
      </c>
      <c r="H845" s="32" t="s">
        <v>594</v>
      </c>
      <c r="I845" s="32" t="s">
        <v>2815</v>
      </c>
      <c r="J845" s="32">
        <v>38.03</v>
      </c>
      <c r="K845" s="32">
        <v>-84.51</v>
      </c>
      <c r="L845" s="32">
        <v>299.60000000000002</v>
      </c>
      <c r="R845" s="44">
        <v>5</v>
      </c>
      <c r="S845" s="44" t="s">
        <v>1722</v>
      </c>
      <c r="T845" s="44"/>
      <c r="U845" s="44" t="s">
        <v>603</v>
      </c>
      <c r="V845" s="44" t="s">
        <v>1379</v>
      </c>
      <c r="W845" s="44" t="s">
        <v>1715</v>
      </c>
      <c r="X845" s="44" t="s">
        <v>1379</v>
      </c>
      <c r="Y845" s="44" t="s">
        <v>1379</v>
      </c>
      <c r="Z845" s="32">
        <v>1.05</v>
      </c>
      <c r="AA845" s="323">
        <v>7.3</v>
      </c>
      <c r="AB845" s="323">
        <v>70.2</v>
      </c>
      <c r="AC845" s="32" t="s">
        <v>450</v>
      </c>
      <c r="AD845" s="32">
        <v>5.48</v>
      </c>
      <c r="AE845" s="32">
        <v>1.1599999999999999</v>
      </c>
      <c r="AG845" s="32" t="s">
        <v>1336</v>
      </c>
      <c r="AH845" s="32" t="s">
        <v>131</v>
      </c>
      <c r="AI845" s="138" t="s">
        <v>131</v>
      </c>
      <c r="AJ845" s="32" t="s">
        <v>132</v>
      </c>
      <c r="AK845" s="140" t="s">
        <v>132</v>
      </c>
      <c r="AW845" s="32" t="s">
        <v>119</v>
      </c>
      <c r="AX845" s="32">
        <v>2</v>
      </c>
      <c r="AZ845" s="32" t="s">
        <v>141</v>
      </c>
      <c r="BD845" s="53"/>
      <c r="BP845" s="397"/>
      <c r="BQ845" s="397"/>
      <c r="BU845" s="397"/>
      <c r="BV845" s="397"/>
      <c r="BZ845" s="397"/>
      <c r="CA845" s="397"/>
      <c r="CE845" s="550"/>
      <c r="CF845" s="550"/>
      <c r="CG845" s="550"/>
      <c r="CH845" s="550"/>
      <c r="FB845" s="32">
        <v>79.84</v>
      </c>
      <c r="FC845" s="32">
        <v>81.349999999999994</v>
      </c>
      <c r="FF845" s="32" t="s">
        <v>595</v>
      </c>
      <c r="JB845" s="32" t="s">
        <v>727</v>
      </c>
    </row>
    <row r="846" spans="1:262" s="32" customFormat="1" x14ac:dyDescent="0.25">
      <c r="A846" s="32">
        <v>41</v>
      </c>
      <c r="B846" s="44" t="s">
        <v>3949</v>
      </c>
      <c r="C846" s="32" t="s">
        <v>591</v>
      </c>
      <c r="D846" s="32" t="s">
        <v>592</v>
      </c>
      <c r="E846" s="32">
        <v>1994</v>
      </c>
      <c r="F846" s="32">
        <v>1989</v>
      </c>
      <c r="G846" s="32" t="s">
        <v>418</v>
      </c>
      <c r="H846" s="32" t="s">
        <v>594</v>
      </c>
      <c r="I846" s="32" t="s">
        <v>2815</v>
      </c>
      <c r="J846" s="32">
        <v>38.03</v>
      </c>
      <c r="K846" s="32">
        <v>-84.51</v>
      </c>
      <c r="L846" s="32">
        <v>299.60000000000002</v>
      </c>
      <c r="R846" s="44">
        <v>5</v>
      </c>
      <c r="S846" s="44" t="s">
        <v>1722</v>
      </c>
      <c r="T846" s="44"/>
      <c r="U846" s="44" t="s">
        <v>212</v>
      </c>
      <c r="V846" s="44" t="s">
        <v>1379</v>
      </c>
      <c r="W846" s="44" t="s">
        <v>1715</v>
      </c>
      <c r="X846" s="44" t="s">
        <v>1379</v>
      </c>
      <c r="Y846" s="44" t="s">
        <v>1379</v>
      </c>
      <c r="Z846" s="32">
        <v>1.05</v>
      </c>
      <c r="AA846" s="323">
        <v>7.3</v>
      </c>
      <c r="AB846" s="323">
        <v>70.2</v>
      </c>
      <c r="AC846" s="32" t="s">
        <v>450</v>
      </c>
      <c r="AD846" s="32">
        <v>5.48</v>
      </c>
      <c r="AE846" s="32">
        <v>1.1599999999999999</v>
      </c>
      <c r="AG846" s="32" t="s">
        <v>1336</v>
      </c>
      <c r="AH846" s="32" t="s">
        <v>131</v>
      </c>
      <c r="AI846" s="138" t="s">
        <v>131</v>
      </c>
      <c r="AJ846" s="32" t="s">
        <v>132</v>
      </c>
      <c r="AK846" s="140" t="s">
        <v>132</v>
      </c>
      <c r="AW846" s="32" t="s">
        <v>119</v>
      </c>
      <c r="AX846" s="32">
        <v>2</v>
      </c>
      <c r="AZ846" s="32" t="s">
        <v>141</v>
      </c>
      <c r="BD846" s="53"/>
      <c r="BP846" s="397"/>
      <c r="BQ846" s="397"/>
      <c r="BU846" s="397"/>
      <c r="BV846" s="397"/>
      <c r="BZ846" s="397"/>
      <c r="CA846" s="397"/>
      <c r="CE846" s="550"/>
      <c r="CF846" s="550"/>
      <c r="CG846" s="550"/>
      <c r="CH846" s="550"/>
      <c r="FB846" s="32">
        <v>100</v>
      </c>
      <c r="FC846" s="32">
        <v>97</v>
      </c>
      <c r="FF846" s="32" t="s">
        <v>595</v>
      </c>
      <c r="JB846" s="32" t="s">
        <v>727</v>
      </c>
    </row>
    <row r="847" spans="1:262" s="32" customFormat="1" x14ac:dyDescent="0.25">
      <c r="A847" s="32">
        <v>41</v>
      </c>
      <c r="B847" s="44" t="s">
        <v>3949</v>
      </c>
      <c r="C847" s="32" t="s">
        <v>591</v>
      </c>
      <c r="D847" s="32" t="s">
        <v>592</v>
      </c>
      <c r="E847" s="32">
        <v>1994</v>
      </c>
      <c r="F847" s="32">
        <v>1989</v>
      </c>
      <c r="G847" s="32" t="s">
        <v>418</v>
      </c>
      <c r="H847" s="32" t="s">
        <v>594</v>
      </c>
      <c r="I847" s="32" t="s">
        <v>2815</v>
      </c>
      <c r="J847" s="32">
        <v>38.03</v>
      </c>
      <c r="K847" s="32">
        <v>-84.51</v>
      </c>
      <c r="L847" s="32">
        <v>299.60000000000002</v>
      </c>
      <c r="R847" s="44">
        <v>5</v>
      </c>
      <c r="S847" s="44" t="s">
        <v>1722</v>
      </c>
      <c r="T847" s="44"/>
      <c r="U847" s="44" t="s">
        <v>600</v>
      </c>
      <c r="V847" s="44" t="s">
        <v>1379</v>
      </c>
      <c r="W847" s="44" t="s">
        <v>1715</v>
      </c>
      <c r="X847" s="44" t="s">
        <v>1379</v>
      </c>
      <c r="Y847" s="44" t="s">
        <v>1379</v>
      </c>
      <c r="Z847" s="32">
        <v>1.05</v>
      </c>
      <c r="AA847" s="323">
        <v>7.3</v>
      </c>
      <c r="AB847" s="323">
        <v>70.2</v>
      </c>
      <c r="AC847" s="32" t="s">
        <v>450</v>
      </c>
      <c r="AD847" s="32">
        <v>5.48</v>
      </c>
      <c r="AE847" s="32">
        <v>1.1599999999999999</v>
      </c>
      <c r="AG847" s="32" t="s">
        <v>1336</v>
      </c>
      <c r="AH847" s="32" t="s">
        <v>131</v>
      </c>
      <c r="AI847" s="138" t="s">
        <v>131</v>
      </c>
      <c r="AJ847" s="32" t="s">
        <v>132</v>
      </c>
      <c r="AK847" s="140" t="s">
        <v>132</v>
      </c>
      <c r="AW847" s="32" t="s">
        <v>119</v>
      </c>
      <c r="AX847" s="32">
        <v>2</v>
      </c>
      <c r="AZ847" s="32" t="s">
        <v>141</v>
      </c>
      <c r="BD847" s="53"/>
      <c r="BP847" s="397"/>
      <c r="BQ847" s="397"/>
      <c r="BU847" s="397"/>
      <c r="BV847" s="397"/>
      <c r="BZ847" s="397"/>
      <c r="CA847" s="397"/>
      <c r="CE847" s="550"/>
      <c r="CF847" s="550"/>
      <c r="CG847" s="550"/>
      <c r="CH847" s="550"/>
      <c r="FB847" s="32">
        <v>91.73</v>
      </c>
      <c r="FC847" s="32">
        <v>89</v>
      </c>
      <c r="FF847" s="32" t="s">
        <v>595</v>
      </c>
      <c r="JB847" s="32" t="s">
        <v>727</v>
      </c>
    </row>
    <row r="848" spans="1:262" s="32" customFormat="1" x14ac:dyDescent="0.25">
      <c r="A848" s="32">
        <v>41</v>
      </c>
      <c r="B848" s="44" t="s">
        <v>3949</v>
      </c>
      <c r="C848" s="32" t="s">
        <v>591</v>
      </c>
      <c r="D848" s="32" t="s">
        <v>592</v>
      </c>
      <c r="E848" s="32">
        <v>1994</v>
      </c>
      <c r="F848" s="32">
        <v>1989</v>
      </c>
      <c r="G848" s="32" t="s">
        <v>418</v>
      </c>
      <c r="H848" s="32" t="s">
        <v>594</v>
      </c>
      <c r="I848" s="32" t="s">
        <v>2815</v>
      </c>
      <c r="J848" s="32">
        <v>38.03</v>
      </c>
      <c r="K848" s="32">
        <v>-84.51</v>
      </c>
      <c r="L848" s="32">
        <v>299.60000000000002</v>
      </c>
      <c r="R848" s="44">
        <v>5</v>
      </c>
      <c r="S848" s="44" t="s">
        <v>1722</v>
      </c>
      <c r="T848" s="44"/>
      <c r="U848" s="44" t="s">
        <v>201</v>
      </c>
      <c r="V848" s="44" t="s">
        <v>1379</v>
      </c>
      <c r="W848" s="44" t="s">
        <v>1715</v>
      </c>
      <c r="X848" s="44" t="s">
        <v>1379</v>
      </c>
      <c r="Y848" s="44" t="s">
        <v>1379</v>
      </c>
      <c r="Z848" s="32">
        <v>1.05</v>
      </c>
      <c r="AA848" s="323">
        <v>7.3</v>
      </c>
      <c r="AB848" s="323">
        <v>70.2</v>
      </c>
      <c r="AC848" s="32" t="s">
        <v>450</v>
      </c>
      <c r="AD848" s="32">
        <v>5.48</v>
      </c>
      <c r="AE848" s="32">
        <v>1.1599999999999999</v>
      </c>
      <c r="AG848" s="32" t="s">
        <v>1336</v>
      </c>
      <c r="AH848" s="32" t="s">
        <v>131</v>
      </c>
      <c r="AI848" s="138" t="s">
        <v>131</v>
      </c>
      <c r="AJ848" s="32" t="s">
        <v>132</v>
      </c>
      <c r="AK848" s="140" t="s">
        <v>132</v>
      </c>
      <c r="AW848" s="32" t="s">
        <v>119</v>
      </c>
      <c r="AX848" s="32">
        <v>2</v>
      </c>
      <c r="AZ848" s="32" t="s">
        <v>141</v>
      </c>
      <c r="BD848" s="53"/>
      <c r="BP848" s="397"/>
      <c r="BQ848" s="397"/>
      <c r="BU848" s="397"/>
      <c r="BV848" s="397"/>
      <c r="BZ848" s="397"/>
      <c r="CA848" s="397"/>
      <c r="CE848" s="550"/>
      <c r="CF848" s="550"/>
      <c r="CG848" s="550"/>
      <c r="CH848" s="550"/>
      <c r="FB848" s="32">
        <v>73.400000000000006</v>
      </c>
      <c r="FC848" s="32">
        <v>76.209999999999994</v>
      </c>
      <c r="FF848" s="32" t="s">
        <v>595</v>
      </c>
      <c r="JB848" s="32" t="s">
        <v>727</v>
      </c>
    </row>
    <row r="849" spans="1:262" s="32" customFormat="1" x14ac:dyDescent="0.25">
      <c r="A849" s="32">
        <v>41</v>
      </c>
      <c r="B849" s="44" t="s">
        <v>3949</v>
      </c>
      <c r="C849" s="32" t="s">
        <v>591</v>
      </c>
      <c r="D849" s="32" t="s">
        <v>592</v>
      </c>
      <c r="E849" s="32">
        <v>1994</v>
      </c>
      <c r="F849" s="32">
        <v>1989</v>
      </c>
      <c r="G849" s="32" t="s">
        <v>418</v>
      </c>
      <c r="H849" s="32" t="s">
        <v>594</v>
      </c>
      <c r="I849" s="32" t="s">
        <v>2815</v>
      </c>
      <c r="J849" s="32">
        <v>38.03</v>
      </c>
      <c r="K849" s="32">
        <v>-84.51</v>
      </c>
      <c r="L849" s="32">
        <v>299.60000000000002</v>
      </c>
      <c r="R849" s="44">
        <v>5</v>
      </c>
      <c r="S849" s="44" t="s">
        <v>1722</v>
      </c>
      <c r="T849" s="44"/>
      <c r="U849" s="44" t="s">
        <v>596</v>
      </c>
      <c r="V849" s="44" t="s">
        <v>1379</v>
      </c>
      <c r="W849" s="44" t="s">
        <v>1715</v>
      </c>
      <c r="X849" s="44" t="s">
        <v>1379</v>
      </c>
      <c r="Y849" s="44" t="s">
        <v>1379</v>
      </c>
      <c r="Z849" s="32">
        <v>1.05</v>
      </c>
      <c r="AA849" s="323">
        <v>7.3</v>
      </c>
      <c r="AB849" s="323">
        <v>70.2</v>
      </c>
      <c r="AC849" s="32" t="s">
        <v>450</v>
      </c>
      <c r="AD849" s="32">
        <v>5.48</v>
      </c>
      <c r="AE849" s="32">
        <v>1.1599999999999999</v>
      </c>
      <c r="AG849" s="32" t="s">
        <v>1336</v>
      </c>
      <c r="AH849" s="32" t="s">
        <v>131</v>
      </c>
      <c r="AI849" s="138" t="s">
        <v>131</v>
      </c>
      <c r="AJ849" s="32" t="s">
        <v>132</v>
      </c>
      <c r="AK849" s="140" t="s">
        <v>132</v>
      </c>
      <c r="AW849" s="32" t="s">
        <v>119</v>
      </c>
      <c r="AX849" s="32">
        <v>2</v>
      </c>
      <c r="AZ849" s="32" t="s">
        <v>141</v>
      </c>
      <c r="BD849" s="53"/>
      <c r="BP849" s="397"/>
      <c r="BQ849" s="397"/>
      <c r="BU849" s="397"/>
      <c r="BV849" s="397"/>
      <c r="BZ849" s="397"/>
      <c r="CA849" s="397"/>
      <c r="CE849" s="550"/>
      <c r="CF849" s="550"/>
      <c r="CG849" s="550"/>
      <c r="CH849" s="550"/>
      <c r="FB849" s="32">
        <v>59.4</v>
      </c>
      <c r="FC849" s="32">
        <v>50.55</v>
      </c>
      <c r="FF849" s="32" t="s">
        <v>595</v>
      </c>
      <c r="JB849" s="32" t="s">
        <v>727</v>
      </c>
    </row>
    <row r="850" spans="1:262" s="32" customFormat="1" x14ac:dyDescent="0.25">
      <c r="A850" s="32">
        <v>41</v>
      </c>
      <c r="B850" s="44" t="s">
        <v>3949</v>
      </c>
      <c r="C850" s="32" t="s">
        <v>591</v>
      </c>
      <c r="D850" s="32" t="s">
        <v>592</v>
      </c>
      <c r="E850" s="32">
        <v>1994</v>
      </c>
      <c r="F850" s="32">
        <v>1989</v>
      </c>
      <c r="G850" s="32" t="s">
        <v>418</v>
      </c>
      <c r="H850" s="32" t="s">
        <v>594</v>
      </c>
      <c r="I850" s="32" t="s">
        <v>2815</v>
      </c>
      <c r="J850" s="32">
        <v>38.03</v>
      </c>
      <c r="K850" s="32">
        <v>-84.51</v>
      </c>
      <c r="L850" s="32">
        <v>299.60000000000002</v>
      </c>
      <c r="R850" s="44">
        <v>5</v>
      </c>
      <c r="S850" s="44" t="s">
        <v>1722</v>
      </c>
      <c r="T850" s="44"/>
      <c r="U850" s="44" t="s">
        <v>226</v>
      </c>
      <c r="V850" s="44" t="s">
        <v>1379</v>
      </c>
      <c r="W850" s="44" t="s">
        <v>1715</v>
      </c>
      <c r="X850" s="44" t="s">
        <v>1379</v>
      </c>
      <c r="Y850" s="44" t="s">
        <v>1379</v>
      </c>
      <c r="Z850" s="32">
        <v>1.05</v>
      </c>
      <c r="AA850" s="323">
        <v>7.3</v>
      </c>
      <c r="AB850" s="323">
        <v>70.2</v>
      </c>
      <c r="AC850" s="32" t="s">
        <v>450</v>
      </c>
      <c r="AD850" s="32">
        <v>5.48</v>
      </c>
      <c r="AE850" s="32">
        <v>1.1599999999999999</v>
      </c>
      <c r="AG850" s="32" t="s">
        <v>1336</v>
      </c>
      <c r="AH850" s="32" t="s">
        <v>131</v>
      </c>
      <c r="AI850" s="138" t="s">
        <v>131</v>
      </c>
      <c r="AJ850" s="32" t="s">
        <v>132</v>
      </c>
      <c r="AK850" s="140" t="s">
        <v>132</v>
      </c>
      <c r="AW850" s="32" t="s">
        <v>119</v>
      </c>
      <c r="AX850" s="32">
        <v>2</v>
      </c>
      <c r="AZ850" s="32" t="s">
        <v>141</v>
      </c>
      <c r="BD850" s="53"/>
      <c r="BP850" s="397"/>
      <c r="BQ850" s="397"/>
      <c r="BU850" s="397"/>
      <c r="BV850" s="397"/>
      <c r="BZ850" s="397"/>
      <c r="CA850" s="397"/>
      <c r="CE850" s="550"/>
      <c r="CF850" s="550"/>
      <c r="CG850" s="550"/>
      <c r="CH850" s="550"/>
      <c r="FB850" s="32">
        <v>63.73</v>
      </c>
      <c r="FC850" s="32">
        <v>46</v>
      </c>
      <c r="FF850" s="32" t="s">
        <v>595</v>
      </c>
      <c r="JB850" s="32" t="s">
        <v>727</v>
      </c>
    </row>
    <row r="851" spans="1:262" s="24" customFormat="1" x14ac:dyDescent="0.25">
      <c r="A851" s="24">
        <v>41</v>
      </c>
      <c r="B851" s="42" t="s">
        <v>3950</v>
      </c>
      <c r="C851" s="24" t="s">
        <v>591</v>
      </c>
      <c r="D851" s="24" t="s">
        <v>592</v>
      </c>
      <c r="E851" s="24">
        <v>1994</v>
      </c>
      <c r="F851" s="24">
        <v>1986</v>
      </c>
      <c r="G851" s="24" t="s">
        <v>418</v>
      </c>
      <c r="H851" s="24" t="s">
        <v>594</v>
      </c>
      <c r="I851" s="32" t="s">
        <v>2815</v>
      </c>
      <c r="J851" s="24">
        <v>38.03</v>
      </c>
      <c r="K851" s="24">
        <v>-84.51</v>
      </c>
      <c r="L851" s="24">
        <v>299.60000000000002</v>
      </c>
      <c r="R851" s="42">
        <v>2</v>
      </c>
      <c r="S851" s="42" t="s">
        <v>1722</v>
      </c>
      <c r="T851" s="42"/>
      <c r="U851" s="42" t="s">
        <v>226</v>
      </c>
      <c r="V851" s="42" t="s">
        <v>1379</v>
      </c>
      <c r="W851" s="42" t="s">
        <v>1715</v>
      </c>
      <c r="X851" s="42" t="s">
        <v>1379</v>
      </c>
      <c r="Y851" s="42" t="s">
        <v>1379</v>
      </c>
      <c r="Z851" s="24">
        <v>1.05</v>
      </c>
      <c r="AA851" s="321">
        <v>7.3</v>
      </c>
      <c r="AB851" s="321">
        <v>70.2</v>
      </c>
      <c r="AC851" s="24" t="s">
        <v>450</v>
      </c>
      <c r="AD851" s="24">
        <v>5.48</v>
      </c>
      <c r="AE851" s="24">
        <v>1.1599999999999999</v>
      </c>
      <c r="AG851" s="24" t="s">
        <v>1336</v>
      </c>
      <c r="AH851" s="24" t="s">
        <v>243</v>
      </c>
      <c r="AI851" s="138" t="s">
        <v>577</v>
      </c>
      <c r="AJ851" s="24" t="s">
        <v>132</v>
      </c>
      <c r="AK851" s="140" t="s">
        <v>132</v>
      </c>
      <c r="AW851" s="24" t="s">
        <v>119</v>
      </c>
      <c r="AX851" s="24">
        <v>2</v>
      </c>
      <c r="AZ851" s="24" t="s">
        <v>141</v>
      </c>
      <c r="BD851" s="53"/>
      <c r="BP851" s="395"/>
      <c r="BQ851" s="395"/>
      <c r="BU851" s="395"/>
      <c r="BV851" s="395"/>
      <c r="BZ851" s="395"/>
      <c r="CA851" s="395"/>
      <c r="CE851" s="548"/>
      <c r="CF851" s="548"/>
      <c r="CG851" s="548"/>
      <c r="CH851" s="548"/>
      <c r="FB851" s="24">
        <v>0.4</v>
      </c>
      <c r="FC851" s="24">
        <v>0.51</v>
      </c>
      <c r="FF851" s="24" t="s">
        <v>1683</v>
      </c>
      <c r="JB851" s="24" t="s">
        <v>727</v>
      </c>
    </row>
    <row r="852" spans="1:262" s="24" customFormat="1" x14ac:dyDescent="0.25">
      <c r="A852" s="24">
        <v>41</v>
      </c>
      <c r="B852" s="42" t="s">
        <v>3950</v>
      </c>
      <c r="C852" s="24" t="s">
        <v>591</v>
      </c>
      <c r="D852" s="24" t="s">
        <v>592</v>
      </c>
      <c r="E852" s="24">
        <v>1994</v>
      </c>
      <c r="F852" s="24">
        <v>1986</v>
      </c>
      <c r="G852" s="24" t="s">
        <v>418</v>
      </c>
      <c r="H852" s="24" t="s">
        <v>594</v>
      </c>
      <c r="I852" s="32" t="s">
        <v>2815</v>
      </c>
      <c r="J852" s="24">
        <v>38.03</v>
      </c>
      <c r="K852" s="24">
        <v>-84.51</v>
      </c>
      <c r="L852" s="24">
        <v>299.60000000000002</v>
      </c>
      <c r="R852" s="42">
        <v>2</v>
      </c>
      <c r="S852" s="42" t="s">
        <v>1722</v>
      </c>
      <c r="T852" s="42"/>
      <c r="U852" s="42" t="s">
        <v>597</v>
      </c>
      <c r="V852" s="42" t="s">
        <v>1379</v>
      </c>
      <c r="W852" s="42" t="s">
        <v>1715</v>
      </c>
      <c r="X852" s="42" t="s">
        <v>1379</v>
      </c>
      <c r="Y852" s="42" t="s">
        <v>1379</v>
      </c>
      <c r="Z852" s="24">
        <v>1.05</v>
      </c>
      <c r="AA852" s="321">
        <v>7.3</v>
      </c>
      <c r="AB852" s="321">
        <v>70.2</v>
      </c>
      <c r="AC852" s="24" t="s">
        <v>450</v>
      </c>
      <c r="AD852" s="24">
        <v>5.48</v>
      </c>
      <c r="AE852" s="24">
        <v>1.1599999999999999</v>
      </c>
      <c r="AG852" s="24" t="s">
        <v>1336</v>
      </c>
      <c r="AH852" s="24" t="s">
        <v>243</v>
      </c>
      <c r="AI852" s="138" t="s">
        <v>577</v>
      </c>
      <c r="AJ852" s="24" t="s">
        <v>132</v>
      </c>
      <c r="AK852" s="140" t="s">
        <v>132</v>
      </c>
      <c r="AW852" s="24" t="s">
        <v>119</v>
      </c>
      <c r="AX852" s="24">
        <v>2</v>
      </c>
      <c r="AZ852" s="24" t="s">
        <v>141</v>
      </c>
      <c r="BD852" s="53"/>
      <c r="BP852" s="395"/>
      <c r="BQ852" s="395"/>
      <c r="BU852" s="395"/>
      <c r="BV852" s="395"/>
      <c r="BZ852" s="395"/>
      <c r="CA852" s="395"/>
      <c r="CE852" s="548"/>
      <c r="CF852" s="548"/>
      <c r="CG852" s="548"/>
      <c r="CH852" s="548"/>
      <c r="FB852" s="24">
        <v>0.187</v>
      </c>
      <c r="FC852" s="24">
        <v>0.3</v>
      </c>
      <c r="FF852" s="24" t="s">
        <v>1683</v>
      </c>
      <c r="JB852" s="24" t="s">
        <v>727</v>
      </c>
    </row>
    <row r="853" spans="1:262" s="24" customFormat="1" x14ac:dyDescent="0.25">
      <c r="A853" s="24">
        <v>41</v>
      </c>
      <c r="B853" s="42" t="s">
        <v>3950</v>
      </c>
      <c r="C853" s="24" t="s">
        <v>591</v>
      </c>
      <c r="D853" s="24" t="s">
        <v>592</v>
      </c>
      <c r="E853" s="24">
        <v>1994</v>
      </c>
      <c r="F853" s="24">
        <v>1986</v>
      </c>
      <c r="G853" s="24" t="s">
        <v>418</v>
      </c>
      <c r="H853" s="24" t="s">
        <v>594</v>
      </c>
      <c r="I853" s="32" t="s">
        <v>2815</v>
      </c>
      <c r="J853" s="24">
        <v>38.03</v>
      </c>
      <c r="K853" s="24">
        <v>-84.51</v>
      </c>
      <c r="L853" s="24">
        <v>299.60000000000002</v>
      </c>
      <c r="R853" s="42">
        <v>2</v>
      </c>
      <c r="S853" s="42" t="s">
        <v>1722</v>
      </c>
      <c r="T853" s="42"/>
      <c r="U853" s="42" t="s">
        <v>598</v>
      </c>
      <c r="V853" s="42" t="s">
        <v>1379</v>
      </c>
      <c r="W853" s="42" t="s">
        <v>1715</v>
      </c>
      <c r="X853" s="42" t="s">
        <v>1379</v>
      </c>
      <c r="Y853" s="42" t="s">
        <v>1379</v>
      </c>
      <c r="Z853" s="24">
        <v>1.05</v>
      </c>
      <c r="AA853" s="321">
        <v>7.3</v>
      </c>
      <c r="AB853" s="321">
        <v>70.2</v>
      </c>
      <c r="AC853" s="24" t="s">
        <v>450</v>
      </c>
      <c r="AD853" s="24">
        <v>5.48</v>
      </c>
      <c r="AE853" s="24">
        <v>1.1599999999999999</v>
      </c>
      <c r="AG853" s="24" t="s">
        <v>1336</v>
      </c>
      <c r="AH853" s="24" t="s">
        <v>243</v>
      </c>
      <c r="AI853" s="138" t="s">
        <v>577</v>
      </c>
      <c r="AJ853" s="24" t="s">
        <v>132</v>
      </c>
      <c r="AK853" s="140" t="s">
        <v>132</v>
      </c>
      <c r="AW853" s="24" t="s">
        <v>119</v>
      </c>
      <c r="AX853" s="24">
        <v>2</v>
      </c>
      <c r="AZ853" s="24" t="s">
        <v>141</v>
      </c>
      <c r="BD853" s="53"/>
      <c r="BP853" s="395"/>
      <c r="BQ853" s="395"/>
      <c r="BU853" s="395"/>
      <c r="BV853" s="395"/>
      <c r="BZ853" s="395"/>
      <c r="CA853" s="395"/>
      <c r="CE853" s="548"/>
      <c r="CF853" s="548"/>
      <c r="CG853" s="548"/>
      <c r="CH853" s="548"/>
      <c r="FB853" s="24">
        <v>3.5000000000000003E-2</v>
      </c>
      <c r="FC853" s="24">
        <v>0.05</v>
      </c>
      <c r="FF853" s="24" t="s">
        <v>1683</v>
      </c>
      <c r="JB853" s="24" t="s">
        <v>727</v>
      </c>
    </row>
    <row r="854" spans="1:262" s="24" customFormat="1" x14ac:dyDescent="0.25">
      <c r="A854" s="24">
        <v>41</v>
      </c>
      <c r="B854" s="42" t="s">
        <v>3950</v>
      </c>
      <c r="C854" s="24" t="s">
        <v>591</v>
      </c>
      <c r="D854" s="24" t="s">
        <v>592</v>
      </c>
      <c r="E854" s="24">
        <v>1994</v>
      </c>
      <c r="F854" s="24">
        <v>1986</v>
      </c>
      <c r="G854" s="24" t="s">
        <v>418</v>
      </c>
      <c r="H854" s="24" t="s">
        <v>594</v>
      </c>
      <c r="I854" s="32" t="s">
        <v>2815</v>
      </c>
      <c r="J854" s="24">
        <v>38.03</v>
      </c>
      <c r="K854" s="24">
        <v>-84.51</v>
      </c>
      <c r="L854" s="24">
        <v>299.60000000000002</v>
      </c>
      <c r="R854" s="42">
        <v>2</v>
      </c>
      <c r="S854" s="42" t="s">
        <v>1722</v>
      </c>
      <c r="T854" s="42"/>
      <c r="U854" s="42" t="s">
        <v>519</v>
      </c>
      <c r="V854" s="42" t="s">
        <v>1379</v>
      </c>
      <c r="W854" s="42" t="s">
        <v>1715</v>
      </c>
      <c r="X854" s="42" t="s">
        <v>1379</v>
      </c>
      <c r="Y854" s="42" t="s">
        <v>1379</v>
      </c>
      <c r="Z854" s="24">
        <v>1.05</v>
      </c>
      <c r="AA854" s="321">
        <v>7.3</v>
      </c>
      <c r="AB854" s="321">
        <v>70.2</v>
      </c>
      <c r="AC854" s="24" t="s">
        <v>450</v>
      </c>
      <c r="AD854" s="24">
        <v>5.48</v>
      </c>
      <c r="AE854" s="24">
        <v>1.1599999999999999</v>
      </c>
      <c r="AG854" s="24" t="s">
        <v>1336</v>
      </c>
      <c r="AH854" s="24" t="s">
        <v>243</v>
      </c>
      <c r="AI854" s="138" t="s">
        <v>577</v>
      </c>
      <c r="AJ854" s="24" t="s">
        <v>132</v>
      </c>
      <c r="AK854" s="140" t="s">
        <v>132</v>
      </c>
      <c r="AW854" s="24" t="s">
        <v>119</v>
      </c>
      <c r="AX854" s="24">
        <v>2</v>
      </c>
      <c r="AZ854" s="24" t="s">
        <v>141</v>
      </c>
      <c r="BD854" s="53"/>
      <c r="BP854" s="395"/>
      <c r="BQ854" s="395"/>
      <c r="BU854" s="395"/>
      <c r="BV854" s="395"/>
      <c r="BZ854" s="395"/>
      <c r="CA854" s="395"/>
      <c r="CE854" s="548"/>
      <c r="CF854" s="548"/>
      <c r="CG854" s="548"/>
      <c r="CH854" s="548"/>
      <c r="FB854" s="24">
        <v>0.08</v>
      </c>
      <c r="FC854" s="24">
        <v>0.04</v>
      </c>
      <c r="FF854" s="24" t="s">
        <v>1683</v>
      </c>
      <c r="JB854" s="24" t="s">
        <v>727</v>
      </c>
    </row>
    <row r="855" spans="1:262" s="32" customFormat="1" x14ac:dyDescent="0.25">
      <c r="A855" s="32">
        <v>41</v>
      </c>
      <c r="B855" s="44" t="s">
        <v>3950</v>
      </c>
      <c r="C855" s="32" t="s">
        <v>591</v>
      </c>
      <c r="D855" s="32" t="s">
        <v>592</v>
      </c>
      <c r="E855" s="32">
        <v>1994</v>
      </c>
      <c r="F855" s="32">
        <v>1987</v>
      </c>
      <c r="G855" s="32" t="s">
        <v>418</v>
      </c>
      <c r="H855" s="32" t="s">
        <v>594</v>
      </c>
      <c r="I855" s="32" t="s">
        <v>2815</v>
      </c>
      <c r="J855" s="32">
        <v>38.03</v>
      </c>
      <c r="K855" s="32">
        <v>-84.51</v>
      </c>
      <c r="L855" s="32">
        <v>299.60000000000002</v>
      </c>
      <c r="R855" s="44">
        <v>3</v>
      </c>
      <c r="S855" s="44" t="s">
        <v>1722</v>
      </c>
      <c r="T855" s="44"/>
      <c r="U855" s="44" t="s">
        <v>602</v>
      </c>
      <c r="V855" s="44" t="s">
        <v>1379</v>
      </c>
      <c r="W855" s="44" t="s">
        <v>1715</v>
      </c>
      <c r="X855" s="44" t="s">
        <v>1379</v>
      </c>
      <c r="Y855" s="44" t="s">
        <v>1379</v>
      </c>
      <c r="Z855" s="32">
        <v>1.05</v>
      </c>
      <c r="AA855" s="323">
        <v>7.3</v>
      </c>
      <c r="AB855" s="323">
        <v>70.2</v>
      </c>
      <c r="AC855" s="32" t="s">
        <v>450</v>
      </c>
      <c r="AD855" s="32">
        <v>5.48</v>
      </c>
      <c r="AE855" s="32">
        <v>1.1599999999999999</v>
      </c>
      <c r="AG855" s="32" t="s">
        <v>1336</v>
      </c>
      <c r="AH855" s="32" t="s">
        <v>243</v>
      </c>
      <c r="AI855" s="138" t="s">
        <v>577</v>
      </c>
      <c r="AJ855" s="32" t="s">
        <v>132</v>
      </c>
      <c r="AK855" s="140" t="s">
        <v>132</v>
      </c>
      <c r="AW855" s="32" t="s">
        <v>119</v>
      </c>
      <c r="AX855" s="32">
        <v>2</v>
      </c>
      <c r="AZ855" s="32" t="s">
        <v>141</v>
      </c>
      <c r="BD855" s="53"/>
      <c r="BP855" s="397"/>
      <c r="BQ855" s="397"/>
      <c r="BU855" s="397"/>
      <c r="BV855" s="397"/>
      <c r="BZ855" s="397"/>
      <c r="CA855" s="397"/>
      <c r="CE855" s="550"/>
      <c r="CF855" s="550"/>
      <c r="CG855" s="550"/>
      <c r="CH855" s="550"/>
      <c r="FB855" s="32">
        <v>0.36</v>
      </c>
      <c r="FC855" s="32">
        <v>0.47699999999999998</v>
      </c>
      <c r="FF855" s="32" t="s">
        <v>1683</v>
      </c>
      <c r="JB855" s="32" t="s">
        <v>727</v>
      </c>
    </row>
    <row r="856" spans="1:262" s="32" customFormat="1" x14ac:dyDescent="0.25">
      <c r="A856" s="32">
        <v>41</v>
      </c>
      <c r="B856" s="44" t="s">
        <v>3950</v>
      </c>
      <c r="C856" s="32" t="s">
        <v>591</v>
      </c>
      <c r="D856" s="32" t="s">
        <v>592</v>
      </c>
      <c r="E856" s="32">
        <v>1994</v>
      </c>
      <c r="F856" s="32">
        <v>1987</v>
      </c>
      <c r="G856" s="32" t="s">
        <v>418</v>
      </c>
      <c r="H856" s="32" t="s">
        <v>594</v>
      </c>
      <c r="I856" s="32" t="s">
        <v>2815</v>
      </c>
      <c r="J856" s="32">
        <v>38.03</v>
      </c>
      <c r="K856" s="32">
        <v>-84.51</v>
      </c>
      <c r="L856" s="32">
        <v>299.60000000000002</v>
      </c>
      <c r="R856" s="44">
        <v>3</v>
      </c>
      <c r="S856" s="44" t="s">
        <v>1722</v>
      </c>
      <c r="T856" s="44"/>
      <c r="U856" s="44" t="s">
        <v>603</v>
      </c>
      <c r="V856" s="44" t="s">
        <v>1379</v>
      </c>
      <c r="W856" s="44" t="s">
        <v>1715</v>
      </c>
      <c r="X856" s="44" t="s">
        <v>1379</v>
      </c>
      <c r="Y856" s="44" t="s">
        <v>1379</v>
      </c>
      <c r="Z856" s="32">
        <v>1.05</v>
      </c>
      <c r="AA856" s="323">
        <v>7.3</v>
      </c>
      <c r="AB856" s="323">
        <v>70.2</v>
      </c>
      <c r="AC856" s="32" t="s">
        <v>450</v>
      </c>
      <c r="AD856" s="32">
        <v>5.48</v>
      </c>
      <c r="AE856" s="32">
        <v>1.1599999999999999</v>
      </c>
      <c r="AG856" s="32" t="s">
        <v>1336</v>
      </c>
      <c r="AH856" s="32" t="s">
        <v>243</v>
      </c>
      <c r="AI856" s="138" t="s">
        <v>577</v>
      </c>
      <c r="AJ856" s="32" t="s">
        <v>132</v>
      </c>
      <c r="AK856" s="140" t="s">
        <v>132</v>
      </c>
      <c r="AW856" s="32" t="s">
        <v>119</v>
      </c>
      <c r="AX856" s="32">
        <v>2</v>
      </c>
      <c r="AZ856" s="32" t="s">
        <v>141</v>
      </c>
      <c r="BD856" s="53"/>
      <c r="BP856" s="397"/>
      <c r="BQ856" s="397"/>
      <c r="BU856" s="397"/>
      <c r="BV856" s="397"/>
      <c r="BZ856" s="397"/>
      <c r="CA856" s="397"/>
      <c r="CE856" s="550"/>
      <c r="CF856" s="550"/>
      <c r="CG856" s="550"/>
      <c r="CH856" s="550"/>
      <c r="FB856" s="32">
        <v>0.32</v>
      </c>
      <c r="FC856" s="32">
        <v>0.42</v>
      </c>
      <c r="FF856" s="32" t="s">
        <v>1683</v>
      </c>
      <c r="JB856" s="32" t="s">
        <v>727</v>
      </c>
    </row>
    <row r="857" spans="1:262" s="32" customFormat="1" x14ac:dyDescent="0.25">
      <c r="A857" s="32">
        <v>41</v>
      </c>
      <c r="B857" s="44" t="s">
        <v>3950</v>
      </c>
      <c r="C857" s="32" t="s">
        <v>591</v>
      </c>
      <c r="D857" s="32" t="s">
        <v>592</v>
      </c>
      <c r="E857" s="32">
        <v>1994</v>
      </c>
      <c r="F857" s="32">
        <v>1987</v>
      </c>
      <c r="G857" s="32" t="s">
        <v>418</v>
      </c>
      <c r="H857" s="32" t="s">
        <v>594</v>
      </c>
      <c r="I857" s="32" t="s">
        <v>2815</v>
      </c>
      <c r="J857" s="32">
        <v>38.03</v>
      </c>
      <c r="K857" s="32">
        <v>-84.51</v>
      </c>
      <c r="L857" s="32">
        <v>299.60000000000002</v>
      </c>
      <c r="R857" s="44">
        <v>3</v>
      </c>
      <c r="S857" s="44" t="s">
        <v>1722</v>
      </c>
      <c r="T857" s="44"/>
      <c r="U857" s="44" t="s">
        <v>212</v>
      </c>
      <c r="V857" s="44" t="s">
        <v>1379</v>
      </c>
      <c r="W857" s="44" t="s">
        <v>1715</v>
      </c>
      <c r="X857" s="44" t="s">
        <v>1379</v>
      </c>
      <c r="Y857" s="44" t="s">
        <v>1379</v>
      </c>
      <c r="Z857" s="32">
        <v>1.05</v>
      </c>
      <c r="AA857" s="323">
        <v>7.3</v>
      </c>
      <c r="AB857" s="323">
        <v>70.2</v>
      </c>
      <c r="AC857" s="32" t="s">
        <v>450</v>
      </c>
      <c r="AD857" s="32">
        <v>5.48</v>
      </c>
      <c r="AE857" s="32">
        <v>1.1599999999999999</v>
      </c>
      <c r="AG857" s="32" t="s">
        <v>1336</v>
      </c>
      <c r="AH857" s="32" t="s">
        <v>243</v>
      </c>
      <c r="AI857" s="138" t="s">
        <v>577</v>
      </c>
      <c r="AJ857" s="32" t="s">
        <v>132</v>
      </c>
      <c r="AK857" s="140" t="s">
        <v>132</v>
      </c>
      <c r="AW857" s="32" t="s">
        <v>119</v>
      </c>
      <c r="AX857" s="32">
        <v>2</v>
      </c>
      <c r="AZ857" s="32" t="s">
        <v>141</v>
      </c>
      <c r="BD857" s="53"/>
      <c r="BP857" s="397"/>
      <c r="BQ857" s="397"/>
      <c r="BU857" s="397"/>
      <c r="BV857" s="397"/>
      <c r="BZ857" s="397"/>
      <c r="CA857" s="397"/>
      <c r="CE857" s="550"/>
      <c r="CF857" s="550"/>
      <c r="CG857" s="550"/>
      <c r="CH857" s="550"/>
      <c r="FB857" s="32">
        <v>0.28999999999999998</v>
      </c>
      <c r="FC857" s="32">
        <v>0.36499999999999999</v>
      </c>
      <c r="FF857" s="32" t="s">
        <v>1683</v>
      </c>
      <c r="JB857" s="32" t="s">
        <v>727</v>
      </c>
    </row>
    <row r="858" spans="1:262" s="32" customFormat="1" x14ac:dyDescent="0.25">
      <c r="A858" s="32">
        <v>41</v>
      </c>
      <c r="B858" s="44" t="s">
        <v>3950</v>
      </c>
      <c r="C858" s="32" t="s">
        <v>591</v>
      </c>
      <c r="D858" s="32" t="s">
        <v>592</v>
      </c>
      <c r="E858" s="32">
        <v>1994</v>
      </c>
      <c r="F858" s="32">
        <v>1987</v>
      </c>
      <c r="G858" s="32" t="s">
        <v>418</v>
      </c>
      <c r="H858" s="32" t="s">
        <v>594</v>
      </c>
      <c r="I858" s="32" t="s">
        <v>2815</v>
      </c>
      <c r="J858" s="32">
        <v>38.03</v>
      </c>
      <c r="K858" s="32">
        <v>-84.51</v>
      </c>
      <c r="L858" s="32">
        <v>299.60000000000002</v>
      </c>
      <c r="R858" s="44">
        <v>3</v>
      </c>
      <c r="S858" s="44" t="s">
        <v>1722</v>
      </c>
      <c r="T858" s="44"/>
      <c r="U858" s="44" t="s">
        <v>600</v>
      </c>
      <c r="V858" s="44" t="s">
        <v>1379</v>
      </c>
      <c r="W858" s="44" t="s">
        <v>1715</v>
      </c>
      <c r="X858" s="44" t="s">
        <v>1379</v>
      </c>
      <c r="Y858" s="44" t="s">
        <v>1379</v>
      </c>
      <c r="Z858" s="32">
        <v>1.05</v>
      </c>
      <c r="AA858" s="323">
        <v>7.3</v>
      </c>
      <c r="AB858" s="323">
        <v>70.2</v>
      </c>
      <c r="AC858" s="32" t="s">
        <v>450</v>
      </c>
      <c r="AD858" s="32">
        <v>5.48</v>
      </c>
      <c r="AE858" s="32">
        <v>1.1599999999999999</v>
      </c>
      <c r="AG858" s="32" t="s">
        <v>1336</v>
      </c>
      <c r="AH858" s="32" t="s">
        <v>243</v>
      </c>
      <c r="AI858" s="138" t="s">
        <v>577</v>
      </c>
      <c r="AJ858" s="32" t="s">
        <v>132</v>
      </c>
      <c r="AK858" s="140" t="s">
        <v>132</v>
      </c>
      <c r="AW858" s="32" t="s">
        <v>119</v>
      </c>
      <c r="AX858" s="32">
        <v>2</v>
      </c>
      <c r="AZ858" s="32" t="s">
        <v>141</v>
      </c>
      <c r="BD858" s="53"/>
      <c r="BP858" s="397"/>
      <c r="BQ858" s="397"/>
      <c r="BU858" s="397"/>
      <c r="BV858" s="397"/>
      <c r="BZ858" s="397"/>
      <c r="CA858" s="397"/>
      <c r="CE858" s="550"/>
      <c r="CF858" s="550"/>
      <c r="CG858" s="550"/>
      <c r="CH858" s="550"/>
      <c r="FB858" s="32">
        <v>0.24399999999999999</v>
      </c>
      <c r="FC858" s="32">
        <v>0.24</v>
      </c>
      <c r="FF858" s="32" t="s">
        <v>1683</v>
      </c>
      <c r="JB858" s="32" t="s">
        <v>727</v>
      </c>
    </row>
    <row r="859" spans="1:262" s="32" customFormat="1" x14ac:dyDescent="0.25">
      <c r="A859" s="32">
        <v>41</v>
      </c>
      <c r="B859" s="44" t="s">
        <v>3950</v>
      </c>
      <c r="C859" s="32" t="s">
        <v>591</v>
      </c>
      <c r="D859" s="32" t="s">
        <v>592</v>
      </c>
      <c r="E859" s="32">
        <v>1994</v>
      </c>
      <c r="F859" s="32">
        <v>1987</v>
      </c>
      <c r="G859" s="32" t="s">
        <v>418</v>
      </c>
      <c r="H859" s="32" t="s">
        <v>594</v>
      </c>
      <c r="I859" s="32" t="s">
        <v>2815</v>
      </c>
      <c r="J859" s="32">
        <v>38.03</v>
      </c>
      <c r="K859" s="32">
        <v>-84.51</v>
      </c>
      <c r="L859" s="32">
        <v>299.60000000000002</v>
      </c>
      <c r="R859" s="44">
        <v>3</v>
      </c>
      <c r="S859" s="44" t="s">
        <v>1722</v>
      </c>
      <c r="T859" s="44"/>
      <c r="U859" s="44" t="s">
        <v>201</v>
      </c>
      <c r="V859" s="44" t="s">
        <v>1379</v>
      </c>
      <c r="W859" s="44" t="s">
        <v>1715</v>
      </c>
      <c r="X859" s="44" t="s">
        <v>1379</v>
      </c>
      <c r="Y859" s="44" t="s">
        <v>1379</v>
      </c>
      <c r="Z859" s="32">
        <v>1.05</v>
      </c>
      <c r="AA859" s="323">
        <v>7.3</v>
      </c>
      <c r="AB859" s="323">
        <v>70.2</v>
      </c>
      <c r="AC859" s="32" t="s">
        <v>450</v>
      </c>
      <c r="AD859" s="32">
        <v>5.48</v>
      </c>
      <c r="AE859" s="32">
        <v>1.1599999999999999</v>
      </c>
      <c r="AG859" s="32" t="s">
        <v>1336</v>
      </c>
      <c r="AH859" s="32" t="s">
        <v>243</v>
      </c>
      <c r="AI859" s="138" t="s">
        <v>577</v>
      </c>
      <c r="AJ859" s="32" t="s">
        <v>132</v>
      </c>
      <c r="AK859" s="140" t="s">
        <v>132</v>
      </c>
      <c r="AW859" s="32" t="s">
        <v>119</v>
      </c>
      <c r="AX859" s="32">
        <v>2</v>
      </c>
      <c r="AZ859" s="32" t="s">
        <v>141</v>
      </c>
      <c r="BD859" s="53"/>
      <c r="BP859" s="397"/>
      <c r="BQ859" s="397"/>
      <c r="BU859" s="397"/>
      <c r="BV859" s="397"/>
      <c r="BZ859" s="397"/>
      <c r="CA859" s="397"/>
      <c r="CE859" s="550"/>
      <c r="CF859" s="550"/>
      <c r="CG859" s="550"/>
      <c r="CH859" s="550"/>
      <c r="FB859" s="32">
        <v>0.20599999999999999</v>
      </c>
      <c r="FC859" s="32">
        <v>0.21</v>
      </c>
      <c r="FF859" s="32" t="s">
        <v>1683</v>
      </c>
      <c r="JB859" s="32" t="s">
        <v>727</v>
      </c>
    </row>
    <row r="860" spans="1:262" s="32" customFormat="1" x14ac:dyDescent="0.25">
      <c r="A860" s="32">
        <v>41</v>
      </c>
      <c r="B860" s="44" t="s">
        <v>3950</v>
      </c>
      <c r="C860" s="32" t="s">
        <v>591</v>
      </c>
      <c r="D860" s="32" t="s">
        <v>592</v>
      </c>
      <c r="E860" s="32">
        <v>1994</v>
      </c>
      <c r="F860" s="32">
        <v>1987</v>
      </c>
      <c r="G860" s="32" t="s">
        <v>418</v>
      </c>
      <c r="H860" s="32" t="s">
        <v>594</v>
      </c>
      <c r="I860" s="32" t="s">
        <v>2815</v>
      </c>
      <c r="J860" s="32">
        <v>38.03</v>
      </c>
      <c r="K860" s="32">
        <v>-84.51</v>
      </c>
      <c r="L860" s="32">
        <v>299.60000000000002</v>
      </c>
      <c r="R860" s="44">
        <v>3</v>
      </c>
      <c r="S860" s="44" t="s">
        <v>1722</v>
      </c>
      <c r="T860" s="44"/>
      <c r="U860" s="44" t="s">
        <v>596</v>
      </c>
      <c r="V860" s="44" t="s">
        <v>1379</v>
      </c>
      <c r="W860" s="44" t="s">
        <v>1715</v>
      </c>
      <c r="X860" s="44" t="s">
        <v>1379</v>
      </c>
      <c r="Y860" s="44" t="s">
        <v>1379</v>
      </c>
      <c r="Z860" s="32">
        <v>1.05</v>
      </c>
      <c r="AA860" s="323">
        <v>7.3</v>
      </c>
      <c r="AB860" s="323">
        <v>70.2</v>
      </c>
      <c r="AC860" s="32" t="s">
        <v>450</v>
      </c>
      <c r="AD860" s="32">
        <v>5.48</v>
      </c>
      <c r="AE860" s="32">
        <v>1.1599999999999999</v>
      </c>
      <c r="AG860" s="32" t="s">
        <v>1336</v>
      </c>
      <c r="AH860" s="32" t="s">
        <v>243</v>
      </c>
      <c r="AI860" s="138" t="s">
        <v>577</v>
      </c>
      <c r="AJ860" s="32" t="s">
        <v>132</v>
      </c>
      <c r="AK860" s="140" t="s">
        <v>132</v>
      </c>
      <c r="AW860" s="32" t="s">
        <v>119</v>
      </c>
      <c r="AX860" s="32">
        <v>2</v>
      </c>
      <c r="AZ860" s="32" t="s">
        <v>141</v>
      </c>
      <c r="BD860" s="53"/>
      <c r="BP860" s="397"/>
      <c r="BQ860" s="397"/>
      <c r="BU860" s="397"/>
      <c r="BV860" s="397"/>
      <c r="BZ860" s="397"/>
      <c r="CA860" s="397"/>
      <c r="CE860" s="550"/>
      <c r="CF860" s="550"/>
      <c r="CG860" s="550"/>
      <c r="CH860" s="550"/>
      <c r="FB860" s="32">
        <v>0.3</v>
      </c>
      <c r="FC860" s="32">
        <v>0.23</v>
      </c>
      <c r="FF860" s="32" t="s">
        <v>1683</v>
      </c>
      <c r="JB860" s="32" t="s">
        <v>727</v>
      </c>
    </row>
    <row r="861" spans="1:262" s="32" customFormat="1" x14ac:dyDescent="0.25">
      <c r="A861" s="32">
        <v>41</v>
      </c>
      <c r="B861" s="44" t="s">
        <v>3950</v>
      </c>
      <c r="C861" s="32" t="s">
        <v>591</v>
      </c>
      <c r="D861" s="32" t="s">
        <v>592</v>
      </c>
      <c r="E861" s="32">
        <v>1994</v>
      </c>
      <c r="F861" s="32">
        <v>1987</v>
      </c>
      <c r="G861" s="32" t="s">
        <v>418</v>
      </c>
      <c r="H861" s="32" t="s">
        <v>594</v>
      </c>
      <c r="I861" s="32" t="s">
        <v>2815</v>
      </c>
      <c r="J861" s="32">
        <v>38.03</v>
      </c>
      <c r="K861" s="32">
        <v>-84.51</v>
      </c>
      <c r="L861" s="32">
        <v>299.60000000000002</v>
      </c>
      <c r="R861" s="44">
        <v>3</v>
      </c>
      <c r="S861" s="44" t="s">
        <v>1722</v>
      </c>
      <c r="T861" s="44"/>
      <c r="U861" s="44" t="s">
        <v>226</v>
      </c>
      <c r="V861" s="44" t="s">
        <v>1379</v>
      </c>
      <c r="W861" s="44" t="s">
        <v>1715</v>
      </c>
      <c r="X861" s="44" t="s">
        <v>1379</v>
      </c>
      <c r="Y861" s="44" t="s">
        <v>1379</v>
      </c>
      <c r="Z861" s="32">
        <v>1.05</v>
      </c>
      <c r="AA861" s="323">
        <v>7.3</v>
      </c>
      <c r="AB861" s="323">
        <v>70.2</v>
      </c>
      <c r="AC861" s="32" t="s">
        <v>450</v>
      </c>
      <c r="AD861" s="32">
        <v>5.48</v>
      </c>
      <c r="AE861" s="32">
        <v>1.1599999999999999</v>
      </c>
      <c r="AG861" s="32" t="s">
        <v>1336</v>
      </c>
      <c r="AH861" s="32" t="s">
        <v>243</v>
      </c>
      <c r="AI861" s="138" t="s">
        <v>577</v>
      </c>
      <c r="AJ861" s="32" t="s">
        <v>132</v>
      </c>
      <c r="AK861" s="140" t="s">
        <v>132</v>
      </c>
      <c r="AW861" s="32" t="s">
        <v>119</v>
      </c>
      <c r="AX861" s="32">
        <v>2</v>
      </c>
      <c r="AZ861" s="32" t="s">
        <v>141</v>
      </c>
      <c r="BD861" s="53"/>
      <c r="BP861" s="397"/>
      <c r="BQ861" s="397"/>
      <c r="BU861" s="397"/>
      <c r="BV861" s="397"/>
      <c r="BZ861" s="397"/>
      <c r="CA861" s="397"/>
      <c r="CE861" s="550"/>
      <c r="CF861" s="550"/>
      <c r="CG861" s="550"/>
      <c r="CH861" s="550"/>
      <c r="FB861" s="32">
        <v>0.36499999999999999</v>
      </c>
      <c r="FC861" s="32">
        <v>0.17799999999999999</v>
      </c>
      <c r="FF861" s="32" t="s">
        <v>1683</v>
      </c>
      <c r="JB861" s="32" t="s">
        <v>727</v>
      </c>
    </row>
    <row r="862" spans="1:262" s="32" customFormat="1" x14ac:dyDescent="0.25">
      <c r="A862" s="32">
        <v>41</v>
      </c>
      <c r="B862" s="44" t="s">
        <v>3950</v>
      </c>
      <c r="C862" s="32" t="s">
        <v>591</v>
      </c>
      <c r="D862" s="32" t="s">
        <v>592</v>
      </c>
      <c r="E862" s="32">
        <v>1994</v>
      </c>
      <c r="F862" s="32">
        <v>1987</v>
      </c>
      <c r="G862" s="32" t="s">
        <v>418</v>
      </c>
      <c r="H862" s="32" t="s">
        <v>594</v>
      </c>
      <c r="I862" s="32" t="s">
        <v>2815</v>
      </c>
      <c r="J862" s="32">
        <v>38.03</v>
      </c>
      <c r="K862" s="32">
        <v>-84.51</v>
      </c>
      <c r="L862" s="32">
        <v>299.60000000000002</v>
      </c>
      <c r="R862" s="44">
        <v>3</v>
      </c>
      <c r="S862" s="44" t="s">
        <v>1722</v>
      </c>
      <c r="T862" s="44"/>
      <c r="U862" s="44" t="s">
        <v>597</v>
      </c>
      <c r="V862" s="44" t="s">
        <v>1379</v>
      </c>
      <c r="W862" s="44" t="s">
        <v>1715</v>
      </c>
      <c r="X862" s="44" t="s">
        <v>1379</v>
      </c>
      <c r="Y862" s="44" t="s">
        <v>1379</v>
      </c>
      <c r="Z862" s="32">
        <v>1.05</v>
      </c>
      <c r="AA862" s="323">
        <v>7.3</v>
      </c>
      <c r="AB862" s="323">
        <v>70.2</v>
      </c>
      <c r="AC862" s="32" t="s">
        <v>450</v>
      </c>
      <c r="AD862" s="32">
        <v>5.48</v>
      </c>
      <c r="AE862" s="32">
        <v>1.1599999999999999</v>
      </c>
      <c r="AG862" s="32" t="s">
        <v>1336</v>
      </c>
      <c r="AH862" s="32" t="s">
        <v>243</v>
      </c>
      <c r="AI862" s="138" t="s">
        <v>577</v>
      </c>
      <c r="AJ862" s="32" t="s">
        <v>132</v>
      </c>
      <c r="AK862" s="140" t="s">
        <v>132</v>
      </c>
      <c r="AW862" s="32" t="s">
        <v>119</v>
      </c>
      <c r="AX862" s="32">
        <v>2</v>
      </c>
      <c r="AZ862" s="32" t="s">
        <v>141</v>
      </c>
      <c r="BD862" s="53"/>
      <c r="BP862" s="397"/>
      <c r="BQ862" s="397"/>
      <c r="BU862" s="397"/>
      <c r="BV862" s="397"/>
      <c r="BZ862" s="397"/>
      <c r="CA862" s="397"/>
      <c r="CE862" s="550"/>
      <c r="CF862" s="550"/>
      <c r="CG862" s="550"/>
      <c r="CH862" s="550"/>
      <c r="FB862" s="32">
        <v>0.4</v>
      </c>
      <c r="FC862" s="32">
        <v>0.16</v>
      </c>
      <c r="FF862" s="32" t="s">
        <v>1683</v>
      </c>
      <c r="JB862" s="32" t="s">
        <v>727</v>
      </c>
    </row>
    <row r="863" spans="1:262" s="32" customFormat="1" x14ac:dyDescent="0.25">
      <c r="A863" s="32">
        <v>41</v>
      </c>
      <c r="B863" s="44" t="s">
        <v>3950</v>
      </c>
      <c r="C863" s="32" t="s">
        <v>591</v>
      </c>
      <c r="D863" s="32" t="s">
        <v>592</v>
      </c>
      <c r="E863" s="32">
        <v>1994</v>
      </c>
      <c r="F863" s="32">
        <v>1987</v>
      </c>
      <c r="G863" s="32" t="s">
        <v>418</v>
      </c>
      <c r="H863" s="32" t="s">
        <v>594</v>
      </c>
      <c r="I863" s="32" t="s">
        <v>2815</v>
      </c>
      <c r="J863" s="32">
        <v>38.03</v>
      </c>
      <c r="K863" s="32">
        <v>-84.51</v>
      </c>
      <c r="L863" s="32">
        <v>299.60000000000002</v>
      </c>
      <c r="R863" s="44">
        <v>3</v>
      </c>
      <c r="S863" s="44" t="s">
        <v>1722</v>
      </c>
      <c r="T863" s="44"/>
      <c r="U863" s="44" t="s">
        <v>601</v>
      </c>
      <c r="V863" s="44" t="s">
        <v>1379</v>
      </c>
      <c r="W863" s="44" t="s">
        <v>1715</v>
      </c>
      <c r="X863" s="44" t="s">
        <v>1379</v>
      </c>
      <c r="Y863" s="44" t="s">
        <v>1379</v>
      </c>
      <c r="Z863" s="32">
        <v>1.05</v>
      </c>
      <c r="AA863" s="323">
        <v>7.3</v>
      </c>
      <c r="AB863" s="323">
        <v>70.2</v>
      </c>
      <c r="AC863" s="32" t="s">
        <v>450</v>
      </c>
      <c r="AD863" s="32">
        <v>5.48</v>
      </c>
      <c r="AE863" s="32">
        <v>1.1599999999999999</v>
      </c>
      <c r="AG863" s="32" t="s">
        <v>1336</v>
      </c>
      <c r="AH863" s="32" t="s">
        <v>243</v>
      </c>
      <c r="AI863" s="138" t="s">
        <v>577</v>
      </c>
      <c r="AJ863" s="32" t="s">
        <v>132</v>
      </c>
      <c r="AK863" s="140" t="s">
        <v>132</v>
      </c>
      <c r="AW863" s="32" t="s">
        <v>119</v>
      </c>
      <c r="AX863" s="32">
        <v>2</v>
      </c>
      <c r="AZ863" s="32" t="s">
        <v>141</v>
      </c>
      <c r="BD863" s="53"/>
      <c r="BP863" s="397"/>
      <c r="BQ863" s="397"/>
      <c r="BU863" s="397"/>
      <c r="BV863" s="397"/>
      <c r="BZ863" s="397"/>
      <c r="CA863" s="397"/>
      <c r="CE863" s="550"/>
      <c r="CF863" s="550"/>
      <c r="CG863" s="550"/>
      <c r="CH863" s="550"/>
      <c r="FB863" s="32">
        <v>0.45</v>
      </c>
      <c r="FC863" s="32">
        <v>0.156</v>
      </c>
      <c r="FF863" s="32" t="s">
        <v>1683</v>
      </c>
      <c r="JB863" s="32" t="s">
        <v>727</v>
      </c>
    </row>
    <row r="864" spans="1:262" s="32" customFormat="1" x14ac:dyDescent="0.25">
      <c r="A864" s="32">
        <v>41</v>
      </c>
      <c r="B864" s="44" t="s">
        <v>3950</v>
      </c>
      <c r="C864" s="32" t="s">
        <v>591</v>
      </c>
      <c r="D864" s="32" t="s">
        <v>592</v>
      </c>
      <c r="E864" s="32">
        <v>1994</v>
      </c>
      <c r="F864" s="32">
        <v>1987</v>
      </c>
      <c r="G864" s="32" t="s">
        <v>418</v>
      </c>
      <c r="H864" s="32" t="s">
        <v>594</v>
      </c>
      <c r="I864" s="32" t="s">
        <v>2815</v>
      </c>
      <c r="J864" s="32">
        <v>38.03</v>
      </c>
      <c r="K864" s="32">
        <v>-84.51</v>
      </c>
      <c r="L864" s="32">
        <v>299.60000000000002</v>
      </c>
      <c r="R864" s="44">
        <v>3</v>
      </c>
      <c r="S864" s="44" t="s">
        <v>1722</v>
      </c>
      <c r="T864" s="44"/>
      <c r="U864" s="44" t="s">
        <v>519</v>
      </c>
      <c r="V864" s="44" t="s">
        <v>1379</v>
      </c>
      <c r="W864" s="44" t="s">
        <v>1715</v>
      </c>
      <c r="X864" s="44" t="s">
        <v>1379</v>
      </c>
      <c r="Y864" s="44" t="s">
        <v>1379</v>
      </c>
      <c r="Z864" s="32">
        <v>1.05</v>
      </c>
      <c r="AA864" s="323">
        <v>7.3</v>
      </c>
      <c r="AB864" s="323">
        <v>70.2</v>
      </c>
      <c r="AC864" s="32" t="s">
        <v>450</v>
      </c>
      <c r="AD864" s="32">
        <v>5.48</v>
      </c>
      <c r="AE864" s="32">
        <v>1.1599999999999999</v>
      </c>
      <c r="AG864" s="32" t="s">
        <v>1336</v>
      </c>
      <c r="AH864" s="32" t="s">
        <v>243</v>
      </c>
      <c r="AI864" s="138" t="s">
        <v>577</v>
      </c>
      <c r="AJ864" s="32" t="s">
        <v>132</v>
      </c>
      <c r="AK864" s="140" t="s">
        <v>132</v>
      </c>
      <c r="AW864" s="32" t="s">
        <v>119</v>
      </c>
      <c r="AX864" s="32">
        <v>2</v>
      </c>
      <c r="AZ864" s="32" t="s">
        <v>141</v>
      </c>
      <c r="BD864" s="53"/>
      <c r="BP864" s="397"/>
      <c r="BQ864" s="397"/>
      <c r="BU864" s="397"/>
      <c r="BV864" s="397"/>
      <c r="BZ864" s="397"/>
      <c r="CA864" s="397"/>
      <c r="CE864" s="550"/>
      <c r="CF864" s="550"/>
      <c r="CG864" s="550"/>
      <c r="CH864" s="550"/>
      <c r="FB864" s="32">
        <v>0.49</v>
      </c>
      <c r="FC864" s="32">
        <v>0.21</v>
      </c>
      <c r="FF864" s="32" t="s">
        <v>1683</v>
      </c>
      <c r="JB864" s="32" t="s">
        <v>727</v>
      </c>
    </row>
    <row r="865" spans="1:262" s="32" customFormat="1" x14ac:dyDescent="0.25">
      <c r="A865" s="32">
        <v>41</v>
      </c>
      <c r="B865" s="44" t="s">
        <v>3950</v>
      </c>
      <c r="C865" s="32" t="s">
        <v>591</v>
      </c>
      <c r="D865" s="32" t="s">
        <v>592</v>
      </c>
      <c r="E865" s="32">
        <v>1994</v>
      </c>
      <c r="F865" s="32">
        <v>1987</v>
      </c>
      <c r="G865" s="32" t="s">
        <v>418</v>
      </c>
      <c r="H865" s="32" t="s">
        <v>594</v>
      </c>
      <c r="I865" s="32" t="s">
        <v>2815</v>
      </c>
      <c r="J865" s="32">
        <v>38.03</v>
      </c>
      <c r="K865" s="32">
        <v>-84.51</v>
      </c>
      <c r="L865" s="32">
        <v>299.60000000000002</v>
      </c>
      <c r="R865" s="44">
        <v>3</v>
      </c>
      <c r="S865" s="44" t="s">
        <v>1722</v>
      </c>
      <c r="T865" s="44"/>
      <c r="U865" s="44" t="s">
        <v>599</v>
      </c>
      <c r="V865" s="44" t="s">
        <v>1379</v>
      </c>
      <c r="W865" s="44" t="s">
        <v>1715</v>
      </c>
      <c r="X865" s="44" t="s">
        <v>1379</v>
      </c>
      <c r="Y865" s="44" t="s">
        <v>1379</v>
      </c>
      <c r="Z865" s="32">
        <v>1.05</v>
      </c>
      <c r="AA865" s="323">
        <v>7.3</v>
      </c>
      <c r="AB865" s="323">
        <v>70.2</v>
      </c>
      <c r="AC865" s="32" t="s">
        <v>450</v>
      </c>
      <c r="AD865" s="32">
        <v>5.48</v>
      </c>
      <c r="AE865" s="32">
        <v>1.1599999999999999</v>
      </c>
      <c r="AG865" s="32" t="s">
        <v>1336</v>
      </c>
      <c r="AH865" s="32" t="s">
        <v>243</v>
      </c>
      <c r="AI865" s="138" t="s">
        <v>577</v>
      </c>
      <c r="AJ865" s="32" t="s">
        <v>132</v>
      </c>
      <c r="AK865" s="140" t="s">
        <v>132</v>
      </c>
      <c r="AW865" s="32" t="s">
        <v>119</v>
      </c>
      <c r="AX865" s="32">
        <v>2</v>
      </c>
      <c r="AZ865" s="32" t="s">
        <v>141</v>
      </c>
      <c r="BD865" s="53"/>
      <c r="BP865" s="397"/>
      <c r="BQ865" s="397"/>
      <c r="BU865" s="397"/>
      <c r="BV865" s="397"/>
      <c r="BZ865" s="397"/>
      <c r="CA865" s="397"/>
      <c r="CE865" s="550"/>
      <c r="CF865" s="550"/>
      <c r="CG865" s="550"/>
      <c r="CH865" s="550"/>
      <c r="FB865" s="32">
        <v>0.438</v>
      </c>
      <c r="FC865" s="32">
        <v>0.218</v>
      </c>
      <c r="FF865" s="32" t="s">
        <v>1683</v>
      </c>
      <c r="JB865" s="32" t="s">
        <v>727</v>
      </c>
    </row>
    <row r="866" spans="1:262" s="24" customFormat="1" x14ac:dyDescent="0.25">
      <c r="A866" s="24">
        <v>41</v>
      </c>
      <c r="B866" s="42" t="s">
        <v>3950</v>
      </c>
      <c r="C866" s="24" t="s">
        <v>591</v>
      </c>
      <c r="D866" s="24" t="s">
        <v>592</v>
      </c>
      <c r="E866" s="24">
        <v>1994</v>
      </c>
      <c r="F866" s="24">
        <v>1988</v>
      </c>
      <c r="G866" s="24" t="s">
        <v>418</v>
      </c>
      <c r="H866" s="24" t="s">
        <v>594</v>
      </c>
      <c r="I866" s="32" t="s">
        <v>2815</v>
      </c>
      <c r="J866" s="24">
        <v>38.03</v>
      </c>
      <c r="K866" s="24">
        <v>-84.51</v>
      </c>
      <c r="L866" s="24">
        <v>299.60000000000002</v>
      </c>
      <c r="R866" s="42">
        <v>4</v>
      </c>
      <c r="S866" s="42" t="s">
        <v>1722</v>
      </c>
      <c r="T866" s="42"/>
      <c r="U866" s="42" t="s">
        <v>602</v>
      </c>
      <c r="V866" s="42" t="s">
        <v>1379</v>
      </c>
      <c r="W866" s="42" t="s">
        <v>1715</v>
      </c>
      <c r="X866" s="42" t="s">
        <v>1379</v>
      </c>
      <c r="Y866" s="42" t="s">
        <v>1379</v>
      </c>
      <c r="Z866" s="24">
        <v>1.05</v>
      </c>
      <c r="AA866" s="321">
        <v>7.3</v>
      </c>
      <c r="AB866" s="321">
        <v>70.2</v>
      </c>
      <c r="AC866" s="24" t="s">
        <v>450</v>
      </c>
      <c r="AD866" s="24">
        <v>5.48</v>
      </c>
      <c r="AE866" s="24">
        <v>1.1599999999999999</v>
      </c>
      <c r="AG866" s="24" t="s">
        <v>1336</v>
      </c>
      <c r="AH866" s="24" t="s">
        <v>243</v>
      </c>
      <c r="AI866" s="138" t="s">
        <v>577</v>
      </c>
      <c r="AJ866" s="24" t="s">
        <v>132</v>
      </c>
      <c r="AK866" s="140" t="s">
        <v>132</v>
      </c>
      <c r="AW866" s="24" t="s">
        <v>119</v>
      </c>
      <c r="AX866" s="24">
        <v>2</v>
      </c>
      <c r="AZ866" s="24" t="s">
        <v>141</v>
      </c>
      <c r="BD866" s="53"/>
      <c r="BP866" s="395"/>
      <c r="BQ866" s="395"/>
      <c r="BU866" s="395"/>
      <c r="BV866" s="395"/>
      <c r="BZ866" s="395"/>
      <c r="CA866" s="395"/>
      <c r="CE866" s="548"/>
      <c r="CF866" s="548"/>
      <c r="CG866" s="548"/>
      <c r="CH866" s="548"/>
      <c r="FB866" s="24">
        <v>0.16300000000000001</v>
      </c>
      <c r="FC866" s="24">
        <v>3.5000000000000003E-2</v>
      </c>
      <c r="FF866" s="24" t="s">
        <v>1683</v>
      </c>
      <c r="JB866" s="24" t="s">
        <v>727</v>
      </c>
    </row>
    <row r="867" spans="1:262" s="24" customFormat="1" x14ac:dyDescent="0.25">
      <c r="A867" s="24">
        <v>41</v>
      </c>
      <c r="B867" s="42" t="s">
        <v>3950</v>
      </c>
      <c r="C867" s="24" t="s">
        <v>591</v>
      </c>
      <c r="D867" s="24" t="s">
        <v>592</v>
      </c>
      <c r="E867" s="24">
        <v>1994</v>
      </c>
      <c r="F867" s="24">
        <v>1988</v>
      </c>
      <c r="G867" s="24" t="s">
        <v>418</v>
      </c>
      <c r="H867" s="24" t="s">
        <v>594</v>
      </c>
      <c r="I867" s="32" t="s">
        <v>2815</v>
      </c>
      <c r="J867" s="24">
        <v>38.03</v>
      </c>
      <c r="K867" s="24">
        <v>-84.51</v>
      </c>
      <c r="L867" s="24">
        <v>299.60000000000002</v>
      </c>
      <c r="R867" s="42">
        <v>4</v>
      </c>
      <c r="S867" s="42" t="s">
        <v>1722</v>
      </c>
      <c r="T867" s="42"/>
      <c r="U867" s="42" t="s">
        <v>603</v>
      </c>
      <c r="V867" s="42" t="s">
        <v>1379</v>
      </c>
      <c r="W867" s="42" t="s">
        <v>1715</v>
      </c>
      <c r="X867" s="42" t="s">
        <v>1379</v>
      </c>
      <c r="Y867" s="42" t="s">
        <v>1379</v>
      </c>
      <c r="Z867" s="24">
        <v>1.05</v>
      </c>
      <c r="AA867" s="321">
        <v>7.3</v>
      </c>
      <c r="AB867" s="321">
        <v>70.2</v>
      </c>
      <c r="AC867" s="24" t="s">
        <v>450</v>
      </c>
      <c r="AD867" s="24">
        <v>5.48</v>
      </c>
      <c r="AE867" s="24">
        <v>1.1599999999999999</v>
      </c>
      <c r="AG867" s="24" t="s">
        <v>1336</v>
      </c>
      <c r="AH867" s="24" t="s">
        <v>243</v>
      </c>
      <c r="AI867" s="138" t="s">
        <v>577</v>
      </c>
      <c r="AJ867" s="24" t="s">
        <v>132</v>
      </c>
      <c r="AK867" s="140" t="s">
        <v>132</v>
      </c>
      <c r="AW867" s="24" t="s">
        <v>119</v>
      </c>
      <c r="AX867" s="24">
        <v>2</v>
      </c>
      <c r="AZ867" s="24" t="s">
        <v>141</v>
      </c>
      <c r="BD867" s="53"/>
      <c r="BP867" s="395"/>
      <c r="BQ867" s="395"/>
      <c r="BU867" s="395"/>
      <c r="BV867" s="395"/>
      <c r="BZ867" s="395"/>
      <c r="CA867" s="395"/>
      <c r="CE867" s="548"/>
      <c r="CF867" s="548"/>
      <c r="CG867" s="548"/>
      <c r="CH867" s="548"/>
      <c r="FB867" s="24">
        <v>0.2</v>
      </c>
      <c r="FC867" s="24">
        <v>0.113</v>
      </c>
      <c r="FF867" s="24" t="s">
        <v>1683</v>
      </c>
      <c r="JB867" s="24" t="s">
        <v>727</v>
      </c>
    </row>
    <row r="868" spans="1:262" s="24" customFormat="1" x14ac:dyDescent="0.25">
      <c r="A868" s="24">
        <v>41</v>
      </c>
      <c r="B868" s="42" t="s">
        <v>3950</v>
      </c>
      <c r="C868" s="24" t="s">
        <v>591</v>
      </c>
      <c r="D868" s="24" t="s">
        <v>592</v>
      </c>
      <c r="E868" s="24">
        <v>1994</v>
      </c>
      <c r="F868" s="24">
        <v>1988</v>
      </c>
      <c r="G868" s="24" t="s">
        <v>418</v>
      </c>
      <c r="H868" s="24" t="s">
        <v>594</v>
      </c>
      <c r="I868" s="32" t="s">
        <v>2815</v>
      </c>
      <c r="J868" s="24">
        <v>38.03</v>
      </c>
      <c r="K868" s="24">
        <v>-84.51</v>
      </c>
      <c r="L868" s="24">
        <v>299.60000000000002</v>
      </c>
      <c r="R868" s="42">
        <v>4</v>
      </c>
      <c r="S868" s="42" t="s">
        <v>1722</v>
      </c>
      <c r="T868" s="42"/>
      <c r="U868" s="42" t="s">
        <v>212</v>
      </c>
      <c r="V868" s="42" t="s">
        <v>1379</v>
      </c>
      <c r="W868" s="42" t="s">
        <v>1715</v>
      </c>
      <c r="X868" s="42" t="s">
        <v>1379</v>
      </c>
      <c r="Y868" s="42" t="s">
        <v>1379</v>
      </c>
      <c r="Z868" s="24">
        <v>1.05</v>
      </c>
      <c r="AA868" s="321">
        <v>7.3</v>
      </c>
      <c r="AB868" s="321">
        <v>70.2</v>
      </c>
      <c r="AC868" s="24" t="s">
        <v>450</v>
      </c>
      <c r="AD868" s="24">
        <v>5.48</v>
      </c>
      <c r="AE868" s="24">
        <v>1.1599999999999999</v>
      </c>
      <c r="AG868" s="24" t="s">
        <v>1336</v>
      </c>
      <c r="AH868" s="24" t="s">
        <v>243</v>
      </c>
      <c r="AI868" s="138" t="s">
        <v>577</v>
      </c>
      <c r="AJ868" s="24" t="s">
        <v>132</v>
      </c>
      <c r="AK868" s="140" t="s">
        <v>132</v>
      </c>
      <c r="AW868" s="24" t="s">
        <v>119</v>
      </c>
      <c r="AX868" s="24">
        <v>2</v>
      </c>
      <c r="AZ868" s="24" t="s">
        <v>141</v>
      </c>
      <c r="BD868" s="53"/>
      <c r="BP868" s="395"/>
      <c r="BQ868" s="395"/>
      <c r="BU868" s="395"/>
      <c r="BV868" s="395"/>
      <c r="BZ868" s="395"/>
      <c r="CA868" s="395"/>
      <c r="CE868" s="548"/>
      <c r="CF868" s="548"/>
      <c r="CG868" s="548"/>
      <c r="CH868" s="548"/>
      <c r="FB868" s="24">
        <v>0.21</v>
      </c>
      <c r="FC868" s="24">
        <v>0.15</v>
      </c>
      <c r="FF868" s="24" t="s">
        <v>1683</v>
      </c>
      <c r="JB868" s="24" t="s">
        <v>727</v>
      </c>
    </row>
    <row r="869" spans="1:262" s="24" customFormat="1" x14ac:dyDescent="0.25">
      <c r="A869" s="24">
        <v>41</v>
      </c>
      <c r="B869" s="42" t="s">
        <v>3950</v>
      </c>
      <c r="C869" s="24" t="s">
        <v>591</v>
      </c>
      <c r="D869" s="24" t="s">
        <v>592</v>
      </c>
      <c r="E869" s="24">
        <v>1994</v>
      </c>
      <c r="F869" s="24">
        <v>1988</v>
      </c>
      <c r="G869" s="24" t="s">
        <v>418</v>
      </c>
      <c r="H869" s="24" t="s">
        <v>594</v>
      </c>
      <c r="I869" s="32" t="s">
        <v>2815</v>
      </c>
      <c r="J869" s="24">
        <v>38.03</v>
      </c>
      <c r="K869" s="24">
        <v>-84.51</v>
      </c>
      <c r="L869" s="24">
        <v>299.60000000000002</v>
      </c>
      <c r="R869" s="42">
        <v>4</v>
      </c>
      <c r="S869" s="42" t="s">
        <v>1722</v>
      </c>
      <c r="T869" s="42"/>
      <c r="U869" s="42" t="s">
        <v>600</v>
      </c>
      <c r="V869" s="42" t="s">
        <v>1379</v>
      </c>
      <c r="W869" s="42" t="s">
        <v>1715</v>
      </c>
      <c r="X869" s="42" t="s">
        <v>1379</v>
      </c>
      <c r="Y869" s="42" t="s">
        <v>1379</v>
      </c>
      <c r="Z869" s="24">
        <v>1.05</v>
      </c>
      <c r="AA869" s="321">
        <v>7.3</v>
      </c>
      <c r="AB869" s="321">
        <v>70.2</v>
      </c>
      <c r="AC869" s="24" t="s">
        <v>450</v>
      </c>
      <c r="AD869" s="24">
        <v>5.48</v>
      </c>
      <c r="AE869" s="24">
        <v>1.1599999999999999</v>
      </c>
      <c r="AG869" s="24" t="s">
        <v>1336</v>
      </c>
      <c r="AH869" s="24" t="s">
        <v>243</v>
      </c>
      <c r="AI869" s="138" t="s">
        <v>577</v>
      </c>
      <c r="AJ869" s="24" t="s">
        <v>132</v>
      </c>
      <c r="AK869" s="140" t="s">
        <v>132</v>
      </c>
      <c r="AW869" s="24" t="s">
        <v>119</v>
      </c>
      <c r="AX869" s="24">
        <v>2</v>
      </c>
      <c r="AZ869" s="24" t="s">
        <v>141</v>
      </c>
      <c r="BD869" s="53"/>
      <c r="BP869" s="395"/>
      <c r="BQ869" s="395"/>
      <c r="BU869" s="395"/>
      <c r="BV869" s="395"/>
      <c r="BZ869" s="395"/>
      <c r="CA869" s="395"/>
      <c r="CE869" s="548"/>
      <c r="CF869" s="548"/>
      <c r="CG869" s="548"/>
      <c r="CH869" s="548"/>
      <c r="FB869" s="24">
        <v>0.3</v>
      </c>
      <c r="FC869" s="24">
        <v>0.19</v>
      </c>
      <c r="FF869" s="24" t="s">
        <v>1683</v>
      </c>
      <c r="JB869" s="24" t="s">
        <v>727</v>
      </c>
    </row>
    <row r="870" spans="1:262" s="24" customFormat="1" x14ac:dyDescent="0.25">
      <c r="A870" s="24">
        <v>41</v>
      </c>
      <c r="B870" s="42" t="s">
        <v>3950</v>
      </c>
      <c r="C870" s="24" t="s">
        <v>591</v>
      </c>
      <c r="D870" s="24" t="s">
        <v>592</v>
      </c>
      <c r="E870" s="24">
        <v>1994</v>
      </c>
      <c r="F870" s="24">
        <v>1988</v>
      </c>
      <c r="G870" s="24" t="s">
        <v>418</v>
      </c>
      <c r="H870" s="24" t="s">
        <v>594</v>
      </c>
      <c r="I870" s="32" t="s">
        <v>2815</v>
      </c>
      <c r="J870" s="24">
        <v>38.03</v>
      </c>
      <c r="K870" s="24">
        <v>-84.51</v>
      </c>
      <c r="L870" s="24">
        <v>299.60000000000002</v>
      </c>
      <c r="R870" s="42">
        <v>4</v>
      </c>
      <c r="S870" s="42" t="s">
        <v>1722</v>
      </c>
      <c r="T870" s="42"/>
      <c r="U870" s="42" t="s">
        <v>201</v>
      </c>
      <c r="V870" s="42" t="s">
        <v>1379</v>
      </c>
      <c r="W870" s="42" t="s">
        <v>1715</v>
      </c>
      <c r="X870" s="42" t="s">
        <v>1379</v>
      </c>
      <c r="Y870" s="42" t="s">
        <v>1379</v>
      </c>
      <c r="Z870" s="24">
        <v>1.05</v>
      </c>
      <c r="AA870" s="321">
        <v>7.3</v>
      </c>
      <c r="AB870" s="321">
        <v>70.2</v>
      </c>
      <c r="AC870" s="24" t="s">
        <v>450</v>
      </c>
      <c r="AD870" s="24">
        <v>5.48</v>
      </c>
      <c r="AE870" s="24">
        <v>1.1599999999999999</v>
      </c>
      <c r="AG870" s="24" t="s">
        <v>1336</v>
      </c>
      <c r="AH870" s="24" t="s">
        <v>243</v>
      </c>
      <c r="AI870" s="138" t="s">
        <v>577</v>
      </c>
      <c r="AJ870" s="24" t="s">
        <v>132</v>
      </c>
      <c r="AK870" s="140" t="s">
        <v>132</v>
      </c>
      <c r="AW870" s="24" t="s">
        <v>119</v>
      </c>
      <c r="AX870" s="24">
        <v>2</v>
      </c>
      <c r="AZ870" s="24" t="s">
        <v>141</v>
      </c>
      <c r="BD870" s="53"/>
      <c r="BP870" s="395"/>
      <c r="BQ870" s="395"/>
      <c r="BU870" s="395"/>
      <c r="BV870" s="395"/>
      <c r="BZ870" s="395"/>
      <c r="CA870" s="395"/>
      <c r="CE870" s="548"/>
      <c r="CF870" s="548"/>
      <c r="CG870" s="548"/>
      <c r="CH870" s="548"/>
      <c r="FB870" s="24">
        <v>0.33150000000000002</v>
      </c>
      <c r="FC870" s="24">
        <v>0.22</v>
      </c>
      <c r="FF870" s="24" t="s">
        <v>1683</v>
      </c>
      <c r="JB870" s="24" t="s">
        <v>727</v>
      </c>
    </row>
    <row r="871" spans="1:262" s="24" customFormat="1" x14ac:dyDescent="0.25">
      <c r="A871" s="24">
        <v>41</v>
      </c>
      <c r="B871" s="42" t="s">
        <v>3950</v>
      </c>
      <c r="C871" s="24" t="s">
        <v>591</v>
      </c>
      <c r="D871" s="24" t="s">
        <v>592</v>
      </c>
      <c r="E871" s="24">
        <v>1994</v>
      </c>
      <c r="F871" s="24">
        <v>1988</v>
      </c>
      <c r="G871" s="24" t="s">
        <v>418</v>
      </c>
      <c r="H871" s="24" t="s">
        <v>594</v>
      </c>
      <c r="I871" s="32" t="s">
        <v>2815</v>
      </c>
      <c r="J871" s="24">
        <v>38.03</v>
      </c>
      <c r="K871" s="24">
        <v>-84.51</v>
      </c>
      <c r="L871" s="24">
        <v>299.60000000000002</v>
      </c>
      <c r="R871" s="42">
        <v>4</v>
      </c>
      <c r="S871" s="42" t="s">
        <v>1722</v>
      </c>
      <c r="T871" s="42"/>
      <c r="U871" s="42" t="s">
        <v>596</v>
      </c>
      <c r="V871" s="42" t="s">
        <v>1379</v>
      </c>
      <c r="W871" s="42" t="s">
        <v>1715</v>
      </c>
      <c r="X871" s="42" t="s">
        <v>1379</v>
      </c>
      <c r="Y871" s="42" t="s">
        <v>1379</v>
      </c>
      <c r="Z871" s="24">
        <v>1.05</v>
      </c>
      <c r="AA871" s="321">
        <v>7.3</v>
      </c>
      <c r="AB871" s="321">
        <v>70.2</v>
      </c>
      <c r="AC871" s="24" t="s">
        <v>450</v>
      </c>
      <c r="AD871" s="24">
        <v>5.48</v>
      </c>
      <c r="AE871" s="24">
        <v>1.1599999999999999</v>
      </c>
      <c r="AG871" s="24" t="s">
        <v>1336</v>
      </c>
      <c r="AH871" s="24" t="s">
        <v>243</v>
      </c>
      <c r="AI871" s="138" t="s">
        <v>577</v>
      </c>
      <c r="AJ871" s="24" t="s">
        <v>132</v>
      </c>
      <c r="AK871" s="140" t="s">
        <v>132</v>
      </c>
      <c r="AW871" s="24" t="s">
        <v>119</v>
      </c>
      <c r="AX871" s="24">
        <v>2</v>
      </c>
      <c r="AZ871" s="24" t="s">
        <v>141</v>
      </c>
      <c r="BD871" s="53"/>
      <c r="BP871" s="395"/>
      <c r="BQ871" s="395"/>
      <c r="BU871" s="395"/>
      <c r="BV871" s="395"/>
      <c r="BZ871" s="395"/>
      <c r="CA871" s="395"/>
      <c r="CE871" s="548"/>
      <c r="CF871" s="548"/>
      <c r="CG871" s="548"/>
      <c r="CH871" s="548"/>
      <c r="FB871" s="24">
        <v>0.34799999999999998</v>
      </c>
      <c r="FC871" s="24">
        <v>0.25</v>
      </c>
      <c r="FF871" s="24" t="s">
        <v>1683</v>
      </c>
      <c r="JB871" s="24" t="s">
        <v>727</v>
      </c>
    </row>
    <row r="872" spans="1:262" s="24" customFormat="1" x14ac:dyDescent="0.25">
      <c r="A872" s="24">
        <v>41</v>
      </c>
      <c r="B872" s="42" t="s">
        <v>3950</v>
      </c>
      <c r="C872" s="24" t="s">
        <v>591</v>
      </c>
      <c r="D872" s="24" t="s">
        <v>592</v>
      </c>
      <c r="E872" s="24">
        <v>1994</v>
      </c>
      <c r="F872" s="24">
        <v>1988</v>
      </c>
      <c r="G872" s="24" t="s">
        <v>418</v>
      </c>
      <c r="H872" s="24" t="s">
        <v>594</v>
      </c>
      <c r="I872" s="32" t="s">
        <v>2815</v>
      </c>
      <c r="J872" s="24">
        <v>38.03</v>
      </c>
      <c r="K872" s="24">
        <v>-84.51</v>
      </c>
      <c r="L872" s="24">
        <v>299.60000000000002</v>
      </c>
      <c r="R872" s="42">
        <v>4</v>
      </c>
      <c r="S872" s="42" t="s">
        <v>1722</v>
      </c>
      <c r="T872" s="42"/>
      <c r="U872" s="42" t="s">
        <v>226</v>
      </c>
      <c r="V872" s="42" t="s">
        <v>1379</v>
      </c>
      <c r="W872" s="42" t="s">
        <v>1715</v>
      </c>
      <c r="X872" s="42" t="s">
        <v>1379</v>
      </c>
      <c r="Y872" s="42" t="s">
        <v>1379</v>
      </c>
      <c r="Z872" s="24">
        <v>1.05</v>
      </c>
      <c r="AA872" s="321">
        <v>7.3</v>
      </c>
      <c r="AB872" s="321">
        <v>70.2</v>
      </c>
      <c r="AC872" s="24" t="s">
        <v>450</v>
      </c>
      <c r="AD872" s="24">
        <v>5.48</v>
      </c>
      <c r="AE872" s="24">
        <v>1.1599999999999999</v>
      </c>
      <c r="AG872" s="24" t="s">
        <v>1336</v>
      </c>
      <c r="AH872" s="24" t="s">
        <v>243</v>
      </c>
      <c r="AI872" s="138" t="s">
        <v>577</v>
      </c>
      <c r="AJ872" s="24" t="s">
        <v>132</v>
      </c>
      <c r="AK872" s="140" t="s">
        <v>132</v>
      </c>
      <c r="AW872" s="24" t="s">
        <v>119</v>
      </c>
      <c r="AX872" s="24">
        <v>2</v>
      </c>
      <c r="AZ872" s="24" t="s">
        <v>141</v>
      </c>
      <c r="BD872" s="53"/>
      <c r="BP872" s="395"/>
      <c r="BQ872" s="395"/>
      <c r="BU872" s="395"/>
      <c r="BV872" s="395"/>
      <c r="BZ872" s="395"/>
      <c r="CA872" s="395"/>
      <c r="CE872" s="548"/>
      <c r="CF872" s="548"/>
      <c r="CG872" s="548"/>
      <c r="CH872" s="548"/>
      <c r="FB872" s="24">
        <v>0.36</v>
      </c>
      <c r="FC872" s="24">
        <v>0.24</v>
      </c>
      <c r="FF872" s="24" t="s">
        <v>1683</v>
      </c>
      <c r="JB872" s="24" t="s">
        <v>727</v>
      </c>
    </row>
    <row r="873" spans="1:262" s="24" customFormat="1" x14ac:dyDescent="0.25">
      <c r="A873" s="24">
        <v>41</v>
      </c>
      <c r="B873" s="42" t="s">
        <v>3950</v>
      </c>
      <c r="C873" s="24" t="s">
        <v>591</v>
      </c>
      <c r="D873" s="24" t="s">
        <v>592</v>
      </c>
      <c r="E873" s="24">
        <v>1994</v>
      </c>
      <c r="F873" s="24">
        <v>1988</v>
      </c>
      <c r="G873" s="24" t="s">
        <v>418</v>
      </c>
      <c r="H873" s="24" t="s">
        <v>594</v>
      </c>
      <c r="I873" s="32" t="s">
        <v>2815</v>
      </c>
      <c r="J873" s="24">
        <v>38.03</v>
      </c>
      <c r="K873" s="24">
        <v>-84.51</v>
      </c>
      <c r="L873" s="24">
        <v>299.60000000000002</v>
      </c>
      <c r="R873" s="42">
        <v>4</v>
      </c>
      <c r="S873" s="42" t="s">
        <v>1722</v>
      </c>
      <c r="T873" s="42"/>
      <c r="U873" s="42" t="s">
        <v>227</v>
      </c>
      <c r="V873" s="42" t="s">
        <v>1379</v>
      </c>
      <c r="W873" s="42" t="s">
        <v>1715</v>
      </c>
      <c r="X873" s="42" t="s">
        <v>1379</v>
      </c>
      <c r="Y873" s="42" t="s">
        <v>1379</v>
      </c>
      <c r="Z873" s="24">
        <v>1.05</v>
      </c>
      <c r="AA873" s="321">
        <v>7.3</v>
      </c>
      <c r="AB873" s="321">
        <v>70.2</v>
      </c>
      <c r="AC873" s="24" t="s">
        <v>450</v>
      </c>
      <c r="AD873" s="24">
        <v>5.48</v>
      </c>
      <c r="AE873" s="24">
        <v>1.1599999999999999</v>
      </c>
      <c r="AG873" s="24" t="s">
        <v>1336</v>
      </c>
      <c r="AH873" s="24" t="s">
        <v>243</v>
      </c>
      <c r="AI873" s="138" t="s">
        <v>577</v>
      </c>
      <c r="AJ873" s="24" t="s">
        <v>132</v>
      </c>
      <c r="AK873" s="140" t="s">
        <v>132</v>
      </c>
      <c r="AW873" s="24" t="s">
        <v>119</v>
      </c>
      <c r="AX873" s="24">
        <v>2</v>
      </c>
      <c r="AZ873" s="24" t="s">
        <v>141</v>
      </c>
      <c r="BD873" s="53"/>
      <c r="BP873" s="395"/>
      <c r="BQ873" s="395"/>
      <c r="BU873" s="395"/>
      <c r="BV873" s="395"/>
      <c r="BZ873" s="395"/>
      <c r="CA873" s="395"/>
      <c r="CE873" s="548"/>
      <c r="CF873" s="548"/>
      <c r="CG873" s="548"/>
      <c r="CH873" s="548"/>
      <c r="FB873" s="24">
        <v>0.37</v>
      </c>
      <c r="FC873" s="24">
        <v>0.22</v>
      </c>
      <c r="FF873" s="24" t="s">
        <v>1683</v>
      </c>
      <c r="JB873" s="24" t="s">
        <v>727</v>
      </c>
    </row>
    <row r="874" spans="1:262" s="24" customFormat="1" x14ac:dyDescent="0.25">
      <c r="A874" s="24">
        <v>41</v>
      </c>
      <c r="B874" s="42" t="s">
        <v>3950</v>
      </c>
      <c r="C874" s="24" t="s">
        <v>591</v>
      </c>
      <c r="D874" s="24" t="s">
        <v>592</v>
      </c>
      <c r="E874" s="24">
        <v>1994</v>
      </c>
      <c r="F874" s="24">
        <v>1988</v>
      </c>
      <c r="G874" s="24" t="s">
        <v>418</v>
      </c>
      <c r="H874" s="24" t="s">
        <v>594</v>
      </c>
      <c r="I874" s="32" t="s">
        <v>2815</v>
      </c>
      <c r="J874" s="24">
        <v>38.03</v>
      </c>
      <c r="K874" s="24">
        <v>-84.51</v>
      </c>
      <c r="L874" s="24">
        <v>299.60000000000002</v>
      </c>
      <c r="R874" s="42">
        <v>4</v>
      </c>
      <c r="S874" s="42" t="s">
        <v>1722</v>
      </c>
      <c r="T874" s="42"/>
      <c r="U874" s="42" t="s">
        <v>228</v>
      </c>
      <c r="V874" s="42" t="s">
        <v>1379</v>
      </c>
      <c r="W874" s="42" t="s">
        <v>1715</v>
      </c>
      <c r="X874" s="42" t="s">
        <v>1379</v>
      </c>
      <c r="Y874" s="42" t="s">
        <v>1379</v>
      </c>
      <c r="Z874" s="24">
        <v>1.05</v>
      </c>
      <c r="AA874" s="321">
        <v>7.3</v>
      </c>
      <c r="AB874" s="321">
        <v>70.2</v>
      </c>
      <c r="AC874" s="24" t="s">
        <v>450</v>
      </c>
      <c r="AD874" s="24">
        <v>5.48</v>
      </c>
      <c r="AE874" s="24">
        <v>1.1599999999999999</v>
      </c>
      <c r="AG874" s="24" t="s">
        <v>1336</v>
      </c>
      <c r="AH874" s="24" t="s">
        <v>243</v>
      </c>
      <c r="AI874" s="138" t="s">
        <v>577</v>
      </c>
      <c r="AJ874" s="24" t="s">
        <v>132</v>
      </c>
      <c r="AK874" s="140" t="s">
        <v>132</v>
      </c>
      <c r="AW874" s="24" t="s">
        <v>119</v>
      </c>
      <c r="AX874" s="24">
        <v>2</v>
      </c>
      <c r="AZ874" s="24" t="s">
        <v>141</v>
      </c>
      <c r="BD874" s="53"/>
      <c r="BP874" s="395"/>
      <c r="BQ874" s="395"/>
      <c r="BU874" s="395"/>
      <c r="BV874" s="395"/>
      <c r="BZ874" s="395"/>
      <c r="CA874" s="395"/>
      <c r="CE874" s="548"/>
      <c r="CF874" s="548"/>
      <c r="CG874" s="548"/>
      <c r="CH874" s="548"/>
      <c r="FB874" s="24">
        <v>0.41199999999999998</v>
      </c>
      <c r="FC874" s="24">
        <v>0.187</v>
      </c>
      <c r="FF874" s="24" t="s">
        <v>1683</v>
      </c>
      <c r="JB874" s="24" t="s">
        <v>727</v>
      </c>
    </row>
    <row r="875" spans="1:262" s="24" customFormat="1" x14ac:dyDescent="0.25">
      <c r="A875" s="24">
        <v>41</v>
      </c>
      <c r="B875" s="42" t="s">
        <v>3950</v>
      </c>
      <c r="C875" s="24" t="s">
        <v>591</v>
      </c>
      <c r="D875" s="24" t="s">
        <v>592</v>
      </c>
      <c r="E875" s="24">
        <v>1994</v>
      </c>
      <c r="F875" s="24">
        <v>1988</v>
      </c>
      <c r="G875" s="24" t="s">
        <v>418</v>
      </c>
      <c r="H875" s="24" t="s">
        <v>594</v>
      </c>
      <c r="I875" s="32" t="s">
        <v>2815</v>
      </c>
      <c r="J875" s="24">
        <v>38.03</v>
      </c>
      <c r="K875" s="24">
        <v>-84.51</v>
      </c>
      <c r="L875" s="24">
        <v>299.60000000000002</v>
      </c>
      <c r="R875" s="42">
        <v>4</v>
      </c>
      <c r="S875" s="42" t="s">
        <v>1722</v>
      </c>
      <c r="T875" s="42"/>
      <c r="U875" s="42" t="s">
        <v>598</v>
      </c>
      <c r="V875" s="42" t="s">
        <v>1379</v>
      </c>
      <c r="W875" s="42" t="s">
        <v>1715</v>
      </c>
      <c r="X875" s="42" t="s">
        <v>1379</v>
      </c>
      <c r="Y875" s="42" t="s">
        <v>1379</v>
      </c>
      <c r="Z875" s="24">
        <v>1.05</v>
      </c>
      <c r="AA875" s="321">
        <v>7.3</v>
      </c>
      <c r="AB875" s="321">
        <v>70.2</v>
      </c>
      <c r="AC875" s="24" t="s">
        <v>450</v>
      </c>
      <c r="AD875" s="24">
        <v>5.48</v>
      </c>
      <c r="AE875" s="24">
        <v>1.1599999999999999</v>
      </c>
      <c r="AG875" s="24" t="s">
        <v>1336</v>
      </c>
      <c r="AH875" s="24" t="s">
        <v>243</v>
      </c>
      <c r="AI875" s="138" t="s">
        <v>577</v>
      </c>
      <c r="AJ875" s="24" t="s">
        <v>132</v>
      </c>
      <c r="AK875" s="140" t="s">
        <v>132</v>
      </c>
      <c r="AW875" s="24" t="s">
        <v>119</v>
      </c>
      <c r="AX875" s="24">
        <v>2</v>
      </c>
      <c r="AZ875" s="24" t="s">
        <v>141</v>
      </c>
      <c r="BD875" s="53"/>
      <c r="BP875" s="395"/>
      <c r="BQ875" s="395"/>
      <c r="BU875" s="395"/>
      <c r="BV875" s="395"/>
      <c r="BZ875" s="395"/>
      <c r="CA875" s="395"/>
      <c r="CE875" s="548"/>
      <c r="CF875" s="548"/>
      <c r="CG875" s="548"/>
      <c r="CH875" s="548"/>
      <c r="FB875" s="24">
        <v>0.40960000000000002</v>
      </c>
      <c r="FC875" s="24">
        <v>0.215</v>
      </c>
      <c r="FF875" s="24" t="s">
        <v>1683</v>
      </c>
      <c r="JB875" s="24" t="s">
        <v>727</v>
      </c>
    </row>
    <row r="876" spans="1:262" s="24" customFormat="1" x14ac:dyDescent="0.25">
      <c r="A876" s="24">
        <v>41</v>
      </c>
      <c r="B876" s="42" t="s">
        <v>3950</v>
      </c>
      <c r="C876" s="24" t="s">
        <v>591</v>
      </c>
      <c r="D876" s="24" t="s">
        <v>592</v>
      </c>
      <c r="E876" s="24">
        <v>1994</v>
      </c>
      <c r="F876" s="24">
        <v>1988</v>
      </c>
      <c r="G876" s="24" t="s">
        <v>418</v>
      </c>
      <c r="H876" s="24" t="s">
        <v>594</v>
      </c>
      <c r="I876" s="32" t="s">
        <v>2815</v>
      </c>
      <c r="J876" s="24">
        <v>38.03</v>
      </c>
      <c r="K876" s="24">
        <v>-84.51</v>
      </c>
      <c r="L876" s="24">
        <v>299.60000000000002</v>
      </c>
      <c r="R876" s="42">
        <v>4</v>
      </c>
      <c r="S876" s="42" t="s">
        <v>1722</v>
      </c>
      <c r="T876" s="42"/>
      <c r="U876" s="42" t="s">
        <v>519</v>
      </c>
      <c r="V876" s="42" t="s">
        <v>1379</v>
      </c>
      <c r="W876" s="42" t="s">
        <v>1715</v>
      </c>
      <c r="X876" s="42" t="s">
        <v>1379</v>
      </c>
      <c r="Y876" s="42" t="s">
        <v>1379</v>
      </c>
      <c r="Z876" s="24">
        <v>1.05</v>
      </c>
      <c r="AA876" s="321">
        <v>7.3</v>
      </c>
      <c r="AB876" s="321">
        <v>70.2</v>
      </c>
      <c r="AC876" s="24" t="s">
        <v>450</v>
      </c>
      <c r="AD876" s="24">
        <v>5.48</v>
      </c>
      <c r="AE876" s="24">
        <v>1.1599999999999999</v>
      </c>
      <c r="AG876" s="24" t="s">
        <v>1336</v>
      </c>
      <c r="AH876" s="24" t="s">
        <v>243</v>
      </c>
      <c r="AI876" s="138" t="s">
        <v>577</v>
      </c>
      <c r="AJ876" s="24" t="s">
        <v>132</v>
      </c>
      <c r="AK876" s="140" t="s">
        <v>132</v>
      </c>
      <c r="AW876" s="24" t="s">
        <v>119</v>
      </c>
      <c r="AX876" s="24">
        <v>2</v>
      </c>
      <c r="AZ876" s="24" t="s">
        <v>141</v>
      </c>
      <c r="BD876" s="53"/>
      <c r="BP876" s="395"/>
      <c r="BQ876" s="395"/>
      <c r="BU876" s="395"/>
      <c r="BV876" s="395"/>
      <c r="BZ876" s="395"/>
      <c r="CA876" s="395"/>
      <c r="CE876" s="548"/>
      <c r="CF876" s="548"/>
      <c r="CG876" s="548"/>
      <c r="CH876" s="548"/>
      <c r="FB876" s="24">
        <v>0.41899999999999998</v>
      </c>
      <c r="FC876" s="24">
        <v>0.253</v>
      </c>
      <c r="FF876" s="24" t="s">
        <v>1683</v>
      </c>
      <c r="JB876" s="24" t="s">
        <v>727</v>
      </c>
    </row>
    <row r="877" spans="1:262" s="24" customFormat="1" x14ac:dyDescent="0.25">
      <c r="A877" s="24">
        <v>41</v>
      </c>
      <c r="B877" s="42" t="s">
        <v>3950</v>
      </c>
      <c r="C877" s="24" t="s">
        <v>591</v>
      </c>
      <c r="D877" s="24" t="s">
        <v>592</v>
      </c>
      <c r="E877" s="24">
        <v>1994</v>
      </c>
      <c r="F877" s="24">
        <v>1988</v>
      </c>
      <c r="G877" s="24" t="s">
        <v>418</v>
      </c>
      <c r="H877" s="24" t="s">
        <v>594</v>
      </c>
      <c r="I877" s="32" t="s">
        <v>2815</v>
      </c>
      <c r="J877" s="24">
        <v>38.03</v>
      </c>
      <c r="K877" s="24">
        <v>-84.51</v>
      </c>
      <c r="L877" s="24">
        <v>299.60000000000002</v>
      </c>
      <c r="R877" s="42">
        <v>4</v>
      </c>
      <c r="S877" s="42" t="s">
        <v>1722</v>
      </c>
      <c r="T877" s="42"/>
      <c r="U877" s="42" t="s">
        <v>599</v>
      </c>
      <c r="V877" s="42" t="s">
        <v>1379</v>
      </c>
      <c r="W877" s="42" t="s">
        <v>1715</v>
      </c>
      <c r="X877" s="42" t="s">
        <v>1379</v>
      </c>
      <c r="Y877" s="42" t="s">
        <v>1379</v>
      </c>
      <c r="Z877" s="24">
        <v>1.05</v>
      </c>
      <c r="AA877" s="321">
        <v>7.3</v>
      </c>
      <c r="AB877" s="321">
        <v>70.2</v>
      </c>
      <c r="AC877" s="24" t="s">
        <v>450</v>
      </c>
      <c r="AD877" s="24">
        <v>5.48</v>
      </c>
      <c r="AE877" s="24">
        <v>1.1599999999999999</v>
      </c>
      <c r="AG877" s="24" t="s">
        <v>1336</v>
      </c>
      <c r="AH877" s="24" t="s">
        <v>243</v>
      </c>
      <c r="AI877" s="138" t="s">
        <v>577</v>
      </c>
      <c r="AJ877" s="24" t="s">
        <v>132</v>
      </c>
      <c r="AK877" s="140" t="s">
        <v>132</v>
      </c>
      <c r="AW877" s="24" t="s">
        <v>119</v>
      </c>
      <c r="AX877" s="24">
        <v>2</v>
      </c>
      <c r="AZ877" s="24" t="s">
        <v>141</v>
      </c>
      <c r="BD877" s="53"/>
      <c r="BP877" s="395"/>
      <c r="BQ877" s="395"/>
      <c r="BU877" s="395"/>
      <c r="BV877" s="395"/>
      <c r="BZ877" s="395"/>
      <c r="CA877" s="395"/>
      <c r="CE877" s="548"/>
      <c r="CF877" s="548"/>
      <c r="CG877" s="548"/>
      <c r="CH877" s="548"/>
      <c r="FB877" s="24">
        <v>0.48299999999999998</v>
      </c>
      <c r="FC877" s="24">
        <v>0.40699999999999997</v>
      </c>
      <c r="FF877" s="24" t="s">
        <v>1683</v>
      </c>
      <c r="JB877" s="24" t="s">
        <v>727</v>
      </c>
    </row>
    <row r="878" spans="1:262" s="32" customFormat="1" x14ac:dyDescent="0.25">
      <c r="A878" s="32">
        <v>41</v>
      </c>
      <c r="B878" s="44" t="s">
        <v>3950</v>
      </c>
      <c r="C878" s="32" t="s">
        <v>591</v>
      </c>
      <c r="D878" s="32" t="s">
        <v>592</v>
      </c>
      <c r="E878" s="32">
        <v>1994</v>
      </c>
      <c r="F878" s="32">
        <v>1989</v>
      </c>
      <c r="G878" s="32" t="s">
        <v>418</v>
      </c>
      <c r="H878" s="32" t="s">
        <v>594</v>
      </c>
      <c r="I878" s="32" t="s">
        <v>2815</v>
      </c>
      <c r="J878" s="32">
        <v>38.03</v>
      </c>
      <c r="K878" s="32">
        <v>-84.51</v>
      </c>
      <c r="L878" s="32">
        <v>299.60000000000002</v>
      </c>
      <c r="R878" s="44">
        <v>5</v>
      </c>
      <c r="S878" s="44" t="s">
        <v>1722</v>
      </c>
      <c r="T878" s="44"/>
      <c r="U878" s="44" t="s">
        <v>602</v>
      </c>
      <c r="V878" s="44" t="s">
        <v>1379</v>
      </c>
      <c r="W878" s="44" t="s">
        <v>1715</v>
      </c>
      <c r="X878" s="44" t="s">
        <v>1379</v>
      </c>
      <c r="Y878" s="44" t="s">
        <v>1379</v>
      </c>
      <c r="Z878" s="32">
        <v>1.05</v>
      </c>
      <c r="AA878" s="323">
        <v>7.3</v>
      </c>
      <c r="AB878" s="323">
        <v>70.2</v>
      </c>
      <c r="AC878" s="32" t="s">
        <v>450</v>
      </c>
      <c r="AD878" s="32">
        <v>5.48</v>
      </c>
      <c r="AE878" s="32">
        <v>1.1599999999999999</v>
      </c>
      <c r="AG878" s="32" t="s">
        <v>1336</v>
      </c>
      <c r="AH878" s="32" t="s">
        <v>243</v>
      </c>
      <c r="AI878" s="138" t="s">
        <v>577</v>
      </c>
      <c r="AJ878" s="32" t="s">
        <v>132</v>
      </c>
      <c r="AK878" s="140" t="s">
        <v>132</v>
      </c>
      <c r="AW878" s="32" t="s">
        <v>119</v>
      </c>
      <c r="AX878" s="32">
        <v>2</v>
      </c>
      <c r="AZ878" s="32" t="s">
        <v>141</v>
      </c>
      <c r="BD878" s="53"/>
      <c r="BP878" s="397"/>
      <c r="BQ878" s="397"/>
      <c r="BU878" s="397"/>
      <c r="BV878" s="397"/>
      <c r="BZ878" s="397"/>
      <c r="CA878" s="397"/>
      <c r="CE878" s="550"/>
      <c r="CF878" s="550"/>
      <c r="CG878" s="550"/>
      <c r="CH878" s="550"/>
      <c r="FB878" s="32">
        <v>0.01</v>
      </c>
      <c r="FC878" s="32">
        <v>0.01</v>
      </c>
      <c r="FF878" s="32" t="s">
        <v>1683</v>
      </c>
      <c r="JB878" s="32" t="s">
        <v>727</v>
      </c>
    </row>
    <row r="879" spans="1:262" s="32" customFormat="1" x14ac:dyDescent="0.25">
      <c r="A879" s="32">
        <v>41</v>
      </c>
      <c r="B879" s="44" t="s">
        <v>3950</v>
      </c>
      <c r="C879" s="32" t="s">
        <v>591</v>
      </c>
      <c r="D879" s="32" t="s">
        <v>592</v>
      </c>
      <c r="E879" s="32">
        <v>1994</v>
      </c>
      <c r="F879" s="32">
        <v>1989</v>
      </c>
      <c r="G879" s="32" t="s">
        <v>418</v>
      </c>
      <c r="H879" s="32" t="s">
        <v>594</v>
      </c>
      <c r="I879" s="32" t="s">
        <v>2815</v>
      </c>
      <c r="J879" s="32">
        <v>38.03</v>
      </c>
      <c r="K879" s="32">
        <v>-84.51</v>
      </c>
      <c r="L879" s="32">
        <v>299.60000000000002</v>
      </c>
      <c r="R879" s="44">
        <v>5</v>
      </c>
      <c r="S879" s="44" t="s">
        <v>1722</v>
      </c>
      <c r="T879" s="44"/>
      <c r="U879" s="44" t="s">
        <v>603</v>
      </c>
      <c r="V879" s="44" t="s">
        <v>1379</v>
      </c>
      <c r="W879" s="44" t="s">
        <v>1715</v>
      </c>
      <c r="X879" s="44" t="s">
        <v>1379</v>
      </c>
      <c r="Y879" s="44" t="s">
        <v>1379</v>
      </c>
      <c r="Z879" s="32">
        <v>1.05</v>
      </c>
      <c r="AA879" s="323">
        <v>7.3</v>
      </c>
      <c r="AB879" s="323">
        <v>70.2</v>
      </c>
      <c r="AC879" s="32" t="s">
        <v>450</v>
      </c>
      <c r="AD879" s="32">
        <v>5.48</v>
      </c>
      <c r="AE879" s="32">
        <v>1.1599999999999999</v>
      </c>
      <c r="AG879" s="32" t="s">
        <v>1336</v>
      </c>
      <c r="AH879" s="32" t="s">
        <v>243</v>
      </c>
      <c r="AI879" s="138" t="s">
        <v>577</v>
      </c>
      <c r="AJ879" s="32" t="s">
        <v>132</v>
      </c>
      <c r="AK879" s="140" t="s">
        <v>132</v>
      </c>
      <c r="AW879" s="32" t="s">
        <v>119</v>
      </c>
      <c r="AX879" s="32">
        <v>2</v>
      </c>
      <c r="AZ879" s="32" t="s">
        <v>141</v>
      </c>
      <c r="BD879" s="53"/>
      <c r="BP879" s="397"/>
      <c r="BQ879" s="397"/>
      <c r="BU879" s="397"/>
      <c r="BV879" s="397"/>
      <c r="BZ879" s="397"/>
      <c r="CA879" s="397"/>
      <c r="CE879" s="550"/>
      <c r="CF879" s="550"/>
      <c r="CG879" s="550"/>
      <c r="CH879" s="550"/>
      <c r="FB879" s="32">
        <v>0.01</v>
      </c>
      <c r="FC879" s="32">
        <v>0.03</v>
      </c>
      <c r="FF879" s="32" t="s">
        <v>1683</v>
      </c>
      <c r="JB879" s="32" t="s">
        <v>727</v>
      </c>
    </row>
    <row r="880" spans="1:262" s="32" customFormat="1" x14ac:dyDescent="0.25">
      <c r="A880" s="32">
        <v>41</v>
      </c>
      <c r="B880" s="44" t="s">
        <v>3950</v>
      </c>
      <c r="C880" s="32" t="s">
        <v>591</v>
      </c>
      <c r="D880" s="32" t="s">
        <v>592</v>
      </c>
      <c r="E880" s="32">
        <v>1994</v>
      </c>
      <c r="F880" s="32">
        <v>1989</v>
      </c>
      <c r="G880" s="32" t="s">
        <v>418</v>
      </c>
      <c r="H880" s="32" t="s">
        <v>594</v>
      </c>
      <c r="I880" s="32" t="s">
        <v>2815</v>
      </c>
      <c r="J880" s="32">
        <v>38.03</v>
      </c>
      <c r="K880" s="32">
        <v>-84.51</v>
      </c>
      <c r="L880" s="32">
        <v>299.60000000000002</v>
      </c>
      <c r="R880" s="44">
        <v>5</v>
      </c>
      <c r="S880" s="44" t="s">
        <v>1722</v>
      </c>
      <c r="T880" s="44"/>
      <c r="U880" s="44" t="s">
        <v>212</v>
      </c>
      <c r="V880" s="44" t="s">
        <v>1379</v>
      </c>
      <c r="W880" s="44" t="s">
        <v>1715</v>
      </c>
      <c r="X880" s="44" t="s">
        <v>1379</v>
      </c>
      <c r="Y880" s="44" t="s">
        <v>1379</v>
      </c>
      <c r="Z880" s="32">
        <v>1.05</v>
      </c>
      <c r="AA880" s="323">
        <v>7.3</v>
      </c>
      <c r="AB880" s="323">
        <v>70.2</v>
      </c>
      <c r="AC880" s="32" t="s">
        <v>450</v>
      </c>
      <c r="AD880" s="32">
        <v>5.48</v>
      </c>
      <c r="AE880" s="32">
        <v>1.1599999999999999</v>
      </c>
      <c r="AG880" s="32" t="s">
        <v>1336</v>
      </c>
      <c r="AH880" s="32" t="s">
        <v>243</v>
      </c>
      <c r="AI880" s="138" t="s">
        <v>577</v>
      </c>
      <c r="AJ880" s="32" t="s">
        <v>132</v>
      </c>
      <c r="AK880" s="140" t="s">
        <v>132</v>
      </c>
      <c r="AW880" s="32" t="s">
        <v>119</v>
      </c>
      <c r="AX880" s="32">
        <v>2</v>
      </c>
      <c r="AZ880" s="32" t="s">
        <v>141</v>
      </c>
      <c r="BD880" s="53"/>
      <c r="BP880" s="397"/>
      <c r="BQ880" s="397"/>
      <c r="BU880" s="397"/>
      <c r="BV880" s="397"/>
      <c r="BZ880" s="397"/>
      <c r="CA880" s="397"/>
      <c r="CE880" s="550"/>
      <c r="CF880" s="550"/>
      <c r="CG880" s="550"/>
      <c r="CH880" s="550"/>
      <c r="FB880" s="32">
        <v>0.01</v>
      </c>
      <c r="FC880" s="32">
        <v>0.04</v>
      </c>
      <c r="FF880" s="32" t="s">
        <v>1683</v>
      </c>
      <c r="JB880" s="32" t="s">
        <v>727</v>
      </c>
    </row>
    <row r="881" spans="1:262" s="32" customFormat="1" x14ac:dyDescent="0.25">
      <c r="A881" s="32">
        <v>41</v>
      </c>
      <c r="B881" s="44" t="s">
        <v>3950</v>
      </c>
      <c r="C881" s="32" t="s">
        <v>591</v>
      </c>
      <c r="D881" s="32" t="s">
        <v>592</v>
      </c>
      <c r="E881" s="32">
        <v>1994</v>
      </c>
      <c r="F881" s="32">
        <v>1989</v>
      </c>
      <c r="G881" s="32" t="s">
        <v>418</v>
      </c>
      <c r="H881" s="32" t="s">
        <v>594</v>
      </c>
      <c r="I881" s="32" t="s">
        <v>2815</v>
      </c>
      <c r="J881" s="32">
        <v>38.03</v>
      </c>
      <c r="K881" s="32">
        <v>-84.51</v>
      </c>
      <c r="L881" s="32">
        <v>299.60000000000002</v>
      </c>
      <c r="R881" s="44">
        <v>5</v>
      </c>
      <c r="S881" s="44" t="s">
        <v>1722</v>
      </c>
      <c r="T881" s="44"/>
      <c r="U881" s="44" t="s">
        <v>600</v>
      </c>
      <c r="V881" s="44" t="s">
        <v>1379</v>
      </c>
      <c r="W881" s="44" t="s">
        <v>1715</v>
      </c>
      <c r="X881" s="44" t="s">
        <v>1379</v>
      </c>
      <c r="Y881" s="44" t="s">
        <v>1379</v>
      </c>
      <c r="Z881" s="32">
        <v>1.05</v>
      </c>
      <c r="AA881" s="323">
        <v>7.3</v>
      </c>
      <c r="AB881" s="323">
        <v>70.2</v>
      </c>
      <c r="AC881" s="32" t="s">
        <v>450</v>
      </c>
      <c r="AD881" s="32">
        <v>5.48</v>
      </c>
      <c r="AE881" s="32">
        <v>1.1599999999999999</v>
      </c>
      <c r="AG881" s="32" t="s">
        <v>1336</v>
      </c>
      <c r="AH881" s="32" t="s">
        <v>243</v>
      </c>
      <c r="AI881" s="138" t="s">
        <v>577</v>
      </c>
      <c r="AJ881" s="32" t="s">
        <v>132</v>
      </c>
      <c r="AK881" s="140" t="s">
        <v>132</v>
      </c>
      <c r="AW881" s="32" t="s">
        <v>119</v>
      </c>
      <c r="AX881" s="32">
        <v>2</v>
      </c>
      <c r="AZ881" s="32" t="s">
        <v>141</v>
      </c>
      <c r="BD881" s="53"/>
      <c r="BP881" s="397"/>
      <c r="BQ881" s="397"/>
      <c r="BU881" s="397"/>
      <c r="BV881" s="397"/>
      <c r="BZ881" s="397"/>
      <c r="CA881" s="397"/>
      <c r="CE881" s="550"/>
      <c r="CF881" s="550"/>
      <c r="CG881" s="550"/>
      <c r="CH881" s="550"/>
      <c r="FB881" s="32">
        <v>2.7E-2</v>
      </c>
      <c r="FC881" s="32">
        <v>0.01</v>
      </c>
      <c r="FF881" s="32" t="s">
        <v>1683</v>
      </c>
      <c r="JB881" s="32" t="s">
        <v>727</v>
      </c>
    </row>
    <row r="882" spans="1:262" s="32" customFormat="1" x14ac:dyDescent="0.25">
      <c r="A882" s="32">
        <v>41</v>
      </c>
      <c r="B882" s="44" t="s">
        <v>3950</v>
      </c>
      <c r="C882" s="32" t="s">
        <v>591</v>
      </c>
      <c r="D882" s="32" t="s">
        <v>592</v>
      </c>
      <c r="E882" s="32">
        <v>1994</v>
      </c>
      <c r="F882" s="32">
        <v>1989</v>
      </c>
      <c r="G882" s="32" t="s">
        <v>418</v>
      </c>
      <c r="H882" s="32" t="s">
        <v>594</v>
      </c>
      <c r="I882" s="32" t="s">
        <v>2815</v>
      </c>
      <c r="J882" s="32">
        <v>38.03</v>
      </c>
      <c r="K882" s="32">
        <v>-84.51</v>
      </c>
      <c r="L882" s="32">
        <v>299.60000000000002</v>
      </c>
      <c r="R882" s="44">
        <v>5</v>
      </c>
      <c r="S882" s="44" t="s">
        <v>1722</v>
      </c>
      <c r="T882" s="44"/>
      <c r="U882" s="44" t="s">
        <v>201</v>
      </c>
      <c r="V882" s="44" t="s">
        <v>1379</v>
      </c>
      <c r="W882" s="44" t="s">
        <v>1715</v>
      </c>
      <c r="X882" s="44" t="s">
        <v>1379</v>
      </c>
      <c r="Y882" s="44" t="s">
        <v>1379</v>
      </c>
      <c r="Z882" s="32">
        <v>1.05</v>
      </c>
      <c r="AA882" s="323">
        <v>7.3</v>
      </c>
      <c r="AB882" s="323">
        <v>70.2</v>
      </c>
      <c r="AC882" s="32" t="s">
        <v>450</v>
      </c>
      <c r="AD882" s="32">
        <v>5.48</v>
      </c>
      <c r="AE882" s="32">
        <v>1.1599999999999999</v>
      </c>
      <c r="AG882" s="32" t="s">
        <v>1336</v>
      </c>
      <c r="AH882" s="32" t="s">
        <v>243</v>
      </c>
      <c r="AI882" s="138" t="s">
        <v>577</v>
      </c>
      <c r="AJ882" s="32" t="s">
        <v>132</v>
      </c>
      <c r="AK882" s="140" t="s">
        <v>132</v>
      </c>
      <c r="AW882" s="32" t="s">
        <v>119</v>
      </c>
      <c r="AX882" s="32">
        <v>2</v>
      </c>
      <c r="AZ882" s="32" t="s">
        <v>141</v>
      </c>
      <c r="BD882" s="53"/>
      <c r="BP882" s="397"/>
      <c r="BQ882" s="397"/>
      <c r="BU882" s="397"/>
      <c r="BV882" s="397"/>
      <c r="BZ882" s="397"/>
      <c r="CA882" s="397"/>
      <c r="CE882" s="550"/>
      <c r="CF882" s="550"/>
      <c r="CG882" s="550"/>
      <c r="CH882" s="550"/>
      <c r="FB882" s="32">
        <v>5.0999999999999997E-2</v>
      </c>
      <c r="FC882" s="32">
        <v>0.01</v>
      </c>
      <c r="FF882" s="32" t="s">
        <v>1683</v>
      </c>
      <c r="JB882" s="32" t="s">
        <v>727</v>
      </c>
    </row>
    <row r="883" spans="1:262" s="32" customFormat="1" x14ac:dyDescent="0.25">
      <c r="A883" s="32">
        <v>41</v>
      </c>
      <c r="B883" s="44" t="s">
        <v>3950</v>
      </c>
      <c r="C883" s="32" t="s">
        <v>591</v>
      </c>
      <c r="D883" s="32" t="s">
        <v>592</v>
      </c>
      <c r="E883" s="32">
        <v>1994</v>
      </c>
      <c r="F883" s="32">
        <v>1989</v>
      </c>
      <c r="G883" s="32" t="s">
        <v>418</v>
      </c>
      <c r="H883" s="32" t="s">
        <v>594</v>
      </c>
      <c r="I883" s="32" t="s">
        <v>2815</v>
      </c>
      <c r="J883" s="32">
        <v>38.03</v>
      </c>
      <c r="K883" s="32">
        <v>-84.51</v>
      </c>
      <c r="L883" s="32">
        <v>299.60000000000002</v>
      </c>
      <c r="R883" s="44">
        <v>5</v>
      </c>
      <c r="S883" s="44" t="s">
        <v>1722</v>
      </c>
      <c r="T883" s="44"/>
      <c r="U883" s="44" t="s">
        <v>596</v>
      </c>
      <c r="V883" s="44" t="s">
        <v>1379</v>
      </c>
      <c r="W883" s="44" t="s">
        <v>1715</v>
      </c>
      <c r="X883" s="44" t="s">
        <v>1379</v>
      </c>
      <c r="Y883" s="44" t="s">
        <v>1379</v>
      </c>
      <c r="Z883" s="32">
        <v>1.05</v>
      </c>
      <c r="AA883" s="323">
        <v>7.3</v>
      </c>
      <c r="AB883" s="323">
        <v>70.2</v>
      </c>
      <c r="AC883" s="32" t="s">
        <v>450</v>
      </c>
      <c r="AD883" s="32">
        <v>5.48</v>
      </c>
      <c r="AE883" s="32">
        <v>1.1599999999999999</v>
      </c>
      <c r="AG883" s="32" t="s">
        <v>1336</v>
      </c>
      <c r="AH883" s="32" t="s">
        <v>243</v>
      </c>
      <c r="AI883" s="138" t="s">
        <v>577</v>
      </c>
      <c r="AJ883" s="32" t="s">
        <v>132</v>
      </c>
      <c r="AK883" s="140" t="s">
        <v>132</v>
      </c>
      <c r="AW883" s="32" t="s">
        <v>119</v>
      </c>
      <c r="AX883" s="32">
        <v>2</v>
      </c>
      <c r="AZ883" s="32" t="s">
        <v>141</v>
      </c>
      <c r="BD883" s="53"/>
      <c r="BP883" s="397"/>
      <c r="BQ883" s="397"/>
      <c r="BU883" s="397"/>
      <c r="BV883" s="397"/>
      <c r="BZ883" s="397"/>
      <c r="CA883" s="397"/>
      <c r="CE883" s="550"/>
      <c r="CF883" s="550"/>
      <c r="CG883" s="550"/>
      <c r="CH883" s="550"/>
      <c r="FB883" s="32">
        <v>8.4000000000000005E-2</v>
      </c>
      <c r="FC883" s="32">
        <v>0.02</v>
      </c>
      <c r="FF883" s="32" t="s">
        <v>1683</v>
      </c>
      <c r="JB883" s="32" t="s">
        <v>727</v>
      </c>
    </row>
    <row r="884" spans="1:262" s="32" customFormat="1" x14ac:dyDescent="0.25">
      <c r="A884" s="32">
        <v>41</v>
      </c>
      <c r="B884" s="44" t="s">
        <v>3950</v>
      </c>
      <c r="C884" s="32" t="s">
        <v>591</v>
      </c>
      <c r="D884" s="32" t="s">
        <v>592</v>
      </c>
      <c r="E884" s="32">
        <v>1994</v>
      </c>
      <c r="F884" s="32">
        <v>1989</v>
      </c>
      <c r="G884" s="32" t="s">
        <v>418</v>
      </c>
      <c r="H884" s="32" t="s">
        <v>594</v>
      </c>
      <c r="I884" s="32" t="s">
        <v>2815</v>
      </c>
      <c r="J884" s="32">
        <v>38.03</v>
      </c>
      <c r="K884" s="32">
        <v>-84.51</v>
      </c>
      <c r="L884" s="32">
        <v>299.60000000000002</v>
      </c>
      <c r="R884" s="44">
        <v>5</v>
      </c>
      <c r="S884" s="44" t="s">
        <v>1722</v>
      </c>
      <c r="T884" s="44"/>
      <c r="U884" s="44" t="s">
        <v>226</v>
      </c>
      <c r="V884" s="44" t="s">
        <v>1379</v>
      </c>
      <c r="W884" s="44" t="s">
        <v>1715</v>
      </c>
      <c r="X884" s="44" t="s">
        <v>1379</v>
      </c>
      <c r="Y884" s="44" t="s">
        <v>1379</v>
      </c>
      <c r="Z884" s="32">
        <v>1.05</v>
      </c>
      <c r="AA884" s="323">
        <v>7.3</v>
      </c>
      <c r="AB884" s="323">
        <v>70.2</v>
      </c>
      <c r="AC884" s="32" t="s">
        <v>450</v>
      </c>
      <c r="AD884" s="32">
        <v>5.48</v>
      </c>
      <c r="AE884" s="32">
        <v>1.1599999999999999</v>
      </c>
      <c r="AG884" s="32" t="s">
        <v>1336</v>
      </c>
      <c r="AH884" s="32" t="s">
        <v>243</v>
      </c>
      <c r="AI884" s="138" t="s">
        <v>577</v>
      </c>
      <c r="AJ884" s="32" t="s">
        <v>132</v>
      </c>
      <c r="AK884" s="140" t="s">
        <v>132</v>
      </c>
      <c r="AW884" s="32" t="s">
        <v>119</v>
      </c>
      <c r="AX884" s="32">
        <v>2</v>
      </c>
      <c r="AZ884" s="32" t="s">
        <v>141</v>
      </c>
      <c r="BD884" s="53"/>
      <c r="BP884" s="397"/>
      <c r="BQ884" s="397"/>
      <c r="BU884" s="397"/>
      <c r="BV884" s="397"/>
      <c r="BZ884" s="397"/>
      <c r="CA884" s="397"/>
      <c r="CE884" s="550"/>
      <c r="CF884" s="550"/>
      <c r="CG884" s="550"/>
      <c r="CH884" s="550"/>
      <c r="FB884" s="32">
        <v>9.8000000000000004E-2</v>
      </c>
      <c r="FC884" s="32">
        <v>0.02</v>
      </c>
      <c r="FF884" s="32" t="s">
        <v>1683</v>
      </c>
      <c r="JB884" s="32" t="s">
        <v>727</v>
      </c>
    </row>
    <row r="885" spans="1:262" s="5" customFormat="1" x14ac:dyDescent="0.25">
      <c r="A885" s="5">
        <v>42</v>
      </c>
      <c r="B885" s="52" t="s">
        <v>3951</v>
      </c>
      <c r="C885" s="5" t="s">
        <v>604</v>
      </c>
      <c r="D885" s="5" t="s">
        <v>605</v>
      </c>
      <c r="E885" s="5">
        <v>1989</v>
      </c>
      <c r="F885" s="5">
        <v>1987</v>
      </c>
      <c r="G885" s="5" t="s">
        <v>418</v>
      </c>
      <c r="H885" s="5" t="s">
        <v>607</v>
      </c>
      <c r="I885" s="32" t="s">
        <v>2815</v>
      </c>
      <c r="J885" s="206">
        <v>34.137</v>
      </c>
      <c r="K885" s="5">
        <v>-85.09</v>
      </c>
      <c r="L885" s="5">
        <v>223.8</v>
      </c>
      <c r="R885" s="52">
        <v>3</v>
      </c>
      <c r="S885" s="52">
        <v>3</v>
      </c>
      <c r="T885" s="52"/>
      <c r="U885" s="52" t="s">
        <v>1946</v>
      </c>
      <c r="V885" s="52" t="s">
        <v>1394</v>
      </c>
      <c r="W885" s="52" t="s">
        <v>1722</v>
      </c>
      <c r="X885" s="52" t="s">
        <v>1394</v>
      </c>
      <c r="Y885" s="52" t="s">
        <v>1379</v>
      </c>
      <c r="AA885" s="332"/>
      <c r="AB885" s="332"/>
      <c r="AC885" s="5" t="s">
        <v>672</v>
      </c>
      <c r="AE885" s="5">
        <f>(1.01+0.87+0.79)/3</f>
        <v>0.89</v>
      </c>
      <c r="AG885" s="5" t="s">
        <v>1324</v>
      </c>
      <c r="AH885" s="5" t="s">
        <v>116</v>
      </c>
      <c r="AI885" s="138" t="s">
        <v>1581</v>
      </c>
      <c r="AJ885" s="5" t="s">
        <v>132</v>
      </c>
      <c r="AK885" s="141" t="s">
        <v>132</v>
      </c>
      <c r="AW885" s="5" t="s">
        <v>119</v>
      </c>
      <c r="AX885" s="5">
        <v>4</v>
      </c>
      <c r="AZ885" s="5" t="s">
        <v>335</v>
      </c>
      <c r="BB885" s="5">
        <v>1775</v>
      </c>
      <c r="BC885" s="5">
        <f>BB885/32</f>
        <v>55.46875</v>
      </c>
      <c r="BD885" s="54"/>
      <c r="BP885" s="403"/>
      <c r="BQ885" s="403"/>
      <c r="BU885" s="403">
        <v>1.01</v>
      </c>
      <c r="BV885" s="403">
        <v>1.18</v>
      </c>
      <c r="BY885" s="5" t="s">
        <v>163</v>
      </c>
      <c r="BZ885" s="403"/>
      <c r="CA885" s="403"/>
      <c r="CD885" s="5" t="s">
        <v>3120</v>
      </c>
      <c r="CE885" s="556">
        <v>1.01</v>
      </c>
      <c r="CF885" s="556">
        <v>1.18</v>
      </c>
      <c r="CG885" s="556"/>
      <c r="CH885" s="556"/>
      <c r="CI885" s="5" t="s">
        <v>4542</v>
      </c>
      <c r="CJ885" s="5">
        <v>1300</v>
      </c>
      <c r="CK885" s="5">
        <v>1400</v>
      </c>
      <c r="CN885" s="5" t="s">
        <v>1677</v>
      </c>
      <c r="DS885" s="5">
        <v>56.3</v>
      </c>
      <c r="DT885" s="5">
        <v>65.099999999999994</v>
      </c>
      <c r="DW885" s="5" t="s">
        <v>609</v>
      </c>
      <c r="GZ885" s="39"/>
      <c r="HD885" s="39"/>
      <c r="IX885" s="5">
        <v>99999</v>
      </c>
      <c r="JB885" s="5" t="s">
        <v>611</v>
      </c>
    </row>
    <row r="886" spans="1:262" s="5" customFormat="1" x14ac:dyDescent="0.25">
      <c r="A886" s="5">
        <v>42</v>
      </c>
      <c r="B886" s="52" t="s">
        <v>3952</v>
      </c>
      <c r="C886" s="5" t="s">
        <v>604</v>
      </c>
      <c r="D886" s="5" t="s">
        <v>605</v>
      </c>
      <c r="E886" s="5">
        <v>1989</v>
      </c>
      <c r="F886" s="5">
        <v>1987</v>
      </c>
      <c r="G886" s="5" t="s">
        <v>418</v>
      </c>
      <c r="H886" s="5" t="s">
        <v>607</v>
      </c>
      <c r="I886" s="32" t="s">
        <v>2815</v>
      </c>
      <c r="J886" s="206">
        <v>34.137</v>
      </c>
      <c r="K886" s="5">
        <v>-85.09</v>
      </c>
      <c r="L886" s="5">
        <v>223.8</v>
      </c>
      <c r="R886" s="52">
        <v>3</v>
      </c>
      <c r="S886" s="52">
        <v>3</v>
      </c>
      <c r="T886" s="52"/>
      <c r="U886" s="52" t="s">
        <v>1946</v>
      </c>
      <c r="V886" s="52" t="s">
        <v>1394</v>
      </c>
      <c r="W886" s="52" t="s">
        <v>1722</v>
      </c>
      <c r="X886" s="52" t="s">
        <v>1394</v>
      </c>
      <c r="Y886" s="52" t="s">
        <v>1379</v>
      </c>
      <c r="AA886" s="332"/>
      <c r="AB886" s="332"/>
      <c r="AC886" s="5" t="s">
        <v>672</v>
      </c>
      <c r="AE886" s="5">
        <f t="shared" ref="AE886:AE893" si="220">(1.01+0.87+0.79)/3</f>
        <v>0.89</v>
      </c>
      <c r="AG886" s="5" t="s">
        <v>1324</v>
      </c>
      <c r="AH886" s="5" t="s">
        <v>1521</v>
      </c>
      <c r="AI886" s="138" t="s">
        <v>577</v>
      </c>
      <c r="AJ886" s="5" t="s">
        <v>132</v>
      </c>
      <c r="AK886" s="141" t="s">
        <v>132</v>
      </c>
      <c r="AW886" s="5" t="s">
        <v>119</v>
      </c>
      <c r="AX886" s="5">
        <v>4</v>
      </c>
      <c r="AZ886" s="5" t="s">
        <v>335</v>
      </c>
      <c r="BB886" s="5">
        <v>3544</v>
      </c>
      <c r="BC886" s="5">
        <f>BB886/108</f>
        <v>32.814814814814817</v>
      </c>
      <c r="BD886" s="54"/>
      <c r="BP886" s="403"/>
      <c r="BQ886" s="403"/>
      <c r="BU886" s="403">
        <v>1.01</v>
      </c>
      <c r="BV886" s="403">
        <v>1.28</v>
      </c>
      <c r="BY886" s="5" t="s">
        <v>163</v>
      </c>
      <c r="BZ886" s="403"/>
      <c r="CA886" s="403"/>
      <c r="CD886" s="5" t="s">
        <v>3120</v>
      </c>
      <c r="CE886" s="556">
        <v>1.01</v>
      </c>
      <c r="CF886" s="556">
        <v>1.28</v>
      </c>
      <c r="CG886" s="556"/>
      <c r="CH886" s="556"/>
      <c r="CI886" s="5" t="s">
        <v>4542</v>
      </c>
      <c r="CJ886" s="5">
        <v>1300</v>
      </c>
      <c r="CK886" s="5">
        <v>1500</v>
      </c>
      <c r="CN886" s="5" t="s">
        <v>1677</v>
      </c>
      <c r="DS886" s="5">
        <v>56.3</v>
      </c>
      <c r="DT886" s="5">
        <v>55</v>
      </c>
      <c r="DW886" s="5" t="s">
        <v>609</v>
      </c>
      <c r="GZ886" s="39"/>
      <c r="HD886" s="39"/>
      <c r="IX886" s="5">
        <v>99999</v>
      </c>
      <c r="JB886" s="5" t="s">
        <v>611</v>
      </c>
    </row>
    <row r="887" spans="1:262" s="5" customFormat="1" x14ac:dyDescent="0.25">
      <c r="A887" s="5">
        <v>42</v>
      </c>
      <c r="B887" s="52" t="s">
        <v>3952</v>
      </c>
      <c r="C887" s="5" t="s">
        <v>604</v>
      </c>
      <c r="D887" s="5" t="s">
        <v>605</v>
      </c>
      <c r="E887" s="5">
        <v>1989</v>
      </c>
      <c r="F887" s="5">
        <v>1987</v>
      </c>
      <c r="G887" s="5" t="s">
        <v>418</v>
      </c>
      <c r="H887" s="5" t="s">
        <v>607</v>
      </c>
      <c r="I887" s="32" t="s">
        <v>2815</v>
      </c>
      <c r="J887" s="206">
        <v>34.137</v>
      </c>
      <c r="K887" s="5">
        <v>-85.09</v>
      </c>
      <c r="L887" s="5">
        <v>223.8</v>
      </c>
      <c r="R887" s="52">
        <v>3</v>
      </c>
      <c r="S887" s="52">
        <v>3</v>
      </c>
      <c r="T887" s="52"/>
      <c r="U887" s="52" t="s">
        <v>1946</v>
      </c>
      <c r="V887" s="52" t="s">
        <v>1394</v>
      </c>
      <c r="W887" s="52" t="s">
        <v>1722</v>
      </c>
      <c r="X887" s="52" t="s">
        <v>1394</v>
      </c>
      <c r="Y887" s="52" t="s">
        <v>1379</v>
      </c>
      <c r="AA887" s="332"/>
      <c r="AB887" s="332"/>
      <c r="AC887" s="5" t="s">
        <v>672</v>
      </c>
      <c r="AE887" s="5">
        <f t="shared" si="220"/>
        <v>0.89</v>
      </c>
      <c r="AG887" s="5" t="s">
        <v>1324</v>
      </c>
      <c r="AH887" s="5" t="s">
        <v>243</v>
      </c>
      <c r="AI887" s="138" t="s">
        <v>577</v>
      </c>
      <c r="AJ887" s="5" t="s">
        <v>132</v>
      </c>
      <c r="AK887" s="141" t="s">
        <v>132</v>
      </c>
      <c r="AW887" s="5" t="s">
        <v>119</v>
      </c>
      <c r="AX887" s="5">
        <v>4</v>
      </c>
      <c r="AZ887" s="5" t="s">
        <v>335</v>
      </c>
      <c r="BB887" s="5">
        <v>3433</v>
      </c>
      <c r="BC887" s="5">
        <f>BB887/128</f>
        <v>26.8203125</v>
      </c>
      <c r="BD887" s="54"/>
      <c r="BP887" s="403"/>
      <c r="BQ887" s="403"/>
      <c r="BU887" s="403">
        <v>1.01</v>
      </c>
      <c r="BV887" s="403">
        <v>1.18</v>
      </c>
      <c r="BY887" s="5" t="s">
        <v>163</v>
      </c>
      <c r="BZ887" s="403"/>
      <c r="CA887" s="403"/>
      <c r="CD887" s="5" t="s">
        <v>3120</v>
      </c>
      <c r="CE887" s="556">
        <v>1.01</v>
      </c>
      <c r="CF887" s="556">
        <v>1.18</v>
      </c>
      <c r="CG887" s="556"/>
      <c r="CH887" s="556"/>
      <c r="CI887" s="5" t="s">
        <v>4542</v>
      </c>
      <c r="CJ887" s="5">
        <v>1300</v>
      </c>
      <c r="CK887" s="5">
        <v>1500</v>
      </c>
      <c r="CN887" s="5" t="s">
        <v>1677</v>
      </c>
      <c r="DS887" s="5">
        <v>56.3</v>
      </c>
      <c r="DT887" s="5">
        <v>58.2</v>
      </c>
      <c r="DW887" s="5" t="s">
        <v>609</v>
      </c>
      <c r="EH887" s="5">
        <v>23.4</v>
      </c>
      <c r="EI887" s="5">
        <v>38.799999999999997</v>
      </c>
      <c r="GZ887" s="39"/>
      <c r="HD887" s="39"/>
      <c r="IX887" s="5">
        <v>99999</v>
      </c>
      <c r="JB887" s="5" t="s">
        <v>611</v>
      </c>
    </row>
    <row r="888" spans="1:262" s="5" customFormat="1" x14ac:dyDescent="0.25">
      <c r="A888" s="5">
        <v>42</v>
      </c>
      <c r="B888" s="52" t="s">
        <v>3953</v>
      </c>
      <c r="C888" s="5" t="s">
        <v>604</v>
      </c>
      <c r="D888" s="5" t="s">
        <v>605</v>
      </c>
      <c r="E888" s="5">
        <v>1989</v>
      </c>
      <c r="F888" s="5">
        <v>1987</v>
      </c>
      <c r="G888" s="5" t="s">
        <v>418</v>
      </c>
      <c r="H888" s="5" t="s">
        <v>607</v>
      </c>
      <c r="I888" s="32" t="s">
        <v>2815</v>
      </c>
      <c r="J888" s="206">
        <v>34.137</v>
      </c>
      <c r="K888" s="5">
        <v>-85.09</v>
      </c>
      <c r="L888" s="5">
        <v>223.8</v>
      </c>
      <c r="R888" s="52">
        <v>3</v>
      </c>
      <c r="S888" s="52">
        <v>3</v>
      </c>
      <c r="T888" s="52"/>
      <c r="U888" s="52" t="s">
        <v>1946</v>
      </c>
      <c r="V888" s="52" t="s">
        <v>1401</v>
      </c>
      <c r="W888" s="52" t="s">
        <v>1722</v>
      </c>
      <c r="X888" s="52" t="s">
        <v>1394</v>
      </c>
      <c r="Y888" s="52" t="s">
        <v>1379</v>
      </c>
      <c r="AA888" s="332"/>
      <c r="AB888" s="332"/>
      <c r="AC888" s="5" t="s">
        <v>672</v>
      </c>
      <c r="AE888" s="5">
        <f t="shared" si="220"/>
        <v>0.89</v>
      </c>
      <c r="AG888" s="5" t="s">
        <v>1324</v>
      </c>
      <c r="AH888" s="5" t="s">
        <v>116</v>
      </c>
      <c r="AI888" s="138" t="s">
        <v>1581</v>
      </c>
      <c r="AJ888" s="5" t="s">
        <v>132</v>
      </c>
      <c r="AK888" s="141" t="s">
        <v>132</v>
      </c>
      <c r="AW888" s="5" t="s">
        <v>119</v>
      </c>
      <c r="AX888" s="5">
        <v>4</v>
      </c>
      <c r="AZ888" s="5" t="s">
        <v>335</v>
      </c>
      <c r="BB888" s="5">
        <v>1775</v>
      </c>
      <c r="BC888" s="5">
        <f>BB888/32</f>
        <v>55.46875</v>
      </c>
      <c r="BD888" s="54"/>
      <c r="BP888" s="403"/>
      <c r="BQ888" s="403"/>
      <c r="BU888" s="403">
        <v>0.87</v>
      </c>
      <c r="BV888" s="403">
        <v>0.95</v>
      </c>
      <c r="BY888" s="5" t="s">
        <v>163</v>
      </c>
      <c r="BZ888" s="403"/>
      <c r="CA888" s="403"/>
      <c r="CD888" s="5" t="s">
        <v>3120</v>
      </c>
      <c r="CE888" s="556">
        <v>0.87</v>
      </c>
      <c r="CF888" s="556">
        <v>0.95</v>
      </c>
      <c r="CG888" s="556"/>
      <c r="CH888" s="556"/>
      <c r="CI888" s="5" t="s">
        <v>4542</v>
      </c>
      <c r="CJ888" s="5">
        <v>1000</v>
      </c>
      <c r="CK888" s="5">
        <v>1200</v>
      </c>
      <c r="CN888" s="5" t="s">
        <v>1677</v>
      </c>
      <c r="GZ888" s="39"/>
      <c r="HD888" s="39"/>
      <c r="IX888" s="5">
        <v>99999</v>
      </c>
      <c r="JB888" s="5" t="s">
        <v>611</v>
      </c>
    </row>
    <row r="889" spans="1:262" s="5" customFormat="1" x14ac:dyDescent="0.25">
      <c r="A889" s="5">
        <v>42</v>
      </c>
      <c r="B889" s="52" t="s">
        <v>3954</v>
      </c>
      <c r="C889" s="5" t="s">
        <v>604</v>
      </c>
      <c r="D889" s="5" t="s">
        <v>605</v>
      </c>
      <c r="E889" s="5">
        <v>1989</v>
      </c>
      <c r="F889" s="5">
        <v>1987</v>
      </c>
      <c r="G889" s="5" t="s">
        <v>418</v>
      </c>
      <c r="H889" s="5" t="s">
        <v>607</v>
      </c>
      <c r="I889" s="32" t="s">
        <v>2815</v>
      </c>
      <c r="J889" s="206">
        <v>34.137</v>
      </c>
      <c r="K889" s="5">
        <v>-85.09</v>
      </c>
      <c r="L889" s="5">
        <v>223.8</v>
      </c>
      <c r="R889" s="52">
        <v>3</v>
      </c>
      <c r="S889" s="52">
        <v>3</v>
      </c>
      <c r="T889" s="52"/>
      <c r="U889" s="52" t="s">
        <v>1946</v>
      </c>
      <c r="V889" s="52" t="s">
        <v>1401</v>
      </c>
      <c r="W889" s="52" t="s">
        <v>1722</v>
      </c>
      <c r="X889" s="52" t="s">
        <v>1394</v>
      </c>
      <c r="Y889" s="52" t="s">
        <v>1379</v>
      </c>
      <c r="AA889" s="332"/>
      <c r="AB889" s="332"/>
      <c r="AC889" s="5" t="s">
        <v>672</v>
      </c>
      <c r="AE889" s="5">
        <f t="shared" si="220"/>
        <v>0.89</v>
      </c>
      <c r="AG889" s="5" t="s">
        <v>1324</v>
      </c>
      <c r="AH889" s="5" t="s">
        <v>1521</v>
      </c>
      <c r="AI889" s="138" t="s">
        <v>577</v>
      </c>
      <c r="AJ889" s="5" t="s">
        <v>132</v>
      </c>
      <c r="AK889" s="141" t="s">
        <v>132</v>
      </c>
      <c r="AW889" s="5" t="s">
        <v>119</v>
      </c>
      <c r="AX889" s="5">
        <v>4</v>
      </c>
      <c r="AZ889" s="5" t="s">
        <v>335</v>
      </c>
      <c r="BB889" s="5">
        <v>3544</v>
      </c>
      <c r="BC889" s="5">
        <f>BB889/108</f>
        <v>32.814814814814817</v>
      </c>
      <c r="BD889" s="54"/>
      <c r="BP889" s="403"/>
      <c r="BQ889" s="403"/>
      <c r="BU889" s="403">
        <v>0.87</v>
      </c>
      <c r="BV889" s="403">
        <v>1.03</v>
      </c>
      <c r="BY889" s="5" t="s">
        <v>163</v>
      </c>
      <c r="BZ889" s="403"/>
      <c r="CA889" s="403"/>
      <c r="CD889" s="5" t="s">
        <v>3120</v>
      </c>
      <c r="CE889" s="556">
        <v>0.87</v>
      </c>
      <c r="CF889" s="556">
        <v>1.03</v>
      </c>
      <c r="CG889" s="556"/>
      <c r="CH889" s="556"/>
      <c r="CI889" s="5" t="s">
        <v>4542</v>
      </c>
      <c r="CJ889" s="5">
        <v>1000</v>
      </c>
      <c r="CK889" s="5">
        <v>1200</v>
      </c>
      <c r="CN889" s="5" t="s">
        <v>1677</v>
      </c>
      <c r="GZ889" s="39"/>
      <c r="HD889" s="39"/>
      <c r="IX889" s="5">
        <v>99999</v>
      </c>
      <c r="JB889" s="5" t="s">
        <v>611</v>
      </c>
    </row>
    <row r="890" spans="1:262" s="5" customFormat="1" x14ac:dyDescent="0.25">
      <c r="A890" s="5">
        <v>42</v>
      </c>
      <c r="B890" s="52" t="s">
        <v>3954</v>
      </c>
      <c r="C890" s="5" t="s">
        <v>604</v>
      </c>
      <c r="D890" s="5" t="s">
        <v>605</v>
      </c>
      <c r="E890" s="5">
        <v>1989</v>
      </c>
      <c r="F890" s="5">
        <v>1987</v>
      </c>
      <c r="G890" s="5" t="s">
        <v>418</v>
      </c>
      <c r="H890" s="5" t="s">
        <v>607</v>
      </c>
      <c r="I890" s="32" t="s">
        <v>2815</v>
      </c>
      <c r="J890" s="206">
        <v>34.137</v>
      </c>
      <c r="K890" s="5">
        <v>-85.09</v>
      </c>
      <c r="L890" s="5">
        <v>223.8</v>
      </c>
      <c r="R890" s="52">
        <v>3</v>
      </c>
      <c r="S890" s="52">
        <v>3</v>
      </c>
      <c r="T890" s="52"/>
      <c r="U890" s="52" t="s">
        <v>1946</v>
      </c>
      <c r="V890" s="52" t="s">
        <v>1401</v>
      </c>
      <c r="W890" s="52" t="s">
        <v>1722</v>
      </c>
      <c r="X890" s="52" t="s">
        <v>1394</v>
      </c>
      <c r="Y890" s="52" t="s">
        <v>1379</v>
      </c>
      <c r="AA890" s="332"/>
      <c r="AB890" s="332"/>
      <c r="AC890" s="5" t="s">
        <v>672</v>
      </c>
      <c r="AE890" s="5">
        <f t="shared" si="220"/>
        <v>0.89</v>
      </c>
      <c r="AG890" s="5" t="s">
        <v>1324</v>
      </c>
      <c r="AH890" s="5" t="s">
        <v>243</v>
      </c>
      <c r="AI890" s="138" t="s">
        <v>577</v>
      </c>
      <c r="AJ890" s="5" t="s">
        <v>132</v>
      </c>
      <c r="AK890" s="141" t="s">
        <v>132</v>
      </c>
      <c r="AW890" s="5" t="s">
        <v>119</v>
      </c>
      <c r="AX890" s="5">
        <v>4</v>
      </c>
      <c r="AZ890" s="5" t="s">
        <v>335</v>
      </c>
      <c r="BB890" s="5">
        <v>3433</v>
      </c>
      <c r="BC890" s="5">
        <f>BB890/128</f>
        <v>26.8203125</v>
      </c>
      <c r="BD890" s="54"/>
      <c r="BP890" s="403"/>
      <c r="BQ890" s="403"/>
      <c r="BU890" s="403">
        <v>0.87</v>
      </c>
      <c r="BV890" s="403">
        <v>0.93</v>
      </c>
      <c r="BY890" s="5" t="s">
        <v>163</v>
      </c>
      <c r="BZ890" s="403"/>
      <c r="CA890" s="403"/>
      <c r="CD890" s="5" t="s">
        <v>3120</v>
      </c>
      <c r="CE890" s="556">
        <v>0.87</v>
      </c>
      <c r="CF890" s="556">
        <v>0.93</v>
      </c>
      <c r="CG890" s="556"/>
      <c r="CH890" s="556"/>
      <c r="CI890" s="5" t="s">
        <v>4542</v>
      </c>
      <c r="CJ890" s="5">
        <v>1000</v>
      </c>
      <c r="CK890" s="5">
        <v>1200</v>
      </c>
      <c r="CN890" s="5" t="s">
        <v>1677</v>
      </c>
      <c r="GZ890" s="39"/>
      <c r="HD890" s="39"/>
      <c r="IX890" s="5">
        <v>99999</v>
      </c>
      <c r="JB890" s="5" t="s">
        <v>611</v>
      </c>
    </row>
    <row r="891" spans="1:262" s="5" customFormat="1" x14ac:dyDescent="0.25">
      <c r="A891" s="5">
        <v>42</v>
      </c>
      <c r="B891" s="52" t="s">
        <v>3955</v>
      </c>
      <c r="C891" s="5" t="s">
        <v>604</v>
      </c>
      <c r="D891" s="5" t="s">
        <v>605</v>
      </c>
      <c r="E891" s="5">
        <v>1989</v>
      </c>
      <c r="F891" s="5">
        <v>1987</v>
      </c>
      <c r="G891" s="5" t="s">
        <v>418</v>
      </c>
      <c r="H891" s="5" t="s">
        <v>607</v>
      </c>
      <c r="I891" s="32" t="s">
        <v>2815</v>
      </c>
      <c r="J891" s="206">
        <v>34.137</v>
      </c>
      <c r="K891" s="5">
        <v>-85.09</v>
      </c>
      <c r="L891" s="5">
        <v>223.8</v>
      </c>
      <c r="R891" s="52">
        <v>3</v>
      </c>
      <c r="S891" s="52">
        <v>3</v>
      </c>
      <c r="T891" s="52"/>
      <c r="U891" s="52" t="s">
        <v>1946</v>
      </c>
      <c r="V891" s="52" t="s">
        <v>1392</v>
      </c>
      <c r="W891" s="52" t="s">
        <v>1719</v>
      </c>
      <c r="X891" s="52" t="s">
        <v>1394</v>
      </c>
      <c r="Y891" s="52" t="s">
        <v>1379</v>
      </c>
      <c r="AA891" s="332"/>
      <c r="AB891" s="332"/>
      <c r="AC891" s="5" t="s">
        <v>672</v>
      </c>
      <c r="AE891" s="5">
        <f t="shared" si="220"/>
        <v>0.89</v>
      </c>
      <c r="AG891" s="5" t="s">
        <v>1324</v>
      </c>
      <c r="AH891" s="5" t="s">
        <v>116</v>
      </c>
      <c r="AI891" s="138" t="s">
        <v>1581</v>
      </c>
      <c r="AJ891" s="5" t="s">
        <v>132</v>
      </c>
      <c r="AK891" s="141" t="s">
        <v>132</v>
      </c>
      <c r="AW891" s="5" t="s">
        <v>119</v>
      </c>
      <c r="AX891" s="5">
        <v>4</v>
      </c>
      <c r="AZ891" s="5" t="s">
        <v>335</v>
      </c>
      <c r="BB891" s="5">
        <v>1775</v>
      </c>
      <c r="BC891" s="5">
        <f>BB891/32</f>
        <v>55.46875</v>
      </c>
      <c r="BD891" s="54"/>
      <c r="BP891" s="403"/>
      <c r="BQ891" s="403"/>
      <c r="BU891" s="403">
        <v>0.79</v>
      </c>
      <c r="BV891" s="403">
        <v>0.93</v>
      </c>
      <c r="BY891" s="5" t="s">
        <v>163</v>
      </c>
      <c r="BZ891" s="403"/>
      <c r="CA891" s="403"/>
      <c r="CD891" s="5" t="s">
        <v>3120</v>
      </c>
      <c r="CE891" s="556">
        <v>0.79</v>
      </c>
      <c r="CF891" s="556">
        <v>0.93</v>
      </c>
      <c r="CG891" s="556"/>
      <c r="CH891" s="556"/>
      <c r="CI891" s="5" t="s">
        <v>4542</v>
      </c>
      <c r="CJ891" s="5">
        <v>1100</v>
      </c>
      <c r="CK891" s="5">
        <v>1100</v>
      </c>
      <c r="CN891" s="5" t="s">
        <v>1677</v>
      </c>
      <c r="GZ891" s="39"/>
      <c r="HD891" s="39"/>
      <c r="IX891" s="5">
        <v>99999</v>
      </c>
      <c r="JB891" s="5" t="s">
        <v>611</v>
      </c>
    </row>
    <row r="892" spans="1:262" s="5" customFormat="1" x14ac:dyDescent="0.25">
      <c r="A892" s="5">
        <v>42</v>
      </c>
      <c r="B892" s="52" t="s">
        <v>3956</v>
      </c>
      <c r="C892" s="5" t="s">
        <v>604</v>
      </c>
      <c r="D892" s="5" t="s">
        <v>605</v>
      </c>
      <c r="E892" s="5">
        <v>1989</v>
      </c>
      <c r="F892" s="5">
        <v>1987</v>
      </c>
      <c r="G892" s="5" t="s">
        <v>418</v>
      </c>
      <c r="H892" s="5" t="s">
        <v>607</v>
      </c>
      <c r="I892" s="32" t="s">
        <v>2815</v>
      </c>
      <c r="J892" s="206">
        <v>34.137</v>
      </c>
      <c r="K892" s="5">
        <v>-85.09</v>
      </c>
      <c r="L892" s="5">
        <v>223.8</v>
      </c>
      <c r="R892" s="52">
        <v>3</v>
      </c>
      <c r="S892" s="52">
        <v>3</v>
      </c>
      <c r="T892" s="52"/>
      <c r="U892" s="52" t="s">
        <v>1946</v>
      </c>
      <c r="V892" s="52" t="s">
        <v>1392</v>
      </c>
      <c r="W892" s="52" t="s">
        <v>1719</v>
      </c>
      <c r="X892" s="52" t="s">
        <v>1394</v>
      </c>
      <c r="Y892" s="52" t="s">
        <v>1379</v>
      </c>
      <c r="AA892" s="332"/>
      <c r="AB892" s="332"/>
      <c r="AC892" s="5" t="s">
        <v>672</v>
      </c>
      <c r="AE892" s="5">
        <f t="shared" si="220"/>
        <v>0.89</v>
      </c>
      <c r="AG892" s="5" t="s">
        <v>1324</v>
      </c>
      <c r="AH892" s="5" t="s">
        <v>1521</v>
      </c>
      <c r="AI892" s="138" t="s">
        <v>577</v>
      </c>
      <c r="AJ892" s="5" t="s">
        <v>132</v>
      </c>
      <c r="AK892" s="141" t="s">
        <v>132</v>
      </c>
      <c r="AW892" s="5" t="s">
        <v>119</v>
      </c>
      <c r="AX892" s="5">
        <v>4</v>
      </c>
      <c r="AZ892" s="5" t="s">
        <v>335</v>
      </c>
      <c r="BB892" s="5">
        <v>3544</v>
      </c>
      <c r="BC892" s="5">
        <f>BB892/108</f>
        <v>32.814814814814817</v>
      </c>
      <c r="BD892" s="54"/>
      <c r="BP892" s="403"/>
      <c r="BQ892" s="403"/>
      <c r="BU892" s="403">
        <v>0.79</v>
      </c>
      <c r="BV892" s="403">
        <v>1.01</v>
      </c>
      <c r="BY892" s="5" t="s">
        <v>163</v>
      </c>
      <c r="BZ892" s="403"/>
      <c r="CA892" s="403"/>
      <c r="CD892" s="5" t="s">
        <v>3120</v>
      </c>
      <c r="CE892" s="556">
        <v>0.79</v>
      </c>
      <c r="CF892" s="556">
        <v>1.01</v>
      </c>
      <c r="CG892" s="556"/>
      <c r="CH892" s="556"/>
      <c r="CI892" s="5" t="s">
        <v>4542</v>
      </c>
      <c r="CJ892" s="5">
        <v>1100</v>
      </c>
      <c r="CK892" s="5">
        <v>1200</v>
      </c>
      <c r="CN892" s="5" t="s">
        <v>1677</v>
      </c>
      <c r="GZ892" s="39"/>
      <c r="HD892" s="39"/>
      <c r="IX892" s="5">
        <v>99999</v>
      </c>
      <c r="JB892" s="5" t="s">
        <v>611</v>
      </c>
    </row>
    <row r="893" spans="1:262" s="5" customFormat="1" x14ac:dyDescent="0.25">
      <c r="A893" s="5">
        <v>42</v>
      </c>
      <c r="B893" s="52" t="s">
        <v>3956</v>
      </c>
      <c r="C893" s="5" t="s">
        <v>604</v>
      </c>
      <c r="D893" s="5" t="s">
        <v>605</v>
      </c>
      <c r="E893" s="5">
        <v>1989</v>
      </c>
      <c r="F893" s="5">
        <v>1987</v>
      </c>
      <c r="G893" s="5" t="s">
        <v>418</v>
      </c>
      <c r="H893" s="5" t="s">
        <v>607</v>
      </c>
      <c r="I893" s="32" t="s">
        <v>2815</v>
      </c>
      <c r="J893" s="206">
        <v>34.137</v>
      </c>
      <c r="K893" s="5">
        <v>-85.09</v>
      </c>
      <c r="L893" s="5">
        <v>223.8</v>
      </c>
      <c r="R893" s="52">
        <v>3</v>
      </c>
      <c r="S893" s="52">
        <v>3</v>
      </c>
      <c r="T893" s="52"/>
      <c r="U893" s="52" t="s">
        <v>1946</v>
      </c>
      <c r="V893" s="52" t="s">
        <v>1392</v>
      </c>
      <c r="W893" s="52" t="s">
        <v>1719</v>
      </c>
      <c r="X893" s="52" t="s">
        <v>1394</v>
      </c>
      <c r="Y893" s="52" t="s">
        <v>1379</v>
      </c>
      <c r="AA893" s="332"/>
      <c r="AB893" s="332"/>
      <c r="AC893" s="5" t="s">
        <v>672</v>
      </c>
      <c r="AE893" s="5">
        <f t="shared" si="220"/>
        <v>0.89</v>
      </c>
      <c r="AG893" s="5" t="s">
        <v>1324</v>
      </c>
      <c r="AH893" s="5" t="s">
        <v>243</v>
      </c>
      <c r="AI893" s="138" t="s">
        <v>577</v>
      </c>
      <c r="AJ893" s="5" t="s">
        <v>132</v>
      </c>
      <c r="AK893" s="141" t="s">
        <v>132</v>
      </c>
      <c r="AW893" s="5" t="s">
        <v>119</v>
      </c>
      <c r="AX893" s="5">
        <v>4</v>
      </c>
      <c r="AZ893" s="5" t="s">
        <v>335</v>
      </c>
      <c r="BB893" s="5">
        <v>3433</v>
      </c>
      <c r="BC893" s="5">
        <f>BB893/128</f>
        <v>26.8203125</v>
      </c>
      <c r="BD893" s="54"/>
      <c r="BP893" s="403"/>
      <c r="BQ893" s="403"/>
      <c r="BU893" s="403">
        <v>0.79</v>
      </c>
      <c r="BV893" s="403">
        <v>0.79</v>
      </c>
      <c r="BY893" s="5" t="s">
        <v>163</v>
      </c>
      <c r="BZ893" s="403"/>
      <c r="CA893" s="403"/>
      <c r="CD893" s="5" t="s">
        <v>3120</v>
      </c>
      <c r="CE893" s="556">
        <v>0.79</v>
      </c>
      <c r="CF893" s="556">
        <v>0.79</v>
      </c>
      <c r="CG893" s="556"/>
      <c r="CH893" s="556"/>
      <c r="CI893" s="5" t="s">
        <v>4542</v>
      </c>
      <c r="CJ893" s="5">
        <v>1100</v>
      </c>
      <c r="CK893" s="5">
        <v>1100</v>
      </c>
      <c r="CN893" s="5" t="s">
        <v>1677</v>
      </c>
      <c r="GZ893" s="39"/>
      <c r="HD893" s="39"/>
      <c r="IX893" s="5">
        <v>99999</v>
      </c>
      <c r="JB893" s="5" t="s">
        <v>611</v>
      </c>
    </row>
    <row r="894" spans="1:262" s="28" customFormat="1" x14ac:dyDescent="0.25">
      <c r="A894" s="28">
        <v>42</v>
      </c>
      <c r="B894" s="46" t="s">
        <v>3957</v>
      </c>
      <c r="C894" s="28" t="s">
        <v>604</v>
      </c>
      <c r="D894" s="28" t="s">
        <v>605</v>
      </c>
      <c r="E894" s="28">
        <v>1989</v>
      </c>
      <c r="F894" s="28">
        <v>1987</v>
      </c>
      <c r="G894" s="28" t="s">
        <v>418</v>
      </c>
      <c r="H894" s="28" t="s">
        <v>608</v>
      </c>
      <c r="I894" s="32" t="s">
        <v>2815</v>
      </c>
      <c r="J894" s="207">
        <v>31.62</v>
      </c>
      <c r="K894" s="28">
        <v>-81.91</v>
      </c>
      <c r="L894" s="28">
        <v>33.700000000000003</v>
      </c>
      <c r="R894" s="46">
        <v>3</v>
      </c>
      <c r="S894" s="46">
        <v>3</v>
      </c>
      <c r="T894" s="46"/>
      <c r="U894" s="46" t="s">
        <v>1946</v>
      </c>
      <c r="V894" s="46" t="s">
        <v>1394</v>
      </c>
      <c r="W894" s="46" t="s">
        <v>1722</v>
      </c>
      <c r="X894" s="46" t="s">
        <v>1394</v>
      </c>
      <c r="Y894" s="46" t="s">
        <v>1379</v>
      </c>
      <c r="AA894" s="326"/>
      <c r="AB894" s="326"/>
      <c r="AC894" s="28" t="s">
        <v>518</v>
      </c>
      <c r="AD894" s="28">
        <v>5.5</v>
      </c>
      <c r="AE894" s="28">
        <v>0.72</v>
      </c>
      <c r="AG894" s="28" t="s">
        <v>1324</v>
      </c>
      <c r="AH894" s="28" t="s">
        <v>116</v>
      </c>
      <c r="AI894" s="138" t="s">
        <v>1581</v>
      </c>
      <c r="AJ894" s="28" t="s">
        <v>220</v>
      </c>
      <c r="AK894" s="141" t="s">
        <v>220</v>
      </c>
      <c r="AW894" s="28" t="s">
        <v>119</v>
      </c>
      <c r="AX894" s="28">
        <v>4</v>
      </c>
      <c r="AZ894" s="28" t="s">
        <v>335</v>
      </c>
      <c r="BB894" s="28">
        <v>1775</v>
      </c>
      <c r="BC894" s="28">
        <v>55.46875</v>
      </c>
      <c r="BD894" s="54"/>
      <c r="BP894" s="401"/>
      <c r="BQ894" s="401"/>
      <c r="BU894" s="401">
        <f>8.5/10</f>
        <v>0.85</v>
      </c>
      <c r="BV894" s="401">
        <v>0.89</v>
      </c>
      <c r="BY894" s="28" t="s">
        <v>163</v>
      </c>
      <c r="BZ894" s="401"/>
      <c r="CA894" s="401"/>
      <c r="CD894" s="28" t="s">
        <v>3120</v>
      </c>
      <c r="CE894" s="554">
        <v>0.85</v>
      </c>
      <c r="CF894" s="554">
        <v>0.89</v>
      </c>
      <c r="CG894" s="554"/>
      <c r="CH894" s="554"/>
      <c r="CI894" s="28" t="s">
        <v>4542</v>
      </c>
      <c r="CJ894" s="28">
        <f>1000</f>
        <v>1000</v>
      </c>
      <c r="CK894" s="28">
        <f>1100</f>
        <v>1100</v>
      </c>
      <c r="CN894" s="28" t="s">
        <v>1677</v>
      </c>
      <c r="CO894" s="28">
        <v>21</v>
      </c>
      <c r="CP894" s="28">
        <v>20.3</v>
      </c>
      <c r="CS894" s="28" t="s">
        <v>994</v>
      </c>
      <c r="CY894" s="28">
        <v>5</v>
      </c>
      <c r="CZ894" s="28">
        <v>5</v>
      </c>
      <c r="DD894" s="28">
        <f>286+89.9+1.07</f>
        <v>376.96999999999997</v>
      </c>
      <c r="DE894" s="28">
        <f>270+87.7+0.88</f>
        <v>358.58</v>
      </c>
      <c r="DH894" s="28" t="s">
        <v>4557</v>
      </c>
      <c r="DS894" s="28">
        <v>28.9</v>
      </c>
      <c r="DT894" s="28">
        <v>32.6</v>
      </c>
      <c r="DW894" s="28" t="s">
        <v>609</v>
      </c>
      <c r="EH894" s="28">
        <v>37.799999999999997</v>
      </c>
      <c r="EI894" s="28">
        <v>42.3</v>
      </c>
      <c r="IX894" s="28">
        <v>99999</v>
      </c>
      <c r="JB894" s="28" t="s">
        <v>611</v>
      </c>
    </row>
    <row r="895" spans="1:262" s="28" customFormat="1" x14ac:dyDescent="0.25">
      <c r="A895" s="28">
        <v>42</v>
      </c>
      <c r="B895" s="46" t="s">
        <v>3958</v>
      </c>
      <c r="C895" s="28" t="s">
        <v>604</v>
      </c>
      <c r="D895" s="28" t="s">
        <v>605</v>
      </c>
      <c r="E895" s="28">
        <v>1989</v>
      </c>
      <c r="F895" s="28">
        <v>1987</v>
      </c>
      <c r="G895" s="28" t="s">
        <v>418</v>
      </c>
      <c r="H895" s="28" t="s">
        <v>608</v>
      </c>
      <c r="I895" s="32" t="s">
        <v>2815</v>
      </c>
      <c r="J895" s="207">
        <v>31.62</v>
      </c>
      <c r="K895" s="28">
        <v>-81.91</v>
      </c>
      <c r="L895" s="28">
        <v>33.700000000000003</v>
      </c>
      <c r="R895" s="46">
        <v>3</v>
      </c>
      <c r="S895" s="46">
        <v>3</v>
      </c>
      <c r="T895" s="46"/>
      <c r="U895" s="46" t="s">
        <v>1946</v>
      </c>
      <c r="V895" s="46" t="s">
        <v>1394</v>
      </c>
      <c r="W895" s="46" t="s">
        <v>1722</v>
      </c>
      <c r="X895" s="46" t="s">
        <v>1394</v>
      </c>
      <c r="Y895" s="46" t="s">
        <v>1379</v>
      </c>
      <c r="AA895" s="326"/>
      <c r="AB895" s="326"/>
      <c r="AC895" s="28" t="s">
        <v>518</v>
      </c>
      <c r="AD895" s="28">
        <v>5.5</v>
      </c>
      <c r="AE895" s="28">
        <v>0.72</v>
      </c>
      <c r="AG895" s="28" t="s">
        <v>1324</v>
      </c>
      <c r="AH895" s="28" t="s">
        <v>1521</v>
      </c>
      <c r="AI895" s="138" t="s">
        <v>577</v>
      </c>
      <c r="AJ895" s="28" t="s">
        <v>220</v>
      </c>
      <c r="AK895" s="141" t="s">
        <v>220</v>
      </c>
      <c r="AW895" s="28" t="s">
        <v>119</v>
      </c>
      <c r="AX895" s="28">
        <v>4</v>
      </c>
      <c r="AZ895" s="28" t="s">
        <v>335</v>
      </c>
      <c r="BB895" s="28">
        <v>3544</v>
      </c>
      <c r="BC895" s="28">
        <v>32.814814814814817</v>
      </c>
      <c r="BD895" s="54"/>
      <c r="BP895" s="401"/>
      <c r="BQ895" s="401"/>
      <c r="BU895" s="401">
        <f t="shared" ref="BU895:BU896" si="221">8.5/10</f>
        <v>0.85</v>
      </c>
      <c r="BV895" s="401">
        <v>1.06</v>
      </c>
      <c r="BY895" s="28" t="s">
        <v>163</v>
      </c>
      <c r="BZ895" s="401"/>
      <c r="CA895" s="401"/>
      <c r="CD895" s="28" t="s">
        <v>3120</v>
      </c>
      <c r="CE895" s="554">
        <v>0.85</v>
      </c>
      <c r="CF895" s="554">
        <v>1.06</v>
      </c>
      <c r="CG895" s="554"/>
      <c r="CH895" s="554"/>
      <c r="CI895" s="28" t="s">
        <v>4542</v>
      </c>
      <c r="CJ895" s="28">
        <f>1000</f>
        <v>1000</v>
      </c>
      <c r="CK895" s="28">
        <v>1300</v>
      </c>
      <c r="CN895" s="28" t="s">
        <v>1677</v>
      </c>
      <c r="CO895" s="28">
        <v>21</v>
      </c>
      <c r="CP895" s="28">
        <v>14.5</v>
      </c>
      <c r="CS895" s="28" t="s">
        <v>994</v>
      </c>
      <c r="CY895" s="28">
        <v>5</v>
      </c>
      <c r="CZ895" s="28">
        <v>4.9000000000000004</v>
      </c>
      <c r="DD895" s="28">
        <f t="shared" ref="DD895:DD896" si="222">286+89.9+1.07</f>
        <v>376.96999999999997</v>
      </c>
      <c r="DE895" s="28">
        <f>285+82.2+0.78</f>
        <v>367.97999999999996</v>
      </c>
      <c r="DH895" s="28" t="s">
        <v>4557</v>
      </c>
      <c r="DS895" s="28">
        <v>28.9</v>
      </c>
      <c r="DT895" s="28">
        <v>37.9</v>
      </c>
      <c r="DW895" s="28" t="s">
        <v>609</v>
      </c>
      <c r="IX895" s="28">
        <v>99999</v>
      </c>
      <c r="JB895" s="28" t="s">
        <v>611</v>
      </c>
    </row>
    <row r="896" spans="1:262" s="28" customFormat="1" x14ac:dyDescent="0.25">
      <c r="A896" s="28">
        <v>42</v>
      </c>
      <c r="B896" s="46" t="s">
        <v>3958</v>
      </c>
      <c r="C896" s="28" t="s">
        <v>604</v>
      </c>
      <c r="D896" s="28" t="s">
        <v>605</v>
      </c>
      <c r="E896" s="28">
        <v>1989</v>
      </c>
      <c r="F896" s="28">
        <v>1987</v>
      </c>
      <c r="G896" s="28" t="s">
        <v>418</v>
      </c>
      <c r="H896" s="28" t="s">
        <v>608</v>
      </c>
      <c r="I896" s="32" t="s">
        <v>2815</v>
      </c>
      <c r="J896" s="207">
        <v>31.62</v>
      </c>
      <c r="K896" s="28">
        <v>-81.91</v>
      </c>
      <c r="L896" s="28">
        <v>33.700000000000003</v>
      </c>
      <c r="R896" s="46">
        <v>3</v>
      </c>
      <c r="S896" s="46">
        <v>3</v>
      </c>
      <c r="T896" s="46"/>
      <c r="U896" s="46" t="s">
        <v>1946</v>
      </c>
      <c r="V896" s="46" t="s">
        <v>1394</v>
      </c>
      <c r="W896" s="46" t="s">
        <v>1722</v>
      </c>
      <c r="X896" s="46" t="s">
        <v>1394</v>
      </c>
      <c r="Y896" s="46" t="s">
        <v>1379</v>
      </c>
      <c r="AA896" s="326"/>
      <c r="AB896" s="326"/>
      <c r="AC896" s="28" t="s">
        <v>518</v>
      </c>
      <c r="AD896" s="28">
        <v>5.5</v>
      </c>
      <c r="AE896" s="28">
        <v>0.72</v>
      </c>
      <c r="AG896" s="28" t="s">
        <v>1324</v>
      </c>
      <c r="AH896" s="28" t="s">
        <v>243</v>
      </c>
      <c r="AI896" s="138" t="s">
        <v>577</v>
      </c>
      <c r="AJ896" s="28" t="s">
        <v>220</v>
      </c>
      <c r="AK896" s="141" t="s">
        <v>220</v>
      </c>
      <c r="AW896" s="28" t="s">
        <v>119</v>
      </c>
      <c r="AX896" s="28">
        <v>4</v>
      </c>
      <c r="AZ896" s="28" t="s">
        <v>335</v>
      </c>
      <c r="BB896" s="28">
        <v>3433</v>
      </c>
      <c r="BC896" s="28">
        <v>26.8203125</v>
      </c>
      <c r="BD896" s="54"/>
      <c r="BP896" s="401"/>
      <c r="BQ896" s="401"/>
      <c r="BU896" s="401">
        <f t="shared" si="221"/>
        <v>0.85</v>
      </c>
      <c r="BV896" s="401">
        <v>1.02</v>
      </c>
      <c r="BY896" s="28" t="s">
        <v>163</v>
      </c>
      <c r="BZ896" s="401"/>
      <c r="CA896" s="401"/>
      <c r="CD896" s="28" t="s">
        <v>3120</v>
      </c>
      <c r="CE896" s="554">
        <v>0.85</v>
      </c>
      <c r="CF896" s="554">
        <v>1.02</v>
      </c>
      <c r="CG896" s="554"/>
      <c r="CH896" s="554"/>
      <c r="CI896" s="28" t="s">
        <v>4542</v>
      </c>
      <c r="CJ896" s="28">
        <f>1000</f>
        <v>1000</v>
      </c>
      <c r="CK896" s="28">
        <v>1300</v>
      </c>
      <c r="CN896" s="28" t="s">
        <v>1677</v>
      </c>
      <c r="CO896" s="28">
        <v>21</v>
      </c>
      <c r="CP896" s="28">
        <v>18.8</v>
      </c>
      <c r="CS896" s="28" t="s">
        <v>994</v>
      </c>
      <c r="CY896" s="28">
        <v>5</v>
      </c>
      <c r="CZ896" s="28">
        <v>4.8</v>
      </c>
      <c r="DD896" s="28">
        <f t="shared" si="222"/>
        <v>376.96999999999997</v>
      </c>
      <c r="DE896" s="28">
        <f>283+85.4+1.07</f>
        <v>369.46999999999997</v>
      </c>
      <c r="DH896" s="28" t="s">
        <v>4557</v>
      </c>
      <c r="DS896" s="28">
        <v>28.9</v>
      </c>
      <c r="DT896" s="28">
        <v>36.700000000000003</v>
      </c>
      <c r="DW896" s="28" t="s">
        <v>609</v>
      </c>
      <c r="EH896" s="28">
        <v>37.799999999999997</v>
      </c>
      <c r="EI896" s="28">
        <v>58.4</v>
      </c>
      <c r="IX896" s="28">
        <v>99999</v>
      </c>
      <c r="JB896" s="28" t="s">
        <v>611</v>
      </c>
    </row>
    <row r="897" spans="1:263" s="28" customFormat="1" x14ac:dyDescent="0.25">
      <c r="A897" s="28">
        <v>42</v>
      </c>
      <c r="B897" s="46" t="s">
        <v>3959</v>
      </c>
      <c r="C897" s="28" t="s">
        <v>604</v>
      </c>
      <c r="D897" s="28" t="s">
        <v>605</v>
      </c>
      <c r="E897" s="28">
        <v>1989</v>
      </c>
      <c r="F897" s="28">
        <v>1987</v>
      </c>
      <c r="G897" s="28" t="s">
        <v>418</v>
      </c>
      <c r="H897" s="28" t="s">
        <v>608</v>
      </c>
      <c r="I897" s="32" t="s">
        <v>2815</v>
      </c>
      <c r="J897" s="207">
        <v>31.62</v>
      </c>
      <c r="K897" s="28">
        <v>-81.91</v>
      </c>
      <c r="L897" s="28">
        <v>33.700000000000003</v>
      </c>
      <c r="R897" s="46">
        <v>3</v>
      </c>
      <c r="S897" s="46">
        <v>3</v>
      </c>
      <c r="T897" s="46"/>
      <c r="U897" s="46" t="s">
        <v>1946</v>
      </c>
      <c r="V897" s="46" t="s">
        <v>1401</v>
      </c>
      <c r="W897" s="46" t="s">
        <v>1722</v>
      </c>
      <c r="X897" s="46" t="s">
        <v>1394</v>
      </c>
      <c r="Y897" s="46" t="s">
        <v>1379</v>
      </c>
      <c r="AA897" s="326"/>
      <c r="AB897" s="326"/>
      <c r="AC897" s="28" t="s">
        <v>518</v>
      </c>
      <c r="AD897" s="28">
        <v>5.5</v>
      </c>
      <c r="AE897" s="28">
        <v>0.72</v>
      </c>
      <c r="AG897" s="28" t="s">
        <v>1324</v>
      </c>
      <c r="AH897" s="28" t="s">
        <v>116</v>
      </c>
      <c r="AI897" s="138" t="s">
        <v>1581</v>
      </c>
      <c r="AJ897" s="28" t="s">
        <v>220</v>
      </c>
      <c r="AK897" s="141" t="s">
        <v>220</v>
      </c>
      <c r="AW897" s="28" t="s">
        <v>119</v>
      </c>
      <c r="AX897" s="28">
        <v>4</v>
      </c>
      <c r="AZ897" s="28" t="s">
        <v>335</v>
      </c>
      <c r="BB897" s="28">
        <v>1775</v>
      </c>
      <c r="BC897" s="28">
        <v>55.46875</v>
      </c>
      <c r="BD897" s="54"/>
      <c r="BP897" s="401"/>
      <c r="BQ897" s="401"/>
      <c r="BU897" s="401">
        <f>0.72</f>
        <v>0.72</v>
      </c>
      <c r="BV897" s="401">
        <v>0.73</v>
      </c>
      <c r="BY897" s="28" t="s">
        <v>163</v>
      </c>
      <c r="BZ897" s="401"/>
      <c r="CA897" s="401"/>
      <c r="CD897" s="28" t="s">
        <v>3120</v>
      </c>
      <c r="CE897" s="554">
        <v>0.72</v>
      </c>
      <c r="CF897" s="554">
        <v>0.73</v>
      </c>
      <c r="CG897" s="554"/>
      <c r="CH897" s="554"/>
      <c r="CI897" s="28" t="s">
        <v>4542</v>
      </c>
      <c r="CJ897" s="28">
        <v>900</v>
      </c>
      <c r="CK897" s="28">
        <v>1000</v>
      </c>
      <c r="CN897" s="28" t="s">
        <v>1677</v>
      </c>
      <c r="CO897" s="28">
        <v>18</v>
      </c>
      <c r="CP897" s="28">
        <v>14.7</v>
      </c>
      <c r="CS897" s="28" t="s">
        <v>994</v>
      </c>
      <c r="CY897" s="28">
        <v>5.6</v>
      </c>
      <c r="CZ897" s="28">
        <v>5.5</v>
      </c>
      <c r="DD897" s="28">
        <f>379+110+0.03</f>
        <v>489.03</v>
      </c>
      <c r="DE897" s="28">
        <f>350+102+0.14</f>
        <v>452.14</v>
      </c>
      <c r="DH897" s="28" t="s">
        <v>4557</v>
      </c>
      <c r="IX897" s="28">
        <v>99999</v>
      </c>
      <c r="JB897" s="28" t="s">
        <v>611</v>
      </c>
    </row>
    <row r="898" spans="1:263" s="28" customFormat="1" x14ac:dyDescent="0.25">
      <c r="A898" s="28">
        <v>42</v>
      </c>
      <c r="B898" s="46" t="s">
        <v>3960</v>
      </c>
      <c r="C898" s="28" t="s">
        <v>604</v>
      </c>
      <c r="D898" s="28" t="s">
        <v>605</v>
      </c>
      <c r="E898" s="28">
        <v>1989</v>
      </c>
      <c r="F898" s="28">
        <v>1987</v>
      </c>
      <c r="G898" s="28" t="s">
        <v>418</v>
      </c>
      <c r="H898" s="28" t="s">
        <v>608</v>
      </c>
      <c r="I898" s="32" t="s">
        <v>2815</v>
      </c>
      <c r="J898" s="207">
        <v>31.62</v>
      </c>
      <c r="K898" s="28">
        <v>-81.91</v>
      </c>
      <c r="L898" s="28">
        <v>33.700000000000003</v>
      </c>
      <c r="R898" s="46">
        <v>3</v>
      </c>
      <c r="S898" s="46">
        <v>3</v>
      </c>
      <c r="T898" s="46"/>
      <c r="U898" s="46" t="s">
        <v>1946</v>
      </c>
      <c r="V898" s="46" t="s">
        <v>1401</v>
      </c>
      <c r="W898" s="46" t="s">
        <v>1722</v>
      </c>
      <c r="X898" s="46" t="s">
        <v>1394</v>
      </c>
      <c r="Y898" s="46" t="s">
        <v>1379</v>
      </c>
      <c r="AA898" s="326"/>
      <c r="AB898" s="326"/>
      <c r="AC898" s="28" t="s">
        <v>518</v>
      </c>
      <c r="AD898" s="28">
        <v>5.5</v>
      </c>
      <c r="AE898" s="28">
        <v>0.72</v>
      </c>
      <c r="AG898" s="28" t="s">
        <v>1324</v>
      </c>
      <c r="AH898" s="28" t="s">
        <v>1521</v>
      </c>
      <c r="AI898" s="138" t="s">
        <v>577</v>
      </c>
      <c r="AJ898" s="28" t="s">
        <v>220</v>
      </c>
      <c r="AK898" s="141" t="s">
        <v>220</v>
      </c>
      <c r="AW898" s="28" t="s">
        <v>119</v>
      </c>
      <c r="AX898" s="28">
        <v>4</v>
      </c>
      <c r="AZ898" s="28" t="s">
        <v>335</v>
      </c>
      <c r="BB898" s="28">
        <v>3544</v>
      </c>
      <c r="BC898" s="28">
        <v>32.814814814814817</v>
      </c>
      <c r="BD898" s="54"/>
      <c r="BP898" s="401"/>
      <c r="BQ898" s="401"/>
      <c r="BU898" s="401">
        <f t="shared" ref="BU898:BU899" si="223">0.72</f>
        <v>0.72</v>
      </c>
      <c r="BV898" s="401">
        <v>0.77</v>
      </c>
      <c r="BY898" s="28" t="s">
        <v>163</v>
      </c>
      <c r="BZ898" s="401"/>
      <c r="CA898" s="401"/>
      <c r="CD898" s="28" t="s">
        <v>3120</v>
      </c>
      <c r="CE898" s="554">
        <v>0.72</v>
      </c>
      <c r="CF898" s="554">
        <v>0.77</v>
      </c>
      <c r="CG898" s="554"/>
      <c r="CH898" s="554"/>
      <c r="CI898" s="28" t="s">
        <v>4542</v>
      </c>
      <c r="CJ898" s="28">
        <v>900</v>
      </c>
      <c r="CK898" s="28">
        <v>1000</v>
      </c>
      <c r="CN898" s="28" t="s">
        <v>1677</v>
      </c>
      <c r="CO898" s="28">
        <v>18</v>
      </c>
      <c r="CP898" s="28">
        <v>11.5</v>
      </c>
      <c r="CS898" s="28" t="s">
        <v>994</v>
      </c>
      <c r="CY898" s="28">
        <v>5.6</v>
      </c>
      <c r="CZ898" s="28">
        <v>5</v>
      </c>
      <c r="DD898" s="28">
        <f t="shared" ref="DD898:DD899" si="224">379+110+0.03</f>
        <v>489.03</v>
      </c>
      <c r="DE898" s="28">
        <f>281+71.1+0.54</f>
        <v>352.64000000000004</v>
      </c>
      <c r="DH898" s="28" t="s">
        <v>4557</v>
      </c>
      <c r="IX898" s="28">
        <v>99999</v>
      </c>
      <c r="JB898" s="28" t="s">
        <v>611</v>
      </c>
    </row>
    <row r="899" spans="1:263" s="28" customFormat="1" x14ac:dyDescent="0.25">
      <c r="A899" s="28">
        <v>42</v>
      </c>
      <c r="B899" s="46" t="s">
        <v>3960</v>
      </c>
      <c r="C899" s="28" t="s">
        <v>604</v>
      </c>
      <c r="D899" s="28" t="s">
        <v>605</v>
      </c>
      <c r="E899" s="28">
        <v>1989</v>
      </c>
      <c r="F899" s="28">
        <v>1987</v>
      </c>
      <c r="G899" s="28" t="s">
        <v>418</v>
      </c>
      <c r="H899" s="28" t="s">
        <v>608</v>
      </c>
      <c r="I899" s="32" t="s">
        <v>2815</v>
      </c>
      <c r="J899" s="207">
        <v>31.62</v>
      </c>
      <c r="K899" s="28">
        <v>-81.91</v>
      </c>
      <c r="L899" s="28">
        <v>33.700000000000003</v>
      </c>
      <c r="R899" s="46">
        <v>3</v>
      </c>
      <c r="S899" s="46">
        <v>3</v>
      </c>
      <c r="T899" s="46"/>
      <c r="U899" s="46" t="s">
        <v>1946</v>
      </c>
      <c r="V899" s="46" t="s">
        <v>1401</v>
      </c>
      <c r="W899" s="46" t="s">
        <v>1722</v>
      </c>
      <c r="X899" s="46" t="s">
        <v>1394</v>
      </c>
      <c r="Y899" s="46" t="s">
        <v>1379</v>
      </c>
      <c r="AA899" s="326"/>
      <c r="AB899" s="326"/>
      <c r="AC899" s="28" t="s">
        <v>518</v>
      </c>
      <c r="AD899" s="28">
        <v>5.5</v>
      </c>
      <c r="AE899" s="28">
        <v>0.72</v>
      </c>
      <c r="AG899" s="28" t="s">
        <v>1324</v>
      </c>
      <c r="AH899" s="28" t="s">
        <v>243</v>
      </c>
      <c r="AI899" s="138" t="s">
        <v>577</v>
      </c>
      <c r="AJ899" s="28" t="s">
        <v>220</v>
      </c>
      <c r="AK899" s="141" t="s">
        <v>220</v>
      </c>
      <c r="AW899" s="28" t="s">
        <v>119</v>
      </c>
      <c r="AX899" s="28">
        <v>4</v>
      </c>
      <c r="AZ899" s="28" t="s">
        <v>335</v>
      </c>
      <c r="BB899" s="28">
        <v>3433</v>
      </c>
      <c r="BC899" s="28">
        <v>26.8203125</v>
      </c>
      <c r="BD899" s="54"/>
      <c r="BP899" s="401"/>
      <c r="BQ899" s="401"/>
      <c r="BU899" s="401">
        <f t="shared" si="223"/>
        <v>0.72</v>
      </c>
      <c r="BV899" s="401">
        <v>0.74</v>
      </c>
      <c r="BY899" s="28" t="s">
        <v>163</v>
      </c>
      <c r="BZ899" s="401"/>
      <c r="CA899" s="401"/>
      <c r="CD899" s="28" t="s">
        <v>3120</v>
      </c>
      <c r="CE899" s="554">
        <v>0.72</v>
      </c>
      <c r="CF899" s="554">
        <v>0.74</v>
      </c>
      <c r="CG899" s="554"/>
      <c r="CH899" s="554"/>
      <c r="CI899" s="28" t="s">
        <v>4542</v>
      </c>
      <c r="CJ899" s="28">
        <v>900</v>
      </c>
      <c r="CK899" s="28">
        <v>1000</v>
      </c>
      <c r="CN899" s="28" t="s">
        <v>1677</v>
      </c>
      <c r="CO899" s="28">
        <v>18</v>
      </c>
      <c r="CP899" s="28">
        <v>12.4</v>
      </c>
      <c r="CS899" s="28" t="s">
        <v>994</v>
      </c>
      <c r="CY899" s="28">
        <v>5.6</v>
      </c>
      <c r="CZ899" s="28">
        <v>5.3</v>
      </c>
      <c r="DD899" s="28">
        <f t="shared" si="224"/>
        <v>489.03</v>
      </c>
      <c r="DE899" s="28">
        <f>341+95.6+0.09</f>
        <v>436.69</v>
      </c>
      <c r="DH899" s="28" t="s">
        <v>4557</v>
      </c>
      <c r="IX899" s="28">
        <v>99999</v>
      </c>
      <c r="JB899" s="28" t="s">
        <v>611</v>
      </c>
    </row>
    <row r="900" spans="1:263" s="28" customFormat="1" x14ac:dyDescent="0.25">
      <c r="A900" s="28">
        <v>42</v>
      </c>
      <c r="B900" s="46" t="s">
        <v>3961</v>
      </c>
      <c r="C900" s="28" t="s">
        <v>604</v>
      </c>
      <c r="D900" s="28" t="s">
        <v>605</v>
      </c>
      <c r="E900" s="28">
        <v>1989</v>
      </c>
      <c r="F900" s="28">
        <v>1987</v>
      </c>
      <c r="G900" s="28" t="s">
        <v>418</v>
      </c>
      <c r="H900" s="28" t="s">
        <v>608</v>
      </c>
      <c r="I900" s="32" t="s">
        <v>2815</v>
      </c>
      <c r="J900" s="207">
        <v>31.62</v>
      </c>
      <c r="K900" s="28">
        <v>-81.91</v>
      </c>
      <c r="L900" s="28">
        <v>33.700000000000003</v>
      </c>
      <c r="R900" s="46">
        <v>3</v>
      </c>
      <c r="S900" s="46">
        <v>3</v>
      </c>
      <c r="T900" s="46"/>
      <c r="U900" s="46" t="s">
        <v>1946</v>
      </c>
      <c r="V900" s="46" t="s">
        <v>1392</v>
      </c>
      <c r="W900" s="46" t="s">
        <v>1719</v>
      </c>
      <c r="X900" s="46" t="s">
        <v>1394</v>
      </c>
      <c r="Y900" s="46" t="s">
        <v>1379</v>
      </c>
      <c r="AA900" s="326"/>
      <c r="AB900" s="326"/>
      <c r="AC900" s="28" t="s">
        <v>518</v>
      </c>
      <c r="AD900" s="28">
        <v>5.5</v>
      </c>
      <c r="AE900" s="28">
        <v>0.72</v>
      </c>
      <c r="AG900" s="28" t="s">
        <v>1324</v>
      </c>
      <c r="AH900" s="28" t="s">
        <v>116</v>
      </c>
      <c r="AI900" s="138" t="s">
        <v>1581</v>
      </c>
      <c r="AJ900" s="28" t="s">
        <v>220</v>
      </c>
      <c r="AK900" s="141" t="s">
        <v>220</v>
      </c>
      <c r="AW900" s="28" t="s">
        <v>119</v>
      </c>
      <c r="AX900" s="28">
        <v>4</v>
      </c>
      <c r="AZ900" s="28" t="s">
        <v>335</v>
      </c>
      <c r="BB900" s="28">
        <v>1775</v>
      </c>
      <c r="BC900" s="28">
        <v>55.46875</v>
      </c>
      <c r="BD900" s="54"/>
      <c r="BP900" s="401"/>
      <c r="BQ900" s="401"/>
      <c r="BU900" s="401">
        <v>0.68</v>
      </c>
      <c r="BV900" s="401">
        <v>0.66</v>
      </c>
      <c r="BY900" s="28" t="s">
        <v>163</v>
      </c>
      <c r="BZ900" s="401"/>
      <c r="CA900" s="401"/>
      <c r="CD900" s="28" t="s">
        <v>3120</v>
      </c>
      <c r="CE900" s="554">
        <v>0.68</v>
      </c>
      <c r="CF900" s="554">
        <v>0.66</v>
      </c>
      <c r="CG900" s="554"/>
      <c r="CH900" s="554"/>
      <c r="CI900" s="28" t="s">
        <v>4542</v>
      </c>
      <c r="CJ900" s="28">
        <v>900</v>
      </c>
      <c r="CK900" s="28">
        <v>900</v>
      </c>
      <c r="CN900" s="28" t="s">
        <v>1677</v>
      </c>
      <c r="CO900" s="28">
        <v>16</v>
      </c>
      <c r="CP900" s="28">
        <v>14.4</v>
      </c>
      <c r="CS900" s="28" t="s">
        <v>994</v>
      </c>
      <c r="CY900" s="28">
        <v>6</v>
      </c>
      <c r="CZ900" s="28">
        <v>5.9</v>
      </c>
      <c r="DD900" s="28">
        <f>415+132+0</f>
        <v>547</v>
      </c>
      <c r="DE900" s="28">
        <f>405+127+0</f>
        <v>532</v>
      </c>
      <c r="DH900" s="28" t="s">
        <v>4557</v>
      </c>
      <c r="IX900" s="28">
        <v>99999</v>
      </c>
      <c r="JB900" s="28" t="s">
        <v>611</v>
      </c>
    </row>
    <row r="901" spans="1:263" s="28" customFormat="1" x14ac:dyDescent="0.25">
      <c r="A901" s="28">
        <v>42</v>
      </c>
      <c r="B901" s="46" t="s">
        <v>3962</v>
      </c>
      <c r="C901" s="28" t="s">
        <v>604</v>
      </c>
      <c r="D901" s="28" t="s">
        <v>605</v>
      </c>
      <c r="E901" s="28">
        <v>1989</v>
      </c>
      <c r="F901" s="28">
        <v>1987</v>
      </c>
      <c r="G901" s="28" t="s">
        <v>418</v>
      </c>
      <c r="H901" s="28" t="s">
        <v>608</v>
      </c>
      <c r="I901" s="32" t="s">
        <v>2815</v>
      </c>
      <c r="J901" s="207">
        <v>31.62</v>
      </c>
      <c r="K901" s="28">
        <v>-81.91</v>
      </c>
      <c r="L901" s="28">
        <v>33.700000000000003</v>
      </c>
      <c r="R901" s="46">
        <v>3</v>
      </c>
      <c r="S901" s="46">
        <v>3</v>
      </c>
      <c r="T901" s="46"/>
      <c r="U901" s="46" t="s">
        <v>1946</v>
      </c>
      <c r="V901" s="52" t="s">
        <v>1392</v>
      </c>
      <c r="W901" s="52" t="s">
        <v>1719</v>
      </c>
      <c r="X901" s="52" t="s">
        <v>1394</v>
      </c>
      <c r="Y901" s="52" t="s">
        <v>1379</v>
      </c>
      <c r="AA901" s="326"/>
      <c r="AB901" s="326"/>
      <c r="AC901" s="28" t="s">
        <v>518</v>
      </c>
      <c r="AD901" s="28">
        <v>5.5</v>
      </c>
      <c r="AE901" s="28">
        <v>0.72</v>
      </c>
      <c r="AG901" s="28" t="s">
        <v>1324</v>
      </c>
      <c r="AH901" s="28" t="s">
        <v>1521</v>
      </c>
      <c r="AI901" s="138" t="s">
        <v>577</v>
      </c>
      <c r="AJ901" s="28" t="s">
        <v>220</v>
      </c>
      <c r="AK901" s="141" t="s">
        <v>220</v>
      </c>
      <c r="AW901" s="28" t="s">
        <v>119</v>
      </c>
      <c r="AX901" s="28">
        <v>4</v>
      </c>
      <c r="AZ901" s="28" t="s">
        <v>335</v>
      </c>
      <c r="BB901" s="28">
        <v>3544</v>
      </c>
      <c r="BC901" s="28">
        <v>32.814814814814817</v>
      </c>
      <c r="BD901" s="54"/>
      <c r="BP901" s="401"/>
      <c r="BQ901" s="401"/>
      <c r="BU901" s="401">
        <v>0.68</v>
      </c>
      <c r="BV901" s="401">
        <v>0.71</v>
      </c>
      <c r="BY901" s="28" t="s">
        <v>163</v>
      </c>
      <c r="BZ901" s="401"/>
      <c r="CA901" s="401"/>
      <c r="CD901" s="28" t="s">
        <v>3120</v>
      </c>
      <c r="CE901" s="554">
        <v>0.68</v>
      </c>
      <c r="CF901" s="554">
        <v>0.71</v>
      </c>
      <c r="CG901" s="554"/>
      <c r="CH901" s="554"/>
      <c r="CI901" s="28" t="s">
        <v>4542</v>
      </c>
      <c r="CJ901" s="28">
        <v>900</v>
      </c>
      <c r="CK901" s="28">
        <v>900</v>
      </c>
      <c r="CN901" s="28" t="s">
        <v>1677</v>
      </c>
      <c r="CO901" s="28">
        <v>16</v>
      </c>
      <c r="CP901" s="28">
        <v>10.5</v>
      </c>
      <c r="CS901" s="28" t="s">
        <v>994</v>
      </c>
      <c r="CY901" s="28">
        <v>6</v>
      </c>
      <c r="CZ901" s="28">
        <v>5.5</v>
      </c>
      <c r="DD901" s="28">
        <f t="shared" ref="DD901:DD902" si="225">415+132+0</f>
        <v>547</v>
      </c>
      <c r="DE901" s="28">
        <f>359+107+0.05</f>
        <v>466.05</v>
      </c>
      <c r="DH901" s="28" t="s">
        <v>4557</v>
      </c>
      <c r="IX901" s="28">
        <v>99999</v>
      </c>
      <c r="JB901" s="28" t="s">
        <v>611</v>
      </c>
    </row>
    <row r="902" spans="1:263" s="28" customFormat="1" x14ac:dyDescent="0.25">
      <c r="A902" s="28">
        <v>42</v>
      </c>
      <c r="B902" s="46" t="s">
        <v>3962</v>
      </c>
      <c r="C902" s="28" t="s">
        <v>604</v>
      </c>
      <c r="D902" s="28" t="s">
        <v>605</v>
      </c>
      <c r="E902" s="28">
        <v>1989</v>
      </c>
      <c r="F902" s="28">
        <v>1987</v>
      </c>
      <c r="G902" s="28" t="s">
        <v>418</v>
      </c>
      <c r="H902" s="28" t="s">
        <v>608</v>
      </c>
      <c r="I902" s="32" t="s">
        <v>2815</v>
      </c>
      <c r="J902" s="207">
        <v>31.62</v>
      </c>
      <c r="K902" s="28">
        <v>-81.91</v>
      </c>
      <c r="L902" s="28">
        <v>33.700000000000003</v>
      </c>
      <c r="R902" s="46">
        <v>3</v>
      </c>
      <c r="S902" s="46">
        <v>3</v>
      </c>
      <c r="T902" s="46"/>
      <c r="U902" s="46" t="s">
        <v>1946</v>
      </c>
      <c r="V902" s="52" t="s">
        <v>1392</v>
      </c>
      <c r="W902" s="52" t="s">
        <v>1719</v>
      </c>
      <c r="X902" s="52" t="s">
        <v>1394</v>
      </c>
      <c r="Y902" s="52" t="s">
        <v>1379</v>
      </c>
      <c r="AA902" s="326"/>
      <c r="AB902" s="326"/>
      <c r="AC902" s="28" t="s">
        <v>518</v>
      </c>
      <c r="AD902" s="28">
        <v>5.5</v>
      </c>
      <c r="AE902" s="28">
        <v>0.72</v>
      </c>
      <c r="AG902" s="28" t="s">
        <v>1324</v>
      </c>
      <c r="AH902" s="28" t="s">
        <v>243</v>
      </c>
      <c r="AI902" s="138" t="s">
        <v>577</v>
      </c>
      <c r="AJ902" s="28" t="s">
        <v>220</v>
      </c>
      <c r="AK902" s="141" t="s">
        <v>220</v>
      </c>
      <c r="AW902" s="28" t="s">
        <v>119</v>
      </c>
      <c r="AX902" s="28">
        <v>4</v>
      </c>
      <c r="AZ902" s="28" t="s">
        <v>335</v>
      </c>
      <c r="BB902" s="28">
        <v>3433</v>
      </c>
      <c r="BC902" s="28">
        <v>26.8203125</v>
      </c>
      <c r="BD902" s="54"/>
      <c r="BP902" s="401"/>
      <c r="BQ902" s="401"/>
      <c r="BU902" s="401">
        <v>0.68</v>
      </c>
      <c r="BV902" s="401">
        <v>0.67</v>
      </c>
      <c r="BY902" s="28" t="s">
        <v>163</v>
      </c>
      <c r="BZ902" s="401"/>
      <c r="CA902" s="401"/>
      <c r="CD902" s="28" t="s">
        <v>3120</v>
      </c>
      <c r="CE902" s="554">
        <v>0.68</v>
      </c>
      <c r="CF902" s="554">
        <v>0.67</v>
      </c>
      <c r="CG902" s="554"/>
      <c r="CH902" s="554"/>
      <c r="CI902" s="28" t="s">
        <v>4542</v>
      </c>
      <c r="CJ902" s="28">
        <v>900</v>
      </c>
      <c r="CK902" s="28">
        <v>900</v>
      </c>
      <c r="CN902" s="28" t="s">
        <v>1677</v>
      </c>
      <c r="CO902" s="28">
        <v>16</v>
      </c>
      <c r="CP902" s="28">
        <v>10.8</v>
      </c>
      <c r="CS902" s="28" t="s">
        <v>994</v>
      </c>
      <c r="CY902" s="28">
        <v>6</v>
      </c>
      <c r="CZ902" s="28">
        <v>5.9</v>
      </c>
      <c r="DD902" s="28">
        <f t="shared" si="225"/>
        <v>547</v>
      </c>
      <c r="DE902" s="28">
        <f>397+121+0</f>
        <v>518</v>
      </c>
      <c r="DH902" s="28" t="s">
        <v>4557</v>
      </c>
      <c r="IX902" s="28">
        <v>99999</v>
      </c>
      <c r="JB902" s="28" t="s">
        <v>611</v>
      </c>
    </row>
    <row r="903" spans="1:263" s="34" customFormat="1" x14ac:dyDescent="0.25">
      <c r="A903" s="34">
        <v>43</v>
      </c>
      <c r="B903" s="48" t="s">
        <v>3963</v>
      </c>
      <c r="C903" s="34" t="s">
        <v>614</v>
      </c>
      <c r="D903" s="34" t="s">
        <v>615</v>
      </c>
      <c r="E903" s="34">
        <v>1999</v>
      </c>
      <c r="F903" s="34">
        <v>1995</v>
      </c>
      <c r="G903" s="34" t="s">
        <v>418</v>
      </c>
      <c r="H903" s="34" t="s">
        <v>128</v>
      </c>
      <c r="I903" s="32" t="s">
        <v>2815</v>
      </c>
      <c r="J903" s="34">
        <v>45.231000000000002</v>
      </c>
      <c r="K903" s="34">
        <v>-122.756</v>
      </c>
      <c r="L903" s="34">
        <v>48.4</v>
      </c>
      <c r="P903" s="34">
        <v>1040</v>
      </c>
      <c r="Q903" s="34" t="s">
        <v>133</v>
      </c>
      <c r="R903" s="48">
        <v>1</v>
      </c>
      <c r="S903" s="48">
        <v>1</v>
      </c>
      <c r="T903" s="48"/>
      <c r="U903" s="48" t="s">
        <v>228</v>
      </c>
      <c r="V903" s="48" t="s">
        <v>1379</v>
      </c>
      <c r="W903" s="48" t="s">
        <v>1715</v>
      </c>
      <c r="X903" s="48" t="s">
        <v>1379</v>
      </c>
      <c r="Y903" s="48" t="s">
        <v>1379</v>
      </c>
      <c r="AA903" s="328">
        <v>31.3</v>
      </c>
      <c r="AB903" s="328">
        <v>54</v>
      </c>
      <c r="AC903" s="34" t="s">
        <v>450</v>
      </c>
      <c r="AG903" s="34" t="s">
        <v>1337</v>
      </c>
      <c r="AH903" s="34" t="s">
        <v>617</v>
      </c>
      <c r="AI903" s="138" t="s">
        <v>131</v>
      </c>
      <c r="AJ903" s="34" t="s">
        <v>1603</v>
      </c>
      <c r="AK903" s="140" t="s">
        <v>1616</v>
      </c>
      <c r="AL903" s="34" t="s">
        <v>616</v>
      </c>
      <c r="AM903" s="34" t="s">
        <v>616</v>
      </c>
      <c r="AN903" s="34" t="s">
        <v>177</v>
      </c>
      <c r="AW903" s="34" t="s">
        <v>119</v>
      </c>
      <c r="AX903" s="34">
        <v>4</v>
      </c>
      <c r="AZ903" s="34" t="s">
        <v>141</v>
      </c>
      <c r="BP903" s="404"/>
      <c r="BQ903" s="404"/>
      <c r="BU903" s="404">
        <f>18.3/10</f>
        <v>1.83</v>
      </c>
      <c r="BV903" s="404">
        <v>1.66</v>
      </c>
      <c r="BY903" s="34" t="s">
        <v>4426</v>
      </c>
      <c r="BZ903" s="404"/>
      <c r="CA903" s="404"/>
      <c r="CD903" s="34" t="s">
        <v>3121</v>
      </c>
      <c r="CE903" s="557">
        <v>1.83</v>
      </c>
      <c r="CF903" s="557">
        <v>1.66</v>
      </c>
      <c r="CG903" s="557"/>
      <c r="CH903" s="557"/>
      <c r="CI903" s="34" t="s">
        <v>4544</v>
      </c>
      <c r="GZ903" s="34">
        <v>52.5</v>
      </c>
      <c r="HA903" s="34">
        <v>56.5</v>
      </c>
      <c r="HD903" s="34" t="s">
        <v>622</v>
      </c>
      <c r="HE903" s="34">
        <v>62.1</v>
      </c>
      <c r="HF903" s="34">
        <v>59.3</v>
      </c>
      <c r="IN903" s="34">
        <v>135</v>
      </c>
      <c r="IO903" s="34">
        <v>196</v>
      </c>
      <c r="IR903" s="34" t="s">
        <v>620</v>
      </c>
      <c r="JB903" s="34" t="s">
        <v>623</v>
      </c>
    </row>
    <row r="904" spans="1:263" s="34" customFormat="1" x14ac:dyDescent="0.25">
      <c r="A904" s="34">
        <v>43</v>
      </c>
      <c r="B904" s="48" t="s">
        <v>3964</v>
      </c>
      <c r="C904" s="34" t="s">
        <v>614</v>
      </c>
      <c r="D904" s="34" t="s">
        <v>615</v>
      </c>
      <c r="E904" s="34">
        <v>1999</v>
      </c>
      <c r="F904" s="34">
        <v>1995</v>
      </c>
      <c r="G904" s="34" t="s">
        <v>418</v>
      </c>
      <c r="H904" s="34" t="s">
        <v>128</v>
      </c>
      <c r="I904" s="32" t="s">
        <v>2815</v>
      </c>
      <c r="J904" s="34">
        <v>45.231000000000002</v>
      </c>
      <c r="K904" s="34">
        <v>-122.756</v>
      </c>
      <c r="L904" s="34">
        <v>48.4</v>
      </c>
      <c r="P904" s="34">
        <v>1040</v>
      </c>
      <c r="Q904" s="34" t="s">
        <v>133</v>
      </c>
      <c r="R904" s="48">
        <v>1</v>
      </c>
      <c r="S904" s="48">
        <v>1</v>
      </c>
      <c r="T904" s="48"/>
      <c r="U904" s="48" t="s">
        <v>228</v>
      </c>
      <c r="V904" s="48" t="s">
        <v>1379</v>
      </c>
      <c r="W904" s="48" t="s">
        <v>1715</v>
      </c>
      <c r="X904" s="48" t="s">
        <v>1379</v>
      </c>
      <c r="Y904" s="48" t="s">
        <v>1379</v>
      </c>
      <c r="AA904" s="328">
        <v>31.3</v>
      </c>
      <c r="AB904" s="328">
        <v>54</v>
      </c>
      <c r="AC904" s="34" t="s">
        <v>450</v>
      </c>
      <c r="AG904" s="34" t="s">
        <v>1337</v>
      </c>
      <c r="AH904" s="34" t="s">
        <v>577</v>
      </c>
      <c r="AI904" s="138" t="s">
        <v>577</v>
      </c>
      <c r="AJ904" s="34" t="s">
        <v>1603</v>
      </c>
      <c r="AK904" s="140" t="s">
        <v>1616</v>
      </c>
      <c r="AL904" s="34" t="s">
        <v>616</v>
      </c>
      <c r="AM904" s="34" t="s">
        <v>616</v>
      </c>
      <c r="AN904" s="34" t="s">
        <v>177</v>
      </c>
      <c r="AW904" s="34" t="s">
        <v>119</v>
      </c>
      <c r="AX904" s="34">
        <v>4</v>
      </c>
      <c r="AZ904" s="34" t="s">
        <v>141</v>
      </c>
      <c r="BP904" s="404"/>
      <c r="BQ904" s="404"/>
      <c r="BU904" s="404">
        <f>18.3/10</f>
        <v>1.83</v>
      </c>
      <c r="BV904" s="404">
        <v>1.76</v>
      </c>
      <c r="BY904" s="34" t="s">
        <v>4426</v>
      </c>
      <c r="BZ904" s="404"/>
      <c r="CA904" s="404"/>
      <c r="CD904" s="34" t="s">
        <v>3121</v>
      </c>
      <c r="CE904" s="557">
        <v>1.83</v>
      </c>
      <c r="CF904" s="557">
        <v>1.76</v>
      </c>
      <c r="CG904" s="557"/>
      <c r="CH904" s="557"/>
      <c r="CI904" s="34" t="s">
        <v>4544</v>
      </c>
      <c r="GZ904" s="34">
        <v>52.5</v>
      </c>
      <c r="HA904" s="34">
        <v>64.900000000000006</v>
      </c>
      <c r="HD904" s="34" t="s">
        <v>622</v>
      </c>
      <c r="HE904" s="34">
        <v>62.1</v>
      </c>
      <c r="HF904" s="34">
        <v>62.1</v>
      </c>
      <c r="IN904" s="34">
        <v>135</v>
      </c>
      <c r="IO904" s="34">
        <v>206</v>
      </c>
      <c r="IR904" s="34" t="s">
        <v>620</v>
      </c>
      <c r="JB904" s="34" t="s">
        <v>623</v>
      </c>
    </row>
    <row r="905" spans="1:263" s="24" customFormat="1" x14ac:dyDescent="0.25">
      <c r="A905" s="24">
        <v>43</v>
      </c>
      <c r="B905" s="42" t="s">
        <v>3963</v>
      </c>
      <c r="C905" s="24" t="s">
        <v>614</v>
      </c>
      <c r="D905" s="24" t="s">
        <v>615</v>
      </c>
      <c r="E905" s="24">
        <v>1999</v>
      </c>
      <c r="F905" s="24">
        <v>1996</v>
      </c>
      <c r="G905" s="24" t="s">
        <v>418</v>
      </c>
      <c r="H905" s="24" t="s">
        <v>128</v>
      </c>
      <c r="I905" s="32" t="s">
        <v>2815</v>
      </c>
      <c r="J905" s="24">
        <v>45.231000000000002</v>
      </c>
      <c r="K905" s="24">
        <v>-122.756</v>
      </c>
      <c r="L905" s="24">
        <v>48.4</v>
      </c>
      <c r="P905" s="24">
        <v>1040</v>
      </c>
      <c r="Q905" s="24" t="s">
        <v>133</v>
      </c>
      <c r="R905" s="42">
        <v>2</v>
      </c>
      <c r="S905" s="42">
        <v>2</v>
      </c>
      <c r="T905" s="42"/>
      <c r="U905" s="42" t="s">
        <v>596</v>
      </c>
      <c r="V905" s="42" t="s">
        <v>1379</v>
      </c>
      <c r="W905" s="42" t="s">
        <v>1715</v>
      </c>
      <c r="X905" s="42" t="s">
        <v>1379</v>
      </c>
      <c r="Y905" s="42" t="s">
        <v>1379</v>
      </c>
      <c r="AA905" s="321">
        <v>31.3</v>
      </c>
      <c r="AB905" s="321">
        <v>54</v>
      </c>
      <c r="AC905" s="24" t="s">
        <v>450</v>
      </c>
      <c r="AG905" s="24" t="s">
        <v>1337</v>
      </c>
      <c r="AH905" s="24" t="s">
        <v>617</v>
      </c>
      <c r="AI905" s="138" t="s">
        <v>131</v>
      </c>
      <c r="AJ905" s="34" t="s">
        <v>1603</v>
      </c>
      <c r="AK905" s="140" t="s">
        <v>1616</v>
      </c>
      <c r="AL905" s="24" t="s">
        <v>616</v>
      </c>
      <c r="AM905" s="24" t="s">
        <v>616</v>
      </c>
      <c r="AN905" s="24" t="s">
        <v>177</v>
      </c>
      <c r="AW905" s="24" t="s">
        <v>119</v>
      </c>
      <c r="AX905" s="24">
        <v>4</v>
      </c>
      <c r="AZ905" s="24" t="s">
        <v>141</v>
      </c>
      <c r="BP905" s="395"/>
      <c r="BQ905" s="395"/>
      <c r="BU905" s="395">
        <v>1.64</v>
      </c>
      <c r="BV905" s="395">
        <v>1.46</v>
      </c>
      <c r="BY905" s="24" t="s">
        <v>4426</v>
      </c>
      <c r="BZ905" s="395"/>
      <c r="CA905" s="395"/>
      <c r="CD905" s="24" t="s">
        <v>3121</v>
      </c>
      <c r="CE905" s="548">
        <v>1.64</v>
      </c>
      <c r="CF905" s="548">
        <v>1.46</v>
      </c>
      <c r="CG905" s="548"/>
      <c r="CH905" s="548"/>
      <c r="CI905" s="24" t="s">
        <v>4544</v>
      </c>
      <c r="CJ905" s="24">
        <v>839</v>
      </c>
      <c r="CK905" s="24">
        <v>718</v>
      </c>
      <c r="CN905" s="24" t="s">
        <v>619</v>
      </c>
      <c r="GZ905" s="24">
        <v>51.9</v>
      </c>
      <c r="HA905" s="24">
        <v>64.8</v>
      </c>
      <c r="HD905" s="24" t="s">
        <v>622</v>
      </c>
      <c r="HE905" s="24">
        <v>30.3</v>
      </c>
      <c r="HF905" s="24">
        <v>47.6</v>
      </c>
      <c r="HJ905" s="24">
        <v>10.4</v>
      </c>
      <c r="HK905" s="24">
        <v>16.600000000000001</v>
      </c>
      <c r="IN905" s="24">
        <v>109</v>
      </c>
      <c r="IO905" s="24">
        <v>91</v>
      </c>
      <c r="IR905" s="24" t="s">
        <v>620</v>
      </c>
      <c r="JB905" s="24" t="s">
        <v>623</v>
      </c>
    </row>
    <row r="906" spans="1:263" s="24" customFormat="1" x14ac:dyDescent="0.25">
      <c r="A906" s="24">
        <v>43</v>
      </c>
      <c r="B906" s="42" t="s">
        <v>3964</v>
      </c>
      <c r="C906" s="24" t="s">
        <v>614</v>
      </c>
      <c r="D906" s="24" t="s">
        <v>615</v>
      </c>
      <c r="E906" s="24">
        <v>1999</v>
      </c>
      <c r="F906" s="24">
        <v>1996</v>
      </c>
      <c r="G906" s="24" t="s">
        <v>418</v>
      </c>
      <c r="H906" s="24" t="s">
        <v>128</v>
      </c>
      <c r="I906" s="32" t="s">
        <v>2815</v>
      </c>
      <c r="J906" s="24">
        <v>45.231000000000002</v>
      </c>
      <c r="K906" s="24">
        <v>-122.756</v>
      </c>
      <c r="L906" s="24">
        <v>48.4</v>
      </c>
      <c r="P906" s="24">
        <v>1040</v>
      </c>
      <c r="Q906" s="24" t="s">
        <v>133</v>
      </c>
      <c r="R906" s="42">
        <v>2</v>
      </c>
      <c r="S906" s="42">
        <v>2</v>
      </c>
      <c r="T906" s="42"/>
      <c r="U906" s="42" t="s">
        <v>596</v>
      </c>
      <c r="V906" s="42" t="s">
        <v>1379</v>
      </c>
      <c r="W906" s="42" t="s">
        <v>1715</v>
      </c>
      <c r="X906" s="42" t="s">
        <v>1379</v>
      </c>
      <c r="Y906" s="42" t="s">
        <v>1379</v>
      </c>
      <c r="AA906" s="321">
        <v>31.3</v>
      </c>
      <c r="AB906" s="321">
        <v>54</v>
      </c>
      <c r="AC906" s="24" t="s">
        <v>450</v>
      </c>
      <c r="AG906" s="24" t="s">
        <v>1337</v>
      </c>
      <c r="AH906" s="24" t="s">
        <v>577</v>
      </c>
      <c r="AI906" s="138" t="s">
        <v>577</v>
      </c>
      <c r="AJ906" s="34" t="s">
        <v>1603</v>
      </c>
      <c r="AK906" s="140" t="s">
        <v>1616</v>
      </c>
      <c r="AL906" s="24" t="s">
        <v>616</v>
      </c>
      <c r="AM906" s="24" t="s">
        <v>616</v>
      </c>
      <c r="AN906" s="24" t="s">
        <v>177</v>
      </c>
      <c r="AW906" s="24" t="s">
        <v>119</v>
      </c>
      <c r="AX906" s="24">
        <v>4</v>
      </c>
      <c r="AZ906" s="24" t="s">
        <v>141</v>
      </c>
      <c r="BP906" s="395"/>
      <c r="BQ906" s="395"/>
      <c r="BU906" s="395">
        <v>1.64</v>
      </c>
      <c r="BV906" s="395">
        <v>1.63</v>
      </c>
      <c r="BY906" s="24" t="s">
        <v>4426</v>
      </c>
      <c r="BZ906" s="395"/>
      <c r="CA906" s="395"/>
      <c r="CD906" s="24" t="s">
        <v>3121</v>
      </c>
      <c r="CE906" s="548">
        <v>1.64</v>
      </c>
      <c r="CF906" s="548">
        <v>1.63</v>
      </c>
      <c r="CG906" s="548"/>
      <c r="CH906" s="548"/>
      <c r="CI906" s="24" t="s">
        <v>4544</v>
      </c>
      <c r="CJ906" s="24">
        <v>839</v>
      </c>
      <c r="CK906" s="24">
        <v>753</v>
      </c>
      <c r="CN906" s="24" t="s">
        <v>619</v>
      </c>
      <c r="GZ906" s="24">
        <v>51.9</v>
      </c>
      <c r="HA906" s="24">
        <v>73.099999999999994</v>
      </c>
      <c r="HD906" s="24" t="s">
        <v>622</v>
      </c>
      <c r="HE906" s="24">
        <v>30.3</v>
      </c>
      <c r="HF906" s="24">
        <v>45.4</v>
      </c>
      <c r="HJ906" s="24">
        <v>10.4</v>
      </c>
      <c r="HK906" s="24">
        <v>13.4</v>
      </c>
      <c r="IN906" s="24">
        <v>109</v>
      </c>
      <c r="IO906" s="24">
        <v>104</v>
      </c>
      <c r="IR906" s="24" t="s">
        <v>620</v>
      </c>
      <c r="JB906" s="24" t="s">
        <v>623</v>
      </c>
    </row>
    <row r="907" spans="1:263" s="24" customFormat="1" x14ac:dyDescent="0.25">
      <c r="A907" s="24">
        <v>43</v>
      </c>
      <c r="B907" s="42" t="s">
        <v>3963</v>
      </c>
      <c r="C907" s="24" t="s">
        <v>614</v>
      </c>
      <c r="D907" s="24" t="s">
        <v>615</v>
      </c>
      <c r="E907" s="24">
        <v>1999</v>
      </c>
      <c r="F907" s="24">
        <v>1996</v>
      </c>
      <c r="G907" s="24" t="s">
        <v>418</v>
      </c>
      <c r="H907" s="24" t="s">
        <v>128</v>
      </c>
      <c r="I907" s="32" t="s">
        <v>2815</v>
      </c>
      <c r="J907" s="24">
        <v>45.231000000000002</v>
      </c>
      <c r="K907" s="24">
        <v>-122.756</v>
      </c>
      <c r="L907" s="24">
        <v>48.4</v>
      </c>
      <c r="P907" s="24">
        <v>1040</v>
      </c>
      <c r="Q907" s="24" t="s">
        <v>133</v>
      </c>
      <c r="R907" s="42">
        <v>2</v>
      </c>
      <c r="S907" s="42">
        <v>2</v>
      </c>
      <c r="T907" s="42"/>
      <c r="U907" s="42" t="s">
        <v>228</v>
      </c>
      <c r="V907" s="42" t="s">
        <v>1379</v>
      </c>
      <c r="W907" s="42" t="s">
        <v>1715</v>
      </c>
      <c r="X907" s="42" t="s">
        <v>1379</v>
      </c>
      <c r="Y907" s="42" t="s">
        <v>1379</v>
      </c>
      <c r="AA907" s="321">
        <v>31.3</v>
      </c>
      <c r="AB907" s="321">
        <v>54</v>
      </c>
      <c r="AC907" s="24" t="s">
        <v>450</v>
      </c>
      <c r="AG907" s="24" t="s">
        <v>1337</v>
      </c>
      <c r="AH907" s="24" t="s">
        <v>617</v>
      </c>
      <c r="AI907" s="138" t="s">
        <v>131</v>
      </c>
      <c r="AJ907" s="34" t="s">
        <v>1603</v>
      </c>
      <c r="AK907" s="140" t="s">
        <v>1616</v>
      </c>
      <c r="AL907" s="24" t="s">
        <v>616</v>
      </c>
      <c r="AM907" s="24" t="s">
        <v>616</v>
      </c>
      <c r="AN907" s="24" t="s">
        <v>177</v>
      </c>
      <c r="AW907" s="24" t="s">
        <v>119</v>
      </c>
      <c r="AX907" s="24">
        <v>4</v>
      </c>
      <c r="AZ907" s="24" t="s">
        <v>141</v>
      </c>
      <c r="BP907" s="395"/>
      <c r="BQ907" s="395"/>
      <c r="BU907" s="395">
        <v>1.75</v>
      </c>
      <c r="BV907" s="395">
        <v>1.43</v>
      </c>
      <c r="BY907" s="24" t="s">
        <v>4426</v>
      </c>
      <c r="BZ907" s="395"/>
      <c r="CA907" s="395"/>
      <c r="CD907" s="24" t="s">
        <v>3121</v>
      </c>
      <c r="CE907" s="548">
        <v>1.75</v>
      </c>
      <c r="CF907" s="548">
        <v>1.43</v>
      </c>
      <c r="CG907" s="548"/>
      <c r="CH907" s="548"/>
      <c r="CI907" s="24" t="s">
        <v>4544</v>
      </c>
      <c r="CJ907" s="24">
        <v>843</v>
      </c>
      <c r="CK907" s="24">
        <v>792</v>
      </c>
      <c r="CN907" s="24" t="s">
        <v>619</v>
      </c>
      <c r="GZ907" s="24">
        <v>77.400000000000006</v>
      </c>
      <c r="HA907" s="24">
        <v>109.2</v>
      </c>
      <c r="HD907" s="24" t="s">
        <v>622</v>
      </c>
      <c r="HE907" s="24">
        <v>43.3</v>
      </c>
      <c r="HF907" s="24">
        <v>48.4</v>
      </c>
      <c r="HJ907" s="24">
        <v>7.1</v>
      </c>
      <c r="HK907" s="24">
        <v>8.3000000000000007</v>
      </c>
      <c r="IN907" s="24">
        <v>112</v>
      </c>
      <c r="IO907" s="24">
        <v>115</v>
      </c>
      <c r="IR907" s="24" t="s">
        <v>620</v>
      </c>
      <c r="JB907" s="24" t="s">
        <v>623</v>
      </c>
    </row>
    <row r="908" spans="1:263" s="24" customFormat="1" x14ac:dyDescent="0.25">
      <c r="A908" s="24">
        <v>43</v>
      </c>
      <c r="B908" s="42" t="s">
        <v>3964</v>
      </c>
      <c r="C908" s="24" t="s">
        <v>614</v>
      </c>
      <c r="D908" s="24" t="s">
        <v>615</v>
      </c>
      <c r="E908" s="24">
        <v>1999</v>
      </c>
      <c r="F908" s="24">
        <v>1996</v>
      </c>
      <c r="G908" s="24" t="s">
        <v>418</v>
      </c>
      <c r="H908" s="24" t="s">
        <v>128</v>
      </c>
      <c r="I908" s="32" t="s">
        <v>2815</v>
      </c>
      <c r="J908" s="24">
        <v>45.231000000000002</v>
      </c>
      <c r="K908" s="24">
        <v>-122.756</v>
      </c>
      <c r="L908" s="24">
        <v>48.4</v>
      </c>
      <c r="P908" s="24">
        <v>1040</v>
      </c>
      <c r="Q908" s="24" t="s">
        <v>133</v>
      </c>
      <c r="R908" s="42">
        <v>2</v>
      </c>
      <c r="S908" s="42">
        <v>2</v>
      </c>
      <c r="T908" s="42"/>
      <c r="U908" s="42" t="s">
        <v>228</v>
      </c>
      <c r="V908" s="42" t="s">
        <v>1379</v>
      </c>
      <c r="W908" s="42" t="s">
        <v>1715</v>
      </c>
      <c r="X908" s="42" t="s">
        <v>1379</v>
      </c>
      <c r="Y908" s="42" t="s">
        <v>1379</v>
      </c>
      <c r="AA908" s="321">
        <v>31.3</v>
      </c>
      <c r="AB908" s="321">
        <v>54</v>
      </c>
      <c r="AC908" s="24" t="s">
        <v>450</v>
      </c>
      <c r="AG908" s="24" t="s">
        <v>1337</v>
      </c>
      <c r="AH908" s="24" t="s">
        <v>577</v>
      </c>
      <c r="AI908" s="138" t="s">
        <v>577</v>
      </c>
      <c r="AJ908" s="34" t="s">
        <v>1603</v>
      </c>
      <c r="AK908" s="140" t="s">
        <v>1616</v>
      </c>
      <c r="AL908" s="24" t="s">
        <v>616</v>
      </c>
      <c r="AM908" s="24" t="s">
        <v>616</v>
      </c>
      <c r="AN908" s="24" t="s">
        <v>177</v>
      </c>
      <c r="AW908" s="24" t="s">
        <v>119</v>
      </c>
      <c r="AX908" s="24">
        <v>4</v>
      </c>
      <c r="AZ908" s="24" t="s">
        <v>141</v>
      </c>
      <c r="BP908" s="395"/>
      <c r="BQ908" s="395"/>
      <c r="BU908" s="395">
        <v>1.75</v>
      </c>
      <c r="BV908" s="395">
        <v>1.73</v>
      </c>
      <c r="BY908" s="24" t="s">
        <v>4426</v>
      </c>
      <c r="BZ908" s="395"/>
      <c r="CA908" s="395"/>
      <c r="CD908" s="24" t="s">
        <v>3121</v>
      </c>
      <c r="CE908" s="548">
        <v>1.75</v>
      </c>
      <c r="CF908" s="548">
        <v>1.73</v>
      </c>
      <c r="CG908" s="548"/>
      <c r="CH908" s="548"/>
      <c r="CI908" s="24" t="s">
        <v>4544</v>
      </c>
      <c r="CJ908" s="24">
        <v>843</v>
      </c>
      <c r="CK908" s="24">
        <v>809</v>
      </c>
      <c r="CN908" s="24" t="s">
        <v>619</v>
      </c>
      <c r="GZ908" s="24">
        <v>77.400000000000006</v>
      </c>
      <c r="HA908" s="24">
        <v>115.2</v>
      </c>
      <c r="HD908" s="24" t="s">
        <v>622</v>
      </c>
      <c r="HE908" s="24">
        <v>43.3</v>
      </c>
      <c r="HF908" s="24">
        <v>59</v>
      </c>
      <c r="HJ908" s="24">
        <v>7.1</v>
      </c>
      <c r="HK908" s="24">
        <v>9.6999999999999993</v>
      </c>
      <c r="IN908" s="24">
        <v>112</v>
      </c>
      <c r="IO908" s="24">
        <v>124</v>
      </c>
      <c r="IR908" s="24" t="s">
        <v>620</v>
      </c>
      <c r="JB908" s="24" t="s">
        <v>623</v>
      </c>
    </row>
    <row r="909" spans="1:263" s="28" customFormat="1" x14ac:dyDescent="0.25">
      <c r="A909" s="28">
        <v>44</v>
      </c>
      <c r="B909" s="46" t="s">
        <v>3965</v>
      </c>
      <c r="C909" s="28" t="s">
        <v>624</v>
      </c>
      <c r="D909" s="28" t="s">
        <v>625</v>
      </c>
      <c r="E909" s="28">
        <v>2000</v>
      </c>
      <c r="F909" s="28">
        <v>1996</v>
      </c>
      <c r="G909" s="28" t="s">
        <v>626</v>
      </c>
      <c r="H909" s="28" t="s">
        <v>627</v>
      </c>
      <c r="I909" s="32" t="s">
        <v>2815</v>
      </c>
      <c r="J909" s="28">
        <v>45.01</v>
      </c>
      <c r="K909" s="28">
        <v>-122.78</v>
      </c>
      <c r="L909" s="28">
        <v>78.5</v>
      </c>
      <c r="P909" s="28">
        <v>1040</v>
      </c>
      <c r="Q909" s="28" t="s">
        <v>133</v>
      </c>
      <c r="R909" s="46" t="s">
        <v>1847</v>
      </c>
      <c r="S909" s="46" t="s">
        <v>1847</v>
      </c>
      <c r="T909" s="46"/>
      <c r="U909" s="46" t="s">
        <v>1953</v>
      </c>
      <c r="V909" s="46" t="s">
        <v>1380</v>
      </c>
      <c r="W909" s="46" t="s">
        <v>1716</v>
      </c>
      <c r="X909" s="46" t="s">
        <v>1380</v>
      </c>
      <c r="Y909" s="46" t="s">
        <v>1380</v>
      </c>
      <c r="AA909" s="326">
        <v>7</v>
      </c>
      <c r="AB909" s="326">
        <v>67</v>
      </c>
      <c r="AC909" s="28" t="s">
        <v>547</v>
      </c>
      <c r="AG909" s="28" t="s">
        <v>1286</v>
      </c>
      <c r="AH909" s="28" t="s">
        <v>131</v>
      </c>
      <c r="AI909" s="138" t="s">
        <v>131</v>
      </c>
      <c r="AJ909" s="28" t="s">
        <v>633</v>
      </c>
      <c r="AK909" s="141" t="s">
        <v>1613</v>
      </c>
      <c r="AL909" s="28" t="s">
        <v>636</v>
      </c>
      <c r="AM909" s="28" t="s">
        <v>636</v>
      </c>
      <c r="AN909" s="28" t="s">
        <v>177</v>
      </c>
      <c r="AW909" s="28" t="s">
        <v>119</v>
      </c>
      <c r="AX909" s="28">
        <v>4</v>
      </c>
      <c r="AZ909" s="28" t="s">
        <v>335</v>
      </c>
      <c r="BP909" s="401"/>
      <c r="BQ909" s="401"/>
      <c r="BU909" s="401">
        <v>1.95</v>
      </c>
      <c r="BV909" s="401">
        <v>1.9300000000000002</v>
      </c>
      <c r="BY909" s="28" t="s">
        <v>1672</v>
      </c>
      <c r="BZ909" s="401"/>
      <c r="CA909" s="401"/>
      <c r="CD909" s="28" t="s">
        <v>3121</v>
      </c>
      <c r="CE909" s="554">
        <v>1.95</v>
      </c>
      <c r="CF909" s="554">
        <v>1.9300000000000002</v>
      </c>
      <c r="CG909" s="554"/>
      <c r="CH909" s="554"/>
      <c r="CI909" s="28" t="s">
        <v>4544</v>
      </c>
      <c r="CJ909" s="28">
        <f>1.6*1000</f>
        <v>1600</v>
      </c>
      <c r="CK909" s="28">
        <v>1700</v>
      </c>
      <c r="CN909" s="28" t="s">
        <v>234</v>
      </c>
      <c r="CT909" s="28">
        <f>0.69*390</f>
        <v>269.09999999999997</v>
      </c>
      <c r="CU909" s="28">
        <f>0.65*390</f>
        <v>253.5</v>
      </c>
      <c r="CY909" s="28">
        <v>5.74</v>
      </c>
      <c r="CZ909" s="28">
        <v>5.74</v>
      </c>
      <c r="DD909" s="28">
        <v>26.32</v>
      </c>
      <c r="DE909" s="28">
        <v>27.04</v>
      </c>
      <c r="DN909" s="28">
        <v>11.82</v>
      </c>
      <c r="DO909" s="28">
        <v>11.63</v>
      </c>
      <c r="DR909" s="28" t="s">
        <v>641</v>
      </c>
      <c r="JB909" s="28" t="s">
        <v>659</v>
      </c>
      <c r="JC909" s="28" t="s">
        <v>1605</v>
      </c>
    </row>
    <row r="910" spans="1:263" s="28" customFormat="1" x14ac:dyDescent="0.25">
      <c r="A910" s="28">
        <v>44</v>
      </c>
      <c r="B910" s="46" t="s">
        <v>3966</v>
      </c>
      <c r="C910" s="28" t="s">
        <v>624</v>
      </c>
      <c r="D910" s="28" t="s">
        <v>625</v>
      </c>
      <c r="E910" s="28">
        <v>2000</v>
      </c>
      <c r="F910" s="28">
        <v>1996</v>
      </c>
      <c r="G910" s="28" t="s">
        <v>626</v>
      </c>
      <c r="H910" s="28" t="s">
        <v>628</v>
      </c>
      <c r="I910" s="32" t="s">
        <v>2815</v>
      </c>
      <c r="J910" s="28">
        <v>44.94</v>
      </c>
      <c r="K910" s="28">
        <v>-123.04</v>
      </c>
      <c r="L910" s="28">
        <v>49.3</v>
      </c>
      <c r="P910" s="28">
        <v>1040</v>
      </c>
      <c r="Q910" s="28" t="s">
        <v>133</v>
      </c>
      <c r="R910" s="46" t="s">
        <v>1847</v>
      </c>
      <c r="S910" s="46" t="s">
        <v>1847</v>
      </c>
      <c r="T910" s="46"/>
      <c r="U910" s="46" t="s">
        <v>1953</v>
      </c>
      <c r="V910" s="46" t="s">
        <v>1380</v>
      </c>
      <c r="W910" s="46" t="s">
        <v>1716</v>
      </c>
      <c r="X910" s="46" t="s">
        <v>1380</v>
      </c>
      <c r="Y910" s="46" t="s">
        <v>1380</v>
      </c>
      <c r="AA910" s="326">
        <v>43</v>
      </c>
      <c r="AB910" s="326">
        <v>41</v>
      </c>
      <c r="AC910" s="28" t="s">
        <v>139</v>
      </c>
      <c r="AG910" s="28" t="s">
        <v>1286</v>
      </c>
      <c r="AH910" s="28" t="s">
        <v>1576</v>
      </c>
      <c r="AI910" s="138" t="s">
        <v>1582</v>
      </c>
      <c r="AJ910" s="28" t="s">
        <v>132</v>
      </c>
      <c r="AK910" s="141" t="s">
        <v>1613</v>
      </c>
      <c r="AL910" s="28" t="s">
        <v>637</v>
      </c>
      <c r="AM910" s="28" t="s">
        <v>637</v>
      </c>
      <c r="AN910" s="28" t="s">
        <v>177</v>
      </c>
      <c r="AW910" s="28" t="s">
        <v>119</v>
      </c>
      <c r="AX910" s="28">
        <v>4</v>
      </c>
      <c r="AZ910" s="28" t="s">
        <v>335</v>
      </c>
      <c r="BP910" s="401"/>
      <c r="BQ910" s="401"/>
      <c r="BU910" s="401">
        <v>1.95</v>
      </c>
      <c r="BV910" s="401">
        <v>1.9300000000000002</v>
      </c>
      <c r="BY910" s="28" t="s">
        <v>1672</v>
      </c>
      <c r="BZ910" s="401"/>
      <c r="CA910" s="401"/>
      <c r="CD910" s="28" t="s">
        <v>3121</v>
      </c>
      <c r="CE910" s="554">
        <v>1.95</v>
      </c>
      <c r="CF910" s="554">
        <v>1.9300000000000002</v>
      </c>
      <c r="CG910" s="554"/>
      <c r="CH910" s="554"/>
      <c r="CI910" s="28" t="s">
        <v>4544</v>
      </c>
      <c r="CJ910" s="28">
        <f t="shared" ref="CJ910" si="226">1.6*1000</f>
        <v>1600</v>
      </c>
      <c r="CK910" s="28">
        <v>1700</v>
      </c>
      <c r="CN910" s="28" t="s">
        <v>234</v>
      </c>
      <c r="CT910" s="28">
        <f t="shared" ref="CT910" si="227">0.69*390</f>
        <v>269.09999999999997</v>
      </c>
      <c r="CU910" s="28">
        <f t="shared" ref="CU910" si="228">0.65*390</f>
        <v>253.5</v>
      </c>
      <c r="CY910" s="28">
        <v>5.74</v>
      </c>
      <c r="CZ910" s="28">
        <v>5.74</v>
      </c>
      <c r="DD910" s="28">
        <v>26.32</v>
      </c>
      <c r="DE910" s="28">
        <v>27.04</v>
      </c>
      <c r="DN910" s="28">
        <v>11.82</v>
      </c>
      <c r="DO910" s="28">
        <v>11.63</v>
      </c>
      <c r="DR910" s="28" t="s">
        <v>641</v>
      </c>
      <c r="JB910" s="28" t="s">
        <v>659</v>
      </c>
      <c r="JC910" s="28" t="s">
        <v>1605</v>
      </c>
    </row>
    <row r="911" spans="1:263" s="28" customFormat="1" x14ac:dyDescent="0.25">
      <c r="A911" s="28">
        <v>44</v>
      </c>
      <c r="B911" s="46" t="s">
        <v>3967</v>
      </c>
      <c r="C911" s="28" t="s">
        <v>624</v>
      </c>
      <c r="D911" s="28" t="s">
        <v>625</v>
      </c>
      <c r="E911" s="28">
        <v>2000</v>
      </c>
      <c r="F911" s="28">
        <v>1996</v>
      </c>
      <c r="G911" s="28" t="s">
        <v>626</v>
      </c>
      <c r="H911" s="28" t="s">
        <v>630</v>
      </c>
      <c r="I911" s="32" t="s">
        <v>2815</v>
      </c>
      <c r="J911" s="28">
        <v>45.15</v>
      </c>
      <c r="K911" s="28">
        <v>-122.58</v>
      </c>
      <c r="L911" s="28">
        <v>112.8</v>
      </c>
      <c r="P911" s="28">
        <v>1040</v>
      </c>
      <c r="Q911" s="28" t="s">
        <v>133</v>
      </c>
      <c r="R911" s="46" t="s">
        <v>1847</v>
      </c>
      <c r="S911" s="46" t="s">
        <v>1847</v>
      </c>
      <c r="T911" s="46"/>
      <c r="U911" s="46" t="s">
        <v>1953</v>
      </c>
      <c r="V911" s="46" t="s">
        <v>1380</v>
      </c>
      <c r="W911" s="46" t="s">
        <v>1716</v>
      </c>
      <c r="X911" s="46" t="s">
        <v>1380</v>
      </c>
      <c r="Y911" s="46" t="s">
        <v>1380</v>
      </c>
      <c r="AA911" s="326">
        <v>10</v>
      </c>
      <c r="AB911" s="326">
        <v>70</v>
      </c>
      <c r="AC911" s="28" t="s">
        <v>450</v>
      </c>
      <c r="AG911" s="28" t="s">
        <v>1286</v>
      </c>
      <c r="AH911" s="28" t="s">
        <v>520</v>
      </c>
      <c r="AI911" s="138" t="s">
        <v>1581</v>
      </c>
      <c r="AJ911" s="28" t="s">
        <v>132</v>
      </c>
      <c r="AK911" s="141" t="s">
        <v>1613</v>
      </c>
      <c r="AL911" s="28" t="s">
        <v>636</v>
      </c>
      <c r="AM911" s="28" t="s">
        <v>636</v>
      </c>
      <c r="AN911" s="28" t="s">
        <v>177</v>
      </c>
      <c r="AW911" s="28" t="s">
        <v>119</v>
      </c>
      <c r="AX911" s="28">
        <v>4</v>
      </c>
      <c r="AZ911" s="28" t="s">
        <v>335</v>
      </c>
      <c r="BP911" s="401"/>
      <c r="BQ911" s="401"/>
      <c r="BU911" s="401"/>
      <c r="BV911" s="401"/>
      <c r="BZ911" s="401"/>
      <c r="CA911" s="401"/>
      <c r="CE911" s="554"/>
      <c r="CF911" s="554"/>
      <c r="CG911" s="554"/>
      <c r="CH911" s="554"/>
      <c r="JB911" s="28" t="s">
        <v>659</v>
      </c>
      <c r="JC911" s="28" t="s">
        <v>1605</v>
      </c>
    </row>
    <row r="912" spans="1:263" s="28" customFormat="1" x14ac:dyDescent="0.25">
      <c r="A912" s="28">
        <v>44</v>
      </c>
      <c r="B912" s="46" t="s">
        <v>3968</v>
      </c>
      <c r="C912" s="28" t="s">
        <v>624</v>
      </c>
      <c r="D912" s="28" t="s">
        <v>625</v>
      </c>
      <c r="E912" s="28">
        <v>2000</v>
      </c>
      <c r="F912" s="28">
        <v>1996</v>
      </c>
      <c r="G912" s="28" t="s">
        <v>626</v>
      </c>
      <c r="H912" s="28" t="s">
        <v>629</v>
      </c>
      <c r="I912" s="32" t="s">
        <v>2815</v>
      </c>
      <c r="J912" s="28">
        <v>45.11</v>
      </c>
      <c r="K912" s="28">
        <v>-122.9</v>
      </c>
      <c r="L912" s="28">
        <v>57.3</v>
      </c>
      <c r="P912" s="28">
        <v>1040</v>
      </c>
      <c r="Q912" s="28" t="s">
        <v>133</v>
      </c>
      <c r="R912" s="46" t="s">
        <v>1847</v>
      </c>
      <c r="S912" s="46" t="s">
        <v>1847</v>
      </c>
      <c r="T912" s="46"/>
      <c r="U912" s="46" t="s">
        <v>1953</v>
      </c>
      <c r="V912" s="46" t="s">
        <v>1380</v>
      </c>
      <c r="W912" s="46" t="s">
        <v>1716</v>
      </c>
      <c r="X912" s="46" t="s">
        <v>1380</v>
      </c>
      <c r="Y912" s="46" t="s">
        <v>1380</v>
      </c>
      <c r="AA912" s="326">
        <v>9</v>
      </c>
      <c r="AB912" s="326">
        <v>70</v>
      </c>
      <c r="AC912" s="28" t="s">
        <v>450</v>
      </c>
      <c r="AG912" s="28" t="s">
        <v>1286</v>
      </c>
      <c r="AH912" s="28" t="s">
        <v>243</v>
      </c>
      <c r="AI912" s="138" t="s">
        <v>577</v>
      </c>
      <c r="AJ912" s="28" t="s">
        <v>132</v>
      </c>
      <c r="AK912" s="141" t="s">
        <v>1613</v>
      </c>
      <c r="AL912" s="28" t="s">
        <v>638</v>
      </c>
      <c r="AM912" s="28" t="s">
        <v>638</v>
      </c>
      <c r="AN912" s="28" t="s">
        <v>177</v>
      </c>
      <c r="AW912" s="28" t="s">
        <v>119</v>
      </c>
      <c r="AX912" s="28">
        <v>4</v>
      </c>
      <c r="AZ912" s="28" t="s">
        <v>335</v>
      </c>
      <c r="BP912" s="401"/>
      <c r="BQ912" s="401"/>
      <c r="BU912" s="401"/>
      <c r="BV912" s="401"/>
      <c r="BZ912" s="401"/>
      <c r="CA912" s="401"/>
      <c r="CE912" s="554"/>
      <c r="CF912" s="554"/>
      <c r="CG912" s="554"/>
      <c r="CH912" s="554"/>
      <c r="JB912" s="28" t="s">
        <v>659</v>
      </c>
      <c r="JC912" s="28" t="s">
        <v>1605</v>
      </c>
    </row>
    <row r="913" spans="1:263" s="21" customFormat="1" x14ac:dyDescent="0.25">
      <c r="A913" s="21">
        <v>44</v>
      </c>
      <c r="B913" s="43" t="s">
        <v>3969</v>
      </c>
      <c r="C913" s="21" t="s">
        <v>624</v>
      </c>
      <c r="D913" s="21" t="s">
        <v>625</v>
      </c>
      <c r="E913" s="21">
        <v>2000</v>
      </c>
      <c r="F913" s="21">
        <v>1996</v>
      </c>
      <c r="G913" s="21" t="s">
        <v>626</v>
      </c>
      <c r="H913" s="21" t="s">
        <v>631</v>
      </c>
      <c r="I913" s="32" t="s">
        <v>2815</v>
      </c>
      <c r="J913" s="21">
        <v>45.231000000000002</v>
      </c>
      <c r="K913" s="21">
        <v>-122.756</v>
      </c>
      <c r="L913" s="21">
        <v>48.4</v>
      </c>
      <c r="P913" s="21">
        <v>1040</v>
      </c>
      <c r="Q913" s="21" t="s">
        <v>133</v>
      </c>
      <c r="R913" s="21">
        <v>8</v>
      </c>
      <c r="S913" s="21">
        <v>10</v>
      </c>
      <c r="U913" s="43" t="s">
        <v>1952</v>
      </c>
      <c r="V913" s="43" t="s">
        <v>1380</v>
      </c>
      <c r="W913" s="43" t="s">
        <v>1716</v>
      </c>
      <c r="X913" s="43" t="s">
        <v>1380</v>
      </c>
      <c r="Y913" s="43" t="s">
        <v>1380</v>
      </c>
      <c r="Z913" s="43"/>
      <c r="AA913" s="322">
        <v>28</v>
      </c>
      <c r="AB913" s="322">
        <v>54</v>
      </c>
      <c r="AC913" s="21" t="s">
        <v>450</v>
      </c>
      <c r="AG913" s="21" t="s">
        <v>1286</v>
      </c>
      <c r="AH913" s="21" t="s">
        <v>1575</v>
      </c>
      <c r="AI913" s="138" t="s">
        <v>1582</v>
      </c>
      <c r="AJ913" s="21" t="s">
        <v>634</v>
      </c>
      <c r="AK913" s="141" t="s">
        <v>1613</v>
      </c>
      <c r="AL913" s="21" t="s">
        <v>639</v>
      </c>
      <c r="AM913" s="21" t="s">
        <v>639</v>
      </c>
      <c r="AN913" s="21" t="s">
        <v>177</v>
      </c>
      <c r="AW913" s="21" t="s">
        <v>119</v>
      </c>
      <c r="AX913" s="21">
        <v>4</v>
      </c>
      <c r="AZ913" s="21" t="s">
        <v>335</v>
      </c>
      <c r="BP913" s="396"/>
      <c r="BQ913" s="396"/>
      <c r="BU913" s="396">
        <v>1.8199999999999998</v>
      </c>
      <c r="BV913" s="396">
        <v>1.6</v>
      </c>
      <c r="BY913" s="21" t="s">
        <v>1672</v>
      </c>
      <c r="BZ913" s="396"/>
      <c r="CA913" s="396"/>
      <c r="CD913" s="21" t="s">
        <v>3121</v>
      </c>
      <c r="CE913" s="549">
        <v>1.8199999999999998</v>
      </c>
      <c r="CF913" s="549">
        <v>1.6</v>
      </c>
      <c r="CG913" s="549"/>
      <c r="CH913" s="549"/>
      <c r="CI913" s="21" t="s">
        <v>4544</v>
      </c>
      <c r="CJ913" s="21">
        <v>1300</v>
      </c>
      <c r="CK913" s="21">
        <v>1200</v>
      </c>
      <c r="CN913" s="21" t="s">
        <v>234</v>
      </c>
      <c r="CT913" s="21">
        <f>0.45*390</f>
        <v>175.5</v>
      </c>
      <c r="CU913" s="21">
        <f>0.49*390</f>
        <v>191.1</v>
      </c>
      <c r="CX913" s="28"/>
      <c r="CY913" s="21">
        <v>5.3</v>
      </c>
      <c r="CZ913" s="21">
        <v>4.9000000000000004</v>
      </c>
      <c r="DD913" s="21">
        <v>23.4</v>
      </c>
      <c r="DE913" s="21">
        <v>22.96</v>
      </c>
      <c r="DN913" s="21">
        <v>6.3</v>
      </c>
      <c r="DO913" s="21">
        <v>7.55</v>
      </c>
      <c r="DR913" s="21" t="s">
        <v>641</v>
      </c>
      <c r="JB913" s="28" t="s">
        <v>659</v>
      </c>
      <c r="JC913" s="28" t="s">
        <v>1605</v>
      </c>
    </row>
    <row r="914" spans="1:263" s="21" customFormat="1" x14ac:dyDescent="0.25">
      <c r="A914" s="21">
        <v>44</v>
      </c>
      <c r="B914" s="43" t="s">
        <v>3970</v>
      </c>
      <c r="C914" s="21" t="s">
        <v>624</v>
      </c>
      <c r="D914" s="21" t="s">
        <v>625</v>
      </c>
      <c r="E914" s="21">
        <v>2000</v>
      </c>
      <c r="F914" s="21">
        <v>1996</v>
      </c>
      <c r="G914" s="21" t="s">
        <v>626</v>
      </c>
      <c r="H914" s="21" t="s">
        <v>632</v>
      </c>
      <c r="I914" s="32" t="s">
        <v>2815</v>
      </c>
      <c r="J914" s="21">
        <v>44.94</v>
      </c>
      <c r="K914" s="21">
        <v>-122.93</v>
      </c>
      <c r="L914" s="21">
        <v>66.5</v>
      </c>
      <c r="P914" s="21">
        <v>1040</v>
      </c>
      <c r="Q914" s="21" t="s">
        <v>133</v>
      </c>
      <c r="R914" s="43" t="s">
        <v>1954</v>
      </c>
      <c r="S914" s="43" t="s">
        <v>1929</v>
      </c>
      <c r="T914" s="43"/>
      <c r="U914" s="43" t="s">
        <v>1947</v>
      </c>
      <c r="V914" s="43" t="s">
        <v>1380</v>
      </c>
      <c r="W914" s="43" t="s">
        <v>1716</v>
      </c>
      <c r="X914" s="43" t="s">
        <v>1380</v>
      </c>
      <c r="Y914" s="43" t="s">
        <v>1380</v>
      </c>
      <c r="AA914" s="322">
        <v>22</v>
      </c>
      <c r="AB914" s="322">
        <v>52</v>
      </c>
      <c r="AC914" s="21" t="s">
        <v>450</v>
      </c>
      <c r="AG914" s="21" t="s">
        <v>1286</v>
      </c>
      <c r="AH914" s="21" t="s">
        <v>635</v>
      </c>
      <c r="AI914" s="138" t="s">
        <v>635</v>
      </c>
      <c r="AJ914" s="21" t="s">
        <v>132</v>
      </c>
      <c r="AK914" s="141" t="s">
        <v>1613</v>
      </c>
      <c r="AL914" s="21" t="s">
        <v>640</v>
      </c>
      <c r="AM914" s="21" t="s">
        <v>640</v>
      </c>
      <c r="AN914" s="21" t="s">
        <v>177</v>
      </c>
      <c r="AW914" s="21" t="s">
        <v>119</v>
      </c>
      <c r="AX914" s="21">
        <v>4</v>
      </c>
      <c r="AZ914" s="21" t="s">
        <v>335</v>
      </c>
      <c r="BP914" s="396"/>
      <c r="BQ914" s="396"/>
      <c r="BU914" s="396">
        <v>1.53</v>
      </c>
      <c r="BV914" s="396">
        <v>1.7399999999999998</v>
      </c>
      <c r="BY914" s="21" t="s">
        <v>1672</v>
      </c>
      <c r="BZ914" s="396"/>
      <c r="CA914" s="396"/>
      <c r="CD914" s="21" t="s">
        <v>3121</v>
      </c>
      <c r="CE914" s="549">
        <v>1.53</v>
      </c>
      <c r="CF914" s="549">
        <v>1.7399999999999998</v>
      </c>
      <c r="CG914" s="549"/>
      <c r="CH914" s="549"/>
      <c r="CI914" s="21" t="s">
        <v>4544</v>
      </c>
      <c r="CJ914" s="21">
        <v>1500</v>
      </c>
      <c r="CK914" s="21">
        <v>1400</v>
      </c>
      <c r="CN914" s="21" t="s">
        <v>234</v>
      </c>
      <c r="CT914" s="21">
        <f>0.6*390</f>
        <v>234</v>
      </c>
      <c r="CU914" s="21">
        <f>0.73*390</f>
        <v>284.7</v>
      </c>
      <c r="CX914" s="28"/>
      <c r="CY914" s="21">
        <v>5.53</v>
      </c>
      <c r="CZ914" s="21">
        <v>5.5</v>
      </c>
      <c r="DD914" s="21">
        <v>33.97</v>
      </c>
      <c r="DE914" s="21">
        <v>31.45</v>
      </c>
      <c r="DN914" s="21">
        <v>16.079999999999998</v>
      </c>
      <c r="DO914" s="21">
        <v>16.55</v>
      </c>
      <c r="DR914" s="21" t="s">
        <v>641</v>
      </c>
      <c r="JB914" s="28" t="s">
        <v>659</v>
      </c>
      <c r="JC914" s="28" t="s">
        <v>1605</v>
      </c>
    </row>
    <row r="915" spans="1:263" s="28" customFormat="1" x14ac:dyDescent="0.25">
      <c r="A915" s="28">
        <v>44</v>
      </c>
      <c r="B915" s="46" t="s">
        <v>3971</v>
      </c>
      <c r="C915" s="28" t="s">
        <v>624</v>
      </c>
      <c r="D915" s="28" t="s">
        <v>625</v>
      </c>
      <c r="E915" s="28">
        <v>2000</v>
      </c>
      <c r="F915" s="28">
        <v>1996</v>
      </c>
      <c r="G915" s="28" t="s">
        <v>626</v>
      </c>
      <c r="H915" s="28" t="s">
        <v>1606</v>
      </c>
      <c r="I915" s="32" t="s">
        <v>2815</v>
      </c>
      <c r="J915" s="28">
        <v>45.01</v>
      </c>
      <c r="K915" s="28">
        <v>-122.78</v>
      </c>
      <c r="L915" s="28">
        <v>78.5</v>
      </c>
      <c r="P915" s="28">
        <v>1040</v>
      </c>
      <c r="Q915" s="28" t="s">
        <v>133</v>
      </c>
      <c r="R915" s="46" t="s">
        <v>1722</v>
      </c>
      <c r="S915" s="46" t="s">
        <v>1722</v>
      </c>
      <c r="T915" s="46"/>
      <c r="U915" s="46" t="s">
        <v>655</v>
      </c>
      <c r="V915" s="46" t="s">
        <v>1380</v>
      </c>
      <c r="W915" s="46" t="s">
        <v>1716</v>
      </c>
      <c r="X915" s="46" t="s">
        <v>1380</v>
      </c>
      <c r="Y915" s="46" t="s">
        <v>1380</v>
      </c>
      <c r="AA915" s="326">
        <v>7</v>
      </c>
      <c r="AB915" s="326">
        <v>67</v>
      </c>
      <c r="AC915" s="28" t="s">
        <v>547</v>
      </c>
      <c r="AG915" s="28" t="s">
        <v>1286</v>
      </c>
      <c r="AH915" s="28" t="s">
        <v>131</v>
      </c>
      <c r="AI915" s="138" t="s">
        <v>131</v>
      </c>
      <c r="AJ915" s="28" t="s">
        <v>633</v>
      </c>
      <c r="AK915" s="141" t="s">
        <v>1613</v>
      </c>
      <c r="AL915" s="28" t="s">
        <v>636</v>
      </c>
      <c r="AM915" s="28" t="s">
        <v>636</v>
      </c>
      <c r="AN915" s="28" t="s">
        <v>177</v>
      </c>
      <c r="AW915" s="28" t="s">
        <v>119</v>
      </c>
      <c r="AX915" s="28">
        <v>4</v>
      </c>
      <c r="AZ915" s="28" t="s">
        <v>335</v>
      </c>
      <c r="BP915" s="401"/>
      <c r="BQ915" s="401"/>
      <c r="BU915" s="401"/>
      <c r="BV915" s="401"/>
      <c r="BZ915" s="401"/>
      <c r="CA915" s="401"/>
      <c r="CE915" s="554"/>
      <c r="CF915" s="554"/>
      <c r="CG915" s="554"/>
      <c r="CH915" s="554"/>
      <c r="GZ915" s="28">
        <v>102.23</v>
      </c>
      <c r="HA915" s="28">
        <v>102.23</v>
      </c>
      <c r="HD915" s="28" t="s">
        <v>622</v>
      </c>
      <c r="IN915" s="28">
        <v>119.18</v>
      </c>
      <c r="IO915" s="28">
        <v>119.18</v>
      </c>
      <c r="JB915" s="28" t="s">
        <v>659</v>
      </c>
      <c r="JC915" s="28" t="s">
        <v>1605</v>
      </c>
    </row>
    <row r="916" spans="1:263" s="28" customFormat="1" x14ac:dyDescent="0.25">
      <c r="A916" s="28">
        <v>44</v>
      </c>
      <c r="B916" s="46" t="s">
        <v>3971</v>
      </c>
      <c r="C916" s="28" t="s">
        <v>624</v>
      </c>
      <c r="D916" s="28" t="s">
        <v>625</v>
      </c>
      <c r="E916" s="28">
        <v>2000</v>
      </c>
      <c r="F916" s="28">
        <v>1997</v>
      </c>
      <c r="G916" s="28" t="s">
        <v>626</v>
      </c>
      <c r="H916" s="28" t="s">
        <v>1606</v>
      </c>
      <c r="I916" s="32" t="s">
        <v>2815</v>
      </c>
      <c r="J916" s="28">
        <v>45.01</v>
      </c>
      <c r="K916" s="28">
        <v>-122.78</v>
      </c>
      <c r="L916" s="28">
        <v>78.5</v>
      </c>
      <c r="P916" s="28">
        <v>1040</v>
      </c>
      <c r="Q916" s="28" t="s">
        <v>133</v>
      </c>
      <c r="R916" s="46" t="s">
        <v>1843</v>
      </c>
      <c r="S916" s="46" t="s">
        <v>1722</v>
      </c>
      <c r="T916" s="46"/>
      <c r="U916" s="46" t="s">
        <v>656</v>
      </c>
      <c r="V916" s="46" t="s">
        <v>1380</v>
      </c>
      <c r="W916" s="46" t="s">
        <v>1716</v>
      </c>
      <c r="X916" s="46" t="s">
        <v>1380</v>
      </c>
      <c r="Y916" s="46" t="s">
        <v>1380</v>
      </c>
      <c r="AA916" s="326">
        <v>7</v>
      </c>
      <c r="AB916" s="326">
        <v>67</v>
      </c>
      <c r="AC916" s="28" t="s">
        <v>547</v>
      </c>
      <c r="AG916" s="28" t="s">
        <v>1286</v>
      </c>
      <c r="AH916" s="28" t="s">
        <v>131</v>
      </c>
      <c r="AI916" s="138" t="s">
        <v>131</v>
      </c>
      <c r="AJ916" s="28" t="s">
        <v>633</v>
      </c>
      <c r="AK916" s="141" t="s">
        <v>1613</v>
      </c>
      <c r="AL916" s="28" t="s">
        <v>636</v>
      </c>
      <c r="AM916" s="28" t="s">
        <v>636</v>
      </c>
      <c r="AN916" s="28" t="s">
        <v>177</v>
      </c>
      <c r="AW916" s="28" t="s">
        <v>119</v>
      </c>
      <c r="AX916" s="28">
        <v>4</v>
      </c>
      <c r="AZ916" s="28" t="s">
        <v>335</v>
      </c>
      <c r="BP916" s="401"/>
      <c r="BQ916" s="401"/>
      <c r="BU916" s="401"/>
      <c r="BV916" s="401"/>
      <c r="BZ916" s="401"/>
      <c r="CA916" s="401"/>
      <c r="CE916" s="554"/>
      <c r="CF916" s="554"/>
      <c r="CG916" s="554"/>
      <c r="CH916" s="554"/>
      <c r="GZ916" s="28">
        <v>125.4</v>
      </c>
      <c r="HA916" s="28">
        <v>148.54</v>
      </c>
      <c r="HD916" s="28" t="s">
        <v>622</v>
      </c>
      <c r="IN916" s="28">
        <v>177</v>
      </c>
      <c r="IO916" s="28">
        <v>213.62</v>
      </c>
      <c r="JB916" s="28" t="s">
        <v>659</v>
      </c>
      <c r="JC916" s="28" t="s">
        <v>1605</v>
      </c>
    </row>
    <row r="917" spans="1:263" s="28" customFormat="1" x14ac:dyDescent="0.25">
      <c r="A917" s="28">
        <v>44</v>
      </c>
      <c r="B917" s="46" t="s">
        <v>3971</v>
      </c>
      <c r="C917" s="28" t="s">
        <v>624</v>
      </c>
      <c r="D917" s="28" t="s">
        <v>625</v>
      </c>
      <c r="E917" s="28">
        <v>2000</v>
      </c>
      <c r="F917" s="28">
        <v>1997</v>
      </c>
      <c r="G917" s="28" t="s">
        <v>626</v>
      </c>
      <c r="H917" s="28" t="s">
        <v>1606</v>
      </c>
      <c r="I917" s="32" t="s">
        <v>2815</v>
      </c>
      <c r="J917" s="28">
        <v>45.01</v>
      </c>
      <c r="K917" s="28">
        <v>-122.78</v>
      </c>
      <c r="L917" s="28">
        <v>78.5</v>
      </c>
      <c r="P917" s="28">
        <v>1040</v>
      </c>
      <c r="Q917" s="28" t="s">
        <v>133</v>
      </c>
      <c r="R917" s="46" t="s">
        <v>1843</v>
      </c>
      <c r="S917" s="46" t="s">
        <v>1722</v>
      </c>
      <c r="T917" s="46"/>
      <c r="U917" s="46" t="s">
        <v>655</v>
      </c>
      <c r="V917" s="46" t="s">
        <v>1380</v>
      </c>
      <c r="W917" s="46" t="s">
        <v>1716</v>
      </c>
      <c r="X917" s="46" t="s">
        <v>1380</v>
      </c>
      <c r="Y917" s="46" t="s">
        <v>1380</v>
      </c>
      <c r="AA917" s="326">
        <v>7</v>
      </c>
      <c r="AB917" s="326">
        <v>67</v>
      </c>
      <c r="AC917" s="28" t="s">
        <v>547</v>
      </c>
      <c r="AG917" s="28" t="s">
        <v>1286</v>
      </c>
      <c r="AH917" s="28" t="s">
        <v>131</v>
      </c>
      <c r="AI917" s="138" t="s">
        <v>131</v>
      </c>
      <c r="AJ917" s="28" t="s">
        <v>633</v>
      </c>
      <c r="AK917" s="141" t="s">
        <v>1613</v>
      </c>
      <c r="AL917" s="28" t="s">
        <v>636</v>
      </c>
      <c r="AM917" s="28" t="s">
        <v>636</v>
      </c>
      <c r="AN917" s="28" t="s">
        <v>177</v>
      </c>
      <c r="AW917" s="28" t="s">
        <v>119</v>
      </c>
      <c r="AX917" s="28">
        <v>4</v>
      </c>
      <c r="AZ917" s="28" t="s">
        <v>335</v>
      </c>
      <c r="BP917" s="401"/>
      <c r="BQ917" s="401"/>
      <c r="BU917" s="401"/>
      <c r="BV917" s="401"/>
      <c r="BZ917" s="401"/>
      <c r="CA917" s="401"/>
      <c r="CE917" s="554"/>
      <c r="CF917" s="554"/>
      <c r="CG917" s="554"/>
      <c r="CH917" s="554"/>
      <c r="GZ917" s="28">
        <v>125.85</v>
      </c>
      <c r="HA917" s="28">
        <v>129.63</v>
      </c>
      <c r="HD917" s="28" t="s">
        <v>622</v>
      </c>
      <c r="IN917" s="28">
        <v>137.91</v>
      </c>
      <c r="IO917" s="28">
        <v>193.93</v>
      </c>
      <c r="JB917" s="28" t="s">
        <v>659</v>
      </c>
      <c r="JC917" s="28" t="s">
        <v>1605</v>
      </c>
    </row>
    <row r="918" spans="1:263" s="28" customFormat="1" x14ac:dyDescent="0.25">
      <c r="A918" s="28">
        <v>44</v>
      </c>
      <c r="B918" s="46" t="s">
        <v>3971</v>
      </c>
      <c r="C918" s="28" t="s">
        <v>624</v>
      </c>
      <c r="D918" s="28" t="s">
        <v>625</v>
      </c>
      <c r="E918" s="28">
        <v>2000</v>
      </c>
      <c r="F918" s="28">
        <v>1997</v>
      </c>
      <c r="G918" s="28" t="s">
        <v>626</v>
      </c>
      <c r="H918" s="28" t="s">
        <v>1606</v>
      </c>
      <c r="I918" s="32" t="s">
        <v>2815</v>
      </c>
      <c r="J918" s="28">
        <v>45.01</v>
      </c>
      <c r="K918" s="28">
        <v>-122.78</v>
      </c>
      <c r="L918" s="28">
        <v>78.5</v>
      </c>
      <c r="P918" s="28">
        <v>1040</v>
      </c>
      <c r="Q918" s="28" t="s">
        <v>133</v>
      </c>
      <c r="R918" s="46" t="s">
        <v>1843</v>
      </c>
      <c r="S918" s="46" t="s">
        <v>1722</v>
      </c>
      <c r="T918" s="46"/>
      <c r="U918" s="46" t="s">
        <v>657</v>
      </c>
      <c r="V918" s="46" t="s">
        <v>1380</v>
      </c>
      <c r="W918" s="46" t="s">
        <v>1716</v>
      </c>
      <c r="X918" s="46" t="s">
        <v>1380</v>
      </c>
      <c r="Y918" s="46" t="s">
        <v>1380</v>
      </c>
      <c r="AA918" s="326">
        <v>7</v>
      </c>
      <c r="AB918" s="326">
        <v>67</v>
      </c>
      <c r="AC918" s="28" t="s">
        <v>547</v>
      </c>
      <c r="AG918" s="28" t="s">
        <v>1286</v>
      </c>
      <c r="AH918" s="28" t="s">
        <v>131</v>
      </c>
      <c r="AI918" s="138" t="s">
        <v>131</v>
      </c>
      <c r="AJ918" s="28" t="s">
        <v>633</v>
      </c>
      <c r="AK918" s="141" t="s">
        <v>1613</v>
      </c>
      <c r="AL918" s="28" t="s">
        <v>636</v>
      </c>
      <c r="AM918" s="28" t="s">
        <v>636</v>
      </c>
      <c r="AN918" s="28" t="s">
        <v>177</v>
      </c>
      <c r="AW918" s="28" t="s">
        <v>119</v>
      </c>
      <c r="AX918" s="28">
        <v>4</v>
      </c>
      <c r="AZ918" s="28" t="s">
        <v>335</v>
      </c>
      <c r="BP918" s="401"/>
      <c r="BQ918" s="401"/>
      <c r="BU918" s="401"/>
      <c r="BV918" s="401"/>
      <c r="BZ918" s="401"/>
      <c r="CA918" s="401"/>
      <c r="CE918" s="554"/>
      <c r="CF918" s="554"/>
      <c r="CG918" s="554"/>
      <c r="CH918" s="554"/>
      <c r="GZ918" s="28">
        <v>127.98</v>
      </c>
      <c r="HA918" s="28">
        <v>133.03</v>
      </c>
      <c r="HD918" s="28" t="s">
        <v>622</v>
      </c>
      <c r="IN918" s="28">
        <v>182.81</v>
      </c>
      <c r="IO918" s="28">
        <v>225.86</v>
      </c>
      <c r="JB918" s="28" t="s">
        <v>659</v>
      </c>
      <c r="JC918" s="28" t="s">
        <v>1605</v>
      </c>
    </row>
    <row r="919" spans="1:263" s="28" customFormat="1" x14ac:dyDescent="0.25">
      <c r="A919" s="28">
        <v>44</v>
      </c>
      <c r="B919" s="46" t="s">
        <v>3971</v>
      </c>
      <c r="C919" s="28" t="s">
        <v>624</v>
      </c>
      <c r="D919" s="28" t="s">
        <v>625</v>
      </c>
      <c r="E919" s="28">
        <v>2000</v>
      </c>
      <c r="F919" s="28">
        <v>1998</v>
      </c>
      <c r="G919" s="28" t="s">
        <v>626</v>
      </c>
      <c r="H919" s="28" t="s">
        <v>1606</v>
      </c>
      <c r="I919" s="32" t="s">
        <v>2815</v>
      </c>
      <c r="J919" s="28">
        <v>45.01</v>
      </c>
      <c r="K919" s="28">
        <v>-122.78</v>
      </c>
      <c r="L919" s="28">
        <v>78.5</v>
      </c>
      <c r="P919" s="28">
        <v>1040</v>
      </c>
      <c r="Q919" s="28" t="s">
        <v>133</v>
      </c>
      <c r="R919" s="46" t="s">
        <v>1734</v>
      </c>
      <c r="S919" s="46" t="s">
        <v>1722</v>
      </c>
      <c r="T919" s="46"/>
      <c r="U919" s="46" t="s">
        <v>656</v>
      </c>
      <c r="V919" s="46" t="s">
        <v>1380</v>
      </c>
      <c r="W919" s="46" t="s">
        <v>1716</v>
      </c>
      <c r="X919" s="46" t="s">
        <v>1380</v>
      </c>
      <c r="Y919" s="46" t="s">
        <v>1380</v>
      </c>
      <c r="AA919" s="326">
        <v>7</v>
      </c>
      <c r="AB919" s="326">
        <v>67</v>
      </c>
      <c r="AC919" s="28" t="s">
        <v>547</v>
      </c>
      <c r="AG919" s="28" t="s">
        <v>1286</v>
      </c>
      <c r="AH919" s="28" t="s">
        <v>131</v>
      </c>
      <c r="AI919" s="138" t="s">
        <v>131</v>
      </c>
      <c r="AJ919" s="28" t="s">
        <v>633</v>
      </c>
      <c r="AK919" s="141" t="s">
        <v>1613</v>
      </c>
      <c r="AL919" s="28" t="s">
        <v>636</v>
      </c>
      <c r="AM919" s="28" t="s">
        <v>636</v>
      </c>
      <c r="AN919" s="28" t="s">
        <v>177</v>
      </c>
      <c r="AW919" s="28" t="s">
        <v>119</v>
      </c>
      <c r="AX919" s="28">
        <v>4</v>
      </c>
      <c r="AZ919" s="28" t="s">
        <v>335</v>
      </c>
      <c r="BP919" s="401"/>
      <c r="BQ919" s="401"/>
      <c r="BU919" s="401"/>
      <c r="BV919" s="401"/>
      <c r="BZ919" s="401"/>
      <c r="CA919" s="401"/>
      <c r="CE919" s="554"/>
      <c r="CF919" s="554"/>
      <c r="CG919" s="554"/>
      <c r="CH919" s="554"/>
      <c r="GZ919" s="28">
        <v>136.43</v>
      </c>
      <c r="HA919" s="28">
        <v>146.94</v>
      </c>
      <c r="HD919" s="28" t="s">
        <v>622</v>
      </c>
      <c r="IN919" s="28">
        <v>257.87</v>
      </c>
      <c r="IO919" s="28">
        <v>296.64</v>
      </c>
      <c r="JB919" s="28" t="s">
        <v>659</v>
      </c>
      <c r="JC919" s="28" t="s">
        <v>1605</v>
      </c>
    </row>
    <row r="920" spans="1:263" s="28" customFormat="1" x14ac:dyDescent="0.25">
      <c r="A920" s="28">
        <v>44</v>
      </c>
      <c r="B920" s="46" t="s">
        <v>3971</v>
      </c>
      <c r="C920" s="28" t="s">
        <v>624</v>
      </c>
      <c r="D920" s="28" t="s">
        <v>625</v>
      </c>
      <c r="E920" s="28">
        <v>2000</v>
      </c>
      <c r="F920" s="28">
        <v>1998</v>
      </c>
      <c r="G920" s="28" t="s">
        <v>626</v>
      </c>
      <c r="H920" s="28" t="s">
        <v>1606</v>
      </c>
      <c r="I920" s="32" t="s">
        <v>2815</v>
      </c>
      <c r="J920" s="28">
        <v>45.01</v>
      </c>
      <c r="K920" s="28">
        <v>-122.78</v>
      </c>
      <c r="L920" s="28">
        <v>78.5</v>
      </c>
      <c r="P920" s="28">
        <v>1040</v>
      </c>
      <c r="Q920" s="28" t="s">
        <v>133</v>
      </c>
      <c r="R920" s="46" t="s">
        <v>1734</v>
      </c>
      <c r="S920" s="46" t="s">
        <v>1722</v>
      </c>
      <c r="T920" s="46"/>
      <c r="U920" s="46" t="s">
        <v>655</v>
      </c>
      <c r="V920" s="46" t="s">
        <v>1380</v>
      </c>
      <c r="W920" s="46" t="s">
        <v>1716</v>
      </c>
      <c r="X920" s="46" t="s">
        <v>1380</v>
      </c>
      <c r="Y920" s="46" t="s">
        <v>1380</v>
      </c>
      <c r="AA920" s="326">
        <v>7</v>
      </c>
      <c r="AB920" s="326">
        <v>67</v>
      </c>
      <c r="AC920" s="28" t="s">
        <v>547</v>
      </c>
      <c r="AG920" s="28" t="s">
        <v>1286</v>
      </c>
      <c r="AH920" s="28" t="s">
        <v>131</v>
      </c>
      <c r="AI920" s="138" t="s">
        <v>131</v>
      </c>
      <c r="AJ920" s="28" t="s">
        <v>633</v>
      </c>
      <c r="AK920" s="141" t="s">
        <v>1613</v>
      </c>
      <c r="AL920" s="28" t="s">
        <v>636</v>
      </c>
      <c r="AM920" s="28" t="s">
        <v>636</v>
      </c>
      <c r="AN920" s="28" t="s">
        <v>177</v>
      </c>
      <c r="AW920" s="28" t="s">
        <v>119</v>
      </c>
      <c r="AX920" s="28">
        <v>4</v>
      </c>
      <c r="AZ920" s="28" t="s">
        <v>335</v>
      </c>
      <c r="BP920" s="401"/>
      <c r="BQ920" s="401"/>
      <c r="BU920" s="401"/>
      <c r="BV920" s="401"/>
      <c r="BZ920" s="401"/>
      <c r="CA920" s="401"/>
      <c r="CE920" s="554"/>
      <c r="CF920" s="554"/>
      <c r="CG920" s="554"/>
      <c r="CH920" s="554"/>
      <c r="GZ920" s="28">
        <v>81.77</v>
      </c>
      <c r="HA920" s="28">
        <v>105.75</v>
      </c>
      <c r="HD920" s="28" t="s">
        <v>622</v>
      </c>
      <c r="IN920" s="28">
        <v>119.67</v>
      </c>
      <c r="IO920" s="28">
        <v>158.43</v>
      </c>
      <c r="JB920" s="28" t="s">
        <v>659</v>
      </c>
      <c r="JC920" s="28" t="s">
        <v>1605</v>
      </c>
    </row>
    <row r="921" spans="1:263" s="28" customFormat="1" x14ac:dyDescent="0.25">
      <c r="A921" s="28">
        <v>44</v>
      </c>
      <c r="B921" s="46" t="s">
        <v>3971</v>
      </c>
      <c r="C921" s="28" t="s">
        <v>624</v>
      </c>
      <c r="D921" s="28" t="s">
        <v>625</v>
      </c>
      <c r="E921" s="28">
        <v>2000</v>
      </c>
      <c r="F921" s="28">
        <v>1998</v>
      </c>
      <c r="G921" s="28" t="s">
        <v>626</v>
      </c>
      <c r="H921" s="28" t="s">
        <v>1606</v>
      </c>
      <c r="I921" s="32" t="s">
        <v>2815</v>
      </c>
      <c r="J921" s="28">
        <v>45.01</v>
      </c>
      <c r="K921" s="28">
        <v>-122.78</v>
      </c>
      <c r="L921" s="28">
        <v>78.5</v>
      </c>
      <c r="P921" s="28">
        <v>1040</v>
      </c>
      <c r="Q921" s="28" t="s">
        <v>133</v>
      </c>
      <c r="R921" s="46" t="s">
        <v>1734</v>
      </c>
      <c r="S921" s="46" t="s">
        <v>1722</v>
      </c>
      <c r="T921" s="46"/>
      <c r="U921" s="46" t="s">
        <v>657</v>
      </c>
      <c r="V921" s="46" t="s">
        <v>1380</v>
      </c>
      <c r="W921" s="46" t="s">
        <v>1716</v>
      </c>
      <c r="X921" s="46" t="s">
        <v>1380</v>
      </c>
      <c r="Y921" s="46" t="s">
        <v>1380</v>
      </c>
      <c r="AA921" s="326">
        <v>7</v>
      </c>
      <c r="AB921" s="326">
        <v>67</v>
      </c>
      <c r="AC921" s="28" t="s">
        <v>547</v>
      </c>
      <c r="AG921" s="28" t="s">
        <v>1286</v>
      </c>
      <c r="AH921" s="28" t="s">
        <v>131</v>
      </c>
      <c r="AI921" s="138" t="s">
        <v>131</v>
      </c>
      <c r="AJ921" s="28" t="s">
        <v>633</v>
      </c>
      <c r="AK921" s="141" t="s">
        <v>1613</v>
      </c>
      <c r="AL921" s="28" t="s">
        <v>636</v>
      </c>
      <c r="AM921" s="28" t="s">
        <v>636</v>
      </c>
      <c r="AN921" s="28" t="s">
        <v>177</v>
      </c>
      <c r="AW921" s="28" t="s">
        <v>119</v>
      </c>
      <c r="AX921" s="28">
        <v>4</v>
      </c>
      <c r="AZ921" s="28" t="s">
        <v>335</v>
      </c>
      <c r="BP921" s="401"/>
      <c r="BQ921" s="401"/>
      <c r="BU921" s="401"/>
      <c r="BV921" s="401"/>
      <c r="BZ921" s="401"/>
      <c r="CA921" s="401"/>
      <c r="CE921" s="554"/>
      <c r="CF921" s="554"/>
      <c r="CG921" s="554"/>
      <c r="CH921" s="554"/>
      <c r="GZ921" s="28">
        <v>82.63</v>
      </c>
      <c r="HA921" s="28">
        <v>101.57</v>
      </c>
      <c r="HD921" s="28" t="s">
        <v>622</v>
      </c>
      <c r="IN921" s="28">
        <v>125.77</v>
      </c>
      <c r="IO921" s="28">
        <v>173.19</v>
      </c>
      <c r="JB921" s="28" t="s">
        <v>659</v>
      </c>
      <c r="JC921" s="28" t="s">
        <v>1605</v>
      </c>
    </row>
    <row r="922" spans="1:263" s="21" customFormat="1" x14ac:dyDescent="0.25">
      <c r="A922" s="21">
        <v>44</v>
      </c>
      <c r="B922" s="43" t="s">
        <v>3972</v>
      </c>
      <c r="C922" s="21" t="s">
        <v>624</v>
      </c>
      <c r="D922" s="21" t="s">
        <v>625</v>
      </c>
      <c r="E922" s="21">
        <v>2000</v>
      </c>
      <c r="F922" s="21">
        <v>1996</v>
      </c>
      <c r="G922" s="21" t="s">
        <v>626</v>
      </c>
      <c r="H922" s="21" t="s">
        <v>631</v>
      </c>
      <c r="I922" s="32" t="s">
        <v>2815</v>
      </c>
      <c r="J922" s="21">
        <v>45.231000000000002</v>
      </c>
      <c r="K922" s="21">
        <v>-122.756</v>
      </c>
      <c r="L922" s="21">
        <v>48.4</v>
      </c>
      <c r="P922" s="21">
        <v>1040</v>
      </c>
      <c r="Q922" s="21" t="s">
        <v>133</v>
      </c>
      <c r="R922" s="21">
        <v>8</v>
      </c>
      <c r="S922" s="21">
        <v>10</v>
      </c>
      <c r="U922" s="43" t="s">
        <v>1948</v>
      </c>
      <c r="V922" s="43" t="s">
        <v>1380</v>
      </c>
      <c r="W922" s="43" t="s">
        <v>1716</v>
      </c>
      <c r="X922" s="43" t="s">
        <v>1380</v>
      </c>
      <c r="Y922" s="43" t="s">
        <v>1380</v>
      </c>
      <c r="Z922" s="43"/>
      <c r="AA922" s="322">
        <v>28</v>
      </c>
      <c r="AB922" s="322">
        <v>54</v>
      </c>
      <c r="AC922" s="21" t="s">
        <v>450</v>
      </c>
      <c r="AG922" s="21" t="s">
        <v>1286</v>
      </c>
      <c r="AH922" s="21" t="s">
        <v>791</v>
      </c>
      <c r="AI922" s="138" t="s">
        <v>1581</v>
      </c>
      <c r="AJ922" s="21" t="s">
        <v>634</v>
      </c>
      <c r="AK922" s="141" t="s">
        <v>1613</v>
      </c>
      <c r="AL922" s="21" t="s">
        <v>639</v>
      </c>
      <c r="AM922" s="21" t="s">
        <v>639</v>
      </c>
      <c r="AN922" s="21" t="s">
        <v>177</v>
      </c>
      <c r="AW922" s="21" t="s">
        <v>119</v>
      </c>
      <c r="AX922" s="21">
        <v>4</v>
      </c>
      <c r="AZ922" s="21" t="s">
        <v>335</v>
      </c>
      <c r="BP922" s="396"/>
      <c r="BQ922" s="396"/>
      <c r="BU922" s="396"/>
      <c r="BV922" s="396"/>
      <c r="BZ922" s="396"/>
      <c r="CA922" s="396"/>
      <c r="CE922" s="549"/>
      <c r="CF922" s="549"/>
      <c r="CG922" s="549"/>
      <c r="CH922" s="549"/>
      <c r="CX922" s="28"/>
      <c r="GZ922" s="21">
        <v>54.72</v>
      </c>
      <c r="HA922" s="21">
        <v>63.83</v>
      </c>
      <c r="HD922" s="21" t="s">
        <v>622</v>
      </c>
      <c r="IN922" s="21">
        <v>58.24</v>
      </c>
      <c r="IO922" s="21">
        <v>65.680000000000007</v>
      </c>
      <c r="JB922" s="28" t="s">
        <v>659</v>
      </c>
      <c r="JC922" s="28" t="s">
        <v>1605</v>
      </c>
    </row>
    <row r="923" spans="1:263" s="21" customFormat="1" x14ac:dyDescent="0.25">
      <c r="A923" s="21">
        <v>44</v>
      </c>
      <c r="B923" s="43" t="s">
        <v>3972</v>
      </c>
      <c r="C923" s="21" t="s">
        <v>624</v>
      </c>
      <c r="D923" s="21" t="s">
        <v>625</v>
      </c>
      <c r="E923" s="21">
        <v>2000</v>
      </c>
      <c r="F923" s="21">
        <v>1997</v>
      </c>
      <c r="G923" s="21" t="s">
        <v>626</v>
      </c>
      <c r="H923" s="21" t="s">
        <v>631</v>
      </c>
      <c r="I923" s="32" t="s">
        <v>2815</v>
      </c>
      <c r="J923" s="21">
        <v>45.231000000000002</v>
      </c>
      <c r="K923" s="21">
        <v>-122.756</v>
      </c>
      <c r="L923" s="21">
        <v>48.4</v>
      </c>
      <c r="P923" s="21">
        <v>1040</v>
      </c>
      <c r="Q923" s="21" t="s">
        <v>133</v>
      </c>
      <c r="R923" s="21">
        <v>9</v>
      </c>
      <c r="S923" s="21">
        <v>10</v>
      </c>
      <c r="U923" s="43" t="s">
        <v>1949</v>
      </c>
      <c r="V923" s="43" t="s">
        <v>1380</v>
      </c>
      <c r="W923" s="43" t="s">
        <v>1716</v>
      </c>
      <c r="X923" s="43" t="s">
        <v>1380</v>
      </c>
      <c r="Y923" s="43" t="s">
        <v>1380</v>
      </c>
      <c r="Z923" s="43"/>
      <c r="AA923" s="322">
        <v>28</v>
      </c>
      <c r="AB923" s="322">
        <v>54</v>
      </c>
      <c r="AC923" s="21" t="s">
        <v>450</v>
      </c>
      <c r="AG923" s="21" t="s">
        <v>1286</v>
      </c>
      <c r="AH923" s="21" t="s">
        <v>791</v>
      </c>
      <c r="AI923" s="138" t="s">
        <v>1581</v>
      </c>
      <c r="AJ923" s="21" t="s">
        <v>634</v>
      </c>
      <c r="AK923" s="141" t="s">
        <v>1613</v>
      </c>
      <c r="AL923" s="21" t="s">
        <v>639</v>
      </c>
      <c r="AM923" s="21" t="s">
        <v>639</v>
      </c>
      <c r="AN923" s="21" t="s">
        <v>177</v>
      </c>
      <c r="AW923" s="21" t="s">
        <v>119</v>
      </c>
      <c r="AX923" s="21">
        <v>4</v>
      </c>
      <c r="AZ923" s="21" t="s">
        <v>335</v>
      </c>
      <c r="BP923" s="396"/>
      <c r="BQ923" s="396"/>
      <c r="BU923" s="396"/>
      <c r="BV923" s="396"/>
      <c r="BZ923" s="396"/>
      <c r="CA923" s="396"/>
      <c r="CE923" s="549"/>
      <c r="CF923" s="549"/>
      <c r="CG923" s="549"/>
      <c r="CH923" s="549"/>
      <c r="CX923" s="28"/>
      <c r="GZ923" s="21">
        <v>103.23</v>
      </c>
      <c r="HA923" s="21">
        <v>85.85</v>
      </c>
      <c r="HD923" s="21" t="s">
        <v>622</v>
      </c>
      <c r="IN923" s="21">
        <v>129.22999999999999</v>
      </c>
      <c r="IO923" s="21">
        <v>84.61</v>
      </c>
      <c r="JB923" s="28" t="s">
        <v>659</v>
      </c>
      <c r="JC923" s="28" t="s">
        <v>1605</v>
      </c>
    </row>
    <row r="924" spans="1:263" s="21" customFormat="1" x14ac:dyDescent="0.25">
      <c r="A924" s="21">
        <v>44</v>
      </c>
      <c r="B924" s="43" t="s">
        <v>3972</v>
      </c>
      <c r="C924" s="21" t="s">
        <v>624</v>
      </c>
      <c r="D924" s="21" t="s">
        <v>625</v>
      </c>
      <c r="E924" s="21">
        <v>2000</v>
      </c>
      <c r="F924" s="21">
        <v>1997</v>
      </c>
      <c r="G924" s="21" t="s">
        <v>626</v>
      </c>
      <c r="H924" s="21" t="s">
        <v>631</v>
      </c>
      <c r="I924" s="32" t="s">
        <v>2815</v>
      </c>
      <c r="J924" s="21">
        <v>45.231000000000002</v>
      </c>
      <c r="K924" s="21">
        <v>-122.756</v>
      </c>
      <c r="L924" s="21">
        <v>48.4</v>
      </c>
      <c r="P924" s="21">
        <v>1040</v>
      </c>
      <c r="Q924" s="21" t="s">
        <v>133</v>
      </c>
      <c r="R924" s="21">
        <v>9</v>
      </c>
      <c r="S924" s="21">
        <v>10</v>
      </c>
      <c r="U924" s="43" t="s">
        <v>1950</v>
      </c>
      <c r="V924" s="43" t="s">
        <v>1380</v>
      </c>
      <c r="W924" s="43" t="s">
        <v>1716</v>
      </c>
      <c r="X924" s="43" t="s">
        <v>1380</v>
      </c>
      <c r="Y924" s="43" t="s">
        <v>1380</v>
      </c>
      <c r="Z924" s="43"/>
      <c r="AA924" s="322">
        <v>28</v>
      </c>
      <c r="AB924" s="322">
        <v>54</v>
      </c>
      <c r="AC924" s="21" t="s">
        <v>450</v>
      </c>
      <c r="AG924" s="21" t="s">
        <v>1286</v>
      </c>
      <c r="AH924" s="21" t="s">
        <v>791</v>
      </c>
      <c r="AI924" s="138" t="s">
        <v>1581</v>
      </c>
      <c r="AJ924" s="21" t="s">
        <v>634</v>
      </c>
      <c r="AK924" s="141" t="s">
        <v>1613</v>
      </c>
      <c r="AL924" s="21" t="s">
        <v>639</v>
      </c>
      <c r="AM924" s="21" t="s">
        <v>639</v>
      </c>
      <c r="AN924" s="21" t="s">
        <v>177</v>
      </c>
      <c r="AW924" s="21" t="s">
        <v>119</v>
      </c>
      <c r="AX924" s="21">
        <v>4</v>
      </c>
      <c r="AZ924" s="21" t="s">
        <v>335</v>
      </c>
      <c r="BP924" s="396"/>
      <c r="BQ924" s="396"/>
      <c r="BU924" s="396"/>
      <c r="BV924" s="396"/>
      <c r="BZ924" s="396"/>
      <c r="CA924" s="396"/>
      <c r="CE924" s="549"/>
      <c r="CF924" s="549"/>
      <c r="CG924" s="549"/>
      <c r="CH924" s="549"/>
      <c r="CX924" s="28"/>
      <c r="GZ924" s="21">
        <v>57.78</v>
      </c>
      <c r="HA924" s="21">
        <v>58.6</v>
      </c>
      <c r="HD924" s="21" t="s">
        <v>622</v>
      </c>
      <c r="IN924" s="21">
        <v>70.59</v>
      </c>
      <c r="IO924" s="21">
        <v>48.29</v>
      </c>
      <c r="JB924" s="28" t="s">
        <v>659</v>
      </c>
      <c r="JC924" s="28" t="s">
        <v>1605</v>
      </c>
    </row>
    <row r="925" spans="1:263" s="21" customFormat="1" x14ac:dyDescent="0.25">
      <c r="A925" s="21">
        <v>44</v>
      </c>
      <c r="B925" s="43" t="s">
        <v>3972</v>
      </c>
      <c r="C925" s="21" t="s">
        <v>624</v>
      </c>
      <c r="D925" s="21" t="s">
        <v>625</v>
      </c>
      <c r="E925" s="21">
        <v>2000</v>
      </c>
      <c r="F925" s="21">
        <v>1997</v>
      </c>
      <c r="G925" s="21" t="s">
        <v>626</v>
      </c>
      <c r="H925" s="21" t="s">
        <v>631</v>
      </c>
      <c r="I925" s="32" t="s">
        <v>2815</v>
      </c>
      <c r="J925" s="21">
        <v>45.231000000000002</v>
      </c>
      <c r="K925" s="21">
        <v>-122.756</v>
      </c>
      <c r="L925" s="21">
        <v>48.4</v>
      </c>
      <c r="P925" s="21">
        <v>1040</v>
      </c>
      <c r="Q925" s="21" t="s">
        <v>133</v>
      </c>
      <c r="R925" s="21">
        <v>9</v>
      </c>
      <c r="S925" s="21">
        <v>10</v>
      </c>
      <c r="U925" s="43" t="s">
        <v>1951</v>
      </c>
      <c r="V925" s="43" t="s">
        <v>1380</v>
      </c>
      <c r="W925" s="43" t="s">
        <v>1716</v>
      </c>
      <c r="X925" s="43" t="s">
        <v>1380</v>
      </c>
      <c r="Y925" s="43" t="s">
        <v>1380</v>
      </c>
      <c r="Z925" s="43"/>
      <c r="AA925" s="322">
        <v>28</v>
      </c>
      <c r="AB925" s="322">
        <v>54</v>
      </c>
      <c r="AC925" s="21" t="s">
        <v>450</v>
      </c>
      <c r="AG925" s="21" t="s">
        <v>1286</v>
      </c>
      <c r="AH925" s="21" t="s">
        <v>791</v>
      </c>
      <c r="AI925" s="138" t="s">
        <v>1581</v>
      </c>
      <c r="AJ925" s="21" t="s">
        <v>634</v>
      </c>
      <c r="AK925" s="141" t="s">
        <v>1613</v>
      </c>
      <c r="AL925" s="21" t="s">
        <v>639</v>
      </c>
      <c r="AM925" s="21" t="s">
        <v>639</v>
      </c>
      <c r="AN925" s="21" t="s">
        <v>177</v>
      </c>
      <c r="AW925" s="21" t="s">
        <v>119</v>
      </c>
      <c r="AX925" s="21">
        <v>4</v>
      </c>
      <c r="AZ925" s="21" t="s">
        <v>335</v>
      </c>
      <c r="BP925" s="396"/>
      <c r="BQ925" s="396"/>
      <c r="BU925" s="396"/>
      <c r="BV925" s="396"/>
      <c r="BZ925" s="396"/>
      <c r="CA925" s="396"/>
      <c r="CE925" s="549"/>
      <c r="CF925" s="549"/>
      <c r="CG925" s="549"/>
      <c r="CH925" s="549"/>
      <c r="CX925" s="28"/>
      <c r="GZ925" s="21">
        <v>61.58</v>
      </c>
      <c r="HA925" s="21">
        <v>65.72</v>
      </c>
      <c r="HD925" s="21" t="s">
        <v>622</v>
      </c>
      <c r="IN925" s="21">
        <v>85.28</v>
      </c>
      <c r="IO925" s="21">
        <v>66.150000000000006</v>
      </c>
      <c r="JB925" s="28" t="s">
        <v>659</v>
      </c>
      <c r="JC925" s="28" t="s">
        <v>1605</v>
      </c>
    </row>
    <row r="926" spans="1:263" s="21" customFormat="1" x14ac:dyDescent="0.25">
      <c r="A926" s="21">
        <v>44</v>
      </c>
      <c r="B926" s="43" t="s">
        <v>3972</v>
      </c>
      <c r="C926" s="21" t="s">
        <v>624</v>
      </c>
      <c r="D926" s="21" t="s">
        <v>625</v>
      </c>
      <c r="E926" s="21">
        <v>2000</v>
      </c>
      <c r="F926" s="21">
        <v>1998</v>
      </c>
      <c r="G926" s="21" t="s">
        <v>626</v>
      </c>
      <c r="H926" s="21" t="s">
        <v>631</v>
      </c>
      <c r="I926" s="32" t="s">
        <v>2815</v>
      </c>
      <c r="J926" s="21">
        <v>45.231000000000002</v>
      </c>
      <c r="K926" s="21">
        <v>-122.756</v>
      </c>
      <c r="L926" s="21">
        <v>48.4</v>
      </c>
      <c r="P926" s="21">
        <v>1040</v>
      </c>
      <c r="Q926" s="21" t="s">
        <v>133</v>
      </c>
      <c r="R926" s="21">
        <v>10</v>
      </c>
      <c r="S926" s="21">
        <v>10</v>
      </c>
      <c r="U926" s="43" t="s">
        <v>1949</v>
      </c>
      <c r="V926" s="43" t="s">
        <v>1380</v>
      </c>
      <c r="W926" s="43" t="s">
        <v>1716</v>
      </c>
      <c r="X926" s="43" t="s">
        <v>1380</v>
      </c>
      <c r="Y926" s="43" t="s">
        <v>1380</v>
      </c>
      <c r="Z926" s="43"/>
      <c r="AA926" s="322">
        <v>28</v>
      </c>
      <c r="AB926" s="322">
        <v>54</v>
      </c>
      <c r="AC926" s="21" t="s">
        <v>450</v>
      </c>
      <c r="AG926" s="21" t="s">
        <v>1286</v>
      </c>
      <c r="AH926" s="21" t="s">
        <v>791</v>
      </c>
      <c r="AI926" s="138" t="s">
        <v>1581</v>
      </c>
      <c r="AJ926" s="21" t="s">
        <v>634</v>
      </c>
      <c r="AK926" s="141" t="s">
        <v>1613</v>
      </c>
      <c r="AL926" s="21" t="s">
        <v>639</v>
      </c>
      <c r="AM926" s="21" t="s">
        <v>639</v>
      </c>
      <c r="AN926" s="21" t="s">
        <v>177</v>
      </c>
      <c r="AW926" s="21" t="s">
        <v>119</v>
      </c>
      <c r="AX926" s="21">
        <v>4</v>
      </c>
      <c r="AZ926" s="21" t="s">
        <v>335</v>
      </c>
      <c r="BP926" s="396"/>
      <c r="BQ926" s="396"/>
      <c r="BU926" s="396"/>
      <c r="BV926" s="396"/>
      <c r="BZ926" s="396"/>
      <c r="CA926" s="396"/>
      <c r="CE926" s="549"/>
      <c r="CF926" s="549"/>
      <c r="CG926" s="549"/>
      <c r="CH926" s="549"/>
      <c r="CX926" s="28"/>
      <c r="GZ926" s="21">
        <v>69.11</v>
      </c>
      <c r="HA926" s="21">
        <v>69.11</v>
      </c>
      <c r="HD926" s="21" t="s">
        <v>622</v>
      </c>
      <c r="IN926" s="21">
        <v>102.08</v>
      </c>
      <c r="IO926" s="21">
        <v>64.88</v>
      </c>
      <c r="JB926" s="28" t="s">
        <v>659</v>
      </c>
      <c r="JC926" s="28" t="s">
        <v>1605</v>
      </c>
    </row>
    <row r="927" spans="1:263" s="21" customFormat="1" x14ac:dyDescent="0.25">
      <c r="A927" s="21">
        <v>44</v>
      </c>
      <c r="B927" s="43" t="s">
        <v>3972</v>
      </c>
      <c r="C927" s="21" t="s">
        <v>624</v>
      </c>
      <c r="D927" s="21" t="s">
        <v>625</v>
      </c>
      <c r="E927" s="21">
        <v>2000</v>
      </c>
      <c r="F927" s="21">
        <v>1998</v>
      </c>
      <c r="G927" s="21" t="s">
        <v>626</v>
      </c>
      <c r="H927" s="21" t="s">
        <v>631</v>
      </c>
      <c r="I927" s="32" t="s">
        <v>2815</v>
      </c>
      <c r="J927" s="21">
        <v>45.231000000000002</v>
      </c>
      <c r="K927" s="21">
        <v>-122.756</v>
      </c>
      <c r="L927" s="21">
        <v>48.4</v>
      </c>
      <c r="P927" s="21">
        <v>1040</v>
      </c>
      <c r="Q927" s="21" t="s">
        <v>133</v>
      </c>
      <c r="R927" s="21">
        <v>10</v>
      </c>
      <c r="S927" s="21">
        <v>10</v>
      </c>
      <c r="U927" s="43" t="s">
        <v>1950</v>
      </c>
      <c r="V927" s="43" t="s">
        <v>1380</v>
      </c>
      <c r="W927" s="43" t="s">
        <v>1716</v>
      </c>
      <c r="X927" s="43" t="s">
        <v>1380</v>
      </c>
      <c r="Y927" s="43" t="s">
        <v>1380</v>
      </c>
      <c r="Z927" s="43"/>
      <c r="AA927" s="322">
        <v>28</v>
      </c>
      <c r="AB927" s="322">
        <v>54</v>
      </c>
      <c r="AC927" s="21" t="s">
        <v>450</v>
      </c>
      <c r="AG927" s="21" t="s">
        <v>1286</v>
      </c>
      <c r="AH927" s="21" t="s">
        <v>791</v>
      </c>
      <c r="AI927" s="138" t="s">
        <v>1581</v>
      </c>
      <c r="AJ927" s="21" t="s">
        <v>634</v>
      </c>
      <c r="AK927" s="141" t="s">
        <v>1613</v>
      </c>
      <c r="AL927" s="21" t="s">
        <v>639</v>
      </c>
      <c r="AM927" s="21" t="s">
        <v>639</v>
      </c>
      <c r="AN927" s="21" t="s">
        <v>177</v>
      </c>
      <c r="AW927" s="21" t="s">
        <v>119</v>
      </c>
      <c r="AX927" s="21">
        <v>4</v>
      </c>
      <c r="AZ927" s="21" t="s">
        <v>335</v>
      </c>
      <c r="BP927" s="396"/>
      <c r="BQ927" s="396"/>
      <c r="BU927" s="396"/>
      <c r="BV927" s="396"/>
      <c r="BZ927" s="396"/>
      <c r="CA927" s="396"/>
      <c r="CE927" s="549"/>
      <c r="CF927" s="549"/>
      <c r="CG927" s="549"/>
      <c r="CH927" s="549"/>
      <c r="CX927" s="28"/>
      <c r="GZ927" s="21">
        <v>64.63</v>
      </c>
      <c r="HA927" s="21">
        <v>64.63</v>
      </c>
      <c r="HD927" s="21" t="s">
        <v>622</v>
      </c>
      <c r="IN927" s="21">
        <v>76.38</v>
      </c>
      <c r="IO927" s="21">
        <v>76.38</v>
      </c>
      <c r="JB927" s="28" t="s">
        <v>659</v>
      </c>
      <c r="JC927" s="28" t="s">
        <v>1605</v>
      </c>
    </row>
    <row r="928" spans="1:263" s="21" customFormat="1" x14ac:dyDescent="0.25">
      <c r="A928" s="21">
        <v>44</v>
      </c>
      <c r="B928" s="43" t="s">
        <v>3972</v>
      </c>
      <c r="C928" s="21" t="s">
        <v>624</v>
      </c>
      <c r="D928" s="21" t="s">
        <v>625</v>
      </c>
      <c r="E928" s="21">
        <v>2000</v>
      </c>
      <c r="F928" s="21">
        <v>1998</v>
      </c>
      <c r="G928" s="21" t="s">
        <v>626</v>
      </c>
      <c r="H928" s="21" t="s">
        <v>631</v>
      </c>
      <c r="I928" s="32" t="s">
        <v>2815</v>
      </c>
      <c r="J928" s="21">
        <v>45.231000000000002</v>
      </c>
      <c r="K928" s="21">
        <v>-122.756</v>
      </c>
      <c r="L928" s="21">
        <v>48.4</v>
      </c>
      <c r="P928" s="21">
        <v>1040</v>
      </c>
      <c r="Q928" s="21" t="s">
        <v>133</v>
      </c>
      <c r="R928" s="21">
        <v>10</v>
      </c>
      <c r="S928" s="21">
        <v>10</v>
      </c>
      <c r="U928" s="43" t="s">
        <v>1951</v>
      </c>
      <c r="V928" s="43" t="s">
        <v>1380</v>
      </c>
      <c r="W928" s="43" t="s">
        <v>1716</v>
      </c>
      <c r="X928" s="43" t="s">
        <v>1380</v>
      </c>
      <c r="Y928" s="43" t="s">
        <v>1380</v>
      </c>
      <c r="Z928" s="43"/>
      <c r="AA928" s="322">
        <v>28</v>
      </c>
      <c r="AB928" s="322">
        <v>54</v>
      </c>
      <c r="AC928" s="21" t="s">
        <v>450</v>
      </c>
      <c r="AG928" s="21" t="s">
        <v>1286</v>
      </c>
      <c r="AH928" s="21" t="s">
        <v>791</v>
      </c>
      <c r="AI928" s="138" t="s">
        <v>1581</v>
      </c>
      <c r="AJ928" s="21" t="s">
        <v>634</v>
      </c>
      <c r="AK928" s="141" t="s">
        <v>1613</v>
      </c>
      <c r="AL928" s="21" t="s">
        <v>639</v>
      </c>
      <c r="AM928" s="21" t="s">
        <v>639</v>
      </c>
      <c r="AN928" s="21" t="s">
        <v>177</v>
      </c>
      <c r="AW928" s="21" t="s">
        <v>119</v>
      </c>
      <c r="AX928" s="21">
        <v>4</v>
      </c>
      <c r="AZ928" s="21" t="s">
        <v>335</v>
      </c>
      <c r="BP928" s="396"/>
      <c r="BQ928" s="396"/>
      <c r="BU928" s="396"/>
      <c r="BV928" s="396"/>
      <c r="BZ928" s="396"/>
      <c r="CA928" s="396"/>
      <c r="CE928" s="549"/>
      <c r="CF928" s="549"/>
      <c r="CG928" s="549"/>
      <c r="CH928" s="549"/>
      <c r="CX928" s="28"/>
      <c r="GZ928" s="21">
        <v>63.47</v>
      </c>
      <c r="HA928" s="21">
        <v>65.540000000000006</v>
      </c>
      <c r="HD928" s="21" t="s">
        <v>622</v>
      </c>
      <c r="IN928" s="21">
        <v>71.930000000000007</v>
      </c>
      <c r="IO928" s="21">
        <v>48.55</v>
      </c>
      <c r="JB928" s="28" t="s">
        <v>659</v>
      </c>
      <c r="JC928" s="28" t="s">
        <v>1605</v>
      </c>
    </row>
    <row r="929" spans="1:263" s="33" customFormat="1" x14ac:dyDescent="0.25">
      <c r="A929" s="33">
        <v>44</v>
      </c>
      <c r="B929" s="47" t="s">
        <v>3973</v>
      </c>
      <c r="C929" s="33" t="s">
        <v>624</v>
      </c>
      <c r="D929" s="33" t="s">
        <v>625</v>
      </c>
      <c r="E929" s="33">
        <v>2000</v>
      </c>
      <c r="F929" s="33">
        <v>1996</v>
      </c>
      <c r="G929" s="33" t="s">
        <v>626</v>
      </c>
      <c r="H929" s="33" t="s">
        <v>631</v>
      </c>
      <c r="I929" s="32" t="s">
        <v>2815</v>
      </c>
      <c r="J929" s="33">
        <v>45.231000000000002</v>
      </c>
      <c r="K929" s="33">
        <v>-122.756</v>
      </c>
      <c r="L929" s="33">
        <v>48.4</v>
      </c>
      <c r="P929" s="33">
        <v>1040</v>
      </c>
      <c r="Q929" s="33" t="s">
        <v>133</v>
      </c>
      <c r="R929" s="33">
        <v>8</v>
      </c>
      <c r="S929" s="33">
        <v>10</v>
      </c>
      <c r="U929" s="46" t="s">
        <v>1950</v>
      </c>
      <c r="V929" s="47" t="s">
        <v>1380</v>
      </c>
      <c r="W929" s="47" t="s">
        <v>1716</v>
      </c>
      <c r="X929" s="47" t="s">
        <v>1380</v>
      </c>
      <c r="Y929" s="47" t="s">
        <v>1380</v>
      </c>
      <c r="Z929" s="47"/>
      <c r="AA929" s="327">
        <v>28</v>
      </c>
      <c r="AB929" s="327">
        <v>54</v>
      </c>
      <c r="AC929" s="33" t="s">
        <v>450</v>
      </c>
      <c r="AG929" s="33" t="s">
        <v>1286</v>
      </c>
      <c r="AH929" s="33" t="s">
        <v>1575</v>
      </c>
      <c r="AI929" s="138" t="s">
        <v>1582</v>
      </c>
      <c r="AJ929" s="33" t="s">
        <v>634</v>
      </c>
      <c r="AK929" s="141" t="s">
        <v>1613</v>
      </c>
      <c r="AL929" s="33" t="s">
        <v>639</v>
      </c>
      <c r="AM929" s="33" t="s">
        <v>639</v>
      </c>
      <c r="AN929" s="33" t="s">
        <v>177</v>
      </c>
      <c r="AW929" s="33" t="s">
        <v>119</v>
      </c>
      <c r="AX929" s="33">
        <v>4</v>
      </c>
      <c r="AZ929" s="33" t="s">
        <v>335</v>
      </c>
      <c r="BP929" s="402"/>
      <c r="BQ929" s="402"/>
      <c r="BU929" s="402"/>
      <c r="BV929" s="402"/>
      <c r="BZ929" s="402"/>
      <c r="CA929" s="402"/>
      <c r="CE929" s="555"/>
      <c r="CF929" s="555"/>
      <c r="CG929" s="555"/>
      <c r="CH929" s="555"/>
      <c r="GZ929" s="33">
        <v>54.72</v>
      </c>
      <c r="HA929" s="33">
        <v>61.34</v>
      </c>
      <c r="HD929" s="33" t="s">
        <v>622</v>
      </c>
      <c r="IN929" s="33">
        <v>58.24</v>
      </c>
      <c r="IO929" s="33">
        <v>65.680000000000007</v>
      </c>
      <c r="JB929" s="28" t="s">
        <v>659</v>
      </c>
      <c r="JC929" s="28" t="s">
        <v>1605</v>
      </c>
    </row>
    <row r="930" spans="1:263" s="33" customFormat="1" x14ac:dyDescent="0.25">
      <c r="A930" s="33">
        <v>44</v>
      </c>
      <c r="B930" s="47" t="s">
        <v>3973</v>
      </c>
      <c r="C930" s="33" t="s">
        <v>624</v>
      </c>
      <c r="D930" s="33" t="s">
        <v>625</v>
      </c>
      <c r="E930" s="33">
        <v>2000</v>
      </c>
      <c r="F930" s="33">
        <v>1997</v>
      </c>
      <c r="G930" s="33" t="s">
        <v>626</v>
      </c>
      <c r="H930" s="33" t="s">
        <v>631</v>
      </c>
      <c r="I930" s="32" t="s">
        <v>2815</v>
      </c>
      <c r="J930" s="33">
        <v>45.231000000000002</v>
      </c>
      <c r="K930" s="33">
        <v>-122.756</v>
      </c>
      <c r="L930" s="33">
        <v>48.4</v>
      </c>
      <c r="P930" s="33">
        <v>1040</v>
      </c>
      <c r="Q930" s="33" t="s">
        <v>133</v>
      </c>
      <c r="R930" s="33">
        <v>9</v>
      </c>
      <c r="S930" s="33">
        <v>10</v>
      </c>
      <c r="U930" s="46" t="s">
        <v>1949</v>
      </c>
      <c r="V930" s="47" t="s">
        <v>1380</v>
      </c>
      <c r="W930" s="47" t="s">
        <v>1716</v>
      </c>
      <c r="X930" s="47" t="s">
        <v>1380</v>
      </c>
      <c r="Y930" s="47" t="s">
        <v>1380</v>
      </c>
      <c r="Z930" s="47"/>
      <c r="AA930" s="327">
        <v>28</v>
      </c>
      <c r="AB930" s="327">
        <v>54</v>
      </c>
      <c r="AC930" s="33" t="s">
        <v>450</v>
      </c>
      <c r="AG930" s="33" t="s">
        <v>1286</v>
      </c>
      <c r="AH930" s="33" t="s">
        <v>1575</v>
      </c>
      <c r="AI930" s="138" t="s">
        <v>1582</v>
      </c>
      <c r="AJ930" s="33" t="s">
        <v>634</v>
      </c>
      <c r="AK930" s="141" t="s">
        <v>1613</v>
      </c>
      <c r="AL930" s="33" t="s">
        <v>639</v>
      </c>
      <c r="AM930" s="33" t="s">
        <v>639</v>
      </c>
      <c r="AN930" s="33" t="s">
        <v>177</v>
      </c>
      <c r="AW930" s="33" t="s">
        <v>119</v>
      </c>
      <c r="AX930" s="33">
        <v>4</v>
      </c>
      <c r="AZ930" s="33" t="s">
        <v>335</v>
      </c>
      <c r="BP930" s="402"/>
      <c r="BQ930" s="402"/>
      <c r="BU930" s="402"/>
      <c r="BV930" s="402"/>
      <c r="BZ930" s="402"/>
      <c r="CA930" s="402"/>
      <c r="CE930" s="555"/>
      <c r="CF930" s="555"/>
      <c r="CG930" s="555"/>
      <c r="CH930" s="555"/>
      <c r="GZ930" s="33">
        <v>103.23</v>
      </c>
      <c r="HA930" s="33">
        <v>80.47</v>
      </c>
      <c r="HD930" s="33" t="s">
        <v>622</v>
      </c>
      <c r="IN930" s="33">
        <v>129.22999999999999</v>
      </c>
      <c r="IO930" s="33">
        <v>134.54</v>
      </c>
      <c r="JB930" s="28" t="s">
        <v>659</v>
      </c>
      <c r="JC930" s="28" t="s">
        <v>1605</v>
      </c>
    </row>
    <row r="931" spans="1:263" s="33" customFormat="1" x14ac:dyDescent="0.25">
      <c r="A931" s="33">
        <v>44</v>
      </c>
      <c r="B931" s="47" t="s">
        <v>3973</v>
      </c>
      <c r="C931" s="33" t="s">
        <v>624</v>
      </c>
      <c r="D931" s="33" t="s">
        <v>625</v>
      </c>
      <c r="E931" s="33">
        <v>2000</v>
      </c>
      <c r="F931" s="33">
        <v>1997</v>
      </c>
      <c r="G931" s="33" t="s">
        <v>626</v>
      </c>
      <c r="H931" s="33" t="s">
        <v>631</v>
      </c>
      <c r="I931" s="32" t="s">
        <v>2815</v>
      </c>
      <c r="J931" s="33">
        <v>45.231000000000002</v>
      </c>
      <c r="K931" s="33">
        <v>-122.756</v>
      </c>
      <c r="L931" s="33">
        <v>48.4</v>
      </c>
      <c r="P931" s="33">
        <v>1040</v>
      </c>
      <c r="Q931" s="33" t="s">
        <v>133</v>
      </c>
      <c r="R931" s="33">
        <v>9</v>
      </c>
      <c r="S931" s="33">
        <v>10</v>
      </c>
      <c r="U931" s="46" t="s">
        <v>1950</v>
      </c>
      <c r="V931" s="47" t="s">
        <v>1380</v>
      </c>
      <c r="W931" s="47" t="s">
        <v>1716</v>
      </c>
      <c r="X931" s="47" t="s">
        <v>1380</v>
      </c>
      <c r="Y931" s="47" t="s">
        <v>1380</v>
      </c>
      <c r="Z931" s="47"/>
      <c r="AA931" s="327">
        <v>28</v>
      </c>
      <c r="AB931" s="327">
        <v>54</v>
      </c>
      <c r="AC931" s="33" t="s">
        <v>450</v>
      </c>
      <c r="AG931" s="33" t="s">
        <v>1286</v>
      </c>
      <c r="AH931" s="33" t="s">
        <v>1575</v>
      </c>
      <c r="AI931" s="138" t="s">
        <v>1582</v>
      </c>
      <c r="AJ931" s="33" t="s">
        <v>634</v>
      </c>
      <c r="AK931" s="141" t="s">
        <v>1613</v>
      </c>
      <c r="AL931" s="33" t="s">
        <v>639</v>
      </c>
      <c r="AM931" s="33" t="s">
        <v>639</v>
      </c>
      <c r="AN931" s="33" t="s">
        <v>177</v>
      </c>
      <c r="AW931" s="33" t="s">
        <v>119</v>
      </c>
      <c r="AX931" s="33">
        <v>4</v>
      </c>
      <c r="AZ931" s="33" t="s">
        <v>335</v>
      </c>
      <c r="BP931" s="402"/>
      <c r="BQ931" s="402"/>
      <c r="BU931" s="402"/>
      <c r="BV931" s="402"/>
      <c r="BZ931" s="402"/>
      <c r="CA931" s="402"/>
      <c r="CE931" s="555"/>
      <c r="CF931" s="555"/>
      <c r="CG931" s="555"/>
      <c r="CH931" s="555"/>
      <c r="GZ931" s="33">
        <v>57.78</v>
      </c>
      <c r="HA931" s="33">
        <v>66.88</v>
      </c>
      <c r="HD931" s="33" t="s">
        <v>622</v>
      </c>
      <c r="IN931" s="33">
        <v>70.59</v>
      </c>
      <c r="IO931" s="33">
        <v>81.22</v>
      </c>
      <c r="JB931" s="28" t="s">
        <v>659</v>
      </c>
      <c r="JC931" s="28" t="s">
        <v>1605</v>
      </c>
    </row>
    <row r="932" spans="1:263" s="33" customFormat="1" x14ac:dyDescent="0.25">
      <c r="A932" s="33">
        <v>44</v>
      </c>
      <c r="B932" s="47" t="s">
        <v>3973</v>
      </c>
      <c r="C932" s="33" t="s">
        <v>624</v>
      </c>
      <c r="D932" s="33" t="s">
        <v>625</v>
      </c>
      <c r="E932" s="33">
        <v>2000</v>
      </c>
      <c r="F932" s="33">
        <v>1997</v>
      </c>
      <c r="G932" s="33" t="s">
        <v>626</v>
      </c>
      <c r="H932" s="33" t="s">
        <v>631</v>
      </c>
      <c r="I932" s="32" t="s">
        <v>2815</v>
      </c>
      <c r="J932" s="33">
        <v>45.231000000000002</v>
      </c>
      <c r="K932" s="33">
        <v>-122.756</v>
      </c>
      <c r="L932" s="33">
        <v>48.4</v>
      </c>
      <c r="P932" s="33">
        <v>1040</v>
      </c>
      <c r="Q932" s="33" t="s">
        <v>133</v>
      </c>
      <c r="R932" s="33">
        <v>9</v>
      </c>
      <c r="S932" s="33">
        <v>10</v>
      </c>
      <c r="U932" s="46" t="s">
        <v>1951</v>
      </c>
      <c r="V932" s="47" t="s">
        <v>1380</v>
      </c>
      <c r="W932" s="47" t="s">
        <v>1716</v>
      </c>
      <c r="X932" s="47" t="s">
        <v>1380</v>
      </c>
      <c r="Y932" s="47" t="s">
        <v>1380</v>
      </c>
      <c r="Z932" s="47"/>
      <c r="AA932" s="327">
        <v>28</v>
      </c>
      <c r="AB932" s="327">
        <v>54</v>
      </c>
      <c r="AC932" s="33" t="s">
        <v>450</v>
      </c>
      <c r="AG932" s="33" t="s">
        <v>1286</v>
      </c>
      <c r="AH932" s="33" t="s">
        <v>1575</v>
      </c>
      <c r="AI932" s="138" t="s">
        <v>1582</v>
      </c>
      <c r="AJ932" s="33" t="s">
        <v>634</v>
      </c>
      <c r="AK932" s="141" t="s">
        <v>1613</v>
      </c>
      <c r="AL932" s="33" t="s">
        <v>639</v>
      </c>
      <c r="AM932" s="33" t="s">
        <v>639</v>
      </c>
      <c r="AN932" s="33" t="s">
        <v>177</v>
      </c>
      <c r="AW932" s="33" t="s">
        <v>119</v>
      </c>
      <c r="AX932" s="33">
        <v>4</v>
      </c>
      <c r="AZ932" s="33" t="s">
        <v>335</v>
      </c>
      <c r="BP932" s="402"/>
      <c r="BQ932" s="402"/>
      <c r="BU932" s="402"/>
      <c r="BV932" s="402"/>
      <c r="BZ932" s="402"/>
      <c r="CA932" s="402"/>
      <c r="CE932" s="555"/>
      <c r="CF932" s="555"/>
      <c r="CG932" s="555"/>
      <c r="CH932" s="555"/>
      <c r="GZ932" s="33">
        <v>61.58</v>
      </c>
      <c r="HA932" s="33">
        <v>83.11</v>
      </c>
      <c r="HD932" s="33" t="s">
        <v>622</v>
      </c>
      <c r="IN932" s="33">
        <v>85.28</v>
      </c>
      <c r="IO932" s="33">
        <v>111.84</v>
      </c>
      <c r="JB932" s="28" t="s">
        <v>659</v>
      </c>
      <c r="JC932" s="28" t="s">
        <v>1605</v>
      </c>
    </row>
    <row r="933" spans="1:263" s="33" customFormat="1" x14ac:dyDescent="0.25">
      <c r="A933" s="33">
        <v>44</v>
      </c>
      <c r="B933" s="47" t="s">
        <v>3973</v>
      </c>
      <c r="C933" s="33" t="s">
        <v>624</v>
      </c>
      <c r="D933" s="33" t="s">
        <v>625</v>
      </c>
      <c r="E933" s="33">
        <v>2000</v>
      </c>
      <c r="F933" s="33">
        <v>1998</v>
      </c>
      <c r="G933" s="33" t="s">
        <v>626</v>
      </c>
      <c r="H933" s="33" t="s">
        <v>631</v>
      </c>
      <c r="I933" s="32" t="s">
        <v>2815</v>
      </c>
      <c r="J933" s="33">
        <v>45.231000000000002</v>
      </c>
      <c r="K933" s="33">
        <v>-122.756</v>
      </c>
      <c r="L933" s="33">
        <v>48.4</v>
      </c>
      <c r="P933" s="33">
        <v>1040</v>
      </c>
      <c r="Q933" s="33" t="s">
        <v>133</v>
      </c>
      <c r="R933" s="33">
        <v>10</v>
      </c>
      <c r="S933" s="33">
        <v>10</v>
      </c>
      <c r="U933" s="46" t="s">
        <v>1949</v>
      </c>
      <c r="V933" s="47" t="s">
        <v>1380</v>
      </c>
      <c r="W933" s="47" t="s">
        <v>1716</v>
      </c>
      <c r="X933" s="47" t="s">
        <v>1380</v>
      </c>
      <c r="Y933" s="47" t="s">
        <v>1380</v>
      </c>
      <c r="Z933" s="47"/>
      <c r="AA933" s="327">
        <v>28</v>
      </c>
      <c r="AB933" s="327">
        <v>54</v>
      </c>
      <c r="AC933" s="33" t="s">
        <v>450</v>
      </c>
      <c r="AG933" s="33" t="s">
        <v>1286</v>
      </c>
      <c r="AH933" s="33" t="s">
        <v>1575</v>
      </c>
      <c r="AI933" s="138" t="s">
        <v>1582</v>
      </c>
      <c r="AJ933" s="33" t="s">
        <v>634</v>
      </c>
      <c r="AK933" s="141" t="s">
        <v>1613</v>
      </c>
      <c r="AL933" s="33" t="s">
        <v>639</v>
      </c>
      <c r="AM933" s="33" t="s">
        <v>639</v>
      </c>
      <c r="AN933" s="33" t="s">
        <v>177</v>
      </c>
      <c r="AW933" s="33" t="s">
        <v>119</v>
      </c>
      <c r="AX933" s="33">
        <v>4</v>
      </c>
      <c r="AZ933" s="33" t="s">
        <v>335</v>
      </c>
      <c r="BP933" s="402"/>
      <c r="BQ933" s="402"/>
      <c r="BU933" s="402"/>
      <c r="BV933" s="402"/>
      <c r="BZ933" s="402"/>
      <c r="CA933" s="402"/>
      <c r="CE933" s="555"/>
      <c r="CF933" s="555"/>
      <c r="CG933" s="555"/>
      <c r="CH933" s="555"/>
      <c r="GZ933" s="33">
        <v>69.11</v>
      </c>
      <c r="HA933" s="33">
        <v>98.9</v>
      </c>
      <c r="HD933" s="33" t="s">
        <v>622</v>
      </c>
      <c r="IN933" s="33">
        <v>102.08</v>
      </c>
      <c r="IO933" s="33">
        <v>145.63999999999999</v>
      </c>
      <c r="JB933" s="28" t="s">
        <v>659</v>
      </c>
      <c r="JC933" s="28" t="s">
        <v>1605</v>
      </c>
    </row>
    <row r="934" spans="1:263" s="33" customFormat="1" x14ac:dyDescent="0.25">
      <c r="A934" s="33">
        <v>44</v>
      </c>
      <c r="B934" s="47" t="s">
        <v>3973</v>
      </c>
      <c r="C934" s="33" t="s">
        <v>624</v>
      </c>
      <c r="D934" s="33" t="s">
        <v>625</v>
      </c>
      <c r="E934" s="33">
        <v>2000</v>
      </c>
      <c r="F934" s="33">
        <v>1998</v>
      </c>
      <c r="G934" s="33" t="s">
        <v>626</v>
      </c>
      <c r="H934" s="33" t="s">
        <v>631</v>
      </c>
      <c r="I934" s="32" t="s">
        <v>2815</v>
      </c>
      <c r="J934" s="33">
        <v>45.231000000000002</v>
      </c>
      <c r="K934" s="33">
        <v>-122.756</v>
      </c>
      <c r="L934" s="33">
        <v>48.4</v>
      </c>
      <c r="P934" s="33">
        <v>1040</v>
      </c>
      <c r="Q934" s="33" t="s">
        <v>133</v>
      </c>
      <c r="R934" s="33">
        <v>10</v>
      </c>
      <c r="S934" s="33">
        <v>10</v>
      </c>
      <c r="U934" s="46" t="s">
        <v>1950</v>
      </c>
      <c r="V934" s="47" t="s">
        <v>1380</v>
      </c>
      <c r="W934" s="47" t="s">
        <v>1716</v>
      </c>
      <c r="X934" s="47" t="s">
        <v>1380</v>
      </c>
      <c r="Y934" s="47" t="s">
        <v>1380</v>
      </c>
      <c r="Z934" s="47"/>
      <c r="AA934" s="327">
        <v>28</v>
      </c>
      <c r="AB934" s="327">
        <v>54</v>
      </c>
      <c r="AC934" s="33" t="s">
        <v>450</v>
      </c>
      <c r="AG934" s="33" t="s">
        <v>1286</v>
      </c>
      <c r="AH934" s="33" t="s">
        <v>1575</v>
      </c>
      <c r="AI934" s="138" t="s">
        <v>1582</v>
      </c>
      <c r="AJ934" s="33" t="s">
        <v>634</v>
      </c>
      <c r="AK934" s="141" t="s">
        <v>1613</v>
      </c>
      <c r="AL934" s="33" t="s">
        <v>639</v>
      </c>
      <c r="AM934" s="33" t="s">
        <v>639</v>
      </c>
      <c r="AN934" s="33" t="s">
        <v>177</v>
      </c>
      <c r="AW934" s="33" t="s">
        <v>119</v>
      </c>
      <c r="AX934" s="33">
        <v>4</v>
      </c>
      <c r="AZ934" s="33" t="s">
        <v>335</v>
      </c>
      <c r="BP934" s="402"/>
      <c r="BQ934" s="402"/>
      <c r="BU934" s="402"/>
      <c r="BV934" s="402"/>
      <c r="BZ934" s="402"/>
      <c r="CA934" s="402"/>
      <c r="CE934" s="555"/>
      <c r="CF934" s="555"/>
      <c r="CG934" s="555"/>
      <c r="CH934" s="555"/>
      <c r="GZ934" s="33">
        <v>64.63</v>
      </c>
      <c r="HA934" s="33">
        <v>77.459999999999994</v>
      </c>
      <c r="HD934" s="33" t="s">
        <v>622</v>
      </c>
      <c r="IN934" s="33">
        <v>76.38</v>
      </c>
      <c r="IO934" s="33">
        <v>95.5</v>
      </c>
      <c r="JB934" s="28" t="s">
        <v>659</v>
      </c>
      <c r="JC934" s="28" t="s">
        <v>1605</v>
      </c>
    </row>
    <row r="935" spans="1:263" s="33" customFormat="1" x14ac:dyDescent="0.25">
      <c r="A935" s="33">
        <v>44</v>
      </c>
      <c r="B935" s="47" t="s">
        <v>3973</v>
      </c>
      <c r="C935" s="33" t="s">
        <v>624</v>
      </c>
      <c r="D935" s="33" t="s">
        <v>625</v>
      </c>
      <c r="E935" s="33">
        <v>2000</v>
      </c>
      <c r="F935" s="33">
        <v>1998</v>
      </c>
      <c r="G935" s="33" t="s">
        <v>626</v>
      </c>
      <c r="H935" s="33" t="s">
        <v>631</v>
      </c>
      <c r="I935" s="32" t="s">
        <v>2815</v>
      </c>
      <c r="J935" s="33">
        <v>45.231000000000002</v>
      </c>
      <c r="K935" s="33">
        <v>-122.756</v>
      </c>
      <c r="L935" s="33">
        <v>48.4</v>
      </c>
      <c r="P935" s="33">
        <v>1040</v>
      </c>
      <c r="Q935" s="33" t="s">
        <v>133</v>
      </c>
      <c r="R935" s="33">
        <v>10</v>
      </c>
      <c r="S935" s="33">
        <v>10</v>
      </c>
      <c r="U935" s="46" t="s">
        <v>1951</v>
      </c>
      <c r="V935" s="47" t="s">
        <v>1380</v>
      </c>
      <c r="W935" s="47" t="s">
        <v>1716</v>
      </c>
      <c r="X935" s="47" t="s">
        <v>1380</v>
      </c>
      <c r="Y935" s="47" t="s">
        <v>1380</v>
      </c>
      <c r="Z935" s="47"/>
      <c r="AA935" s="327">
        <v>28</v>
      </c>
      <c r="AB935" s="327">
        <v>54</v>
      </c>
      <c r="AC935" s="33" t="s">
        <v>450</v>
      </c>
      <c r="AG935" s="33" t="s">
        <v>1286</v>
      </c>
      <c r="AH935" s="33" t="s">
        <v>1575</v>
      </c>
      <c r="AI935" s="138" t="s">
        <v>1582</v>
      </c>
      <c r="AJ935" s="33" t="s">
        <v>634</v>
      </c>
      <c r="AK935" s="141" t="s">
        <v>1613</v>
      </c>
      <c r="AL935" s="33" t="s">
        <v>639</v>
      </c>
      <c r="AM935" s="33" t="s">
        <v>639</v>
      </c>
      <c r="AN935" s="33" t="s">
        <v>177</v>
      </c>
      <c r="AW935" s="33" t="s">
        <v>119</v>
      </c>
      <c r="AX935" s="33">
        <v>4</v>
      </c>
      <c r="AZ935" s="33" t="s">
        <v>335</v>
      </c>
      <c r="BP935" s="402"/>
      <c r="BQ935" s="402"/>
      <c r="BU935" s="402"/>
      <c r="BV935" s="402"/>
      <c r="BZ935" s="402"/>
      <c r="CA935" s="402"/>
      <c r="CE935" s="555"/>
      <c r="CF935" s="555"/>
      <c r="CG935" s="555"/>
      <c r="CH935" s="555"/>
      <c r="GZ935" s="33">
        <v>63.47</v>
      </c>
      <c r="HA935" s="33">
        <v>80</v>
      </c>
      <c r="HD935" s="33" t="s">
        <v>622</v>
      </c>
      <c r="IN935" s="33">
        <v>71.930000000000007</v>
      </c>
      <c r="IO935" s="33">
        <v>91.05</v>
      </c>
      <c r="JB935" s="28" t="s">
        <v>659</v>
      </c>
      <c r="JC935" s="28" t="s">
        <v>1605</v>
      </c>
    </row>
    <row r="936" spans="1:263" s="21" customFormat="1" x14ac:dyDescent="0.25">
      <c r="A936" s="21">
        <v>44</v>
      </c>
      <c r="B936" s="43" t="s">
        <v>3974</v>
      </c>
      <c r="C936" s="21" t="s">
        <v>624</v>
      </c>
      <c r="D936" s="21" t="s">
        <v>625</v>
      </c>
      <c r="E936" s="21">
        <v>2000</v>
      </c>
      <c r="F936" s="21">
        <v>1996</v>
      </c>
      <c r="G936" s="21" t="s">
        <v>626</v>
      </c>
      <c r="H936" s="21" t="s">
        <v>632</v>
      </c>
      <c r="I936" s="32" t="s">
        <v>2815</v>
      </c>
      <c r="J936" s="21">
        <v>44.94</v>
      </c>
      <c r="K936" s="21">
        <v>-122.93</v>
      </c>
      <c r="L936" s="21">
        <v>66.5</v>
      </c>
      <c r="P936" s="21">
        <v>1040</v>
      </c>
      <c r="Q936" s="21" t="s">
        <v>133</v>
      </c>
      <c r="R936" s="21">
        <v>4</v>
      </c>
      <c r="S936" s="21">
        <v>6</v>
      </c>
      <c r="U936" s="43" t="s">
        <v>1955</v>
      </c>
      <c r="V936" s="43" t="s">
        <v>1380</v>
      </c>
      <c r="W936" s="43" t="s">
        <v>1716</v>
      </c>
      <c r="X936" s="43" t="s">
        <v>1380</v>
      </c>
      <c r="Y936" s="43" t="s">
        <v>1380</v>
      </c>
      <c r="AA936" s="322">
        <v>22</v>
      </c>
      <c r="AB936" s="322">
        <v>52</v>
      </c>
      <c r="AC936" s="21" t="s">
        <v>450</v>
      </c>
      <c r="AG936" s="21" t="s">
        <v>1286</v>
      </c>
      <c r="AH936" s="21" t="s">
        <v>635</v>
      </c>
      <c r="AI936" s="138" t="s">
        <v>635</v>
      </c>
      <c r="AJ936" s="21" t="s">
        <v>132</v>
      </c>
      <c r="AK936" s="141" t="s">
        <v>1613</v>
      </c>
      <c r="AL936" s="21" t="s">
        <v>640</v>
      </c>
      <c r="AM936" s="21" t="s">
        <v>640</v>
      </c>
      <c r="AN936" s="21" t="s">
        <v>177</v>
      </c>
      <c r="AW936" s="21" t="s">
        <v>119</v>
      </c>
      <c r="AX936" s="21">
        <v>4</v>
      </c>
      <c r="AZ936" s="21" t="s">
        <v>335</v>
      </c>
      <c r="BP936" s="396"/>
      <c r="BQ936" s="396"/>
      <c r="BU936" s="396"/>
      <c r="BV936" s="396"/>
      <c r="BZ936" s="396"/>
      <c r="CA936" s="396"/>
      <c r="CE936" s="549"/>
      <c r="CF936" s="549"/>
      <c r="CG936" s="549"/>
      <c r="CH936" s="549"/>
      <c r="CX936" s="28"/>
      <c r="GZ936" s="21">
        <v>62.61</v>
      </c>
      <c r="HA936" s="21">
        <v>109.32</v>
      </c>
      <c r="HD936" s="21" t="s">
        <v>622</v>
      </c>
      <c r="IN936" s="21">
        <v>71.44</v>
      </c>
      <c r="IO936" s="21">
        <v>113.75</v>
      </c>
      <c r="JB936" s="28" t="s">
        <v>659</v>
      </c>
      <c r="JC936" s="28" t="s">
        <v>1605</v>
      </c>
    </row>
    <row r="937" spans="1:263" s="21" customFormat="1" x14ac:dyDescent="0.25">
      <c r="A937" s="21">
        <v>44</v>
      </c>
      <c r="B937" s="43" t="s">
        <v>3974</v>
      </c>
      <c r="C937" s="21" t="s">
        <v>624</v>
      </c>
      <c r="D937" s="21" t="s">
        <v>625</v>
      </c>
      <c r="E937" s="21">
        <v>2000</v>
      </c>
      <c r="F937" s="21">
        <v>1997</v>
      </c>
      <c r="G937" s="21" t="s">
        <v>626</v>
      </c>
      <c r="H937" s="21" t="s">
        <v>632</v>
      </c>
      <c r="I937" s="32" t="s">
        <v>2815</v>
      </c>
      <c r="J937" s="21">
        <v>44.94</v>
      </c>
      <c r="K937" s="21">
        <v>-122.93</v>
      </c>
      <c r="L937" s="21">
        <v>66.5</v>
      </c>
      <c r="P937" s="21">
        <v>1040</v>
      </c>
      <c r="Q937" s="21" t="s">
        <v>133</v>
      </c>
      <c r="R937" s="21">
        <v>5</v>
      </c>
      <c r="S937" s="21">
        <v>6</v>
      </c>
      <c r="U937" s="43" t="s">
        <v>1956</v>
      </c>
      <c r="V937" s="43" t="s">
        <v>1380</v>
      </c>
      <c r="W937" s="43" t="s">
        <v>1716</v>
      </c>
      <c r="X937" s="43" t="s">
        <v>1380</v>
      </c>
      <c r="Y937" s="43" t="s">
        <v>1380</v>
      </c>
      <c r="AA937" s="322">
        <v>22</v>
      </c>
      <c r="AB937" s="322">
        <v>52</v>
      </c>
      <c r="AC937" s="21" t="s">
        <v>450</v>
      </c>
      <c r="AG937" s="21" t="s">
        <v>1286</v>
      </c>
      <c r="AH937" s="21" t="s">
        <v>635</v>
      </c>
      <c r="AI937" s="138" t="s">
        <v>635</v>
      </c>
      <c r="AJ937" s="21" t="s">
        <v>132</v>
      </c>
      <c r="AK937" s="141" t="s">
        <v>1613</v>
      </c>
      <c r="AL937" s="21" t="s">
        <v>640</v>
      </c>
      <c r="AM937" s="21" t="s">
        <v>640</v>
      </c>
      <c r="AN937" s="21" t="s">
        <v>177</v>
      </c>
      <c r="AW937" s="21" t="s">
        <v>119</v>
      </c>
      <c r="AX937" s="21">
        <v>4</v>
      </c>
      <c r="AZ937" s="21" t="s">
        <v>335</v>
      </c>
      <c r="BP937" s="396"/>
      <c r="BQ937" s="396"/>
      <c r="BU937" s="396"/>
      <c r="BV937" s="396"/>
      <c r="BZ937" s="396"/>
      <c r="CA937" s="396"/>
      <c r="CE937" s="549"/>
      <c r="CF937" s="549"/>
      <c r="CG937" s="549"/>
      <c r="CH937" s="549"/>
      <c r="CX937" s="28"/>
      <c r="GZ937" s="21">
        <v>104.33</v>
      </c>
      <c r="HA937" s="21">
        <v>151.44999999999999</v>
      </c>
      <c r="HD937" s="21" t="s">
        <v>622</v>
      </c>
      <c r="IN937" s="21">
        <v>118.58</v>
      </c>
      <c r="IO937" s="21">
        <v>199.99</v>
      </c>
      <c r="JB937" s="28" t="s">
        <v>659</v>
      </c>
      <c r="JC937" s="28" t="s">
        <v>1605</v>
      </c>
    </row>
    <row r="938" spans="1:263" s="21" customFormat="1" x14ac:dyDescent="0.25">
      <c r="A938" s="21">
        <v>44</v>
      </c>
      <c r="B938" s="43" t="s">
        <v>3974</v>
      </c>
      <c r="C938" s="21" t="s">
        <v>624</v>
      </c>
      <c r="D938" s="21" t="s">
        <v>625</v>
      </c>
      <c r="E938" s="21">
        <v>2000</v>
      </c>
      <c r="F938" s="21">
        <v>1997</v>
      </c>
      <c r="G938" s="21" t="s">
        <v>626</v>
      </c>
      <c r="H938" s="21" t="s">
        <v>632</v>
      </c>
      <c r="I938" s="32" t="s">
        <v>2815</v>
      </c>
      <c r="J938" s="21">
        <v>44.94</v>
      </c>
      <c r="K938" s="21">
        <v>-122.93</v>
      </c>
      <c r="L938" s="21">
        <v>66.5</v>
      </c>
      <c r="P938" s="21">
        <v>1040</v>
      </c>
      <c r="Q938" s="21" t="s">
        <v>133</v>
      </c>
      <c r="R938" s="21">
        <v>5</v>
      </c>
      <c r="S938" s="21">
        <v>6</v>
      </c>
      <c r="U938" s="43" t="s">
        <v>1955</v>
      </c>
      <c r="V938" s="43" t="s">
        <v>1380</v>
      </c>
      <c r="W938" s="43" t="s">
        <v>1716</v>
      </c>
      <c r="X938" s="43" t="s">
        <v>1380</v>
      </c>
      <c r="Y938" s="43" t="s">
        <v>1380</v>
      </c>
      <c r="AA938" s="322">
        <v>22</v>
      </c>
      <c r="AB938" s="322">
        <v>52</v>
      </c>
      <c r="AC938" s="21" t="s">
        <v>450</v>
      </c>
      <c r="AG938" s="21" t="s">
        <v>1286</v>
      </c>
      <c r="AH938" s="21" t="s">
        <v>635</v>
      </c>
      <c r="AI938" s="138" t="s">
        <v>635</v>
      </c>
      <c r="AJ938" s="21" t="s">
        <v>132</v>
      </c>
      <c r="AK938" s="141" t="s">
        <v>1613</v>
      </c>
      <c r="AL938" s="21" t="s">
        <v>640</v>
      </c>
      <c r="AM938" s="21" t="s">
        <v>640</v>
      </c>
      <c r="AN938" s="21" t="s">
        <v>177</v>
      </c>
      <c r="AW938" s="21" t="s">
        <v>119</v>
      </c>
      <c r="AX938" s="21">
        <v>4</v>
      </c>
      <c r="AZ938" s="21" t="s">
        <v>335</v>
      </c>
      <c r="BP938" s="396"/>
      <c r="BQ938" s="396"/>
      <c r="BU938" s="396"/>
      <c r="BV938" s="396"/>
      <c r="BZ938" s="396"/>
      <c r="CA938" s="396"/>
      <c r="CE938" s="549"/>
      <c r="CF938" s="549"/>
      <c r="CG938" s="549"/>
      <c r="CH938" s="549"/>
      <c r="CX938" s="28"/>
      <c r="GZ938" s="21">
        <v>78.44</v>
      </c>
      <c r="HA938" s="21">
        <v>114.91</v>
      </c>
      <c r="HD938" s="21" t="s">
        <v>622</v>
      </c>
      <c r="IN938" s="21">
        <v>125.52</v>
      </c>
      <c r="IO938" s="21">
        <v>163.59</v>
      </c>
      <c r="JB938" s="28" t="s">
        <v>659</v>
      </c>
      <c r="JC938" s="28" t="s">
        <v>1605</v>
      </c>
    </row>
    <row r="939" spans="1:263" s="21" customFormat="1" x14ac:dyDescent="0.25">
      <c r="A939" s="21">
        <v>44</v>
      </c>
      <c r="B939" s="43" t="s">
        <v>3974</v>
      </c>
      <c r="C939" s="21" t="s">
        <v>624</v>
      </c>
      <c r="D939" s="21" t="s">
        <v>625</v>
      </c>
      <c r="E939" s="21">
        <v>2000</v>
      </c>
      <c r="F939" s="21">
        <v>1997</v>
      </c>
      <c r="G939" s="21" t="s">
        <v>626</v>
      </c>
      <c r="H939" s="21" t="s">
        <v>632</v>
      </c>
      <c r="I939" s="32" t="s">
        <v>2815</v>
      </c>
      <c r="J939" s="21">
        <v>44.94</v>
      </c>
      <c r="K939" s="21">
        <v>-122.93</v>
      </c>
      <c r="L939" s="21">
        <v>66.5</v>
      </c>
      <c r="P939" s="21">
        <v>1040</v>
      </c>
      <c r="Q939" s="21" t="s">
        <v>133</v>
      </c>
      <c r="R939" s="21">
        <v>5</v>
      </c>
      <c r="S939" s="21">
        <v>6</v>
      </c>
      <c r="U939" s="43" t="s">
        <v>1957</v>
      </c>
      <c r="V939" s="43" t="s">
        <v>1380</v>
      </c>
      <c r="W939" s="43" t="s">
        <v>1716</v>
      </c>
      <c r="X939" s="43" t="s">
        <v>1380</v>
      </c>
      <c r="Y939" s="43" t="s">
        <v>1380</v>
      </c>
      <c r="AA939" s="322">
        <v>22</v>
      </c>
      <c r="AB939" s="322">
        <v>52</v>
      </c>
      <c r="AC939" s="21" t="s">
        <v>450</v>
      </c>
      <c r="AG939" s="21" t="s">
        <v>1286</v>
      </c>
      <c r="AH939" s="21" t="s">
        <v>635</v>
      </c>
      <c r="AI939" s="138" t="s">
        <v>635</v>
      </c>
      <c r="AJ939" s="21" t="s">
        <v>132</v>
      </c>
      <c r="AK939" s="141" t="s">
        <v>1613</v>
      </c>
      <c r="AL939" s="21" t="s">
        <v>640</v>
      </c>
      <c r="AM939" s="21" t="s">
        <v>640</v>
      </c>
      <c r="AN939" s="21" t="s">
        <v>177</v>
      </c>
      <c r="AW939" s="21" t="s">
        <v>119</v>
      </c>
      <c r="AX939" s="21">
        <v>4</v>
      </c>
      <c r="AZ939" s="21" t="s">
        <v>335</v>
      </c>
      <c r="BP939" s="396"/>
      <c r="BQ939" s="396"/>
      <c r="BU939" s="396"/>
      <c r="BV939" s="396"/>
      <c r="BZ939" s="396"/>
      <c r="CA939" s="396"/>
      <c r="CE939" s="549"/>
      <c r="CF939" s="549"/>
      <c r="CG939" s="549"/>
      <c r="CH939" s="549"/>
      <c r="CX939" s="28"/>
      <c r="GZ939" s="21">
        <v>106.22</v>
      </c>
      <c r="HA939" s="21">
        <v>152.93</v>
      </c>
      <c r="HD939" s="21" t="s">
        <v>622</v>
      </c>
      <c r="IN939" s="21">
        <v>119.78</v>
      </c>
      <c r="IO939" s="21">
        <v>167.37</v>
      </c>
      <c r="JB939" s="28" t="s">
        <v>659</v>
      </c>
      <c r="JC939" s="28" t="s">
        <v>1605</v>
      </c>
    </row>
    <row r="940" spans="1:263" s="21" customFormat="1" x14ac:dyDescent="0.25">
      <c r="A940" s="21">
        <v>44</v>
      </c>
      <c r="B940" s="43" t="s">
        <v>3974</v>
      </c>
      <c r="C940" s="21" t="s">
        <v>624</v>
      </c>
      <c r="D940" s="21" t="s">
        <v>625</v>
      </c>
      <c r="E940" s="21">
        <v>2000</v>
      </c>
      <c r="F940" s="21">
        <v>1998</v>
      </c>
      <c r="G940" s="21" t="s">
        <v>626</v>
      </c>
      <c r="H940" s="21" t="s">
        <v>632</v>
      </c>
      <c r="I940" s="32" t="s">
        <v>2815</v>
      </c>
      <c r="J940" s="21">
        <v>44.94</v>
      </c>
      <c r="K940" s="21">
        <v>-122.93</v>
      </c>
      <c r="L940" s="21">
        <v>66.5</v>
      </c>
      <c r="P940" s="21">
        <v>1040</v>
      </c>
      <c r="Q940" s="21" t="s">
        <v>133</v>
      </c>
      <c r="R940" s="21">
        <v>6</v>
      </c>
      <c r="S940" s="21">
        <v>6</v>
      </c>
      <c r="U940" s="43" t="s">
        <v>1956</v>
      </c>
      <c r="V940" s="43" t="s">
        <v>1380</v>
      </c>
      <c r="W940" s="43" t="s">
        <v>1716</v>
      </c>
      <c r="X940" s="43" t="s">
        <v>1380</v>
      </c>
      <c r="Y940" s="43" t="s">
        <v>1380</v>
      </c>
      <c r="AA940" s="322">
        <v>22</v>
      </c>
      <c r="AB940" s="322">
        <v>52</v>
      </c>
      <c r="AC940" s="21" t="s">
        <v>450</v>
      </c>
      <c r="AG940" s="21" t="s">
        <v>1286</v>
      </c>
      <c r="AH940" s="21" t="s">
        <v>635</v>
      </c>
      <c r="AI940" s="138" t="s">
        <v>635</v>
      </c>
      <c r="AJ940" s="21" t="s">
        <v>132</v>
      </c>
      <c r="AK940" s="141" t="s">
        <v>1613</v>
      </c>
      <c r="AL940" s="21" t="s">
        <v>640</v>
      </c>
      <c r="AM940" s="21" t="s">
        <v>640</v>
      </c>
      <c r="AN940" s="21" t="s">
        <v>177</v>
      </c>
      <c r="AW940" s="21" t="s">
        <v>119</v>
      </c>
      <c r="AX940" s="21">
        <v>4</v>
      </c>
      <c r="AZ940" s="21" t="s">
        <v>335</v>
      </c>
      <c r="BP940" s="396"/>
      <c r="BQ940" s="396"/>
      <c r="BU940" s="396"/>
      <c r="BV940" s="396"/>
      <c r="BZ940" s="396"/>
      <c r="CA940" s="396"/>
      <c r="CE940" s="549"/>
      <c r="CF940" s="549"/>
      <c r="CG940" s="549"/>
      <c r="CH940" s="549"/>
      <c r="CX940" s="28"/>
      <c r="GZ940" s="21">
        <v>117.21</v>
      </c>
      <c r="HA940" s="21">
        <v>170.88</v>
      </c>
      <c r="HD940" s="21" t="s">
        <v>622</v>
      </c>
      <c r="IN940" s="21">
        <v>139.41</v>
      </c>
      <c r="IO940" s="21">
        <v>232.47</v>
      </c>
      <c r="JB940" s="28" t="s">
        <v>659</v>
      </c>
      <c r="JC940" s="28" t="s">
        <v>1605</v>
      </c>
    </row>
    <row r="941" spans="1:263" s="21" customFormat="1" x14ac:dyDescent="0.25">
      <c r="A941" s="21">
        <v>44</v>
      </c>
      <c r="B941" s="43" t="s">
        <v>3974</v>
      </c>
      <c r="C941" s="21" t="s">
        <v>624</v>
      </c>
      <c r="D941" s="21" t="s">
        <v>625</v>
      </c>
      <c r="E941" s="21">
        <v>2000</v>
      </c>
      <c r="F941" s="21">
        <v>1998</v>
      </c>
      <c r="G941" s="21" t="s">
        <v>626</v>
      </c>
      <c r="H941" s="21" t="s">
        <v>632</v>
      </c>
      <c r="I941" s="32" t="s">
        <v>2815</v>
      </c>
      <c r="J941" s="21">
        <v>44.94</v>
      </c>
      <c r="K941" s="21">
        <v>-122.93</v>
      </c>
      <c r="L941" s="21">
        <v>66.5</v>
      </c>
      <c r="P941" s="21">
        <v>1040</v>
      </c>
      <c r="Q941" s="21" t="s">
        <v>133</v>
      </c>
      <c r="R941" s="21">
        <v>6</v>
      </c>
      <c r="S941" s="21">
        <v>6</v>
      </c>
      <c r="U941" s="43" t="s">
        <v>1955</v>
      </c>
      <c r="V941" s="43" t="s">
        <v>1380</v>
      </c>
      <c r="W941" s="43" t="s">
        <v>1716</v>
      </c>
      <c r="X941" s="43" t="s">
        <v>1380</v>
      </c>
      <c r="Y941" s="43" t="s">
        <v>1380</v>
      </c>
      <c r="AA941" s="322">
        <v>22</v>
      </c>
      <c r="AB941" s="322">
        <v>52</v>
      </c>
      <c r="AC941" s="21" t="s">
        <v>450</v>
      </c>
      <c r="AG941" s="21" t="s">
        <v>1286</v>
      </c>
      <c r="AH941" s="21" t="s">
        <v>635</v>
      </c>
      <c r="AI941" s="138" t="s">
        <v>635</v>
      </c>
      <c r="AJ941" s="21" t="s">
        <v>132</v>
      </c>
      <c r="AK941" s="141" t="s">
        <v>1613</v>
      </c>
      <c r="AL941" s="21" t="s">
        <v>640</v>
      </c>
      <c r="AM941" s="21" t="s">
        <v>640</v>
      </c>
      <c r="AN941" s="21" t="s">
        <v>177</v>
      </c>
      <c r="AW941" s="21" t="s">
        <v>119</v>
      </c>
      <c r="AX941" s="21">
        <v>4</v>
      </c>
      <c r="AZ941" s="21" t="s">
        <v>335</v>
      </c>
      <c r="BP941" s="396"/>
      <c r="BQ941" s="396"/>
      <c r="BU941" s="396"/>
      <c r="BV941" s="396"/>
      <c r="BZ941" s="396"/>
      <c r="CA941" s="396"/>
      <c r="CE941" s="549"/>
      <c r="CF941" s="549"/>
      <c r="CG941" s="549"/>
      <c r="CH941" s="549"/>
      <c r="CX941" s="28"/>
      <c r="GZ941" s="21">
        <v>103.61</v>
      </c>
      <c r="HA941" s="21">
        <v>178.6</v>
      </c>
      <c r="HD941" s="21" t="s">
        <v>622</v>
      </c>
      <c r="IN941" s="21">
        <v>278.55</v>
      </c>
      <c r="IO941" s="21">
        <v>383.25</v>
      </c>
      <c r="JB941" s="28" t="s">
        <v>659</v>
      </c>
      <c r="JC941" s="28" t="s">
        <v>1605</v>
      </c>
    </row>
    <row r="942" spans="1:263" s="21" customFormat="1" x14ac:dyDescent="0.25">
      <c r="A942" s="21">
        <v>44</v>
      </c>
      <c r="B942" s="43" t="s">
        <v>3974</v>
      </c>
      <c r="C942" s="21" t="s">
        <v>624</v>
      </c>
      <c r="D942" s="21" t="s">
        <v>625</v>
      </c>
      <c r="E942" s="21">
        <v>2000</v>
      </c>
      <c r="F942" s="21">
        <v>1998</v>
      </c>
      <c r="G942" s="21" t="s">
        <v>626</v>
      </c>
      <c r="H942" s="21" t="s">
        <v>632</v>
      </c>
      <c r="I942" s="32" t="s">
        <v>2815</v>
      </c>
      <c r="J942" s="21">
        <v>44.94</v>
      </c>
      <c r="K942" s="21">
        <v>-122.93</v>
      </c>
      <c r="L942" s="21">
        <v>66.5</v>
      </c>
      <c r="P942" s="21">
        <v>1040</v>
      </c>
      <c r="Q942" s="21" t="s">
        <v>133</v>
      </c>
      <c r="R942" s="21">
        <v>6</v>
      </c>
      <c r="S942" s="21">
        <v>6</v>
      </c>
      <c r="U942" s="43" t="s">
        <v>1957</v>
      </c>
      <c r="V942" s="43" t="s">
        <v>1380</v>
      </c>
      <c r="W942" s="43" t="s">
        <v>1716</v>
      </c>
      <c r="X942" s="43" t="s">
        <v>1380</v>
      </c>
      <c r="Y942" s="43" t="s">
        <v>1380</v>
      </c>
      <c r="AA942" s="322">
        <v>22</v>
      </c>
      <c r="AB942" s="322">
        <v>52</v>
      </c>
      <c r="AC942" s="21" t="s">
        <v>450</v>
      </c>
      <c r="AG942" s="21" t="s">
        <v>1286</v>
      </c>
      <c r="AH942" s="21" t="s">
        <v>635</v>
      </c>
      <c r="AI942" s="138" t="s">
        <v>635</v>
      </c>
      <c r="AJ942" s="21" t="s">
        <v>132</v>
      </c>
      <c r="AK942" s="141" t="s">
        <v>1613</v>
      </c>
      <c r="AL942" s="21" t="s">
        <v>640</v>
      </c>
      <c r="AM942" s="21" t="s">
        <v>640</v>
      </c>
      <c r="AN942" s="21" t="s">
        <v>177</v>
      </c>
      <c r="AW942" s="21" t="s">
        <v>119</v>
      </c>
      <c r="AX942" s="21">
        <v>4</v>
      </c>
      <c r="AZ942" s="21" t="s">
        <v>335</v>
      </c>
      <c r="BP942" s="396"/>
      <c r="BQ942" s="396"/>
      <c r="BU942" s="396"/>
      <c r="BV942" s="396"/>
      <c r="BZ942" s="396"/>
      <c r="CA942" s="396"/>
      <c r="CE942" s="549"/>
      <c r="CF942" s="549"/>
      <c r="CG942" s="549"/>
      <c r="CH942" s="549"/>
      <c r="CX942" s="28"/>
      <c r="GZ942" s="21">
        <v>104.35</v>
      </c>
      <c r="HA942" s="21">
        <v>181.39</v>
      </c>
      <c r="HD942" s="21" t="s">
        <v>622</v>
      </c>
      <c r="IN942" s="21">
        <v>136.37</v>
      </c>
      <c r="IO942" s="21">
        <v>194.53</v>
      </c>
      <c r="JB942" s="28" t="s">
        <v>659</v>
      </c>
      <c r="JC942" s="28" t="s">
        <v>1605</v>
      </c>
    </row>
    <row r="943" spans="1:263" s="24" customFormat="1" x14ac:dyDescent="0.25">
      <c r="A943" s="24">
        <v>45</v>
      </c>
      <c r="B943" s="42" t="s">
        <v>3975</v>
      </c>
      <c r="C943" s="24" t="s">
        <v>660</v>
      </c>
      <c r="D943" s="24" t="s">
        <v>661</v>
      </c>
      <c r="E943" s="24">
        <v>2005</v>
      </c>
      <c r="F943" s="24">
        <v>1994</v>
      </c>
      <c r="G943" s="24" t="s">
        <v>302</v>
      </c>
      <c r="H943" s="24" t="s">
        <v>526</v>
      </c>
      <c r="I943" s="32" t="s">
        <v>2815</v>
      </c>
      <c r="J943" s="24">
        <v>40.19</v>
      </c>
      <c r="K943" s="24">
        <v>-103.17</v>
      </c>
      <c r="L943" s="24">
        <v>1384</v>
      </c>
      <c r="R943" s="42">
        <v>1</v>
      </c>
      <c r="S943" s="42" t="s">
        <v>1843</v>
      </c>
      <c r="T943" s="42"/>
      <c r="U943" s="42" t="s">
        <v>1958</v>
      </c>
      <c r="V943" s="42" t="s">
        <v>1382</v>
      </c>
      <c r="W943" s="42" t="s">
        <v>1717</v>
      </c>
      <c r="X943" s="42" t="s">
        <v>1382</v>
      </c>
      <c r="Y943" s="42" t="s">
        <v>1382</v>
      </c>
      <c r="AA943" s="321"/>
      <c r="AB943" s="321"/>
      <c r="AC943" s="24" t="s">
        <v>450</v>
      </c>
      <c r="AG943" s="24" t="s">
        <v>1338</v>
      </c>
      <c r="AH943" s="24" t="s">
        <v>1537</v>
      </c>
      <c r="AI943" s="138" t="s">
        <v>577</v>
      </c>
      <c r="AJ943" s="24" t="s">
        <v>116</v>
      </c>
      <c r="AK943" s="140" t="s">
        <v>116</v>
      </c>
      <c r="AO943" s="24" t="s">
        <v>662</v>
      </c>
      <c r="AP943" s="24" t="s">
        <v>662</v>
      </c>
      <c r="AQ943" s="24" t="s">
        <v>2125</v>
      </c>
      <c r="AR943" s="24" t="s">
        <v>2125</v>
      </c>
      <c r="AS943" s="24" t="s">
        <v>177</v>
      </c>
      <c r="AT943" s="24" t="s">
        <v>663</v>
      </c>
      <c r="AU943" s="24" t="s">
        <v>663</v>
      </c>
      <c r="AV943" s="24" t="s">
        <v>177</v>
      </c>
      <c r="AW943" s="24" t="s">
        <v>119</v>
      </c>
      <c r="AX943" s="24">
        <v>4</v>
      </c>
      <c r="AZ943" s="24" t="s">
        <v>335</v>
      </c>
      <c r="BK943" s="24">
        <v>3979</v>
      </c>
      <c r="BL943" s="24">
        <v>2670</v>
      </c>
      <c r="BP943" s="395"/>
      <c r="BQ943" s="395"/>
      <c r="BU943" s="395"/>
      <c r="BV943" s="395"/>
      <c r="BZ943" s="395"/>
      <c r="CA943" s="395"/>
      <c r="CE943" s="548"/>
      <c r="CF943" s="548"/>
      <c r="CG943" s="548"/>
      <c r="CH943" s="548"/>
      <c r="CJ943" s="24">
        <f>(56+19)/2</f>
        <v>37.5</v>
      </c>
      <c r="CK943" s="24">
        <f>(35+7)/2</f>
        <v>21</v>
      </c>
      <c r="CN943" s="24" t="s">
        <v>678</v>
      </c>
      <c r="FQ943" s="24">
        <v>245</v>
      </c>
      <c r="FR943" s="24">
        <v>173</v>
      </c>
      <c r="FU943" s="24" t="s">
        <v>664</v>
      </c>
      <c r="JB943" s="24" t="s">
        <v>728</v>
      </c>
    </row>
    <row r="944" spans="1:263" s="24" customFormat="1" x14ac:dyDescent="0.25">
      <c r="A944" s="24">
        <v>45</v>
      </c>
      <c r="B944" s="42" t="s">
        <v>3975</v>
      </c>
      <c r="C944" s="24" t="s">
        <v>660</v>
      </c>
      <c r="D944" s="24" t="s">
        <v>661</v>
      </c>
      <c r="E944" s="24">
        <v>2005</v>
      </c>
      <c r="F944" s="24">
        <v>1994</v>
      </c>
      <c r="G944" s="24" t="s">
        <v>302</v>
      </c>
      <c r="H944" s="24" t="s">
        <v>526</v>
      </c>
      <c r="I944" s="32" t="s">
        <v>2815</v>
      </c>
      <c r="J944" s="24">
        <v>40.19</v>
      </c>
      <c r="K944" s="24">
        <v>-103.17</v>
      </c>
      <c r="L944" s="24">
        <v>1384</v>
      </c>
      <c r="R944" s="42">
        <v>1</v>
      </c>
      <c r="S944" s="42" t="s">
        <v>1843</v>
      </c>
      <c r="T944" s="42"/>
      <c r="U944" s="42" t="s">
        <v>1958</v>
      </c>
      <c r="V944" s="42" t="s">
        <v>1382</v>
      </c>
      <c r="W944" s="42" t="s">
        <v>1717</v>
      </c>
      <c r="X944" s="42" t="s">
        <v>1382</v>
      </c>
      <c r="Y944" s="42" t="s">
        <v>1382</v>
      </c>
      <c r="AA944" s="321"/>
      <c r="AB944" s="321"/>
      <c r="AC944" s="24" t="s">
        <v>450</v>
      </c>
      <c r="AG944" s="24" t="s">
        <v>1338</v>
      </c>
      <c r="AH944" s="24" t="s">
        <v>1538</v>
      </c>
      <c r="AI944" s="138" t="s">
        <v>577</v>
      </c>
      <c r="AJ944" s="24" t="s">
        <v>116</v>
      </c>
      <c r="AK944" s="140" t="s">
        <v>116</v>
      </c>
      <c r="AO944" s="24" t="s">
        <v>662</v>
      </c>
      <c r="AP944" s="24" t="s">
        <v>662</v>
      </c>
      <c r="AQ944" s="24" t="s">
        <v>2125</v>
      </c>
      <c r="AR944" s="24" t="s">
        <v>2125</v>
      </c>
      <c r="AS944" s="24" t="s">
        <v>177</v>
      </c>
      <c r="AT944" s="24" t="s">
        <v>663</v>
      </c>
      <c r="AU944" s="24" t="s">
        <v>663</v>
      </c>
      <c r="AV944" s="24" t="s">
        <v>177</v>
      </c>
      <c r="AW944" s="24" t="s">
        <v>119</v>
      </c>
      <c r="AX944" s="24">
        <v>4</v>
      </c>
      <c r="AZ944" s="24" t="s">
        <v>335</v>
      </c>
      <c r="BK944" s="24">
        <v>3979</v>
      </c>
      <c r="BL944" s="24">
        <v>2663</v>
      </c>
      <c r="BP944" s="395"/>
      <c r="BQ944" s="395"/>
      <c r="BU944" s="395"/>
      <c r="BV944" s="395"/>
      <c r="BZ944" s="395"/>
      <c r="CA944" s="395"/>
      <c r="CE944" s="548"/>
      <c r="CF944" s="548"/>
      <c r="CG944" s="548"/>
      <c r="CH944" s="548"/>
      <c r="CJ944" s="24">
        <f t="shared" ref="CJ944:CJ945" si="229">(56+19)/2</f>
        <v>37.5</v>
      </c>
      <c r="CK944" s="24">
        <f>(31+7)/2</f>
        <v>19</v>
      </c>
      <c r="CN944" s="24" t="s">
        <v>678</v>
      </c>
      <c r="FQ944" s="24">
        <v>245</v>
      </c>
      <c r="FR944" s="24">
        <v>188</v>
      </c>
      <c r="FU944" s="24" t="s">
        <v>664</v>
      </c>
      <c r="JB944" s="24" t="s">
        <v>728</v>
      </c>
    </row>
    <row r="945" spans="1:262" s="24" customFormat="1" x14ac:dyDescent="0.25">
      <c r="A945" s="24">
        <v>45</v>
      </c>
      <c r="B945" s="42" t="s">
        <v>3975</v>
      </c>
      <c r="C945" s="24" t="s">
        <v>660</v>
      </c>
      <c r="D945" s="24" t="s">
        <v>661</v>
      </c>
      <c r="E945" s="24">
        <v>2005</v>
      </c>
      <c r="F945" s="24">
        <v>1994</v>
      </c>
      <c r="G945" s="24" t="s">
        <v>302</v>
      </c>
      <c r="H945" s="24" t="s">
        <v>526</v>
      </c>
      <c r="I945" s="32" t="s">
        <v>2815</v>
      </c>
      <c r="J945" s="24">
        <v>40.19</v>
      </c>
      <c r="K945" s="24">
        <v>-103.17</v>
      </c>
      <c r="L945" s="24">
        <v>1384</v>
      </c>
      <c r="R945" s="42">
        <v>1</v>
      </c>
      <c r="S945" s="42" t="s">
        <v>1843</v>
      </c>
      <c r="T945" s="42"/>
      <c r="U945" s="42" t="s">
        <v>1958</v>
      </c>
      <c r="V945" s="42" t="s">
        <v>1382</v>
      </c>
      <c r="W945" s="42" t="s">
        <v>1717</v>
      </c>
      <c r="X945" s="42" t="s">
        <v>1382</v>
      </c>
      <c r="Y945" s="42" t="s">
        <v>1382</v>
      </c>
      <c r="AA945" s="321"/>
      <c r="AB945" s="321"/>
      <c r="AC945" s="24" t="s">
        <v>450</v>
      </c>
      <c r="AG945" s="24" t="s">
        <v>1338</v>
      </c>
      <c r="AH945" s="24" t="s">
        <v>562</v>
      </c>
      <c r="AI945" s="138" t="s">
        <v>577</v>
      </c>
      <c r="AJ945" s="24" t="s">
        <v>116</v>
      </c>
      <c r="AK945" s="140" t="s">
        <v>116</v>
      </c>
      <c r="AO945" s="24" t="s">
        <v>662</v>
      </c>
      <c r="AP945" s="24" t="s">
        <v>662</v>
      </c>
      <c r="AQ945" s="24" t="s">
        <v>2125</v>
      </c>
      <c r="AR945" s="24" t="s">
        <v>2125</v>
      </c>
      <c r="AS945" s="24" t="s">
        <v>177</v>
      </c>
      <c r="AT945" s="24" t="s">
        <v>663</v>
      </c>
      <c r="AU945" s="24" t="s">
        <v>663</v>
      </c>
      <c r="AV945" s="24" t="s">
        <v>177</v>
      </c>
      <c r="AW945" s="24" t="s">
        <v>119</v>
      </c>
      <c r="AX945" s="24">
        <v>4</v>
      </c>
      <c r="AZ945" s="24" t="s">
        <v>335</v>
      </c>
      <c r="BK945" s="24">
        <v>3979</v>
      </c>
      <c r="BL945" s="24">
        <v>2632</v>
      </c>
      <c r="BP945" s="395"/>
      <c r="BQ945" s="395"/>
      <c r="BU945" s="395"/>
      <c r="BV945" s="395"/>
      <c r="BZ945" s="395"/>
      <c r="CA945" s="395"/>
      <c r="CE945" s="548"/>
      <c r="CF945" s="548"/>
      <c r="CG945" s="548"/>
      <c r="CH945" s="548"/>
      <c r="CJ945" s="24">
        <f t="shared" si="229"/>
        <v>37.5</v>
      </c>
      <c r="CK945" s="24">
        <f>(35+6)/2</f>
        <v>20.5</v>
      </c>
      <c r="CN945" s="24" t="s">
        <v>678</v>
      </c>
      <c r="FQ945" s="24">
        <v>245</v>
      </c>
      <c r="FR945" s="24">
        <v>172</v>
      </c>
      <c r="FU945" s="24" t="s">
        <v>664</v>
      </c>
      <c r="JB945" s="24" t="s">
        <v>728</v>
      </c>
    </row>
    <row r="946" spans="1:262" s="24" customFormat="1" x14ac:dyDescent="0.25">
      <c r="A946" s="24">
        <v>45</v>
      </c>
      <c r="B946" s="42" t="s">
        <v>3975</v>
      </c>
      <c r="C946" s="24" t="s">
        <v>660</v>
      </c>
      <c r="D946" s="24" t="s">
        <v>661</v>
      </c>
      <c r="E946" s="24">
        <v>2005</v>
      </c>
      <c r="F946" s="24">
        <v>1994</v>
      </c>
      <c r="G946" s="24" t="s">
        <v>302</v>
      </c>
      <c r="H946" s="24" t="s">
        <v>526</v>
      </c>
      <c r="I946" s="32" t="s">
        <v>2815</v>
      </c>
      <c r="J946" s="24">
        <v>40.19</v>
      </c>
      <c r="K946" s="24">
        <v>-103.17</v>
      </c>
      <c r="L946" s="24">
        <v>1384</v>
      </c>
      <c r="R946" s="42">
        <v>1</v>
      </c>
      <c r="S946" s="42" t="s">
        <v>1843</v>
      </c>
      <c r="T946" s="42"/>
      <c r="U946" s="42" t="s">
        <v>1958</v>
      </c>
      <c r="V946" s="42" t="s">
        <v>1382</v>
      </c>
      <c r="W946" s="42" t="s">
        <v>1717</v>
      </c>
      <c r="X946" s="42" t="s">
        <v>1382</v>
      </c>
      <c r="Y946" s="42" t="s">
        <v>1382</v>
      </c>
      <c r="AA946" s="321"/>
      <c r="AB946" s="321"/>
      <c r="AC946" s="24" t="s">
        <v>450</v>
      </c>
      <c r="AG946" s="24" t="s">
        <v>1338</v>
      </c>
      <c r="AH946" s="24" t="s">
        <v>243</v>
      </c>
      <c r="AI946" s="138" t="s">
        <v>577</v>
      </c>
      <c r="AJ946" s="24" t="s">
        <v>116</v>
      </c>
      <c r="AK946" s="140" t="s">
        <v>116</v>
      </c>
      <c r="AO946" s="24" t="s">
        <v>662</v>
      </c>
      <c r="AP946" s="24" t="s">
        <v>662</v>
      </c>
      <c r="AQ946" s="24" t="s">
        <v>2125</v>
      </c>
      <c r="AR946" s="24" t="s">
        <v>2125</v>
      </c>
      <c r="AS946" s="24" t="s">
        <v>177</v>
      </c>
      <c r="AT946" s="24" t="s">
        <v>663</v>
      </c>
      <c r="AU946" s="24" t="s">
        <v>663</v>
      </c>
      <c r="AV946" s="24" t="s">
        <v>177</v>
      </c>
      <c r="AW946" s="24" t="s">
        <v>119</v>
      </c>
      <c r="AX946" s="24">
        <v>4</v>
      </c>
      <c r="AZ946" s="24" t="s">
        <v>335</v>
      </c>
      <c r="BP946" s="395"/>
      <c r="BQ946" s="395"/>
      <c r="BU946" s="395"/>
      <c r="BV946" s="395"/>
      <c r="BZ946" s="395"/>
      <c r="CA946" s="395"/>
      <c r="CE946" s="548"/>
      <c r="CF946" s="548"/>
      <c r="CG946" s="548"/>
      <c r="CH946" s="548"/>
      <c r="JB946" s="24" t="s">
        <v>728</v>
      </c>
    </row>
    <row r="947" spans="1:262" s="32" customFormat="1" x14ac:dyDescent="0.25">
      <c r="A947" s="32">
        <v>45</v>
      </c>
      <c r="B947" s="44" t="s">
        <v>3975</v>
      </c>
      <c r="C947" s="32" t="s">
        <v>660</v>
      </c>
      <c r="D947" s="32" t="s">
        <v>661</v>
      </c>
      <c r="E947" s="32">
        <v>2005</v>
      </c>
      <c r="F947" s="32">
        <v>1995</v>
      </c>
      <c r="G947" s="32" t="s">
        <v>302</v>
      </c>
      <c r="H947" s="32" t="s">
        <v>526</v>
      </c>
      <c r="I947" s="32" t="s">
        <v>2815</v>
      </c>
      <c r="J947" s="32">
        <v>40.19</v>
      </c>
      <c r="K947" s="32">
        <v>-103.17</v>
      </c>
      <c r="L947" s="32">
        <v>1384</v>
      </c>
      <c r="R947" s="44">
        <v>2</v>
      </c>
      <c r="S947" s="44" t="s">
        <v>1843</v>
      </c>
      <c r="T947" s="44"/>
      <c r="U947" s="44" t="s">
        <v>1958</v>
      </c>
      <c r="V947" s="44" t="s">
        <v>1382</v>
      </c>
      <c r="W947" s="44" t="s">
        <v>1717</v>
      </c>
      <c r="X947" s="44" t="s">
        <v>1382</v>
      </c>
      <c r="Y947" s="44" t="s">
        <v>1382</v>
      </c>
      <c r="AA947" s="323"/>
      <c r="AB947" s="323"/>
      <c r="AC947" s="32" t="s">
        <v>450</v>
      </c>
      <c r="AG947" s="32" t="s">
        <v>1338</v>
      </c>
      <c r="AH947" s="32" t="s">
        <v>1537</v>
      </c>
      <c r="AI947" s="138" t="s">
        <v>577</v>
      </c>
      <c r="AJ947" s="32" t="s">
        <v>116</v>
      </c>
      <c r="AK947" s="140" t="s">
        <v>116</v>
      </c>
      <c r="AO947" s="32" t="s">
        <v>662</v>
      </c>
      <c r="AP947" s="32" t="s">
        <v>662</v>
      </c>
      <c r="AQ947" s="32" t="s">
        <v>2125</v>
      </c>
      <c r="AR947" s="32" t="s">
        <v>2125</v>
      </c>
      <c r="AS947" s="32" t="s">
        <v>177</v>
      </c>
      <c r="AT947" s="32" t="s">
        <v>663</v>
      </c>
      <c r="AU947" s="32" t="s">
        <v>663</v>
      </c>
      <c r="AV947" s="32" t="s">
        <v>177</v>
      </c>
      <c r="AW947" s="32" t="s">
        <v>119</v>
      </c>
      <c r="AX947" s="32">
        <v>4</v>
      </c>
      <c r="AZ947" s="32" t="s">
        <v>335</v>
      </c>
      <c r="BK947" s="32">
        <v>6032</v>
      </c>
      <c r="BL947" s="32">
        <v>3721</v>
      </c>
      <c r="BP947" s="397"/>
      <c r="BQ947" s="397"/>
      <c r="BU947" s="397"/>
      <c r="BV947" s="397"/>
      <c r="BZ947" s="397"/>
      <c r="CA947" s="397"/>
      <c r="CE947" s="550"/>
      <c r="CF947" s="550"/>
      <c r="CG947" s="550"/>
      <c r="CH947" s="550"/>
      <c r="CJ947" s="32">
        <f>(23+5)/2</f>
        <v>14</v>
      </c>
      <c r="CK947" s="32">
        <f>(3+5)/2</f>
        <v>4</v>
      </c>
      <c r="CN947" s="32" t="s">
        <v>678</v>
      </c>
      <c r="FQ947" s="32">
        <v>293</v>
      </c>
      <c r="FR947" s="32">
        <v>202</v>
      </c>
      <c r="FU947" s="32" t="s">
        <v>664</v>
      </c>
      <c r="JB947" s="32" t="s">
        <v>728</v>
      </c>
    </row>
    <row r="948" spans="1:262" s="32" customFormat="1" x14ac:dyDescent="0.25">
      <c r="A948" s="32">
        <v>45</v>
      </c>
      <c r="B948" s="44" t="s">
        <v>3975</v>
      </c>
      <c r="C948" s="32" t="s">
        <v>660</v>
      </c>
      <c r="D948" s="32" t="s">
        <v>661</v>
      </c>
      <c r="E948" s="32">
        <v>2005</v>
      </c>
      <c r="F948" s="32">
        <v>1995</v>
      </c>
      <c r="G948" s="32" t="s">
        <v>302</v>
      </c>
      <c r="H948" s="32" t="s">
        <v>526</v>
      </c>
      <c r="I948" s="32" t="s">
        <v>2815</v>
      </c>
      <c r="J948" s="32">
        <v>40.19</v>
      </c>
      <c r="K948" s="32">
        <v>-103.17</v>
      </c>
      <c r="L948" s="32">
        <v>1384</v>
      </c>
      <c r="R948" s="44">
        <v>2</v>
      </c>
      <c r="S948" s="44" t="s">
        <v>1843</v>
      </c>
      <c r="T948" s="44"/>
      <c r="U948" s="44" t="s">
        <v>1958</v>
      </c>
      <c r="V948" s="44" t="s">
        <v>1382</v>
      </c>
      <c r="W948" s="44" t="s">
        <v>1717</v>
      </c>
      <c r="X948" s="44" t="s">
        <v>1382</v>
      </c>
      <c r="Y948" s="44" t="s">
        <v>1382</v>
      </c>
      <c r="AA948" s="323"/>
      <c r="AB948" s="323"/>
      <c r="AC948" s="32" t="s">
        <v>450</v>
      </c>
      <c r="AG948" s="32" t="s">
        <v>1338</v>
      </c>
      <c r="AH948" s="32" t="s">
        <v>1538</v>
      </c>
      <c r="AI948" s="138" t="s">
        <v>577</v>
      </c>
      <c r="AJ948" s="32" t="s">
        <v>116</v>
      </c>
      <c r="AK948" s="140" t="s">
        <v>116</v>
      </c>
      <c r="AO948" s="32" t="s">
        <v>662</v>
      </c>
      <c r="AP948" s="32" t="s">
        <v>662</v>
      </c>
      <c r="AQ948" s="32" t="s">
        <v>2125</v>
      </c>
      <c r="AR948" s="32" t="s">
        <v>2125</v>
      </c>
      <c r="AS948" s="32" t="s">
        <v>177</v>
      </c>
      <c r="AT948" s="32" t="s">
        <v>663</v>
      </c>
      <c r="AU948" s="32" t="s">
        <v>663</v>
      </c>
      <c r="AV948" s="32" t="s">
        <v>177</v>
      </c>
      <c r="AW948" s="32" t="s">
        <v>119</v>
      </c>
      <c r="AX948" s="32">
        <v>4</v>
      </c>
      <c r="AZ948" s="32" t="s">
        <v>335</v>
      </c>
      <c r="BK948" s="32">
        <v>6032</v>
      </c>
      <c r="BL948" s="32">
        <v>4082</v>
      </c>
      <c r="BP948" s="397"/>
      <c r="BQ948" s="397"/>
      <c r="BU948" s="397"/>
      <c r="BV948" s="397"/>
      <c r="BZ948" s="397"/>
      <c r="CA948" s="397"/>
      <c r="CE948" s="550"/>
      <c r="CF948" s="550"/>
      <c r="CG948" s="550"/>
      <c r="CH948" s="550"/>
      <c r="CJ948" s="32">
        <f t="shared" ref="CJ948:CJ949" si="230">(23+5)/2</f>
        <v>14</v>
      </c>
      <c r="CK948" s="32">
        <f>(4+5)/2</f>
        <v>4.5</v>
      </c>
      <c r="CN948" s="32" t="s">
        <v>678</v>
      </c>
      <c r="FQ948" s="32">
        <v>293</v>
      </c>
      <c r="FR948" s="32">
        <v>202</v>
      </c>
      <c r="FU948" s="32" t="s">
        <v>664</v>
      </c>
      <c r="JB948" s="32" t="s">
        <v>728</v>
      </c>
    </row>
    <row r="949" spans="1:262" s="32" customFormat="1" x14ac:dyDescent="0.25">
      <c r="A949" s="32">
        <v>45</v>
      </c>
      <c r="B949" s="44" t="s">
        <v>3975</v>
      </c>
      <c r="C949" s="32" t="s">
        <v>660</v>
      </c>
      <c r="D949" s="32" t="s">
        <v>661</v>
      </c>
      <c r="E949" s="32">
        <v>2005</v>
      </c>
      <c r="F949" s="32">
        <v>1995</v>
      </c>
      <c r="G949" s="32" t="s">
        <v>302</v>
      </c>
      <c r="H949" s="32" t="s">
        <v>526</v>
      </c>
      <c r="I949" s="32" t="s">
        <v>2815</v>
      </c>
      <c r="J949" s="32">
        <v>40.19</v>
      </c>
      <c r="K949" s="32">
        <v>-103.17</v>
      </c>
      <c r="L949" s="32">
        <v>1384</v>
      </c>
      <c r="R949" s="44">
        <v>2</v>
      </c>
      <c r="S949" s="44" t="s">
        <v>1843</v>
      </c>
      <c r="T949" s="44"/>
      <c r="U949" s="44" t="s">
        <v>1958</v>
      </c>
      <c r="V949" s="44" t="s">
        <v>1382</v>
      </c>
      <c r="W949" s="44" t="s">
        <v>1717</v>
      </c>
      <c r="X949" s="44" t="s">
        <v>1382</v>
      </c>
      <c r="Y949" s="44" t="s">
        <v>1382</v>
      </c>
      <c r="AA949" s="323"/>
      <c r="AB949" s="323"/>
      <c r="AC949" s="32" t="s">
        <v>450</v>
      </c>
      <c r="AG949" s="32" t="s">
        <v>1338</v>
      </c>
      <c r="AH949" s="32" t="s">
        <v>562</v>
      </c>
      <c r="AI949" s="138" t="s">
        <v>577</v>
      </c>
      <c r="AJ949" s="32" t="s">
        <v>116</v>
      </c>
      <c r="AK949" s="140" t="s">
        <v>116</v>
      </c>
      <c r="AO949" s="32" t="s">
        <v>662</v>
      </c>
      <c r="AP949" s="32" t="s">
        <v>662</v>
      </c>
      <c r="AQ949" s="32" t="s">
        <v>2125</v>
      </c>
      <c r="AR949" s="32" t="s">
        <v>2125</v>
      </c>
      <c r="AS949" s="32" t="s">
        <v>177</v>
      </c>
      <c r="AT949" s="32" t="s">
        <v>663</v>
      </c>
      <c r="AU949" s="32" t="s">
        <v>663</v>
      </c>
      <c r="AV949" s="32" t="s">
        <v>177</v>
      </c>
      <c r="AW949" s="32" t="s">
        <v>119</v>
      </c>
      <c r="AX949" s="32">
        <v>4</v>
      </c>
      <c r="AZ949" s="32" t="s">
        <v>335</v>
      </c>
      <c r="BK949" s="32">
        <v>6032</v>
      </c>
      <c r="BL949" s="32">
        <v>2632</v>
      </c>
      <c r="BP949" s="397"/>
      <c r="BQ949" s="397"/>
      <c r="BU949" s="397"/>
      <c r="BV949" s="397"/>
      <c r="BZ949" s="397"/>
      <c r="CA949" s="397"/>
      <c r="CE949" s="550"/>
      <c r="CF949" s="550"/>
      <c r="CG949" s="550"/>
      <c r="CH949" s="550"/>
      <c r="CJ949" s="32">
        <f t="shared" si="230"/>
        <v>14</v>
      </c>
      <c r="CK949" s="32">
        <f>(2+5)/2</f>
        <v>3.5</v>
      </c>
      <c r="CN949" s="32" t="s">
        <v>678</v>
      </c>
      <c r="FQ949" s="32">
        <v>293</v>
      </c>
      <c r="FR949" s="32">
        <v>205</v>
      </c>
      <c r="FU949" s="32" t="s">
        <v>664</v>
      </c>
      <c r="JB949" s="32" t="s">
        <v>728</v>
      </c>
    </row>
    <row r="950" spans="1:262" s="32" customFormat="1" x14ac:dyDescent="0.25">
      <c r="A950" s="32">
        <v>45</v>
      </c>
      <c r="B950" s="44" t="s">
        <v>3975</v>
      </c>
      <c r="C950" s="32" t="s">
        <v>660</v>
      </c>
      <c r="D950" s="32" t="s">
        <v>661</v>
      </c>
      <c r="E950" s="32">
        <v>2005</v>
      </c>
      <c r="F950" s="32">
        <v>1995</v>
      </c>
      <c r="G950" s="32" t="s">
        <v>302</v>
      </c>
      <c r="H950" s="32" t="s">
        <v>526</v>
      </c>
      <c r="I950" s="32" t="s">
        <v>2815</v>
      </c>
      <c r="J950" s="32">
        <v>40.19</v>
      </c>
      <c r="K950" s="32">
        <v>-103.17</v>
      </c>
      <c r="L950" s="32">
        <v>1384</v>
      </c>
      <c r="R950" s="44">
        <v>2</v>
      </c>
      <c r="S950" s="44" t="s">
        <v>1843</v>
      </c>
      <c r="T950" s="44"/>
      <c r="U950" s="44" t="s">
        <v>1958</v>
      </c>
      <c r="V950" s="44" t="s">
        <v>1382</v>
      </c>
      <c r="W950" s="44" t="s">
        <v>1717</v>
      </c>
      <c r="X950" s="44" t="s">
        <v>1382</v>
      </c>
      <c r="Y950" s="44" t="s">
        <v>1382</v>
      </c>
      <c r="AA950" s="323"/>
      <c r="AB950" s="323"/>
      <c r="AC950" s="32" t="s">
        <v>450</v>
      </c>
      <c r="AG950" s="32" t="s">
        <v>1338</v>
      </c>
      <c r="AH950" s="32" t="s">
        <v>243</v>
      </c>
      <c r="AI950" s="138" t="s">
        <v>577</v>
      </c>
      <c r="AJ950" s="32" t="s">
        <v>116</v>
      </c>
      <c r="AK950" s="140" t="s">
        <v>116</v>
      </c>
      <c r="AO950" s="32" t="s">
        <v>662</v>
      </c>
      <c r="AP950" s="32" t="s">
        <v>662</v>
      </c>
      <c r="AQ950" s="32" t="s">
        <v>2125</v>
      </c>
      <c r="AR950" s="32" t="s">
        <v>2125</v>
      </c>
      <c r="AS950" s="32" t="s">
        <v>177</v>
      </c>
      <c r="AT950" s="32" t="s">
        <v>663</v>
      </c>
      <c r="AU950" s="32" t="s">
        <v>663</v>
      </c>
      <c r="AV950" s="32" t="s">
        <v>177</v>
      </c>
      <c r="AW950" s="32" t="s">
        <v>119</v>
      </c>
      <c r="AX950" s="32">
        <v>4</v>
      </c>
      <c r="AZ950" s="32" t="s">
        <v>335</v>
      </c>
      <c r="BP950" s="397"/>
      <c r="BQ950" s="397"/>
      <c r="BU950" s="397"/>
      <c r="BV950" s="397"/>
      <c r="BZ950" s="397"/>
      <c r="CA950" s="397"/>
      <c r="CE950" s="550"/>
      <c r="CF950" s="550"/>
      <c r="CG950" s="550"/>
      <c r="CH950" s="550"/>
      <c r="JB950" s="32" t="s">
        <v>728</v>
      </c>
    </row>
    <row r="951" spans="1:262" s="24" customFormat="1" x14ac:dyDescent="0.25">
      <c r="A951" s="24">
        <v>45</v>
      </c>
      <c r="B951" s="42" t="s">
        <v>3975</v>
      </c>
      <c r="C951" s="24" t="s">
        <v>660</v>
      </c>
      <c r="D951" s="24" t="s">
        <v>661</v>
      </c>
      <c r="E951" s="24">
        <v>2005</v>
      </c>
      <c r="F951" s="24">
        <v>1996</v>
      </c>
      <c r="G951" s="24" t="s">
        <v>302</v>
      </c>
      <c r="H951" s="24" t="s">
        <v>526</v>
      </c>
      <c r="I951" s="32" t="s">
        <v>2815</v>
      </c>
      <c r="J951" s="24">
        <v>40.19</v>
      </c>
      <c r="K951" s="24">
        <v>-103.17</v>
      </c>
      <c r="L951" s="24">
        <v>1384</v>
      </c>
      <c r="R951" s="42">
        <v>3</v>
      </c>
      <c r="S951" s="42" t="s">
        <v>1843</v>
      </c>
      <c r="T951" s="42"/>
      <c r="U951" s="42" t="s">
        <v>1958</v>
      </c>
      <c r="V951" s="42" t="s">
        <v>1382</v>
      </c>
      <c r="W951" s="42" t="s">
        <v>1717</v>
      </c>
      <c r="X951" s="42" t="s">
        <v>1382</v>
      </c>
      <c r="Y951" s="42" t="s">
        <v>1382</v>
      </c>
      <c r="AA951" s="321"/>
      <c r="AB951" s="321"/>
      <c r="AC951" s="24" t="s">
        <v>450</v>
      </c>
      <c r="AG951" s="24" t="s">
        <v>1338</v>
      </c>
      <c r="AH951" s="24" t="s">
        <v>1537</v>
      </c>
      <c r="AI951" s="138" t="s">
        <v>577</v>
      </c>
      <c r="AJ951" s="24" t="s">
        <v>116</v>
      </c>
      <c r="AK951" s="140" t="s">
        <v>116</v>
      </c>
      <c r="AO951" s="24" t="s">
        <v>662</v>
      </c>
      <c r="AP951" s="24" t="s">
        <v>662</v>
      </c>
      <c r="AQ951" s="24" t="s">
        <v>2125</v>
      </c>
      <c r="AR951" s="24" t="s">
        <v>2125</v>
      </c>
      <c r="AS951" s="24" t="s">
        <v>177</v>
      </c>
      <c r="AT951" s="24" t="s">
        <v>663</v>
      </c>
      <c r="AU951" s="24" t="s">
        <v>663</v>
      </c>
      <c r="AV951" s="24" t="s">
        <v>177</v>
      </c>
      <c r="AW951" s="24" t="s">
        <v>119</v>
      </c>
      <c r="AX951" s="24">
        <v>4</v>
      </c>
      <c r="AZ951" s="24" t="s">
        <v>335</v>
      </c>
      <c r="BK951" s="24">
        <v>4149</v>
      </c>
      <c r="BL951" s="24">
        <v>2948</v>
      </c>
      <c r="BP951" s="395"/>
      <c r="BQ951" s="395"/>
      <c r="BU951" s="395"/>
      <c r="BV951" s="395"/>
      <c r="BZ951" s="395"/>
      <c r="CA951" s="395"/>
      <c r="CE951" s="548"/>
      <c r="CF951" s="548"/>
      <c r="CG951" s="548"/>
      <c r="CH951" s="548"/>
      <c r="CJ951" s="24">
        <f>(60+14)/2</f>
        <v>37</v>
      </c>
      <c r="CK951" s="24">
        <f>(51+11)/2</f>
        <v>31</v>
      </c>
      <c r="CN951" s="24" t="s">
        <v>678</v>
      </c>
      <c r="FQ951" s="24">
        <v>349</v>
      </c>
      <c r="FR951" s="24">
        <v>239</v>
      </c>
      <c r="FU951" s="24" t="s">
        <v>664</v>
      </c>
      <c r="JB951" s="24" t="s">
        <v>728</v>
      </c>
    </row>
    <row r="952" spans="1:262" s="24" customFormat="1" x14ac:dyDescent="0.25">
      <c r="A952" s="24">
        <v>45</v>
      </c>
      <c r="B952" s="42" t="s">
        <v>3975</v>
      </c>
      <c r="C952" s="24" t="s">
        <v>660</v>
      </c>
      <c r="D952" s="24" t="s">
        <v>661</v>
      </c>
      <c r="E952" s="24">
        <v>2005</v>
      </c>
      <c r="F952" s="24">
        <v>1996</v>
      </c>
      <c r="G952" s="24" t="s">
        <v>302</v>
      </c>
      <c r="H952" s="24" t="s">
        <v>526</v>
      </c>
      <c r="I952" s="32" t="s">
        <v>2815</v>
      </c>
      <c r="J952" s="24">
        <v>40.19</v>
      </c>
      <c r="K952" s="24">
        <v>-103.17</v>
      </c>
      <c r="L952" s="24">
        <v>1384</v>
      </c>
      <c r="R952" s="42">
        <v>3</v>
      </c>
      <c r="S952" s="42" t="s">
        <v>1843</v>
      </c>
      <c r="T952" s="42"/>
      <c r="U952" s="42" t="s">
        <v>1958</v>
      </c>
      <c r="V952" s="42" t="s">
        <v>1382</v>
      </c>
      <c r="W952" s="42" t="s">
        <v>1717</v>
      </c>
      <c r="X952" s="42" t="s">
        <v>1382</v>
      </c>
      <c r="Y952" s="42" t="s">
        <v>1382</v>
      </c>
      <c r="AA952" s="321"/>
      <c r="AB952" s="321"/>
      <c r="AC952" s="24" t="s">
        <v>450</v>
      </c>
      <c r="AG952" s="24" t="s">
        <v>1338</v>
      </c>
      <c r="AH952" s="24" t="s">
        <v>1538</v>
      </c>
      <c r="AI952" s="138" t="s">
        <v>577</v>
      </c>
      <c r="AJ952" s="24" t="s">
        <v>116</v>
      </c>
      <c r="AK952" s="140" t="s">
        <v>116</v>
      </c>
      <c r="AO952" s="24" t="s">
        <v>662</v>
      </c>
      <c r="AP952" s="24" t="s">
        <v>662</v>
      </c>
      <c r="AQ952" s="24" t="s">
        <v>2125</v>
      </c>
      <c r="AR952" s="24" t="s">
        <v>2125</v>
      </c>
      <c r="AS952" s="24" t="s">
        <v>177</v>
      </c>
      <c r="AT952" s="24" t="s">
        <v>663</v>
      </c>
      <c r="AU952" s="24" t="s">
        <v>663</v>
      </c>
      <c r="AV952" s="24" t="s">
        <v>177</v>
      </c>
      <c r="AW952" s="24" t="s">
        <v>119</v>
      </c>
      <c r="AX952" s="24">
        <v>4</v>
      </c>
      <c r="AZ952" s="24" t="s">
        <v>335</v>
      </c>
      <c r="BK952" s="24">
        <v>4149</v>
      </c>
      <c r="BL952" s="24">
        <v>3164</v>
      </c>
      <c r="BP952" s="395"/>
      <c r="BQ952" s="395"/>
      <c r="BU952" s="395"/>
      <c r="BV952" s="395"/>
      <c r="BZ952" s="395"/>
      <c r="CA952" s="395"/>
      <c r="CE952" s="548"/>
      <c r="CF952" s="548"/>
      <c r="CG952" s="548"/>
      <c r="CH952" s="548"/>
      <c r="CJ952" s="24">
        <f t="shared" ref="CJ952:CJ953" si="231">(60+14)/2</f>
        <v>37</v>
      </c>
      <c r="CK952" s="24">
        <f>(43+11)/2</f>
        <v>27</v>
      </c>
      <c r="CN952" s="24" t="s">
        <v>678</v>
      </c>
      <c r="FQ952" s="24">
        <v>349</v>
      </c>
      <c r="FR952" s="24">
        <v>261</v>
      </c>
      <c r="FU952" s="24" t="s">
        <v>664</v>
      </c>
      <c r="JB952" s="24" t="s">
        <v>728</v>
      </c>
    </row>
    <row r="953" spans="1:262" s="24" customFormat="1" x14ac:dyDescent="0.25">
      <c r="A953" s="24">
        <v>45</v>
      </c>
      <c r="B953" s="42" t="s">
        <v>3975</v>
      </c>
      <c r="C953" s="24" t="s">
        <v>660</v>
      </c>
      <c r="D953" s="24" t="s">
        <v>661</v>
      </c>
      <c r="E953" s="24">
        <v>2005</v>
      </c>
      <c r="F953" s="24">
        <v>1996</v>
      </c>
      <c r="G953" s="24" t="s">
        <v>302</v>
      </c>
      <c r="H953" s="24" t="s">
        <v>526</v>
      </c>
      <c r="I953" s="32" t="s">
        <v>2815</v>
      </c>
      <c r="J953" s="24">
        <v>40.19</v>
      </c>
      <c r="K953" s="24">
        <v>-103.17</v>
      </c>
      <c r="L953" s="24">
        <v>1384</v>
      </c>
      <c r="R953" s="42">
        <v>3</v>
      </c>
      <c r="S953" s="42" t="s">
        <v>1843</v>
      </c>
      <c r="T953" s="42"/>
      <c r="U953" s="42" t="s">
        <v>1958</v>
      </c>
      <c r="V953" s="42" t="s">
        <v>1382</v>
      </c>
      <c r="W953" s="42" t="s">
        <v>1717</v>
      </c>
      <c r="X953" s="42" t="s">
        <v>1382</v>
      </c>
      <c r="Y953" s="42" t="s">
        <v>1382</v>
      </c>
      <c r="AA953" s="321"/>
      <c r="AB953" s="321"/>
      <c r="AC953" s="24" t="s">
        <v>450</v>
      </c>
      <c r="AG953" s="24" t="s">
        <v>1338</v>
      </c>
      <c r="AH953" s="24" t="s">
        <v>562</v>
      </c>
      <c r="AI953" s="138" t="s">
        <v>577</v>
      </c>
      <c r="AJ953" s="24" t="s">
        <v>116</v>
      </c>
      <c r="AK953" s="140" t="s">
        <v>116</v>
      </c>
      <c r="AO953" s="24" t="s">
        <v>662</v>
      </c>
      <c r="AP953" s="24" t="s">
        <v>662</v>
      </c>
      <c r="AQ953" s="24" t="s">
        <v>2125</v>
      </c>
      <c r="AR953" s="24" t="s">
        <v>2125</v>
      </c>
      <c r="AS953" s="24" t="s">
        <v>177</v>
      </c>
      <c r="AT953" s="24" t="s">
        <v>663</v>
      </c>
      <c r="AU953" s="24" t="s">
        <v>663</v>
      </c>
      <c r="AV953" s="24" t="s">
        <v>177</v>
      </c>
      <c r="AW953" s="24" t="s">
        <v>119</v>
      </c>
      <c r="AX953" s="24">
        <v>4</v>
      </c>
      <c r="AZ953" s="24" t="s">
        <v>335</v>
      </c>
      <c r="BK953" s="24">
        <v>4149</v>
      </c>
      <c r="BL953" s="24">
        <v>2749</v>
      </c>
      <c r="BP953" s="395"/>
      <c r="BQ953" s="395"/>
      <c r="BU953" s="395"/>
      <c r="BV953" s="395"/>
      <c r="BZ953" s="395"/>
      <c r="CA953" s="395"/>
      <c r="CE953" s="548"/>
      <c r="CF953" s="548"/>
      <c r="CG953" s="548"/>
      <c r="CH953" s="548"/>
      <c r="CJ953" s="24">
        <f t="shared" si="231"/>
        <v>37</v>
      </c>
      <c r="CK953" s="24">
        <f>(42+10)/2</f>
        <v>26</v>
      </c>
      <c r="CN953" s="24" t="s">
        <v>678</v>
      </c>
      <c r="FQ953" s="24">
        <v>349</v>
      </c>
      <c r="FR953" s="24">
        <v>251</v>
      </c>
      <c r="FU953" s="24" t="s">
        <v>664</v>
      </c>
      <c r="JB953" s="24" t="s">
        <v>728</v>
      </c>
    </row>
    <row r="954" spans="1:262" s="24" customFormat="1" x14ac:dyDescent="0.25">
      <c r="A954" s="24">
        <v>45</v>
      </c>
      <c r="B954" s="42" t="s">
        <v>3975</v>
      </c>
      <c r="C954" s="24" t="s">
        <v>660</v>
      </c>
      <c r="D954" s="24" t="s">
        <v>661</v>
      </c>
      <c r="E954" s="24">
        <v>2005</v>
      </c>
      <c r="F954" s="24">
        <v>1996</v>
      </c>
      <c r="G954" s="24" t="s">
        <v>302</v>
      </c>
      <c r="H954" s="24" t="s">
        <v>526</v>
      </c>
      <c r="I954" s="32" t="s">
        <v>2815</v>
      </c>
      <c r="J954" s="24">
        <v>40.19</v>
      </c>
      <c r="K954" s="24">
        <v>-103.17</v>
      </c>
      <c r="L954" s="24">
        <v>1384</v>
      </c>
      <c r="R954" s="42">
        <v>3</v>
      </c>
      <c r="S954" s="42" t="s">
        <v>1843</v>
      </c>
      <c r="T954" s="42"/>
      <c r="U954" s="42" t="s">
        <v>1958</v>
      </c>
      <c r="V954" s="42" t="s">
        <v>1382</v>
      </c>
      <c r="W954" s="42" t="s">
        <v>1717</v>
      </c>
      <c r="X954" s="42" t="s">
        <v>1382</v>
      </c>
      <c r="Y954" s="42" t="s">
        <v>1382</v>
      </c>
      <c r="AA954" s="321"/>
      <c r="AB954" s="321"/>
      <c r="AC954" s="24" t="s">
        <v>450</v>
      </c>
      <c r="AG954" s="24" t="s">
        <v>1338</v>
      </c>
      <c r="AH954" s="24" t="s">
        <v>243</v>
      </c>
      <c r="AI954" s="138" t="s">
        <v>577</v>
      </c>
      <c r="AJ954" s="24" t="s">
        <v>116</v>
      </c>
      <c r="AK954" s="140" t="s">
        <v>116</v>
      </c>
      <c r="AO954" s="24" t="s">
        <v>662</v>
      </c>
      <c r="AP954" s="24" t="s">
        <v>662</v>
      </c>
      <c r="AQ954" s="24" t="s">
        <v>2125</v>
      </c>
      <c r="AR954" s="24" t="s">
        <v>2125</v>
      </c>
      <c r="AS954" s="24" t="s">
        <v>177</v>
      </c>
      <c r="AT954" s="24" t="s">
        <v>663</v>
      </c>
      <c r="AU954" s="24" t="s">
        <v>663</v>
      </c>
      <c r="AV954" s="24" t="s">
        <v>177</v>
      </c>
      <c r="AW954" s="24" t="s">
        <v>119</v>
      </c>
      <c r="AX954" s="24">
        <v>4</v>
      </c>
      <c r="AZ954" s="24" t="s">
        <v>335</v>
      </c>
      <c r="BP954" s="395"/>
      <c r="BQ954" s="395"/>
      <c r="BU954" s="395"/>
      <c r="BV954" s="395"/>
      <c r="BZ954" s="395"/>
      <c r="CA954" s="395"/>
      <c r="CE954" s="548"/>
      <c r="CF954" s="548"/>
      <c r="CG954" s="548"/>
      <c r="CH954" s="548"/>
      <c r="JB954" s="24" t="s">
        <v>728</v>
      </c>
    </row>
    <row r="955" spans="1:262" s="32" customFormat="1" x14ac:dyDescent="0.25">
      <c r="A955" s="32">
        <v>45</v>
      </c>
      <c r="B955" s="44" t="s">
        <v>3975</v>
      </c>
      <c r="C955" s="32" t="s">
        <v>660</v>
      </c>
      <c r="D955" s="32" t="s">
        <v>661</v>
      </c>
      <c r="E955" s="32">
        <v>2005</v>
      </c>
      <c r="F955" s="32">
        <v>1997</v>
      </c>
      <c r="G955" s="32" t="s">
        <v>302</v>
      </c>
      <c r="H955" s="32" t="s">
        <v>526</v>
      </c>
      <c r="I955" s="32" t="s">
        <v>2815</v>
      </c>
      <c r="J955" s="32">
        <v>40.19</v>
      </c>
      <c r="K955" s="32">
        <v>-103.17</v>
      </c>
      <c r="L955" s="32">
        <v>1384</v>
      </c>
      <c r="R955" s="44">
        <v>4</v>
      </c>
      <c r="S955" s="44" t="s">
        <v>1843</v>
      </c>
      <c r="T955" s="44"/>
      <c r="U955" s="44" t="s">
        <v>1958</v>
      </c>
      <c r="V955" s="44" t="s">
        <v>1382</v>
      </c>
      <c r="W955" s="44" t="s">
        <v>1717</v>
      </c>
      <c r="X955" s="44" t="s">
        <v>1382</v>
      </c>
      <c r="Y955" s="44" t="s">
        <v>1382</v>
      </c>
      <c r="AA955" s="323"/>
      <c r="AB955" s="323"/>
      <c r="AC955" s="32" t="s">
        <v>450</v>
      </c>
      <c r="AG955" s="32" t="s">
        <v>1338</v>
      </c>
      <c r="AH955" s="32" t="s">
        <v>1537</v>
      </c>
      <c r="AI955" s="138" t="s">
        <v>577</v>
      </c>
      <c r="AJ955" s="32" t="s">
        <v>116</v>
      </c>
      <c r="AK955" s="140" t="s">
        <v>116</v>
      </c>
      <c r="AO955" s="32" t="s">
        <v>662</v>
      </c>
      <c r="AP955" s="32" t="s">
        <v>662</v>
      </c>
      <c r="AQ955" s="32" t="s">
        <v>2125</v>
      </c>
      <c r="AR955" s="32" t="s">
        <v>2125</v>
      </c>
      <c r="AS955" s="32" t="s">
        <v>177</v>
      </c>
      <c r="AT955" s="32" t="s">
        <v>663</v>
      </c>
      <c r="AU955" s="32" t="s">
        <v>663</v>
      </c>
      <c r="AV955" s="32" t="s">
        <v>177</v>
      </c>
      <c r="AW955" s="32" t="s">
        <v>119</v>
      </c>
      <c r="AX955" s="32">
        <v>4</v>
      </c>
      <c r="AZ955" s="32" t="s">
        <v>335</v>
      </c>
      <c r="BK955" s="32">
        <v>2453</v>
      </c>
      <c r="BL955" s="32">
        <v>1917</v>
      </c>
      <c r="BP955" s="397"/>
      <c r="BQ955" s="397"/>
      <c r="BU955" s="397"/>
      <c r="BV955" s="397"/>
      <c r="BZ955" s="397"/>
      <c r="CA955" s="397"/>
      <c r="CE955" s="550"/>
      <c r="CF955" s="550"/>
      <c r="CG955" s="550"/>
      <c r="CH955" s="550"/>
      <c r="CJ955" s="32">
        <f>(64+19)/2</f>
        <v>41.5</v>
      </c>
      <c r="CK955" s="32">
        <f>(64+9)/2</f>
        <v>36.5</v>
      </c>
      <c r="CN955" s="32" t="s">
        <v>678</v>
      </c>
      <c r="FQ955" s="32">
        <v>288</v>
      </c>
      <c r="FR955" s="32">
        <v>219</v>
      </c>
      <c r="FU955" s="32" t="s">
        <v>664</v>
      </c>
      <c r="JB955" s="32" t="s">
        <v>728</v>
      </c>
    </row>
    <row r="956" spans="1:262" s="32" customFormat="1" x14ac:dyDescent="0.25">
      <c r="A956" s="32">
        <v>45</v>
      </c>
      <c r="B956" s="44" t="s">
        <v>3975</v>
      </c>
      <c r="C956" s="32" t="s">
        <v>660</v>
      </c>
      <c r="D956" s="32" t="s">
        <v>661</v>
      </c>
      <c r="E956" s="32">
        <v>2005</v>
      </c>
      <c r="F956" s="32">
        <v>1997</v>
      </c>
      <c r="G956" s="32" t="s">
        <v>302</v>
      </c>
      <c r="H956" s="32" t="s">
        <v>526</v>
      </c>
      <c r="I956" s="32" t="s">
        <v>2815</v>
      </c>
      <c r="J956" s="32">
        <v>40.19</v>
      </c>
      <c r="K956" s="32">
        <v>-103.17</v>
      </c>
      <c r="L956" s="32">
        <v>1384</v>
      </c>
      <c r="R956" s="44">
        <v>4</v>
      </c>
      <c r="S956" s="44" t="s">
        <v>1843</v>
      </c>
      <c r="T956" s="44"/>
      <c r="U956" s="44" t="s">
        <v>1958</v>
      </c>
      <c r="V956" s="44" t="s">
        <v>1382</v>
      </c>
      <c r="W956" s="44" t="s">
        <v>1717</v>
      </c>
      <c r="X956" s="44" t="s">
        <v>1382</v>
      </c>
      <c r="Y956" s="44" t="s">
        <v>1382</v>
      </c>
      <c r="AA956" s="323"/>
      <c r="AB956" s="323"/>
      <c r="AC956" s="32" t="s">
        <v>450</v>
      </c>
      <c r="AG956" s="32" t="s">
        <v>1338</v>
      </c>
      <c r="AH956" s="32" t="s">
        <v>1538</v>
      </c>
      <c r="AI956" s="138" t="s">
        <v>577</v>
      </c>
      <c r="AJ956" s="32" t="s">
        <v>116</v>
      </c>
      <c r="AK956" s="140" t="s">
        <v>116</v>
      </c>
      <c r="AO956" s="32" t="s">
        <v>662</v>
      </c>
      <c r="AP956" s="32" t="s">
        <v>662</v>
      </c>
      <c r="AQ956" s="32" t="s">
        <v>2125</v>
      </c>
      <c r="AR956" s="32" t="s">
        <v>2125</v>
      </c>
      <c r="AS956" s="32" t="s">
        <v>177</v>
      </c>
      <c r="AT956" s="32" t="s">
        <v>663</v>
      </c>
      <c r="AU956" s="32" t="s">
        <v>663</v>
      </c>
      <c r="AV956" s="32" t="s">
        <v>177</v>
      </c>
      <c r="AW956" s="32" t="s">
        <v>119</v>
      </c>
      <c r="AX956" s="32">
        <v>4</v>
      </c>
      <c r="AZ956" s="32" t="s">
        <v>335</v>
      </c>
      <c r="BK956" s="32">
        <v>2453</v>
      </c>
      <c r="BL956" s="32">
        <v>2024</v>
      </c>
      <c r="BP956" s="397"/>
      <c r="BQ956" s="397"/>
      <c r="BU956" s="397"/>
      <c r="BV956" s="397"/>
      <c r="BZ956" s="397"/>
      <c r="CA956" s="397"/>
      <c r="CE956" s="550"/>
      <c r="CF956" s="550"/>
      <c r="CG956" s="550"/>
      <c r="CH956" s="550"/>
      <c r="CJ956" s="32">
        <f t="shared" ref="CJ956:CJ958" si="232">(64+19)/2</f>
        <v>41.5</v>
      </c>
      <c r="CK956" s="32">
        <f>(45+9)/2</f>
        <v>27</v>
      </c>
      <c r="CN956" s="32" t="s">
        <v>678</v>
      </c>
      <c r="FQ956" s="32">
        <v>288</v>
      </c>
      <c r="FR956" s="32">
        <v>207</v>
      </c>
      <c r="FU956" s="32" t="s">
        <v>664</v>
      </c>
      <c r="JB956" s="32" t="s">
        <v>728</v>
      </c>
    </row>
    <row r="957" spans="1:262" s="32" customFormat="1" x14ac:dyDescent="0.25">
      <c r="A957" s="32">
        <v>45</v>
      </c>
      <c r="B957" s="44" t="s">
        <v>3975</v>
      </c>
      <c r="C957" s="32" t="s">
        <v>660</v>
      </c>
      <c r="D957" s="32" t="s">
        <v>661</v>
      </c>
      <c r="E957" s="32">
        <v>2005</v>
      </c>
      <c r="F957" s="32">
        <v>1997</v>
      </c>
      <c r="G957" s="32" t="s">
        <v>302</v>
      </c>
      <c r="H957" s="32" t="s">
        <v>526</v>
      </c>
      <c r="I957" s="32" t="s">
        <v>2815</v>
      </c>
      <c r="J957" s="32">
        <v>40.19</v>
      </c>
      <c r="K957" s="32">
        <v>-103.17</v>
      </c>
      <c r="L957" s="32">
        <v>1384</v>
      </c>
      <c r="R957" s="44">
        <v>4</v>
      </c>
      <c r="S957" s="44" t="s">
        <v>1843</v>
      </c>
      <c r="T957" s="44"/>
      <c r="U957" s="44" t="s">
        <v>1958</v>
      </c>
      <c r="V957" s="44" t="s">
        <v>1382</v>
      </c>
      <c r="W957" s="44" t="s">
        <v>1717</v>
      </c>
      <c r="X957" s="44" t="s">
        <v>1382</v>
      </c>
      <c r="Y957" s="44" t="s">
        <v>1382</v>
      </c>
      <c r="AA957" s="323"/>
      <c r="AB957" s="323"/>
      <c r="AC957" s="32" t="s">
        <v>450</v>
      </c>
      <c r="AG957" s="32" t="s">
        <v>1338</v>
      </c>
      <c r="AH957" s="32" t="s">
        <v>562</v>
      </c>
      <c r="AI957" s="138" t="s">
        <v>577</v>
      </c>
      <c r="AJ957" s="32" t="s">
        <v>116</v>
      </c>
      <c r="AK957" s="140" t="s">
        <v>116</v>
      </c>
      <c r="AO957" s="32" t="s">
        <v>662</v>
      </c>
      <c r="AP957" s="32" t="s">
        <v>662</v>
      </c>
      <c r="AQ957" s="32" t="s">
        <v>2125</v>
      </c>
      <c r="AR957" s="32" t="s">
        <v>2125</v>
      </c>
      <c r="AS957" s="32" t="s">
        <v>177</v>
      </c>
      <c r="AT957" s="32" t="s">
        <v>663</v>
      </c>
      <c r="AU957" s="32" t="s">
        <v>663</v>
      </c>
      <c r="AV957" s="32" t="s">
        <v>177</v>
      </c>
      <c r="AW957" s="32" t="s">
        <v>119</v>
      </c>
      <c r="AX957" s="32">
        <v>4</v>
      </c>
      <c r="AZ957" s="32" t="s">
        <v>335</v>
      </c>
      <c r="BP957" s="397"/>
      <c r="BQ957" s="397"/>
      <c r="BU957" s="397"/>
      <c r="BV957" s="397"/>
      <c r="BZ957" s="397"/>
      <c r="CA957" s="397"/>
      <c r="CE957" s="550"/>
      <c r="CF957" s="550"/>
      <c r="CG957" s="550"/>
      <c r="CH957" s="550"/>
      <c r="JB957" s="32" t="s">
        <v>728</v>
      </c>
    </row>
    <row r="958" spans="1:262" s="32" customFormat="1" x14ac:dyDescent="0.25">
      <c r="A958" s="32">
        <v>45</v>
      </c>
      <c r="B958" s="44" t="s">
        <v>3975</v>
      </c>
      <c r="C958" s="32" t="s">
        <v>660</v>
      </c>
      <c r="D958" s="32" t="s">
        <v>661</v>
      </c>
      <c r="E958" s="32">
        <v>2005</v>
      </c>
      <c r="F958" s="32">
        <v>1997</v>
      </c>
      <c r="G958" s="32" t="s">
        <v>302</v>
      </c>
      <c r="H958" s="32" t="s">
        <v>526</v>
      </c>
      <c r="I958" s="32" t="s">
        <v>2815</v>
      </c>
      <c r="J958" s="32">
        <v>40.19</v>
      </c>
      <c r="K958" s="32">
        <v>-103.17</v>
      </c>
      <c r="L958" s="32">
        <v>1384</v>
      </c>
      <c r="R958" s="44">
        <v>4</v>
      </c>
      <c r="S958" s="44" t="s">
        <v>1843</v>
      </c>
      <c r="T958" s="44"/>
      <c r="U958" s="44" t="s">
        <v>1958</v>
      </c>
      <c r="V958" s="44" t="s">
        <v>1382</v>
      </c>
      <c r="W958" s="44" t="s">
        <v>1717</v>
      </c>
      <c r="X958" s="44" t="s">
        <v>1382</v>
      </c>
      <c r="Y958" s="44" t="s">
        <v>1382</v>
      </c>
      <c r="AA958" s="323"/>
      <c r="AB958" s="323"/>
      <c r="AC958" s="32" t="s">
        <v>450</v>
      </c>
      <c r="AG958" s="32" t="s">
        <v>1338</v>
      </c>
      <c r="AH958" s="32" t="s">
        <v>243</v>
      </c>
      <c r="AI958" s="138" t="s">
        <v>577</v>
      </c>
      <c r="AJ958" s="32" t="s">
        <v>116</v>
      </c>
      <c r="AK958" s="140" t="s">
        <v>116</v>
      </c>
      <c r="AO958" s="32" t="s">
        <v>662</v>
      </c>
      <c r="AP958" s="32" t="s">
        <v>662</v>
      </c>
      <c r="AQ958" s="32" t="s">
        <v>2125</v>
      </c>
      <c r="AR958" s="32" t="s">
        <v>2125</v>
      </c>
      <c r="AS958" s="32" t="s">
        <v>177</v>
      </c>
      <c r="AT958" s="32" t="s">
        <v>663</v>
      </c>
      <c r="AU958" s="32" t="s">
        <v>663</v>
      </c>
      <c r="AV958" s="32" t="s">
        <v>177</v>
      </c>
      <c r="AW958" s="32" t="s">
        <v>119</v>
      </c>
      <c r="AX958" s="32">
        <v>4</v>
      </c>
      <c r="AZ958" s="32" t="s">
        <v>335</v>
      </c>
      <c r="BK958" s="32">
        <v>2453</v>
      </c>
      <c r="BL958" s="32">
        <v>1857</v>
      </c>
      <c r="BP958" s="397"/>
      <c r="BQ958" s="397"/>
      <c r="BU958" s="397"/>
      <c r="BV958" s="397"/>
      <c r="BZ958" s="397"/>
      <c r="CA958" s="397"/>
      <c r="CE958" s="550"/>
      <c r="CF958" s="550"/>
      <c r="CG958" s="550"/>
      <c r="CH958" s="550"/>
      <c r="CJ958" s="32">
        <f t="shared" si="232"/>
        <v>41.5</v>
      </c>
      <c r="CK958" s="32">
        <f>(58+10)/2</f>
        <v>34</v>
      </c>
      <c r="CN958" s="32" t="s">
        <v>678</v>
      </c>
      <c r="FQ958" s="32">
        <v>288</v>
      </c>
      <c r="FR958" s="32">
        <v>205</v>
      </c>
      <c r="FU958" s="32" t="s">
        <v>664</v>
      </c>
      <c r="JB958" s="32" t="s">
        <v>728</v>
      </c>
    </row>
    <row r="959" spans="1:262" s="24" customFormat="1" x14ac:dyDescent="0.25">
      <c r="A959" s="24">
        <v>45</v>
      </c>
      <c r="B959" s="42" t="s">
        <v>3975</v>
      </c>
      <c r="C959" s="24" t="s">
        <v>660</v>
      </c>
      <c r="D959" s="24" t="s">
        <v>661</v>
      </c>
      <c r="E959" s="24">
        <v>2005</v>
      </c>
      <c r="F959" s="24">
        <v>1998</v>
      </c>
      <c r="G959" s="24" t="s">
        <v>302</v>
      </c>
      <c r="H959" s="24" t="s">
        <v>526</v>
      </c>
      <c r="I959" s="32" t="s">
        <v>2815</v>
      </c>
      <c r="J959" s="24">
        <v>40.19</v>
      </c>
      <c r="K959" s="24">
        <v>-103.17</v>
      </c>
      <c r="L959" s="24">
        <v>1384</v>
      </c>
      <c r="R959" s="42">
        <v>5</v>
      </c>
      <c r="S959" s="42" t="s">
        <v>1843</v>
      </c>
      <c r="T959" s="42"/>
      <c r="U959" s="42" t="s">
        <v>1958</v>
      </c>
      <c r="V959" s="42" t="s">
        <v>1382</v>
      </c>
      <c r="W959" s="42" t="s">
        <v>1717</v>
      </c>
      <c r="X959" s="42" t="s">
        <v>1382</v>
      </c>
      <c r="Y959" s="42" t="s">
        <v>1382</v>
      </c>
      <c r="AA959" s="321"/>
      <c r="AB959" s="321"/>
      <c r="AC959" s="24" t="s">
        <v>450</v>
      </c>
      <c r="AG959" s="24" t="s">
        <v>1338</v>
      </c>
      <c r="AH959" s="24" t="s">
        <v>1537</v>
      </c>
      <c r="AI959" s="138" t="s">
        <v>577</v>
      </c>
      <c r="AJ959" s="24" t="s">
        <v>116</v>
      </c>
      <c r="AK959" s="140" t="s">
        <v>116</v>
      </c>
      <c r="AO959" s="24" t="s">
        <v>662</v>
      </c>
      <c r="AP959" s="24" t="s">
        <v>662</v>
      </c>
      <c r="AQ959" s="24" t="s">
        <v>2125</v>
      </c>
      <c r="AR959" s="24" t="s">
        <v>2125</v>
      </c>
      <c r="AS959" s="24" t="s">
        <v>177</v>
      </c>
      <c r="AT959" s="24" t="s">
        <v>663</v>
      </c>
      <c r="AU959" s="24" t="s">
        <v>663</v>
      </c>
      <c r="AV959" s="24" t="s">
        <v>177</v>
      </c>
      <c r="AW959" s="24" t="s">
        <v>119</v>
      </c>
      <c r="AX959" s="24">
        <v>4</v>
      </c>
      <c r="AZ959" s="24" t="s">
        <v>335</v>
      </c>
      <c r="BK959" s="24">
        <v>4470</v>
      </c>
      <c r="BL959" s="24">
        <v>2327</v>
      </c>
      <c r="BP959" s="395"/>
      <c r="BQ959" s="395"/>
      <c r="BU959" s="395"/>
      <c r="BV959" s="395"/>
      <c r="BZ959" s="395"/>
      <c r="CA959" s="395"/>
      <c r="CE959" s="548"/>
      <c r="CF959" s="548"/>
      <c r="CG959" s="548"/>
      <c r="CH959" s="548"/>
      <c r="CJ959" s="24">
        <f>(25+10)/2</f>
        <v>17.5</v>
      </c>
      <c r="CK959" s="24">
        <f>(34+10)/2</f>
        <v>22</v>
      </c>
      <c r="CN959" s="24" t="s">
        <v>678</v>
      </c>
      <c r="FQ959" s="24">
        <v>283</v>
      </c>
      <c r="FR959" s="24">
        <v>158</v>
      </c>
      <c r="FU959" s="24" t="s">
        <v>664</v>
      </c>
      <c r="JB959" s="24" t="s">
        <v>728</v>
      </c>
    </row>
    <row r="960" spans="1:262" s="24" customFormat="1" x14ac:dyDescent="0.25">
      <c r="A960" s="24">
        <v>45</v>
      </c>
      <c r="B960" s="42" t="s">
        <v>3975</v>
      </c>
      <c r="C960" s="24" t="s">
        <v>660</v>
      </c>
      <c r="D960" s="24" t="s">
        <v>661</v>
      </c>
      <c r="E960" s="24">
        <v>2005</v>
      </c>
      <c r="F960" s="24">
        <v>1998</v>
      </c>
      <c r="G960" s="24" t="s">
        <v>302</v>
      </c>
      <c r="H960" s="24" t="s">
        <v>526</v>
      </c>
      <c r="I960" s="32" t="s">
        <v>2815</v>
      </c>
      <c r="J960" s="24">
        <v>40.19</v>
      </c>
      <c r="K960" s="24">
        <v>-103.17</v>
      </c>
      <c r="L960" s="24">
        <v>1384</v>
      </c>
      <c r="R960" s="42">
        <v>5</v>
      </c>
      <c r="S960" s="42" t="s">
        <v>1843</v>
      </c>
      <c r="T960" s="42"/>
      <c r="U960" s="42" t="s">
        <v>1958</v>
      </c>
      <c r="V960" s="42" t="s">
        <v>1382</v>
      </c>
      <c r="W960" s="42" t="s">
        <v>1717</v>
      </c>
      <c r="X960" s="42" t="s">
        <v>1382</v>
      </c>
      <c r="Y960" s="42" t="s">
        <v>1382</v>
      </c>
      <c r="AA960" s="321"/>
      <c r="AB960" s="321"/>
      <c r="AC960" s="24" t="s">
        <v>450</v>
      </c>
      <c r="AG960" s="24" t="s">
        <v>1338</v>
      </c>
      <c r="AH960" s="24" t="s">
        <v>1538</v>
      </c>
      <c r="AI960" s="138" t="s">
        <v>577</v>
      </c>
      <c r="AJ960" s="24" t="s">
        <v>116</v>
      </c>
      <c r="AK960" s="140" t="s">
        <v>116</v>
      </c>
      <c r="AO960" s="24" t="s">
        <v>662</v>
      </c>
      <c r="AP960" s="24" t="s">
        <v>662</v>
      </c>
      <c r="AQ960" s="24" t="s">
        <v>2125</v>
      </c>
      <c r="AR960" s="24" t="s">
        <v>2125</v>
      </c>
      <c r="AS960" s="24" t="s">
        <v>177</v>
      </c>
      <c r="AT960" s="24" t="s">
        <v>663</v>
      </c>
      <c r="AU960" s="24" t="s">
        <v>663</v>
      </c>
      <c r="AV960" s="24" t="s">
        <v>177</v>
      </c>
      <c r="AW960" s="24" t="s">
        <v>119</v>
      </c>
      <c r="AX960" s="24">
        <v>4</v>
      </c>
      <c r="AZ960" s="24" t="s">
        <v>335</v>
      </c>
      <c r="BK960" s="24">
        <v>4470</v>
      </c>
      <c r="BL960" s="24">
        <v>2269</v>
      </c>
      <c r="BP960" s="395"/>
      <c r="BQ960" s="395"/>
      <c r="BU960" s="395"/>
      <c r="BV960" s="395"/>
      <c r="BZ960" s="395"/>
      <c r="CA960" s="395"/>
      <c r="CE960" s="548"/>
      <c r="CF960" s="548"/>
      <c r="CG960" s="548"/>
      <c r="CH960" s="548"/>
      <c r="CJ960" s="24">
        <f t="shared" ref="CJ960:CJ962" si="233">(25+10)/2</f>
        <v>17.5</v>
      </c>
      <c r="CK960" s="24">
        <f>(24+11)/2</f>
        <v>17.5</v>
      </c>
      <c r="CN960" s="24" t="s">
        <v>678</v>
      </c>
      <c r="FQ960" s="24">
        <v>283</v>
      </c>
      <c r="FR960" s="24">
        <v>216</v>
      </c>
      <c r="FU960" s="24" t="s">
        <v>664</v>
      </c>
      <c r="JB960" s="24" t="s">
        <v>728</v>
      </c>
    </row>
    <row r="961" spans="1:263" s="24" customFormat="1" x14ac:dyDescent="0.25">
      <c r="A961" s="24">
        <v>45</v>
      </c>
      <c r="B961" s="42" t="s">
        <v>3975</v>
      </c>
      <c r="C961" s="24" t="s">
        <v>660</v>
      </c>
      <c r="D961" s="24" t="s">
        <v>661</v>
      </c>
      <c r="E961" s="24">
        <v>2005</v>
      </c>
      <c r="F961" s="24">
        <v>1998</v>
      </c>
      <c r="G961" s="24" t="s">
        <v>302</v>
      </c>
      <c r="H961" s="24" t="s">
        <v>526</v>
      </c>
      <c r="I961" s="32" t="s">
        <v>2815</v>
      </c>
      <c r="J961" s="24">
        <v>40.19</v>
      </c>
      <c r="K961" s="24">
        <v>-103.17</v>
      </c>
      <c r="L961" s="24">
        <v>1384</v>
      </c>
      <c r="R961" s="42">
        <v>5</v>
      </c>
      <c r="S961" s="42" t="s">
        <v>1843</v>
      </c>
      <c r="T961" s="42"/>
      <c r="U961" s="42" t="s">
        <v>1958</v>
      </c>
      <c r="V961" s="42" t="s">
        <v>1382</v>
      </c>
      <c r="W961" s="42" t="s">
        <v>1717</v>
      </c>
      <c r="X961" s="42" t="s">
        <v>1382</v>
      </c>
      <c r="Y961" s="42" t="s">
        <v>1382</v>
      </c>
      <c r="AA961" s="321"/>
      <c r="AB961" s="321"/>
      <c r="AC961" s="24" t="s">
        <v>450</v>
      </c>
      <c r="AG961" s="24" t="s">
        <v>1338</v>
      </c>
      <c r="AH961" s="24" t="s">
        <v>562</v>
      </c>
      <c r="AI961" s="138" t="s">
        <v>577</v>
      </c>
      <c r="AJ961" s="24" t="s">
        <v>116</v>
      </c>
      <c r="AK961" s="140" t="s">
        <v>116</v>
      </c>
      <c r="AO961" s="24" t="s">
        <v>662</v>
      </c>
      <c r="AP961" s="24" t="s">
        <v>662</v>
      </c>
      <c r="AQ961" s="24" t="s">
        <v>2125</v>
      </c>
      <c r="AR961" s="24" t="s">
        <v>2125</v>
      </c>
      <c r="AS961" s="24" t="s">
        <v>177</v>
      </c>
      <c r="AT961" s="24" t="s">
        <v>663</v>
      </c>
      <c r="AU961" s="24" t="s">
        <v>663</v>
      </c>
      <c r="AV961" s="24" t="s">
        <v>177</v>
      </c>
      <c r="AW961" s="24" t="s">
        <v>119</v>
      </c>
      <c r="AX961" s="24">
        <v>4</v>
      </c>
      <c r="AZ961" s="24" t="s">
        <v>335</v>
      </c>
      <c r="BP961" s="395"/>
      <c r="BQ961" s="395"/>
      <c r="BU961" s="395"/>
      <c r="BV961" s="395"/>
      <c r="BZ961" s="395"/>
      <c r="CA961" s="395"/>
      <c r="CE961" s="548"/>
      <c r="CF961" s="548"/>
      <c r="CG961" s="548"/>
      <c r="CH961" s="548"/>
      <c r="JB961" s="24" t="s">
        <v>728</v>
      </c>
    </row>
    <row r="962" spans="1:263" s="24" customFormat="1" x14ac:dyDescent="0.25">
      <c r="A962" s="24">
        <v>45</v>
      </c>
      <c r="B962" s="42" t="s">
        <v>3975</v>
      </c>
      <c r="C962" s="24" t="s">
        <v>660</v>
      </c>
      <c r="D962" s="24" t="s">
        <v>661</v>
      </c>
      <c r="E962" s="24">
        <v>2005</v>
      </c>
      <c r="F962" s="24">
        <v>1998</v>
      </c>
      <c r="G962" s="24" t="s">
        <v>302</v>
      </c>
      <c r="H962" s="24" t="s">
        <v>526</v>
      </c>
      <c r="I962" s="32" t="s">
        <v>2815</v>
      </c>
      <c r="J962" s="24">
        <v>40.19</v>
      </c>
      <c r="K962" s="24">
        <v>-103.17</v>
      </c>
      <c r="L962" s="24">
        <v>1384</v>
      </c>
      <c r="R962" s="42">
        <v>5</v>
      </c>
      <c r="S962" s="42" t="s">
        <v>1843</v>
      </c>
      <c r="T962" s="42"/>
      <c r="U962" s="42" t="s">
        <v>1958</v>
      </c>
      <c r="V962" s="42" t="s">
        <v>1382</v>
      </c>
      <c r="W962" s="42" t="s">
        <v>1717</v>
      </c>
      <c r="X962" s="42" t="s">
        <v>1382</v>
      </c>
      <c r="Y962" s="42" t="s">
        <v>1382</v>
      </c>
      <c r="AA962" s="321"/>
      <c r="AB962" s="321"/>
      <c r="AC962" s="24" t="s">
        <v>450</v>
      </c>
      <c r="AG962" s="24" t="s">
        <v>1338</v>
      </c>
      <c r="AH962" s="24" t="s">
        <v>243</v>
      </c>
      <c r="AI962" s="138" t="s">
        <v>577</v>
      </c>
      <c r="AJ962" s="24" t="s">
        <v>116</v>
      </c>
      <c r="AK962" s="140" t="s">
        <v>116</v>
      </c>
      <c r="AO962" s="24" t="s">
        <v>662</v>
      </c>
      <c r="AP962" s="24" t="s">
        <v>662</v>
      </c>
      <c r="AQ962" s="24" t="s">
        <v>2125</v>
      </c>
      <c r="AR962" s="24" t="s">
        <v>2125</v>
      </c>
      <c r="AS962" s="24" t="s">
        <v>177</v>
      </c>
      <c r="AT962" s="24" t="s">
        <v>663</v>
      </c>
      <c r="AU962" s="24" t="s">
        <v>663</v>
      </c>
      <c r="AV962" s="24" t="s">
        <v>177</v>
      </c>
      <c r="AW962" s="24" t="s">
        <v>119</v>
      </c>
      <c r="AX962" s="24">
        <v>4</v>
      </c>
      <c r="AZ962" s="24" t="s">
        <v>335</v>
      </c>
      <c r="BK962" s="24">
        <v>4470</v>
      </c>
      <c r="BL962" s="24">
        <v>2293</v>
      </c>
      <c r="BP962" s="395"/>
      <c r="BQ962" s="395"/>
      <c r="BU962" s="395"/>
      <c r="BV962" s="395"/>
      <c r="BZ962" s="395"/>
      <c r="CA962" s="395"/>
      <c r="CE962" s="548"/>
      <c r="CF962" s="548"/>
      <c r="CG962" s="548"/>
      <c r="CH962" s="548"/>
      <c r="CJ962" s="24">
        <f t="shared" si="233"/>
        <v>17.5</v>
      </c>
      <c r="CK962" s="24">
        <f>(32+11)/2</f>
        <v>21.5</v>
      </c>
      <c r="CN962" s="24" t="s">
        <v>678</v>
      </c>
      <c r="FQ962" s="24">
        <v>283</v>
      </c>
      <c r="FR962" s="24">
        <v>165</v>
      </c>
      <c r="FU962" s="24" t="s">
        <v>664</v>
      </c>
      <c r="JB962" s="24" t="s">
        <v>728</v>
      </c>
    </row>
    <row r="963" spans="1:263" s="32" customFormat="1" x14ac:dyDescent="0.25">
      <c r="A963" s="32">
        <v>45</v>
      </c>
      <c r="B963" s="44" t="s">
        <v>3975</v>
      </c>
      <c r="C963" s="32" t="s">
        <v>660</v>
      </c>
      <c r="D963" s="32" t="s">
        <v>661</v>
      </c>
      <c r="E963" s="32">
        <v>2005</v>
      </c>
      <c r="F963" s="32">
        <v>1999</v>
      </c>
      <c r="G963" s="32" t="s">
        <v>302</v>
      </c>
      <c r="H963" s="32" t="s">
        <v>526</v>
      </c>
      <c r="I963" s="32" t="s">
        <v>2815</v>
      </c>
      <c r="J963" s="32">
        <v>40.19</v>
      </c>
      <c r="K963" s="32">
        <v>-103.17</v>
      </c>
      <c r="L963" s="32">
        <v>1384</v>
      </c>
      <c r="R963" s="44">
        <v>6</v>
      </c>
      <c r="S963" s="44" t="s">
        <v>1843</v>
      </c>
      <c r="T963" s="44"/>
      <c r="U963" s="44" t="s">
        <v>1958</v>
      </c>
      <c r="V963" s="44" t="s">
        <v>1382</v>
      </c>
      <c r="W963" s="44" t="s">
        <v>1717</v>
      </c>
      <c r="X963" s="44" t="s">
        <v>1382</v>
      </c>
      <c r="Y963" s="44" t="s">
        <v>1382</v>
      </c>
      <c r="AA963" s="323"/>
      <c r="AB963" s="323"/>
      <c r="AC963" s="32" t="s">
        <v>450</v>
      </c>
      <c r="AG963" s="32" t="s">
        <v>1338</v>
      </c>
      <c r="AH963" s="32" t="s">
        <v>1537</v>
      </c>
      <c r="AI963" s="138" t="s">
        <v>577</v>
      </c>
      <c r="AJ963" s="32" t="s">
        <v>116</v>
      </c>
      <c r="AK963" s="140" t="s">
        <v>116</v>
      </c>
      <c r="AO963" s="32" t="s">
        <v>662</v>
      </c>
      <c r="AP963" s="32" t="s">
        <v>662</v>
      </c>
      <c r="AQ963" s="32" t="s">
        <v>2125</v>
      </c>
      <c r="AR963" s="32" t="s">
        <v>2125</v>
      </c>
      <c r="AS963" s="32" t="s">
        <v>177</v>
      </c>
      <c r="AT963" s="32" t="s">
        <v>663</v>
      </c>
      <c r="AU963" s="32" t="s">
        <v>663</v>
      </c>
      <c r="AV963" s="32" t="s">
        <v>177</v>
      </c>
      <c r="AW963" s="32" t="s">
        <v>119</v>
      </c>
      <c r="AX963" s="32">
        <v>4</v>
      </c>
      <c r="AZ963" s="32" t="s">
        <v>335</v>
      </c>
      <c r="BK963" s="32">
        <v>2455</v>
      </c>
      <c r="BL963" s="32">
        <v>2007</v>
      </c>
      <c r="BP963" s="397"/>
      <c r="BQ963" s="397"/>
      <c r="BU963" s="397"/>
      <c r="BV963" s="397"/>
      <c r="BZ963" s="397"/>
      <c r="CA963" s="397"/>
      <c r="CE963" s="550"/>
      <c r="CF963" s="550"/>
      <c r="CG963" s="550"/>
      <c r="CH963" s="550"/>
      <c r="CJ963" s="32">
        <f>(59+14)/2</f>
        <v>36.5</v>
      </c>
      <c r="CK963" s="32">
        <f>(76+13)/2</f>
        <v>44.5</v>
      </c>
      <c r="CN963" s="32" t="s">
        <v>678</v>
      </c>
      <c r="FQ963" s="32">
        <v>455</v>
      </c>
      <c r="FR963" s="32">
        <v>379</v>
      </c>
      <c r="FU963" s="32" t="s">
        <v>664</v>
      </c>
      <c r="JB963" s="32" t="s">
        <v>728</v>
      </c>
    </row>
    <row r="964" spans="1:263" s="32" customFormat="1" x14ac:dyDescent="0.25">
      <c r="A964" s="32">
        <v>45</v>
      </c>
      <c r="B964" s="44" t="s">
        <v>3975</v>
      </c>
      <c r="C964" s="32" t="s">
        <v>660</v>
      </c>
      <c r="D964" s="32" t="s">
        <v>661</v>
      </c>
      <c r="E964" s="32">
        <v>2005</v>
      </c>
      <c r="F964" s="32">
        <v>1999</v>
      </c>
      <c r="G964" s="32" t="s">
        <v>302</v>
      </c>
      <c r="H964" s="32" t="s">
        <v>526</v>
      </c>
      <c r="I964" s="32" t="s">
        <v>2815</v>
      </c>
      <c r="J964" s="32">
        <v>40.19</v>
      </c>
      <c r="K964" s="32">
        <v>-103.17</v>
      </c>
      <c r="L964" s="32">
        <v>1384</v>
      </c>
      <c r="R964" s="44">
        <v>6</v>
      </c>
      <c r="S964" s="44" t="s">
        <v>1843</v>
      </c>
      <c r="T964" s="44"/>
      <c r="U964" s="44" t="s">
        <v>1958</v>
      </c>
      <c r="V964" s="44" t="s">
        <v>1382</v>
      </c>
      <c r="W964" s="44" t="s">
        <v>1717</v>
      </c>
      <c r="X964" s="44" t="s">
        <v>1382</v>
      </c>
      <c r="Y964" s="44" t="s">
        <v>1382</v>
      </c>
      <c r="AA964" s="323"/>
      <c r="AB964" s="323"/>
      <c r="AC964" s="32" t="s">
        <v>450</v>
      </c>
      <c r="AG964" s="32" t="s">
        <v>1338</v>
      </c>
      <c r="AH964" s="32" t="s">
        <v>1538</v>
      </c>
      <c r="AI964" s="138" t="s">
        <v>577</v>
      </c>
      <c r="AJ964" s="32" t="s">
        <v>116</v>
      </c>
      <c r="AK964" s="140" t="s">
        <v>116</v>
      </c>
      <c r="AO964" s="32" t="s">
        <v>662</v>
      </c>
      <c r="AP964" s="32" t="s">
        <v>662</v>
      </c>
      <c r="AQ964" s="32" t="s">
        <v>2125</v>
      </c>
      <c r="AR964" s="32" t="s">
        <v>2125</v>
      </c>
      <c r="AS964" s="32" t="s">
        <v>177</v>
      </c>
      <c r="AT964" s="32" t="s">
        <v>663</v>
      </c>
      <c r="AU964" s="32" t="s">
        <v>663</v>
      </c>
      <c r="AV964" s="32" t="s">
        <v>177</v>
      </c>
      <c r="AW964" s="32" t="s">
        <v>119</v>
      </c>
      <c r="AX964" s="32">
        <v>4</v>
      </c>
      <c r="AZ964" s="32" t="s">
        <v>335</v>
      </c>
      <c r="BK964" s="32">
        <v>2455</v>
      </c>
      <c r="BL964" s="32">
        <v>1875</v>
      </c>
      <c r="BP964" s="397"/>
      <c r="BQ964" s="397"/>
      <c r="BU964" s="397"/>
      <c r="BV964" s="397"/>
      <c r="BZ964" s="397"/>
      <c r="CA964" s="397"/>
      <c r="CE964" s="550"/>
      <c r="CF964" s="550"/>
      <c r="CG964" s="550"/>
      <c r="CH964" s="550"/>
      <c r="CJ964" s="32">
        <f t="shared" ref="CJ964:CJ966" si="234">(59+14)/2</f>
        <v>36.5</v>
      </c>
      <c r="CK964" s="32">
        <f>(59+14)/2</f>
        <v>36.5</v>
      </c>
      <c r="CN964" s="32" t="s">
        <v>678</v>
      </c>
      <c r="FQ964" s="32">
        <v>455</v>
      </c>
      <c r="FR964" s="32">
        <v>380</v>
      </c>
      <c r="FU964" s="32" t="s">
        <v>664</v>
      </c>
      <c r="JB964" s="32" t="s">
        <v>728</v>
      </c>
    </row>
    <row r="965" spans="1:263" s="32" customFormat="1" x14ac:dyDescent="0.25">
      <c r="A965" s="32">
        <v>45</v>
      </c>
      <c r="B965" s="44" t="s">
        <v>3975</v>
      </c>
      <c r="C965" s="32" t="s">
        <v>660</v>
      </c>
      <c r="D965" s="32" t="s">
        <v>661</v>
      </c>
      <c r="E965" s="32">
        <v>2005</v>
      </c>
      <c r="F965" s="32">
        <v>1999</v>
      </c>
      <c r="G965" s="32" t="s">
        <v>302</v>
      </c>
      <c r="H965" s="32" t="s">
        <v>526</v>
      </c>
      <c r="I965" s="32" t="s">
        <v>2815</v>
      </c>
      <c r="J965" s="32">
        <v>40.19</v>
      </c>
      <c r="K965" s="32">
        <v>-103.17</v>
      </c>
      <c r="L965" s="32">
        <v>1384</v>
      </c>
      <c r="R965" s="44">
        <v>6</v>
      </c>
      <c r="S965" s="44" t="s">
        <v>1843</v>
      </c>
      <c r="T965" s="44"/>
      <c r="U965" s="44" t="s">
        <v>1958</v>
      </c>
      <c r="V965" s="44" t="s">
        <v>1382</v>
      </c>
      <c r="W965" s="44" t="s">
        <v>1717</v>
      </c>
      <c r="X965" s="44" t="s">
        <v>1382</v>
      </c>
      <c r="Y965" s="44" t="s">
        <v>1382</v>
      </c>
      <c r="AA965" s="323"/>
      <c r="AB965" s="323"/>
      <c r="AC965" s="32" t="s">
        <v>450</v>
      </c>
      <c r="AG965" s="32" t="s">
        <v>1338</v>
      </c>
      <c r="AH965" s="32" t="s">
        <v>562</v>
      </c>
      <c r="AI965" s="138" t="s">
        <v>577</v>
      </c>
      <c r="AJ965" s="32" t="s">
        <v>116</v>
      </c>
      <c r="AK965" s="140" t="s">
        <v>116</v>
      </c>
      <c r="AO965" s="32" t="s">
        <v>662</v>
      </c>
      <c r="AP965" s="32" t="s">
        <v>662</v>
      </c>
      <c r="AQ965" s="32" t="s">
        <v>2125</v>
      </c>
      <c r="AR965" s="32" t="s">
        <v>2125</v>
      </c>
      <c r="AS965" s="32" t="s">
        <v>177</v>
      </c>
      <c r="AT965" s="32" t="s">
        <v>663</v>
      </c>
      <c r="AU965" s="32" t="s">
        <v>663</v>
      </c>
      <c r="AV965" s="32" t="s">
        <v>177</v>
      </c>
      <c r="AW965" s="32" t="s">
        <v>119</v>
      </c>
      <c r="AX965" s="32">
        <v>4</v>
      </c>
      <c r="AZ965" s="32" t="s">
        <v>335</v>
      </c>
      <c r="BP965" s="397"/>
      <c r="BQ965" s="397"/>
      <c r="BU965" s="397"/>
      <c r="BV965" s="397"/>
      <c r="BZ965" s="397"/>
      <c r="CA965" s="397"/>
      <c r="CE965" s="550"/>
      <c r="CF965" s="550"/>
      <c r="CG965" s="550"/>
      <c r="CH965" s="550"/>
      <c r="JB965" s="32" t="s">
        <v>728</v>
      </c>
    </row>
    <row r="966" spans="1:263" s="32" customFormat="1" x14ac:dyDescent="0.25">
      <c r="A966" s="32">
        <v>45</v>
      </c>
      <c r="B966" s="44" t="s">
        <v>3975</v>
      </c>
      <c r="C966" s="32" t="s">
        <v>660</v>
      </c>
      <c r="D966" s="32" t="s">
        <v>661</v>
      </c>
      <c r="E966" s="32">
        <v>2005</v>
      </c>
      <c r="F966" s="32">
        <v>1999</v>
      </c>
      <c r="G966" s="32" t="s">
        <v>302</v>
      </c>
      <c r="H966" s="32" t="s">
        <v>526</v>
      </c>
      <c r="I966" s="32" t="s">
        <v>2815</v>
      </c>
      <c r="J966" s="32">
        <v>40.19</v>
      </c>
      <c r="K966" s="32">
        <v>-103.17</v>
      </c>
      <c r="L966" s="32">
        <v>1384</v>
      </c>
      <c r="R966" s="44">
        <v>6</v>
      </c>
      <c r="S966" s="44" t="s">
        <v>1843</v>
      </c>
      <c r="T966" s="44"/>
      <c r="U966" s="44" t="s">
        <v>1958</v>
      </c>
      <c r="V966" s="44" t="s">
        <v>1382</v>
      </c>
      <c r="W966" s="44" t="s">
        <v>1717</v>
      </c>
      <c r="X966" s="44" t="s">
        <v>1382</v>
      </c>
      <c r="Y966" s="44" t="s">
        <v>1382</v>
      </c>
      <c r="AA966" s="323"/>
      <c r="AB966" s="323"/>
      <c r="AC966" s="32" t="s">
        <v>450</v>
      </c>
      <c r="AG966" s="32" t="s">
        <v>1338</v>
      </c>
      <c r="AH966" s="32" t="s">
        <v>243</v>
      </c>
      <c r="AI966" s="138" t="s">
        <v>577</v>
      </c>
      <c r="AJ966" s="32" t="s">
        <v>116</v>
      </c>
      <c r="AK966" s="140" t="s">
        <v>116</v>
      </c>
      <c r="AO966" s="32" t="s">
        <v>662</v>
      </c>
      <c r="AP966" s="32" t="s">
        <v>662</v>
      </c>
      <c r="AQ966" s="32" t="s">
        <v>2125</v>
      </c>
      <c r="AR966" s="32" t="s">
        <v>2125</v>
      </c>
      <c r="AS966" s="32" t="s">
        <v>177</v>
      </c>
      <c r="AT966" s="32" t="s">
        <v>663</v>
      </c>
      <c r="AU966" s="32" t="s">
        <v>663</v>
      </c>
      <c r="AV966" s="32" t="s">
        <v>177</v>
      </c>
      <c r="AW966" s="32" t="s">
        <v>119</v>
      </c>
      <c r="AX966" s="32">
        <v>4</v>
      </c>
      <c r="AZ966" s="32" t="s">
        <v>335</v>
      </c>
      <c r="BK966" s="32">
        <v>2455</v>
      </c>
      <c r="BL966" s="32">
        <v>1786</v>
      </c>
      <c r="BP966" s="397"/>
      <c r="BQ966" s="397"/>
      <c r="BU966" s="397"/>
      <c r="BV966" s="397"/>
      <c r="BZ966" s="397"/>
      <c r="CA966" s="397"/>
      <c r="CE966" s="550"/>
      <c r="CF966" s="550"/>
      <c r="CG966" s="550"/>
      <c r="CH966" s="550"/>
      <c r="CJ966" s="32">
        <f t="shared" si="234"/>
        <v>36.5</v>
      </c>
      <c r="CK966" s="32">
        <f>(71+14)/2</f>
        <v>42.5</v>
      </c>
      <c r="CN966" s="32" t="s">
        <v>678</v>
      </c>
      <c r="FQ966" s="32">
        <v>455</v>
      </c>
      <c r="FR966" s="32">
        <v>375</v>
      </c>
      <c r="FU966" s="32" t="s">
        <v>664</v>
      </c>
      <c r="JB966" s="32" t="s">
        <v>728</v>
      </c>
    </row>
    <row r="967" spans="1:263" s="33" customFormat="1" x14ac:dyDescent="0.25">
      <c r="A967" s="33">
        <v>46</v>
      </c>
      <c r="B967" s="47" t="s">
        <v>3976</v>
      </c>
      <c r="C967" s="33" t="s">
        <v>666</v>
      </c>
      <c r="D967" s="33" t="s">
        <v>665</v>
      </c>
      <c r="E967" s="33">
        <v>2013</v>
      </c>
      <c r="F967" s="33">
        <v>2009</v>
      </c>
      <c r="G967" s="33" t="s">
        <v>329</v>
      </c>
      <c r="H967" s="33" t="s">
        <v>667</v>
      </c>
      <c r="I967" s="32" t="s">
        <v>2815</v>
      </c>
      <c r="J967" s="33">
        <f>47+55/60</f>
        <v>47.916666666666664</v>
      </c>
      <c r="K967" s="33">
        <f>-109-55/60</f>
        <v>-109.91666666666667</v>
      </c>
      <c r="L967" s="33">
        <v>888</v>
      </c>
      <c r="R967" s="47">
        <v>1</v>
      </c>
      <c r="S967" s="47" t="s">
        <v>1847</v>
      </c>
      <c r="T967" s="47"/>
      <c r="U967" s="47" t="s">
        <v>1959</v>
      </c>
      <c r="V967" s="47" t="s">
        <v>1389</v>
      </c>
      <c r="W967" s="47" t="s">
        <v>1720</v>
      </c>
      <c r="X967" s="47" t="s">
        <v>1389</v>
      </c>
      <c r="Y967" s="47" t="s">
        <v>1417</v>
      </c>
      <c r="AA967" s="327"/>
      <c r="AB967" s="327"/>
      <c r="AC967" s="33" t="s">
        <v>518</v>
      </c>
      <c r="AD967" s="33">
        <v>6.1</v>
      </c>
      <c r="AE967" s="33">
        <v>1.1000000000000001</v>
      </c>
      <c r="AG967" s="33" t="s">
        <v>1339</v>
      </c>
      <c r="AH967" s="33" t="s">
        <v>1539</v>
      </c>
      <c r="AI967" s="138" t="s">
        <v>577</v>
      </c>
      <c r="AJ967" s="33" t="s">
        <v>1527</v>
      </c>
      <c r="AK967" s="141" t="s">
        <v>1619</v>
      </c>
      <c r="AL967" s="33" t="s">
        <v>1626</v>
      </c>
      <c r="AM967" s="33" t="s">
        <v>1626</v>
      </c>
      <c r="AN967" s="33" t="s">
        <v>177</v>
      </c>
      <c r="AP967" s="33" t="s">
        <v>156</v>
      </c>
      <c r="AQ967" s="33" t="s">
        <v>2126</v>
      </c>
      <c r="AR967" s="33" t="s">
        <v>2126</v>
      </c>
      <c r="AT967" s="33">
        <v>0</v>
      </c>
      <c r="AU967" s="33">
        <v>0</v>
      </c>
      <c r="AV967" s="33" t="s">
        <v>177</v>
      </c>
      <c r="AW967" s="33" t="s">
        <v>119</v>
      </c>
      <c r="AX967" s="33">
        <v>6</v>
      </c>
      <c r="AZ967" s="33" t="s">
        <v>141</v>
      </c>
      <c r="BB967" s="33">
        <f>1.07*1000</f>
        <v>1070</v>
      </c>
      <c r="BC967" s="33">
        <f>BB967/44.2</f>
        <v>24.20814479638009</v>
      </c>
      <c r="BD967" s="57" t="s">
        <v>673</v>
      </c>
      <c r="BK967" s="33">
        <v>4760</v>
      </c>
      <c r="BL967" s="33">
        <v>4250</v>
      </c>
      <c r="BP967" s="402"/>
      <c r="BQ967" s="402"/>
      <c r="BU967" s="402"/>
      <c r="BV967" s="402"/>
      <c r="BZ967" s="402"/>
      <c r="CA967" s="402"/>
      <c r="CE967" s="555"/>
      <c r="CF967" s="555"/>
      <c r="CG967" s="555"/>
      <c r="CH967" s="555"/>
      <c r="CJ967" s="33">
        <f>16</f>
        <v>16</v>
      </c>
      <c r="CK967" s="33">
        <f>10.6</f>
        <v>10.6</v>
      </c>
      <c r="CN967" s="33" t="s">
        <v>679</v>
      </c>
      <c r="CO967" s="33">
        <v>23</v>
      </c>
      <c r="CP967" s="33">
        <v>21</v>
      </c>
      <c r="CT967" s="33">
        <v>340</v>
      </c>
      <c r="CU967" s="33">
        <v>433</v>
      </c>
      <c r="FL967" s="33">
        <f>77/3</f>
        <v>25.666666666666668</v>
      </c>
      <c r="FM967" s="33">
        <f>51/3</f>
        <v>17</v>
      </c>
      <c r="FP967" s="33" t="s">
        <v>707</v>
      </c>
      <c r="HJ967" s="33">
        <v>15</v>
      </c>
      <c r="HK967" s="33">
        <v>5</v>
      </c>
      <c r="JB967" s="33" t="s">
        <v>681</v>
      </c>
      <c r="JC967" s="33" t="s">
        <v>680</v>
      </c>
    </row>
    <row r="968" spans="1:263" s="33" customFormat="1" x14ac:dyDescent="0.25">
      <c r="A968" s="33">
        <v>46</v>
      </c>
      <c r="B968" s="47" t="s">
        <v>3977</v>
      </c>
      <c r="C968" s="33" t="s">
        <v>666</v>
      </c>
      <c r="D968" s="33" t="s">
        <v>665</v>
      </c>
      <c r="E968" s="33">
        <v>2013</v>
      </c>
      <c r="F968" s="33">
        <v>2009</v>
      </c>
      <c r="G968" s="33" t="s">
        <v>329</v>
      </c>
      <c r="H968" s="33" t="s">
        <v>668</v>
      </c>
      <c r="I968" s="32" t="s">
        <v>2815</v>
      </c>
      <c r="J968" s="33">
        <f>48+18/60</f>
        <v>48.3</v>
      </c>
      <c r="K968" s="33">
        <f>-110-6/60</f>
        <v>-110.1</v>
      </c>
      <c r="L968" s="33">
        <v>833</v>
      </c>
      <c r="R968" s="47">
        <v>1</v>
      </c>
      <c r="S968" s="47" t="s">
        <v>1847</v>
      </c>
      <c r="T968" s="47"/>
      <c r="U968" s="47" t="s">
        <v>1959</v>
      </c>
      <c r="V968" s="47" t="s">
        <v>1389</v>
      </c>
      <c r="W968" s="47" t="s">
        <v>1720</v>
      </c>
      <c r="X968" s="47" t="s">
        <v>1389</v>
      </c>
      <c r="Y968" s="47" t="s">
        <v>1417</v>
      </c>
      <c r="AA968" s="327"/>
      <c r="AB968" s="327"/>
      <c r="AC968" s="33" t="s">
        <v>139</v>
      </c>
      <c r="AD968" s="33">
        <v>6.9</v>
      </c>
      <c r="AE968" s="33">
        <v>0.87</v>
      </c>
      <c r="AG968" s="33" t="s">
        <v>1339</v>
      </c>
      <c r="AH968" s="33" t="s">
        <v>1540</v>
      </c>
      <c r="AI968" s="138" t="s">
        <v>577</v>
      </c>
      <c r="AJ968" s="33" t="s">
        <v>1527</v>
      </c>
      <c r="AK968" s="141" t="s">
        <v>1619</v>
      </c>
      <c r="AL968" s="33" t="s">
        <v>1626</v>
      </c>
      <c r="AM968" s="33" t="s">
        <v>1626</v>
      </c>
      <c r="AN968" s="33" t="s">
        <v>177</v>
      </c>
      <c r="AP968" s="33" t="s">
        <v>156</v>
      </c>
      <c r="AQ968" s="33" t="s">
        <v>2126</v>
      </c>
      <c r="AR968" s="33" t="s">
        <v>2126</v>
      </c>
      <c r="AT968" s="33">
        <v>0</v>
      </c>
      <c r="AU968" s="33">
        <v>0</v>
      </c>
      <c r="AV968" s="33" t="s">
        <v>177</v>
      </c>
      <c r="AW968" s="33" t="s">
        <v>119</v>
      </c>
      <c r="AX968" s="33">
        <v>8</v>
      </c>
      <c r="AZ968" s="33" t="s">
        <v>141</v>
      </c>
      <c r="BB968" s="33">
        <v>730</v>
      </c>
      <c r="BC968" s="33">
        <f>BB968/19.3</f>
        <v>37.823834196891191</v>
      </c>
      <c r="BD968" s="57" t="s">
        <v>674</v>
      </c>
      <c r="BK968" s="33">
        <v>4480</v>
      </c>
      <c r="BL968" s="33">
        <v>4430</v>
      </c>
      <c r="BP968" s="402"/>
      <c r="BQ968" s="402"/>
      <c r="BU968" s="402"/>
      <c r="BV968" s="402"/>
      <c r="BZ968" s="402"/>
      <c r="CA968" s="402"/>
      <c r="CE968" s="555"/>
      <c r="CF968" s="555"/>
      <c r="CG968" s="555"/>
      <c r="CH968" s="555"/>
      <c r="CJ968" s="33">
        <f>10.1</f>
        <v>10.1</v>
      </c>
      <c r="CK968" s="33">
        <f>7.8</f>
        <v>7.8</v>
      </c>
      <c r="CN968" s="33" t="s">
        <v>679</v>
      </c>
      <c r="CO968" s="33">
        <v>19</v>
      </c>
      <c r="CP968" s="33">
        <v>25</v>
      </c>
      <c r="CT968" s="33">
        <v>422</v>
      </c>
      <c r="CU968" s="33">
        <v>403</v>
      </c>
      <c r="FL968" s="33">
        <f>63/3</f>
        <v>21</v>
      </c>
      <c r="FM968" s="33">
        <f>41/3</f>
        <v>13.666666666666666</v>
      </c>
      <c r="FP968" s="33" t="s">
        <v>707</v>
      </c>
      <c r="HJ968" s="33">
        <v>12</v>
      </c>
      <c r="HK968" s="33">
        <v>13</v>
      </c>
      <c r="JB968" s="33" t="s">
        <v>681</v>
      </c>
      <c r="JC968" s="33" t="s">
        <v>680</v>
      </c>
    </row>
    <row r="969" spans="1:263" s="33" customFormat="1" x14ac:dyDescent="0.25">
      <c r="A969" s="33">
        <v>46</v>
      </c>
      <c r="B969" s="47" t="s">
        <v>3978</v>
      </c>
      <c r="C969" s="33" t="s">
        <v>666</v>
      </c>
      <c r="D969" s="33" t="s">
        <v>665</v>
      </c>
      <c r="E969" s="33">
        <v>2013</v>
      </c>
      <c r="F969" s="33">
        <v>2009</v>
      </c>
      <c r="G969" s="33" t="s">
        <v>329</v>
      </c>
      <c r="H969" s="33" t="s">
        <v>669</v>
      </c>
      <c r="I969" s="32" t="s">
        <v>2815</v>
      </c>
      <c r="J969" s="33">
        <f>48+45/60</f>
        <v>48.75</v>
      </c>
      <c r="K969" s="33">
        <f>-110-52/60</f>
        <v>-110.86666666666666</v>
      </c>
      <c r="L969" s="33">
        <v>1059</v>
      </c>
      <c r="R969" s="47">
        <v>1</v>
      </c>
      <c r="S969" s="47" t="s">
        <v>1847</v>
      </c>
      <c r="T969" s="47"/>
      <c r="U969" s="47" t="s">
        <v>1959</v>
      </c>
      <c r="V969" s="47" t="s">
        <v>1389</v>
      </c>
      <c r="W969" s="47" t="s">
        <v>1720</v>
      </c>
      <c r="X969" s="47" t="s">
        <v>1389</v>
      </c>
      <c r="Y969" s="47" t="s">
        <v>1417</v>
      </c>
      <c r="AA969" s="327"/>
      <c r="AB969" s="327"/>
      <c r="AC969" s="33" t="s">
        <v>672</v>
      </c>
      <c r="AD969" s="33">
        <v>7.6</v>
      </c>
      <c r="AE969" s="33">
        <v>1.28</v>
      </c>
      <c r="AG969" s="33" t="s">
        <v>1339</v>
      </c>
      <c r="AH969" s="33" t="s">
        <v>1539</v>
      </c>
      <c r="AI969" s="138" t="s">
        <v>577</v>
      </c>
      <c r="AJ969" s="33" t="s">
        <v>1527</v>
      </c>
      <c r="AK969" s="141" t="s">
        <v>1619</v>
      </c>
      <c r="AL969" s="33" t="s">
        <v>1626</v>
      </c>
      <c r="AM969" s="33" t="s">
        <v>1626</v>
      </c>
      <c r="AN969" s="33" t="s">
        <v>177</v>
      </c>
      <c r="AP969" s="33" t="s">
        <v>156</v>
      </c>
      <c r="AQ969" s="33" t="s">
        <v>2126</v>
      </c>
      <c r="AR969" s="33" t="s">
        <v>2126</v>
      </c>
      <c r="AT969" s="33">
        <v>0</v>
      </c>
      <c r="AU969" s="33">
        <v>0</v>
      </c>
      <c r="AV969" s="33" t="s">
        <v>177</v>
      </c>
      <c r="AW969" s="33" t="s">
        <v>119</v>
      </c>
      <c r="AX969" s="33">
        <v>12</v>
      </c>
      <c r="AZ969" s="33" t="s">
        <v>141</v>
      </c>
      <c r="BB969" s="33">
        <f>1.02*1000</f>
        <v>1020</v>
      </c>
      <c r="BC969" s="33">
        <f>BB969/37.8</f>
        <v>26.984126984126988</v>
      </c>
      <c r="BD969" s="57" t="s">
        <v>675</v>
      </c>
      <c r="BK969" s="33">
        <v>4050</v>
      </c>
      <c r="BL969" s="33">
        <v>3920</v>
      </c>
      <c r="BP969" s="402"/>
      <c r="BQ969" s="402"/>
      <c r="BU969" s="402"/>
      <c r="BV969" s="402"/>
      <c r="BZ969" s="402"/>
      <c r="CA969" s="402"/>
      <c r="CE969" s="555"/>
      <c r="CF969" s="555"/>
      <c r="CG969" s="555"/>
      <c r="CH969" s="555"/>
      <c r="CJ969" s="33">
        <f>11.2</f>
        <v>11.2</v>
      </c>
      <c r="CK969" s="33">
        <f>15.7</f>
        <v>15.7</v>
      </c>
      <c r="CN969" s="33" t="s">
        <v>679</v>
      </c>
      <c r="CO969" s="33">
        <v>16</v>
      </c>
      <c r="CP969" s="33">
        <v>19</v>
      </c>
      <c r="CT969" s="33">
        <v>319</v>
      </c>
      <c r="CU969" s="33">
        <v>451</v>
      </c>
      <c r="FL969" s="33">
        <f>79/3</f>
        <v>26.333333333333332</v>
      </c>
      <c r="FM969" s="33">
        <f>55/3</f>
        <v>18.333333333333332</v>
      </c>
      <c r="FP969" s="33" t="s">
        <v>707</v>
      </c>
      <c r="HJ969" s="33">
        <v>5</v>
      </c>
      <c r="HK969" s="33">
        <v>17</v>
      </c>
      <c r="JB969" s="33" t="s">
        <v>681</v>
      </c>
      <c r="JC969" s="33" t="s">
        <v>680</v>
      </c>
    </row>
    <row r="970" spans="1:263" s="33" customFormat="1" x14ac:dyDescent="0.25">
      <c r="A970" s="33">
        <v>46</v>
      </c>
      <c r="B970" s="47" t="s">
        <v>3979</v>
      </c>
      <c r="C970" s="33" t="s">
        <v>666</v>
      </c>
      <c r="D970" s="33" t="s">
        <v>665</v>
      </c>
      <c r="E970" s="33">
        <v>2013</v>
      </c>
      <c r="F970" s="33">
        <v>2009</v>
      </c>
      <c r="G970" s="33" t="s">
        <v>329</v>
      </c>
      <c r="H970" s="33" t="s">
        <v>670</v>
      </c>
      <c r="I970" s="32" t="s">
        <v>2815</v>
      </c>
      <c r="J970" s="33">
        <f>48+48/60</f>
        <v>48.8</v>
      </c>
      <c r="K970" s="33">
        <f>-111-38.5/60</f>
        <v>-111.64166666666667</v>
      </c>
      <c r="L970" s="33">
        <v>1102</v>
      </c>
      <c r="R970" s="47">
        <v>1</v>
      </c>
      <c r="S970" s="47" t="s">
        <v>1847</v>
      </c>
      <c r="T970" s="47"/>
      <c r="U970" s="47" t="s">
        <v>1959</v>
      </c>
      <c r="V970" s="47" t="s">
        <v>1389</v>
      </c>
      <c r="W970" s="47" t="s">
        <v>1720</v>
      </c>
      <c r="X970" s="47" t="s">
        <v>1389</v>
      </c>
      <c r="Y970" s="47" t="s">
        <v>1417</v>
      </c>
      <c r="AA970" s="327"/>
      <c r="AB970" s="327"/>
      <c r="AC970" s="33" t="s">
        <v>139</v>
      </c>
      <c r="AD970" s="33">
        <v>6.9</v>
      </c>
      <c r="AE970" s="33">
        <v>1.22</v>
      </c>
      <c r="AG970" s="33" t="s">
        <v>1339</v>
      </c>
      <c r="AH970" s="33" t="s">
        <v>1539</v>
      </c>
      <c r="AI970" s="138" t="s">
        <v>577</v>
      </c>
      <c r="AJ970" s="33" t="s">
        <v>1527</v>
      </c>
      <c r="AK970" s="141" t="s">
        <v>1619</v>
      </c>
      <c r="AL970" s="33" t="s">
        <v>1626</v>
      </c>
      <c r="AM970" s="33" t="s">
        <v>1626</v>
      </c>
      <c r="AN970" s="33" t="s">
        <v>177</v>
      </c>
      <c r="AP970" s="33" t="s">
        <v>156</v>
      </c>
      <c r="AQ970" s="33" t="s">
        <v>2126</v>
      </c>
      <c r="AR970" s="33" t="s">
        <v>2126</v>
      </c>
      <c r="AT970" s="33">
        <v>0</v>
      </c>
      <c r="AU970" s="33">
        <v>0</v>
      </c>
      <c r="AV970" s="33" t="s">
        <v>177</v>
      </c>
      <c r="AW970" s="33" t="s">
        <v>119</v>
      </c>
      <c r="AX970" s="33">
        <v>8</v>
      </c>
      <c r="AZ970" s="33" t="s">
        <v>141</v>
      </c>
      <c r="BB970" s="33">
        <v>1090</v>
      </c>
      <c r="BC970" s="33">
        <f>BB970/28.4</f>
        <v>38.380281690140848</v>
      </c>
      <c r="BD970" s="57" t="s">
        <v>676</v>
      </c>
      <c r="BK970" s="33">
        <v>4830</v>
      </c>
      <c r="BL970" s="33">
        <v>4360</v>
      </c>
      <c r="BP970" s="402"/>
      <c r="BQ970" s="402"/>
      <c r="BU970" s="402"/>
      <c r="BV970" s="402"/>
      <c r="BZ970" s="402"/>
      <c r="CA970" s="402"/>
      <c r="CE970" s="555"/>
      <c r="CF970" s="555"/>
      <c r="CG970" s="555"/>
      <c r="CH970" s="555"/>
      <c r="CJ970" s="33">
        <f>37</f>
        <v>37</v>
      </c>
      <c r="CK970" s="33">
        <f>16.8</f>
        <v>16.8</v>
      </c>
      <c r="CN970" s="33" t="s">
        <v>679</v>
      </c>
      <c r="CO970" s="33">
        <v>12</v>
      </c>
      <c r="CP970" s="33">
        <v>11</v>
      </c>
      <c r="CT970" s="33">
        <v>599</v>
      </c>
      <c r="CU970" s="33">
        <v>519</v>
      </c>
      <c r="FL970" s="33">
        <f>76/3</f>
        <v>25.333333333333332</v>
      </c>
      <c r="FM970" s="33">
        <f>47/3</f>
        <v>15.666666666666666</v>
      </c>
      <c r="FP970" s="33" t="s">
        <v>707</v>
      </c>
      <c r="HJ970" s="33">
        <v>12</v>
      </c>
      <c r="HK970" s="33">
        <v>46</v>
      </c>
      <c r="JB970" s="33" t="s">
        <v>681</v>
      </c>
      <c r="JC970" s="33" t="s">
        <v>680</v>
      </c>
    </row>
    <row r="971" spans="1:263" s="33" customFormat="1" x14ac:dyDescent="0.25">
      <c r="A971" s="33">
        <v>46</v>
      </c>
      <c r="B971" s="47" t="s">
        <v>3980</v>
      </c>
      <c r="C971" s="33" t="s">
        <v>666</v>
      </c>
      <c r="D971" s="33" t="s">
        <v>665</v>
      </c>
      <c r="E971" s="33">
        <v>2013</v>
      </c>
      <c r="F971" s="33">
        <v>2009</v>
      </c>
      <c r="G971" s="33" t="s">
        <v>329</v>
      </c>
      <c r="H971" s="33" t="s">
        <v>671</v>
      </c>
      <c r="I971" s="32" t="s">
        <v>2815</v>
      </c>
      <c r="J971" s="33">
        <f>48+48/60</f>
        <v>48.8</v>
      </c>
      <c r="K971" s="33">
        <f>-111-31/60</f>
        <v>-111.51666666666667</v>
      </c>
      <c r="L971" s="33">
        <v>1090</v>
      </c>
      <c r="R971" s="47">
        <v>1</v>
      </c>
      <c r="S971" s="47" t="s">
        <v>1847</v>
      </c>
      <c r="T971" s="47"/>
      <c r="U971" s="47" t="s">
        <v>1959</v>
      </c>
      <c r="V971" s="47" t="s">
        <v>1389</v>
      </c>
      <c r="W971" s="47" t="s">
        <v>1720</v>
      </c>
      <c r="X971" s="47" t="s">
        <v>1389</v>
      </c>
      <c r="Y971" s="47" t="s">
        <v>1417</v>
      </c>
      <c r="AA971" s="327"/>
      <c r="AB971" s="327"/>
      <c r="AC971" s="33" t="s">
        <v>518</v>
      </c>
      <c r="AD971" s="33">
        <v>7.8</v>
      </c>
      <c r="AE971" s="33">
        <v>1.1000000000000001</v>
      </c>
      <c r="AG971" s="33" t="s">
        <v>1339</v>
      </c>
      <c r="AH971" s="33" t="s">
        <v>562</v>
      </c>
      <c r="AI971" s="138" t="s">
        <v>577</v>
      </c>
      <c r="AJ971" s="33" t="s">
        <v>1527</v>
      </c>
      <c r="AK971" s="141" t="s">
        <v>1619</v>
      </c>
      <c r="AL971" s="33" t="s">
        <v>1626</v>
      </c>
      <c r="AM971" s="33" t="s">
        <v>1626</v>
      </c>
      <c r="AN971" s="33" t="s">
        <v>177</v>
      </c>
      <c r="AP971" s="33" t="s">
        <v>156</v>
      </c>
      <c r="AQ971" s="33" t="s">
        <v>2126</v>
      </c>
      <c r="AR971" s="33" t="s">
        <v>2126</v>
      </c>
      <c r="AT971" s="33">
        <v>0</v>
      </c>
      <c r="AU971" s="33">
        <v>0</v>
      </c>
      <c r="AV971" s="33" t="s">
        <v>177</v>
      </c>
      <c r="AW971" s="33" t="s">
        <v>119</v>
      </c>
      <c r="AX971" s="33">
        <v>8</v>
      </c>
      <c r="AZ971" s="33" t="s">
        <v>141</v>
      </c>
      <c r="BB971" s="33">
        <v>550</v>
      </c>
      <c r="BC971" s="33">
        <f>BB971/14.5</f>
        <v>37.931034482758619</v>
      </c>
      <c r="BD971" s="57" t="s">
        <v>677</v>
      </c>
      <c r="BK971" s="33">
        <v>1690</v>
      </c>
      <c r="BL971" s="33">
        <v>1510</v>
      </c>
      <c r="BP971" s="402"/>
      <c r="BQ971" s="402"/>
      <c r="BU971" s="402"/>
      <c r="BV971" s="402"/>
      <c r="BZ971" s="402"/>
      <c r="CA971" s="402"/>
      <c r="CE971" s="555"/>
      <c r="CF971" s="555"/>
      <c r="CG971" s="555"/>
      <c r="CH971" s="555"/>
      <c r="CJ971" s="33">
        <f>12.3</f>
        <v>12.3</v>
      </c>
      <c r="CK971" s="33">
        <f>11.2</f>
        <v>11.2</v>
      </c>
      <c r="CN971" s="33" t="s">
        <v>679</v>
      </c>
      <c r="CO971" s="33">
        <v>9</v>
      </c>
      <c r="CP971" s="33">
        <v>8</v>
      </c>
      <c r="CT971" s="33">
        <v>355</v>
      </c>
      <c r="CU971" s="33">
        <v>507</v>
      </c>
      <c r="FL971" s="33">
        <f>75/3</f>
        <v>25</v>
      </c>
      <c r="FM971" s="33">
        <f>52/3</f>
        <v>17.333333333333332</v>
      </c>
      <c r="FP971" s="33" t="s">
        <v>707</v>
      </c>
      <c r="HJ971" s="33">
        <v>7</v>
      </c>
      <c r="HK971" s="33">
        <v>23</v>
      </c>
      <c r="JB971" s="33" t="s">
        <v>681</v>
      </c>
      <c r="JC971" s="33" t="s">
        <v>680</v>
      </c>
    </row>
    <row r="972" spans="1:263" s="28" customFormat="1" x14ac:dyDescent="0.25">
      <c r="A972" s="28">
        <v>46</v>
      </c>
      <c r="B972" s="46" t="s">
        <v>3976</v>
      </c>
      <c r="C972" s="28" t="s">
        <v>666</v>
      </c>
      <c r="D972" s="28" t="s">
        <v>665</v>
      </c>
      <c r="E972" s="28">
        <v>2013</v>
      </c>
      <c r="F972" s="28">
        <v>2009</v>
      </c>
      <c r="G972" s="28" t="s">
        <v>329</v>
      </c>
      <c r="H972" s="28" t="s">
        <v>667</v>
      </c>
      <c r="I972" s="32" t="s">
        <v>2815</v>
      </c>
      <c r="J972" s="28">
        <f>47+55/60</f>
        <v>47.916666666666664</v>
      </c>
      <c r="K972" s="28">
        <f>-109-55/60</f>
        <v>-109.91666666666667</v>
      </c>
      <c r="L972" s="28">
        <v>888</v>
      </c>
      <c r="R972" s="46">
        <v>1</v>
      </c>
      <c r="S972" s="46" t="s">
        <v>1847</v>
      </c>
      <c r="T972" s="46"/>
      <c r="U972" s="46" t="s">
        <v>1959</v>
      </c>
      <c r="V972" s="46" t="s">
        <v>1402</v>
      </c>
      <c r="W972" s="46" t="s">
        <v>1720</v>
      </c>
      <c r="X972" s="46" t="s">
        <v>1389</v>
      </c>
      <c r="Y972" s="46" t="s">
        <v>1417</v>
      </c>
      <c r="AA972" s="326"/>
      <c r="AB972" s="326"/>
      <c r="AC972" s="28" t="s">
        <v>518</v>
      </c>
      <c r="AD972" s="28">
        <v>6.1</v>
      </c>
      <c r="AE972" s="28">
        <v>1.1000000000000001</v>
      </c>
      <c r="AG972" s="28" t="s">
        <v>1339</v>
      </c>
      <c r="AH972" s="28" t="s">
        <v>1539</v>
      </c>
      <c r="AI972" s="138" t="s">
        <v>577</v>
      </c>
      <c r="AJ972" s="28" t="s">
        <v>1527</v>
      </c>
      <c r="AK972" s="141" t="s">
        <v>1619</v>
      </c>
      <c r="AL972" s="28" t="s">
        <v>1626</v>
      </c>
      <c r="AM972" s="28" t="s">
        <v>1626</v>
      </c>
      <c r="AN972" s="28" t="s">
        <v>177</v>
      </c>
      <c r="AP972" s="28" t="s">
        <v>156</v>
      </c>
      <c r="AQ972" s="28" t="s">
        <v>2126</v>
      </c>
      <c r="AR972" s="28" t="s">
        <v>2126</v>
      </c>
      <c r="AT972" s="28">
        <v>0</v>
      </c>
      <c r="AU972" s="28">
        <v>0</v>
      </c>
      <c r="AV972" s="28" t="s">
        <v>177</v>
      </c>
      <c r="AW972" s="28" t="s">
        <v>119</v>
      </c>
      <c r="AX972" s="28">
        <v>6</v>
      </c>
      <c r="AZ972" s="28" t="s">
        <v>141</v>
      </c>
      <c r="BB972" s="28">
        <f>1.07*1000</f>
        <v>1070</v>
      </c>
      <c r="BC972" s="28">
        <f>BB972/44.2</f>
        <v>24.20814479638009</v>
      </c>
      <c r="BD972" s="58" t="s">
        <v>673</v>
      </c>
      <c r="BP972" s="401"/>
      <c r="BQ972" s="401"/>
      <c r="BU972" s="401"/>
      <c r="BV972" s="401"/>
      <c r="BZ972" s="401"/>
      <c r="CA972" s="401"/>
      <c r="CE972" s="554"/>
      <c r="CF972" s="554"/>
      <c r="CG972" s="554"/>
      <c r="CH972" s="554"/>
      <c r="CJ972" s="28">
        <f>10</f>
        <v>10</v>
      </c>
      <c r="CK972" s="28">
        <f>3</f>
        <v>3</v>
      </c>
      <c r="CN972" s="28" t="s">
        <v>679</v>
      </c>
      <c r="FL972" s="28">
        <f>65/3</f>
        <v>21.666666666666668</v>
      </c>
      <c r="FM972" s="28">
        <f>54/3</f>
        <v>18</v>
      </c>
      <c r="FP972" s="28" t="s">
        <v>707</v>
      </c>
      <c r="JB972" s="28" t="s">
        <v>681</v>
      </c>
      <c r="JC972" s="28" t="s">
        <v>680</v>
      </c>
    </row>
    <row r="973" spans="1:263" s="28" customFormat="1" x14ac:dyDescent="0.25">
      <c r="A973" s="28">
        <v>46</v>
      </c>
      <c r="B973" s="46" t="s">
        <v>3977</v>
      </c>
      <c r="C973" s="28" t="s">
        <v>666</v>
      </c>
      <c r="D973" s="28" t="s">
        <v>665</v>
      </c>
      <c r="E973" s="28">
        <v>2013</v>
      </c>
      <c r="F973" s="28">
        <v>2009</v>
      </c>
      <c r="G973" s="28" t="s">
        <v>329</v>
      </c>
      <c r="H973" s="28" t="s">
        <v>668</v>
      </c>
      <c r="I973" s="32" t="s">
        <v>2815</v>
      </c>
      <c r="J973" s="28">
        <f>48+18/60</f>
        <v>48.3</v>
      </c>
      <c r="K973" s="28">
        <f>-110-6/60</f>
        <v>-110.1</v>
      </c>
      <c r="L973" s="28">
        <v>833</v>
      </c>
      <c r="R973" s="46">
        <v>1</v>
      </c>
      <c r="S973" s="46" t="s">
        <v>1847</v>
      </c>
      <c r="T973" s="46"/>
      <c r="U973" s="46" t="s">
        <v>1959</v>
      </c>
      <c r="V973" s="46" t="s">
        <v>1402</v>
      </c>
      <c r="W973" s="46" t="s">
        <v>1720</v>
      </c>
      <c r="X973" s="46" t="s">
        <v>1389</v>
      </c>
      <c r="Y973" s="46" t="s">
        <v>1417</v>
      </c>
      <c r="AA973" s="326"/>
      <c r="AB973" s="326"/>
      <c r="AC973" s="28" t="s">
        <v>139</v>
      </c>
      <c r="AD973" s="28">
        <v>6.9</v>
      </c>
      <c r="AE973" s="28">
        <v>0.87</v>
      </c>
      <c r="AG973" s="28" t="s">
        <v>1339</v>
      </c>
      <c r="AH973" s="28" t="s">
        <v>1540</v>
      </c>
      <c r="AI973" s="138" t="s">
        <v>577</v>
      </c>
      <c r="AJ973" s="28" t="s">
        <v>1527</v>
      </c>
      <c r="AK973" s="141" t="s">
        <v>1619</v>
      </c>
      <c r="AL973" s="28" t="s">
        <v>1626</v>
      </c>
      <c r="AM973" s="28" t="s">
        <v>1626</v>
      </c>
      <c r="AN973" s="28" t="s">
        <v>177</v>
      </c>
      <c r="AP973" s="28" t="s">
        <v>156</v>
      </c>
      <c r="AQ973" s="28" t="s">
        <v>2126</v>
      </c>
      <c r="AR973" s="28" t="s">
        <v>2126</v>
      </c>
      <c r="AT973" s="28">
        <v>0</v>
      </c>
      <c r="AU973" s="28">
        <v>0</v>
      </c>
      <c r="AV973" s="28" t="s">
        <v>177</v>
      </c>
      <c r="AW973" s="28" t="s">
        <v>119</v>
      </c>
      <c r="AX973" s="28">
        <v>8</v>
      </c>
      <c r="AZ973" s="28" t="s">
        <v>141</v>
      </c>
      <c r="BB973" s="28">
        <v>730</v>
      </c>
      <c r="BC973" s="28">
        <f>BB973/19.3</f>
        <v>37.823834196891191</v>
      </c>
      <c r="BD973" s="58" t="s">
        <v>674</v>
      </c>
      <c r="BP973" s="401"/>
      <c r="BQ973" s="401"/>
      <c r="BU973" s="401"/>
      <c r="BV973" s="401"/>
      <c r="BZ973" s="401"/>
      <c r="CA973" s="401"/>
      <c r="CE973" s="554"/>
      <c r="CF973" s="554"/>
      <c r="CG973" s="554"/>
      <c r="CH973" s="554"/>
      <c r="CJ973" s="28">
        <f>4</f>
        <v>4</v>
      </c>
      <c r="CK973" s="28">
        <f>3</f>
        <v>3</v>
      </c>
      <c r="CN973" s="28" t="s">
        <v>679</v>
      </c>
      <c r="FL973" s="28">
        <f>48/3</f>
        <v>16</v>
      </c>
      <c r="FM973" s="28">
        <f>41/3</f>
        <v>13.666666666666666</v>
      </c>
      <c r="FP973" s="28" t="s">
        <v>707</v>
      </c>
      <c r="JB973" s="28" t="s">
        <v>681</v>
      </c>
      <c r="JC973" s="28" t="s">
        <v>680</v>
      </c>
    </row>
    <row r="974" spans="1:263" s="28" customFormat="1" x14ac:dyDescent="0.25">
      <c r="A974" s="28">
        <v>46</v>
      </c>
      <c r="B974" s="46" t="s">
        <v>3978</v>
      </c>
      <c r="C974" s="28" t="s">
        <v>666</v>
      </c>
      <c r="D974" s="28" t="s">
        <v>665</v>
      </c>
      <c r="E974" s="28">
        <v>2013</v>
      </c>
      <c r="F974" s="28">
        <v>2009</v>
      </c>
      <c r="G974" s="28" t="s">
        <v>329</v>
      </c>
      <c r="H974" s="28" t="s">
        <v>669</v>
      </c>
      <c r="I974" s="32" t="s">
        <v>2815</v>
      </c>
      <c r="J974" s="28">
        <f>48+45/60</f>
        <v>48.75</v>
      </c>
      <c r="K974" s="28">
        <f>-110-52/60</f>
        <v>-110.86666666666666</v>
      </c>
      <c r="L974" s="28">
        <v>1059</v>
      </c>
      <c r="R974" s="46">
        <v>1</v>
      </c>
      <c r="S974" s="46" t="s">
        <v>1847</v>
      </c>
      <c r="T974" s="46"/>
      <c r="U974" s="46" t="s">
        <v>1959</v>
      </c>
      <c r="V974" s="46" t="s">
        <v>1402</v>
      </c>
      <c r="W974" s="46" t="s">
        <v>1720</v>
      </c>
      <c r="X974" s="46" t="s">
        <v>1389</v>
      </c>
      <c r="Y974" s="46" t="s">
        <v>1417</v>
      </c>
      <c r="AA974" s="326"/>
      <c r="AB974" s="326"/>
      <c r="AC974" s="28" t="s">
        <v>672</v>
      </c>
      <c r="AD974" s="28">
        <v>7.6</v>
      </c>
      <c r="AE974" s="28">
        <v>1.28</v>
      </c>
      <c r="AG974" s="28" t="s">
        <v>1339</v>
      </c>
      <c r="AH974" s="28" t="s">
        <v>1539</v>
      </c>
      <c r="AI974" s="138" t="s">
        <v>577</v>
      </c>
      <c r="AJ974" s="28" t="s">
        <v>1527</v>
      </c>
      <c r="AK974" s="141" t="s">
        <v>1619</v>
      </c>
      <c r="AL974" s="28" t="s">
        <v>1626</v>
      </c>
      <c r="AM974" s="28" t="s">
        <v>1626</v>
      </c>
      <c r="AN974" s="28" t="s">
        <v>177</v>
      </c>
      <c r="AP974" s="28" t="s">
        <v>156</v>
      </c>
      <c r="AQ974" s="28" t="s">
        <v>2126</v>
      </c>
      <c r="AR974" s="28" t="s">
        <v>2126</v>
      </c>
      <c r="AT974" s="28">
        <v>0</v>
      </c>
      <c r="AU974" s="28">
        <v>0</v>
      </c>
      <c r="AV974" s="28" t="s">
        <v>177</v>
      </c>
      <c r="AW974" s="28" t="s">
        <v>119</v>
      </c>
      <c r="AX974" s="28">
        <v>12</v>
      </c>
      <c r="AZ974" s="28" t="s">
        <v>141</v>
      </c>
      <c r="BB974" s="28">
        <f>1.02*1000</f>
        <v>1020</v>
      </c>
      <c r="BC974" s="28">
        <f>BB974/37.8</f>
        <v>26.984126984126988</v>
      </c>
      <c r="BD974" s="58" t="s">
        <v>675</v>
      </c>
      <c r="BP974" s="401"/>
      <c r="BQ974" s="401"/>
      <c r="BU974" s="401"/>
      <c r="BV974" s="401"/>
      <c r="BZ974" s="401"/>
      <c r="CA974" s="401"/>
      <c r="CE974" s="554"/>
      <c r="CF974" s="554"/>
      <c r="CG974" s="554"/>
      <c r="CH974" s="554"/>
      <c r="CJ974" s="28">
        <f>20</f>
        <v>20</v>
      </c>
      <c r="CK974" s="28">
        <f>5</f>
        <v>5</v>
      </c>
      <c r="CN974" s="28" t="s">
        <v>679</v>
      </c>
      <c r="FL974" s="28">
        <f>77/3</f>
        <v>25.666666666666668</v>
      </c>
      <c r="FM974" s="28">
        <f>68/3</f>
        <v>22.666666666666668</v>
      </c>
      <c r="FP974" s="28" t="s">
        <v>707</v>
      </c>
      <c r="JB974" s="28" t="s">
        <v>681</v>
      </c>
      <c r="JC974" s="28" t="s">
        <v>680</v>
      </c>
    </row>
    <row r="975" spans="1:263" s="28" customFormat="1" x14ac:dyDescent="0.25">
      <c r="A975" s="28">
        <v>46</v>
      </c>
      <c r="B975" s="46" t="s">
        <v>3979</v>
      </c>
      <c r="C975" s="28" t="s">
        <v>666</v>
      </c>
      <c r="D975" s="28" t="s">
        <v>665</v>
      </c>
      <c r="E975" s="28">
        <v>2013</v>
      </c>
      <c r="F975" s="28">
        <v>2009</v>
      </c>
      <c r="G975" s="28" t="s">
        <v>329</v>
      </c>
      <c r="H975" s="28" t="s">
        <v>670</v>
      </c>
      <c r="I975" s="32" t="s">
        <v>2815</v>
      </c>
      <c r="J975" s="28">
        <f>48+48/60</f>
        <v>48.8</v>
      </c>
      <c r="K975" s="28">
        <f>-111-38.5/60</f>
        <v>-111.64166666666667</v>
      </c>
      <c r="L975" s="28">
        <v>1102</v>
      </c>
      <c r="R975" s="46">
        <v>1</v>
      </c>
      <c r="S975" s="46" t="s">
        <v>1847</v>
      </c>
      <c r="T975" s="46"/>
      <c r="U975" s="46" t="s">
        <v>1959</v>
      </c>
      <c r="V975" s="46" t="s">
        <v>1402</v>
      </c>
      <c r="W975" s="46" t="s">
        <v>1720</v>
      </c>
      <c r="X975" s="46" t="s">
        <v>1389</v>
      </c>
      <c r="Y975" s="46" t="s">
        <v>1417</v>
      </c>
      <c r="AA975" s="326"/>
      <c r="AB975" s="326"/>
      <c r="AC975" s="28" t="s">
        <v>139</v>
      </c>
      <c r="AD975" s="28">
        <v>6.9</v>
      </c>
      <c r="AE975" s="28">
        <v>1.22</v>
      </c>
      <c r="AG975" s="28" t="s">
        <v>1339</v>
      </c>
      <c r="AH975" s="28" t="s">
        <v>1539</v>
      </c>
      <c r="AI975" s="138" t="s">
        <v>577</v>
      </c>
      <c r="AJ975" s="28" t="s">
        <v>1527</v>
      </c>
      <c r="AK975" s="141" t="s">
        <v>1619</v>
      </c>
      <c r="AL975" s="28" t="s">
        <v>1626</v>
      </c>
      <c r="AM975" s="28" t="s">
        <v>1626</v>
      </c>
      <c r="AN975" s="28" t="s">
        <v>177</v>
      </c>
      <c r="AP975" s="28" t="s">
        <v>156</v>
      </c>
      <c r="AQ975" s="28" t="s">
        <v>2126</v>
      </c>
      <c r="AR975" s="28" t="s">
        <v>2126</v>
      </c>
      <c r="AT975" s="28">
        <v>0</v>
      </c>
      <c r="AU975" s="28">
        <v>0</v>
      </c>
      <c r="AV975" s="28" t="s">
        <v>177</v>
      </c>
      <c r="AW975" s="28" t="s">
        <v>119</v>
      </c>
      <c r="AX975" s="28">
        <v>8</v>
      </c>
      <c r="AZ975" s="28" t="s">
        <v>141</v>
      </c>
      <c r="BB975" s="28">
        <v>1090</v>
      </c>
      <c r="BC975" s="28">
        <f>BB975/28.4</f>
        <v>38.380281690140848</v>
      </c>
      <c r="BD975" s="58" t="s">
        <v>676</v>
      </c>
      <c r="BP975" s="401"/>
      <c r="BQ975" s="401"/>
      <c r="BU975" s="401"/>
      <c r="BV975" s="401"/>
      <c r="BZ975" s="401"/>
      <c r="CA975" s="401"/>
      <c r="CE975" s="554"/>
      <c r="CF975" s="554"/>
      <c r="CG975" s="554"/>
      <c r="CH975" s="554"/>
      <c r="CJ975" s="28">
        <f>17</f>
        <v>17</v>
      </c>
      <c r="CK975" s="28">
        <f>8</f>
        <v>8</v>
      </c>
      <c r="CN975" s="28" t="s">
        <v>679</v>
      </c>
      <c r="FL975" s="28">
        <f>52/3</f>
        <v>17.333333333333332</v>
      </c>
      <c r="FM975" s="28">
        <f>37/3</f>
        <v>12.333333333333334</v>
      </c>
      <c r="FP975" s="28" t="s">
        <v>707</v>
      </c>
      <c r="JB975" s="28" t="s">
        <v>681</v>
      </c>
      <c r="JC975" s="28" t="s">
        <v>680</v>
      </c>
    </row>
    <row r="976" spans="1:263" s="28" customFormat="1" x14ac:dyDescent="0.25">
      <c r="A976" s="28">
        <v>46</v>
      </c>
      <c r="B976" s="46" t="s">
        <v>3980</v>
      </c>
      <c r="C976" s="28" t="s">
        <v>666</v>
      </c>
      <c r="D976" s="28" t="s">
        <v>665</v>
      </c>
      <c r="E976" s="28">
        <v>2013</v>
      </c>
      <c r="F976" s="28">
        <v>2009</v>
      </c>
      <c r="G976" s="28" t="s">
        <v>329</v>
      </c>
      <c r="H976" s="28" t="s">
        <v>671</v>
      </c>
      <c r="I976" s="32" t="s">
        <v>2815</v>
      </c>
      <c r="J976" s="28">
        <f>48+48/60</f>
        <v>48.8</v>
      </c>
      <c r="K976" s="28">
        <f>-111-31/60</f>
        <v>-111.51666666666667</v>
      </c>
      <c r="L976" s="28">
        <v>1090</v>
      </c>
      <c r="R976" s="46">
        <v>1</v>
      </c>
      <c r="S976" s="46" t="s">
        <v>1847</v>
      </c>
      <c r="T976" s="46"/>
      <c r="U976" s="46" t="s">
        <v>1959</v>
      </c>
      <c r="V976" s="46" t="s">
        <v>1402</v>
      </c>
      <c r="W976" s="46" t="s">
        <v>1720</v>
      </c>
      <c r="X976" s="46" t="s">
        <v>1389</v>
      </c>
      <c r="Y976" s="46" t="s">
        <v>1417</v>
      </c>
      <c r="AA976" s="326"/>
      <c r="AB976" s="326"/>
      <c r="AC976" s="28" t="s">
        <v>518</v>
      </c>
      <c r="AD976" s="28">
        <v>7.8</v>
      </c>
      <c r="AE976" s="28">
        <v>1.1000000000000001</v>
      </c>
      <c r="AG976" s="28" t="s">
        <v>1339</v>
      </c>
      <c r="AH976" s="28" t="s">
        <v>562</v>
      </c>
      <c r="AI976" s="138" t="s">
        <v>577</v>
      </c>
      <c r="AJ976" s="28" t="s">
        <v>1527</v>
      </c>
      <c r="AK976" s="141" t="s">
        <v>1619</v>
      </c>
      <c r="AL976" s="28" t="s">
        <v>1626</v>
      </c>
      <c r="AM976" s="28" t="s">
        <v>1626</v>
      </c>
      <c r="AN976" s="28" t="s">
        <v>177</v>
      </c>
      <c r="AP976" s="28" t="s">
        <v>156</v>
      </c>
      <c r="AQ976" s="28" t="s">
        <v>2126</v>
      </c>
      <c r="AR976" s="28" t="s">
        <v>2126</v>
      </c>
      <c r="AT976" s="28">
        <v>0</v>
      </c>
      <c r="AU976" s="28">
        <v>0</v>
      </c>
      <c r="AV976" s="28" t="s">
        <v>177</v>
      </c>
      <c r="AW976" s="28" t="s">
        <v>119</v>
      </c>
      <c r="AX976" s="28">
        <v>8</v>
      </c>
      <c r="AZ976" s="28" t="s">
        <v>141</v>
      </c>
      <c r="BB976" s="28">
        <v>550</v>
      </c>
      <c r="BC976" s="28">
        <f>BB976/14.5</f>
        <v>37.931034482758619</v>
      </c>
      <c r="BD976" s="58" t="s">
        <v>677</v>
      </c>
      <c r="BP976" s="401"/>
      <c r="BQ976" s="401"/>
      <c r="BU976" s="401"/>
      <c r="BV976" s="401"/>
      <c r="BZ976" s="401"/>
      <c r="CA976" s="401"/>
      <c r="CE976" s="554"/>
      <c r="CF976" s="554"/>
      <c r="CG976" s="554"/>
      <c r="CH976" s="554"/>
      <c r="CJ976" s="28">
        <f>2</f>
        <v>2</v>
      </c>
      <c r="CK976" s="28">
        <v>1</v>
      </c>
      <c r="CN976" s="28" t="s">
        <v>679</v>
      </c>
      <c r="FL976" s="28">
        <f>64/3</f>
        <v>21.333333333333332</v>
      </c>
      <c r="FM976" s="28">
        <f>41/3</f>
        <v>13.666666666666666</v>
      </c>
      <c r="FP976" s="28" t="s">
        <v>707</v>
      </c>
      <c r="JB976" s="28" t="s">
        <v>681</v>
      </c>
      <c r="JC976" s="28" t="s">
        <v>680</v>
      </c>
    </row>
    <row r="977" spans="1:263" s="33" customFormat="1" x14ac:dyDescent="0.25">
      <c r="A977" s="33">
        <v>46</v>
      </c>
      <c r="B977" s="47" t="s">
        <v>3976</v>
      </c>
      <c r="C977" s="33" t="s">
        <v>666</v>
      </c>
      <c r="D977" s="33" t="s">
        <v>665</v>
      </c>
      <c r="E977" s="33">
        <v>2013</v>
      </c>
      <c r="F977" s="33">
        <v>2009</v>
      </c>
      <c r="G977" s="33" t="s">
        <v>329</v>
      </c>
      <c r="H977" s="33" t="s">
        <v>667</v>
      </c>
      <c r="I977" s="32" t="s">
        <v>2815</v>
      </c>
      <c r="J977" s="33">
        <f>47+55/60</f>
        <v>47.916666666666664</v>
      </c>
      <c r="K977" s="33">
        <f>-109-55/60</f>
        <v>-109.91666666666667</v>
      </c>
      <c r="L977" s="33">
        <v>888</v>
      </c>
      <c r="R977" s="47">
        <v>1</v>
      </c>
      <c r="S977" s="47" t="s">
        <v>1847</v>
      </c>
      <c r="T977" s="47"/>
      <c r="U977" s="47" t="s">
        <v>1959</v>
      </c>
      <c r="V977" s="47" t="s">
        <v>1403</v>
      </c>
      <c r="W977" s="47" t="s">
        <v>1720</v>
      </c>
      <c r="X977" s="47" t="s">
        <v>1389</v>
      </c>
      <c r="Y977" s="47" t="s">
        <v>1417</v>
      </c>
      <c r="AA977" s="327"/>
      <c r="AB977" s="327"/>
      <c r="AC977" s="33" t="s">
        <v>518</v>
      </c>
      <c r="AD977" s="33">
        <v>6.1</v>
      </c>
      <c r="AE977" s="33">
        <v>1.1000000000000001</v>
      </c>
      <c r="AG977" s="33" t="s">
        <v>1339</v>
      </c>
      <c r="AH977" s="33" t="s">
        <v>1539</v>
      </c>
      <c r="AI977" s="138" t="s">
        <v>577</v>
      </c>
      <c r="AJ977" s="33" t="s">
        <v>1527</v>
      </c>
      <c r="AK977" s="141" t="s">
        <v>1619</v>
      </c>
      <c r="AL977" s="33" t="s">
        <v>1626</v>
      </c>
      <c r="AM977" s="33" t="s">
        <v>1626</v>
      </c>
      <c r="AN977" s="33" t="s">
        <v>177</v>
      </c>
      <c r="AP977" s="33" t="s">
        <v>156</v>
      </c>
      <c r="AQ977" s="33" t="s">
        <v>2126</v>
      </c>
      <c r="AR977" s="33" t="s">
        <v>2126</v>
      </c>
      <c r="AT977" s="33">
        <v>0</v>
      </c>
      <c r="AU977" s="33">
        <v>0</v>
      </c>
      <c r="AV977" s="33" t="s">
        <v>177</v>
      </c>
      <c r="AW977" s="33" t="s">
        <v>119</v>
      </c>
      <c r="AX977" s="33">
        <v>6</v>
      </c>
      <c r="AZ977" s="33" t="s">
        <v>141</v>
      </c>
      <c r="BB977" s="33">
        <f>1.07*1000</f>
        <v>1070</v>
      </c>
      <c r="BC977" s="33">
        <f>BB977/44.2</f>
        <v>24.20814479638009</v>
      </c>
      <c r="BD977" s="57" t="s">
        <v>673</v>
      </c>
      <c r="BP977" s="402"/>
      <c r="BQ977" s="402"/>
      <c r="BU977" s="402"/>
      <c r="BV977" s="402"/>
      <c r="BZ977" s="402"/>
      <c r="CA977" s="402"/>
      <c r="CE977" s="555"/>
      <c r="CF977" s="555"/>
      <c r="CG977" s="555"/>
      <c r="CH977" s="555"/>
      <c r="CJ977" s="33">
        <v>9</v>
      </c>
      <c r="CK977" s="33">
        <v>4</v>
      </c>
      <c r="CN977" s="33" t="s">
        <v>679</v>
      </c>
      <c r="FL977" s="33">
        <f>54/3</f>
        <v>18</v>
      </c>
      <c r="FM977" s="33">
        <f>53/3</f>
        <v>17.666666666666668</v>
      </c>
      <c r="FP977" s="33" t="s">
        <v>707</v>
      </c>
      <c r="JB977" s="33" t="s">
        <v>681</v>
      </c>
      <c r="JC977" s="33" t="s">
        <v>680</v>
      </c>
    </row>
    <row r="978" spans="1:263" s="33" customFormat="1" x14ac:dyDescent="0.25">
      <c r="A978" s="33">
        <v>46</v>
      </c>
      <c r="B978" s="47" t="s">
        <v>3977</v>
      </c>
      <c r="C978" s="33" t="s">
        <v>666</v>
      </c>
      <c r="D978" s="33" t="s">
        <v>665</v>
      </c>
      <c r="E978" s="33">
        <v>2013</v>
      </c>
      <c r="F978" s="33">
        <v>2009</v>
      </c>
      <c r="G978" s="33" t="s">
        <v>329</v>
      </c>
      <c r="H978" s="33" t="s">
        <v>668</v>
      </c>
      <c r="I978" s="32" t="s">
        <v>2815</v>
      </c>
      <c r="J978" s="33">
        <f>48+18/60</f>
        <v>48.3</v>
      </c>
      <c r="K978" s="33">
        <f>-110-6/60</f>
        <v>-110.1</v>
      </c>
      <c r="L978" s="33">
        <v>833</v>
      </c>
      <c r="R978" s="47">
        <v>1</v>
      </c>
      <c r="S978" s="47" t="s">
        <v>1847</v>
      </c>
      <c r="T978" s="47"/>
      <c r="U978" s="47" t="s">
        <v>1959</v>
      </c>
      <c r="V978" s="47" t="s">
        <v>1403</v>
      </c>
      <c r="W978" s="47" t="s">
        <v>1720</v>
      </c>
      <c r="X978" s="47" t="s">
        <v>1389</v>
      </c>
      <c r="Y978" s="47" t="s">
        <v>1417</v>
      </c>
      <c r="AA978" s="327"/>
      <c r="AB978" s="327"/>
      <c r="AC978" s="33" t="s">
        <v>139</v>
      </c>
      <c r="AD978" s="33">
        <v>6.9</v>
      </c>
      <c r="AE978" s="33">
        <v>0.87</v>
      </c>
      <c r="AG978" s="33" t="s">
        <v>1339</v>
      </c>
      <c r="AH978" s="33" t="s">
        <v>1540</v>
      </c>
      <c r="AI978" s="138" t="s">
        <v>577</v>
      </c>
      <c r="AJ978" s="33" t="s">
        <v>1527</v>
      </c>
      <c r="AK978" s="141" t="s">
        <v>1619</v>
      </c>
      <c r="AL978" s="33" t="s">
        <v>1626</v>
      </c>
      <c r="AM978" s="33" t="s">
        <v>1626</v>
      </c>
      <c r="AN978" s="33" t="s">
        <v>177</v>
      </c>
      <c r="AP978" s="33" t="s">
        <v>156</v>
      </c>
      <c r="AQ978" s="33" t="s">
        <v>2126</v>
      </c>
      <c r="AR978" s="33" t="s">
        <v>2126</v>
      </c>
      <c r="AT978" s="33">
        <v>0</v>
      </c>
      <c r="AU978" s="33">
        <v>0</v>
      </c>
      <c r="AV978" s="33" t="s">
        <v>177</v>
      </c>
      <c r="AW978" s="33" t="s">
        <v>119</v>
      </c>
      <c r="AX978" s="33">
        <v>8</v>
      </c>
      <c r="AZ978" s="33" t="s">
        <v>141</v>
      </c>
      <c r="BB978" s="33">
        <v>730</v>
      </c>
      <c r="BC978" s="33">
        <f>BB978/19.3</f>
        <v>37.823834196891191</v>
      </c>
      <c r="BD978" s="57" t="s">
        <v>674</v>
      </c>
      <c r="BP978" s="402"/>
      <c r="BQ978" s="402"/>
      <c r="BU978" s="402"/>
      <c r="BV978" s="402"/>
      <c r="BZ978" s="402"/>
      <c r="CA978" s="402"/>
      <c r="CE978" s="555"/>
      <c r="CF978" s="555"/>
      <c r="CG978" s="555"/>
      <c r="CH978" s="555"/>
      <c r="CJ978" s="33">
        <v>14</v>
      </c>
      <c r="CK978" s="33">
        <v>13</v>
      </c>
      <c r="CN978" s="33" t="s">
        <v>679</v>
      </c>
      <c r="FL978" s="33">
        <f>44/3</f>
        <v>14.666666666666666</v>
      </c>
      <c r="FM978" s="33">
        <f>40/3</f>
        <v>13.333333333333334</v>
      </c>
      <c r="FP978" s="33" t="s">
        <v>707</v>
      </c>
      <c r="JB978" s="33" t="s">
        <v>681</v>
      </c>
      <c r="JC978" s="33" t="s">
        <v>680</v>
      </c>
    </row>
    <row r="979" spans="1:263" s="33" customFormat="1" x14ac:dyDescent="0.25">
      <c r="A979" s="33">
        <v>46</v>
      </c>
      <c r="B979" s="47" t="s">
        <v>3978</v>
      </c>
      <c r="C979" s="33" t="s">
        <v>666</v>
      </c>
      <c r="D979" s="33" t="s">
        <v>665</v>
      </c>
      <c r="E979" s="33">
        <v>2013</v>
      </c>
      <c r="F979" s="33">
        <v>2009</v>
      </c>
      <c r="G979" s="33" t="s">
        <v>329</v>
      </c>
      <c r="H979" s="33" t="s">
        <v>669</v>
      </c>
      <c r="I979" s="32" t="s">
        <v>2815</v>
      </c>
      <c r="J979" s="33">
        <f>48+45/60</f>
        <v>48.75</v>
      </c>
      <c r="K979" s="33">
        <f>-110-52/60</f>
        <v>-110.86666666666666</v>
      </c>
      <c r="L979" s="33">
        <v>1059</v>
      </c>
      <c r="R979" s="47">
        <v>1</v>
      </c>
      <c r="S979" s="47" t="s">
        <v>1847</v>
      </c>
      <c r="T979" s="47"/>
      <c r="U979" s="47" t="s">
        <v>1959</v>
      </c>
      <c r="V979" s="47" t="s">
        <v>1403</v>
      </c>
      <c r="W979" s="47" t="s">
        <v>1720</v>
      </c>
      <c r="X979" s="47" t="s">
        <v>1389</v>
      </c>
      <c r="Y979" s="47" t="s">
        <v>1417</v>
      </c>
      <c r="AA979" s="327"/>
      <c r="AB979" s="327"/>
      <c r="AC979" s="33" t="s">
        <v>672</v>
      </c>
      <c r="AD979" s="33">
        <v>7.6</v>
      </c>
      <c r="AE979" s="33">
        <v>1.28</v>
      </c>
      <c r="AG979" s="33" t="s">
        <v>1339</v>
      </c>
      <c r="AH979" s="33" t="s">
        <v>1539</v>
      </c>
      <c r="AI979" s="138" t="s">
        <v>577</v>
      </c>
      <c r="AJ979" s="33" t="s">
        <v>1527</v>
      </c>
      <c r="AK979" s="141" t="s">
        <v>1619</v>
      </c>
      <c r="AL979" s="33" t="s">
        <v>1626</v>
      </c>
      <c r="AM979" s="33" t="s">
        <v>1626</v>
      </c>
      <c r="AN979" s="33" t="s">
        <v>177</v>
      </c>
      <c r="AP979" s="33" t="s">
        <v>156</v>
      </c>
      <c r="AQ979" s="33" t="s">
        <v>2126</v>
      </c>
      <c r="AR979" s="33" t="s">
        <v>2126</v>
      </c>
      <c r="AT979" s="33">
        <v>0</v>
      </c>
      <c r="AU979" s="33">
        <v>0</v>
      </c>
      <c r="AV979" s="33" t="s">
        <v>177</v>
      </c>
      <c r="AW979" s="33" t="s">
        <v>119</v>
      </c>
      <c r="AX979" s="33">
        <v>12</v>
      </c>
      <c r="AZ979" s="33" t="s">
        <v>141</v>
      </c>
      <c r="BB979" s="33">
        <f>1.02*1000</f>
        <v>1020</v>
      </c>
      <c r="BC979" s="33">
        <f>BB979/37.8</f>
        <v>26.984126984126988</v>
      </c>
      <c r="BD979" s="57" t="s">
        <v>675</v>
      </c>
      <c r="BP979" s="402"/>
      <c r="BQ979" s="402"/>
      <c r="BU979" s="402"/>
      <c r="BV979" s="402"/>
      <c r="BZ979" s="402"/>
      <c r="CA979" s="402"/>
      <c r="CE979" s="555"/>
      <c r="CF979" s="555"/>
      <c r="CG979" s="555"/>
      <c r="CH979" s="555"/>
      <c r="CJ979" s="33">
        <v>39</v>
      </c>
      <c r="CK979" s="33">
        <v>24</v>
      </c>
      <c r="CN979" s="33" t="s">
        <v>679</v>
      </c>
      <c r="FL979" s="33">
        <f>74/3</f>
        <v>24.666666666666668</v>
      </c>
      <c r="FM979" s="33">
        <f>72/3</f>
        <v>24</v>
      </c>
      <c r="FP979" s="33" t="s">
        <v>707</v>
      </c>
      <c r="JB979" s="33" t="s">
        <v>681</v>
      </c>
      <c r="JC979" s="33" t="s">
        <v>680</v>
      </c>
    </row>
    <row r="980" spans="1:263" s="33" customFormat="1" x14ac:dyDescent="0.25">
      <c r="A980" s="33">
        <v>46</v>
      </c>
      <c r="B980" s="47" t="s">
        <v>3979</v>
      </c>
      <c r="C980" s="33" t="s">
        <v>666</v>
      </c>
      <c r="D980" s="33" t="s">
        <v>665</v>
      </c>
      <c r="E980" s="33">
        <v>2013</v>
      </c>
      <c r="F980" s="33">
        <v>2009</v>
      </c>
      <c r="G980" s="33" t="s">
        <v>329</v>
      </c>
      <c r="H980" s="33" t="s">
        <v>670</v>
      </c>
      <c r="I980" s="32" t="s">
        <v>2815</v>
      </c>
      <c r="J980" s="33">
        <f>48+48/60</f>
        <v>48.8</v>
      </c>
      <c r="K980" s="33">
        <f>-111-38.5/60</f>
        <v>-111.64166666666667</v>
      </c>
      <c r="L980" s="33">
        <v>1102</v>
      </c>
      <c r="R980" s="47">
        <v>1</v>
      </c>
      <c r="S980" s="47" t="s">
        <v>1847</v>
      </c>
      <c r="T980" s="47"/>
      <c r="U980" s="47" t="s">
        <v>1959</v>
      </c>
      <c r="V980" s="47" t="s">
        <v>1403</v>
      </c>
      <c r="W980" s="47" t="s">
        <v>1720</v>
      </c>
      <c r="X980" s="47" t="s">
        <v>1389</v>
      </c>
      <c r="Y980" s="47" t="s">
        <v>1417</v>
      </c>
      <c r="AA980" s="327"/>
      <c r="AB980" s="327"/>
      <c r="AC980" s="33" t="s">
        <v>139</v>
      </c>
      <c r="AD980" s="33">
        <v>6.9</v>
      </c>
      <c r="AE980" s="33">
        <v>1.22</v>
      </c>
      <c r="AG980" s="33" t="s">
        <v>1339</v>
      </c>
      <c r="AH980" s="33" t="s">
        <v>1539</v>
      </c>
      <c r="AI980" s="138" t="s">
        <v>577</v>
      </c>
      <c r="AJ980" s="33" t="s">
        <v>1527</v>
      </c>
      <c r="AK980" s="141" t="s">
        <v>1619</v>
      </c>
      <c r="AL980" s="33" t="s">
        <v>1626</v>
      </c>
      <c r="AM980" s="33" t="s">
        <v>1626</v>
      </c>
      <c r="AN980" s="33" t="s">
        <v>177</v>
      </c>
      <c r="AP980" s="33" t="s">
        <v>156</v>
      </c>
      <c r="AQ980" s="33" t="s">
        <v>2126</v>
      </c>
      <c r="AR980" s="33" t="s">
        <v>2126</v>
      </c>
      <c r="AT980" s="33">
        <v>0</v>
      </c>
      <c r="AU980" s="33">
        <v>0</v>
      </c>
      <c r="AV980" s="33" t="s">
        <v>177</v>
      </c>
      <c r="AW980" s="33" t="s">
        <v>119</v>
      </c>
      <c r="AX980" s="33">
        <v>8</v>
      </c>
      <c r="AZ980" s="33" t="s">
        <v>141</v>
      </c>
      <c r="BB980" s="33">
        <v>1090</v>
      </c>
      <c r="BC980" s="33">
        <f>BB980/28.4</f>
        <v>38.380281690140848</v>
      </c>
      <c r="BD980" s="57" t="s">
        <v>676</v>
      </c>
      <c r="BP980" s="402"/>
      <c r="BQ980" s="402"/>
      <c r="BU980" s="402"/>
      <c r="BV980" s="402"/>
      <c r="BZ980" s="402"/>
      <c r="CA980" s="402"/>
      <c r="CE980" s="555"/>
      <c r="CF980" s="555"/>
      <c r="CG980" s="555"/>
      <c r="CH980" s="555"/>
      <c r="CJ980" s="33">
        <v>15</v>
      </c>
      <c r="CK980" s="33">
        <v>13</v>
      </c>
      <c r="CN980" s="33" t="s">
        <v>679</v>
      </c>
      <c r="FL980" s="33">
        <f>44/3</f>
        <v>14.666666666666666</v>
      </c>
      <c r="FM980" s="33">
        <f>36/3</f>
        <v>12</v>
      </c>
      <c r="FP980" s="33" t="s">
        <v>707</v>
      </c>
      <c r="JB980" s="33" t="s">
        <v>681</v>
      </c>
      <c r="JC980" s="33" t="s">
        <v>680</v>
      </c>
    </row>
    <row r="981" spans="1:263" s="33" customFormat="1" x14ac:dyDescent="0.25">
      <c r="A981" s="33">
        <v>46</v>
      </c>
      <c r="B981" s="47" t="s">
        <v>3980</v>
      </c>
      <c r="C981" s="33" t="s">
        <v>666</v>
      </c>
      <c r="D981" s="33" t="s">
        <v>665</v>
      </c>
      <c r="E981" s="33">
        <v>2013</v>
      </c>
      <c r="F981" s="33">
        <v>2009</v>
      </c>
      <c r="G981" s="33" t="s">
        <v>329</v>
      </c>
      <c r="H981" s="33" t="s">
        <v>671</v>
      </c>
      <c r="I981" s="32" t="s">
        <v>2815</v>
      </c>
      <c r="J981" s="33">
        <f>48+48/60</f>
        <v>48.8</v>
      </c>
      <c r="K981" s="33">
        <f>-111-31/60</f>
        <v>-111.51666666666667</v>
      </c>
      <c r="L981" s="33">
        <v>1090</v>
      </c>
      <c r="R981" s="47">
        <v>1</v>
      </c>
      <c r="S981" s="47" t="s">
        <v>1847</v>
      </c>
      <c r="T981" s="47"/>
      <c r="U981" s="47" t="s">
        <v>1959</v>
      </c>
      <c r="V981" s="47" t="s">
        <v>1403</v>
      </c>
      <c r="W981" s="47" t="s">
        <v>1720</v>
      </c>
      <c r="X981" s="47" t="s">
        <v>1389</v>
      </c>
      <c r="Y981" s="47" t="s">
        <v>1417</v>
      </c>
      <c r="AA981" s="327"/>
      <c r="AB981" s="327"/>
      <c r="AC981" s="33" t="s">
        <v>518</v>
      </c>
      <c r="AD981" s="33">
        <v>7.8</v>
      </c>
      <c r="AE981" s="33">
        <v>1.1000000000000001</v>
      </c>
      <c r="AG981" s="33" t="s">
        <v>1339</v>
      </c>
      <c r="AH981" s="33" t="s">
        <v>562</v>
      </c>
      <c r="AI981" s="138" t="s">
        <v>577</v>
      </c>
      <c r="AJ981" s="33" t="s">
        <v>1527</v>
      </c>
      <c r="AK981" s="141" t="s">
        <v>1619</v>
      </c>
      <c r="AL981" s="33" t="s">
        <v>1626</v>
      </c>
      <c r="AM981" s="33" t="s">
        <v>1626</v>
      </c>
      <c r="AN981" s="33" t="s">
        <v>177</v>
      </c>
      <c r="AP981" s="33" t="s">
        <v>156</v>
      </c>
      <c r="AQ981" s="33" t="s">
        <v>2126</v>
      </c>
      <c r="AR981" s="33" t="s">
        <v>2126</v>
      </c>
      <c r="AT981" s="33">
        <v>0</v>
      </c>
      <c r="AU981" s="33">
        <v>0</v>
      </c>
      <c r="AV981" s="33" t="s">
        <v>177</v>
      </c>
      <c r="AW981" s="33" t="s">
        <v>119</v>
      </c>
      <c r="AX981" s="33">
        <v>8</v>
      </c>
      <c r="AZ981" s="33" t="s">
        <v>141</v>
      </c>
      <c r="BB981" s="33">
        <v>550</v>
      </c>
      <c r="BC981" s="33">
        <f>BB981/14.5</f>
        <v>37.931034482758619</v>
      </c>
      <c r="BD981" s="57" t="s">
        <v>677</v>
      </c>
      <c r="BP981" s="402"/>
      <c r="BQ981" s="402"/>
      <c r="BU981" s="402"/>
      <c r="BV981" s="402"/>
      <c r="BZ981" s="402"/>
      <c r="CA981" s="402"/>
      <c r="CE981" s="555"/>
      <c r="CF981" s="555"/>
      <c r="CG981" s="555"/>
      <c r="CH981" s="555"/>
      <c r="CJ981" s="33">
        <v>2</v>
      </c>
      <c r="CK981" s="33">
        <v>2</v>
      </c>
      <c r="CN981" s="33" t="s">
        <v>679</v>
      </c>
      <c r="FL981" s="33">
        <f>61/3</f>
        <v>20.333333333333332</v>
      </c>
      <c r="FM981" s="33">
        <f>49/3</f>
        <v>16.333333333333332</v>
      </c>
      <c r="FP981" s="33" t="s">
        <v>707</v>
      </c>
      <c r="JB981" s="33" t="s">
        <v>681</v>
      </c>
      <c r="JC981" s="33" t="s">
        <v>680</v>
      </c>
    </row>
    <row r="982" spans="1:263" s="59" customFormat="1" x14ac:dyDescent="0.25">
      <c r="A982" s="59">
        <v>46</v>
      </c>
      <c r="B982" s="60" t="s">
        <v>3976</v>
      </c>
      <c r="C982" s="59" t="s">
        <v>666</v>
      </c>
      <c r="D982" s="59" t="s">
        <v>665</v>
      </c>
      <c r="E982" s="59">
        <v>2013</v>
      </c>
      <c r="F982" s="59">
        <v>2009</v>
      </c>
      <c r="G982" s="59" t="s">
        <v>329</v>
      </c>
      <c r="H982" s="59" t="s">
        <v>667</v>
      </c>
      <c r="I982" s="32" t="s">
        <v>2815</v>
      </c>
      <c r="J982" s="59">
        <f>47+55/60</f>
        <v>47.916666666666664</v>
      </c>
      <c r="K982" s="59">
        <f>-109-55/60</f>
        <v>-109.91666666666667</v>
      </c>
      <c r="L982" s="59">
        <v>888</v>
      </c>
      <c r="R982" s="60">
        <v>1</v>
      </c>
      <c r="S982" s="47" t="s">
        <v>1847</v>
      </c>
      <c r="T982" s="60"/>
      <c r="U982" s="60" t="s">
        <v>1959</v>
      </c>
      <c r="V982" s="60" t="s">
        <v>1389</v>
      </c>
      <c r="W982" s="47" t="s">
        <v>1720</v>
      </c>
      <c r="X982" s="60" t="s">
        <v>1389</v>
      </c>
      <c r="Y982" s="60" t="s">
        <v>1417</v>
      </c>
      <c r="AA982" s="333"/>
      <c r="AB982" s="333"/>
      <c r="AC982" s="59" t="s">
        <v>518</v>
      </c>
      <c r="AD982" s="59">
        <v>6.1</v>
      </c>
      <c r="AE982" s="59">
        <v>1.1000000000000001</v>
      </c>
      <c r="AG982" s="59" t="s">
        <v>1339</v>
      </c>
      <c r="AH982" s="59" t="s">
        <v>1539</v>
      </c>
      <c r="AI982" s="138" t="s">
        <v>577</v>
      </c>
      <c r="AJ982" s="59" t="s">
        <v>1527</v>
      </c>
      <c r="AK982" s="141" t="s">
        <v>1619</v>
      </c>
      <c r="AL982" s="33" t="s">
        <v>1626</v>
      </c>
      <c r="AM982" s="33" t="s">
        <v>1626</v>
      </c>
      <c r="AN982" s="33" t="s">
        <v>177</v>
      </c>
      <c r="AP982" s="59" t="s">
        <v>156</v>
      </c>
      <c r="AQ982" s="59" t="s">
        <v>2126</v>
      </c>
      <c r="AR982" s="59" t="s">
        <v>2126</v>
      </c>
      <c r="AT982" s="59">
        <v>0</v>
      </c>
      <c r="AU982" s="59">
        <v>0</v>
      </c>
      <c r="AV982" s="59" t="s">
        <v>177</v>
      </c>
      <c r="AW982" s="59" t="s">
        <v>119</v>
      </c>
      <c r="AX982" s="59">
        <v>6</v>
      </c>
      <c r="AZ982" s="59" t="s">
        <v>141</v>
      </c>
      <c r="BB982" s="59">
        <f>1.07*1000</f>
        <v>1070</v>
      </c>
      <c r="BC982" s="59">
        <f>BB982/44.2</f>
        <v>24.20814479638009</v>
      </c>
      <c r="BD982" s="61" t="s">
        <v>673</v>
      </c>
      <c r="BP982" s="408"/>
      <c r="BQ982" s="408"/>
      <c r="BU982" s="408"/>
      <c r="BV982" s="408"/>
      <c r="BZ982" s="408"/>
      <c r="CA982" s="408"/>
      <c r="CE982" s="561"/>
      <c r="CF982" s="561"/>
      <c r="CG982" s="561"/>
      <c r="CH982" s="561"/>
      <c r="CJ982" s="59">
        <v>47</v>
      </c>
      <c r="CK982" s="59">
        <v>26</v>
      </c>
      <c r="CL982" s="33"/>
      <c r="CM982" s="33"/>
      <c r="CN982" s="33" t="s">
        <v>679</v>
      </c>
      <c r="FL982" s="59">
        <f>64/3</f>
        <v>21.333333333333332</v>
      </c>
      <c r="FM982" s="59">
        <f>68/3</f>
        <v>22.666666666666668</v>
      </c>
      <c r="FP982" s="33" t="s">
        <v>707</v>
      </c>
      <c r="JB982" s="33" t="s">
        <v>681</v>
      </c>
      <c r="JC982" s="28" t="s">
        <v>680</v>
      </c>
    </row>
    <row r="983" spans="1:263" s="59" customFormat="1" x14ac:dyDescent="0.25">
      <c r="A983" s="59">
        <v>46</v>
      </c>
      <c r="B983" s="60" t="s">
        <v>3977</v>
      </c>
      <c r="C983" s="59" t="s">
        <v>666</v>
      </c>
      <c r="D983" s="59" t="s">
        <v>665</v>
      </c>
      <c r="E983" s="59">
        <v>2013</v>
      </c>
      <c r="F983" s="59">
        <v>2009</v>
      </c>
      <c r="G983" s="59" t="s">
        <v>329</v>
      </c>
      <c r="H983" s="59" t="s">
        <v>668</v>
      </c>
      <c r="I983" s="32" t="s">
        <v>2815</v>
      </c>
      <c r="J983" s="59">
        <f>48+18/60</f>
        <v>48.3</v>
      </c>
      <c r="K983" s="59">
        <f>-110-6/60</f>
        <v>-110.1</v>
      </c>
      <c r="L983" s="59">
        <v>833</v>
      </c>
      <c r="R983" s="60">
        <v>1</v>
      </c>
      <c r="S983" s="47" t="s">
        <v>1847</v>
      </c>
      <c r="T983" s="60"/>
      <c r="U983" s="60" t="s">
        <v>1959</v>
      </c>
      <c r="V983" s="60" t="s">
        <v>1389</v>
      </c>
      <c r="W983" s="47" t="s">
        <v>1720</v>
      </c>
      <c r="X983" s="60" t="s">
        <v>1389</v>
      </c>
      <c r="Y983" s="60" t="s">
        <v>1417</v>
      </c>
      <c r="AA983" s="333"/>
      <c r="AB983" s="333"/>
      <c r="AC983" s="59" t="s">
        <v>139</v>
      </c>
      <c r="AD983" s="59">
        <v>6.9</v>
      </c>
      <c r="AE983" s="59">
        <v>0.87</v>
      </c>
      <c r="AG983" s="59" t="s">
        <v>1339</v>
      </c>
      <c r="AH983" s="59" t="s">
        <v>1540</v>
      </c>
      <c r="AI983" s="138" t="s">
        <v>577</v>
      </c>
      <c r="AJ983" s="59" t="s">
        <v>1527</v>
      </c>
      <c r="AK983" s="141" t="s">
        <v>1619</v>
      </c>
      <c r="AL983" s="33" t="s">
        <v>1626</v>
      </c>
      <c r="AM983" s="33" t="s">
        <v>1626</v>
      </c>
      <c r="AN983" s="33" t="s">
        <v>177</v>
      </c>
      <c r="AP983" s="59" t="s">
        <v>156</v>
      </c>
      <c r="AQ983" s="59" t="s">
        <v>2126</v>
      </c>
      <c r="AR983" s="59" t="s">
        <v>2126</v>
      </c>
      <c r="AT983" s="59">
        <v>0</v>
      </c>
      <c r="AU983" s="59">
        <v>0</v>
      </c>
      <c r="AV983" s="59" t="s">
        <v>177</v>
      </c>
      <c r="AW983" s="59" t="s">
        <v>119</v>
      </c>
      <c r="AX983" s="59">
        <v>8</v>
      </c>
      <c r="AZ983" s="59" t="s">
        <v>141</v>
      </c>
      <c r="BB983" s="59">
        <v>730</v>
      </c>
      <c r="BC983" s="59">
        <f>BB983/19.3</f>
        <v>37.823834196891191</v>
      </c>
      <c r="BD983" s="61" t="s">
        <v>674</v>
      </c>
      <c r="BP983" s="408"/>
      <c r="BQ983" s="408"/>
      <c r="BU983" s="408"/>
      <c r="BV983" s="408"/>
      <c r="BZ983" s="408"/>
      <c r="CA983" s="408"/>
      <c r="CE983" s="561"/>
      <c r="CF983" s="561"/>
      <c r="CG983" s="561"/>
      <c r="CH983" s="561"/>
      <c r="CJ983" s="59">
        <v>29</v>
      </c>
      <c r="CK983" s="59">
        <v>15</v>
      </c>
      <c r="CL983" s="33"/>
      <c r="CM983" s="33"/>
      <c r="CN983" s="33" t="s">
        <v>679</v>
      </c>
      <c r="FL983" s="59">
        <f>56/3</f>
        <v>18.666666666666668</v>
      </c>
      <c r="FM983" s="59">
        <f>36/3</f>
        <v>12</v>
      </c>
      <c r="FP983" s="33" t="s">
        <v>707</v>
      </c>
      <c r="JB983" s="33" t="s">
        <v>681</v>
      </c>
      <c r="JC983" s="28" t="s">
        <v>680</v>
      </c>
    </row>
    <row r="984" spans="1:263" s="59" customFormat="1" x14ac:dyDescent="0.25">
      <c r="A984" s="59">
        <v>46</v>
      </c>
      <c r="B984" s="60" t="s">
        <v>3978</v>
      </c>
      <c r="C984" s="59" t="s">
        <v>666</v>
      </c>
      <c r="D984" s="59" t="s">
        <v>665</v>
      </c>
      <c r="E984" s="59">
        <v>2013</v>
      </c>
      <c r="F984" s="59">
        <v>2009</v>
      </c>
      <c r="G984" s="59" t="s">
        <v>329</v>
      </c>
      <c r="H984" s="59" t="s">
        <v>669</v>
      </c>
      <c r="I984" s="32" t="s">
        <v>2815</v>
      </c>
      <c r="J984" s="59">
        <f>48+45/60</f>
        <v>48.75</v>
      </c>
      <c r="K984" s="59">
        <f>-110-52/60</f>
        <v>-110.86666666666666</v>
      </c>
      <c r="L984" s="59">
        <v>1059</v>
      </c>
      <c r="R984" s="60">
        <v>1</v>
      </c>
      <c r="S984" s="47" t="s">
        <v>1847</v>
      </c>
      <c r="T984" s="60"/>
      <c r="U984" s="60" t="s">
        <v>1959</v>
      </c>
      <c r="V984" s="60" t="s">
        <v>1389</v>
      </c>
      <c r="W984" s="47" t="s">
        <v>1720</v>
      </c>
      <c r="X984" s="60" t="s">
        <v>1389</v>
      </c>
      <c r="Y984" s="60" t="s">
        <v>1417</v>
      </c>
      <c r="AA984" s="333"/>
      <c r="AB984" s="333"/>
      <c r="AC984" s="59" t="s">
        <v>672</v>
      </c>
      <c r="AD984" s="59">
        <v>7.6</v>
      </c>
      <c r="AE984" s="59">
        <v>1.28</v>
      </c>
      <c r="AG984" s="59" t="s">
        <v>1339</v>
      </c>
      <c r="AH984" s="59" t="s">
        <v>1539</v>
      </c>
      <c r="AI984" s="138" t="s">
        <v>577</v>
      </c>
      <c r="AJ984" s="59" t="s">
        <v>1527</v>
      </c>
      <c r="AK984" s="141" t="s">
        <v>1619</v>
      </c>
      <c r="AL984" s="33" t="s">
        <v>1626</v>
      </c>
      <c r="AM984" s="33" t="s">
        <v>1626</v>
      </c>
      <c r="AN984" s="33" t="s">
        <v>177</v>
      </c>
      <c r="AP984" s="59" t="s">
        <v>156</v>
      </c>
      <c r="AQ984" s="59" t="s">
        <v>2126</v>
      </c>
      <c r="AR984" s="59" t="s">
        <v>2126</v>
      </c>
      <c r="AT984" s="59">
        <v>0</v>
      </c>
      <c r="AU984" s="59">
        <v>0</v>
      </c>
      <c r="AV984" s="59" t="s">
        <v>177</v>
      </c>
      <c r="AW984" s="59" t="s">
        <v>119</v>
      </c>
      <c r="AX984" s="59">
        <v>12</v>
      </c>
      <c r="AZ984" s="59" t="s">
        <v>141</v>
      </c>
      <c r="BB984" s="59">
        <f>1.02*1000</f>
        <v>1020</v>
      </c>
      <c r="BC984" s="59">
        <f>BB984/37.8</f>
        <v>26.984126984126988</v>
      </c>
      <c r="BD984" s="61" t="s">
        <v>675</v>
      </c>
      <c r="BP984" s="408"/>
      <c r="BQ984" s="408"/>
      <c r="BU984" s="408"/>
      <c r="BV984" s="408"/>
      <c r="BZ984" s="408"/>
      <c r="CA984" s="408"/>
      <c r="CE984" s="561"/>
      <c r="CF984" s="561"/>
      <c r="CG984" s="561"/>
      <c r="CH984" s="561"/>
      <c r="CJ984" s="59">
        <v>24</v>
      </c>
      <c r="CK984" s="59">
        <v>19</v>
      </c>
      <c r="CL984" s="33"/>
      <c r="CM984" s="33"/>
      <c r="CN984" s="33" t="s">
        <v>679</v>
      </c>
      <c r="FL984" s="59">
        <f>64/3</f>
        <v>21.333333333333332</v>
      </c>
      <c r="FM984" s="59">
        <f>45/3</f>
        <v>15</v>
      </c>
      <c r="FP984" s="33" t="s">
        <v>707</v>
      </c>
      <c r="JB984" s="33" t="s">
        <v>681</v>
      </c>
      <c r="JC984" s="28" t="s">
        <v>680</v>
      </c>
    </row>
    <row r="985" spans="1:263" s="59" customFormat="1" x14ac:dyDescent="0.25">
      <c r="A985" s="59">
        <v>46</v>
      </c>
      <c r="B985" s="60" t="s">
        <v>3979</v>
      </c>
      <c r="C985" s="59" t="s">
        <v>666</v>
      </c>
      <c r="D985" s="59" t="s">
        <v>665</v>
      </c>
      <c r="E985" s="59">
        <v>2013</v>
      </c>
      <c r="F985" s="59">
        <v>2009</v>
      </c>
      <c r="G985" s="59" t="s">
        <v>329</v>
      </c>
      <c r="H985" s="59" t="s">
        <v>670</v>
      </c>
      <c r="I985" s="32" t="s">
        <v>2815</v>
      </c>
      <c r="J985" s="59">
        <f>48+48/60</f>
        <v>48.8</v>
      </c>
      <c r="K985" s="59">
        <f>-111-38.5/60</f>
        <v>-111.64166666666667</v>
      </c>
      <c r="L985" s="59">
        <v>1102</v>
      </c>
      <c r="R985" s="60">
        <v>1</v>
      </c>
      <c r="S985" s="47" t="s">
        <v>1847</v>
      </c>
      <c r="T985" s="60"/>
      <c r="U985" s="60" t="s">
        <v>1959</v>
      </c>
      <c r="V985" s="60" t="s">
        <v>1389</v>
      </c>
      <c r="W985" s="47" t="s">
        <v>1720</v>
      </c>
      <c r="X985" s="60" t="s">
        <v>1389</v>
      </c>
      <c r="Y985" s="60" t="s">
        <v>1417</v>
      </c>
      <c r="AA985" s="333"/>
      <c r="AB985" s="333"/>
      <c r="AC985" s="59" t="s">
        <v>139</v>
      </c>
      <c r="AD985" s="59">
        <v>6.9</v>
      </c>
      <c r="AE985" s="59">
        <v>1.22</v>
      </c>
      <c r="AG985" s="59" t="s">
        <v>1339</v>
      </c>
      <c r="AH985" s="59" t="s">
        <v>1539</v>
      </c>
      <c r="AI985" s="138" t="s">
        <v>577</v>
      </c>
      <c r="AJ985" s="59" t="s">
        <v>1527</v>
      </c>
      <c r="AK985" s="141" t="s">
        <v>1619</v>
      </c>
      <c r="AL985" s="33" t="s">
        <v>1626</v>
      </c>
      <c r="AM985" s="33" t="s">
        <v>1626</v>
      </c>
      <c r="AN985" s="33" t="s">
        <v>177</v>
      </c>
      <c r="AP985" s="59" t="s">
        <v>156</v>
      </c>
      <c r="AQ985" s="59" t="s">
        <v>2126</v>
      </c>
      <c r="AR985" s="59" t="s">
        <v>2126</v>
      </c>
      <c r="AT985" s="59">
        <v>0</v>
      </c>
      <c r="AU985" s="59">
        <v>0</v>
      </c>
      <c r="AV985" s="59" t="s">
        <v>177</v>
      </c>
      <c r="AW985" s="59" t="s">
        <v>119</v>
      </c>
      <c r="AX985" s="59">
        <v>8</v>
      </c>
      <c r="AZ985" s="59" t="s">
        <v>141</v>
      </c>
      <c r="BB985" s="59">
        <v>1090</v>
      </c>
      <c r="BC985" s="59">
        <f>BB985/28.4</f>
        <v>38.380281690140848</v>
      </c>
      <c r="BD985" s="61" t="s">
        <v>676</v>
      </c>
      <c r="BP985" s="408"/>
      <c r="BQ985" s="408"/>
      <c r="BU985" s="408"/>
      <c r="BV985" s="408"/>
      <c r="BZ985" s="408"/>
      <c r="CA985" s="408"/>
      <c r="CE985" s="561"/>
      <c r="CF985" s="561"/>
      <c r="CG985" s="561"/>
      <c r="CH985" s="561"/>
      <c r="CJ985" s="59">
        <v>54</v>
      </c>
      <c r="CK985" s="59">
        <v>23</v>
      </c>
      <c r="CL985" s="33"/>
      <c r="CM985" s="33"/>
      <c r="CN985" s="33" t="s">
        <v>679</v>
      </c>
      <c r="FL985" s="59">
        <f>80/3</f>
        <v>26.666666666666668</v>
      </c>
      <c r="FM985" s="59">
        <f>72/3</f>
        <v>24</v>
      </c>
      <c r="FP985" s="33" t="s">
        <v>707</v>
      </c>
      <c r="JB985" s="33" t="s">
        <v>681</v>
      </c>
      <c r="JC985" s="28" t="s">
        <v>680</v>
      </c>
    </row>
    <row r="986" spans="1:263" s="59" customFormat="1" x14ac:dyDescent="0.25">
      <c r="A986" s="59">
        <v>46</v>
      </c>
      <c r="B986" s="60" t="s">
        <v>3980</v>
      </c>
      <c r="C986" s="59" t="s">
        <v>666</v>
      </c>
      <c r="D986" s="59" t="s">
        <v>665</v>
      </c>
      <c r="E986" s="59">
        <v>2013</v>
      </c>
      <c r="F986" s="59">
        <v>2009</v>
      </c>
      <c r="G986" s="59" t="s">
        <v>329</v>
      </c>
      <c r="H986" s="59" t="s">
        <v>671</v>
      </c>
      <c r="I986" s="32" t="s">
        <v>2815</v>
      </c>
      <c r="J986" s="59">
        <f>48+48/60</f>
        <v>48.8</v>
      </c>
      <c r="K986" s="59">
        <f>-111-31/60</f>
        <v>-111.51666666666667</v>
      </c>
      <c r="L986" s="59">
        <v>1090</v>
      </c>
      <c r="R986" s="60">
        <v>1</v>
      </c>
      <c r="S986" s="47" t="s">
        <v>1847</v>
      </c>
      <c r="T986" s="60"/>
      <c r="U986" s="60" t="s">
        <v>1959</v>
      </c>
      <c r="V986" s="60" t="s">
        <v>1389</v>
      </c>
      <c r="W986" s="47" t="s">
        <v>1720</v>
      </c>
      <c r="X986" s="60" t="s">
        <v>1389</v>
      </c>
      <c r="Y986" s="60" t="s">
        <v>1417</v>
      </c>
      <c r="AA986" s="333"/>
      <c r="AB986" s="333"/>
      <c r="AC986" s="59" t="s">
        <v>518</v>
      </c>
      <c r="AD986" s="59">
        <v>7.8</v>
      </c>
      <c r="AE986" s="59">
        <v>1.1000000000000001</v>
      </c>
      <c r="AG986" s="59" t="s">
        <v>1339</v>
      </c>
      <c r="AH986" s="59" t="s">
        <v>562</v>
      </c>
      <c r="AI986" s="138" t="s">
        <v>577</v>
      </c>
      <c r="AJ986" s="59" t="s">
        <v>1527</v>
      </c>
      <c r="AK986" s="141" t="s">
        <v>1619</v>
      </c>
      <c r="AL986" s="33" t="s">
        <v>1626</v>
      </c>
      <c r="AM986" s="33" t="s">
        <v>1626</v>
      </c>
      <c r="AN986" s="33" t="s">
        <v>177</v>
      </c>
      <c r="AP986" s="59" t="s">
        <v>156</v>
      </c>
      <c r="AQ986" s="59" t="s">
        <v>2126</v>
      </c>
      <c r="AR986" s="59" t="s">
        <v>2126</v>
      </c>
      <c r="AT986" s="59">
        <v>0</v>
      </c>
      <c r="AU986" s="59">
        <v>0</v>
      </c>
      <c r="AV986" s="59" t="s">
        <v>177</v>
      </c>
      <c r="AW986" s="59" t="s">
        <v>119</v>
      </c>
      <c r="AX986" s="59">
        <v>8</v>
      </c>
      <c r="AZ986" s="59" t="s">
        <v>141</v>
      </c>
      <c r="BB986" s="59">
        <v>550</v>
      </c>
      <c r="BC986" s="59">
        <f>BB986/14.5</f>
        <v>37.931034482758619</v>
      </c>
      <c r="BD986" s="61" t="s">
        <v>677</v>
      </c>
      <c r="BP986" s="408"/>
      <c r="BQ986" s="408"/>
      <c r="BU986" s="408"/>
      <c r="BV986" s="408"/>
      <c r="BZ986" s="408"/>
      <c r="CA986" s="408"/>
      <c r="CE986" s="561"/>
      <c r="CF986" s="561"/>
      <c r="CG986" s="561"/>
      <c r="CH986" s="561"/>
      <c r="CJ986" s="59">
        <v>16</v>
      </c>
      <c r="CK986" s="59">
        <v>10</v>
      </c>
      <c r="CL986" s="33"/>
      <c r="CM986" s="33"/>
      <c r="CN986" s="33" t="s">
        <v>679</v>
      </c>
      <c r="FL986" s="59">
        <f>83/3</f>
        <v>27.666666666666668</v>
      </c>
      <c r="FM986" s="59">
        <f>73/3</f>
        <v>24.333333333333332</v>
      </c>
      <c r="FP986" s="33" t="s">
        <v>707</v>
      </c>
      <c r="JB986" s="33" t="s">
        <v>681</v>
      </c>
      <c r="JC986" s="28" t="s">
        <v>680</v>
      </c>
    </row>
    <row r="987" spans="1:263" s="62" customFormat="1" x14ac:dyDescent="0.25">
      <c r="A987" s="62">
        <v>46</v>
      </c>
      <c r="B987" s="63" t="s">
        <v>3976</v>
      </c>
      <c r="C987" s="62" t="s">
        <v>666</v>
      </c>
      <c r="D987" s="62" t="s">
        <v>665</v>
      </c>
      <c r="E987" s="62">
        <v>2013</v>
      </c>
      <c r="F987" s="62">
        <v>2009</v>
      </c>
      <c r="G987" s="62" t="s">
        <v>329</v>
      </c>
      <c r="H987" s="62" t="s">
        <v>667</v>
      </c>
      <c r="I987" s="32" t="s">
        <v>2815</v>
      </c>
      <c r="J987" s="62">
        <f>47+55/60</f>
        <v>47.916666666666664</v>
      </c>
      <c r="K987" s="62">
        <f>-109-55/60</f>
        <v>-109.91666666666667</v>
      </c>
      <c r="L987" s="62">
        <v>888</v>
      </c>
      <c r="R987" s="63">
        <v>1</v>
      </c>
      <c r="S987" s="63" t="s">
        <v>1847</v>
      </c>
      <c r="T987" s="63"/>
      <c r="U987" s="63" t="s">
        <v>1959</v>
      </c>
      <c r="V987" s="63" t="s">
        <v>1402</v>
      </c>
      <c r="W987" s="47" t="s">
        <v>1720</v>
      </c>
      <c r="X987" s="63" t="s">
        <v>1389</v>
      </c>
      <c r="Y987" s="63" t="s">
        <v>1417</v>
      </c>
      <c r="AA987" s="334"/>
      <c r="AB987" s="334"/>
      <c r="AC987" s="62" t="s">
        <v>518</v>
      </c>
      <c r="AD987" s="62">
        <v>6.1</v>
      </c>
      <c r="AE987" s="62">
        <v>1.1000000000000001</v>
      </c>
      <c r="AG987" s="62" t="s">
        <v>1339</v>
      </c>
      <c r="AH987" s="62" t="s">
        <v>1539</v>
      </c>
      <c r="AI987" s="138" t="s">
        <v>577</v>
      </c>
      <c r="AJ987" s="62" t="s">
        <v>1527</v>
      </c>
      <c r="AK987" s="141" t="s">
        <v>1619</v>
      </c>
      <c r="AL987" s="28" t="s">
        <v>1626</v>
      </c>
      <c r="AM987" s="28" t="s">
        <v>1626</v>
      </c>
      <c r="AN987" s="28" t="s">
        <v>177</v>
      </c>
      <c r="AP987" s="62" t="s">
        <v>156</v>
      </c>
      <c r="AQ987" s="62" t="s">
        <v>2126</v>
      </c>
      <c r="AR987" s="62" t="s">
        <v>2126</v>
      </c>
      <c r="AT987" s="62">
        <v>0</v>
      </c>
      <c r="AU987" s="62">
        <v>0</v>
      </c>
      <c r="AV987" s="62" t="s">
        <v>177</v>
      </c>
      <c r="AW987" s="62" t="s">
        <v>119</v>
      </c>
      <c r="AX987" s="62">
        <v>6</v>
      </c>
      <c r="AZ987" s="62" t="s">
        <v>141</v>
      </c>
      <c r="BB987" s="62">
        <f>1.07*1000</f>
        <v>1070</v>
      </c>
      <c r="BC987" s="62">
        <f>BB987/44.2</f>
        <v>24.20814479638009</v>
      </c>
      <c r="BD987" s="64" t="s">
        <v>673</v>
      </c>
      <c r="BP987" s="409"/>
      <c r="BQ987" s="409"/>
      <c r="BU987" s="409"/>
      <c r="BV987" s="409"/>
      <c r="BZ987" s="409"/>
      <c r="CA987" s="409"/>
      <c r="CE987" s="562"/>
      <c r="CF987" s="562"/>
      <c r="CG987" s="562"/>
      <c r="CH987" s="562"/>
      <c r="CJ987" s="62">
        <v>20</v>
      </c>
      <c r="CK987" s="62">
        <v>14</v>
      </c>
      <c r="CN987" s="62" t="s">
        <v>679</v>
      </c>
      <c r="FL987" s="62">
        <f>67/3</f>
        <v>22.333333333333332</v>
      </c>
      <c r="FM987" s="62">
        <f>68/3</f>
        <v>22.666666666666668</v>
      </c>
      <c r="FP987" s="62" t="s">
        <v>707</v>
      </c>
      <c r="JB987" s="62" t="s">
        <v>681</v>
      </c>
      <c r="JC987" s="33" t="s">
        <v>680</v>
      </c>
    </row>
    <row r="988" spans="1:263" s="62" customFormat="1" x14ac:dyDescent="0.25">
      <c r="A988" s="62">
        <v>46</v>
      </c>
      <c r="B988" s="63" t="s">
        <v>3977</v>
      </c>
      <c r="C988" s="62" t="s">
        <v>666</v>
      </c>
      <c r="D988" s="62" t="s">
        <v>665</v>
      </c>
      <c r="E988" s="62">
        <v>2013</v>
      </c>
      <c r="F988" s="62">
        <v>2009</v>
      </c>
      <c r="G988" s="62" t="s">
        <v>329</v>
      </c>
      <c r="H988" s="62" t="s">
        <v>668</v>
      </c>
      <c r="I988" s="32" t="s">
        <v>2815</v>
      </c>
      <c r="J988" s="62">
        <f>48+18/60</f>
        <v>48.3</v>
      </c>
      <c r="K988" s="62">
        <f>-110-6/60</f>
        <v>-110.1</v>
      </c>
      <c r="L988" s="62">
        <v>833</v>
      </c>
      <c r="R988" s="63">
        <v>1</v>
      </c>
      <c r="S988" s="63" t="s">
        <v>1847</v>
      </c>
      <c r="T988" s="63"/>
      <c r="U988" s="63" t="s">
        <v>1959</v>
      </c>
      <c r="V988" s="63" t="s">
        <v>1402</v>
      </c>
      <c r="W988" s="47" t="s">
        <v>1720</v>
      </c>
      <c r="X988" s="63" t="s">
        <v>1389</v>
      </c>
      <c r="Y988" s="63" t="s">
        <v>1417</v>
      </c>
      <c r="AA988" s="334"/>
      <c r="AB988" s="334"/>
      <c r="AC988" s="62" t="s">
        <v>139</v>
      </c>
      <c r="AD988" s="62">
        <v>6.9</v>
      </c>
      <c r="AE988" s="62">
        <v>0.87</v>
      </c>
      <c r="AG988" s="62" t="s">
        <v>1339</v>
      </c>
      <c r="AH988" s="62" t="s">
        <v>1540</v>
      </c>
      <c r="AI988" s="138" t="s">
        <v>577</v>
      </c>
      <c r="AJ988" s="62" t="s">
        <v>1527</v>
      </c>
      <c r="AK988" s="141" t="s">
        <v>1619</v>
      </c>
      <c r="AL988" s="28" t="s">
        <v>1626</v>
      </c>
      <c r="AM988" s="28" t="s">
        <v>1626</v>
      </c>
      <c r="AN988" s="28" t="s">
        <v>177</v>
      </c>
      <c r="AP988" s="62" t="s">
        <v>156</v>
      </c>
      <c r="AQ988" s="62" t="s">
        <v>2126</v>
      </c>
      <c r="AR988" s="62" t="s">
        <v>2126</v>
      </c>
      <c r="AT988" s="62">
        <v>0</v>
      </c>
      <c r="AU988" s="62">
        <v>0</v>
      </c>
      <c r="AV988" s="62" t="s">
        <v>177</v>
      </c>
      <c r="AW988" s="62" t="s">
        <v>119</v>
      </c>
      <c r="AX988" s="62">
        <v>8</v>
      </c>
      <c r="AZ988" s="62" t="s">
        <v>141</v>
      </c>
      <c r="BB988" s="62">
        <v>730</v>
      </c>
      <c r="BC988" s="62">
        <f>BB988/19.3</f>
        <v>37.823834196891191</v>
      </c>
      <c r="BD988" s="64" t="s">
        <v>674</v>
      </c>
      <c r="BP988" s="409"/>
      <c r="BQ988" s="409"/>
      <c r="BU988" s="409"/>
      <c r="BV988" s="409"/>
      <c r="BZ988" s="409"/>
      <c r="CA988" s="409"/>
      <c r="CE988" s="562"/>
      <c r="CF988" s="562"/>
      <c r="CG988" s="562"/>
      <c r="CH988" s="562"/>
      <c r="CJ988" s="62">
        <v>7</v>
      </c>
      <c r="CK988" s="62">
        <v>5</v>
      </c>
      <c r="CN988" s="62" t="s">
        <v>679</v>
      </c>
      <c r="FL988" s="62">
        <f>54/3</f>
        <v>18</v>
      </c>
      <c r="FM988" s="62">
        <f>39/3</f>
        <v>13</v>
      </c>
      <c r="FP988" s="62" t="s">
        <v>707</v>
      </c>
      <c r="JB988" s="62" t="s">
        <v>681</v>
      </c>
      <c r="JC988" s="33" t="s">
        <v>680</v>
      </c>
    </row>
    <row r="989" spans="1:263" s="62" customFormat="1" x14ac:dyDescent="0.25">
      <c r="A989" s="62">
        <v>46</v>
      </c>
      <c r="B989" s="63" t="s">
        <v>3978</v>
      </c>
      <c r="C989" s="62" t="s">
        <v>666</v>
      </c>
      <c r="D989" s="62" t="s">
        <v>665</v>
      </c>
      <c r="E989" s="62">
        <v>2013</v>
      </c>
      <c r="F989" s="62">
        <v>2009</v>
      </c>
      <c r="G989" s="62" t="s">
        <v>329</v>
      </c>
      <c r="H989" s="62" t="s">
        <v>669</v>
      </c>
      <c r="I989" s="32" t="s">
        <v>2815</v>
      </c>
      <c r="J989" s="62">
        <f>48+45/60</f>
        <v>48.75</v>
      </c>
      <c r="K989" s="62">
        <f>-110-52/60</f>
        <v>-110.86666666666666</v>
      </c>
      <c r="L989" s="62">
        <v>1059</v>
      </c>
      <c r="R989" s="63">
        <v>1</v>
      </c>
      <c r="S989" s="63" t="s">
        <v>1847</v>
      </c>
      <c r="T989" s="63"/>
      <c r="U989" s="63" t="s">
        <v>1959</v>
      </c>
      <c r="V989" s="63" t="s">
        <v>1402</v>
      </c>
      <c r="W989" s="47" t="s">
        <v>1720</v>
      </c>
      <c r="X989" s="63" t="s">
        <v>1389</v>
      </c>
      <c r="Y989" s="63" t="s">
        <v>1417</v>
      </c>
      <c r="AA989" s="334"/>
      <c r="AB989" s="334"/>
      <c r="AC989" s="62" t="s">
        <v>672</v>
      </c>
      <c r="AD989" s="62">
        <v>7.6</v>
      </c>
      <c r="AE989" s="62">
        <v>1.28</v>
      </c>
      <c r="AG989" s="62" t="s">
        <v>1339</v>
      </c>
      <c r="AH989" s="62" t="s">
        <v>1539</v>
      </c>
      <c r="AI989" s="138" t="s">
        <v>577</v>
      </c>
      <c r="AJ989" s="62" t="s">
        <v>1527</v>
      </c>
      <c r="AK989" s="141" t="s">
        <v>1619</v>
      </c>
      <c r="AL989" s="28" t="s">
        <v>1626</v>
      </c>
      <c r="AM989" s="28" t="s">
        <v>1626</v>
      </c>
      <c r="AN989" s="28" t="s">
        <v>177</v>
      </c>
      <c r="AP989" s="62" t="s">
        <v>156</v>
      </c>
      <c r="AQ989" s="62" t="s">
        <v>2126</v>
      </c>
      <c r="AR989" s="62" t="s">
        <v>2126</v>
      </c>
      <c r="AT989" s="62">
        <v>0</v>
      </c>
      <c r="AU989" s="62">
        <v>0</v>
      </c>
      <c r="AV989" s="62" t="s">
        <v>177</v>
      </c>
      <c r="AW989" s="62" t="s">
        <v>119</v>
      </c>
      <c r="AX989" s="62">
        <v>12</v>
      </c>
      <c r="AZ989" s="62" t="s">
        <v>141</v>
      </c>
      <c r="BB989" s="62">
        <f>1.02*1000</f>
        <v>1020</v>
      </c>
      <c r="BC989" s="62">
        <f>BB989/37.8</f>
        <v>26.984126984126988</v>
      </c>
      <c r="BD989" s="64" t="s">
        <v>675</v>
      </c>
      <c r="BP989" s="409"/>
      <c r="BQ989" s="409"/>
      <c r="BU989" s="409"/>
      <c r="BV989" s="409"/>
      <c r="BZ989" s="409"/>
      <c r="CA989" s="409"/>
      <c r="CE989" s="562"/>
      <c r="CF989" s="562"/>
      <c r="CG989" s="562"/>
      <c r="CH989" s="562"/>
      <c r="CJ989" s="62">
        <v>11</v>
      </c>
      <c r="CK989" s="62">
        <v>7</v>
      </c>
      <c r="CN989" s="62" t="s">
        <v>679</v>
      </c>
      <c r="FL989" s="62">
        <f>74/3</f>
        <v>24.666666666666668</v>
      </c>
      <c r="FM989" s="62">
        <f>61/3</f>
        <v>20.333333333333332</v>
      </c>
      <c r="FP989" s="62" t="s">
        <v>707</v>
      </c>
      <c r="JB989" s="62" t="s">
        <v>681</v>
      </c>
      <c r="JC989" s="33" t="s">
        <v>680</v>
      </c>
    </row>
    <row r="990" spans="1:263" s="62" customFormat="1" x14ac:dyDescent="0.25">
      <c r="A990" s="62">
        <v>46</v>
      </c>
      <c r="B990" s="63" t="s">
        <v>3979</v>
      </c>
      <c r="C990" s="62" t="s">
        <v>666</v>
      </c>
      <c r="D990" s="62" t="s">
        <v>665</v>
      </c>
      <c r="E990" s="62">
        <v>2013</v>
      </c>
      <c r="F990" s="62">
        <v>2009</v>
      </c>
      <c r="G990" s="62" t="s">
        <v>329</v>
      </c>
      <c r="H990" s="62" t="s">
        <v>670</v>
      </c>
      <c r="I990" s="32" t="s">
        <v>2815</v>
      </c>
      <c r="J990" s="62">
        <f>48+48/60</f>
        <v>48.8</v>
      </c>
      <c r="K990" s="62">
        <f>-111-38.5/60</f>
        <v>-111.64166666666667</v>
      </c>
      <c r="L990" s="62">
        <v>1102</v>
      </c>
      <c r="R990" s="63">
        <v>1</v>
      </c>
      <c r="S990" s="63" t="s">
        <v>1847</v>
      </c>
      <c r="T990" s="63"/>
      <c r="U990" s="63" t="s">
        <v>1959</v>
      </c>
      <c r="V990" s="63" t="s">
        <v>1402</v>
      </c>
      <c r="W990" s="47" t="s">
        <v>1720</v>
      </c>
      <c r="X990" s="63" t="s">
        <v>1389</v>
      </c>
      <c r="Y990" s="63" t="s">
        <v>1417</v>
      </c>
      <c r="AA990" s="334"/>
      <c r="AB990" s="334"/>
      <c r="AC990" s="62" t="s">
        <v>139</v>
      </c>
      <c r="AD990" s="62">
        <v>6.9</v>
      </c>
      <c r="AE990" s="62">
        <v>1.22</v>
      </c>
      <c r="AG990" s="62" t="s">
        <v>1339</v>
      </c>
      <c r="AH990" s="62" t="s">
        <v>1539</v>
      </c>
      <c r="AI990" s="138" t="s">
        <v>577</v>
      </c>
      <c r="AJ990" s="62" t="s">
        <v>1527</v>
      </c>
      <c r="AK990" s="141" t="s">
        <v>1619</v>
      </c>
      <c r="AL990" s="28" t="s">
        <v>1626</v>
      </c>
      <c r="AM990" s="28" t="s">
        <v>1626</v>
      </c>
      <c r="AN990" s="28" t="s">
        <v>177</v>
      </c>
      <c r="AP990" s="62" t="s">
        <v>156</v>
      </c>
      <c r="AQ990" s="62" t="s">
        <v>2126</v>
      </c>
      <c r="AR990" s="62" t="s">
        <v>2126</v>
      </c>
      <c r="AT990" s="62">
        <v>0</v>
      </c>
      <c r="AU990" s="62">
        <v>0</v>
      </c>
      <c r="AV990" s="62" t="s">
        <v>177</v>
      </c>
      <c r="AW990" s="62" t="s">
        <v>119</v>
      </c>
      <c r="AX990" s="62">
        <v>8</v>
      </c>
      <c r="AZ990" s="62" t="s">
        <v>141</v>
      </c>
      <c r="BB990" s="62">
        <v>1090</v>
      </c>
      <c r="BC990" s="62">
        <f>BB990/28.4</f>
        <v>38.380281690140848</v>
      </c>
      <c r="BD990" s="64" t="s">
        <v>676</v>
      </c>
      <c r="BP990" s="409"/>
      <c r="BQ990" s="409"/>
      <c r="BU990" s="409"/>
      <c r="BV990" s="409"/>
      <c r="BZ990" s="409"/>
      <c r="CA990" s="409"/>
      <c r="CE990" s="562"/>
      <c r="CF990" s="562"/>
      <c r="CG990" s="562"/>
      <c r="CH990" s="562"/>
      <c r="CJ990" s="62">
        <v>24</v>
      </c>
      <c r="CK990" s="62">
        <v>7</v>
      </c>
      <c r="CN990" s="62" t="s">
        <v>679</v>
      </c>
      <c r="FL990" s="62">
        <f>58/3</f>
        <v>19.333333333333332</v>
      </c>
      <c r="FM990" s="62">
        <f>41/3</f>
        <v>13.666666666666666</v>
      </c>
      <c r="FP990" s="62" t="s">
        <v>707</v>
      </c>
      <c r="JB990" s="62" t="s">
        <v>681</v>
      </c>
      <c r="JC990" s="33" t="s">
        <v>680</v>
      </c>
    </row>
    <row r="991" spans="1:263" s="62" customFormat="1" x14ac:dyDescent="0.25">
      <c r="A991" s="62">
        <v>46</v>
      </c>
      <c r="B991" s="63" t="s">
        <v>3980</v>
      </c>
      <c r="C991" s="62" t="s">
        <v>666</v>
      </c>
      <c r="D991" s="62" t="s">
        <v>665</v>
      </c>
      <c r="E991" s="62">
        <v>2013</v>
      </c>
      <c r="F991" s="62">
        <v>2009</v>
      </c>
      <c r="G991" s="62" t="s">
        <v>329</v>
      </c>
      <c r="H991" s="62" t="s">
        <v>671</v>
      </c>
      <c r="I991" s="32" t="s">
        <v>2815</v>
      </c>
      <c r="J991" s="62">
        <f>48+48/60</f>
        <v>48.8</v>
      </c>
      <c r="K991" s="62">
        <f>-111-31/60</f>
        <v>-111.51666666666667</v>
      </c>
      <c r="L991" s="62">
        <v>1090</v>
      </c>
      <c r="R991" s="63">
        <v>1</v>
      </c>
      <c r="S991" s="63" t="s">
        <v>1847</v>
      </c>
      <c r="T991" s="63"/>
      <c r="U991" s="63" t="s">
        <v>1959</v>
      </c>
      <c r="V991" s="63" t="s">
        <v>1402</v>
      </c>
      <c r="W991" s="47" t="s">
        <v>1720</v>
      </c>
      <c r="X991" s="63" t="s">
        <v>1389</v>
      </c>
      <c r="Y991" s="63" t="s">
        <v>1417</v>
      </c>
      <c r="AA991" s="334"/>
      <c r="AB991" s="334"/>
      <c r="AC991" s="62" t="s">
        <v>518</v>
      </c>
      <c r="AD991" s="62">
        <v>7.8</v>
      </c>
      <c r="AE991" s="62">
        <v>1.1000000000000001</v>
      </c>
      <c r="AG991" s="62" t="s">
        <v>1339</v>
      </c>
      <c r="AH991" s="62" t="s">
        <v>562</v>
      </c>
      <c r="AI991" s="138" t="s">
        <v>577</v>
      </c>
      <c r="AJ991" s="62" t="s">
        <v>1527</v>
      </c>
      <c r="AK991" s="141" t="s">
        <v>1619</v>
      </c>
      <c r="AL991" s="28" t="s">
        <v>1626</v>
      </c>
      <c r="AM991" s="28" t="s">
        <v>1626</v>
      </c>
      <c r="AN991" s="28" t="s">
        <v>177</v>
      </c>
      <c r="AP991" s="62" t="s">
        <v>156</v>
      </c>
      <c r="AQ991" s="62" t="s">
        <v>2126</v>
      </c>
      <c r="AR991" s="62" t="s">
        <v>2126</v>
      </c>
      <c r="AT991" s="62">
        <v>0</v>
      </c>
      <c r="AU991" s="62">
        <v>0</v>
      </c>
      <c r="AV991" s="62" t="s">
        <v>177</v>
      </c>
      <c r="AW991" s="62" t="s">
        <v>119</v>
      </c>
      <c r="AX991" s="62">
        <v>8</v>
      </c>
      <c r="AZ991" s="62" t="s">
        <v>141</v>
      </c>
      <c r="BB991" s="62">
        <v>550</v>
      </c>
      <c r="BC991" s="62">
        <f>BB991/14.5</f>
        <v>37.931034482758619</v>
      </c>
      <c r="BD991" s="64" t="s">
        <v>677</v>
      </c>
      <c r="BP991" s="409"/>
      <c r="BQ991" s="409"/>
      <c r="BU991" s="409"/>
      <c r="BV991" s="409"/>
      <c r="BZ991" s="409"/>
      <c r="CA991" s="409"/>
      <c r="CE991" s="562"/>
      <c r="CF991" s="562"/>
      <c r="CG991" s="562"/>
      <c r="CH991" s="562"/>
      <c r="CJ991" s="62">
        <v>6</v>
      </c>
      <c r="CK991" s="62">
        <v>4</v>
      </c>
      <c r="CN991" s="62" t="s">
        <v>679</v>
      </c>
      <c r="FL991" s="62">
        <f>72/3</f>
        <v>24</v>
      </c>
      <c r="FM991" s="62">
        <f>54/3</f>
        <v>18</v>
      </c>
      <c r="FP991" s="62" t="s">
        <v>707</v>
      </c>
      <c r="JB991" s="62" t="s">
        <v>681</v>
      </c>
      <c r="JC991" s="33" t="s">
        <v>680</v>
      </c>
    </row>
    <row r="992" spans="1:263" s="59" customFormat="1" x14ac:dyDescent="0.25">
      <c r="A992" s="59">
        <v>46</v>
      </c>
      <c r="B992" s="60" t="s">
        <v>3976</v>
      </c>
      <c r="C992" s="59" t="s">
        <v>666</v>
      </c>
      <c r="D992" s="59" t="s">
        <v>665</v>
      </c>
      <c r="E992" s="59">
        <v>2013</v>
      </c>
      <c r="F992" s="59">
        <v>2009</v>
      </c>
      <c r="G992" s="59" t="s">
        <v>329</v>
      </c>
      <c r="H992" s="59" t="s">
        <v>667</v>
      </c>
      <c r="I992" s="32" t="s">
        <v>2815</v>
      </c>
      <c r="J992" s="59">
        <f>47+55/60</f>
        <v>47.916666666666664</v>
      </c>
      <c r="K992" s="59">
        <f>-109-55/60</f>
        <v>-109.91666666666667</v>
      </c>
      <c r="L992" s="59">
        <v>888</v>
      </c>
      <c r="R992" s="60">
        <v>1</v>
      </c>
      <c r="S992" s="60" t="s">
        <v>1847</v>
      </c>
      <c r="T992" s="60"/>
      <c r="U992" s="60" t="s">
        <v>1959</v>
      </c>
      <c r="V992" s="60" t="s">
        <v>1403</v>
      </c>
      <c r="W992" s="46" t="s">
        <v>1720</v>
      </c>
      <c r="X992" s="60" t="s">
        <v>1389</v>
      </c>
      <c r="Y992" s="60" t="s">
        <v>1417</v>
      </c>
      <c r="AA992" s="333"/>
      <c r="AB992" s="333"/>
      <c r="AC992" s="59" t="s">
        <v>518</v>
      </c>
      <c r="AD992" s="59">
        <v>6.1</v>
      </c>
      <c r="AE992" s="59">
        <v>1.1000000000000001</v>
      </c>
      <c r="AG992" s="59" t="s">
        <v>1339</v>
      </c>
      <c r="AH992" s="59" t="s">
        <v>1539</v>
      </c>
      <c r="AI992" s="138" t="s">
        <v>577</v>
      </c>
      <c r="AJ992" s="59" t="s">
        <v>1527</v>
      </c>
      <c r="AK992" s="141" t="s">
        <v>1619</v>
      </c>
      <c r="AL992" s="33" t="s">
        <v>1626</v>
      </c>
      <c r="AM992" s="33" t="s">
        <v>1626</v>
      </c>
      <c r="AN992" s="33" t="s">
        <v>177</v>
      </c>
      <c r="AP992" s="59" t="s">
        <v>156</v>
      </c>
      <c r="AQ992" s="59" t="s">
        <v>2126</v>
      </c>
      <c r="AR992" s="59" t="s">
        <v>2126</v>
      </c>
      <c r="AT992" s="59">
        <v>0</v>
      </c>
      <c r="AU992" s="59">
        <v>0</v>
      </c>
      <c r="AV992" s="59" t="s">
        <v>177</v>
      </c>
      <c r="AW992" s="59" t="s">
        <v>119</v>
      </c>
      <c r="AX992" s="59">
        <v>6</v>
      </c>
      <c r="AZ992" s="59" t="s">
        <v>141</v>
      </c>
      <c r="BB992" s="59">
        <f>1.07*1000</f>
        <v>1070</v>
      </c>
      <c r="BC992" s="59">
        <f>BB992/44.2</f>
        <v>24.20814479638009</v>
      </c>
      <c r="BD992" s="61" t="s">
        <v>673</v>
      </c>
      <c r="BP992" s="408"/>
      <c r="BQ992" s="408"/>
      <c r="BU992" s="408"/>
      <c r="BV992" s="408"/>
      <c r="BZ992" s="408"/>
      <c r="CA992" s="408"/>
      <c r="CE992" s="561"/>
      <c r="CF992" s="561"/>
      <c r="CG992" s="561"/>
      <c r="CH992" s="561"/>
      <c r="CJ992" s="59">
        <v>10</v>
      </c>
      <c r="CK992" s="59">
        <v>7</v>
      </c>
      <c r="CN992" s="59" t="s">
        <v>679</v>
      </c>
      <c r="FL992" s="59">
        <f>62/3</f>
        <v>20.666666666666668</v>
      </c>
      <c r="FM992" s="59">
        <f>63/3</f>
        <v>21</v>
      </c>
      <c r="FP992" s="33" t="s">
        <v>707</v>
      </c>
      <c r="JB992" s="59" t="s">
        <v>681</v>
      </c>
      <c r="JC992" s="28" t="s">
        <v>680</v>
      </c>
    </row>
    <row r="993" spans="1:263" s="59" customFormat="1" x14ac:dyDescent="0.25">
      <c r="A993" s="59">
        <v>46</v>
      </c>
      <c r="B993" s="60" t="s">
        <v>3977</v>
      </c>
      <c r="C993" s="59" t="s">
        <v>666</v>
      </c>
      <c r="D993" s="59" t="s">
        <v>665</v>
      </c>
      <c r="E993" s="59">
        <v>2013</v>
      </c>
      <c r="F993" s="59">
        <v>2009</v>
      </c>
      <c r="G993" s="59" t="s">
        <v>329</v>
      </c>
      <c r="H993" s="59" t="s">
        <v>668</v>
      </c>
      <c r="I993" s="32" t="s">
        <v>2815</v>
      </c>
      <c r="J993" s="59">
        <f>48+18/60</f>
        <v>48.3</v>
      </c>
      <c r="K993" s="59">
        <f>-110-6/60</f>
        <v>-110.1</v>
      </c>
      <c r="L993" s="59">
        <v>833</v>
      </c>
      <c r="R993" s="60">
        <v>1</v>
      </c>
      <c r="S993" s="60" t="s">
        <v>1847</v>
      </c>
      <c r="T993" s="60"/>
      <c r="U993" s="60" t="s">
        <v>1959</v>
      </c>
      <c r="V993" s="60" t="s">
        <v>1403</v>
      </c>
      <c r="W993" s="46" t="s">
        <v>1720</v>
      </c>
      <c r="X993" s="60" t="s">
        <v>1389</v>
      </c>
      <c r="Y993" s="60" t="s">
        <v>1417</v>
      </c>
      <c r="AA993" s="333"/>
      <c r="AB993" s="333"/>
      <c r="AC993" s="59" t="s">
        <v>139</v>
      </c>
      <c r="AD993" s="59">
        <v>6.9</v>
      </c>
      <c r="AE993" s="59">
        <v>0.87</v>
      </c>
      <c r="AG993" s="59" t="s">
        <v>1339</v>
      </c>
      <c r="AH993" s="59" t="s">
        <v>1540</v>
      </c>
      <c r="AI993" s="138" t="s">
        <v>577</v>
      </c>
      <c r="AJ993" s="59" t="s">
        <v>1527</v>
      </c>
      <c r="AK993" s="141" t="s">
        <v>1619</v>
      </c>
      <c r="AL993" s="33" t="s">
        <v>1626</v>
      </c>
      <c r="AM993" s="33" t="s">
        <v>1626</v>
      </c>
      <c r="AN993" s="33" t="s">
        <v>177</v>
      </c>
      <c r="AP993" s="59" t="s">
        <v>156</v>
      </c>
      <c r="AQ993" s="59" t="s">
        <v>2126</v>
      </c>
      <c r="AR993" s="59" t="s">
        <v>2126</v>
      </c>
      <c r="AT993" s="59">
        <v>0</v>
      </c>
      <c r="AU993" s="59">
        <v>0</v>
      </c>
      <c r="AV993" s="59" t="s">
        <v>177</v>
      </c>
      <c r="AW993" s="59" t="s">
        <v>119</v>
      </c>
      <c r="AX993" s="59">
        <v>8</v>
      </c>
      <c r="AZ993" s="59" t="s">
        <v>141</v>
      </c>
      <c r="BB993" s="59">
        <v>730</v>
      </c>
      <c r="BC993" s="59">
        <f>BB993/19.3</f>
        <v>37.823834196891191</v>
      </c>
      <c r="BD993" s="61" t="s">
        <v>674</v>
      </c>
      <c r="BP993" s="408"/>
      <c r="BQ993" s="408"/>
      <c r="BU993" s="408"/>
      <c r="BV993" s="408"/>
      <c r="BZ993" s="408"/>
      <c r="CA993" s="408"/>
      <c r="CE993" s="561"/>
      <c r="CF993" s="561"/>
      <c r="CG993" s="561"/>
      <c r="CH993" s="561"/>
      <c r="CJ993" s="59">
        <v>24</v>
      </c>
      <c r="CK993" s="59">
        <v>18</v>
      </c>
      <c r="CN993" s="59" t="s">
        <v>679</v>
      </c>
      <c r="FL993" s="59">
        <f>49/3</f>
        <v>16.333333333333332</v>
      </c>
      <c r="FM993" s="59">
        <f>46/3</f>
        <v>15.333333333333334</v>
      </c>
      <c r="FP993" s="33" t="s">
        <v>707</v>
      </c>
      <c r="JB993" s="59" t="s">
        <v>681</v>
      </c>
      <c r="JC993" s="28" t="s">
        <v>680</v>
      </c>
    </row>
    <row r="994" spans="1:263" s="59" customFormat="1" x14ac:dyDescent="0.25">
      <c r="A994" s="59">
        <v>46</v>
      </c>
      <c r="B994" s="60" t="s">
        <v>3978</v>
      </c>
      <c r="C994" s="59" t="s">
        <v>666</v>
      </c>
      <c r="D994" s="59" t="s">
        <v>665</v>
      </c>
      <c r="E994" s="59">
        <v>2013</v>
      </c>
      <c r="F994" s="59">
        <v>2009</v>
      </c>
      <c r="G994" s="59" t="s">
        <v>329</v>
      </c>
      <c r="H994" s="59" t="s">
        <v>669</v>
      </c>
      <c r="I994" s="32" t="s">
        <v>2815</v>
      </c>
      <c r="J994" s="59">
        <f>48+45/60</f>
        <v>48.75</v>
      </c>
      <c r="K994" s="59">
        <f>-110-52/60</f>
        <v>-110.86666666666666</v>
      </c>
      <c r="L994" s="59">
        <v>1059</v>
      </c>
      <c r="R994" s="60">
        <v>1</v>
      </c>
      <c r="S994" s="60" t="s">
        <v>1847</v>
      </c>
      <c r="T994" s="60"/>
      <c r="U994" s="60" t="s">
        <v>1959</v>
      </c>
      <c r="V994" s="60" t="s">
        <v>1403</v>
      </c>
      <c r="W994" s="46" t="s">
        <v>1720</v>
      </c>
      <c r="X994" s="60" t="s">
        <v>1389</v>
      </c>
      <c r="Y994" s="60" t="s">
        <v>1417</v>
      </c>
      <c r="AA994" s="333"/>
      <c r="AB994" s="333"/>
      <c r="AC994" s="59" t="s">
        <v>672</v>
      </c>
      <c r="AD994" s="59">
        <v>7.6</v>
      </c>
      <c r="AE994" s="59">
        <v>1.28</v>
      </c>
      <c r="AG994" s="59" t="s">
        <v>1339</v>
      </c>
      <c r="AH994" s="59" t="s">
        <v>1539</v>
      </c>
      <c r="AI994" s="138" t="s">
        <v>577</v>
      </c>
      <c r="AJ994" s="59" t="s">
        <v>1527</v>
      </c>
      <c r="AK994" s="141" t="s">
        <v>1619</v>
      </c>
      <c r="AL994" s="33" t="s">
        <v>1626</v>
      </c>
      <c r="AM994" s="33" t="s">
        <v>1626</v>
      </c>
      <c r="AN994" s="33" t="s">
        <v>177</v>
      </c>
      <c r="AP994" s="59" t="s">
        <v>156</v>
      </c>
      <c r="AQ994" s="59" t="s">
        <v>2126</v>
      </c>
      <c r="AR994" s="59" t="s">
        <v>2126</v>
      </c>
      <c r="AT994" s="59">
        <v>0</v>
      </c>
      <c r="AU994" s="59">
        <v>0</v>
      </c>
      <c r="AV994" s="59" t="s">
        <v>177</v>
      </c>
      <c r="AW994" s="59" t="s">
        <v>119</v>
      </c>
      <c r="AX994" s="59">
        <v>12</v>
      </c>
      <c r="AZ994" s="59" t="s">
        <v>141</v>
      </c>
      <c r="BB994" s="59">
        <f>1.02*1000</f>
        <v>1020</v>
      </c>
      <c r="BC994" s="59">
        <f>BB994/37.8</f>
        <v>26.984126984126988</v>
      </c>
      <c r="BD994" s="61" t="s">
        <v>675</v>
      </c>
      <c r="BP994" s="408"/>
      <c r="BQ994" s="408"/>
      <c r="BU994" s="408"/>
      <c r="BV994" s="408"/>
      <c r="BZ994" s="408"/>
      <c r="CA994" s="408"/>
      <c r="CE994" s="561"/>
      <c r="CF994" s="561"/>
      <c r="CG994" s="561"/>
      <c r="CH994" s="561"/>
      <c r="CJ994" s="59">
        <v>29</v>
      </c>
      <c r="CK994" s="59">
        <v>13</v>
      </c>
      <c r="CN994" s="59" t="s">
        <v>679</v>
      </c>
      <c r="FL994" s="59">
        <f>72/3</f>
        <v>24</v>
      </c>
      <c r="FM994" s="59">
        <f>64/3</f>
        <v>21.333333333333332</v>
      </c>
      <c r="FP994" s="33" t="s">
        <v>707</v>
      </c>
      <c r="JB994" s="59" t="s">
        <v>681</v>
      </c>
      <c r="JC994" s="28" t="s">
        <v>680</v>
      </c>
    </row>
    <row r="995" spans="1:263" s="59" customFormat="1" x14ac:dyDescent="0.25">
      <c r="A995" s="59">
        <v>46</v>
      </c>
      <c r="B995" s="60" t="s">
        <v>3979</v>
      </c>
      <c r="C995" s="59" t="s">
        <v>666</v>
      </c>
      <c r="D995" s="59" t="s">
        <v>665</v>
      </c>
      <c r="E995" s="59">
        <v>2013</v>
      </c>
      <c r="F995" s="59">
        <v>2009</v>
      </c>
      <c r="G995" s="59" t="s">
        <v>329</v>
      </c>
      <c r="H995" s="59" t="s">
        <v>670</v>
      </c>
      <c r="I995" s="32" t="s">
        <v>2815</v>
      </c>
      <c r="J995" s="59">
        <f>48+48/60</f>
        <v>48.8</v>
      </c>
      <c r="K995" s="59">
        <f>-111-38.5/60</f>
        <v>-111.64166666666667</v>
      </c>
      <c r="L995" s="59">
        <v>1102</v>
      </c>
      <c r="R995" s="60">
        <v>1</v>
      </c>
      <c r="S995" s="60" t="s">
        <v>1847</v>
      </c>
      <c r="T995" s="60"/>
      <c r="U995" s="60" t="s">
        <v>1959</v>
      </c>
      <c r="V995" s="60" t="s">
        <v>1403</v>
      </c>
      <c r="W995" s="46" t="s">
        <v>1720</v>
      </c>
      <c r="X995" s="60" t="s">
        <v>1389</v>
      </c>
      <c r="Y995" s="60" t="s">
        <v>1417</v>
      </c>
      <c r="AA995" s="333"/>
      <c r="AB995" s="333"/>
      <c r="AC995" s="59" t="s">
        <v>139</v>
      </c>
      <c r="AD995" s="59">
        <v>6.9</v>
      </c>
      <c r="AE995" s="59">
        <v>1.22</v>
      </c>
      <c r="AG995" s="59" t="s">
        <v>1339</v>
      </c>
      <c r="AH995" s="59" t="s">
        <v>1539</v>
      </c>
      <c r="AI995" s="138" t="s">
        <v>577</v>
      </c>
      <c r="AJ995" s="59" t="s">
        <v>1527</v>
      </c>
      <c r="AK995" s="141" t="s">
        <v>1619</v>
      </c>
      <c r="AL995" s="33" t="s">
        <v>1626</v>
      </c>
      <c r="AM995" s="33" t="s">
        <v>1626</v>
      </c>
      <c r="AN995" s="33" t="s">
        <v>177</v>
      </c>
      <c r="AP995" s="59" t="s">
        <v>156</v>
      </c>
      <c r="AQ995" s="59" t="s">
        <v>2126</v>
      </c>
      <c r="AR995" s="59" t="s">
        <v>2126</v>
      </c>
      <c r="AT995" s="59">
        <v>0</v>
      </c>
      <c r="AU995" s="59">
        <v>0</v>
      </c>
      <c r="AV995" s="59" t="s">
        <v>177</v>
      </c>
      <c r="AW995" s="59" t="s">
        <v>119</v>
      </c>
      <c r="AX995" s="59">
        <v>8</v>
      </c>
      <c r="AZ995" s="59" t="s">
        <v>141</v>
      </c>
      <c r="BB995" s="59">
        <v>1090</v>
      </c>
      <c r="BC995" s="59">
        <f>BB995/28.4</f>
        <v>38.380281690140848</v>
      </c>
      <c r="BD995" s="61" t="s">
        <v>676</v>
      </c>
      <c r="BP995" s="408"/>
      <c r="BQ995" s="408"/>
      <c r="BU995" s="408"/>
      <c r="BV995" s="408"/>
      <c r="BZ995" s="408"/>
      <c r="CA995" s="408"/>
      <c r="CE995" s="561"/>
      <c r="CF995" s="561"/>
      <c r="CG995" s="561"/>
      <c r="CH995" s="561"/>
      <c r="CJ995" s="59">
        <v>15</v>
      </c>
      <c r="CK995" s="59">
        <v>11</v>
      </c>
      <c r="CN995" s="59" t="s">
        <v>679</v>
      </c>
      <c r="FL995" s="59">
        <f>50/3</f>
        <v>16.666666666666668</v>
      </c>
      <c r="FM995" s="59">
        <f>38/3</f>
        <v>12.666666666666666</v>
      </c>
      <c r="FP995" s="33" t="s">
        <v>707</v>
      </c>
      <c r="JB995" s="59" t="s">
        <v>681</v>
      </c>
      <c r="JC995" s="28" t="s">
        <v>680</v>
      </c>
    </row>
    <row r="996" spans="1:263" s="59" customFormat="1" x14ac:dyDescent="0.25">
      <c r="A996" s="59">
        <v>46</v>
      </c>
      <c r="B996" s="60" t="s">
        <v>3980</v>
      </c>
      <c r="C996" s="59" t="s">
        <v>666</v>
      </c>
      <c r="D996" s="59" t="s">
        <v>665</v>
      </c>
      <c r="E996" s="59">
        <v>2013</v>
      </c>
      <c r="F996" s="59">
        <v>2009</v>
      </c>
      <c r="G996" s="59" t="s">
        <v>329</v>
      </c>
      <c r="H996" s="59" t="s">
        <v>671</v>
      </c>
      <c r="I996" s="32" t="s">
        <v>2815</v>
      </c>
      <c r="J996" s="59">
        <f>48+48/60</f>
        <v>48.8</v>
      </c>
      <c r="K996" s="59">
        <f>-111-31/60</f>
        <v>-111.51666666666667</v>
      </c>
      <c r="L996" s="59">
        <v>1090</v>
      </c>
      <c r="R996" s="60">
        <v>1</v>
      </c>
      <c r="S996" s="60" t="s">
        <v>1847</v>
      </c>
      <c r="T996" s="60"/>
      <c r="U996" s="60" t="s">
        <v>1959</v>
      </c>
      <c r="V996" s="60" t="s">
        <v>1403</v>
      </c>
      <c r="W996" s="46" t="s">
        <v>1720</v>
      </c>
      <c r="X996" s="60" t="s">
        <v>1389</v>
      </c>
      <c r="Y996" s="60" t="s">
        <v>1417</v>
      </c>
      <c r="AA996" s="333"/>
      <c r="AB996" s="333"/>
      <c r="AC996" s="59" t="s">
        <v>518</v>
      </c>
      <c r="AD996" s="59">
        <v>7.8</v>
      </c>
      <c r="AE996" s="59">
        <v>1.1000000000000001</v>
      </c>
      <c r="AG996" s="59" t="s">
        <v>1339</v>
      </c>
      <c r="AH996" s="59" t="s">
        <v>562</v>
      </c>
      <c r="AI996" s="138" t="s">
        <v>577</v>
      </c>
      <c r="AJ996" s="59" t="s">
        <v>1527</v>
      </c>
      <c r="AK996" s="141" t="s">
        <v>1619</v>
      </c>
      <c r="AL996" s="33" t="s">
        <v>1626</v>
      </c>
      <c r="AM996" s="33" t="s">
        <v>1626</v>
      </c>
      <c r="AN996" s="33" t="s">
        <v>177</v>
      </c>
      <c r="AP996" s="59" t="s">
        <v>156</v>
      </c>
      <c r="AQ996" s="59" t="s">
        <v>2126</v>
      </c>
      <c r="AR996" s="59" t="s">
        <v>2126</v>
      </c>
      <c r="AT996" s="59">
        <v>0</v>
      </c>
      <c r="AU996" s="59">
        <v>0</v>
      </c>
      <c r="AV996" s="59" t="s">
        <v>177</v>
      </c>
      <c r="AW996" s="59" t="s">
        <v>119</v>
      </c>
      <c r="AX996" s="59">
        <v>8</v>
      </c>
      <c r="AZ996" s="59" t="s">
        <v>141</v>
      </c>
      <c r="BB996" s="59">
        <v>550</v>
      </c>
      <c r="BC996" s="59">
        <f>BB996/14.5</f>
        <v>37.931034482758619</v>
      </c>
      <c r="BD996" s="61" t="s">
        <v>677</v>
      </c>
      <c r="BP996" s="408"/>
      <c r="BQ996" s="408"/>
      <c r="BU996" s="408"/>
      <c r="BV996" s="408"/>
      <c r="BZ996" s="408"/>
      <c r="CA996" s="408"/>
      <c r="CE996" s="561"/>
      <c r="CF996" s="561"/>
      <c r="CG996" s="561"/>
      <c r="CH996" s="561"/>
      <c r="CJ996" s="59">
        <v>2</v>
      </c>
      <c r="CK996" s="59">
        <v>3</v>
      </c>
      <c r="CN996" s="59" t="s">
        <v>679</v>
      </c>
      <c r="FL996" s="59">
        <f>62/3</f>
        <v>20.666666666666668</v>
      </c>
      <c r="FM996" s="59">
        <f>55/3</f>
        <v>18.333333333333332</v>
      </c>
      <c r="FP996" s="33" t="s">
        <v>707</v>
      </c>
      <c r="JB996" s="59" t="s">
        <v>681</v>
      </c>
      <c r="JC996" s="28" t="s">
        <v>680</v>
      </c>
    </row>
    <row r="997" spans="1:263" s="24" customFormat="1" x14ac:dyDescent="0.25">
      <c r="A997" s="24">
        <v>47</v>
      </c>
      <c r="B997" s="42" t="s">
        <v>3981</v>
      </c>
      <c r="C997" s="24" t="s">
        <v>682</v>
      </c>
      <c r="D997" s="24" t="s">
        <v>683</v>
      </c>
      <c r="E997" s="24">
        <v>2014</v>
      </c>
      <c r="F997" s="24">
        <v>2012</v>
      </c>
      <c r="G997" s="24" t="s">
        <v>684</v>
      </c>
      <c r="H997" s="24" t="s">
        <v>529</v>
      </c>
      <c r="I997" s="32" t="s">
        <v>2815</v>
      </c>
      <c r="J997" s="24">
        <v>44.31</v>
      </c>
      <c r="K997" s="65">
        <v>-96.798000000000002</v>
      </c>
      <c r="L997" s="24">
        <v>495.3</v>
      </c>
      <c r="R997" s="42" t="s">
        <v>1917</v>
      </c>
      <c r="S997" s="42" t="s">
        <v>1917</v>
      </c>
      <c r="T997" s="42"/>
      <c r="U997" s="42" t="s">
        <v>1960</v>
      </c>
      <c r="V997" s="42" t="s">
        <v>1394</v>
      </c>
      <c r="W997" s="42" t="s">
        <v>1722</v>
      </c>
      <c r="X997" s="42" t="s">
        <v>1394</v>
      </c>
      <c r="Y997" s="42" t="s">
        <v>1394</v>
      </c>
      <c r="Z997" s="24">
        <v>1.4</v>
      </c>
      <c r="AA997" s="321"/>
      <c r="AB997" s="321"/>
      <c r="AC997" s="24" t="s">
        <v>1052</v>
      </c>
      <c r="AD997" s="24">
        <v>6.3</v>
      </c>
      <c r="AE997" s="24">
        <v>2.71</v>
      </c>
      <c r="AH997" s="24" t="s">
        <v>562</v>
      </c>
      <c r="AI997" s="138" t="s">
        <v>577</v>
      </c>
      <c r="AJ997" s="24" t="s">
        <v>132</v>
      </c>
      <c r="AK997" s="140" t="s">
        <v>1611</v>
      </c>
      <c r="AL997" s="24" t="s">
        <v>685</v>
      </c>
      <c r="AM997" s="24" t="s">
        <v>685</v>
      </c>
      <c r="AN997" s="24" t="s">
        <v>177</v>
      </c>
      <c r="AW997" s="24" t="s">
        <v>160</v>
      </c>
      <c r="AX997" s="24">
        <v>3</v>
      </c>
      <c r="AZ997" s="24" t="s">
        <v>141</v>
      </c>
      <c r="BE997" s="24" t="s">
        <v>686</v>
      </c>
      <c r="BP997" s="395"/>
      <c r="BQ997" s="395"/>
      <c r="BU997" s="395">
        <f>(11.2+15.6+18+13.2+10.5+10.2)/6/10</f>
        <v>1.3116666666666668</v>
      </c>
      <c r="BV997" s="395">
        <f>(17.8+18.6+21.1+16.3+13.1+10.1)/6/10</f>
        <v>1.6166666666666667</v>
      </c>
      <c r="BY997" s="24" t="s">
        <v>4427</v>
      </c>
      <c r="BZ997" s="395"/>
      <c r="CA997" s="395"/>
      <c r="CD997" s="24" t="s">
        <v>3120</v>
      </c>
      <c r="CE997" s="548">
        <v>1.3116666666666668</v>
      </c>
      <c r="CF997" s="548">
        <v>1.6166666666666667</v>
      </c>
      <c r="CG997" s="548"/>
      <c r="CH997" s="548"/>
      <c r="CI997" s="24" t="s">
        <v>4542</v>
      </c>
      <c r="DS997" s="24">
        <f>442/10</f>
        <v>44.2</v>
      </c>
      <c r="DT997" s="24">
        <f>(493)/10</f>
        <v>49.3</v>
      </c>
      <c r="DW997" s="24" t="s">
        <v>1150</v>
      </c>
      <c r="ER997" s="24">
        <f>(32+53)/10</f>
        <v>8.5</v>
      </c>
      <c r="ES997" s="24">
        <f>(45+30)/10</f>
        <v>7.5</v>
      </c>
      <c r="EV997" s="24" t="s">
        <v>1682</v>
      </c>
    </row>
    <row r="998" spans="1:263" s="24" customFormat="1" x14ac:dyDescent="0.25">
      <c r="A998" s="24">
        <v>47</v>
      </c>
      <c r="B998" s="42" t="s">
        <v>3982</v>
      </c>
      <c r="C998" s="24" t="s">
        <v>682</v>
      </c>
      <c r="D998" s="24" t="s">
        <v>683</v>
      </c>
      <c r="E998" s="24">
        <v>2014</v>
      </c>
      <c r="F998" s="24">
        <v>2012</v>
      </c>
      <c r="G998" s="24" t="s">
        <v>684</v>
      </c>
      <c r="H998" s="24" t="s">
        <v>529</v>
      </c>
      <c r="I998" s="32" t="s">
        <v>2815</v>
      </c>
      <c r="J998" s="24">
        <v>44.31</v>
      </c>
      <c r="K998" s="65">
        <v>-96.798000000000002</v>
      </c>
      <c r="L998" s="24">
        <v>495.3</v>
      </c>
      <c r="R998" s="42" t="s">
        <v>1917</v>
      </c>
      <c r="S998" s="42" t="s">
        <v>1917</v>
      </c>
      <c r="T998" s="42"/>
      <c r="U998" s="42" t="s">
        <v>1960</v>
      </c>
      <c r="V998" s="42" t="s">
        <v>1394</v>
      </c>
      <c r="W998" s="42" t="s">
        <v>1722</v>
      </c>
      <c r="X998" s="42" t="s">
        <v>1394</v>
      </c>
      <c r="Y998" s="42" t="s">
        <v>1394</v>
      </c>
      <c r="Z998" s="24">
        <v>1.4</v>
      </c>
      <c r="AA998" s="321"/>
      <c r="AB998" s="321"/>
      <c r="AC998" s="24" t="s">
        <v>1052</v>
      </c>
      <c r="AD998" s="24">
        <v>6.3</v>
      </c>
      <c r="AE998" s="24">
        <v>2.71</v>
      </c>
      <c r="AH998" s="24" t="s">
        <v>562</v>
      </c>
      <c r="AI998" s="138" t="s">
        <v>577</v>
      </c>
      <c r="AJ998" s="24" t="s">
        <v>132</v>
      </c>
      <c r="AK998" s="140" t="s">
        <v>1611</v>
      </c>
      <c r="AL998" s="24" t="s">
        <v>685</v>
      </c>
      <c r="AM998" s="24" t="s">
        <v>685</v>
      </c>
      <c r="AN998" s="24" t="s">
        <v>177</v>
      </c>
      <c r="AW998" s="24" t="s">
        <v>160</v>
      </c>
      <c r="AX998" s="24">
        <v>3</v>
      </c>
      <c r="AZ998" s="24" t="s">
        <v>141</v>
      </c>
      <c r="BE998" s="24" t="s">
        <v>687</v>
      </c>
      <c r="BP998" s="395"/>
      <c r="BQ998" s="395"/>
      <c r="BU998" s="395">
        <f>(10.8+11.9+13.6+9.7+8.5+8.2)/6/10</f>
        <v>1.0450000000000002</v>
      </c>
      <c r="BV998" s="395">
        <f>(8.7+10.2+13.2+9+7.7+7.8)/6/10</f>
        <v>0.94333333333333313</v>
      </c>
      <c r="BY998" s="24" t="s">
        <v>4427</v>
      </c>
      <c r="BZ998" s="395"/>
      <c r="CA998" s="395"/>
      <c r="CD998" s="24" t="s">
        <v>3120</v>
      </c>
      <c r="CE998" s="548">
        <v>1.0450000000000002</v>
      </c>
      <c r="CF998" s="548">
        <v>0.94333333333333313</v>
      </c>
      <c r="CG998" s="548"/>
      <c r="CH998" s="548"/>
      <c r="CI998" s="24" t="s">
        <v>4542</v>
      </c>
      <c r="DS998" s="24">
        <f>(385)/10</f>
        <v>38.5</v>
      </c>
      <c r="DT998" s="24">
        <f>(300)/10</f>
        <v>30</v>
      </c>
      <c r="DW998" s="24" t="s">
        <v>1150</v>
      </c>
      <c r="ER998" s="24">
        <f>(84+47)/10</f>
        <v>13.1</v>
      </c>
      <c r="ES998" s="24">
        <f>(100+65)/10</f>
        <v>16.5</v>
      </c>
      <c r="EV998" s="24" t="s">
        <v>1682</v>
      </c>
    </row>
    <row r="999" spans="1:263" s="24" customFormat="1" x14ac:dyDescent="0.25">
      <c r="A999" s="24">
        <v>47</v>
      </c>
      <c r="B999" s="42" t="s">
        <v>3983</v>
      </c>
      <c r="C999" s="24" t="s">
        <v>682</v>
      </c>
      <c r="D999" s="24" t="s">
        <v>683</v>
      </c>
      <c r="E999" s="24">
        <v>2014</v>
      </c>
      <c r="F999" s="24">
        <v>2012</v>
      </c>
      <c r="G999" s="24" t="s">
        <v>684</v>
      </c>
      <c r="H999" s="24" t="s">
        <v>529</v>
      </c>
      <c r="I999" s="32" t="s">
        <v>2815</v>
      </c>
      <c r="J999" s="24">
        <v>44.31</v>
      </c>
      <c r="K999" s="65">
        <v>-96.798000000000002</v>
      </c>
      <c r="L999" s="24">
        <v>495.3</v>
      </c>
      <c r="R999" s="42" t="s">
        <v>1917</v>
      </c>
      <c r="S999" s="42" t="s">
        <v>1917</v>
      </c>
      <c r="T999" s="42"/>
      <c r="U999" s="42" t="s">
        <v>1960</v>
      </c>
      <c r="V999" s="42" t="s">
        <v>1394</v>
      </c>
      <c r="W999" s="42" t="s">
        <v>1722</v>
      </c>
      <c r="X999" s="42" t="s">
        <v>1394</v>
      </c>
      <c r="Y999" s="42" t="s">
        <v>1394</v>
      </c>
      <c r="Z999" s="24">
        <v>1.4</v>
      </c>
      <c r="AA999" s="321"/>
      <c r="AB999" s="321"/>
      <c r="AC999" s="24" t="s">
        <v>1052</v>
      </c>
      <c r="AD999" s="24">
        <v>6.3</v>
      </c>
      <c r="AE999" s="24">
        <v>2.71</v>
      </c>
      <c r="AH999" s="24" t="s">
        <v>562</v>
      </c>
      <c r="AI999" s="138" t="s">
        <v>577</v>
      </c>
      <c r="AJ999" s="24" t="s">
        <v>132</v>
      </c>
      <c r="AK999" s="140" t="s">
        <v>1611</v>
      </c>
      <c r="AL999" s="24" t="s">
        <v>685</v>
      </c>
      <c r="AM999" s="24" t="s">
        <v>685</v>
      </c>
      <c r="AN999" s="24" t="s">
        <v>177</v>
      </c>
      <c r="AW999" s="24" t="s">
        <v>160</v>
      </c>
      <c r="AX999" s="24">
        <v>3</v>
      </c>
      <c r="AZ999" s="24" t="s">
        <v>141</v>
      </c>
      <c r="BE999" s="24" t="s">
        <v>688</v>
      </c>
      <c r="BP999" s="395"/>
      <c r="BQ999" s="395"/>
      <c r="BU999" s="395">
        <f>(8.5+10.1+12.7+9.3+7.1+5.8)/6/10</f>
        <v>0.89166666666666661</v>
      </c>
      <c r="BV999" s="395">
        <f>(8.5+11.3+13.5+10.3+8.6+7.9)/6/10</f>
        <v>1.0016666666666665</v>
      </c>
      <c r="BY999" s="24" t="s">
        <v>4427</v>
      </c>
      <c r="BZ999" s="395"/>
      <c r="CA999" s="395"/>
      <c r="CD999" s="24" t="s">
        <v>3120</v>
      </c>
      <c r="CE999" s="548">
        <v>0.89166666666666661</v>
      </c>
      <c r="CF999" s="548">
        <v>1.0016666666666665</v>
      </c>
      <c r="CG999" s="548"/>
      <c r="CH999" s="548"/>
      <c r="CI999" s="24" t="s">
        <v>4542</v>
      </c>
      <c r="DS999" s="24">
        <f>(291)/10</f>
        <v>29.1</v>
      </c>
      <c r="DT999" s="24">
        <f>(388)/10</f>
        <v>38.799999999999997</v>
      </c>
      <c r="DW999" s="24" t="s">
        <v>1150</v>
      </c>
      <c r="ER999" s="24">
        <f>(193+115)/10</f>
        <v>30.8</v>
      </c>
      <c r="ES999" s="24">
        <f>(99+61)/10</f>
        <v>16</v>
      </c>
      <c r="EV999" s="24" t="s">
        <v>1682</v>
      </c>
    </row>
    <row r="1000" spans="1:263" s="28" customFormat="1" x14ac:dyDescent="0.25">
      <c r="A1000" s="28">
        <v>48</v>
      </c>
      <c r="B1000" s="46" t="s">
        <v>3984</v>
      </c>
      <c r="C1000" s="28" t="s">
        <v>689</v>
      </c>
      <c r="D1000" s="28" t="s">
        <v>690</v>
      </c>
      <c r="E1000" s="28">
        <v>2016</v>
      </c>
      <c r="F1000" s="28">
        <v>2014</v>
      </c>
      <c r="G1000" s="28" t="s">
        <v>691</v>
      </c>
      <c r="H1000" s="28" t="s">
        <v>692</v>
      </c>
      <c r="I1000" s="32" t="s">
        <v>2815</v>
      </c>
      <c r="J1000" s="28">
        <f t="shared" ref="J1000:J1015" si="235">42+5/60</f>
        <v>42.083333333333336</v>
      </c>
      <c r="K1000" s="28">
        <f t="shared" ref="K1000:K1015" si="236">-86-21/60</f>
        <v>-86.35</v>
      </c>
      <c r="L1000" s="28">
        <v>213.2</v>
      </c>
      <c r="R1000" s="46">
        <v>1</v>
      </c>
      <c r="S1000" s="46" t="s">
        <v>1847</v>
      </c>
      <c r="T1000" s="46"/>
      <c r="U1000" s="46" t="s">
        <v>1961</v>
      </c>
      <c r="V1000" s="46" t="s">
        <v>1404</v>
      </c>
      <c r="W1000" s="46" t="s">
        <v>1728</v>
      </c>
      <c r="X1000" s="46" t="s">
        <v>1404</v>
      </c>
      <c r="Y1000" s="46" t="s">
        <v>1404</v>
      </c>
      <c r="AA1000" s="326"/>
      <c r="AB1000" s="326"/>
      <c r="AC1000" s="28" t="s">
        <v>202</v>
      </c>
      <c r="AG1000" s="28" t="s">
        <v>1340</v>
      </c>
      <c r="AH1000" s="28" t="s">
        <v>131</v>
      </c>
      <c r="AI1000" s="138" t="s">
        <v>131</v>
      </c>
      <c r="AJ1000" s="28" t="s">
        <v>1600</v>
      </c>
      <c r="AK1000" s="141" t="s">
        <v>229</v>
      </c>
      <c r="AO1000" s="28" t="s">
        <v>695</v>
      </c>
      <c r="AP1000" s="28" t="s">
        <v>695</v>
      </c>
      <c r="AQ1000" s="28" t="s">
        <v>2125</v>
      </c>
      <c r="AR1000" s="28" t="s">
        <v>2125</v>
      </c>
      <c r="AS1000" s="28" t="s">
        <v>177</v>
      </c>
      <c r="AT1000" s="28" t="s">
        <v>693</v>
      </c>
      <c r="AU1000" s="28" t="s">
        <v>693</v>
      </c>
      <c r="AV1000" s="28" t="s">
        <v>177</v>
      </c>
      <c r="AW1000" s="28" t="s">
        <v>160</v>
      </c>
      <c r="AX1000" s="28">
        <v>6</v>
      </c>
      <c r="AZ1000" s="28" t="s">
        <v>335</v>
      </c>
      <c r="BD1000" s="28" t="s">
        <v>694</v>
      </c>
      <c r="BE1000" s="28" t="s">
        <v>697</v>
      </c>
      <c r="BP1000" s="401"/>
      <c r="BQ1000" s="401"/>
      <c r="BU1000" s="401"/>
      <c r="BV1000" s="401"/>
      <c r="BZ1000" s="401"/>
      <c r="CA1000" s="401"/>
      <c r="CE1000" s="554"/>
      <c r="CF1000" s="554"/>
      <c r="CG1000" s="554"/>
      <c r="CH1000" s="554"/>
      <c r="GK1000" s="28">
        <f>(1.3+1.9+4.7)/3</f>
        <v>2.6333333333333333</v>
      </c>
      <c r="GL1000" s="28">
        <f>(1.03+1.026+2.54)/3</f>
        <v>1.532</v>
      </c>
      <c r="GO1000" s="28" t="s">
        <v>705</v>
      </c>
      <c r="JB1000" s="28" t="s">
        <v>729</v>
      </c>
    </row>
    <row r="1001" spans="1:263" s="28" customFormat="1" x14ac:dyDescent="0.25">
      <c r="A1001" s="28">
        <v>48</v>
      </c>
      <c r="B1001" s="46" t="s">
        <v>3985</v>
      </c>
      <c r="C1001" s="28" t="s">
        <v>689</v>
      </c>
      <c r="D1001" s="28" t="s">
        <v>690</v>
      </c>
      <c r="E1001" s="28">
        <v>2016</v>
      </c>
      <c r="F1001" s="28">
        <v>2014</v>
      </c>
      <c r="G1001" s="28" t="s">
        <v>691</v>
      </c>
      <c r="H1001" s="28" t="s">
        <v>692</v>
      </c>
      <c r="I1001" s="32" t="s">
        <v>2815</v>
      </c>
      <c r="J1001" s="28">
        <f t="shared" si="235"/>
        <v>42.083333333333336</v>
      </c>
      <c r="K1001" s="28">
        <f t="shared" si="236"/>
        <v>-86.35</v>
      </c>
      <c r="L1001" s="28">
        <v>213.2</v>
      </c>
      <c r="R1001" s="46">
        <v>1</v>
      </c>
      <c r="S1001" s="46" t="s">
        <v>1847</v>
      </c>
      <c r="T1001" s="46"/>
      <c r="U1001" s="46" t="s">
        <v>1961</v>
      </c>
      <c r="V1001" s="46" t="s">
        <v>1404</v>
      </c>
      <c r="W1001" s="46" t="s">
        <v>1728</v>
      </c>
      <c r="X1001" s="46" t="s">
        <v>1404</v>
      </c>
      <c r="Y1001" s="46" t="s">
        <v>1404</v>
      </c>
      <c r="AA1001" s="326"/>
      <c r="AB1001" s="326"/>
      <c r="AC1001" s="28" t="s">
        <v>202</v>
      </c>
      <c r="AG1001" s="28" t="s">
        <v>1340</v>
      </c>
      <c r="AH1001" s="28" t="s">
        <v>131</v>
      </c>
      <c r="AI1001" s="138" t="s">
        <v>131</v>
      </c>
      <c r="AJ1001" s="28" t="s">
        <v>1600</v>
      </c>
      <c r="AK1001" s="141" t="s">
        <v>229</v>
      </c>
      <c r="AO1001" s="28" t="s">
        <v>696</v>
      </c>
      <c r="AP1001" s="28" t="s">
        <v>696</v>
      </c>
      <c r="AQ1001" s="28" t="s">
        <v>2125</v>
      </c>
      <c r="AR1001" s="28" t="s">
        <v>2125</v>
      </c>
      <c r="AS1001" s="28" t="s">
        <v>177</v>
      </c>
      <c r="AT1001" s="28" t="s">
        <v>693</v>
      </c>
      <c r="AU1001" s="28" t="s">
        <v>693</v>
      </c>
      <c r="AV1001" s="28" t="s">
        <v>177</v>
      </c>
      <c r="AW1001" s="28" t="s">
        <v>160</v>
      </c>
      <c r="AX1001" s="28">
        <v>6</v>
      </c>
      <c r="AZ1001" s="28" t="s">
        <v>335</v>
      </c>
      <c r="BD1001" s="28" t="s">
        <v>694</v>
      </c>
      <c r="BE1001" s="28" t="s">
        <v>697</v>
      </c>
      <c r="BP1001" s="401"/>
      <c r="BQ1001" s="401"/>
      <c r="BU1001" s="401"/>
      <c r="BV1001" s="401"/>
      <c r="BZ1001" s="401"/>
      <c r="CA1001" s="401"/>
      <c r="CE1001" s="554"/>
      <c r="CF1001" s="554"/>
      <c r="CG1001" s="554"/>
      <c r="CH1001" s="554"/>
      <c r="GK1001" s="28">
        <f>(1.92+2.38+5.5)/3</f>
        <v>3.2666666666666671</v>
      </c>
      <c r="GL1001" s="28">
        <f>(2.58+1.69+3.03)/3</f>
        <v>2.4333333333333331</v>
      </c>
      <c r="GO1001" s="28" t="s">
        <v>705</v>
      </c>
      <c r="JB1001" s="28" t="s">
        <v>729</v>
      </c>
    </row>
    <row r="1002" spans="1:263" s="33" customFormat="1" x14ac:dyDescent="0.25">
      <c r="A1002" s="33">
        <v>48</v>
      </c>
      <c r="B1002" s="47" t="s">
        <v>3984</v>
      </c>
      <c r="C1002" s="33" t="s">
        <v>689</v>
      </c>
      <c r="D1002" s="33" t="s">
        <v>690</v>
      </c>
      <c r="E1002" s="33">
        <v>2016</v>
      </c>
      <c r="F1002" s="33">
        <v>2014</v>
      </c>
      <c r="G1002" s="33" t="s">
        <v>691</v>
      </c>
      <c r="H1002" s="33" t="s">
        <v>692</v>
      </c>
      <c r="I1002" s="32" t="s">
        <v>2815</v>
      </c>
      <c r="J1002" s="33">
        <f t="shared" si="235"/>
        <v>42.083333333333336</v>
      </c>
      <c r="K1002" s="33">
        <f t="shared" si="236"/>
        <v>-86.35</v>
      </c>
      <c r="L1002" s="33">
        <v>213.2</v>
      </c>
      <c r="R1002" s="47">
        <v>1</v>
      </c>
      <c r="S1002" s="47" t="s">
        <v>1847</v>
      </c>
      <c r="T1002" s="47"/>
      <c r="U1002" s="47" t="s">
        <v>1961</v>
      </c>
      <c r="V1002" s="47" t="s">
        <v>1404</v>
      </c>
      <c r="W1002" s="47" t="s">
        <v>1728</v>
      </c>
      <c r="X1002" s="47" t="s">
        <v>1404</v>
      </c>
      <c r="Y1002" s="47" t="s">
        <v>1404</v>
      </c>
      <c r="AA1002" s="327"/>
      <c r="AB1002" s="327"/>
      <c r="AC1002" s="33" t="s">
        <v>202</v>
      </c>
      <c r="AG1002" s="33" t="s">
        <v>1340</v>
      </c>
      <c r="AH1002" s="33" t="s">
        <v>131</v>
      </c>
      <c r="AI1002" s="138" t="s">
        <v>131</v>
      </c>
      <c r="AJ1002" s="33" t="s">
        <v>1600</v>
      </c>
      <c r="AK1002" s="141" t="s">
        <v>229</v>
      </c>
      <c r="AO1002" s="33" t="s">
        <v>695</v>
      </c>
      <c r="AP1002" s="33" t="s">
        <v>695</v>
      </c>
      <c r="AQ1002" s="33" t="s">
        <v>2125</v>
      </c>
      <c r="AR1002" s="33" t="s">
        <v>2125</v>
      </c>
      <c r="AS1002" s="33" t="s">
        <v>177</v>
      </c>
      <c r="AT1002" s="33" t="s">
        <v>693</v>
      </c>
      <c r="AU1002" s="33" t="s">
        <v>693</v>
      </c>
      <c r="AV1002" s="33" t="s">
        <v>177</v>
      </c>
      <c r="AW1002" s="33" t="s">
        <v>160</v>
      </c>
      <c r="AX1002" s="33">
        <v>6</v>
      </c>
      <c r="AZ1002" s="33" t="s">
        <v>335</v>
      </c>
      <c r="BD1002" s="33" t="s">
        <v>694</v>
      </c>
      <c r="BE1002" s="33" t="s">
        <v>698</v>
      </c>
      <c r="BP1002" s="402"/>
      <c r="BQ1002" s="402"/>
      <c r="BU1002" s="402"/>
      <c r="BV1002" s="402"/>
      <c r="BZ1002" s="402"/>
      <c r="CA1002" s="402"/>
      <c r="CE1002" s="555"/>
      <c r="CF1002" s="555"/>
      <c r="CG1002" s="555"/>
      <c r="CH1002" s="555"/>
      <c r="GK1002" s="33">
        <f>(0.6+1.19+3.93)/3</f>
        <v>1.906666666666667</v>
      </c>
      <c r="GL1002" s="33">
        <f>(0.3+0.46+1.27)/3</f>
        <v>0.67666666666666675</v>
      </c>
      <c r="GO1002" s="33" t="s">
        <v>705</v>
      </c>
      <c r="JB1002" s="33" t="s">
        <v>729</v>
      </c>
    </row>
    <row r="1003" spans="1:263" s="33" customFormat="1" x14ac:dyDescent="0.25">
      <c r="A1003" s="33">
        <v>48</v>
      </c>
      <c r="B1003" s="47" t="s">
        <v>3985</v>
      </c>
      <c r="C1003" s="33" t="s">
        <v>689</v>
      </c>
      <c r="D1003" s="33" t="s">
        <v>690</v>
      </c>
      <c r="E1003" s="33">
        <v>2016</v>
      </c>
      <c r="F1003" s="33">
        <v>2014</v>
      </c>
      <c r="G1003" s="33" t="s">
        <v>691</v>
      </c>
      <c r="H1003" s="33" t="s">
        <v>692</v>
      </c>
      <c r="I1003" s="32" t="s">
        <v>2815</v>
      </c>
      <c r="J1003" s="33">
        <f t="shared" si="235"/>
        <v>42.083333333333336</v>
      </c>
      <c r="K1003" s="33">
        <f t="shared" si="236"/>
        <v>-86.35</v>
      </c>
      <c r="L1003" s="33">
        <v>213.2</v>
      </c>
      <c r="R1003" s="47">
        <v>1</v>
      </c>
      <c r="S1003" s="47" t="s">
        <v>1847</v>
      </c>
      <c r="T1003" s="47"/>
      <c r="U1003" s="47" t="s">
        <v>1961</v>
      </c>
      <c r="V1003" s="47" t="s">
        <v>1404</v>
      </c>
      <c r="W1003" s="47" t="s">
        <v>1728</v>
      </c>
      <c r="X1003" s="47" t="s">
        <v>1404</v>
      </c>
      <c r="Y1003" s="47" t="s">
        <v>1404</v>
      </c>
      <c r="AA1003" s="327"/>
      <c r="AB1003" s="327"/>
      <c r="AC1003" s="33" t="s">
        <v>202</v>
      </c>
      <c r="AG1003" s="33" t="s">
        <v>1340</v>
      </c>
      <c r="AH1003" s="33" t="s">
        <v>131</v>
      </c>
      <c r="AI1003" s="138" t="s">
        <v>131</v>
      </c>
      <c r="AJ1003" s="33" t="s">
        <v>1600</v>
      </c>
      <c r="AK1003" s="141" t="s">
        <v>229</v>
      </c>
      <c r="AO1003" s="33" t="s">
        <v>696</v>
      </c>
      <c r="AP1003" s="33" t="s">
        <v>696</v>
      </c>
      <c r="AQ1003" s="33" t="s">
        <v>2125</v>
      </c>
      <c r="AR1003" s="33" t="s">
        <v>2125</v>
      </c>
      <c r="AS1003" s="33" t="s">
        <v>177</v>
      </c>
      <c r="AT1003" s="33" t="s">
        <v>693</v>
      </c>
      <c r="AU1003" s="33" t="s">
        <v>693</v>
      </c>
      <c r="AV1003" s="33" t="s">
        <v>177</v>
      </c>
      <c r="AW1003" s="33" t="s">
        <v>160</v>
      </c>
      <c r="AX1003" s="33">
        <v>6</v>
      </c>
      <c r="AZ1003" s="33" t="s">
        <v>335</v>
      </c>
      <c r="BD1003" s="33" t="s">
        <v>694</v>
      </c>
      <c r="BE1003" s="33" t="s">
        <v>698</v>
      </c>
      <c r="BP1003" s="402"/>
      <c r="BQ1003" s="402"/>
      <c r="BU1003" s="402"/>
      <c r="BV1003" s="402"/>
      <c r="BZ1003" s="402"/>
      <c r="CA1003" s="402"/>
      <c r="CE1003" s="555"/>
      <c r="CF1003" s="555"/>
      <c r="CG1003" s="555"/>
      <c r="CH1003" s="555"/>
      <c r="GK1003" s="33">
        <f>(0.55+1.16+3.96)/3</f>
        <v>1.89</v>
      </c>
      <c r="GL1003" s="33">
        <f>(0.48+0.48+2.75)/3</f>
        <v>1.2366666666666666</v>
      </c>
      <c r="GO1003" s="33" t="s">
        <v>705</v>
      </c>
      <c r="JB1003" s="33" t="s">
        <v>729</v>
      </c>
    </row>
    <row r="1004" spans="1:263" s="28" customFormat="1" x14ac:dyDescent="0.25">
      <c r="A1004" s="28">
        <v>48</v>
      </c>
      <c r="B1004" s="46" t="s">
        <v>3984</v>
      </c>
      <c r="C1004" s="28" t="s">
        <v>689</v>
      </c>
      <c r="D1004" s="28" t="s">
        <v>690</v>
      </c>
      <c r="E1004" s="28">
        <v>2016</v>
      </c>
      <c r="F1004" s="28">
        <v>2014</v>
      </c>
      <c r="G1004" s="28" t="s">
        <v>691</v>
      </c>
      <c r="H1004" s="28" t="s">
        <v>692</v>
      </c>
      <c r="I1004" s="32" t="s">
        <v>2815</v>
      </c>
      <c r="J1004" s="28">
        <f t="shared" si="235"/>
        <v>42.083333333333336</v>
      </c>
      <c r="K1004" s="28">
        <f t="shared" si="236"/>
        <v>-86.35</v>
      </c>
      <c r="L1004" s="28">
        <v>213.2</v>
      </c>
      <c r="R1004" s="46">
        <v>1</v>
      </c>
      <c r="S1004" s="46" t="s">
        <v>1847</v>
      </c>
      <c r="T1004" s="46"/>
      <c r="U1004" s="46" t="s">
        <v>1961</v>
      </c>
      <c r="V1004" s="46" t="s">
        <v>1404</v>
      </c>
      <c r="W1004" s="46" t="s">
        <v>1728</v>
      </c>
      <c r="X1004" s="46" t="s">
        <v>1404</v>
      </c>
      <c r="Y1004" s="46" t="s">
        <v>1404</v>
      </c>
      <c r="AA1004" s="326"/>
      <c r="AB1004" s="326"/>
      <c r="AC1004" s="28" t="s">
        <v>202</v>
      </c>
      <c r="AG1004" s="28" t="s">
        <v>1340</v>
      </c>
      <c r="AH1004" s="28" t="s">
        <v>131</v>
      </c>
      <c r="AI1004" s="138" t="s">
        <v>131</v>
      </c>
      <c r="AJ1004" s="28" t="s">
        <v>1600</v>
      </c>
      <c r="AK1004" s="141" t="s">
        <v>229</v>
      </c>
      <c r="AO1004" s="28" t="s">
        <v>695</v>
      </c>
      <c r="AP1004" s="28" t="s">
        <v>695</v>
      </c>
      <c r="AQ1004" s="28" t="s">
        <v>2125</v>
      </c>
      <c r="AR1004" s="28" t="s">
        <v>2125</v>
      </c>
      <c r="AS1004" s="28" t="s">
        <v>177</v>
      </c>
      <c r="AT1004" s="28" t="s">
        <v>693</v>
      </c>
      <c r="AU1004" s="28" t="s">
        <v>693</v>
      </c>
      <c r="AV1004" s="28" t="s">
        <v>177</v>
      </c>
      <c r="AW1004" s="28" t="s">
        <v>160</v>
      </c>
      <c r="AX1004" s="28">
        <v>6</v>
      </c>
      <c r="AZ1004" s="28" t="s">
        <v>335</v>
      </c>
      <c r="BD1004" s="28" t="s">
        <v>694</v>
      </c>
      <c r="BE1004" s="28" t="s">
        <v>699</v>
      </c>
      <c r="BP1004" s="401"/>
      <c r="BQ1004" s="401"/>
      <c r="BU1004" s="401"/>
      <c r="BV1004" s="401"/>
      <c r="BZ1004" s="401"/>
      <c r="CA1004" s="401"/>
      <c r="CE1004" s="554"/>
      <c r="CF1004" s="554"/>
      <c r="CG1004" s="554"/>
      <c r="CH1004" s="554"/>
      <c r="GK1004" s="28">
        <f>(4.54+9.44+4.55)/3</f>
        <v>6.1766666666666667</v>
      </c>
      <c r="GL1004" s="28">
        <f>(5.5+7.12+8.54)/3</f>
        <v>7.0533333333333337</v>
      </c>
      <c r="GO1004" s="28" t="s">
        <v>705</v>
      </c>
      <c r="JB1004" s="28" t="s">
        <v>729</v>
      </c>
    </row>
    <row r="1005" spans="1:263" s="28" customFormat="1" x14ac:dyDescent="0.25">
      <c r="A1005" s="28">
        <v>48</v>
      </c>
      <c r="B1005" s="46" t="s">
        <v>3985</v>
      </c>
      <c r="C1005" s="28" t="s">
        <v>689</v>
      </c>
      <c r="D1005" s="28" t="s">
        <v>690</v>
      </c>
      <c r="E1005" s="28">
        <v>2016</v>
      </c>
      <c r="F1005" s="28">
        <v>2014</v>
      </c>
      <c r="G1005" s="28" t="s">
        <v>691</v>
      </c>
      <c r="H1005" s="28" t="s">
        <v>692</v>
      </c>
      <c r="I1005" s="32" t="s">
        <v>2815</v>
      </c>
      <c r="J1005" s="28">
        <f t="shared" si="235"/>
        <v>42.083333333333336</v>
      </c>
      <c r="K1005" s="28">
        <f t="shared" si="236"/>
        <v>-86.35</v>
      </c>
      <c r="L1005" s="28">
        <v>213.2</v>
      </c>
      <c r="R1005" s="46">
        <v>1</v>
      </c>
      <c r="S1005" s="46" t="s">
        <v>1847</v>
      </c>
      <c r="T1005" s="46"/>
      <c r="U1005" s="46" t="s">
        <v>1961</v>
      </c>
      <c r="V1005" s="46" t="s">
        <v>1404</v>
      </c>
      <c r="W1005" s="46" t="s">
        <v>1728</v>
      </c>
      <c r="X1005" s="46" t="s">
        <v>1404</v>
      </c>
      <c r="Y1005" s="46" t="s">
        <v>1404</v>
      </c>
      <c r="AA1005" s="326"/>
      <c r="AB1005" s="326"/>
      <c r="AC1005" s="28" t="s">
        <v>202</v>
      </c>
      <c r="AG1005" s="28" t="s">
        <v>1340</v>
      </c>
      <c r="AH1005" s="28" t="s">
        <v>131</v>
      </c>
      <c r="AI1005" s="138" t="s">
        <v>131</v>
      </c>
      <c r="AJ1005" s="28" t="s">
        <v>1600</v>
      </c>
      <c r="AK1005" s="141" t="s">
        <v>229</v>
      </c>
      <c r="AO1005" s="28" t="s">
        <v>696</v>
      </c>
      <c r="AP1005" s="28" t="s">
        <v>696</v>
      </c>
      <c r="AQ1005" s="28" t="s">
        <v>2125</v>
      </c>
      <c r="AR1005" s="28" t="s">
        <v>2125</v>
      </c>
      <c r="AS1005" s="28" t="s">
        <v>177</v>
      </c>
      <c r="AT1005" s="28" t="s">
        <v>693</v>
      </c>
      <c r="AU1005" s="28" t="s">
        <v>693</v>
      </c>
      <c r="AV1005" s="28" t="s">
        <v>177</v>
      </c>
      <c r="AW1005" s="28" t="s">
        <v>160</v>
      </c>
      <c r="AX1005" s="28">
        <v>6</v>
      </c>
      <c r="AZ1005" s="28" t="s">
        <v>335</v>
      </c>
      <c r="BD1005" s="28" t="s">
        <v>694</v>
      </c>
      <c r="BE1005" s="28" t="s">
        <v>699</v>
      </c>
      <c r="BP1005" s="401"/>
      <c r="BQ1005" s="401"/>
      <c r="BU1005" s="401"/>
      <c r="BV1005" s="401"/>
      <c r="BZ1005" s="401"/>
      <c r="CA1005" s="401"/>
      <c r="CE1005" s="554"/>
      <c r="CF1005" s="554"/>
      <c r="CG1005" s="554"/>
      <c r="CH1005" s="554"/>
      <c r="GK1005" s="28">
        <f>(7.52+10.35+5.91)/3</f>
        <v>7.9266666666666659</v>
      </c>
      <c r="GL1005" s="28">
        <f>(4.49+10.45+3.49)/3</f>
        <v>6.1433333333333335</v>
      </c>
      <c r="GO1005" s="28" t="s">
        <v>705</v>
      </c>
      <c r="JB1005" s="28" t="s">
        <v>729</v>
      </c>
    </row>
    <row r="1006" spans="1:263" s="33" customFormat="1" x14ac:dyDescent="0.25">
      <c r="A1006" s="33">
        <v>48</v>
      </c>
      <c r="B1006" s="47" t="s">
        <v>3984</v>
      </c>
      <c r="C1006" s="33" t="s">
        <v>689</v>
      </c>
      <c r="D1006" s="33" t="s">
        <v>690</v>
      </c>
      <c r="E1006" s="33">
        <v>2016</v>
      </c>
      <c r="F1006" s="33">
        <v>2014</v>
      </c>
      <c r="G1006" s="33" t="s">
        <v>691</v>
      </c>
      <c r="H1006" s="33" t="s">
        <v>692</v>
      </c>
      <c r="I1006" s="32" t="s">
        <v>2815</v>
      </c>
      <c r="J1006" s="33">
        <f t="shared" si="235"/>
        <v>42.083333333333336</v>
      </c>
      <c r="K1006" s="33">
        <f t="shared" si="236"/>
        <v>-86.35</v>
      </c>
      <c r="L1006" s="33">
        <v>213.2</v>
      </c>
      <c r="R1006" s="47">
        <v>1</v>
      </c>
      <c r="S1006" s="47" t="s">
        <v>1847</v>
      </c>
      <c r="T1006" s="47"/>
      <c r="U1006" s="47" t="s">
        <v>1961</v>
      </c>
      <c r="V1006" s="47" t="s">
        <v>1404</v>
      </c>
      <c r="W1006" s="47" t="s">
        <v>1728</v>
      </c>
      <c r="X1006" s="47" t="s">
        <v>1404</v>
      </c>
      <c r="Y1006" s="47" t="s">
        <v>1404</v>
      </c>
      <c r="AA1006" s="327"/>
      <c r="AB1006" s="327"/>
      <c r="AC1006" s="33" t="s">
        <v>202</v>
      </c>
      <c r="AG1006" s="33" t="s">
        <v>1340</v>
      </c>
      <c r="AH1006" s="33" t="s">
        <v>131</v>
      </c>
      <c r="AI1006" s="138" t="s">
        <v>131</v>
      </c>
      <c r="AJ1006" s="33" t="s">
        <v>1600</v>
      </c>
      <c r="AK1006" s="141" t="s">
        <v>229</v>
      </c>
      <c r="AO1006" s="33" t="s">
        <v>695</v>
      </c>
      <c r="AP1006" s="33" t="s">
        <v>695</v>
      </c>
      <c r="AQ1006" s="33" t="s">
        <v>2125</v>
      </c>
      <c r="AR1006" s="33" t="s">
        <v>2125</v>
      </c>
      <c r="AS1006" s="33" t="s">
        <v>177</v>
      </c>
      <c r="AT1006" s="33" t="s">
        <v>693</v>
      </c>
      <c r="AU1006" s="33" t="s">
        <v>693</v>
      </c>
      <c r="AV1006" s="33" t="s">
        <v>177</v>
      </c>
      <c r="AW1006" s="33" t="s">
        <v>160</v>
      </c>
      <c r="AX1006" s="33">
        <v>6</v>
      </c>
      <c r="AZ1006" s="33" t="s">
        <v>335</v>
      </c>
      <c r="BD1006" s="33" t="s">
        <v>694</v>
      </c>
      <c r="BE1006" s="33" t="s">
        <v>700</v>
      </c>
      <c r="BP1006" s="402"/>
      <c r="BQ1006" s="402"/>
      <c r="BU1006" s="402"/>
      <c r="BV1006" s="402"/>
      <c r="BZ1006" s="402"/>
      <c r="CA1006" s="402"/>
      <c r="CE1006" s="555"/>
      <c r="CF1006" s="555"/>
      <c r="CG1006" s="555"/>
      <c r="CH1006" s="555"/>
      <c r="GK1006" s="33">
        <f>(1.1+1.93+0.55)/3</f>
        <v>1.1933333333333334</v>
      </c>
      <c r="GL1006" s="33">
        <f>(2.2+1.55+1.03)/3</f>
        <v>1.5933333333333335</v>
      </c>
      <c r="GO1006" s="33" t="s">
        <v>705</v>
      </c>
      <c r="JB1006" s="33" t="s">
        <v>729</v>
      </c>
    </row>
    <row r="1007" spans="1:263" s="33" customFormat="1" x14ac:dyDescent="0.25">
      <c r="A1007" s="33">
        <v>48</v>
      </c>
      <c r="B1007" s="47" t="s">
        <v>3985</v>
      </c>
      <c r="C1007" s="33" t="s">
        <v>689</v>
      </c>
      <c r="D1007" s="33" t="s">
        <v>690</v>
      </c>
      <c r="E1007" s="33">
        <v>2016</v>
      </c>
      <c r="F1007" s="33">
        <v>2014</v>
      </c>
      <c r="G1007" s="33" t="s">
        <v>691</v>
      </c>
      <c r="H1007" s="33" t="s">
        <v>692</v>
      </c>
      <c r="I1007" s="32" t="s">
        <v>2815</v>
      </c>
      <c r="J1007" s="33">
        <f t="shared" si="235"/>
        <v>42.083333333333336</v>
      </c>
      <c r="K1007" s="33">
        <f t="shared" si="236"/>
        <v>-86.35</v>
      </c>
      <c r="L1007" s="33">
        <v>213.2</v>
      </c>
      <c r="R1007" s="47">
        <v>1</v>
      </c>
      <c r="S1007" s="47" t="s">
        <v>1847</v>
      </c>
      <c r="T1007" s="47"/>
      <c r="U1007" s="47" t="s">
        <v>1961</v>
      </c>
      <c r="V1007" s="47" t="s">
        <v>1404</v>
      </c>
      <c r="W1007" s="47" t="s">
        <v>1728</v>
      </c>
      <c r="X1007" s="47" t="s">
        <v>1404</v>
      </c>
      <c r="Y1007" s="47" t="s">
        <v>1404</v>
      </c>
      <c r="AA1007" s="327"/>
      <c r="AB1007" s="327"/>
      <c r="AC1007" s="33" t="s">
        <v>202</v>
      </c>
      <c r="AG1007" s="33" t="s">
        <v>1340</v>
      </c>
      <c r="AH1007" s="33" t="s">
        <v>131</v>
      </c>
      <c r="AI1007" s="138" t="s">
        <v>131</v>
      </c>
      <c r="AJ1007" s="33" t="s">
        <v>1600</v>
      </c>
      <c r="AK1007" s="141" t="s">
        <v>229</v>
      </c>
      <c r="AO1007" s="33" t="s">
        <v>696</v>
      </c>
      <c r="AP1007" s="33" t="s">
        <v>696</v>
      </c>
      <c r="AQ1007" s="33" t="s">
        <v>2125</v>
      </c>
      <c r="AR1007" s="33" t="s">
        <v>2125</v>
      </c>
      <c r="AS1007" s="33" t="s">
        <v>177</v>
      </c>
      <c r="AT1007" s="33" t="s">
        <v>693</v>
      </c>
      <c r="AU1007" s="33" t="s">
        <v>693</v>
      </c>
      <c r="AV1007" s="33" t="s">
        <v>177</v>
      </c>
      <c r="AW1007" s="33" t="s">
        <v>160</v>
      </c>
      <c r="AX1007" s="33">
        <v>6</v>
      </c>
      <c r="AZ1007" s="33" t="s">
        <v>335</v>
      </c>
      <c r="BD1007" s="33" t="s">
        <v>694</v>
      </c>
      <c r="BE1007" s="33" t="s">
        <v>700</v>
      </c>
      <c r="BP1007" s="402"/>
      <c r="BQ1007" s="402"/>
      <c r="BU1007" s="402"/>
      <c r="BV1007" s="402"/>
      <c r="BZ1007" s="402"/>
      <c r="CA1007" s="402"/>
      <c r="CE1007" s="555"/>
      <c r="CF1007" s="555"/>
      <c r="CG1007" s="555"/>
      <c r="CH1007" s="555"/>
      <c r="GK1007" s="33">
        <f>(1.1+1.19+0.67)/3</f>
        <v>0.98666666666666669</v>
      </c>
      <c r="GL1007" s="33">
        <f>(1.21+0.93+0.9)/3</f>
        <v>1.0133333333333334</v>
      </c>
      <c r="GO1007" s="33" t="s">
        <v>705</v>
      </c>
      <c r="JB1007" s="33" t="s">
        <v>729</v>
      </c>
    </row>
    <row r="1008" spans="1:263" s="66" customFormat="1" x14ac:dyDescent="0.25">
      <c r="A1008" s="66">
        <v>48</v>
      </c>
      <c r="B1008" s="67" t="s">
        <v>3984</v>
      </c>
      <c r="C1008" s="66" t="s">
        <v>689</v>
      </c>
      <c r="D1008" s="66" t="s">
        <v>690</v>
      </c>
      <c r="E1008" s="66">
        <v>2016</v>
      </c>
      <c r="F1008" s="66">
        <v>2015</v>
      </c>
      <c r="G1008" s="66" t="s">
        <v>691</v>
      </c>
      <c r="H1008" s="66" t="s">
        <v>692</v>
      </c>
      <c r="I1008" s="32" t="s">
        <v>2815</v>
      </c>
      <c r="J1008" s="66">
        <f t="shared" si="235"/>
        <v>42.083333333333336</v>
      </c>
      <c r="K1008" s="66">
        <f t="shared" si="236"/>
        <v>-86.35</v>
      </c>
      <c r="L1008" s="66">
        <v>213.2</v>
      </c>
      <c r="R1008" s="67">
        <v>2</v>
      </c>
      <c r="S1008" s="67" t="s">
        <v>1847</v>
      </c>
      <c r="T1008" s="67"/>
      <c r="U1008" s="46" t="s">
        <v>1961</v>
      </c>
      <c r="V1008" s="67" t="s">
        <v>1404</v>
      </c>
      <c r="W1008" s="46" t="s">
        <v>1728</v>
      </c>
      <c r="X1008" s="67" t="s">
        <v>1404</v>
      </c>
      <c r="Y1008" s="67" t="s">
        <v>1404</v>
      </c>
      <c r="AA1008" s="335"/>
      <c r="AB1008" s="335"/>
      <c r="AC1008" s="66" t="s">
        <v>202</v>
      </c>
      <c r="AG1008" s="28" t="s">
        <v>1340</v>
      </c>
      <c r="AH1008" s="66" t="s">
        <v>131</v>
      </c>
      <c r="AI1008" s="138" t="s">
        <v>131</v>
      </c>
      <c r="AJ1008" s="66" t="s">
        <v>1600</v>
      </c>
      <c r="AK1008" s="143" t="s">
        <v>229</v>
      </c>
      <c r="AO1008" s="66" t="s">
        <v>695</v>
      </c>
      <c r="AP1008" s="66" t="s">
        <v>695</v>
      </c>
      <c r="AQ1008" s="66" t="s">
        <v>2125</v>
      </c>
      <c r="AR1008" s="66" t="s">
        <v>2125</v>
      </c>
      <c r="AS1008" s="66" t="s">
        <v>177</v>
      </c>
      <c r="AT1008" s="66" t="s">
        <v>693</v>
      </c>
      <c r="AU1008" s="66" t="s">
        <v>693</v>
      </c>
      <c r="AV1008" s="66" t="s">
        <v>177</v>
      </c>
      <c r="AW1008" s="66" t="s">
        <v>160</v>
      </c>
      <c r="AX1008" s="66">
        <v>6</v>
      </c>
      <c r="AZ1008" s="66" t="s">
        <v>335</v>
      </c>
      <c r="BD1008" s="66" t="s">
        <v>694</v>
      </c>
      <c r="BE1008" s="66" t="s">
        <v>701</v>
      </c>
      <c r="BP1008" s="410"/>
      <c r="BQ1008" s="410"/>
      <c r="BU1008" s="410"/>
      <c r="BV1008" s="410"/>
      <c r="BZ1008" s="410"/>
      <c r="CA1008" s="410"/>
      <c r="CE1008" s="563"/>
      <c r="CF1008" s="563"/>
      <c r="CG1008" s="563"/>
      <c r="CH1008" s="563"/>
      <c r="GK1008" s="66">
        <f>(1.19+2.25+4.6)/3</f>
        <v>2.6799999999999997</v>
      </c>
      <c r="GL1008" s="66">
        <f>(0.81+3.51+6.17)/3</f>
        <v>3.4966666666666666</v>
      </c>
      <c r="GO1008" s="28" t="s">
        <v>705</v>
      </c>
      <c r="GP1008" s="28"/>
      <c r="GQ1008" s="28"/>
      <c r="GR1008" s="28"/>
      <c r="GS1008" s="28"/>
      <c r="GT1008" s="28"/>
      <c r="GU1008" s="28"/>
      <c r="GV1008" s="28"/>
      <c r="GW1008" s="28"/>
      <c r="GX1008" s="28"/>
      <c r="GY1008" s="28"/>
      <c r="JB1008" s="28" t="s">
        <v>729</v>
      </c>
    </row>
    <row r="1009" spans="1:262" s="66" customFormat="1" x14ac:dyDescent="0.25">
      <c r="A1009" s="66">
        <v>48</v>
      </c>
      <c r="B1009" s="67" t="s">
        <v>3985</v>
      </c>
      <c r="C1009" s="66" t="s">
        <v>689</v>
      </c>
      <c r="D1009" s="66" t="s">
        <v>690</v>
      </c>
      <c r="E1009" s="66">
        <v>2016</v>
      </c>
      <c r="F1009" s="66">
        <v>2015</v>
      </c>
      <c r="G1009" s="66" t="s">
        <v>691</v>
      </c>
      <c r="H1009" s="66" t="s">
        <v>692</v>
      </c>
      <c r="I1009" s="32" t="s">
        <v>2815</v>
      </c>
      <c r="J1009" s="66">
        <f t="shared" si="235"/>
        <v>42.083333333333336</v>
      </c>
      <c r="K1009" s="66">
        <f t="shared" si="236"/>
        <v>-86.35</v>
      </c>
      <c r="L1009" s="66">
        <v>213.2</v>
      </c>
      <c r="R1009" s="67">
        <v>2</v>
      </c>
      <c r="S1009" s="67" t="s">
        <v>1847</v>
      </c>
      <c r="T1009" s="67"/>
      <c r="U1009" s="46" t="s">
        <v>1961</v>
      </c>
      <c r="V1009" s="67" t="s">
        <v>1404</v>
      </c>
      <c r="W1009" s="46" t="s">
        <v>1728</v>
      </c>
      <c r="X1009" s="67" t="s">
        <v>1404</v>
      </c>
      <c r="Y1009" s="67" t="s">
        <v>1404</v>
      </c>
      <c r="AA1009" s="335"/>
      <c r="AB1009" s="335"/>
      <c r="AC1009" s="66" t="s">
        <v>202</v>
      </c>
      <c r="AG1009" s="28" t="s">
        <v>1340</v>
      </c>
      <c r="AH1009" s="66" t="s">
        <v>131</v>
      </c>
      <c r="AI1009" s="138" t="s">
        <v>131</v>
      </c>
      <c r="AJ1009" s="66" t="s">
        <v>1600</v>
      </c>
      <c r="AK1009" s="143" t="s">
        <v>229</v>
      </c>
      <c r="AO1009" s="66" t="s">
        <v>696</v>
      </c>
      <c r="AP1009" s="66" t="s">
        <v>696</v>
      </c>
      <c r="AQ1009" s="66" t="s">
        <v>2125</v>
      </c>
      <c r="AR1009" s="66" t="s">
        <v>2125</v>
      </c>
      <c r="AS1009" s="66" t="s">
        <v>177</v>
      </c>
      <c r="AT1009" s="66" t="s">
        <v>693</v>
      </c>
      <c r="AU1009" s="66" t="s">
        <v>693</v>
      </c>
      <c r="AV1009" s="66" t="s">
        <v>177</v>
      </c>
      <c r="AW1009" s="66" t="s">
        <v>160</v>
      </c>
      <c r="AX1009" s="66">
        <v>6</v>
      </c>
      <c r="AZ1009" s="66" t="s">
        <v>335</v>
      </c>
      <c r="BD1009" s="66" t="s">
        <v>694</v>
      </c>
      <c r="BE1009" s="66" t="s">
        <v>701</v>
      </c>
      <c r="BP1009" s="410"/>
      <c r="BQ1009" s="410"/>
      <c r="BU1009" s="410"/>
      <c r="BV1009" s="410"/>
      <c r="BZ1009" s="410"/>
      <c r="CA1009" s="410"/>
      <c r="CE1009" s="563"/>
      <c r="CF1009" s="563"/>
      <c r="CG1009" s="563"/>
      <c r="CH1009" s="563"/>
      <c r="GK1009" s="66">
        <f>(3.81+2.16+5.86)/3</f>
        <v>3.9433333333333338</v>
      </c>
      <c r="GL1009" s="66">
        <f>(3.86+3.28+5.63)/3</f>
        <v>4.2566666666666668</v>
      </c>
      <c r="GO1009" s="28" t="s">
        <v>705</v>
      </c>
      <c r="GP1009" s="28"/>
      <c r="GQ1009" s="28"/>
      <c r="GR1009" s="28"/>
      <c r="GS1009" s="28"/>
      <c r="GT1009" s="28"/>
      <c r="GU1009" s="28"/>
      <c r="GV1009" s="28"/>
      <c r="GW1009" s="28"/>
      <c r="GX1009" s="28"/>
      <c r="GY1009" s="28"/>
      <c r="JB1009" s="28" t="s">
        <v>729</v>
      </c>
    </row>
    <row r="1010" spans="1:262" s="68" customFormat="1" x14ac:dyDescent="0.25">
      <c r="A1010" s="68">
        <v>48</v>
      </c>
      <c r="B1010" s="69" t="s">
        <v>3984</v>
      </c>
      <c r="C1010" s="68" t="s">
        <v>689</v>
      </c>
      <c r="D1010" s="68" t="s">
        <v>690</v>
      </c>
      <c r="E1010" s="68">
        <v>2016</v>
      </c>
      <c r="F1010" s="68">
        <v>2015</v>
      </c>
      <c r="G1010" s="68" t="s">
        <v>691</v>
      </c>
      <c r="H1010" s="68" t="s">
        <v>692</v>
      </c>
      <c r="I1010" s="32" t="s">
        <v>2815</v>
      </c>
      <c r="J1010" s="68">
        <f t="shared" si="235"/>
        <v>42.083333333333336</v>
      </c>
      <c r="K1010" s="68">
        <f t="shared" si="236"/>
        <v>-86.35</v>
      </c>
      <c r="L1010" s="68">
        <v>213.2</v>
      </c>
      <c r="R1010" s="69">
        <v>2</v>
      </c>
      <c r="S1010" s="69" t="s">
        <v>1847</v>
      </c>
      <c r="T1010" s="69"/>
      <c r="U1010" s="47" t="s">
        <v>1961</v>
      </c>
      <c r="V1010" s="69" t="s">
        <v>1404</v>
      </c>
      <c r="W1010" s="47" t="s">
        <v>1728</v>
      </c>
      <c r="X1010" s="69" t="s">
        <v>1404</v>
      </c>
      <c r="Y1010" s="69" t="s">
        <v>1404</v>
      </c>
      <c r="AA1010" s="336"/>
      <c r="AB1010" s="336"/>
      <c r="AC1010" s="68" t="s">
        <v>202</v>
      </c>
      <c r="AG1010" s="33" t="s">
        <v>1340</v>
      </c>
      <c r="AH1010" s="68" t="s">
        <v>131</v>
      </c>
      <c r="AI1010" s="138" t="s">
        <v>131</v>
      </c>
      <c r="AJ1010" s="68" t="s">
        <v>1600</v>
      </c>
      <c r="AK1010" s="143" t="s">
        <v>229</v>
      </c>
      <c r="AO1010" s="68" t="s">
        <v>695</v>
      </c>
      <c r="AP1010" s="68" t="s">
        <v>695</v>
      </c>
      <c r="AQ1010" s="68" t="s">
        <v>2125</v>
      </c>
      <c r="AR1010" s="68" t="s">
        <v>2125</v>
      </c>
      <c r="AS1010" s="68" t="s">
        <v>177</v>
      </c>
      <c r="AT1010" s="68" t="s">
        <v>693</v>
      </c>
      <c r="AU1010" s="68" t="s">
        <v>693</v>
      </c>
      <c r="AV1010" s="68" t="s">
        <v>177</v>
      </c>
      <c r="AW1010" s="68" t="s">
        <v>160</v>
      </c>
      <c r="AX1010" s="68">
        <v>6</v>
      </c>
      <c r="AZ1010" s="68" t="s">
        <v>335</v>
      </c>
      <c r="BD1010" s="68" t="s">
        <v>694</v>
      </c>
      <c r="BE1010" s="68" t="s">
        <v>702</v>
      </c>
      <c r="BP1010" s="411"/>
      <c r="BQ1010" s="411"/>
      <c r="BU1010" s="411"/>
      <c r="BV1010" s="411"/>
      <c r="BZ1010" s="411"/>
      <c r="CA1010" s="411"/>
      <c r="CE1010" s="564"/>
      <c r="CF1010" s="564"/>
      <c r="CG1010" s="564"/>
      <c r="CH1010" s="564"/>
      <c r="GK1010" s="68">
        <f>(0.08+1.55+3.77)/3</f>
        <v>1.8</v>
      </c>
      <c r="GL1010" s="68">
        <f>(0.27+3.04+5.56)/3</f>
        <v>2.9566666666666666</v>
      </c>
      <c r="GO1010" s="33" t="s">
        <v>705</v>
      </c>
      <c r="GP1010" s="33"/>
      <c r="GQ1010" s="33"/>
      <c r="GR1010" s="33"/>
      <c r="GS1010" s="33"/>
      <c r="GT1010" s="33"/>
      <c r="GU1010" s="33"/>
      <c r="GV1010" s="33"/>
      <c r="GW1010" s="33"/>
      <c r="GX1010" s="33"/>
      <c r="GY1010" s="33"/>
      <c r="JB1010" s="33" t="s">
        <v>729</v>
      </c>
    </row>
    <row r="1011" spans="1:262" s="68" customFormat="1" x14ac:dyDescent="0.25">
      <c r="A1011" s="68">
        <v>48</v>
      </c>
      <c r="B1011" s="69" t="s">
        <v>3985</v>
      </c>
      <c r="C1011" s="68" t="s">
        <v>689</v>
      </c>
      <c r="D1011" s="68" t="s">
        <v>690</v>
      </c>
      <c r="E1011" s="68">
        <v>2016</v>
      </c>
      <c r="F1011" s="68">
        <v>2015</v>
      </c>
      <c r="G1011" s="68" t="s">
        <v>691</v>
      </c>
      <c r="H1011" s="68" t="s">
        <v>692</v>
      </c>
      <c r="I1011" s="32" t="s">
        <v>2815</v>
      </c>
      <c r="J1011" s="68">
        <f t="shared" si="235"/>
        <v>42.083333333333336</v>
      </c>
      <c r="K1011" s="68">
        <f t="shared" si="236"/>
        <v>-86.35</v>
      </c>
      <c r="L1011" s="68">
        <v>213.2</v>
      </c>
      <c r="R1011" s="69">
        <v>2</v>
      </c>
      <c r="S1011" s="69" t="s">
        <v>1847</v>
      </c>
      <c r="T1011" s="69"/>
      <c r="U1011" s="47" t="s">
        <v>1961</v>
      </c>
      <c r="V1011" s="69" t="s">
        <v>1404</v>
      </c>
      <c r="W1011" s="47" t="s">
        <v>1728</v>
      </c>
      <c r="X1011" s="69" t="s">
        <v>1404</v>
      </c>
      <c r="Y1011" s="69" t="s">
        <v>1404</v>
      </c>
      <c r="AA1011" s="336"/>
      <c r="AB1011" s="336"/>
      <c r="AC1011" s="68" t="s">
        <v>202</v>
      </c>
      <c r="AG1011" s="33" t="s">
        <v>1340</v>
      </c>
      <c r="AH1011" s="68" t="s">
        <v>131</v>
      </c>
      <c r="AI1011" s="138" t="s">
        <v>131</v>
      </c>
      <c r="AJ1011" s="68" t="s">
        <v>1600</v>
      </c>
      <c r="AK1011" s="143" t="s">
        <v>229</v>
      </c>
      <c r="AO1011" s="68" t="s">
        <v>696</v>
      </c>
      <c r="AP1011" s="68" t="s">
        <v>696</v>
      </c>
      <c r="AQ1011" s="68" t="s">
        <v>2125</v>
      </c>
      <c r="AR1011" s="68" t="s">
        <v>2125</v>
      </c>
      <c r="AS1011" s="68" t="s">
        <v>177</v>
      </c>
      <c r="AT1011" s="68" t="s">
        <v>693</v>
      </c>
      <c r="AU1011" s="68" t="s">
        <v>693</v>
      </c>
      <c r="AV1011" s="68" t="s">
        <v>177</v>
      </c>
      <c r="AW1011" s="68" t="s">
        <v>160</v>
      </c>
      <c r="AX1011" s="68">
        <v>6</v>
      </c>
      <c r="AZ1011" s="68" t="s">
        <v>335</v>
      </c>
      <c r="BD1011" s="68" t="s">
        <v>694</v>
      </c>
      <c r="BE1011" s="68" t="s">
        <v>702</v>
      </c>
      <c r="BP1011" s="411"/>
      <c r="BQ1011" s="411"/>
      <c r="BU1011" s="411"/>
      <c r="BV1011" s="411"/>
      <c r="BZ1011" s="411"/>
      <c r="CA1011" s="411"/>
      <c r="CE1011" s="564"/>
      <c r="CF1011" s="564"/>
      <c r="CG1011" s="564"/>
      <c r="CH1011" s="564"/>
      <c r="GK1011" s="68">
        <f>(0.06+1.6+3.82)/3</f>
        <v>1.8266666666666669</v>
      </c>
      <c r="GL1011" s="68">
        <f>(0.37+1.78+4.98)/3</f>
        <v>2.3766666666666669</v>
      </c>
      <c r="GO1011" s="33" t="s">
        <v>705</v>
      </c>
      <c r="GP1011" s="33"/>
      <c r="GQ1011" s="33"/>
      <c r="GR1011" s="33"/>
      <c r="GS1011" s="33"/>
      <c r="GT1011" s="33"/>
      <c r="GU1011" s="33"/>
      <c r="GV1011" s="33"/>
      <c r="GW1011" s="33"/>
      <c r="GX1011" s="33"/>
      <c r="GY1011" s="33"/>
      <c r="JB1011" s="33" t="s">
        <v>729</v>
      </c>
    </row>
    <row r="1012" spans="1:262" s="66" customFormat="1" x14ac:dyDescent="0.25">
      <c r="A1012" s="66">
        <v>48</v>
      </c>
      <c r="B1012" s="67" t="s">
        <v>3984</v>
      </c>
      <c r="C1012" s="66" t="s">
        <v>689</v>
      </c>
      <c r="D1012" s="66" t="s">
        <v>690</v>
      </c>
      <c r="E1012" s="66">
        <v>2016</v>
      </c>
      <c r="F1012" s="66">
        <v>2015</v>
      </c>
      <c r="G1012" s="66" t="s">
        <v>691</v>
      </c>
      <c r="H1012" s="66" t="s">
        <v>692</v>
      </c>
      <c r="I1012" s="32" t="s">
        <v>2815</v>
      </c>
      <c r="J1012" s="66">
        <f t="shared" si="235"/>
        <v>42.083333333333336</v>
      </c>
      <c r="K1012" s="66">
        <f t="shared" si="236"/>
        <v>-86.35</v>
      </c>
      <c r="L1012" s="66">
        <v>213.2</v>
      </c>
      <c r="R1012" s="67">
        <v>2</v>
      </c>
      <c r="S1012" s="67" t="s">
        <v>1847</v>
      </c>
      <c r="T1012" s="67"/>
      <c r="U1012" s="46" t="s">
        <v>1961</v>
      </c>
      <c r="V1012" s="67" t="s">
        <v>1404</v>
      </c>
      <c r="W1012" s="46" t="s">
        <v>1728</v>
      </c>
      <c r="X1012" s="67" t="s">
        <v>1404</v>
      </c>
      <c r="Y1012" s="67" t="s">
        <v>1404</v>
      </c>
      <c r="AA1012" s="335"/>
      <c r="AB1012" s="335"/>
      <c r="AC1012" s="66" t="s">
        <v>202</v>
      </c>
      <c r="AG1012" s="28" t="s">
        <v>1340</v>
      </c>
      <c r="AH1012" s="66" t="s">
        <v>131</v>
      </c>
      <c r="AI1012" s="138" t="s">
        <v>131</v>
      </c>
      <c r="AJ1012" s="66" t="s">
        <v>1600</v>
      </c>
      <c r="AK1012" s="143" t="s">
        <v>229</v>
      </c>
      <c r="AO1012" s="66" t="s">
        <v>695</v>
      </c>
      <c r="AP1012" s="66" t="s">
        <v>695</v>
      </c>
      <c r="AQ1012" s="66" t="s">
        <v>2125</v>
      </c>
      <c r="AR1012" s="66" t="s">
        <v>2125</v>
      </c>
      <c r="AS1012" s="66" t="s">
        <v>177</v>
      </c>
      <c r="AT1012" s="66" t="s">
        <v>693</v>
      </c>
      <c r="AU1012" s="66" t="s">
        <v>693</v>
      </c>
      <c r="AV1012" s="66" t="s">
        <v>177</v>
      </c>
      <c r="AW1012" s="66" t="s">
        <v>160</v>
      </c>
      <c r="AX1012" s="66">
        <v>6</v>
      </c>
      <c r="AZ1012" s="66" t="s">
        <v>335</v>
      </c>
      <c r="BD1012" s="66" t="s">
        <v>694</v>
      </c>
      <c r="BE1012" s="66" t="s">
        <v>703</v>
      </c>
      <c r="BP1012" s="410"/>
      <c r="BQ1012" s="410"/>
      <c r="BU1012" s="410"/>
      <c r="BV1012" s="410"/>
      <c r="BZ1012" s="410"/>
      <c r="CA1012" s="410"/>
      <c r="CE1012" s="563"/>
      <c r="CF1012" s="563"/>
      <c r="CG1012" s="563"/>
      <c r="CH1012" s="563"/>
      <c r="GK1012" s="66">
        <f>(1.98+2.59+1.28)/3</f>
        <v>1.9500000000000002</v>
      </c>
      <c r="GL1012" s="66">
        <f>(6.37+4.61+1.99)/3</f>
        <v>4.3233333333333333</v>
      </c>
      <c r="GO1012" s="28" t="s">
        <v>705</v>
      </c>
      <c r="GP1012" s="28"/>
      <c r="GQ1012" s="28"/>
      <c r="GR1012" s="28"/>
      <c r="GS1012" s="28"/>
      <c r="GT1012" s="28"/>
      <c r="GU1012" s="28"/>
      <c r="GV1012" s="28"/>
      <c r="GW1012" s="28"/>
      <c r="GX1012" s="28"/>
      <c r="GY1012" s="28"/>
      <c r="JB1012" s="28" t="s">
        <v>729</v>
      </c>
    </row>
    <row r="1013" spans="1:262" s="66" customFormat="1" x14ac:dyDescent="0.25">
      <c r="A1013" s="66">
        <v>48</v>
      </c>
      <c r="B1013" s="67" t="s">
        <v>3985</v>
      </c>
      <c r="C1013" s="66" t="s">
        <v>689</v>
      </c>
      <c r="D1013" s="66" t="s">
        <v>690</v>
      </c>
      <c r="E1013" s="66">
        <v>2016</v>
      </c>
      <c r="F1013" s="66">
        <v>2015</v>
      </c>
      <c r="G1013" s="66" t="s">
        <v>691</v>
      </c>
      <c r="H1013" s="66" t="s">
        <v>692</v>
      </c>
      <c r="I1013" s="32" t="s">
        <v>2815</v>
      </c>
      <c r="J1013" s="66">
        <f t="shared" si="235"/>
        <v>42.083333333333336</v>
      </c>
      <c r="K1013" s="66">
        <f t="shared" si="236"/>
        <v>-86.35</v>
      </c>
      <c r="L1013" s="66">
        <v>213.2</v>
      </c>
      <c r="R1013" s="67">
        <v>2</v>
      </c>
      <c r="S1013" s="67" t="s">
        <v>1847</v>
      </c>
      <c r="T1013" s="67"/>
      <c r="U1013" s="46" t="s">
        <v>1961</v>
      </c>
      <c r="V1013" s="67" t="s">
        <v>1404</v>
      </c>
      <c r="W1013" s="46" t="s">
        <v>1728</v>
      </c>
      <c r="X1013" s="67" t="s">
        <v>1404</v>
      </c>
      <c r="Y1013" s="67" t="s">
        <v>1404</v>
      </c>
      <c r="AA1013" s="335"/>
      <c r="AB1013" s="335"/>
      <c r="AC1013" s="66" t="s">
        <v>202</v>
      </c>
      <c r="AG1013" s="28" t="s">
        <v>1340</v>
      </c>
      <c r="AH1013" s="66" t="s">
        <v>131</v>
      </c>
      <c r="AI1013" s="138" t="s">
        <v>131</v>
      </c>
      <c r="AJ1013" s="66" t="s">
        <v>1600</v>
      </c>
      <c r="AK1013" s="143" t="s">
        <v>229</v>
      </c>
      <c r="AO1013" s="66" t="s">
        <v>696</v>
      </c>
      <c r="AP1013" s="66" t="s">
        <v>696</v>
      </c>
      <c r="AQ1013" s="66" t="s">
        <v>2125</v>
      </c>
      <c r="AR1013" s="66" t="s">
        <v>2125</v>
      </c>
      <c r="AS1013" s="66" t="s">
        <v>177</v>
      </c>
      <c r="AT1013" s="66" t="s">
        <v>693</v>
      </c>
      <c r="AU1013" s="66" t="s">
        <v>693</v>
      </c>
      <c r="AV1013" s="66" t="s">
        <v>177</v>
      </c>
      <c r="AW1013" s="66" t="s">
        <v>160</v>
      </c>
      <c r="AX1013" s="66">
        <v>6</v>
      </c>
      <c r="AZ1013" s="66" t="s">
        <v>335</v>
      </c>
      <c r="BD1013" s="66" t="s">
        <v>694</v>
      </c>
      <c r="BE1013" s="66" t="s">
        <v>703</v>
      </c>
      <c r="BP1013" s="410"/>
      <c r="BQ1013" s="410"/>
      <c r="BU1013" s="410"/>
      <c r="BV1013" s="410"/>
      <c r="BZ1013" s="410"/>
      <c r="CA1013" s="410"/>
      <c r="CE1013" s="563"/>
      <c r="CF1013" s="563"/>
      <c r="CG1013" s="563"/>
      <c r="CH1013" s="563"/>
      <c r="GK1013" s="66">
        <f>(1.58+3.45+2.39)/3</f>
        <v>2.4733333333333332</v>
      </c>
      <c r="GL1013" s="66">
        <f>(2.69+3.1+2.09)/3</f>
        <v>2.6266666666666665</v>
      </c>
      <c r="GO1013" s="28" t="s">
        <v>705</v>
      </c>
      <c r="GP1013" s="28"/>
      <c r="GQ1013" s="28"/>
      <c r="GR1013" s="28"/>
      <c r="GS1013" s="28"/>
      <c r="GT1013" s="28"/>
      <c r="GU1013" s="28"/>
      <c r="GV1013" s="28"/>
      <c r="GW1013" s="28"/>
      <c r="GX1013" s="28"/>
      <c r="GY1013" s="28"/>
      <c r="JB1013" s="28" t="s">
        <v>729</v>
      </c>
    </row>
    <row r="1014" spans="1:262" s="68" customFormat="1" x14ac:dyDescent="0.25">
      <c r="A1014" s="68">
        <v>48</v>
      </c>
      <c r="B1014" s="69" t="s">
        <v>3984</v>
      </c>
      <c r="C1014" s="68" t="s">
        <v>689</v>
      </c>
      <c r="D1014" s="68" t="s">
        <v>690</v>
      </c>
      <c r="E1014" s="68">
        <v>2016</v>
      </c>
      <c r="F1014" s="68">
        <v>2015</v>
      </c>
      <c r="G1014" s="68" t="s">
        <v>691</v>
      </c>
      <c r="H1014" s="68" t="s">
        <v>692</v>
      </c>
      <c r="I1014" s="32" t="s">
        <v>2815</v>
      </c>
      <c r="J1014" s="68">
        <f t="shared" si="235"/>
        <v>42.083333333333336</v>
      </c>
      <c r="K1014" s="68">
        <f t="shared" si="236"/>
        <v>-86.35</v>
      </c>
      <c r="L1014" s="68">
        <v>213.2</v>
      </c>
      <c r="R1014" s="69">
        <v>2</v>
      </c>
      <c r="S1014" s="69" t="s">
        <v>1847</v>
      </c>
      <c r="T1014" s="69"/>
      <c r="U1014" s="47" t="s">
        <v>1961</v>
      </c>
      <c r="V1014" s="69" t="s">
        <v>1404</v>
      </c>
      <c r="W1014" s="47" t="s">
        <v>1728</v>
      </c>
      <c r="X1014" s="69" t="s">
        <v>1404</v>
      </c>
      <c r="Y1014" s="69" t="s">
        <v>1404</v>
      </c>
      <c r="AA1014" s="336"/>
      <c r="AB1014" s="336"/>
      <c r="AC1014" s="68" t="s">
        <v>202</v>
      </c>
      <c r="AG1014" s="33" t="s">
        <v>1340</v>
      </c>
      <c r="AH1014" s="68" t="s">
        <v>131</v>
      </c>
      <c r="AI1014" s="138" t="s">
        <v>131</v>
      </c>
      <c r="AJ1014" s="68" t="s">
        <v>1600</v>
      </c>
      <c r="AK1014" s="143" t="s">
        <v>229</v>
      </c>
      <c r="AO1014" s="68" t="s">
        <v>695</v>
      </c>
      <c r="AP1014" s="68" t="s">
        <v>695</v>
      </c>
      <c r="AQ1014" s="68" t="s">
        <v>2125</v>
      </c>
      <c r="AR1014" s="68" t="s">
        <v>2125</v>
      </c>
      <c r="AS1014" s="68" t="s">
        <v>177</v>
      </c>
      <c r="AT1014" s="68" t="s">
        <v>693</v>
      </c>
      <c r="AU1014" s="68" t="s">
        <v>693</v>
      </c>
      <c r="AV1014" s="68" t="s">
        <v>177</v>
      </c>
      <c r="AW1014" s="68" t="s">
        <v>160</v>
      </c>
      <c r="AX1014" s="68">
        <v>6</v>
      </c>
      <c r="AZ1014" s="68" t="s">
        <v>335</v>
      </c>
      <c r="BD1014" s="68" t="s">
        <v>694</v>
      </c>
      <c r="BE1014" s="68" t="s">
        <v>704</v>
      </c>
      <c r="BP1014" s="411"/>
      <c r="BQ1014" s="411"/>
      <c r="BU1014" s="411"/>
      <c r="BV1014" s="411"/>
      <c r="BZ1014" s="411"/>
      <c r="CA1014" s="411"/>
      <c r="CE1014" s="564"/>
      <c r="CF1014" s="564"/>
      <c r="CG1014" s="564"/>
      <c r="CH1014" s="564"/>
      <c r="GK1014" s="68">
        <f>(0.88+17.1+4.5)/3</f>
        <v>7.4933333333333332</v>
      </c>
      <c r="GL1014" s="68">
        <f>(4.56+26.3+3.02)/3</f>
        <v>11.293333333333335</v>
      </c>
      <c r="GO1014" s="33" t="s">
        <v>705</v>
      </c>
      <c r="GP1014" s="33"/>
      <c r="GQ1014" s="33"/>
      <c r="GR1014" s="33"/>
      <c r="GS1014" s="33"/>
      <c r="GT1014" s="33"/>
      <c r="GU1014" s="33"/>
      <c r="GV1014" s="33"/>
      <c r="GW1014" s="33"/>
      <c r="GX1014" s="33"/>
      <c r="GY1014" s="33"/>
      <c r="JB1014" s="33" t="s">
        <v>729</v>
      </c>
    </row>
    <row r="1015" spans="1:262" s="68" customFormat="1" x14ac:dyDescent="0.25">
      <c r="A1015" s="68">
        <v>48</v>
      </c>
      <c r="B1015" s="69" t="s">
        <v>3985</v>
      </c>
      <c r="C1015" s="68" t="s">
        <v>689</v>
      </c>
      <c r="D1015" s="68" t="s">
        <v>690</v>
      </c>
      <c r="E1015" s="68">
        <v>2016</v>
      </c>
      <c r="F1015" s="68">
        <v>2015</v>
      </c>
      <c r="G1015" s="68" t="s">
        <v>691</v>
      </c>
      <c r="H1015" s="68" t="s">
        <v>692</v>
      </c>
      <c r="I1015" s="32" t="s">
        <v>2815</v>
      </c>
      <c r="J1015" s="68">
        <f t="shared" si="235"/>
        <v>42.083333333333336</v>
      </c>
      <c r="K1015" s="68">
        <f t="shared" si="236"/>
        <v>-86.35</v>
      </c>
      <c r="L1015" s="68">
        <v>213.2</v>
      </c>
      <c r="R1015" s="69">
        <v>2</v>
      </c>
      <c r="S1015" s="69" t="s">
        <v>1847</v>
      </c>
      <c r="T1015" s="69"/>
      <c r="U1015" s="47" t="s">
        <v>1961</v>
      </c>
      <c r="V1015" s="69" t="s">
        <v>1404</v>
      </c>
      <c r="W1015" s="47" t="s">
        <v>1728</v>
      </c>
      <c r="X1015" s="69" t="s">
        <v>1404</v>
      </c>
      <c r="Y1015" s="69" t="s">
        <v>1404</v>
      </c>
      <c r="AA1015" s="336"/>
      <c r="AB1015" s="336"/>
      <c r="AC1015" s="68" t="s">
        <v>202</v>
      </c>
      <c r="AG1015" s="33" t="s">
        <v>1340</v>
      </c>
      <c r="AH1015" s="68" t="s">
        <v>131</v>
      </c>
      <c r="AI1015" s="138" t="s">
        <v>131</v>
      </c>
      <c r="AJ1015" s="68" t="s">
        <v>1600</v>
      </c>
      <c r="AK1015" s="143" t="s">
        <v>229</v>
      </c>
      <c r="AO1015" s="68" t="s">
        <v>696</v>
      </c>
      <c r="AP1015" s="68" t="s">
        <v>696</v>
      </c>
      <c r="AQ1015" s="68" t="s">
        <v>2125</v>
      </c>
      <c r="AR1015" s="68" t="s">
        <v>2125</v>
      </c>
      <c r="AS1015" s="68" t="s">
        <v>177</v>
      </c>
      <c r="AT1015" s="68" t="s">
        <v>693</v>
      </c>
      <c r="AU1015" s="68" t="s">
        <v>693</v>
      </c>
      <c r="AV1015" s="68" t="s">
        <v>177</v>
      </c>
      <c r="AW1015" s="68" t="s">
        <v>160</v>
      </c>
      <c r="AX1015" s="68">
        <v>6</v>
      </c>
      <c r="AZ1015" s="68" t="s">
        <v>335</v>
      </c>
      <c r="BD1015" s="68" t="s">
        <v>694</v>
      </c>
      <c r="BE1015" s="68" t="s">
        <v>704</v>
      </c>
      <c r="BP1015" s="411"/>
      <c r="BQ1015" s="411"/>
      <c r="BU1015" s="411"/>
      <c r="BV1015" s="411"/>
      <c r="BZ1015" s="411"/>
      <c r="CA1015" s="411"/>
      <c r="CE1015" s="564"/>
      <c r="CF1015" s="564"/>
      <c r="CG1015" s="564"/>
      <c r="CH1015" s="564"/>
      <c r="GK1015" s="68">
        <f>(0.76+14.87+2.66)/3</f>
        <v>6.0966666666666667</v>
      </c>
      <c r="GL1015" s="68">
        <f>(0.62+17.69+4)/3</f>
        <v>7.4366666666666674</v>
      </c>
      <c r="GO1015" s="33" t="s">
        <v>705</v>
      </c>
      <c r="GP1015" s="33"/>
      <c r="GQ1015" s="33"/>
      <c r="GR1015" s="33"/>
      <c r="GS1015" s="33"/>
      <c r="GT1015" s="33"/>
      <c r="GU1015" s="33"/>
      <c r="GV1015" s="33"/>
      <c r="GW1015" s="33"/>
      <c r="GX1015" s="33"/>
      <c r="GY1015" s="33"/>
      <c r="JB1015" s="33" t="s">
        <v>729</v>
      </c>
    </row>
    <row r="1016" spans="1:262" s="24" customFormat="1" x14ac:dyDescent="0.25">
      <c r="A1016" s="24">
        <v>49</v>
      </c>
      <c r="B1016" s="42" t="s">
        <v>3986</v>
      </c>
      <c r="C1016" s="24" t="s">
        <v>730</v>
      </c>
      <c r="D1016" s="24" t="s">
        <v>731</v>
      </c>
      <c r="E1016" s="24">
        <v>2000</v>
      </c>
      <c r="F1016" s="24">
        <v>1995</v>
      </c>
      <c r="G1016" s="24" t="s">
        <v>732</v>
      </c>
      <c r="H1016" s="24" t="s">
        <v>741</v>
      </c>
      <c r="I1016" s="32" t="s">
        <v>2815</v>
      </c>
      <c r="J1016" s="24">
        <v>34.69</v>
      </c>
      <c r="K1016" s="24">
        <v>-86.88</v>
      </c>
      <c r="L1016" s="24">
        <v>181</v>
      </c>
      <c r="R1016" s="42">
        <v>1</v>
      </c>
      <c r="S1016" s="42" t="s">
        <v>1858</v>
      </c>
      <c r="T1016" s="42"/>
      <c r="U1016" s="42" t="s">
        <v>1962</v>
      </c>
      <c r="V1016" s="42" t="s">
        <v>1389</v>
      </c>
      <c r="W1016" s="42" t="s">
        <v>1720</v>
      </c>
      <c r="X1016" s="42" t="s">
        <v>1389</v>
      </c>
      <c r="Y1016" s="42" t="s">
        <v>1389</v>
      </c>
      <c r="AA1016" s="321"/>
      <c r="AB1016" s="321"/>
      <c r="AC1016" s="24" t="s">
        <v>450</v>
      </c>
      <c r="AG1016" s="24" t="s">
        <v>1341</v>
      </c>
      <c r="AH1016" s="24" t="s">
        <v>131</v>
      </c>
      <c r="AI1016" s="138" t="s">
        <v>131</v>
      </c>
      <c r="AJ1016" s="24" t="s">
        <v>584</v>
      </c>
      <c r="AK1016" s="141" t="s">
        <v>1646</v>
      </c>
      <c r="AO1016" s="24" t="s">
        <v>733</v>
      </c>
      <c r="AP1016" s="24" t="s">
        <v>733</v>
      </c>
      <c r="AQ1016" s="24" t="s">
        <v>2125</v>
      </c>
      <c r="AR1016" s="24" t="s">
        <v>2125</v>
      </c>
      <c r="AS1016" s="24" t="s">
        <v>177</v>
      </c>
      <c r="AW1016" s="24" t="s">
        <v>160</v>
      </c>
      <c r="AZ1016" s="24" t="s">
        <v>141</v>
      </c>
      <c r="BK1016" s="24">
        <v>1590</v>
      </c>
      <c r="BL1016" s="24">
        <v>1510</v>
      </c>
      <c r="BP1016" s="395"/>
      <c r="BQ1016" s="395"/>
      <c r="BU1016" s="395"/>
      <c r="BV1016" s="395"/>
      <c r="BZ1016" s="395"/>
      <c r="CA1016" s="395"/>
      <c r="CE1016" s="548"/>
      <c r="CF1016" s="548"/>
      <c r="CG1016" s="548"/>
      <c r="CH1016" s="548"/>
      <c r="EC1016" s="24">
        <v>0.56999999999999995</v>
      </c>
      <c r="ED1016" s="24">
        <v>0.92</v>
      </c>
      <c r="EG1016" s="24" t="s">
        <v>858</v>
      </c>
      <c r="JB1016" s="24" t="s">
        <v>737</v>
      </c>
    </row>
    <row r="1017" spans="1:262" s="24" customFormat="1" x14ac:dyDescent="0.25">
      <c r="A1017" s="24">
        <v>49</v>
      </c>
      <c r="B1017" s="42" t="s">
        <v>3987</v>
      </c>
      <c r="C1017" s="24" t="s">
        <v>730</v>
      </c>
      <c r="D1017" s="24" t="s">
        <v>731</v>
      </c>
      <c r="E1017" s="24">
        <v>2000</v>
      </c>
      <c r="F1017" s="24">
        <v>1995</v>
      </c>
      <c r="G1017" s="24" t="s">
        <v>732</v>
      </c>
      <c r="H1017" s="24" t="s">
        <v>741</v>
      </c>
      <c r="I1017" s="32" t="s">
        <v>2815</v>
      </c>
      <c r="J1017" s="24">
        <v>34.69</v>
      </c>
      <c r="K1017" s="24">
        <v>-86.88</v>
      </c>
      <c r="L1017" s="24">
        <v>181</v>
      </c>
      <c r="R1017" s="42">
        <v>1</v>
      </c>
      <c r="S1017" s="42" t="s">
        <v>1858</v>
      </c>
      <c r="T1017" s="42"/>
      <c r="U1017" s="42" t="s">
        <v>1962</v>
      </c>
      <c r="V1017" s="42" t="s">
        <v>1389</v>
      </c>
      <c r="W1017" s="42" t="s">
        <v>1720</v>
      </c>
      <c r="X1017" s="42" t="s">
        <v>1389</v>
      </c>
      <c r="Y1017" s="42" t="s">
        <v>1389</v>
      </c>
      <c r="AA1017" s="321"/>
      <c r="AB1017" s="321"/>
      <c r="AC1017" s="24" t="s">
        <v>450</v>
      </c>
      <c r="AG1017" s="24" t="s">
        <v>1341</v>
      </c>
      <c r="AH1017" s="24" t="s">
        <v>131</v>
      </c>
      <c r="AI1017" s="138" t="s">
        <v>131</v>
      </c>
      <c r="AJ1017" s="24" t="s">
        <v>584</v>
      </c>
      <c r="AK1017" s="141" t="s">
        <v>1646</v>
      </c>
      <c r="AO1017" s="24" t="s">
        <v>734</v>
      </c>
      <c r="AP1017" s="24" t="s">
        <v>734</v>
      </c>
      <c r="AQ1017" s="24" t="s">
        <v>2125</v>
      </c>
      <c r="AR1017" s="24" t="s">
        <v>2125</v>
      </c>
      <c r="AS1017" s="24" t="s">
        <v>177</v>
      </c>
      <c r="AW1017" s="24" t="s">
        <v>160</v>
      </c>
      <c r="AZ1017" s="24" t="s">
        <v>141</v>
      </c>
      <c r="BK1017" s="24">
        <v>1530</v>
      </c>
      <c r="BL1017" s="24">
        <v>1440</v>
      </c>
      <c r="BP1017" s="395"/>
      <c r="BQ1017" s="395"/>
      <c r="BU1017" s="395"/>
      <c r="BV1017" s="395"/>
      <c r="BZ1017" s="395"/>
      <c r="CA1017" s="395"/>
      <c r="CE1017" s="548"/>
      <c r="CF1017" s="548"/>
      <c r="CG1017" s="548"/>
      <c r="CH1017" s="548"/>
      <c r="EC1017" s="24">
        <v>0.69</v>
      </c>
      <c r="ED1017" s="24">
        <v>0.77</v>
      </c>
      <c r="EG1017" s="24" t="s">
        <v>858</v>
      </c>
      <c r="JB1017" s="24" t="s">
        <v>737</v>
      </c>
    </row>
    <row r="1018" spans="1:262" s="24" customFormat="1" x14ac:dyDescent="0.25">
      <c r="A1018" s="24">
        <v>49</v>
      </c>
      <c r="B1018" s="42" t="s">
        <v>3988</v>
      </c>
      <c r="C1018" s="24" t="s">
        <v>730</v>
      </c>
      <c r="D1018" s="24" t="s">
        <v>731</v>
      </c>
      <c r="E1018" s="24">
        <v>2000</v>
      </c>
      <c r="F1018" s="24">
        <v>1995</v>
      </c>
      <c r="G1018" s="24" t="s">
        <v>732</v>
      </c>
      <c r="H1018" s="24" t="s">
        <v>741</v>
      </c>
      <c r="I1018" s="32" t="s">
        <v>2815</v>
      </c>
      <c r="J1018" s="24">
        <v>34.69</v>
      </c>
      <c r="K1018" s="24">
        <v>-86.88</v>
      </c>
      <c r="L1018" s="24">
        <v>181</v>
      </c>
      <c r="R1018" s="42">
        <v>1</v>
      </c>
      <c r="S1018" s="42" t="s">
        <v>1858</v>
      </c>
      <c r="T1018" s="42"/>
      <c r="U1018" s="42" t="s">
        <v>1962</v>
      </c>
      <c r="V1018" s="42" t="s">
        <v>1389</v>
      </c>
      <c r="W1018" s="42" t="s">
        <v>1720</v>
      </c>
      <c r="X1018" s="42" t="s">
        <v>1389</v>
      </c>
      <c r="Y1018" s="42" t="s">
        <v>1389</v>
      </c>
      <c r="AA1018" s="321"/>
      <c r="AB1018" s="321"/>
      <c r="AC1018" s="24" t="s">
        <v>450</v>
      </c>
      <c r="AG1018" s="24" t="s">
        <v>1341</v>
      </c>
      <c r="AH1018" s="24" t="s">
        <v>131</v>
      </c>
      <c r="AI1018" s="138" t="s">
        <v>131</v>
      </c>
      <c r="AJ1018" s="24" t="s">
        <v>584</v>
      </c>
      <c r="AK1018" s="141" t="s">
        <v>1646</v>
      </c>
      <c r="AO1018" s="24" t="s">
        <v>735</v>
      </c>
      <c r="AP1018" s="24" t="s">
        <v>735</v>
      </c>
      <c r="AQ1018" s="24" t="s">
        <v>2125</v>
      </c>
      <c r="AR1018" s="24" t="s">
        <v>2125</v>
      </c>
      <c r="AS1018" s="24" t="s">
        <v>177</v>
      </c>
      <c r="AW1018" s="24" t="s">
        <v>160</v>
      </c>
      <c r="AZ1018" s="24" t="s">
        <v>141</v>
      </c>
      <c r="BK1018" s="24">
        <v>1510</v>
      </c>
      <c r="BL1018" s="24">
        <v>1230</v>
      </c>
      <c r="BP1018" s="395"/>
      <c r="BQ1018" s="395"/>
      <c r="BU1018" s="395"/>
      <c r="BV1018" s="395"/>
      <c r="BZ1018" s="395"/>
      <c r="CA1018" s="395"/>
      <c r="CE1018" s="548"/>
      <c r="CF1018" s="548"/>
      <c r="CG1018" s="548"/>
      <c r="CH1018" s="548"/>
      <c r="JB1018" s="24" t="s">
        <v>737</v>
      </c>
    </row>
    <row r="1019" spans="1:262" s="24" customFormat="1" x14ac:dyDescent="0.25">
      <c r="A1019" s="24">
        <v>49</v>
      </c>
      <c r="B1019" s="42" t="s">
        <v>3989</v>
      </c>
      <c r="C1019" s="24" t="s">
        <v>730</v>
      </c>
      <c r="D1019" s="24" t="s">
        <v>731</v>
      </c>
      <c r="E1019" s="24">
        <v>2000</v>
      </c>
      <c r="F1019" s="24">
        <v>1995</v>
      </c>
      <c r="G1019" s="24" t="s">
        <v>732</v>
      </c>
      <c r="H1019" s="24" t="s">
        <v>741</v>
      </c>
      <c r="I1019" s="32" t="s">
        <v>2815</v>
      </c>
      <c r="J1019" s="24">
        <v>34.69</v>
      </c>
      <c r="K1019" s="24">
        <v>-86.88</v>
      </c>
      <c r="L1019" s="24">
        <v>181</v>
      </c>
      <c r="R1019" s="42">
        <v>1</v>
      </c>
      <c r="S1019" s="42" t="s">
        <v>1858</v>
      </c>
      <c r="T1019" s="42"/>
      <c r="U1019" s="42" t="s">
        <v>1962</v>
      </c>
      <c r="V1019" s="42" t="s">
        <v>1389</v>
      </c>
      <c r="W1019" s="42" t="s">
        <v>1720</v>
      </c>
      <c r="X1019" s="42" t="s">
        <v>1389</v>
      </c>
      <c r="Y1019" s="42" t="s">
        <v>1389</v>
      </c>
      <c r="AA1019" s="321"/>
      <c r="AB1019" s="321"/>
      <c r="AC1019" s="24" t="s">
        <v>450</v>
      </c>
      <c r="AG1019" s="24" t="s">
        <v>1341</v>
      </c>
      <c r="AH1019" s="24" t="s">
        <v>131</v>
      </c>
      <c r="AI1019" s="138" t="s">
        <v>131</v>
      </c>
      <c r="AJ1019" s="24" t="s">
        <v>584</v>
      </c>
      <c r="AK1019" s="141" t="s">
        <v>1646</v>
      </c>
      <c r="AO1019" s="24" t="s">
        <v>736</v>
      </c>
      <c r="AP1019" s="24" t="s">
        <v>736</v>
      </c>
      <c r="AQ1019" s="24" t="s">
        <v>2125</v>
      </c>
      <c r="AR1019" s="24" t="s">
        <v>2125</v>
      </c>
      <c r="AS1019" s="24" t="s">
        <v>177</v>
      </c>
      <c r="AW1019" s="24" t="s">
        <v>160</v>
      </c>
      <c r="AZ1019" s="24" t="s">
        <v>141</v>
      </c>
      <c r="BK1019" s="24">
        <v>1420</v>
      </c>
      <c r="BL1019" s="24">
        <v>1280</v>
      </c>
      <c r="BP1019" s="395"/>
      <c r="BQ1019" s="395"/>
      <c r="BU1019" s="395"/>
      <c r="BV1019" s="395"/>
      <c r="BZ1019" s="395"/>
      <c r="CA1019" s="395"/>
      <c r="CE1019" s="548"/>
      <c r="CF1019" s="548"/>
      <c r="CG1019" s="548"/>
      <c r="CH1019" s="548"/>
      <c r="JB1019" s="24" t="s">
        <v>737</v>
      </c>
    </row>
    <row r="1020" spans="1:262" s="24" customFormat="1" x14ac:dyDescent="0.25">
      <c r="A1020" s="24">
        <v>49</v>
      </c>
      <c r="B1020" s="42" t="s">
        <v>3990</v>
      </c>
      <c r="C1020" s="24" t="s">
        <v>730</v>
      </c>
      <c r="D1020" s="24" t="s">
        <v>731</v>
      </c>
      <c r="E1020" s="24">
        <v>2000</v>
      </c>
      <c r="F1020" s="24">
        <v>1995</v>
      </c>
      <c r="G1020" s="24" t="s">
        <v>732</v>
      </c>
      <c r="H1020" s="24" t="s">
        <v>741</v>
      </c>
      <c r="I1020" s="32" t="s">
        <v>2815</v>
      </c>
      <c r="J1020" s="24">
        <v>34.69</v>
      </c>
      <c r="K1020" s="24">
        <v>-86.88</v>
      </c>
      <c r="L1020" s="24">
        <v>181</v>
      </c>
      <c r="R1020" s="42">
        <v>1</v>
      </c>
      <c r="S1020" s="42" t="s">
        <v>1858</v>
      </c>
      <c r="T1020" s="42"/>
      <c r="U1020" s="42" t="s">
        <v>1962</v>
      </c>
      <c r="V1020" s="42" t="s">
        <v>1389</v>
      </c>
      <c r="W1020" s="42" t="s">
        <v>1720</v>
      </c>
      <c r="X1020" s="42" t="s">
        <v>1389</v>
      </c>
      <c r="Y1020" s="42" t="s">
        <v>1389</v>
      </c>
      <c r="AA1020" s="321"/>
      <c r="AB1020" s="321"/>
      <c r="AC1020" s="24" t="s">
        <v>450</v>
      </c>
      <c r="AG1020" s="24" t="s">
        <v>1341</v>
      </c>
      <c r="AH1020" s="24" t="s">
        <v>131</v>
      </c>
      <c r="AI1020" s="138" t="s">
        <v>131</v>
      </c>
      <c r="AJ1020" s="24" t="s">
        <v>584</v>
      </c>
      <c r="AK1020" s="141" t="s">
        <v>1646</v>
      </c>
      <c r="AO1020" s="24" t="s">
        <v>156</v>
      </c>
      <c r="AP1020" s="24" t="s">
        <v>156</v>
      </c>
      <c r="AQ1020" s="24" t="s">
        <v>2125</v>
      </c>
      <c r="AR1020" s="24" t="s">
        <v>2125</v>
      </c>
      <c r="AS1020" s="24" t="s">
        <v>177</v>
      </c>
      <c r="AW1020" s="24" t="s">
        <v>160</v>
      </c>
      <c r="AZ1020" s="24" t="s">
        <v>141</v>
      </c>
      <c r="BK1020" s="24">
        <v>1500</v>
      </c>
      <c r="BL1020" s="24">
        <v>1320</v>
      </c>
      <c r="BP1020" s="395"/>
      <c r="BQ1020" s="395"/>
      <c r="BU1020" s="395"/>
      <c r="BV1020" s="395"/>
      <c r="BZ1020" s="395"/>
      <c r="CA1020" s="395"/>
      <c r="CE1020" s="548"/>
      <c r="CF1020" s="548"/>
      <c r="CG1020" s="548"/>
      <c r="CH1020" s="548"/>
      <c r="EC1020" s="24">
        <v>1.57</v>
      </c>
      <c r="ED1020" s="24">
        <v>1.47</v>
      </c>
      <c r="EG1020" s="24" t="s">
        <v>858</v>
      </c>
      <c r="JB1020" s="24" t="s">
        <v>737</v>
      </c>
    </row>
    <row r="1021" spans="1:262" s="24" customFormat="1" x14ac:dyDescent="0.25">
      <c r="A1021" s="24">
        <v>49</v>
      </c>
      <c r="B1021" s="42" t="s">
        <v>3991</v>
      </c>
      <c r="C1021" s="24" t="s">
        <v>730</v>
      </c>
      <c r="D1021" s="24" t="s">
        <v>731</v>
      </c>
      <c r="E1021" s="24">
        <v>2000</v>
      </c>
      <c r="F1021" s="24">
        <v>1995</v>
      </c>
      <c r="G1021" s="24" t="s">
        <v>732</v>
      </c>
      <c r="H1021" s="24" t="s">
        <v>741</v>
      </c>
      <c r="I1021" s="32" t="s">
        <v>2815</v>
      </c>
      <c r="J1021" s="24">
        <v>34.69</v>
      </c>
      <c r="K1021" s="24">
        <v>-86.88</v>
      </c>
      <c r="L1021" s="24">
        <v>181</v>
      </c>
      <c r="R1021" s="42">
        <v>1</v>
      </c>
      <c r="S1021" s="42" t="s">
        <v>1858</v>
      </c>
      <c r="T1021" s="42"/>
      <c r="U1021" s="42" t="s">
        <v>1962</v>
      </c>
      <c r="V1021" s="42" t="s">
        <v>1389</v>
      </c>
      <c r="W1021" s="42" t="s">
        <v>1720</v>
      </c>
      <c r="X1021" s="42" t="s">
        <v>1389</v>
      </c>
      <c r="Y1021" s="42" t="s">
        <v>1389</v>
      </c>
      <c r="AA1021" s="321"/>
      <c r="AB1021" s="321"/>
      <c r="AC1021" s="24" t="s">
        <v>450</v>
      </c>
      <c r="AG1021" s="24" t="s">
        <v>1341</v>
      </c>
      <c r="AH1021" s="24" t="s">
        <v>131</v>
      </c>
      <c r="AI1021" s="138" t="s">
        <v>131</v>
      </c>
      <c r="AJ1021" s="24" t="s">
        <v>584</v>
      </c>
      <c r="AK1021" s="141" t="s">
        <v>1646</v>
      </c>
      <c r="AO1021" s="24" t="s">
        <v>231</v>
      </c>
      <c r="AP1021" s="24" t="s">
        <v>156</v>
      </c>
      <c r="AQ1021" s="24" t="s">
        <v>2125</v>
      </c>
      <c r="AR1021" s="24" t="s">
        <v>2126</v>
      </c>
      <c r="AS1021" s="24" t="s">
        <v>502</v>
      </c>
      <c r="AW1021" s="24" t="s">
        <v>160</v>
      </c>
      <c r="AZ1021" s="24" t="s">
        <v>141</v>
      </c>
      <c r="BK1021" s="24">
        <v>1750</v>
      </c>
      <c r="BL1021" s="24">
        <v>1320</v>
      </c>
      <c r="BP1021" s="395"/>
      <c r="BQ1021" s="395"/>
      <c r="BU1021" s="395"/>
      <c r="BV1021" s="395"/>
      <c r="BZ1021" s="395"/>
      <c r="CA1021" s="395"/>
      <c r="CE1021" s="548"/>
      <c r="CF1021" s="548"/>
      <c r="CG1021" s="548"/>
      <c r="CH1021" s="548"/>
      <c r="EC1021" s="24">
        <v>1.01</v>
      </c>
      <c r="ED1021" s="24">
        <v>1.47</v>
      </c>
      <c r="EG1021" s="24" t="s">
        <v>858</v>
      </c>
      <c r="JB1021" s="24" t="s">
        <v>737</v>
      </c>
    </row>
    <row r="1022" spans="1:262" s="32" customFormat="1" x14ac:dyDescent="0.25">
      <c r="A1022" s="32">
        <v>49</v>
      </c>
      <c r="B1022" s="44" t="s">
        <v>3986</v>
      </c>
      <c r="C1022" s="32" t="s">
        <v>730</v>
      </c>
      <c r="D1022" s="32" t="s">
        <v>731</v>
      </c>
      <c r="E1022" s="32">
        <v>2000</v>
      </c>
      <c r="F1022" s="32">
        <v>1996</v>
      </c>
      <c r="G1022" s="32" t="s">
        <v>732</v>
      </c>
      <c r="H1022" s="32" t="s">
        <v>741</v>
      </c>
      <c r="I1022" s="32" t="s">
        <v>2815</v>
      </c>
      <c r="J1022" s="32">
        <v>34.69</v>
      </c>
      <c r="K1022" s="32">
        <v>-86.88</v>
      </c>
      <c r="L1022" s="32">
        <v>181</v>
      </c>
      <c r="R1022" s="44">
        <v>2</v>
      </c>
      <c r="S1022" s="44" t="s">
        <v>1858</v>
      </c>
      <c r="T1022" s="44"/>
      <c r="U1022" s="44" t="s">
        <v>1962</v>
      </c>
      <c r="V1022" s="44" t="s">
        <v>1389</v>
      </c>
      <c r="W1022" s="44" t="s">
        <v>1720</v>
      </c>
      <c r="X1022" s="44" t="s">
        <v>1389</v>
      </c>
      <c r="Y1022" s="44" t="s">
        <v>1389</v>
      </c>
      <c r="AA1022" s="323"/>
      <c r="AB1022" s="323"/>
      <c r="AC1022" s="32" t="s">
        <v>450</v>
      </c>
      <c r="AG1022" s="32" t="s">
        <v>1341</v>
      </c>
      <c r="AH1022" s="32" t="s">
        <v>131</v>
      </c>
      <c r="AI1022" s="138" t="s">
        <v>131</v>
      </c>
      <c r="AJ1022" s="32" t="s">
        <v>584</v>
      </c>
      <c r="AK1022" s="141" t="s">
        <v>1646</v>
      </c>
      <c r="AO1022" s="32" t="s">
        <v>733</v>
      </c>
      <c r="AP1022" s="32" t="s">
        <v>733</v>
      </c>
      <c r="AQ1022" s="32" t="s">
        <v>2125</v>
      </c>
      <c r="AR1022" s="32" t="s">
        <v>2125</v>
      </c>
      <c r="AS1022" s="32" t="s">
        <v>177</v>
      </c>
      <c r="AW1022" s="32" t="s">
        <v>160</v>
      </c>
      <c r="AZ1022" s="32" t="s">
        <v>141</v>
      </c>
      <c r="BK1022" s="32">
        <v>3930</v>
      </c>
      <c r="BL1022" s="32">
        <v>4150</v>
      </c>
      <c r="BP1022" s="397"/>
      <c r="BQ1022" s="397"/>
      <c r="BU1022" s="397"/>
      <c r="BV1022" s="397"/>
      <c r="BZ1022" s="397"/>
      <c r="CA1022" s="397"/>
      <c r="CE1022" s="550"/>
      <c r="CF1022" s="550"/>
      <c r="CG1022" s="550"/>
      <c r="CH1022" s="550"/>
      <c r="EC1022" s="32">
        <v>0.11</v>
      </c>
      <c r="ED1022" s="32">
        <v>0.64</v>
      </c>
      <c r="EG1022" s="32" t="s">
        <v>858</v>
      </c>
      <c r="JB1022" s="32" t="s">
        <v>737</v>
      </c>
    </row>
    <row r="1023" spans="1:262" s="32" customFormat="1" x14ac:dyDescent="0.25">
      <c r="A1023" s="32">
        <v>49</v>
      </c>
      <c r="B1023" s="44" t="s">
        <v>3987</v>
      </c>
      <c r="C1023" s="32" t="s">
        <v>730</v>
      </c>
      <c r="D1023" s="32" t="s">
        <v>731</v>
      </c>
      <c r="E1023" s="32">
        <v>2000</v>
      </c>
      <c r="F1023" s="32">
        <v>1996</v>
      </c>
      <c r="G1023" s="32" t="s">
        <v>732</v>
      </c>
      <c r="H1023" s="32" t="s">
        <v>741</v>
      </c>
      <c r="I1023" s="32" t="s">
        <v>2815</v>
      </c>
      <c r="J1023" s="32">
        <v>34.69</v>
      </c>
      <c r="K1023" s="32">
        <v>-86.88</v>
      </c>
      <c r="L1023" s="32">
        <v>181</v>
      </c>
      <c r="R1023" s="44">
        <v>2</v>
      </c>
      <c r="S1023" s="44" t="s">
        <v>1858</v>
      </c>
      <c r="T1023" s="44"/>
      <c r="U1023" s="44" t="s">
        <v>1962</v>
      </c>
      <c r="V1023" s="44" t="s">
        <v>1389</v>
      </c>
      <c r="W1023" s="44" t="s">
        <v>1720</v>
      </c>
      <c r="X1023" s="44" t="s">
        <v>1389</v>
      </c>
      <c r="Y1023" s="44" t="s">
        <v>1389</v>
      </c>
      <c r="AA1023" s="323"/>
      <c r="AB1023" s="323"/>
      <c r="AC1023" s="32" t="s">
        <v>450</v>
      </c>
      <c r="AG1023" s="32" t="s">
        <v>1341</v>
      </c>
      <c r="AH1023" s="32" t="s">
        <v>131</v>
      </c>
      <c r="AI1023" s="138" t="s">
        <v>131</v>
      </c>
      <c r="AJ1023" s="32" t="s">
        <v>584</v>
      </c>
      <c r="AK1023" s="141" t="s">
        <v>1646</v>
      </c>
      <c r="AO1023" s="32" t="s">
        <v>734</v>
      </c>
      <c r="AP1023" s="32" t="s">
        <v>734</v>
      </c>
      <c r="AQ1023" s="32" t="s">
        <v>2125</v>
      </c>
      <c r="AR1023" s="32" t="s">
        <v>2125</v>
      </c>
      <c r="AS1023" s="32" t="s">
        <v>177</v>
      </c>
      <c r="AW1023" s="32" t="s">
        <v>160</v>
      </c>
      <c r="AZ1023" s="32" t="s">
        <v>141</v>
      </c>
      <c r="BK1023" s="32">
        <v>3900</v>
      </c>
      <c r="BL1023" s="32">
        <v>4000</v>
      </c>
      <c r="BP1023" s="397"/>
      <c r="BQ1023" s="397"/>
      <c r="BU1023" s="397"/>
      <c r="BV1023" s="397"/>
      <c r="BZ1023" s="397"/>
      <c r="CA1023" s="397"/>
      <c r="CE1023" s="550"/>
      <c r="CF1023" s="550"/>
      <c r="CG1023" s="550"/>
      <c r="CH1023" s="550"/>
      <c r="EC1023" s="32">
        <v>0.13</v>
      </c>
      <c r="ED1023" s="32">
        <v>0.19</v>
      </c>
      <c r="EG1023" s="32" t="s">
        <v>858</v>
      </c>
      <c r="JB1023" s="32" t="s">
        <v>737</v>
      </c>
    </row>
    <row r="1024" spans="1:262" s="32" customFormat="1" x14ac:dyDescent="0.25">
      <c r="A1024" s="32">
        <v>49</v>
      </c>
      <c r="B1024" s="44" t="s">
        <v>3988</v>
      </c>
      <c r="C1024" s="32" t="s">
        <v>730</v>
      </c>
      <c r="D1024" s="32" t="s">
        <v>731</v>
      </c>
      <c r="E1024" s="32">
        <v>2000</v>
      </c>
      <c r="F1024" s="32">
        <v>1996</v>
      </c>
      <c r="G1024" s="32" t="s">
        <v>732</v>
      </c>
      <c r="H1024" s="32" t="s">
        <v>741</v>
      </c>
      <c r="I1024" s="32" t="s">
        <v>2815</v>
      </c>
      <c r="J1024" s="32">
        <v>34.69</v>
      </c>
      <c r="K1024" s="32">
        <v>-86.88</v>
      </c>
      <c r="L1024" s="32">
        <v>181</v>
      </c>
      <c r="R1024" s="44">
        <v>2</v>
      </c>
      <c r="S1024" s="44" t="s">
        <v>1858</v>
      </c>
      <c r="T1024" s="44"/>
      <c r="U1024" s="44" t="s">
        <v>1962</v>
      </c>
      <c r="V1024" s="44" t="s">
        <v>1389</v>
      </c>
      <c r="W1024" s="44" t="s">
        <v>1720</v>
      </c>
      <c r="X1024" s="44" t="s">
        <v>1389</v>
      </c>
      <c r="Y1024" s="44" t="s">
        <v>1389</v>
      </c>
      <c r="AA1024" s="323"/>
      <c r="AB1024" s="323"/>
      <c r="AC1024" s="32" t="s">
        <v>450</v>
      </c>
      <c r="AG1024" s="32" t="s">
        <v>1341</v>
      </c>
      <c r="AH1024" s="32" t="s">
        <v>131</v>
      </c>
      <c r="AI1024" s="138" t="s">
        <v>131</v>
      </c>
      <c r="AJ1024" s="32" t="s">
        <v>584</v>
      </c>
      <c r="AK1024" s="141" t="s">
        <v>1646</v>
      </c>
      <c r="AO1024" s="32" t="s">
        <v>735</v>
      </c>
      <c r="AP1024" s="32" t="s">
        <v>735</v>
      </c>
      <c r="AQ1024" s="32" t="s">
        <v>2125</v>
      </c>
      <c r="AR1024" s="32" t="s">
        <v>2125</v>
      </c>
      <c r="AS1024" s="32" t="s">
        <v>177</v>
      </c>
      <c r="AW1024" s="32" t="s">
        <v>160</v>
      </c>
      <c r="AZ1024" s="32" t="s">
        <v>141</v>
      </c>
      <c r="BK1024" s="32">
        <v>3630</v>
      </c>
      <c r="BL1024" s="32">
        <v>4130</v>
      </c>
      <c r="BP1024" s="397"/>
      <c r="BQ1024" s="397"/>
      <c r="BU1024" s="397"/>
      <c r="BV1024" s="397"/>
      <c r="BZ1024" s="397"/>
      <c r="CA1024" s="397"/>
      <c r="CE1024" s="550"/>
      <c r="CF1024" s="550"/>
      <c r="CG1024" s="550"/>
      <c r="CH1024" s="550"/>
      <c r="JB1024" s="32" t="s">
        <v>737</v>
      </c>
    </row>
    <row r="1025" spans="1:262" s="32" customFormat="1" x14ac:dyDescent="0.25">
      <c r="A1025" s="32">
        <v>49</v>
      </c>
      <c r="B1025" s="44" t="s">
        <v>3989</v>
      </c>
      <c r="C1025" s="32" t="s">
        <v>730</v>
      </c>
      <c r="D1025" s="32" t="s">
        <v>731</v>
      </c>
      <c r="E1025" s="32">
        <v>2000</v>
      </c>
      <c r="F1025" s="32">
        <v>1996</v>
      </c>
      <c r="G1025" s="32" t="s">
        <v>732</v>
      </c>
      <c r="H1025" s="32" t="s">
        <v>741</v>
      </c>
      <c r="I1025" s="32" t="s">
        <v>2815</v>
      </c>
      <c r="J1025" s="32">
        <v>34.69</v>
      </c>
      <c r="K1025" s="32">
        <v>-86.88</v>
      </c>
      <c r="L1025" s="32">
        <v>181</v>
      </c>
      <c r="R1025" s="44">
        <v>2</v>
      </c>
      <c r="S1025" s="44" t="s">
        <v>1858</v>
      </c>
      <c r="T1025" s="44"/>
      <c r="U1025" s="44" t="s">
        <v>1962</v>
      </c>
      <c r="V1025" s="44" t="s">
        <v>1389</v>
      </c>
      <c r="W1025" s="44" t="s">
        <v>1720</v>
      </c>
      <c r="X1025" s="44" t="s">
        <v>1389</v>
      </c>
      <c r="Y1025" s="44" t="s">
        <v>1389</v>
      </c>
      <c r="AA1025" s="323"/>
      <c r="AB1025" s="323"/>
      <c r="AC1025" s="32" t="s">
        <v>450</v>
      </c>
      <c r="AG1025" s="32" t="s">
        <v>1341</v>
      </c>
      <c r="AH1025" s="32" t="s">
        <v>131</v>
      </c>
      <c r="AI1025" s="138" t="s">
        <v>131</v>
      </c>
      <c r="AJ1025" s="32" t="s">
        <v>584</v>
      </c>
      <c r="AK1025" s="141" t="s">
        <v>1646</v>
      </c>
      <c r="AO1025" s="32" t="s">
        <v>736</v>
      </c>
      <c r="AP1025" s="32" t="s">
        <v>736</v>
      </c>
      <c r="AQ1025" s="32" t="s">
        <v>2125</v>
      </c>
      <c r="AR1025" s="32" t="s">
        <v>2125</v>
      </c>
      <c r="AS1025" s="32" t="s">
        <v>177</v>
      </c>
      <c r="AW1025" s="32" t="s">
        <v>160</v>
      </c>
      <c r="AZ1025" s="32" t="s">
        <v>141</v>
      </c>
      <c r="BK1025" s="32">
        <v>3820</v>
      </c>
      <c r="BL1025" s="32">
        <v>4090</v>
      </c>
      <c r="BP1025" s="397"/>
      <c r="BQ1025" s="397"/>
      <c r="BU1025" s="397"/>
      <c r="BV1025" s="397"/>
      <c r="BZ1025" s="397"/>
      <c r="CA1025" s="397"/>
      <c r="CE1025" s="550"/>
      <c r="CF1025" s="550"/>
      <c r="CG1025" s="550"/>
      <c r="CH1025" s="550"/>
      <c r="JB1025" s="32" t="s">
        <v>737</v>
      </c>
    </row>
    <row r="1026" spans="1:262" s="32" customFormat="1" x14ac:dyDescent="0.25">
      <c r="A1026" s="32">
        <v>49</v>
      </c>
      <c r="B1026" s="44" t="s">
        <v>3990</v>
      </c>
      <c r="C1026" s="32" t="s">
        <v>730</v>
      </c>
      <c r="D1026" s="32" t="s">
        <v>731</v>
      </c>
      <c r="E1026" s="32">
        <v>2000</v>
      </c>
      <c r="F1026" s="32">
        <v>1996</v>
      </c>
      <c r="G1026" s="32" t="s">
        <v>732</v>
      </c>
      <c r="H1026" s="32" t="s">
        <v>741</v>
      </c>
      <c r="I1026" s="32" t="s">
        <v>2815</v>
      </c>
      <c r="J1026" s="32">
        <v>34.69</v>
      </c>
      <c r="K1026" s="32">
        <v>-86.88</v>
      </c>
      <c r="L1026" s="32">
        <v>181</v>
      </c>
      <c r="R1026" s="44">
        <v>2</v>
      </c>
      <c r="S1026" s="44" t="s">
        <v>1858</v>
      </c>
      <c r="T1026" s="44"/>
      <c r="U1026" s="44" t="s">
        <v>1962</v>
      </c>
      <c r="V1026" s="44" t="s">
        <v>1389</v>
      </c>
      <c r="W1026" s="44" t="s">
        <v>1720</v>
      </c>
      <c r="X1026" s="44" t="s">
        <v>1389</v>
      </c>
      <c r="Y1026" s="44" t="s">
        <v>1389</v>
      </c>
      <c r="AA1026" s="323"/>
      <c r="AB1026" s="323"/>
      <c r="AC1026" s="32" t="s">
        <v>450</v>
      </c>
      <c r="AG1026" s="32" t="s">
        <v>1341</v>
      </c>
      <c r="AH1026" s="32" t="s">
        <v>131</v>
      </c>
      <c r="AI1026" s="138" t="s">
        <v>131</v>
      </c>
      <c r="AJ1026" s="32" t="s">
        <v>584</v>
      </c>
      <c r="AK1026" s="141" t="s">
        <v>1646</v>
      </c>
      <c r="AO1026" s="32" t="s">
        <v>156</v>
      </c>
      <c r="AP1026" s="32" t="s">
        <v>156</v>
      </c>
      <c r="AQ1026" s="32" t="s">
        <v>2125</v>
      </c>
      <c r="AR1026" s="32" t="s">
        <v>2125</v>
      </c>
      <c r="AS1026" s="32" t="s">
        <v>177</v>
      </c>
      <c r="AW1026" s="32" t="s">
        <v>160</v>
      </c>
      <c r="AZ1026" s="32" t="s">
        <v>141</v>
      </c>
      <c r="BK1026" s="32">
        <v>3730</v>
      </c>
      <c r="BL1026" s="32">
        <v>3960</v>
      </c>
      <c r="BP1026" s="397"/>
      <c r="BQ1026" s="397"/>
      <c r="BU1026" s="397"/>
      <c r="BV1026" s="397"/>
      <c r="BZ1026" s="397"/>
      <c r="CA1026" s="397"/>
      <c r="CE1026" s="550"/>
      <c r="CF1026" s="550"/>
      <c r="CG1026" s="550"/>
      <c r="CH1026" s="550"/>
      <c r="EC1026" s="32">
        <v>1.59</v>
      </c>
      <c r="ED1026" s="32">
        <v>1.46</v>
      </c>
      <c r="EG1026" s="32" t="s">
        <v>858</v>
      </c>
      <c r="JB1026" s="32" t="s">
        <v>737</v>
      </c>
    </row>
    <row r="1027" spans="1:262" s="32" customFormat="1" x14ac:dyDescent="0.25">
      <c r="A1027" s="32">
        <v>49</v>
      </c>
      <c r="B1027" s="44" t="s">
        <v>3991</v>
      </c>
      <c r="C1027" s="32" t="s">
        <v>730</v>
      </c>
      <c r="D1027" s="32" t="s">
        <v>731</v>
      </c>
      <c r="E1027" s="32">
        <v>2000</v>
      </c>
      <c r="F1027" s="32">
        <v>1996</v>
      </c>
      <c r="G1027" s="32" t="s">
        <v>732</v>
      </c>
      <c r="H1027" s="32" t="s">
        <v>741</v>
      </c>
      <c r="I1027" s="32" t="s">
        <v>2815</v>
      </c>
      <c r="J1027" s="32">
        <v>34.69</v>
      </c>
      <c r="K1027" s="32">
        <v>-86.88</v>
      </c>
      <c r="L1027" s="32">
        <v>181</v>
      </c>
      <c r="R1027" s="44">
        <v>2</v>
      </c>
      <c r="S1027" s="44" t="s">
        <v>1858</v>
      </c>
      <c r="T1027" s="44"/>
      <c r="U1027" s="44" t="s">
        <v>1962</v>
      </c>
      <c r="V1027" s="44" t="s">
        <v>1389</v>
      </c>
      <c r="W1027" s="44" t="s">
        <v>1720</v>
      </c>
      <c r="X1027" s="44" t="s">
        <v>1389</v>
      </c>
      <c r="Y1027" s="44" t="s">
        <v>1389</v>
      </c>
      <c r="AA1027" s="323"/>
      <c r="AB1027" s="323"/>
      <c r="AC1027" s="32" t="s">
        <v>450</v>
      </c>
      <c r="AG1027" s="32" t="s">
        <v>1341</v>
      </c>
      <c r="AH1027" s="32" t="s">
        <v>131</v>
      </c>
      <c r="AI1027" s="138" t="s">
        <v>131</v>
      </c>
      <c r="AJ1027" s="32" t="s">
        <v>584</v>
      </c>
      <c r="AK1027" s="141" t="s">
        <v>1646</v>
      </c>
      <c r="AO1027" s="32" t="s">
        <v>231</v>
      </c>
      <c r="AP1027" s="32" t="s">
        <v>156</v>
      </c>
      <c r="AQ1027" s="32" t="s">
        <v>2125</v>
      </c>
      <c r="AR1027" s="32" t="s">
        <v>2126</v>
      </c>
      <c r="AS1027" s="32" t="s">
        <v>502</v>
      </c>
      <c r="AW1027" s="32" t="s">
        <v>160</v>
      </c>
      <c r="AZ1027" s="32" t="s">
        <v>141</v>
      </c>
      <c r="BK1027" s="32">
        <v>3740</v>
      </c>
      <c r="BL1027" s="32">
        <v>3960</v>
      </c>
      <c r="BP1027" s="397"/>
      <c r="BQ1027" s="397"/>
      <c r="BU1027" s="397"/>
      <c r="BV1027" s="397"/>
      <c r="BZ1027" s="397"/>
      <c r="CA1027" s="397"/>
      <c r="CE1027" s="550"/>
      <c r="CF1027" s="550"/>
      <c r="CG1027" s="550"/>
      <c r="CH1027" s="550"/>
      <c r="EC1027" s="32">
        <v>1.01</v>
      </c>
      <c r="ED1027" s="32">
        <v>1.46</v>
      </c>
      <c r="EG1027" s="32" t="s">
        <v>858</v>
      </c>
      <c r="JB1027" s="32" t="s">
        <v>737</v>
      </c>
    </row>
    <row r="1028" spans="1:262" s="35" customFormat="1" x14ac:dyDescent="0.25">
      <c r="A1028" s="24">
        <v>49</v>
      </c>
      <c r="B1028" s="42" t="s">
        <v>3986</v>
      </c>
      <c r="C1028" s="24" t="s">
        <v>730</v>
      </c>
      <c r="D1028" s="24" t="s">
        <v>731</v>
      </c>
      <c r="E1028" s="24">
        <v>2000</v>
      </c>
      <c r="F1028" s="24">
        <v>1997</v>
      </c>
      <c r="G1028" s="24" t="s">
        <v>732</v>
      </c>
      <c r="H1028" s="24" t="s">
        <v>741</v>
      </c>
      <c r="I1028" s="32" t="s">
        <v>2815</v>
      </c>
      <c r="J1028" s="24">
        <v>34.69</v>
      </c>
      <c r="K1028" s="24">
        <v>-86.88</v>
      </c>
      <c r="L1028" s="24">
        <v>181</v>
      </c>
      <c r="M1028" s="24"/>
      <c r="N1028" s="24"/>
      <c r="O1028" s="24"/>
      <c r="P1028" s="24"/>
      <c r="Q1028" s="24"/>
      <c r="R1028" s="42">
        <v>3</v>
      </c>
      <c r="S1028" s="42" t="s">
        <v>1858</v>
      </c>
      <c r="T1028" s="42"/>
      <c r="U1028" s="42" t="s">
        <v>1962</v>
      </c>
      <c r="V1028" s="42" t="s">
        <v>1389</v>
      </c>
      <c r="W1028" s="42" t="s">
        <v>1720</v>
      </c>
      <c r="X1028" s="42" t="s">
        <v>1389</v>
      </c>
      <c r="Y1028" s="42" t="s">
        <v>1389</v>
      </c>
      <c r="Z1028" s="24"/>
      <c r="AA1028" s="321"/>
      <c r="AB1028" s="321"/>
      <c r="AC1028" s="24" t="s">
        <v>450</v>
      </c>
      <c r="AD1028" s="24"/>
      <c r="AE1028" s="24"/>
      <c r="AF1028" s="24"/>
      <c r="AG1028" s="24" t="s">
        <v>1341</v>
      </c>
      <c r="AH1028" s="24" t="s">
        <v>131</v>
      </c>
      <c r="AI1028" s="138" t="s">
        <v>131</v>
      </c>
      <c r="AJ1028" s="24" t="s">
        <v>584</v>
      </c>
      <c r="AK1028" s="141" t="s">
        <v>1646</v>
      </c>
      <c r="AL1028" s="24"/>
      <c r="AM1028" s="24"/>
      <c r="AN1028" s="24"/>
      <c r="AO1028" s="24" t="s">
        <v>733</v>
      </c>
      <c r="AP1028" s="24" t="s">
        <v>733</v>
      </c>
      <c r="AQ1028" s="24" t="s">
        <v>2125</v>
      </c>
      <c r="AR1028" s="24" t="s">
        <v>2125</v>
      </c>
      <c r="AS1028" s="24" t="s">
        <v>177</v>
      </c>
      <c r="AT1028" s="24"/>
      <c r="AU1028" s="24"/>
      <c r="AV1028" s="24"/>
      <c r="AW1028" s="24" t="s">
        <v>160</v>
      </c>
      <c r="AX1028" s="24"/>
      <c r="AY1028" s="24"/>
      <c r="AZ1028" s="24" t="s">
        <v>141</v>
      </c>
      <c r="BA1028" s="24"/>
      <c r="BB1028" s="24"/>
      <c r="BC1028" s="24"/>
      <c r="BD1028" s="24"/>
      <c r="BK1028" s="35">
        <v>2660</v>
      </c>
      <c r="BL1028" s="35">
        <v>2790</v>
      </c>
      <c r="BP1028" s="405"/>
      <c r="BQ1028" s="405"/>
      <c r="BU1028" s="405"/>
      <c r="BV1028" s="405"/>
      <c r="BZ1028" s="405"/>
      <c r="CA1028" s="405"/>
      <c r="CE1028" s="558"/>
      <c r="CF1028" s="558"/>
      <c r="CG1028" s="558"/>
      <c r="CH1028" s="558"/>
      <c r="EC1028" s="35">
        <v>0.62</v>
      </c>
      <c r="ED1028" s="35">
        <v>0.95</v>
      </c>
      <c r="EG1028" s="24" t="s">
        <v>858</v>
      </c>
      <c r="GZ1028" s="40"/>
      <c r="HD1028" s="40"/>
      <c r="JB1028" s="24" t="s">
        <v>737</v>
      </c>
    </row>
    <row r="1029" spans="1:262" s="35" customFormat="1" x14ac:dyDescent="0.25">
      <c r="A1029" s="24">
        <v>49</v>
      </c>
      <c r="B1029" s="42" t="s">
        <v>3987</v>
      </c>
      <c r="C1029" s="24" t="s">
        <v>730</v>
      </c>
      <c r="D1029" s="24" t="s">
        <v>731</v>
      </c>
      <c r="E1029" s="24">
        <v>2000</v>
      </c>
      <c r="F1029" s="24">
        <v>1997</v>
      </c>
      <c r="G1029" s="24" t="s">
        <v>732</v>
      </c>
      <c r="H1029" s="24" t="s">
        <v>741</v>
      </c>
      <c r="I1029" s="32" t="s">
        <v>2815</v>
      </c>
      <c r="J1029" s="24">
        <v>34.69</v>
      </c>
      <c r="K1029" s="24">
        <v>-86.88</v>
      </c>
      <c r="L1029" s="24">
        <v>181</v>
      </c>
      <c r="M1029" s="24"/>
      <c r="N1029" s="24"/>
      <c r="O1029" s="24"/>
      <c r="P1029" s="24"/>
      <c r="Q1029" s="24"/>
      <c r="R1029" s="42">
        <v>3</v>
      </c>
      <c r="S1029" s="42" t="s">
        <v>1858</v>
      </c>
      <c r="T1029" s="42"/>
      <c r="U1029" s="42" t="s">
        <v>1962</v>
      </c>
      <c r="V1029" s="42" t="s">
        <v>1389</v>
      </c>
      <c r="W1029" s="42" t="s">
        <v>1720</v>
      </c>
      <c r="X1029" s="42" t="s">
        <v>1389</v>
      </c>
      <c r="Y1029" s="42" t="s">
        <v>1389</v>
      </c>
      <c r="Z1029" s="24"/>
      <c r="AA1029" s="321"/>
      <c r="AB1029" s="321"/>
      <c r="AC1029" s="24" t="s">
        <v>450</v>
      </c>
      <c r="AD1029" s="24"/>
      <c r="AE1029" s="24"/>
      <c r="AF1029" s="24"/>
      <c r="AG1029" s="24" t="s">
        <v>1341</v>
      </c>
      <c r="AH1029" s="24" t="s">
        <v>131</v>
      </c>
      <c r="AI1029" s="138" t="s">
        <v>131</v>
      </c>
      <c r="AJ1029" s="24" t="s">
        <v>584</v>
      </c>
      <c r="AK1029" s="141" t="s">
        <v>1646</v>
      </c>
      <c r="AL1029" s="24"/>
      <c r="AM1029" s="24"/>
      <c r="AN1029" s="24"/>
      <c r="AO1029" s="24" t="s">
        <v>734</v>
      </c>
      <c r="AP1029" s="24" t="s">
        <v>734</v>
      </c>
      <c r="AQ1029" s="24" t="s">
        <v>2125</v>
      </c>
      <c r="AR1029" s="24" t="s">
        <v>2125</v>
      </c>
      <c r="AS1029" s="24" t="s">
        <v>177</v>
      </c>
      <c r="AT1029" s="24"/>
      <c r="AU1029" s="24"/>
      <c r="AV1029" s="24"/>
      <c r="AW1029" s="24" t="s">
        <v>160</v>
      </c>
      <c r="AX1029" s="24"/>
      <c r="AY1029" s="24"/>
      <c r="AZ1029" s="24" t="s">
        <v>141</v>
      </c>
      <c r="BA1029" s="24"/>
      <c r="BB1029" s="24"/>
      <c r="BC1029" s="24"/>
      <c r="BD1029" s="24"/>
      <c r="BK1029" s="35">
        <v>2420</v>
      </c>
      <c r="BL1029" s="35">
        <v>2750</v>
      </c>
      <c r="BP1029" s="405"/>
      <c r="BQ1029" s="405"/>
      <c r="BU1029" s="405"/>
      <c r="BV1029" s="405"/>
      <c r="BZ1029" s="405"/>
      <c r="CA1029" s="405"/>
      <c r="CE1029" s="558"/>
      <c r="CF1029" s="558"/>
      <c r="CG1029" s="558"/>
      <c r="CH1029" s="558"/>
      <c r="EC1029" s="35">
        <v>0.52</v>
      </c>
      <c r="ED1029" s="35">
        <v>0.7</v>
      </c>
      <c r="EG1029" s="24" t="s">
        <v>858</v>
      </c>
      <c r="GZ1029" s="40"/>
      <c r="HD1029" s="40"/>
      <c r="JB1029" s="24" t="s">
        <v>737</v>
      </c>
    </row>
    <row r="1030" spans="1:262" s="35" customFormat="1" x14ac:dyDescent="0.25">
      <c r="A1030" s="24">
        <v>49</v>
      </c>
      <c r="B1030" s="42" t="s">
        <v>3988</v>
      </c>
      <c r="C1030" s="24" t="s">
        <v>730</v>
      </c>
      <c r="D1030" s="24" t="s">
        <v>731</v>
      </c>
      <c r="E1030" s="24">
        <v>2000</v>
      </c>
      <c r="F1030" s="24">
        <v>1997</v>
      </c>
      <c r="G1030" s="24" t="s">
        <v>732</v>
      </c>
      <c r="H1030" s="24" t="s">
        <v>741</v>
      </c>
      <c r="I1030" s="32" t="s">
        <v>2815</v>
      </c>
      <c r="J1030" s="24">
        <v>34.69</v>
      </c>
      <c r="K1030" s="24">
        <v>-86.88</v>
      </c>
      <c r="L1030" s="24">
        <v>181</v>
      </c>
      <c r="M1030" s="24"/>
      <c r="N1030" s="24"/>
      <c r="O1030" s="24"/>
      <c r="P1030" s="24"/>
      <c r="Q1030" s="24"/>
      <c r="R1030" s="42">
        <v>3</v>
      </c>
      <c r="S1030" s="42" t="s">
        <v>1858</v>
      </c>
      <c r="T1030" s="42"/>
      <c r="U1030" s="42" t="s">
        <v>1962</v>
      </c>
      <c r="V1030" s="42" t="s">
        <v>1389</v>
      </c>
      <c r="W1030" s="42" t="s">
        <v>1720</v>
      </c>
      <c r="X1030" s="42" t="s">
        <v>1389</v>
      </c>
      <c r="Y1030" s="42" t="s">
        <v>1389</v>
      </c>
      <c r="Z1030" s="24"/>
      <c r="AA1030" s="321"/>
      <c r="AB1030" s="321"/>
      <c r="AC1030" s="24" t="s">
        <v>450</v>
      </c>
      <c r="AD1030" s="24"/>
      <c r="AE1030" s="24"/>
      <c r="AF1030" s="24"/>
      <c r="AG1030" s="24" t="s">
        <v>1341</v>
      </c>
      <c r="AH1030" s="24" t="s">
        <v>131</v>
      </c>
      <c r="AI1030" s="138" t="s">
        <v>131</v>
      </c>
      <c r="AJ1030" s="24" t="s">
        <v>584</v>
      </c>
      <c r="AK1030" s="141" t="s">
        <v>1646</v>
      </c>
      <c r="AL1030" s="24"/>
      <c r="AM1030" s="24"/>
      <c r="AN1030" s="24"/>
      <c r="AO1030" s="24" t="s">
        <v>735</v>
      </c>
      <c r="AP1030" s="24" t="s">
        <v>735</v>
      </c>
      <c r="AQ1030" s="24" t="s">
        <v>2125</v>
      </c>
      <c r="AR1030" s="24" t="s">
        <v>2125</v>
      </c>
      <c r="AS1030" s="24" t="s">
        <v>177</v>
      </c>
      <c r="AT1030" s="24"/>
      <c r="AU1030" s="24"/>
      <c r="AV1030" s="24"/>
      <c r="AW1030" s="24" t="s">
        <v>160</v>
      </c>
      <c r="AX1030" s="24"/>
      <c r="AY1030" s="24"/>
      <c r="AZ1030" s="24" t="s">
        <v>141</v>
      </c>
      <c r="BA1030" s="24"/>
      <c r="BB1030" s="24"/>
      <c r="BC1030" s="24"/>
      <c r="BD1030" s="24"/>
      <c r="BK1030" s="35">
        <v>2710</v>
      </c>
      <c r="BL1030" s="35">
        <v>3360</v>
      </c>
      <c r="BP1030" s="405"/>
      <c r="BQ1030" s="405"/>
      <c r="BU1030" s="405"/>
      <c r="BV1030" s="405"/>
      <c r="BZ1030" s="405"/>
      <c r="CA1030" s="405"/>
      <c r="CE1030" s="558"/>
      <c r="CF1030" s="558"/>
      <c r="CG1030" s="558"/>
      <c r="CH1030" s="558"/>
      <c r="EG1030" s="24"/>
      <c r="GZ1030" s="40"/>
      <c r="HD1030" s="40"/>
      <c r="JB1030" s="24" t="s">
        <v>737</v>
      </c>
    </row>
    <row r="1031" spans="1:262" s="35" customFormat="1" x14ac:dyDescent="0.25">
      <c r="A1031" s="24">
        <v>49</v>
      </c>
      <c r="B1031" s="42" t="s">
        <v>3989</v>
      </c>
      <c r="C1031" s="24" t="s">
        <v>730</v>
      </c>
      <c r="D1031" s="24" t="s">
        <v>731</v>
      </c>
      <c r="E1031" s="24">
        <v>2000</v>
      </c>
      <c r="F1031" s="24">
        <v>1997</v>
      </c>
      <c r="G1031" s="24" t="s">
        <v>732</v>
      </c>
      <c r="H1031" s="24" t="s">
        <v>741</v>
      </c>
      <c r="I1031" s="32" t="s">
        <v>2815</v>
      </c>
      <c r="J1031" s="24">
        <v>34.69</v>
      </c>
      <c r="K1031" s="24">
        <v>-86.88</v>
      </c>
      <c r="L1031" s="24">
        <v>181</v>
      </c>
      <c r="M1031" s="24"/>
      <c r="N1031" s="24"/>
      <c r="O1031" s="24"/>
      <c r="P1031" s="24"/>
      <c r="Q1031" s="24"/>
      <c r="R1031" s="42">
        <v>3</v>
      </c>
      <c r="S1031" s="42" t="s">
        <v>1858</v>
      </c>
      <c r="T1031" s="42"/>
      <c r="U1031" s="42" t="s">
        <v>1962</v>
      </c>
      <c r="V1031" s="42" t="s">
        <v>1389</v>
      </c>
      <c r="W1031" s="42" t="s">
        <v>1720</v>
      </c>
      <c r="X1031" s="42" t="s">
        <v>1389</v>
      </c>
      <c r="Y1031" s="42" t="s">
        <v>1389</v>
      </c>
      <c r="Z1031" s="24"/>
      <c r="AA1031" s="321"/>
      <c r="AB1031" s="321"/>
      <c r="AC1031" s="24" t="s">
        <v>450</v>
      </c>
      <c r="AD1031" s="24"/>
      <c r="AE1031" s="24"/>
      <c r="AF1031" s="24"/>
      <c r="AG1031" s="24" t="s">
        <v>1341</v>
      </c>
      <c r="AH1031" s="24" t="s">
        <v>131</v>
      </c>
      <c r="AI1031" s="138" t="s">
        <v>131</v>
      </c>
      <c r="AJ1031" s="24" t="s">
        <v>584</v>
      </c>
      <c r="AK1031" s="141" t="s">
        <v>1646</v>
      </c>
      <c r="AL1031" s="24"/>
      <c r="AM1031" s="24"/>
      <c r="AN1031" s="24"/>
      <c r="AO1031" s="24" t="s">
        <v>736</v>
      </c>
      <c r="AP1031" s="24" t="s">
        <v>736</v>
      </c>
      <c r="AQ1031" s="24" t="s">
        <v>2125</v>
      </c>
      <c r="AR1031" s="24" t="s">
        <v>2125</v>
      </c>
      <c r="AS1031" s="24" t="s">
        <v>177</v>
      </c>
      <c r="AT1031" s="24"/>
      <c r="AU1031" s="24"/>
      <c r="AV1031" s="24"/>
      <c r="AW1031" s="24" t="s">
        <v>160</v>
      </c>
      <c r="AX1031" s="24"/>
      <c r="AY1031" s="24"/>
      <c r="AZ1031" s="24" t="s">
        <v>141</v>
      </c>
      <c r="BA1031" s="24"/>
      <c r="BB1031" s="24"/>
      <c r="BC1031" s="24"/>
      <c r="BD1031" s="24"/>
      <c r="BK1031" s="35">
        <v>2680</v>
      </c>
      <c r="BL1031" s="35">
        <v>3010</v>
      </c>
      <c r="BP1031" s="405"/>
      <c r="BQ1031" s="405"/>
      <c r="BU1031" s="405"/>
      <c r="BV1031" s="405"/>
      <c r="BZ1031" s="405"/>
      <c r="CA1031" s="405"/>
      <c r="CE1031" s="558"/>
      <c r="CF1031" s="558"/>
      <c r="CG1031" s="558"/>
      <c r="CH1031" s="558"/>
      <c r="EG1031" s="24"/>
      <c r="GZ1031" s="40"/>
      <c r="HD1031" s="40"/>
      <c r="JB1031" s="24" t="s">
        <v>737</v>
      </c>
    </row>
    <row r="1032" spans="1:262" s="35" customFormat="1" x14ac:dyDescent="0.25">
      <c r="A1032" s="24">
        <v>49</v>
      </c>
      <c r="B1032" s="42" t="s">
        <v>3990</v>
      </c>
      <c r="C1032" s="24" t="s">
        <v>730</v>
      </c>
      <c r="D1032" s="24" t="s">
        <v>731</v>
      </c>
      <c r="E1032" s="24">
        <v>2000</v>
      </c>
      <c r="F1032" s="24">
        <v>1997</v>
      </c>
      <c r="G1032" s="24" t="s">
        <v>732</v>
      </c>
      <c r="H1032" s="24" t="s">
        <v>741</v>
      </c>
      <c r="I1032" s="32" t="s">
        <v>2815</v>
      </c>
      <c r="J1032" s="24">
        <v>34.69</v>
      </c>
      <c r="K1032" s="24">
        <v>-86.88</v>
      </c>
      <c r="L1032" s="24">
        <v>181</v>
      </c>
      <c r="M1032" s="24"/>
      <c r="N1032" s="24"/>
      <c r="O1032" s="24"/>
      <c r="P1032" s="24"/>
      <c r="Q1032" s="24"/>
      <c r="R1032" s="42">
        <v>3</v>
      </c>
      <c r="S1032" s="42" t="s">
        <v>1858</v>
      </c>
      <c r="T1032" s="42"/>
      <c r="U1032" s="42" t="s">
        <v>1962</v>
      </c>
      <c r="V1032" s="42" t="s">
        <v>1389</v>
      </c>
      <c r="W1032" s="42" t="s">
        <v>1720</v>
      </c>
      <c r="X1032" s="42" t="s">
        <v>1389</v>
      </c>
      <c r="Y1032" s="42" t="s">
        <v>1389</v>
      </c>
      <c r="Z1032" s="24"/>
      <c r="AA1032" s="321"/>
      <c r="AB1032" s="321"/>
      <c r="AC1032" s="24" t="s">
        <v>450</v>
      </c>
      <c r="AD1032" s="24"/>
      <c r="AE1032" s="24"/>
      <c r="AF1032" s="24"/>
      <c r="AG1032" s="24" t="s">
        <v>1341</v>
      </c>
      <c r="AH1032" s="24" t="s">
        <v>131</v>
      </c>
      <c r="AI1032" s="138" t="s">
        <v>131</v>
      </c>
      <c r="AJ1032" s="24" t="s">
        <v>584</v>
      </c>
      <c r="AK1032" s="141" t="s">
        <v>1646</v>
      </c>
      <c r="AL1032" s="24"/>
      <c r="AM1032" s="24"/>
      <c r="AN1032" s="24"/>
      <c r="AO1032" s="24" t="s">
        <v>156</v>
      </c>
      <c r="AP1032" s="24" t="s">
        <v>156</v>
      </c>
      <c r="AQ1032" s="24" t="s">
        <v>2125</v>
      </c>
      <c r="AR1032" s="24" t="s">
        <v>2125</v>
      </c>
      <c r="AS1032" s="24" t="s">
        <v>177</v>
      </c>
      <c r="AT1032" s="24"/>
      <c r="AU1032" s="24"/>
      <c r="AV1032" s="24"/>
      <c r="AW1032" s="24" t="s">
        <v>160</v>
      </c>
      <c r="AX1032" s="24"/>
      <c r="AY1032" s="24"/>
      <c r="AZ1032" s="24" t="s">
        <v>141</v>
      </c>
      <c r="BA1032" s="24"/>
      <c r="BB1032" s="24"/>
      <c r="BC1032" s="24"/>
      <c r="BD1032" s="24"/>
      <c r="BK1032" s="35">
        <v>2880</v>
      </c>
      <c r="BL1032" s="35">
        <v>3180</v>
      </c>
      <c r="BP1032" s="405"/>
      <c r="BQ1032" s="405"/>
      <c r="BU1032" s="405"/>
      <c r="BV1032" s="405"/>
      <c r="BZ1032" s="405"/>
      <c r="CA1032" s="405"/>
      <c r="CE1032" s="558"/>
      <c r="CF1032" s="558"/>
      <c r="CG1032" s="558"/>
      <c r="CH1032" s="558"/>
      <c r="EC1032" s="35">
        <v>1.47</v>
      </c>
      <c r="ED1032" s="35">
        <v>1.53</v>
      </c>
      <c r="EG1032" s="24" t="s">
        <v>858</v>
      </c>
      <c r="GZ1032" s="40"/>
      <c r="HD1032" s="40"/>
      <c r="JB1032" s="24" t="s">
        <v>737</v>
      </c>
    </row>
    <row r="1033" spans="1:262" s="35" customFormat="1" x14ac:dyDescent="0.25">
      <c r="A1033" s="24">
        <v>49</v>
      </c>
      <c r="B1033" s="42" t="s">
        <v>3991</v>
      </c>
      <c r="C1033" s="24" t="s">
        <v>730</v>
      </c>
      <c r="D1033" s="24" t="s">
        <v>731</v>
      </c>
      <c r="E1033" s="24">
        <v>2000</v>
      </c>
      <c r="F1033" s="24">
        <v>1997</v>
      </c>
      <c r="G1033" s="24" t="s">
        <v>732</v>
      </c>
      <c r="H1033" s="24" t="s">
        <v>741</v>
      </c>
      <c r="I1033" s="32" t="s">
        <v>2815</v>
      </c>
      <c r="J1033" s="24">
        <v>34.69</v>
      </c>
      <c r="K1033" s="24">
        <v>-86.88</v>
      </c>
      <c r="L1033" s="24">
        <v>181</v>
      </c>
      <c r="M1033" s="24"/>
      <c r="N1033" s="24"/>
      <c r="O1033" s="24"/>
      <c r="P1033" s="24"/>
      <c r="Q1033" s="24"/>
      <c r="R1033" s="42">
        <v>3</v>
      </c>
      <c r="S1033" s="42" t="s">
        <v>1858</v>
      </c>
      <c r="T1033" s="42"/>
      <c r="U1033" s="42" t="s">
        <v>1962</v>
      </c>
      <c r="V1033" s="42" t="s">
        <v>1389</v>
      </c>
      <c r="W1033" s="42" t="s">
        <v>1720</v>
      </c>
      <c r="X1033" s="42" t="s">
        <v>1389</v>
      </c>
      <c r="Y1033" s="42" t="s">
        <v>1389</v>
      </c>
      <c r="Z1033" s="24"/>
      <c r="AA1033" s="321"/>
      <c r="AB1033" s="321"/>
      <c r="AC1033" s="24" t="s">
        <v>450</v>
      </c>
      <c r="AD1033" s="24"/>
      <c r="AE1033" s="24"/>
      <c r="AF1033" s="24"/>
      <c r="AG1033" s="24" t="s">
        <v>1341</v>
      </c>
      <c r="AH1033" s="24" t="s">
        <v>131</v>
      </c>
      <c r="AI1033" s="138" t="s">
        <v>131</v>
      </c>
      <c r="AJ1033" s="24" t="s">
        <v>584</v>
      </c>
      <c r="AK1033" s="141" t="s">
        <v>1646</v>
      </c>
      <c r="AL1033" s="24"/>
      <c r="AM1033" s="24"/>
      <c r="AN1033" s="24"/>
      <c r="AO1033" s="24" t="s">
        <v>231</v>
      </c>
      <c r="AP1033" s="24" t="s">
        <v>156</v>
      </c>
      <c r="AQ1033" s="24" t="s">
        <v>2125</v>
      </c>
      <c r="AR1033" s="24" t="s">
        <v>2126</v>
      </c>
      <c r="AS1033" s="24" t="s">
        <v>502</v>
      </c>
      <c r="AT1033" s="24"/>
      <c r="AU1033" s="24"/>
      <c r="AV1033" s="24"/>
      <c r="AW1033" s="24" t="s">
        <v>160</v>
      </c>
      <c r="AX1033" s="24"/>
      <c r="AY1033" s="24"/>
      <c r="AZ1033" s="24" t="s">
        <v>141</v>
      </c>
      <c r="BA1033" s="24"/>
      <c r="BB1033" s="24"/>
      <c r="BC1033" s="24"/>
      <c r="BD1033" s="24"/>
      <c r="BK1033" s="35">
        <v>3160</v>
      </c>
      <c r="BL1033" s="35">
        <v>3180</v>
      </c>
      <c r="BP1033" s="405"/>
      <c r="BQ1033" s="405"/>
      <c r="BU1033" s="405"/>
      <c r="BV1033" s="405"/>
      <c r="BZ1033" s="405"/>
      <c r="CA1033" s="405"/>
      <c r="CE1033" s="558"/>
      <c r="CF1033" s="558"/>
      <c r="CG1033" s="558"/>
      <c r="CH1033" s="558"/>
      <c r="EC1033" s="35">
        <v>0.96</v>
      </c>
      <c r="ED1033" s="35">
        <v>1.53</v>
      </c>
      <c r="EG1033" s="24" t="s">
        <v>858</v>
      </c>
      <c r="GZ1033" s="40"/>
      <c r="HD1033" s="40"/>
      <c r="JB1033" s="24" t="s">
        <v>737</v>
      </c>
    </row>
    <row r="1034" spans="1:262" s="32" customFormat="1" x14ac:dyDescent="0.25">
      <c r="A1034" s="32">
        <v>49</v>
      </c>
      <c r="B1034" s="44" t="s">
        <v>3986</v>
      </c>
      <c r="C1034" s="32" t="s">
        <v>730</v>
      </c>
      <c r="D1034" s="32" t="s">
        <v>731</v>
      </c>
      <c r="E1034" s="32">
        <v>2000</v>
      </c>
      <c r="F1034" s="32">
        <v>1998</v>
      </c>
      <c r="G1034" s="32" t="s">
        <v>732</v>
      </c>
      <c r="H1034" s="32" t="s">
        <v>741</v>
      </c>
      <c r="I1034" s="32" t="s">
        <v>2815</v>
      </c>
      <c r="J1034" s="32">
        <v>34.69</v>
      </c>
      <c r="K1034" s="32">
        <v>-86.88</v>
      </c>
      <c r="L1034" s="32">
        <v>181</v>
      </c>
      <c r="R1034" s="44">
        <v>4</v>
      </c>
      <c r="S1034" s="44" t="s">
        <v>1858</v>
      </c>
      <c r="T1034" s="44"/>
      <c r="U1034" s="44" t="s">
        <v>1962</v>
      </c>
      <c r="V1034" s="44" t="s">
        <v>1389</v>
      </c>
      <c r="W1034" s="44" t="s">
        <v>1720</v>
      </c>
      <c r="X1034" s="44" t="s">
        <v>1389</v>
      </c>
      <c r="Y1034" s="44" t="s">
        <v>1389</v>
      </c>
      <c r="AA1034" s="323"/>
      <c r="AB1034" s="323"/>
      <c r="AC1034" s="32" t="s">
        <v>450</v>
      </c>
      <c r="AG1034" s="32" t="s">
        <v>1341</v>
      </c>
      <c r="AH1034" s="32" t="s">
        <v>131</v>
      </c>
      <c r="AI1034" s="138" t="s">
        <v>131</v>
      </c>
      <c r="AJ1034" s="32" t="s">
        <v>584</v>
      </c>
      <c r="AK1034" s="141" t="s">
        <v>1646</v>
      </c>
      <c r="AO1034" s="32" t="s">
        <v>733</v>
      </c>
      <c r="AP1034" s="32" t="s">
        <v>733</v>
      </c>
      <c r="AQ1034" s="32" t="s">
        <v>2125</v>
      </c>
      <c r="AR1034" s="32" t="s">
        <v>2125</v>
      </c>
      <c r="AS1034" s="32" t="s">
        <v>177</v>
      </c>
      <c r="AW1034" s="32" t="s">
        <v>160</v>
      </c>
      <c r="AZ1034" s="32" t="s">
        <v>141</v>
      </c>
      <c r="BK1034" s="32">
        <v>2510</v>
      </c>
      <c r="BL1034" s="32">
        <v>2870</v>
      </c>
      <c r="BP1034" s="397"/>
      <c r="BQ1034" s="397"/>
      <c r="BU1034" s="397"/>
      <c r="BV1034" s="397"/>
      <c r="BZ1034" s="397"/>
      <c r="CA1034" s="397"/>
      <c r="CE1034" s="550"/>
      <c r="CF1034" s="550"/>
      <c r="CG1034" s="550"/>
      <c r="CH1034" s="550"/>
      <c r="EC1034" s="32">
        <v>0.73</v>
      </c>
      <c r="ED1034" s="32">
        <v>0.48</v>
      </c>
      <c r="EG1034" s="32" t="s">
        <v>858</v>
      </c>
      <c r="JB1034" s="32" t="s">
        <v>737</v>
      </c>
    </row>
    <row r="1035" spans="1:262" s="32" customFormat="1" x14ac:dyDescent="0.25">
      <c r="A1035" s="32">
        <v>49</v>
      </c>
      <c r="B1035" s="44" t="s">
        <v>3987</v>
      </c>
      <c r="C1035" s="32" t="s">
        <v>730</v>
      </c>
      <c r="D1035" s="32" t="s">
        <v>731</v>
      </c>
      <c r="E1035" s="32">
        <v>2000</v>
      </c>
      <c r="F1035" s="32">
        <v>1998</v>
      </c>
      <c r="G1035" s="32" t="s">
        <v>732</v>
      </c>
      <c r="H1035" s="32" t="s">
        <v>741</v>
      </c>
      <c r="I1035" s="32" t="s">
        <v>2815</v>
      </c>
      <c r="J1035" s="32">
        <v>34.69</v>
      </c>
      <c r="K1035" s="32">
        <v>-86.88</v>
      </c>
      <c r="L1035" s="32">
        <v>181</v>
      </c>
      <c r="R1035" s="44">
        <v>4</v>
      </c>
      <c r="S1035" s="44" t="s">
        <v>1858</v>
      </c>
      <c r="T1035" s="44"/>
      <c r="U1035" s="44" t="s">
        <v>1962</v>
      </c>
      <c r="V1035" s="44" t="s">
        <v>1389</v>
      </c>
      <c r="W1035" s="44" t="s">
        <v>1720</v>
      </c>
      <c r="X1035" s="44" t="s">
        <v>1389</v>
      </c>
      <c r="Y1035" s="44" t="s">
        <v>1389</v>
      </c>
      <c r="AA1035" s="323"/>
      <c r="AB1035" s="323"/>
      <c r="AC1035" s="32" t="s">
        <v>450</v>
      </c>
      <c r="AG1035" s="32" t="s">
        <v>1341</v>
      </c>
      <c r="AH1035" s="32" t="s">
        <v>131</v>
      </c>
      <c r="AI1035" s="138" t="s">
        <v>131</v>
      </c>
      <c r="AJ1035" s="32" t="s">
        <v>584</v>
      </c>
      <c r="AK1035" s="141" t="s">
        <v>1646</v>
      </c>
      <c r="AO1035" s="32" t="s">
        <v>734</v>
      </c>
      <c r="AP1035" s="32" t="s">
        <v>734</v>
      </c>
      <c r="AQ1035" s="32" t="s">
        <v>2125</v>
      </c>
      <c r="AR1035" s="32" t="s">
        <v>2125</v>
      </c>
      <c r="AS1035" s="32" t="s">
        <v>177</v>
      </c>
      <c r="AW1035" s="32" t="s">
        <v>160</v>
      </c>
      <c r="AZ1035" s="32" t="s">
        <v>141</v>
      </c>
      <c r="BK1035" s="32">
        <v>2240</v>
      </c>
      <c r="BL1035" s="32">
        <v>2640</v>
      </c>
      <c r="BP1035" s="397"/>
      <c r="BQ1035" s="397"/>
      <c r="BU1035" s="397"/>
      <c r="BV1035" s="397"/>
      <c r="BZ1035" s="397"/>
      <c r="CA1035" s="397"/>
      <c r="CE1035" s="550"/>
      <c r="CF1035" s="550"/>
      <c r="CG1035" s="550"/>
      <c r="CH1035" s="550"/>
      <c r="EC1035" s="32">
        <v>0.56999999999999995</v>
      </c>
      <c r="ED1035" s="32">
        <v>0.56999999999999995</v>
      </c>
      <c r="EG1035" s="32" t="s">
        <v>858</v>
      </c>
      <c r="JB1035" s="32" t="s">
        <v>737</v>
      </c>
    </row>
    <row r="1036" spans="1:262" s="32" customFormat="1" x14ac:dyDescent="0.25">
      <c r="A1036" s="32">
        <v>49</v>
      </c>
      <c r="B1036" s="44" t="s">
        <v>3988</v>
      </c>
      <c r="C1036" s="32" t="s">
        <v>730</v>
      </c>
      <c r="D1036" s="32" t="s">
        <v>731</v>
      </c>
      <c r="E1036" s="32">
        <v>2000</v>
      </c>
      <c r="F1036" s="32">
        <v>1998</v>
      </c>
      <c r="G1036" s="32" t="s">
        <v>732</v>
      </c>
      <c r="H1036" s="32" t="s">
        <v>741</v>
      </c>
      <c r="I1036" s="32" t="s">
        <v>2815</v>
      </c>
      <c r="J1036" s="32">
        <v>34.69</v>
      </c>
      <c r="K1036" s="32">
        <v>-86.88</v>
      </c>
      <c r="L1036" s="32">
        <v>181</v>
      </c>
      <c r="R1036" s="44">
        <v>4</v>
      </c>
      <c r="S1036" s="44" t="s">
        <v>1858</v>
      </c>
      <c r="T1036" s="44"/>
      <c r="U1036" s="44" t="s">
        <v>1962</v>
      </c>
      <c r="V1036" s="44" t="s">
        <v>1389</v>
      </c>
      <c r="W1036" s="44" t="s">
        <v>1720</v>
      </c>
      <c r="X1036" s="44" t="s">
        <v>1389</v>
      </c>
      <c r="Y1036" s="44" t="s">
        <v>1389</v>
      </c>
      <c r="AA1036" s="323"/>
      <c r="AB1036" s="323"/>
      <c r="AC1036" s="32" t="s">
        <v>450</v>
      </c>
      <c r="AG1036" s="32" t="s">
        <v>1341</v>
      </c>
      <c r="AH1036" s="32" t="s">
        <v>131</v>
      </c>
      <c r="AI1036" s="138" t="s">
        <v>131</v>
      </c>
      <c r="AJ1036" s="32" t="s">
        <v>584</v>
      </c>
      <c r="AK1036" s="141" t="s">
        <v>1646</v>
      </c>
      <c r="AO1036" s="32" t="s">
        <v>735</v>
      </c>
      <c r="AP1036" s="32" t="s">
        <v>735</v>
      </c>
      <c r="AQ1036" s="32" t="s">
        <v>2125</v>
      </c>
      <c r="AR1036" s="32" t="s">
        <v>2125</v>
      </c>
      <c r="AS1036" s="32" t="s">
        <v>177</v>
      </c>
      <c r="AW1036" s="32" t="s">
        <v>160</v>
      </c>
      <c r="AZ1036" s="32" t="s">
        <v>141</v>
      </c>
      <c r="BK1036" s="32">
        <v>2410</v>
      </c>
      <c r="BL1036" s="32">
        <v>2830</v>
      </c>
      <c r="BP1036" s="397"/>
      <c r="BQ1036" s="397"/>
      <c r="BU1036" s="397"/>
      <c r="BV1036" s="397"/>
      <c r="BZ1036" s="397"/>
      <c r="CA1036" s="397"/>
      <c r="CE1036" s="550"/>
      <c r="CF1036" s="550"/>
      <c r="CG1036" s="550"/>
      <c r="CH1036" s="550"/>
      <c r="JB1036" s="32" t="s">
        <v>737</v>
      </c>
    </row>
    <row r="1037" spans="1:262" s="32" customFormat="1" x14ac:dyDescent="0.25">
      <c r="A1037" s="32">
        <v>49</v>
      </c>
      <c r="B1037" s="44" t="s">
        <v>3989</v>
      </c>
      <c r="C1037" s="32" t="s">
        <v>730</v>
      </c>
      <c r="D1037" s="32" t="s">
        <v>731</v>
      </c>
      <c r="E1037" s="32">
        <v>2000</v>
      </c>
      <c r="F1037" s="32">
        <v>1998</v>
      </c>
      <c r="G1037" s="32" t="s">
        <v>732</v>
      </c>
      <c r="H1037" s="32" t="s">
        <v>741</v>
      </c>
      <c r="I1037" s="32" t="s">
        <v>2815</v>
      </c>
      <c r="J1037" s="32">
        <v>34.69</v>
      </c>
      <c r="K1037" s="32">
        <v>-86.88</v>
      </c>
      <c r="L1037" s="32">
        <v>181</v>
      </c>
      <c r="R1037" s="44">
        <v>4</v>
      </c>
      <c r="S1037" s="44" t="s">
        <v>1858</v>
      </c>
      <c r="T1037" s="44"/>
      <c r="U1037" s="44" t="s">
        <v>1962</v>
      </c>
      <c r="V1037" s="44" t="s">
        <v>1389</v>
      </c>
      <c r="W1037" s="44" t="s">
        <v>1720</v>
      </c>
      <c r="X1037" s="44" t="s">
        <v>1389</v>
      </c>
      <c r="Y1037" s="44" t="s">
        <v>1389</v>
      </c>
      <c r="AA1037" s="323"/>
      <c r="AB1037" s="323"/>
      <c r="AC1037" s="32" t="s">
        <v>450</v>
      </c>
      <c r="AG1037" s="32" t="s">
        <v>1341</v>
      </c>
      <c r="AH1037" s="32" t="s">
        <v>131</v>
      </c>
      <c r="AI1037" s="138" t="s">
        <v>131</v>
      </c>
      <c r="AJ1037" s="32" t="s">
        <v>584</v>
      </c>
      <c r="AK1037" s="141" t="s">
        <v>1646</v>
      </c>
      <c r="AO1037" s="32" t="s">
        <v>736</v>
      </c>
      <c r="AP1037" s="32" t="s">
        <v>736</v>
      </c>
      <c r="AQ1037" s="32" t="s">
        <v>2125</v>
      </c>
      <c r="AR1037" s="32" t="s">
        <v>2125</v>
      </c>
      <c r="AS1037" s="32" t="s">
        <v>177</v>
      </c>
      <c r="AW1037" s="32" t="s">
        <v>160</v>
      </c>
      <c r="AZ1037" s="32" t="s">
        <v>141</v>
      </c>
      <c r="BK1037" s="32">
        <v>2370</v>
      </c>
      <c r="BL1037" s="32">
        <v>2780</v>
      </c>
      <c r="BP1037" s="397"/>
      <c r="BQ1037" s="397"/>
      <c r="BU1037" s="397"/>
      <c r="BV1037" s="397"/>
      <c r="BZ1037" s="397"/>
      <c r="CA1037" s="397"/>
      <c r="CE1037" s="550"/>
      <c r="CF1037" s="550"/>
      <c r="CG1037" s="550"/>
      <c r="CH1037" s="550"/>
      <c r="JB1037" s="32" t="s">
        <v>737</v>
      </c>
    </row>
    <row r="1038" spans="1:262" s="32" customFormat="1" x14ac:dyDescent="0.25">
      <c r="A1038" s="32">
        <v>49</v>
      </c>
      <c r="B1038" s="44" t="s">
        <v>3990</v>
      </c>
      <c r="C1038" s="32" t="s">
        <v>730</v>
      </c>
      <c r="D1038" s="32" t="s">
        <v>731</v>
      </c>
      <c r="E1038" s="32">
        <v>2000</v>
      </c>
      <c r="F1038" s="32">
        <v>1998</v>
      </c>
      <c r="G1038" s="32" t="s">
        <v>732</v>
      </c>
      <c r="H1038" s="32" t="s">
        <v>741</v>
      </c>
      <c r="I1038" s="32" t="s">
        <v>2815</v>
      </c>
      <c r="J1038" s="32">
        <v>34.69</v>
      </c>
      <c r="K1038" s="32">
        <v>-86.88</v>
      </c>
      <c r="L1038" s="32">
        <v>181</v>
      </c>
      <c r="R1038" s="44">
        <v>4</v>
      </c>
      <c r="S1038" s="44" t="s">
        <v>1858</v>
      </c>
      <c r="T1038" s="44"/>
      <c r="U1038" s="44" t="s">
        <v>1962</v>
      </c>
      <c r="V1038" s="44" t="s">
        <v>1389</v>
      </c>
      <c r="W1038" s="44" t="s">
        <v>1720</v>
      </c>
      <c r="X1038" s="44" t="s">
        <v>1389</v>
      </c>
      <c r="Y1038" s="44" t="s">
        <v>1389</v>
      </c>
      <c r="AA1038" s="323"/>
      <c r="AB1038" s="323"/>
      <c r="AC1038" s="32" t="s">
        <v>450</v>
      </c>
      <c r="AG1038" s="32" t="s">
        <v>1341</v>
      </c>
      <c r="AH1038" s="32" t="s">
        <v>131</v>
      </c>
      <c r="AI1038" s="138" t="s">
        <v>131</v>
      </c>
      <c r="AJ1038" s="32" t="s">
        <v>584</v>
      </c>
      <c r="AK1038" s="141" t="s">
        <v>1646</v>
      </c>
      <c r="AO1038" s="32" t="s">
        <v>156</v>
      </c>
      <c r="AP1038" s="32" t="s">
        <v>156</v>
      </c>
      <c r="AQ1038" s="32" t="s">
        <v>2125</v>
      </c>
      <c r="AR1038" s="32" t="s">
        <v>2125</v>
      </c>
      <c r="AS1038" s="32" t="s">
        <v>177</v>
      </c>
      <c r="AW1038" s="32" t="s">
        <v>160</v>
      </c>
      <c r="AZ1038" s="32" t="s">
        <v>141</v>
      </c>
      <c r="BK1038" s="32">
        <v>2620</v>
      </c>
      <c r="BL1038" s="32">
        <v>2830</v>
      </c>
      <c r="BP1038" s="397"/>
      <c r="BQ1038" s="397"/>
      <c r="BU1038" s="397"/>
      <c r="BV1038" s="397"/>
      <c r="BZ1038" s="397"/>
      <c r="CA1038" s="397"/>
      <c r="CE1038" s="550"/>
      <c r="CF1038" s="550"/>
      <c r="CG1038" s="550"/>
      <c r="CH1038" s="550"/>
      <c r="EC1038" s="32">
        <v>1.49</v>
      </c>
      <c r="ED1038" s="32">
        <v>1.55</v>
      </c>
      <c r="EG1038" s="32" t="s">
        <v>858</v>
      </c>
      <c r="JB1038" s="32" t="s">
        <v>737</v>
      </c>
    </row>
    <row r="1039" spans="1:262" s="32" customFormat="1" x14ac:dyDescent="0.25">
      <c r="A1039" s="32">
        <v>49</v>
      </c>
      <c r="B1039" s="44" t="s">
        <v>3991</v>
      </c>
      <c r="C1039" s="32" t="s">
        <v>730</v>
      </c>
      <c r="D1039" s="32" t="s">
        <v>731</v>
      </c>
      <c r="E1039" s="32">
        <v>2000</v>
      </c>
      <c r="F1039" s="32">
        <v>1998</v>
      </c>
      <c r="G1039" s="32" t="s">
        <v>732</v>
      </c>
      <c r="H1039" s="32" t="s">
        <v>741</v>
      </c>
      <c r="I1039" s="32" t="s">
        <v>2815</v>
      </c>
      <c r="J1039" s="32">
        <v>34.69</v>
      </c>
      <c r="K1039" s="32">
        <v>-86.88</v>
      </c>
      <c r="L1039" s="32">
        <v>181</v>
      </c>
      <c r="R1039" s="44">
        <v>4</v>
      </c>
      <c r="S1039" s="44" t="s">
        <v>1858</v>
      </c>
      <c r="T1039" s="44"/>
      <c r="U1039" s="44" t="s">
        <v>1962</v>
      </c>
      <c r="V1039" s="44" t="s">
        <v>1389</v>
      </c>
      <c r="W1039" s="44" t="s">
        <v>1720</v>
      </c>
      <c r="X1039" s="44" t="s">
        <v>1389</v>
      </c>
      <c r="Y1039" s="44" t="s">
        <v>1389</v>
      </c>
      <c r="AA1039" s="323"/>
      <c r="AB1039" s="323"/>
      <c r="AC1039" s="32" t="s">
        <v>450</v>
      </c>
      <c r="AG1039" s="32" t="s">
        <v>1341</v>
      </c>
      <c r="AH1039" s="32" t="s">
        <v>131</v>
      </c>
      <c r="AI1039" s="138" t="s">
        <v>131</v>
      </c>
      <c r="AJ1039" s="32" t="s">
        <v>584</v>
      </c>
      <c r="AK1039" s="141" t="s">
        <v>1646</v>
      </c>
      <c r="AO1039" s="32" t="s">
        <v>231</v>
      </c>
      <c r="AP1039" s="32" t="s">
        <v>156</v>
      </c>
      <c r="AQ1039" s="32" t="s">
        <v>2125</v>
      </c>
      <c r="AR1039" s="32" t="s">
        <v>2126</v>
      </c>
      <c r="AS1039" s="32" t="s">
        <v>502</v>
      </c>
      <c r="AW1039" s="32" t="s">
        <v>160</v>
      </c>
      <c r="AZ1039" s="32" t="s">
        <v>141</v>
      </c>
      <c r="BK1039" s="32">
        <v>2480</v>
      </c>
      <c r="BL1039" s="32">
        <v>2830</v>
      </c>
      <c r="BP1039" s="397"/>
      <c r="BQ1039" s="397"/>
      <c r="BU1039" s="397"/>
      <c r="BV1039" s="397"/>
      <c r="BZ1039" s="397"/>
      <c r="CA1039" s="397"/>
      <c r="CE1039" s="550"/>
      <c r="CF1039" s="550"/>
      <c r="CG1039" s="550"/>
      <c r="CH1039" s="550"/>
      <c r="EC1039" s="32">
        <v>1.01</v>
      </c>
      <c r="ED1039" s="32">
        <v>1.55</v>
      </c>
      <c r="EG1039" s="32" t="s">
        <v>858</v>
      </c>
      <c r="JB1039" s="32" t="s">
        <v>737</v>
      </c>
    </row>
    <row r="1040" spans="1:262" s="5" customFormat="1" x14ac:dyDescent="0.25">
      <c r="A1040" s="5">
        <v>50</v>
      </c>
      <c r="B1040" s="52" t="s">
        <v>3992</v>
      </c>
      <c r="C1040" s="5" t="s">
        <v>738</v>
      </c>
      <c r="D1040" s="5" t="s">
        <v>739</v>
      </c>
      <c r="E1040" s="5">
        <v>2000</v>
      </c>
      <c r="F1040" s="5">
        <v>1995</v>
      </c>
      <c r="G1040" s="5" t="s">
        <v>740</v>
      </c>
      <c r="I1040" s="32" t="s">
        <v>2815</v>
      </c>
      <c r="J1040" s="5">
        <v>41.84</v>
      </c>
      <c r="K1040" s="5">
        <v>-85.68</v>
      </c>
      <c r="L1040" s="5">
        <v>244</v>
      </c>
      <c r="R1040" s="52">
        <v>1</v>
      </c>
      <c r="S1040" s="52" t="s">
        <v>1728</v>
      </c>
      <c r="T1040" s="52"/>
      <c r="U1040" s="52" t="s">
        <v>1962</v>
      </c>
      <c r="V1040" s="52" t="s">
        <v>1400</v>
      </c>
      <c r="W1040" s="52" t="s">
        <v>1727</v>
      </c>
      <c r="X1040" s="52" t="s">
        <v>1400</v>
      </c>
      <c r="Y1040" s="52" t="s">
        <v>1417</v>
      </c>
      <c r="AA1040" s="332"/>
      <c r="AB1040" s="332"/>
      <c r="AC1040" s="5" t="s">
        <v>240</v>
      </c>
      <c r="AG1040" s="5" t="s">
        <v>1342</v>
      </c>
      <c r="AH1040" s="5" t="s">
        <v>131</v>
      </c>
      <c r="AI1040" s="138" t="s">
        <v>131</v>
      </c>
      <c r="AJ1040" s="5" t="s">
        <v>132</v>
      </c>
      <c r="AK1040" s="141" t="s">
        <v>132</v>
      </c>
      <c r="AT1040" s="5" t="s">
        <v>742</v>
      </c>
      <c r="AU1040" s="5" t="s">
        <v>742</v>
      </c>
      <c r="AV1040" s="5" t="s">
        <v>177</v>
      </c>
      <c r="AW1040" s="5" t="s">
        <v>160</v>
      </c>
      <c r="BD1040" s="54"/>
      <c r="BE1040" s="5" t="s">
        <v>744</v>
      </c>
      <c r="BK1040" s="5">
        <v>1308</v>
      </c>
      <c r="BL1040" s="5">
        <v>1188</v>
      </c>
      <c r="BP1040" s="403"/>
      <c r="BQ1040" s="403"/>
      <c r="BU1040" s="403"/>
      <c r="BV1040" s="403"/>
      <c r="BZ1040" s="403"/>
      <c r="CA1040" s="403"/>
      <c r="CE1040" s="556"/>
      <c r="CF1040" s="556"/>
      <c r="CG1040" s="556"/>
      <c r="CH1040" s="556"/>
      <c r="CJ1040" s="5">
        <v>3.66</v>
      </c>
      <c r="CK1040" s="5">
        <v>1.62</v>
      </c>
      <c r="CN1040" s="5" t="s">
        <v>746</v>
      </c>
      <c r="FB1040" s="5">
        <v>92.38</v>
      </c>
      <c r="FC1040" s="5">
        <v>66.83</v>
      </c>
      <c r="FF1040" s="5" t="s">
        <v>750</v>
      </c>
      <c r="GZ1040" s="39"/>
      <c r="HD1040" s="39"/>
      <c r="JB1040" s="5" t="s">
        <v>745</v>
      </c>
    </row>
    <row r="1041" spans="1:262" s="5" customFormat="1" x14ac:dyDescent="0.25">
      <c r="A1041" s="5">
        <v>50</v>
      </c>
      <c r="B1041" s="52" t="s">
        <v>3992</v>
      </c>
      <c r="C1041" s="5" t="s">
        <v>738</v>
      </c>
      <c r="D1041" s="5" t="s">
        <v>739</v>
      </c>
      <c r="E1041" s="5">
        <v>2000</v>
      </c>
      <c r="F1041" s="5">
        <v>1995</v>
      </c>
      <c r="G1041" s="5" t="s">
        <v>740</v>
      </c>
      <c r="I1041" s="32" t="s">
        <v>2815</v>
      </c>
      <c r="J1041" s="5">
        <v>41.84</v>
      </c>
      <c r="K1041" s="5">
        <v>-85.68</v>
      </c>
      <c r="L1041" s="5">
        <v>244</v>
      </c>
      <c r="R1041" s="52">
        <v>1</v>
      </c>
      <c r="S1041" s="52" t="s">
        <v>1728</v>
      </c>
      <c r="T1041" s="52"/>
      <c r="U1041" s="52" t="s">
        <v>1962</v>
      </c>
      <c r="V1041" s="52" t="s">
        <v>1400</v>
      </c>
      <c r="W1041" s="52" t="s">
        <v>1727</v>
      </c>
      <c r="X1041" s="52" t="s">
        <v>1400</v>
      </c>
      <c r="Y1041" s="52" t="s">
        <v>1417</v>
      </c>
      <c r="AA1041" s="332"/>
      <c r="AB1041" s="332"/>
      <c r="AC1041" s="5" t="s">
        <v>240</v>
      </c>
      <c r="AG1041" s="5" t="s">
        <v>1342</v>
      </c>
      <c r="AH1041" s="5" t="s">
        <v>131</v>
      </c>
      <c r="AI1041" s="138" t="s">
        <v>131</v>
      </c>
      <c r="AJ1041" s="5" t="s">
        <v>132</v>
      </c>
      <c r="AK1041" s="141" t="s">
        <v>132</v>
      </c>
      <c r="AT1041" s="5" t="s">
        <v>743</v>
      </c>
      <c r="AU1041" s="5" t="s">
        <v>743</v>
      </c>
      <c r="AV1041" s="5" t="s">
        <v>177</v>
      </c>
      <c r="AW1041" s="5" t="s">
        <v>160</v>
      </c>
      <c r="BD1041" s="54"/>
      <c r="BE1041" s="5" t="s">
        <v>744</v>
      </c>
      <c r="BK1041" s="5">
        <v>1167</v>
      </c>
      <c r="BL1041" s="5">
        <v>1156</v>
      </c>
      <c r="BP1041" s="403"/>
      <c r="BQ1041" s="403"/>
      <c r="BU1041" s="403"/>
      <c r="BV1041" s="403"/>
      <c r="BZ1041" s="403"/>
      <c r="CA1041" s="403"/>
      <c r="CE1041" s="556"/>
      <c r="CF1041" s="556"/>
      <c r="CG1041" s="556"/>
      <c r="CH1041" s="556"/>
      <c r="CJ1041" s="5">
        <v>2.5299999999999998</v>
      </c>
      <c r="CK1041" s="5">
        <v>2.78</v>
      </c>
      <c r="CN1041" s="5" t="s">
        <v>746</v>
      </c>
      <c r="GZ1041" s="39"/>
      <c r="HD1041" s="39"/>
      <c r="JB1041" s="5" t="s">
        <v>745</v>
      </c>
    </row>
    <row r="1042" spans="1:262" s="28" customFormat="1" x14ac:dyDescent="0.25">
      <c r="A1042" s="28">
        <v>50</v>
      </c>
      <c r="B1042" s="46" t="s">
        <v>3992</v>
      </c>
      <c r="C1042" s="28" t="s">
        <v>738</v>
      </c>
      <c r="D1042" s="28" t="s">
        <v>739</v>
      </c>
      <c r="E1042" s="28">
        <v>2000</v>
      </c>
      <c r="F1042" s="28">
        <v>1996</v>
      </c>
      <c r="G1042" s="28" t="s">
        <v>740</v>
      </c>
      <c r="I1042" s="32" t="s">
        <v>2815</v>
      </c>
      <c r="J1042" s="28">
        <v>41.84</v>
      </c>
      <c r="K1042" s="28">
        <v>-85.68</v>
      </c>
      <c r="L1042" s="28">
        <v>244</v>
      </c>
      <c r="R1042" s="46">
        <v>2</v>
      </c>
      <c r="S1042" s="46" t="s">
        <v>1728</v>
      </c>
      <c r="T1042" s="46"/>
      <c r="U1042" s="46" t="s">
        <v>1962</v>
      </c>
      <c r="V1042" s="46" t="s">
        <v>1400</v>
      </c>
      <c r="W1042" s="46" t="s">
        <v>1727</v>
      </c>
      <c r="X1042" s="46" t="s">
        <v>1400</v>
      </c>
      <c r="Y1042" s="46" t="s">
        <v>1417</v>
      </c>
      <c r="AA1042" s="326"/>
      <c r="AB1042" s="326"/>
      <c r="AC1042" s="28" t="s">
        <v>240</v>
      </c>
      <c r="AG1042" s="28" t="s">
        <v>1342</v>
      </c>
      <c r="AH1042" s="28" t="s">
        <v>131</v>
      </c>
      <c r="AI1042" s="138" t="s">
        <v>131</v>
      </c>
      <c r="AJ1042" s="28" t="s">
        <v>132</v>
      </c>
      <c r="AK1042" s="141" t="s">
        <v>132</v>
      </c>
      <c r="AT1042" s="28" t="s">
        <v>742</v>
      </c>
      <c r="AU1042" s="28" t="s">
        <v>742</v>
      </c>
      <c r="AV1042" s="28" t="s">
        <v>177</v>
      </c>
      <c r="AW1042" s="28" t="s">
        <v>160</v>
      </c>
      <c r="BB1042" s="28">
        <v>754</v>
      </c>
      <c r="BC1042" s="28">
        <f>BB1042/20</f>
        <v>37.700000000000003</v>
      </c>
      <c r="BE1042" s="5" t="s">
        <v>744</v>
      </c>
      <c r="BK1042" s="28">
        <v>5047</v>
      </c>
      <c r="BL1042" s="28">
        <v>5328</v>
      </c>
      <c r="BP1042" s="401"/>
      <c r="BQ1042" s="401"/>
      <c r="BU1042" s="401"/>
      <c r="BV1042" s="401"/>
      <c r="BZ1042" s="401"/>
      <c r="CA1042" s="401"/>
      <c r="CE1042" s="554"/>
      <c r="CF1042" s="554"/>
      <c r="CG1042" s="554"/>
      <c r="CH1042" s="554"/>
      <c r="CJ1042" s="28">
        <v>2.71</v>
      </c>
      <c r="CK1042" s="28">
        <v>3.21</v>
      </c>
      <c r="CN1042" s="28" t="s">
        <v>746</v>
      </c>
      <c r="FB1042" s="28">
        <v>55.75</v>
      </c>
      <c r="FC1042" s="28">
        <v>15.9</v>
      </c>
      <c r="FF1042" s="28" t="s">
        <v>750</v>
      </c>
      <c r="JB1042" s="5" t="s">
        <v>745</v>
      </c>
    </row>
    <row r="1043" spans="1:262" s="28" customFormat="1" x14ac:dyDescent="0.25">
      <c r="A1043" s="28">
        <v>50</v>
      </c>
      <c r="B1043" s="46" t="s">
        <v>3992</v>
      </c>
      <c r="C1043" s="28" t="s">
        <v>738</v>
      </c>
      <c r="D1043" s="28" t="s">
        <v>739</v>
      </c>
      <c r="E1043" s="28">
        <v>2000</v>
      </c>
      <c r="F1043" s="28">
        <v>1996</v>
      </c>
      <c r="G1043" s="28" t="s">
        <v>740</v>
      </c>
      <c r="I1043" s="32" t="s">
        <v>2815</v>
      </c>
      <c r="J1043" s="28">
        <v>41.84</v>
      </c>
      <c r="K1043" s="28">
        <v>-85.68</v>
      </c>
      <c r="L1043" s="28">
        <v>244</v>
      </c>
      <c r="R1043" s="46">
        <v>2</v>
      </c>
      <c r="S1043" s="46" t="s">
        <v>1728</v>
      </c>
      <c r="T1043" s="46"/>
      <c r="U1043" s="46" t="s">
        <v>1962</v>
      </c>
      <c r="V1043" s="46" t="s">
        <v>1400</v>
      </c>
      <c r="W1043" s="46" t="s">
        <v>1727</v>
      </c>
      <c r="X1043" s="46" t="s">
        <v>1400</v>
      </c>
      <c r="Y1043" s="46" t="s">
        <v>1417</v>
      </c>
      <c r="AA1043" s="326"/>
      <c r="AB1043" s="326"/>
      <c r="AC1043" s="28" t="s">
        <v>240</v>
      </c>
      <c r="AG1043" s="28" t="s">
        <v>1342</v>
      </c>
      <c r="AH1043" s="28" t="s">
        <v>131</v>
      </c>
      <c r="AI1043" s="138" t="s">
        <v>131</v>
      </c>
      <c r="AJ1043" s="28" t="s">
        <v>132</v>
      </c>
      <c r="AK1043" s="141" t="s">
        <v>132</v>
      </c>
      <c r="AT1043" s="28" t="s">
        <v>743</v>
      </c>
      <c r="AU1043" s="28" t="s">
        <v>743</v>
      </c>
      <c r="AV1043" s="28" t="s">
        <v>177</v>
      </c>
      <c r="AW1043" s="28" t="s">
        <v>160</v>
      </c>
      <c r="BB1043" s="28">
        <v>1763</v>
      </c>
      <c r="BC1043" s="28">
        <f>BB1043/45.4</f>
        <v>38.832599118942731</v>
      </c>
      <c r="BE1043" s="5" t="s">
        <v>744</v>
      </c>
      <c r="BK1043" s="28">
        <v>6211</v>
      </c>
      <c r="BL1043" s="28">
        <v>5632</v>
      </c>
      <c r="BP1043" s="401"/>
      <c r="BQ1043" s="401"/>
      <c r="BU1043" s="401"/>
      <c r="BV1043" s="401"/>
      <c r="BZ1043" s="401"/>
      <c r="CA1043" s="401"/>
      <c r="CE1043" s="554"/>
      <c r="CF1043" s="554"/>
      <c r="CG1043" s="554"/>
      <c r="CH1043" s="554"/>
      <c r="CJ1043" s="28">
        <v>4.6100000000000003</v>
      </c>
      <c r="CK1043" s="28">
        <v>3.06</v>
      </c>
      <c r="CN1043" s="28" t="s">
        <v>746</v>
      </c>
      <c r="JB1043" s="5" t="s">
        <v>745</v>
      </c>
    </row>
    <row r="1044" spans="1:262" s="5" customFormat="1" x14ac:dyDescent="0.25">
      <c r="A1044" s="5">
        <v>50</v>
      </c>
      <c r="B1044" s="52" t="s">
        <v>3992</v>
      </c>
      <c r="C1044" s="5" t="s">
        <v>738</v>
      </c>
      <c r="D1044" s="5" t="s">
        <v>739</v>
      </c>
      <c r="E1044" s="5">
        <v>2000</v>
      </c>
      <c r="F1044" s="5">
        <v>1997</v>
      </c>
      <c r="G1044" s="5" t="s">
        <v>740</v>
      </c>
      <c r="I1044" s="32" t="s">
        <v>2815</v>
      </c>
      <c r="J1044" s="5">
        <v>41.84</v>
      </c>
      <c r="K1044" s="5">
        <v>-85.68</v>
      </c>
      <c r="L1044" s="5">
        <v>244</v>
      </c>
      <c r="R1044" s="52">
        <v>3</v>
      </c>
      <c r="S1044" s="52" t="s">
        <v>1728</v>
      </c>
      <c r="T1044" s="52"/>
      <c r="U1044" s="52" t="s">
        <v>1962</v>
      </c>
      <c r="V1044" s="52" t="s">
        <v>1400</v>
      </c>
      <c r="W1044" s="52" t="s">
        <v>1727</v>
      </c>
      <c r="X1044" s="52" t="s">
        <v>1400</v>
      </c>
      <c r="Y1044" s="52" t="s">
        <v>1417</v>
      </c>
      <c r="AA1044" s="332"/>
      <c r="AB1044" s="332"/>
      <c r="AC1044" s="5" t="s">
        <v>240</v>
      </c>
      <c r="AG1044" s="5" t="s">
        <v>1342</v>
      </c>
      <c r="AH1044" s="5" t="s">
        <v>131</v>
      </c>
      <c r="AI1044" s="138" t="s">
        <v>131</v>
      </c>
      <c r="AJ1044" s="5" t="s">
        <v>132</v>
      </c>
      <c r="AK1044" s="141" t="s">
        <v>132</v>
      </c>
      <c r="AT1044" s="5" t="s">
        <v>742</v>
      </c>
      <c r="AU1044" s="5" t="s">
        <v>742</v>
      </c>
      <c r="AV1044" s="5" t="s">
        <v>177</v>
      </c>
      <c r="AW1044" s="5" t="s">
        <v>160</v>
      </c>
      <c r="BB1044" s="5">
        <v>1173</v>
      </c>
      <c r="BC1044" s="5">
        <f>BB1044/40</f>
        <v>29.324999999999999</v>
      </c>
      <c r="BD1044" s="54"/>
      <c r="BE1044" s="5" t="s">
        <v>744</v>
      </c>
      <c r="BK1044" s="5">
        <v>2928</v>
      </c>
      <c r="BL1044" s="5">
        <v>3002</v>
      </c>
      <c r="BP1044" s="403"/>
      <c r="BQ1044" s="403"/>
      <c r="BU1044" s="403"/>
      <c r="BV1044" s="403"/>
      <c r="BZ1044" s="403"/>
      <c r="CA1044" s="403"/>
      <c r="CE1044" s="556"/>
      <c r="CF1044" s="556"/>
      <c r="CG1044" s="556"/>
      <c r="CH1044" s="556"/>
      <c r="CJ1044" s="5">
        <v>2.93</v>
      </c>
      <c r="CK1044" s="5">
        <v>3.59</v>
      </c>
      <c r="CN1044" s="5" t="s">
        <v>746</v>
      </c>
      <c r="FB1044" s="5">
        <v>80.08</v>
      </c>
      <c r="FC1044" s="5">
        <v>25.81</v>
      </c>
      <c r="FF1044" s="5" t="s">
        <v>750</v>
      </c>
      <c r="GZ1044" s="39"/>
      <c r="HD1044" s="39"/>
      <c r="JB1044" s="5" t="s">
        <v>745</v>
      </c>
    </row>
    <row r="1045" spans="1:262" s="5" customFormat="1" x14ac:dyDescent="0.25">
      <c r="A1045" s="5">
        <v>50</v>
      </c>
      <c r="B1045" s="52" t="s">
        <v>3992</v>
      </c>
      <c r="C1045" s="5" t="s">
        <v>738</v>
      </c>
      <c r="D1045" s="5" t="s">
        <v>739</v>
      </c>
      <c r="E1045" s="5">
        <v>2000</v>
      </c>
      <c r="F1045" s="5">
        <v>1997</v>
      </c>
      <c r="G1045" s="5" t="s">
        <v>740</v>
      </c>
      <c r="I1045" s="32" t="s">
        <v>2815</v>
      </c>
      <c r="J1045" s="5">
        <v>41.84</v>
      </c>
      <c r="K1045" s="5">
        <v>-85.68</v>
      </c>
      <c r="L1045" s="5">
        <v>244</v>
      </c>
      <c r="R1045" s="52">
        <v>3</v>
      </c>
      <c r="S1045" s="52" t="s">
        <v>1728</v>
      </c>
      <c r="T1045" s="52"/>
      <c r="U1045" s="52" t="s">
        <v>1962</v>
      </c>
      <c r="V1045" s="52" t="s">
        <v>1400</v>
      </c>
      <c r="W1045" s="52" t="s">
        <v>1727</v>
      </c>
      <c r="X1045" s="52" t="s">
        <v>1400</v>
      </c>
      <c r="Y1045" s="52" t="s">
        <v>1417</v>
      </c>
      <c r="AA1045" s="332"/>
      <c r="AB1045" s="332"/>
      <c r="AC1045" s="5" t="s">
        <v>240</v>
      </c>
      <c r="AG1045" s="5" t="s">
        <v>1342</v>
      </c>
      <c r="AH1045" s="5" t="s">
        <v>131</v>
      </c>
      <c r="AI1045" s="138" t="s">
        <v>131</v>
      </c>
      <c r="AJ1045" s="5" t="s">
        <v>132</v>
      </c>
      <c r="AK1045" s="141" t="s">
        <v>132</v>
      </c>
      <c r="AT1045" s="5" t="s">
        <v>743</v>
      </c>
      <c r="AU1045" s="5" t="s">
        <v>743</v>
      </c>
      <c r="AV1045" s="5" t="s">
        <v>177</v>
      </c>
      <c r="AW1045" s="5" t="s">
        <v>160</v>
      </c>
      <c r="BB1045" s="5">
        <v>2010</v>
      </c>
      <c r="BC1045" s="5">
        <f>BB1045/56</f>
        <v>35.892857142857146</v>
      </c>
      <c r="BD1045" s="54"/>
      <c r="BE1045" s="5" t="s">
        <v>744</v>
      </c>
      <c r="BK1045" s="5">
        <v>3407</v>
      </c>
      <c r="BL1045" s="5">
        <v>3622</v>
      </c>
      <c r="BP1045" s="403"/>
      <c r="BQ1045" s="403"/>
      <c r="BU1045" s="403"/>
      <c r="BV1045" s="403"/>
      <c r="BZ1045" s="403"/>
      <c r="CA1045" s="403"/>
      <c r="CE1045" s="556"/>
      <c r="CF1045" s="556"/>
      <c r="CG1045" s="556"/>
      <c r="CH1045" s="556"/>
      <c r="CJ1045" s="5">
        <v>3.27</v>
      </c>
      <c r="CK1045" s="5">
        <v>2.96</v>
      </c>
      <c r="CN1045" s="5" t="s">
        <v>746</v>
      </c>
      <c r="GZ1045" s="39"/>
      <c r="HD1045" s="39"/>
      <c r="JB1045" s="5" t="s">
        <v>745</v>
      </c>
    </row>
    <row r="1046" spans="1:262" s="5" customFormat="1" x14ac:dyDescent="0.25">
      <c r="A1046" s="5">
        <v>50</v>
      </c>
      <c r="B1046" s="52" t="s">
        <v>3993</v>
      </c>
      <c r="C1046" s="5" t="s">
        <v>738</v>
      </c>
      <c r="D1046" s="5" t="s">
        <v>739</v>
      </c>
      <c r="E1046" s="5">
        <v>2000</v>
      </c>
      <c r="F1046" s="5">
        <v>1995</v>
      </c>
      <c r="G1046" s="5" t="s">
        <v>740</v>
      </c>
      <c r="I1046" s="32" t="s">
        <v>2815</v>
      </c>
      <c r="J1046" s="5">
        <v>41.84</v>
      </c>
      <c r="K1046" s="5">
        <v>-85.68</v>
      </c>
      <c r="L1046" s="5">
        <v>244</v>
      </c>
      <c r="R1046" s="52">
        <v>1</v>
      </c>
      <c r="S1046" s="52" t="s">
        <v>1728</v>
      </c>
      <c r="T1046" s="52"/>
      <c r="U1046" s="52" t="s">
        <v>1962</v>
      </c>
      <c r="V1046" s="52" t="s">
        <v>1405</v>
      </c>
      <c r="W1046" s="52" t="s">
        <v>1727</v>
      </c>
      <c r="X1046" s="52" t="s">
        <v>1400</v>
      </c>
      <c r="Y1046" s="52" t="s">
        <v>1417</v>
      </c>
      <c r="AA1046" s="332"/>
      <c r="AB1046" s="332"/>
      <c r="AC1046" s="5" t="s">
        <v>240</v>
      </c>
      <c r="AG1046" s="5" t="s">
        <v>1342</v>
      </c>
      <c r="AH1046" s="5" t="s">
        <v>131</v>
      </c>
      <c r="AI1046" s="138" t="s">
        <v>131</v>
      </c>
      <c r="AJ1046" s="5" t="s">
        <v>132</v>
      </c>
      <c r="AK1046" s="141" t="s">
        <v>132</v>
      </c>
      <c r="AT1046" s="5" t="s">
        <v>742</v>
      </c>
      <c r="AU1046" s="5" t="s">
        <v>742</v>
      </c>
      <c r="AV1046" s="5" t="s">
        <v>177</v>
      </c>
      <c r="AW1046" s="5" t="s">
        <v>160</v>
      </c>
      <c r="BD1046" s="54"/>
      <c r="BE1046" s="5" t="s">
        <v>747</v>
      </c>
      <c r="BP1046" s="403"/>
      <c r="BQ1046" s="403"/>
      <c r="BU1046" s="403"/>
      <c r="BV1046" s="403"/>
      <c r="BZ1046" s="403"/>
      <c r="CA1046" s="403"/>
      <c r="CE1046" s="556"/>
      <c r="CF1046" s="556"/>
      <c r="CG1046" s="556"/>
      <c r="CH1046" s="556"/>
      <c r="CJ1046" s="5">
        <v>4.5</v>
      </c>
      <c r="CK1046" s="5">
        <v>2.27</v>
      </c>
      <c r="CN1046" s="5" t="s">
        <v>746</v>
      </c>
      <c r="GZ1046" s="39"/>
      <c r="HD1046" s="39"/>
      <c r="JB1046" s="5" t="s">
        <v>745</v>
      </c>
    </row>
    <row r="1047" spans="1:262" s="5" customFormat="1" x14ac:dyDescent="0.25">
      <c r="A1047" s="5">
        <v>50</v>
      </c>
      <c r="B1047" s="52" t="s">
        <v>3993</v>
      </c>
      <c r="C1047" s="5" t="s">
        <v>738</v>
      </c>
      <c r="D1047" s="5" t="s">
        <v>739</v>
      </c>
      <c r="E1047" s="5">
        <v>2000</v>
      </c>
      <c r="F1047" s="5">
        <v>1995</v>
      </c>
      <c r="G1047" s="5" t="s">
        <v>740</v>
      </c>
      <c r="I1047" s="32" t="s">
        <v>2815</v>
      </c>
      <c r="J1047" s="5">
        <v>41.84</v>
      </c>
      <c r="K1047" s="5">
        <v>-85.68</v>
      </c>
      <c r="L1047" s="5">
        <v>244</v>
      </c>
      <c r="R1047" s="52">
        <v>1</v>
      </c>
      <c r="S1047" s="52" t="s">
        <v>1728</v>
      </c>
      <c r="T1047" s="52"/>
      <c r="U1047" s="52" t="s">
        <v>1962</v>
      </c>
      <c r="V1047" s="52" t="s">
        <v>1405</v>
      </c>
      <c r="W1047" s="52" t="s">
        <v>1727</v>
      </c>
      <c r="X1047" s="52" t="s">
        <v>1400</v>
      </c>
      <c r="Y1047" s="52" t="s">
        <v>1417</v>
      </c>
      <c r="AA1047" s="332"/>
      <c r="AB1047" s="332"/>
      <c r="AC1047" s="5" t="s">
        <v>240</v>
      </c>
      <c r="AG1047" s="5" t="s">
        <v>1342</v>
      </c>
      <c r="AH1047" s="5" t="s">
        <v>131</v>
      </c>
      <c r="AI1047" s="138" t="s">
        <v>131</v>
      </c>
      <c r="AJ1047" s="5" t="s">
        <v>132</v>
      </c>
      <c r="AK1047" s="141" t="s">
        <v>132</v>
      </c>
      <c r="AT1047" s="5" t="s">
        <v>743</v>
      </c>
      <c r="AU1047" s="5" t="s">
        <v>743</v>
      </c>
      <c r="AV1047" s="5" t="s">
        <v>177</v>
      </c>
      <c r="AW1047" s="5" t="s">
        <v>160</v>
      </c>
      <c r="BD1047" s="54"/>
      <c r="BE1047" s="5" t="s">
        <v>747</v>
      </c>
      <c r="BP1047" s="403"/>
      <c r="BQ1047" s="403"/>
      <c r="BU1047" s="403"/>
      <c r="BV1047" s="403"/>
      <c r="BZ1047" s="403"/>
      <c r="CA1047" s="403"/>
      <c r="CE1047" s="556"/>
      <c r="CF1047" s="556"/>
      <c r="CG1047" s="556"/>
      <c r="CH1047" s="556"/>
      <c r="CJ1047" s="5">
        <v>8.07</v>
      </c>
      <c r="CK1047" s="5">
        <v>7</v>
      </c>
      <c r="CN1047" s="5" t="s">
        <v>746</v>
      </c>
      <c r="GZ1047" s="39"/>
      <c r="HD1047" s="39"/>
      <c r="JB1047" s="5" t="s">
        <v>745</v>
      </c>
    </row>
    <row r="1048" spans="1:262" s="28" customFormat="1" x14ac:dyDescent="0.25">
      <c r="A1048" s="28">
        <v>50</v>
      </c>
      <c r="B1048" s="46" t="s">
        <v>3993</v>
      </c>
      <c r="C1048" s="28" t="s">
        <v>738</v>
      </c>
      <c r="D1048" s="28" t="s">
        <v>739</v>
      </c>
      <c r="E1048" s="28">
        <v>2000</v>
      </c>
      <c r="F1048" s="28">
        <v>1996</v>
      </c>
      <c r="G1048" s="28" t="s">
        <v>740</v>
      </c>
      <c r="I1048" s="32" t="s">
        <v>2815</v>
      </c>
      <c r="J1048" s="28">
        <v>41.84</v>
      </c>
      <c r="K1048" s="28">
        <v>-85.68</v>
      </c>
      <c r="L1048" s="28">
        <v>244</v>
      </c>
      <c r="R1048" s="46">
        <v>2</v>
      </c>
      <c r="S1048" s="46" t="s">
        <v>1728</v>
      </c>
      <c r="T1048" s="46"/>
      <c r="U1048" s="46" t="s">
        <v>1962</v>
      </c>
      <c r="V1048" s="46" t="s">
        <v>1405</v>
      </c>
      <c r="W1048" s="46" t="s">
        <v>1727</v>
      </c>
      <c r="X1048" s="46" t="s">
        <v>1400</v>
      </c>
      <c r="Y1048" s="46" t="s">
        <v>1417</v>
      </c>
      <c r="AA1048" s="326"/>
      <c r="AB1048" s="326"/>
      <c r="AC1048" s="28" t="s">
        <v>240</v>
      </c>
      <c r="AG1048" s="28" t="s">
        <v>1342</v>
      </c>
      <c r="AH1048" s="28" t="s">
        <v>131</v>
      </c>
      <c r="AI1048" s="138" t="s">
        <v>131</v>
      </c>
      <c r="AJ1048" s="28" t="s">
        <v>132</v>
      </c>
      <c r="AK1048" s="141" t="s">
        <v>132</v>
      </c>
      <c r="AT1048" s="28" t="s">
        <v>742</v>
      </c>
      <c r="AU1048" s="28" t="s">
        <v>742</v>
      </c>
      <c r="AV1048" s="28" t="s">
        <v>177</v>
      </c>
      <c r="AW1048" s="28" t="s">
        <v>160</v>
      </c>
      <c r="BB1048" s="28">
        <v>754</v>
      </c>
      <c r="BC1048" s="28">
        <f>BB1048/20</f>
        <v>37.700000000000003</v>
      </c>
      <c r="BE1048" s="28" t="s">
        <v>747</v>
      </c>
      <c r="BP1048" s="401"/>
      <c r="BQ1048" s="401"/>
      <c r="BU1048" s="401"/>
      <c r="BV1048" s="401"/>
      <c r="BZ1048" s="401"/>
      <c r="CA1048" s="401"/>
      <c r="CE1048" s="554"/>
      <c r="CF1048" s="554"/>
      <c r="CG1048" s="554"/>
      <c r="CH1048" s="554"/>
      <c r="CJ1048" s="28">
        <v>1.27</v>
      </c>
      <c r="CK1048" s="28">
        <v>2.19</v>
      </c>
      <c r="CN1048" s="28" t="s">
        <v>746</v>
      </c>
      <c r="JB1048" s="5" t="s">
        <v>745</v>
      </c>
    </row>
    <row r="1049" spans="1:262" s="28" customFormat="1" x14ac:dyDescent="0.25">
      <c r="A1049" s="28">
        <v>50</v>
      </c>
      <c r="B1049" s="46" t="s">
        <v>3993</v>
      </c>
      <c r="C1049" s="28" t="s">
        <v>738</v>
      </c>
      <c r="D1049" s="28" t="s">
        <v>739</v>
      </c>
      <c r="E1049" s="28">
        <v>2000</v>
      </c>
      <c r="F1049" s="28">
        <v>1996</v>
      </c>
      <c r="G1049" s="28" t="s">
        <v>740</v>
      </c>
      <c r="I1049" s="32" t="s">
        <v>2815</v>
      </c>
      <c r="J1049" s="28">
        <v>41.84</v>
      </c>
      <c r="K1049" s="28">
        <v>-85.68</v>
      </c>
      <c r="L1049" s="28">
        <v>244</v>
      </c>
      <c r="R1049" s="46">
        <v>2</v>
      </c>
      <c r="S1049" s="46" t="s">
        <v>1728</v>
      </c>
      <c r="T1049" s="46"/>
      <c r="U1049" s="46" t="s">
        <v>1962</v>
      </c>
      <c r="V1049" s="46" t="s">
        <v>1405</v>
      </c>
      <c r="W1049" s="46" t="s">
        <v>1727</v>
      </c>
      <c r="X1049" s="46" t="s">
        <v>1400</v>
      </c>
      <c r="Y1049" s="46" t="s">
        <v>1417</v>
      </c>
      <c r="AA1049" s="326"/>
      <c r="AB1049" s="326"/>
      <c r="AC1049" s="28" t="s">
        <v>240</v>
      </c>
      <c r="AG1049" s="28" t="s">
        <v>1342</v>
      </c>
      <c r="AH1049" s="28" t="s">
        <v>131</v>
      </c>
      <c r="AI1049" s="138" t="s">
        <v>131</v>
      </c>
      <c r="AJ1049" s="28" t="s">
        <v>132</v>
      </c>
      <c r="AK1049" s="141" t="s">
        <v>132</v>
      </c>
      <c r="AT1049" s="28" t="s">
        <v>743</v>
      </c>
      <c r="AU1049" s="28" t="s">
        <v>743</v>
      </c>
      <c r="AV1049" s="28" t="s">
        <v>177</v>
      </c>
      <c r="AW1049" s="28" t="s">
        <v>160</v>
      </c>
      <c r="BB1049" s="28">
        <v>1763</v>
      </c>
      <c r="BC1049" s="28">
        <f>BB1049/45.4</f>
        <v>38.832599118942731</v>
      </c>
      <c r="BE1049" s="28" t="s">
        <v>747</v>
      </c>
      <c r="BP1049" s="401"/>
      <c r="BQ1049" s="401"/>
      <c r="BU1049" s="401"/>
      <c r="BV1049" s="401"/>
      <c r="BZ1049" s="401"/>
      <c r="CA1049" s="401"/>
      <c r="CE1049" s="554"/>
      <c r="CF1049" s="554"/>
      <c r="CG1049" s="554"/>
      <c r="CH1049" s="554"/>
      <c r="CJ1049" s="28">
        <v>2.0299999999999998</v>
      </c>
      <c r="CK1049" s="28">
        <v>1.62</v>
      </c>
      <c r="CN1049" s="28" t="s">
        <v>746</v>
      </c>
      <c r="JB1049" s="5" t="s">
        <v>745</v>
      </c>
    </row>
    <row r="1050" spans="1:262" s="5" customFormat="1" x14ac:dyDescent="0.25">
      <c r="A1050" s="5">
        <v>50</v>
      </c>
      <c r="B1050" s="52" t="s">
        <v>3993</v>
      </c>
      <c r="C1050" s="5" t="s">
        <v>738</v>
      </c>
      <c r="D1050" s="5" t="s">
        <v>739</v>
      </c>
      <c r="E1050" s="5">
        <v>2000</v>
      </c>
      <c r="F1050" s="5">
        <v>1997</v>
      </c>
      <c r="G1050" s="5" t="s">
        <v>740</v>
      </c>
      <c r="I1050" s="32" t="s">
        <v>2815</v>
      </c>
      <c r="J1050" s="5">
        <v>41.84</v>
      </c>
      <c r="K1050" s="5">
        <v>-85.68</v>
      </c>
      <c r="L1050" s="5">
        <v>244</v>
      </c>
      <c r="R1050" s="52">
        <v>3</v>
      </c>
      <c r="S1050" s="52" t="s">
        <v>1728</v>
      </c>
      <c r="T1050" s="52"/>
      <c r="U1050" s="52" t="s">
        <v>1962</v>
      </c>
      <c r="V1050" s="52" t="s">
        <v>1405</v>
      </c>
      <c r="W1050" s="52" t="s">
        <v>1727</v>
      </c>
      <c r="X1050" s="52" t="s">
        <v>1400</v>
      </c>
      <c r="Y1050" s="52" t="s">
        <v>1417</v>
      </c>
      <c r="AA1050" s="332"/>
      <c r="AB1050" s="332"/>
      <c r="AC1050" s="5" t="s">
        <v>240</v>
      </c>
      <c r="AG1050" s="5" t="s">
        <v>1342</v>
      </c>
      <c r="AH1050" s="5" t="s">
        <v>131</v>
      </c>
      <c r="AI1050" s="138" t="s">
        <v>131</v>
      </c>
      <c r="AJ1050" s="5" t="s">
        <v>132</v>
      </c>
      <c r="AK1050" s="141" t="s">
        <v>132</v>
      </c>
      <c r="AT1050" s="5" t="s">
        <v>742</v>
      </c>
      <c r="AU1050" s="5" t="s">
        <v>742</v>
      </c>
      <c r="AV1050" s="5" t="s">
        <v>177</v>
      </c>
      <c r="AW1050" s="5" t="s">
        <v>160</v>
      </c>
      <c r="BB1050" s="5">
        <v>1173</v>
      </c>
      <c r="BC1050" s="5">
        <f>BB1050/40</f>
        <v>29.324999999999999</v>
      </c>
      <c r="BD1050" s="54"/>
      <c r="BE1050" s="5" t="s">
        <v>747</v>
      </c>
      <c r="BP1050" s="403"/>
      <c r="BQ1050" s="403"/>
      <c r="BU1050" s="403"/>
      <c r="BV1050" s="403"/>
      <c r="BZ1050" s="403"/>
      <c r="CA1050" s="403"/>
      <c r="CE1050" s="556"/>
      <c r="CF1050" s="556"/>
      <c r="CG1050" s="556"/>
      <c r="CH1050" s="556"/>
      <c r="CJ1050" s="5">
        <v>2.06</v>
      </c>
      <c r="CK1050" s="5">
        <v>2.31</v>
      </c>
      <c r="CN1050" s="5" t="s">
        <v>746</v>
      </c>
      <c r="GZ1050" s="39"/>
      <c r="HD1050" s="39"/>
      <c r="JB1050" s="5" t="s">
        <v>745</v>
      </c>
    </row>
    <row r="1051" spans="1:262" s="5" customFormat="1" x14ac:dyDescent="0.25">
      <c r="A1051" s="5">
        <v>50</v>
      </c>
      <c r="B1051" s="52" t="s">
        <v>3993</v>
      </c>
      <c r="C1051" s="5" t="s">
        <v>738</v>
      </c>
      <c r="D1051" s="5" t="s">
        <v>739</v>
      </c>
      <c r="E1051" s="5">
        <v>2000</v>
      </c>
      <c r="F1051" s="5">
        <v>1997</v>
      </c>
      <c r="G1051" s="5" t="s">
        <v>740</v>
      </c>
      <c r="I1051" s="32" t="s">
        <v>2815</v>
      </c>
      <c r="J1051" s="5">
        <v>41.84</v>
      </c>
      <c r="K1051" s="5">
        <v>-85.68</v>
      </c>
      <c r="L1051" s="5">
        <v>244</v>
      </c>
      <c r="R1051" s="52">
        <v>3</v>
      </c>
      <c r="S1051" s="52" t="s">
        <v>1728</v>
      </c>
      <c r="T1051" s="52"/>
      <c r="U1051" s="52" t="s">
        <v>1962</v>
      </c>
      <c r="V1051" s="52" t="s">
        <v>1405</v>
      </c>
      <c r="W1051" s="52" t="s">
        <v>1727</v>
      </c>
      <c r="X1051" s="52" t="s">
        <v>1400</v>
      </c>
      <c r="Y1051" s="52" t="s">
        <v>1417</v>
      </c>
      <c r="AA1051" s="332"/>
      <c r="AB1051" s="332"/>
      <c r="AC1051" s="5" t="s">
        <v>240</v>
      </c>
      <c r="AG1051" s="5" t="s">
        <v>1342</v>
      </c>
      <c r="AH1051" s="5" t="s">
        <v>131</v>
      </c>
      <c r="AI1051" s="138" t="s">
        <v>131</v>
      </c>
      <c r="AJ1051" s="5" t="s">
        <v>132</v>
      </c>
      <c r="AK1051" s="141" t="s">
        <v>132</v>
      </c>
      <c r="AT1051" s="5" t="s">
        <v>743</v>
      </c>
      <c r="AU1051" s="5" t="s">
        <v>743</v>
      </c>
      <c r="AV1051" s="5" t="s">
        <v>177</v>
      </c>
      <c r="AW1051" s="5" t="s">
        <v>160</v>
      </c>
      <c r="BB1051" s="5">
        <v>2010</v>
      </c>
      <c r="BC1051" s="5">
        <f>BB1051/56</f>
        <v>35.892857142857146</v>
      </c>
      <c r="BD1051" s="54"/>
      <c r="BE1051" s="5" t="s">
        <v>747</v>
      </c>
      <c r="BP1051" s="403"/>
      <c r="BQ1051" s="403"/>
      <c r="BU1051" s="403"/>
      <c r="BV1051" s="403"/>
      <c r="BZ1051" s="403"/>
      <c r="CA1051" s="403"/>
      <c r="CE1051" s="556"/>
      <c r="CF1051" s="556"/>
      <c r="CG1051" s="556"/>
      <c r="CH1051" s="556"/>
      <c r="CJ1051" s="5">
        <v>2.3199999999999998</v>
      </c>
      <c r="CK1051" s="5">
        <v>2.82</v>
      </c>
      <c r="CN1051" s="5" t="s">
        <v>746</v>
      </c>
      <c r="GZ1051" s="39"/>
      <c r="HD1051" s="39"/>
      <c r="JB1051" s="5" t="s">
        <v>745</v>
      </c>
    </row>
    <row r="1052" spans="1:262" s="5" customFormat="1" x14ac:dyDescent="0.25">
      <c r="A1052" s="5">
        <v>50</v>
      </c>
      <c r="B1052" s="52" t="s">
        <v>3994</v>
      </c>
      <c r="C1052" s="5" t="s">
        <v>738</v>
      </c>
      <c r="D1052" s="5" t="s">
        <v>739</v>
      </c>
      <c r="E1052" s="5">
        <v>2000</v>
      </c>
      <c r="F1052" s="5">
        <v>1995</v>
      </c>
      <c r="G1052" s="5" t="s">
        <v>740</v>
      </c>
      <c r="I1052" s="32" t="s">
        <v>2815</v>
      </c>
      <c r="J1052" s="5">
        <v>41.84</v>
      </c>
      <c r="K1052" s="5">
        <v>-85.68</v>
      </c>
      <c r="L1052" s="5">
        <v>244</v>
      </c>
      <c r="R1052" s="52">
        <v>1</v>
      </c>
      <c r="S1052" s="52" t="s">
        <v>1728</v>
      </c>
      <c r="T1052" s="52"/>
      <c r="U1052" s="52" t="s">
        <v>1962</v>
      </c>
      <c r="V1052" s="52" t="s">
        <v>1406</v>
      </c>
      <c r="W1052" s="52" t="s">
        <v>1727</v>
      </c>
      <c r="X1052" s="52" t="s">
        <v>1400</v>
      </c>
      <c r="Y1052" s="52" t="s">
        <v>1417</v>
      </c>
      <c r="AA1052" s="332"/>
      <c r="AB1052" s="332"/>
      <c r="AC1052" s="5" t="s">
        <v>240</v>
      </c>
      <c r="AG1052" s="5" t="s">
        <v>1342</v>
      </c>
      <c r="AH1052" s="5" t="s">
        <v>131</v>
      </c>
      <c r="AI1052" s="138" t="s">
        <v>131</v>
      </c>
      <c r="AJ1052" s="5" t="s">
        <v>132</v>
      </c>
      <c r="AK1052" s="141" t="s">
        <v>132</v>
      </c>
      <c r="AT1052" s="5" t="s">
        <v>742</v>
      </c>
      <c r="AU1052" s="5" t="s">
        <v>742</v>
      </c>
      <c r="AV1052" s="5" t="s">
        <v>177</v>
      </c>
      <c r="AW1052" s="5" t="s">
        <v>160</v>
      </c>
      <c r="BD1052" s="54"/>
      <c r="BE1052" s="5" t="s">
        <v>748</v>
      </c>
      <c r="BP1052" s="403"/>
      <c r="BQ1052" s="403"/>
      <c r="BU1052" s="403"/>
      <c r="BV1052" s="403"/>
      <c r="BZ1052" s="403"/>
      <c r="CA1052" s="403"/>
      <c r="CE1052" s="556"/>
      <c r="CF1052" s="556"/>
      <c r="CG1052" s="556"/>
      <c r="CH1052" s="556"/>
      <c r="CJ1052" s="5">
        <v>4.45</v>
      </c>
      <c r="CK1052" s="5">
        <v>2.08</v>
      </c>
      <c r="CN1052" s="5" t="s">
        <v>746</v>
      </c>
      <c r="GZ1052" s="39"/>
      <c r="HD1052" s="39"/>
      <c r="JB1052" s="5" t="s">
        <v>745</v>
      </c>
    </row>
    <row r="1053" spans="1:262" s="5" customFormat="1" x14ac:dyDescent="0.25">
      <c r="A1053" s="5">
        <v>50</v>
      </c>
      <c r="B1053" s="52" t="s">
        <v>3994</v>
      </c>
      <c r="C1053" s="5" t="s">
        <v>738</v>
      </c>
      <c r="D1053" s="5" t="s">
        <v>739</v>
      </c>
      <c r="E1053" s="5">
        <v>2000</v>
      </c>
      <c r="F1053" s="5">
        <v>1995</v>
      </c>
      <c r="G1053" s="5" t="s">
        <v>740</v>
      </c>
      <c r="I1053" s="32" t="s">
        <v>2815</v>
      </c>
      <c r="J1053" s="5">
        <v>41.84</v>
      </c>
      <c r="K1053" s="5">
        <v>-85.68</v>
      </c>
      <c r="L1053" s="5">
        <v>244</v>
      </c>
      <c r="R1053" s="52">
        <v>1</v>
      </c>
      <c r="S1053" s="52" t="s">
        <v>1728</v>
      </c>
      <c r="T1053" s="52"/>
      <c r="U1053" s="52" t="s">
        <v>1962</v>
      </c>
      <c r="V1053" s="52" t="s">
        <v>1406</v>
      </c>
      <c r="W1053" s="52" t="s">
        <v>1727</v>
      </c>
      <c r="X1053" s="52" t="s">
        <v>1400</v>
      </c>
      <c r="Y1053" s="52" t="s">
        <v>1417</v>
      </c>
      <c r="AA1053" s="332"/>
      <c r="AB1053" s="332"/>
      <c r="AC1053" s="5" t="s">
        <v>240</v>
      </c>
      <c r="AG1053" s="5" t="s">
        <v>1342</v>
      </c>
      <c r="AH1053" s="5" t="s">
        <v>131</v>
      </c>
      <c r="AI1053" s="138" t="s">
        <v>131</v>
      </c>
      <c r="AJ1053" s="5" t="s">
        <v>132</v>
      </c>
      <c r="AK1053" s="141" t="s">
        <v>132</v>
      </c>
      <c r="AT1053" s="5" t="s">
        <v>743</v>
      </c>
      <c r="AU1053" s="5" t="s">
        <v>743</v>
      </c>
      <c r="AV1053" s="5" t="s">
        <v>177</v>
      </c>
      <c r="AW1053" s="5" t="s">
        <v>160</v>
      </c>
      <c r="BD1053" s="54"/>
      <c r="BE1053" s="5" t="s">
        <v>748</v>
      </c>
      <c r="BP1053" s="403"/>
      <c r="BQ1053" s="403"/>
      <c r="BU1053" s="403"/>
      <c r="BV1053" s="403"/>
      <c r="BZ1053" s="403"/>
      <c r="CA1053" s="403"/>
      <c r="CE1053" s="556"/>
      <c r="CF1053" s="556"/>
      <c r="CG1053" s="556"/>
      <c r="CH1053" s="556"/>
      <c r="CJ1053" s="5">
        <v>19.559999999999999</v>
      </c>
      <c r="CK1053" s="5">
        <v>13.24</v>
      </c>
      <c r="CN1053" s="5" t="s">
        <v>746</v>
      </c>
      <c r="GZ1053" s="39"/>
      <c r="HD1053" s="39"/>
      <c r="JB1053" s="5" t="s">
        <v>745</v>
      </c>
    </row>
    <row r="1054" spans="1:262" s="28" customFormat="1" x14ac:dyDescent="0.25">
      <c r="A1054" s="28">
        <v>50</v>
      </c>
      <c r="B1054" s="46" t="s">
        <v>3994</v>
      </c>
      <c r="C1054" s="28" t="s">
        <v>738</v>
      </c>
      <c r="D1054" s="28" t="s">
        <v>739</v>
      </c>
      <c r="E1054" s="28">
        <v>2000</v>
      </c>
      <c r="F1054" s="28">
        <v>1996</v>
      </c>
      <c r="G1054" s="28" t="s">
        <v>740</v>
      </c>
      <c r="I1054" s="32" t="s">
        <v>2815</v>
      </c>
      <c r="J1054" s="28">
        <v>41.84</v>
      </c>
      <c r="K1054" s="28">
        <v>-85.68</v>
      </c>
      <c r="L1054" s="28">
        <v>244</v>
      </c>
      <c r="R1054" s="46">
        <v>2</v>
      </c>
      <c r="S1054" s="46" t="s">
        <v>1728</v>
      </c>
      <c r="T1054" s="46"/>
      <c r="U1054" s="46" t="s">
        <v>1962</v>
      </c>
      <c r="V1054" s="46" t="s">
        <v>1406</v>
      </c>
      <c r="W1054" s="46" t="s">
        <v>1727</v>
      </c>
      <c r="X1054" s="46" t="s">
        <v>1400</v>
      </c>
      <c r="Y1054" s="46" t="s">
        <v>1417</v>
      </c>
      <c r="AA1054" s="326"/>
      <c r="AB1054" s="326"/>
      <c r="AC1054" s="28" t="s">
        <v>240</v>
      </c>
      <c r="AG1054" s="28" t="s">
        <v>1342</v>
      </c>
      <c r="AH1054" s="28" t="s">
        <v>131</v>
      </c>
      <c r="AI1054" s="138" t="s">
        <v>131</v>
      </c>
      <c r="AJ1054" s="28" t="s">
        <v>132</v>
      </c>
      <c r="AK1054" s="141" t="s">
        <v>132</v>
      </c>
      <c r="AT1054" s="28" t="s">
        <v>742</v>
      </c>
      <c r="AU1054" s="28" t="s">
        <v>742</v>
      </c>
      <c r="AV1054" s="28" t="s">
        <v>177</v>
      </c>
      <c r="AW1054" s="28" t="s">
        <v>160</v>
      </c>
      <c r="BB1054" s="28">
        <v>754</v>
      </c>
      <c r="BC1054" s="28">
        <f>BB1054/20</f>
        <v>37.700000000000003</v>
      </c>
      <c r="BE1054" s="28" t="s">
        <v>748</v>
      </c>
      <c r="BP1054" s="401"/>
      <c r="BQ1054" s="401"/>
      <c r="BU1054" s="401"/>
      <c r="BV1054" s="401"/>
      <c r="BZ1054" s="401"/>
      <c r="CA1054" s="401"/>
      <c r="CE1054" s="554"/>
      <c r="CF1054" s="554"/>
      <c r="CG1054" s="554"/>
      <c r="CH1054" s="554"/>
      <c r="CJ1054" s="28">
        <v>1.44</v>
      </c>
      <c r="CK1054" s="28">
        <v>1.3</v>
      </c>
      <c r="CN1054" s="28" t="s">
        <v>746</v>
      </c>
      <c r="JB1054" s="5" t="s">
        <v>745</v>
      </c>
    </row>
    <row r="1055" spans="1:262" s="28" customFormat="1" x14ac:dyDescent="0.25">
      <c r="A1055" s="28">
        <v>50</v>
      </c>
      <c r="B1055" s="46" t="s">
        <v>3994</v>
      </c>
      <c r="C1055" s="28" t="s">
        <v>738</v>
      </c>
      <c r="D1055" s="28" t="s">
        <v>739</v>
      </c>
      <c r="E1055" s="28">
        <v>2000</v>
      </c>
      <c r="F1055" s="28">
        <v>1996</v>
      </c>
      <c r="G1055" s="28" t="s">
        <v>740</v>
      </c>
      <c r="I1055" s="32" t="s">
        <v>2815</v>
      </c>
      <c r="J1055" s="28">
        <v>41.84</v>
      </c>
      <c r="K1055" s="28">
        <v>-85.68</v>
      </c>
      <c r="L1055" s="28">
        <v>244</v>
      </c>
      <c r="R1055" s="46">
        <v>2</v>
      </c>
      <c r="S1055" s="46" t="s">
        <v>1728</v>
      </c>
      <c r="T1055" s="46"/>
      <c r="U1055" s="46" t="s">
        <v>1962</v>
      </c>
      <c r="V1055" s="46" t="s">
        <v>1406</v>
      </c>
      <c r="W1055" s="46" t="s">
        <v>1727</v>
      </c>
      <c r="X1055" s="46" t="s">
        <v>1400</v>
      </c>
      <c r="Y1055" s="46" t="s">
        <v>1417</v>
      </c>
      <c r="AA1055" s="326"/>
      <c r="AB1055" s="326"/>
      <c r="AC1055" s="28" t="s">
        <v>240</v>
      </c>
      <c r="AG1055" s="28" t="s">
        <v>1342</v>
      </c>
      <c r="AH1055" s="28" t="s">
        <v>131</v>
      </c>
      <c r="AI1055" s="138" t="s">
        <v>131</v>
      </c>
      <c r="AJ1055" s="28" t="s">
        <v>132</v>
      </c>
      <c r="AK1055" s="141" t="s">
        <v>132</v>
      </c>
      <c r="AT1055" s="28" t="s">
        <v>743</v>
      </c>
      <c r="AU1055" s="28" t="s">
        <v>743</v>
      </c>
      <c r="AV1055" s="28" t="s">
        <v>177</v>
      </c>
      <c r="AW1055" s="28" t="s">
        <v>160</v>
      </c>
      <c r="BB1055" s="28">
        <v>1763</v>
      </c>
      <c r="BC1055" s="28">
        <f>BB1055/45.4</f>
        <v>38.832599118942731</v>
      </c>
      <c r="BE1055" s="28" t="s">
        <v>748</v>
      </c>
      <c r="BP1055" s="401"/>
      <c r="BQ1055" s="401"/>
      <c r="BU1055" s="401"/>
      <c r="BV1055" s="401"/>
      <c r="BZ1055" s="401"/>
      <c r="CA1055" s="401"/>
      <c r="CE1055" s="554"/>
      <c r="CF1055" s="554"/>
      <c r="CG1055" s="554"/>
      <c r="CH1055" s="554"/>
      <c r="CJ1055" s="28">
        <v>1.36</v>
      </c>
      <c r="CK1055" s="28">
        <v>1.1200000000000001</v>
      </c>
      <c r="CN1055" s="28" t="s">
        <v>746</v>
      </c>
      <c r="JB1055" s="5" t="s">
        <v>745</v>
      </c>
    </row>
    <row r="1056" spans="1:262" s="5" customFormat="1" x14ac:dyDescent="0.25">
      <c r="A1056" s="5">
        <v>50</v>
      </c>
      <c r="B1056" s="52" t="s">
        <v>3994</v>
      </c>
      <c r="C1056" s="5" t="s">
        <v>738</v>
      </c>
      <c r="D1056" s="5" t="s">
        <v>739</v>
      </c>
      <c r="E1056" s="5">
        <v>2000</v>
      </c>
      <c r="F1056" s="5">
        <v>1997</v>
      </c>
      <c r="G1056" s="5" t="s">
        <v>740</v>
      </c>
      <c r="I1056" s="32" t="s">
        <v>2815</v>
      </c>
      <c r="J1056" s="5">
        <v>41.84</v>
      </c>
      <c r="K1056" s="5">
        <v>-85.68</v>
      </c>
      <c r="L1056" s="5">
        <v>244</v>
      </c>
      <c r="R1056" s="52">
        <v>3</v>
      </c>
      <c r="S1056" s="52" t="s">
        <v>1728</v>
      </c>
      <c r="T1056" s="52"/>
      <c r="U1056" s="52" t="s">
        <v>1962</v>
      </c>
      <c r="V1056" s="52" t="s">
        <v>1406</v>
      </c>
      <c r="W1056" s="52" t="s">
        <v>1727</v>
      </c>
      <c r="X1056" s="52" t="s">
        <v>1400</v>
      </c>
      <c r="Y1056" s="52" t="s">
        <v>1417</v>
      </c>
      <c r="AA1056" s="332"/>
      <c r="AB1056" s="332"/>
      <c r="AC1056" s="5" t="s">
        <v>240</v>
      </c>
      <c r="AG1056" s="5" t="s">
        <v>1342</v>
      </c>
      <c r="AH1056" s="5" t="s">
        <v>131</v>
      </c>
      <c r="AI1056" s="138" t="s">
        <v>131</v>
      </c>
      <c r="AJ1056" s="5" t="s">
        <v>132</v>
      </c>
      <c r="AK1056" s="141" t="s">
        <v>132</v>
      </c>
      <c r="AT1056" s="5" t="s">
        <v>742</v>
      </c>
      <c r="AU1056" s="5" t="s">
        <v>742</v>
      </c>
      <c r="AV1056" s="5" t="s">
        <v>177</v>
      </c>
      <c r="AW1056" s="5" t="s">
        <v>160</v>
      </c>
      <c r="BB1056" s="5">
        <v>1173</v>
      </c>
      <c r="BC1056" s="5">
        <f>BB1056/40</f>
        <v>29.324999999999999</v>
      </c>
      <c r="BD1056" s="54"/>
      <c r="BE1056" s="5" t="s">
        <v>748</v>
      </c>
      <c r="BP1056" s="403"/>
      <c r="BQ1056" s="403"/>
      <c r="BU1056" s="403"/>
      <c r="BV1056" s="403"/>
      <c r="BZ1056" s="403"/>
      <c r="CA1056" s="403"/>
      <c r="CE1056" s="556"/>
      <c r="CF1056" s="556"/>
      <c r="CG1056" s="556"/>
      <c r="CH1056" s="556"/>
      <c r="CJ1056" s="5">
        <v>1.81</v>
      </c>
      <c r="CK1056" s="5">
        <v>1.58</v>
      </c>
      <c r="CN1056" s="5" t="s">
        <v>746</v>
      </c>
      <c r="GZ1056" s="39"/>
      <c r="HD1056" s="39"/>
      <c r="JB1056" s="5" t="s">
        <v>745</v>
      </c>
    </row>
    <row r="1057" spans="1:262" s="5" customFormat="1" x14ac:dyDescent="0.25">
      <c r="A1057" s="5">
        <v>50</v>
      </c>
      <c r="B1057" s="52" t="s">
        <v>3994</v>
      </c>
      <c r="C1057" s="5" t="s">
        <v>738</v>
      </c>
      <c r="D1057" s="5" t="s">
        <v>739</v>
      </c>
      <c r="E1057" s="5">
        <v>2000</v>
      </c>
      <c r="F1057" s="5">
        <v>1997</v>
      </c>
      <c r="G1057" s="5" t="s">
        <v>740</v>
      </c>
      <c r="I1057" s="32" t="s">
        <v>2815</v>
      </c>
      <c r="J1057" s="5">
        <v>41.84</v>
      </c>
      <c r="K1057" s="5">
        <v>-85.68</v>
      </c>
      <c r="L1057" s="5">
        <v>244</v>
      </c>
      <c r="R1057" s="52">
        <v>3</v>
      </c>
      <c r="S1057" s="52" t="s">
        <v>1728</v>
      </c>
      <c r="T1057" s="52"/>
      <c r="U1057" s="52" t="s">
        <v>1962</v>
      </c>
      <c r="V1057" s="52" t="s">
        <v>1406</v>
      </c>
      <c r="W1057" s="52" t="s">
        <v>1727</v>
      </c>
      <c r="X1057" s="52" t="s">
        <v>1400</v>
      </c>
      <c r="Y1057" s="52" t="s">
        <v>1417</v>
      </c>
      <c r="AA1057" s="332"/>
      <c r="AB1057" s="332"/>
      <c r="AC1057" s="5" t="s">
        <v>240</v>
      </c>
      <c r="AG1057" s="5" t="s">
        <v>1342</v>
      </c>
      <c r="AH1057" s="5" t="s">
        <v>131</v>
      </c>
      <c r="AI1057" s="138" t="s">
        <v>131</v>
      </c>
      <c r="AJ1057" s="5" t="s">
        <v>132</v>
      </c>
      <c r="AK1057" s="141" t="s">
        <v>132</v>
      </c>
      <c r="AT1057" s="5" t="s">
        <v>743</v>
      </c>
      <c r="AU1057" s="5" t="s">
        <v>743</v>
      </c>
      <c r="AV1057" s="5" t="s">
        <v>177</v>
      </c>
      <c r="AW1057" s="5" t="s">
        <v>160</v>
      </c>
      <c r="BB1057" s="5">
        <v>2010</v>
      </c>
      <c r="BC1057" s="5">
        <f>BB1057/56</f>
        <v>35.892857142857146</v>
      </c>
      <c r="BD1057" s="54"/>
      <c r="BE1057" s="5" t="s">
        <v>748</v>
      </c>
      <c r="BP1057" s="403"/>
      <c r="BQ1057" s="403"/>
      <c r="BU1057" s="403"/>
      <c r="BV1057" s="403"/>
      <c r="BZ1057" s="403"/>
      <c r="CA1057" s="403"/>
      <c r="CE1057" s="556"/>
      <c r="CF1057" s="556"/>
      <c r="CG1057" s="556"/>
      <c r="CH1057" s="556"/>
      <c r="CJ1057" s="5">
        <v>2.23</v>
      </c>
      <c r="CK1057" s="5">
        <v>1.91</v>
      </c>
      <c r="CN1057" s="5" t="s">
        <v>746</v>
      </c>
      <c r="GZ1057" s="39"/>
      <c r="HD1057" s="39"/>
      <c r="JB1057" s="5" t="s">
        <v>745</v>
      </c>
    </row>
    <row r="1058" spans="1:262" s="5" customFormat="1" x14ac:dyDescent="0.25">
      <c r="A1058" s="5">
        <v>50</v>
      </c>
      <c r="B1058" s="52" t="s">
        <v>3935</v>
      </c>
      <c r="C1058" s="5" t="s">
        <v>738</v>
      </c>
      <c r="D1058" s="5" t="s">
        <v>739</v>
      </c>
      <c r="E1058" s="5">
        <v>2000</v>
      </c>
      <c r="F1058" s="5">
        <v>1995</v>
      </c>
      <c r="G1058" s="5" t="s">
        <v>740</v>
      </c>
      <c r="I1058" s="32" t="s">
        <v>2815</v>
      </c>
      <c r="J1058" s="5">
        <v>41.84</v>
      </c>
      <c r="K1058" s="5">
        <v>-85.68</v>
      </c>
      <c r="L1058" s="5">
        <v>244</v>
      </c>
      <c r="R1058" s="52">
        <v>1</v>
      </c>
      <c r="S1058" s="52" t="s">
        <v>1728</v>
      </c>
      <c r="T1058" s="52"/>
      <c r="U1058" s="52" t="s">
        <v>1962</v>
      </c>
      <c r="V1058" s="52" t="s">
        <v>1407</v>
      </c>
      <c r="W1058" s="52" t="s">
        <v>1727</v>
      </c>
      <c r="X1058" s="52" t="s">
        <v>1400</v>
      </c>
      <c r="Y1058" s="52" t="s">
        <v>1417</v>
      </c>
      <c r="AA1058" s="332"/>
      <c r="AB1058" s="332"/>
      <c r="AC1058" s="5" t="s">
        <v>240</v>
      </c>
      <c r="AG1058" s="5" t="s">
        <v>1342</v>
      </c>
      <c r="AH1058" s="5" t="s">
        <v>131</v>
      </c>
      <c r="AI1058" s="138" t="s">
        <v>131</v>
      </c>
      <c r="AJ1058" s="5" t="s">
        <v>132</v>
      </c>
      <c r="AK1058" s="141" t="s">
        <v>132</v>
      </c>
      <c r="AT1058" s="5" t="s">
        <v>742</v>
      </c>
      <c r="AU1058" s="5" t="s">
        <v>742</v>
      </c>
      <c r="AV1058" s="5" t="s">
        <v>177</v>
      </c>
      <c r="AW1058" s="5" t="s">
        <v>160</v>
      </c>
      <c r="BD1058" s="54"/>
      <c r="BE1058" s="5" t="s">
        <v>749</v>
      </c>
      <c r="BP1058" s="403"/>
      <c r="BQ1058" s="403"/>
      <c r="BU1058" s="403"/>
      <c r="BV1058" s="403"/>
      <c r="BZ1058" s="403"/>
      <c r="CA1058" s="403"/>
      <c r="CE1058" s="556"/>
      <c r="CF1058" s="556"/>
      <c r="CG1058" s="556"/>
      <c r="CH1058" s="556"/>
      <c r="CJ1058" s="5">
        <v>5.38</v>
      </c>
      <c r="CK1058" s="5">
        <v>1.92</v>
      </c>
      <c r="CN1058" s="5" t="s">
        <v>746</v>
      </c>
      <c r="GZ1058" s="39"/>
      <c r="HD1058" s="39"/>
      <c r="JB1058" s="5" t="s">
        <v>745</v>
      </c>
    </row>
    <row r="1059" spans="1:262" s="5" customFormat="1" x14ac:dyDescent="0.25">
      <c r="A1059" s="5">
        <v>50</v>
      </c>
      <c r="B1059" s="52" t="s">
        <v>3995</v>
      </c>
      <c r="C1059" s="5" t="s">
        <v>738</v>
      </c>
      <c r="D1059" s="5" t="s">
        <v>739</v>
      </c>
      <c r="E1059" s="5">
        <v>2000</v>
      </c>
      <c r="F1059" s="5">
        <v>1995</v>
      </c>
      <c r="G1059" s="5" t="s">
        <v>740</v>
      </c>
      <c r="I1059" s="32" t="s">
        <v>2815</v>
      </c>
      <c r="J1059" s="5">
        <v>41.84</v>
      </c>
      <c r="K1059" s="5">
        <v>-85.68</v>
      </c>
      <c r="L1059" s="5">
        <v>244</v>
      </c>
      <c r="R1059" s="52">
        <v>1</v>
      </c>
      <c r="S1059" s="52" t="s">
        <v>1728</v>
      </c>
      <c r="T1059" s="52"/>
      <c r="U1059" s="52" t="s">
        <v>1962</v>
      </c>
      <c r="V1059" s="52" t="s">
        <v>1407</v>
      </c>
      <c r="W1059" s="52" t="s">
        <v>1727</v>
      </c>
      <c r="X1059" s="52" t="s">
        <v>1400</v>
      </c>
      <c r="Y1059" s="52" t="s">
        <v>1417</v>
      </c>
      <c r="AA1059" s="332"/>
      <c r="AB1059" s="332"/>
      <c r="AC1059" s="5" t="s">
        <v>240</v>
      </c>
      <c r="AG1059" s="5" t="s">
        <v>1342</v>
      </c>
      <c r="AH1059" s="5" t="s">
        <v>131</v>
      </c>
      <c r="AI1059" s="138" t="s">
        <v>131</v>
      </c>
      <c r="AJ1059" s="5" t="s">
        <v>132</v>
      </c>
      <c r="AK1059" s="141" t="s">
        <v>132</v>
      </c>
      <c r="AT1059" s="5" t="s">
        <v>743</v>
      </c>
      <c r="AU1059" s="5" t="s">
        <v>743</v>
      </c>
      <c r="AV1059" s="5" t="s">
        <v>177</v>
      </c>
      <c r="AW1059" s="5" t="s">
        <v>160</v>
      </c>
      <c r="BD1059" s="54"/>
      <c r="BE1059" s="5" t="s">
        <v>749</v>
      </c>
      <c r="BP1059" s="403"/>
      <c r="BQ1059" s="403"/>
      <c r="BU1059" s="403"/>
      <c r="BV1059" s="403"/>
      <c r="BZ1059" s="403"/>
      <c r="CA1059" s="403"/>
      <c r="CE1059" s="556"/>
      <c r="CF1059" s="556"/>
      <c r="CG1059" s="556"/>
      <c r="CH1059" s="556"/>
      <c r="CJ1059" s="5">
        <v>17.93</v>
      </c>
      <c r="CK1059" s="5">
        <v>8.61</v>
      </c>
      <c r="CN1059" s="5" t="s">
        <v>746</v>
      </c>
      <c r="GZ1059" s="39"/>
      <c r="HD1059" s="39"/>
      <c r="JB1059" s="5" t="s">
        <v>745</v>
      </c>
    </row>
    <row r="1060" spans="1:262" s="28" customFormat="1" x14ac:dyDescent="0.25">
      <c r="A1060" s="28">
        <v>50</v>
      </c>
      <c r="B1060" s="46" t="s">
        <v>3995</v>
      </c>
      <c r="C1060" s="28" t="s">
        <v>738</v>
      </c>
      <c r="D1060" s="28" t="s">
        <v>739</v>
      </c>
      <c r="E1060" s="28">
        <v>2000</v>
      </c>
      <c r="F1060" s="28">
        <v>1996</v>
      </c>
      <c r="G1060" s="28" t="s">
        <v>740</v>
      </c>
      <c r="I1060" s="32" t="s">
        <v>2815</v>
      </c>
      <c r="J1060" s="28">
        <v>41.84</v>
      </c>
      <c r="K1060" s="28">
        <v>-85.68</v>
      </c>
      <c r="L1060" s="28">
        <v>244</v>
      </c>
      <c r="R1060" s="46">
        <v>2</v>
      </c>
      <c r="S1060" s="46" t="s">
        <v>1728</v>
      </c>
      <c r="T1060" s="46"/>
      <c r="U1060" s="46" t="s">
        <v>1962</v>
      </c>
      <c r="V1060" s="46" t="s">
        <v>1407</v>
      </c>
      <c r="W1060" s="46" t="s">
        <v>1727</v>
      </c>
      <c r="X1060" s="46" t="s">
        <v>1400</v>
      </c>
      <c r="Y1060" s="46" t="s">
        <v>1417</v>
      </c>
      <c r="AA1060" s="326"/>
      <c r="AB1060" s="326"/>
      <c r="AC1060" s="28" t="s">
        <v>240</v>
      </c>
      <c r="AG1060" s="28" t="s">
        <v>1342</v>
      </c>
      <c r="AH1060" s="28" t="s">
        <v>131</v>
      </c>
      <c r="AI1060" s="138" t="s">
        <v>131</v>
      </c>
      <c r="AJ1060" s="28" t="s">
        <v>132</v>
      </c>
      <c r="AK1060" s="141" t="s">
        <v>132</v>
      </c>
      <c r="AT1060" s="28" t="s">
        <v>742</v>
      </c>
      <c r="AU1060" s="28" t="s">
        <v>742</v>
      </c>
      <c r="AV1060" s="28" t="s">
        <v>177</v>
      </c>
      <c r="AW1060" s="28" t="s">
        <v>160</v>
      </c>
      <c r="BB1060" s="28">
        <v>754</v>
      </c>
      <c r="BC1060" s="28">
        <f>BB1060/20</f>
        <v>37.700000000000003</v>
      </c>
      <c r="BE1060" s="28" t="s">
        <v>749</v>
      </c>
      <c r="BP1060" s="401"/>
      <c r="BQ1060" s="401"/>
      <c r="BU1060" s="401"/>
      <c r="BV1060" s="401"/>
      <c r="BZ1060" s="401"/>
      <c r="CA1060" s="401"/>
      <c r="CE1060" s="554"/>
      <c r="CF1060" s="554"/>
      <c r="CG1060" s="554"/>
      <c r="CH1060" s="554"/>
      <c r="CJ1060" s="28">
        <v>1.5</v>
      </c>
      <c r="CK1060" s="28">
        <v>1.29</v>
      </c>
      <c r="CN1060" s="28" t="s">
        <v>746</v>
      </c>
      <c r="JB1060" s="5" t="s">
        <v>745</v>
      </c>
    </row>
    <row r="1061" spans="1:262" s="28" customFormat="1" x14ac:dyDescent="0.25">
      <c r="A1061" s="28">
        <v>50</v>
      </c>
      <c r="B1061" s="46" t="s">
        <v>3995</v>
      </c>
      <c r="C1061" s="28" t="s">
        <v>738</v>
      </c>
      <c r="D1061" s="28" t="s">
        <v>739</v>
      </c>
      <c r="E1061" s="28">
        <v>2000</v>
      </c>
      <c r="F1061" s="28">
        <v>1996</v>
      </c>
      <c r="G1061" s="28" t="s">
        <v>740</v>
      </c>
      <c r="I1061" s="32" t="s">
        <v>2815</v>
      </c>
      <c r="J1061" s="28">
        <v>41.84</v>
      </c>
      <c r="K1061" s="28">
        <v>-85.68</v>
      </c>
      <c r="L1061" s="28">
        <v>244</v>
      </c>
      <c r="R1061" s="46">
        <v>2</v>
      </c>
      <c r="S1061" s="46" t="s">
        <v>1728</v>
      </c>
      <c r="T1061" s="46"/>
      <c r="U1061" s="46" t="s">
        <v>1962</v>
      </c>
      <c r="V1061" s="46" t="s">
        <v>1407</v>
      </c>
      <c r="W1061" s="46" t="s">
        <v>1727</v>
      </c>
      <c r="X1061" s="46" t="s">
        <v>1400</v>
      </c>
      <c r="Y1061" s="46" t="s">
        <v>1417</v>
      </c>
      <c r="AA1061" s="326"/>
      <c r="AB1061" s="326"/>
      <c r="AC1061" s="28" t="s">
        <v>240</v>
      </c>
      <c r="AG1061" s="28" t="s">
        <v>1342</v>
      </c>
      <c r="AH1061" s="28" t="s">
        <v>131</v>
      </c>
      <c r="AI1061" s="138" t="s">
        <v>131</v>
      </c>
      <c r="AJ1061" s="28" t="s">
        <v>132</v>
      </c>
      <c r="AK1061" s="141" t="s">
        <v>132</v>
      </c>
      <c r="AT1061" s="28" t="s">
        <v>743</v>
      </c>
      <c r="AU1061" s="28" t="s">
        <v>743</v>
      </c>
      <c r="AV1061" s="28" t="s">
        <v>177</v>
      </c>
      <c r="AW1061" s="28" t="s">
        <v>160</v>
      </c>
      <c r="BB1061" s="28">
        <v>1763</v>
      </c>
      <c r="BC1061" s="28">
        <f>BB1061/45.4</f>
        <v>38.832599118942731</v>
      </c>
      <c r="BE1061" s="28" t="s">
        <v>749</v>
      </c>
      <c r="BP1061" s="401"/>
      <c r="BQ1061" s="401"/>
      <c r="BU1061" s="401"/>
      <c r="BV1061" s="401"/>
      <c r="BZ1061" s="401"/>
      <c r="CA1061" s="401"/>
      <c r="CE1061" s="554"/>
      <c r="CF1061" s="554"/>
      <c r="CG1061" s="554"/>
      <c r="CH1061" s="554"/>
      <c r="CJ1061" s="28">
        <v>1.21</v>
      </c>
      <c r="CK1061" s="28">
        <v>1.1299999999999999</v>
      </c>
      <c r="CN1061" s="28" t="s">
        <v>746</v>
      </c>
      <c r="JB1061" s="5" t="s">
        <v>745</v>
      </c>
    </row>
    <row r="1062" spans="1:262" s="5" customFormat="1" x14ac:dyDescent="0.25">
      <c r="A1062" s="5">
        <v>50</v>
      </c>
      <c r="B1062" s="52" t="s">
        <v>3995</v>
      </c>
      <c r="C1062" s="5" t="s">
        <v>738</v>
      </c>
      <c r="D1062" s="5" t="s">
        <v>739</v>
      </c>
      <c r="E1062" s="5">
        <v>2000</v>
      </c>
      <c r="F1062" s="5">
        <v>1997</v>
      </c>
      <c r="G1062" s="5" t="s">
        <v>740</v>
      </c>
      <c r="I1062" s="32" t="s">
        <v>2815</v>
      </c>
      <c r="J1062" s="5">
        <v>41.84</v>
      </c>
      <c r="K1062" s="5">
        <v>-85.68</v>
      </c>
      <c r="L1062" s="5">
        <v>244</v>
      </c>
      <c r="R1062" s="52">
        <v>3</v>
      </c>
      <c r="S1062" s="52" t="s">
        <v>1728</v>
      </c>
      <c r="T1062" s="52"/>
      <c r="U1062" s="52" t="s">
        <v>1962</v>
      </c>
      <c r="V1062" s="52" t="s">
        <v>1407</v>
      </c>
      <c r="W1062" s="52" t="s">
        <v>1727</v>
      </c>
      <c r="X1062" s="52" t="s">
        <v>1400</v>
      </c>
      <c r="Y1062" s="52" t="s">
        <v>1417</v>
      </c>
      <c r="AA1062" s="332"/>
      <c r="AB1062" s="332"/>
      <c r="AC1062" s="5" t="s">
        <v>240</v>
      </c>
      <c r="AG1062" s="5" t="s">
        <v>1342</v>
      </c>
      <c r="AH1062" s="5" t="s">
        <v>131</v>
      </c>
      <c r="AI1062" s="138" t="s">
        <v>131</v>
      </c>
      <c r="AJ1062" s="5" t="s">
        <v>132</v>
      </c>
      <c r="AK1062" s="141" t="s">
        <v>132</v>
      </c>
      <c r="AT1062" s="5" t="s">
        <v>742</v>
      </c>
      <c r="AU1062" s="5" t="s">
        <v>742</v>
      </c>
      <c r="AV1062" s="5" t="s">
        <v>177</v>
      </c>
      <c r="AW1062" s="5" t="s">
        <v>160</v>
      </c>
      <c r="BB1062" s="5">
        <v>1173</v>
      </c>
      <c r="BC1062" s="5">
        <f>BB1062/40</f>
        <v>29.324999999999999</v>
      </c>
      <c r="BD1062" s="54"/>
      <c r="BE1062" s="5" t="s">
        <v>749</v>
      </c>
      <c r="BP1062" s="403"/>
      <c r="BQ1062" s="403"/>
      <c r="BU1062" s="403"/>
      <c r="BV1062" s="403"/>
      <c r="BZ1062" s="403"/>
      <c r="CA1062" s="403"/>
      <c r="CE1062" s="556"/>
      <c r="CF1062" s="556"/>
      <c r="CG1062" s="556"/>
      <c r="CH1062" s="556"/>
      <c r="CJ1062" s="5">
        <v>1.82</v>
      </c>
      <c r="CK1062" s="5">
        <v>1.83</v>
      </c>
      <c r="CN1062" s="5" t="s">
        <v>746</v>
      </c>
      <c r="GZ1062" s="39"/>
      <c r="HD1062" s="39"/>
      <c r="JB1062" s="5" t="s">
        <v>745</v>
      </c>
    </row>
    <row r="1063" spans="1:262" s="5" customFormat="1" x14ac:dyDescent="0.25">
      <c r="A1063" s="5">
        <v>50</v>
      </c>
      <c r="B1063" s="52" t="s">
        <v>3995</v>
      </c>
      <c r="C1063" s="5" t="s">
        <v>738</v>
      </c>
      <c r="D1063" s="5" t="s">
        <v>739</v>
      </c>
      <c r="E1063" s="5">
        <v>2000</v>
      </c>
      <c r="F1063" s="5">
        <v>1997</v>
      </c>
      <c r="G1063" s="5" t="s">
        <v>740</v>
      </c>
      <c r="I1063" s="32" t="s">
        <v>2815</v>
      </c>
      <c r="J1063" s="5">
        <v>41.84</v>
      </c>
      <c r="K1063" s="5">
        <v>-85.68</v>
      </c>
      <c r="L1063" s="5">
        <v>244</v>
      </c>
      <c r="R1063" s="52">
        <v>3</v>
      </c>
      <c r="S1063" s="52" t="s">
        <v>1728</v>
      </c>
      <c r="T1063" s="52"/>
      <c r="U1063" s="52" t="s">
        <v>1962</v>
      </c>
      <c r="V1063" s="52" t="s">
        <v>1407</v>
      </c>
      <c r="W1063" s="52" t="s">
        <v>1727</v>
      </c>
      <c r="X1063" s="52" t="s">
        <v>1400</v>
      </c>
      <c r="Y1063" s="52" t="s">
        <v>1417</v>
      </c>
      <c r="AA1063" s="332"/>
      <c r="AB1063" s="332"/>
      <c r="AC1063" s="5" t="s">
        <v>240</v>
      </c>
      <c r="AG1063" s="5" t="s">
        <v>1342</v>
      </c>
      <c r="AH1063" s="5" t="s">
        <v>131</v>
      </c>
      <c r="AI1063" s="138" t="s">
        <v>131</v>
      </c>
      <c r="AJ1063" s="5" t="s">
        <v>132</v>
      </c>
      <c r="AK1063" s="141" t="s">
        <v>132</v>
      </c>
      <c r="AT1063" s="5" t="s">
        <v>743</v>
      </c>
      <c r="AU1063" s="5" t="s">
        <v>743</v>
      </c>
      <c r="AV1063" s="5" t="s">
        <v>177</v>
      </c>
      <c r="AW1063" s="5" t="s">
        <v>160</v>
      </c>
      <c r="BB1063" s="5">
        <v>2010</v>
      </c>
      <c r="BC1063" s="5">
        <f>BB1063/56</f>
        <v>35.892857142857146</v>
      </c>
      <c r="BD1063" s="54"/>
      <c r="BE1063" s="5" t="s">
        <v>749</v>
      </c>
      <c r="BP1063" s="403"/>
      <c r="BQ1063" s="403"/>
      <c r="BU1063" s="403"/>
      <c r="BV1063" s="403"/>
      <c r="BZ1063" s="403"/>
      <c r="CA1063" s="403"/>
      <c r="CE1063" s="556"/>
      <c r="CF1063" s="556"/>
      <c r="CG1063" s="556"/>
      <c r="CH1063" s="556"/>
      <c r="CJ1063" s="5">
        <v>2.33</v>
      </c>
      <c r="CK1063" s="5">
        <v>1.92</v>
      </c>
      <c r="CN1063" s="5" t="s">
        <v>746</v>
      </c>
      <c r="GZ1063" s="39"/>
      <c r="HD1063" s="39"/>
      <c r="JB1063" s="5" t="s">
        <v>745</v>
      </c>
    </row>
    <row r="1064" spans="1:262" s="24" customFormat="1" x14ac:dyDescent="0.25">
      <c r="A1064" s="24">
        <v>51</v>
      </c>
      <c r="B1064" s="42" t="s">
        <v>3996</v>
      </c>
      <c r="C1064" s="24" t="s">
        <v>751</v>
      </c>
      <c r="D1064" s="24" t="s">
        <v>752</v>
      </c>
      <c r="E1064" s="24">
        <v>2017</v>
      </c>
      <c r="F1064" s="24">
        <v>2011</v>
      </c>
      <c r="G1064" s="24" t="s">
        <v>296</v>
      </c>
      <c r="H1064" s="24" t="s">
        <v>318</v>
      </c>
      <c r="I1064" s="32" t="s">
        <v>2815</v>
      </c>
      <c r="J1064" s="24">
        <v>40.716666666666669</v>
      </c>
      <c r="K1064" s="24">
        <v>-77.916666666666671</v>
      </c>
      <c r="L1064" s="24">
        <v>376</v>
      </c>
      <c r="P1064" s="24">
        <v>975</v>
      </c>
      <c r="R1064" s="42" t="s">
        <v>1847</v>
      </c>
      <c r="S1064" s="42" t="s">
        <v>1728</v>
      </c>
      <c r="T1064" s="42"/>
      <c r="U1064" s="42" t="s">
        <v>1963</v>
      </c>
      <c r="V1064" s="42" t="s">
        <v>1377</v>
      </c>
      <c r="W1064" s="42" t="s">
        <v>1377</v>
      </c>
      <c r="X1064" s="42" t="s">
        <v>1377</v>
      </c>
      <c r="Y1064" s="42" t="s">
        <v>1377</v>
      </c>
      <c r="AA1064" s="321"/>
      <c r="AB1064" s="321"/>
      <c r="AC1064" s="24" t="s">
        <v>450</v>
      </c>
      <c r="AH1064" s="24" t="s">
        <v>243</v>
      </c>
      <c r="AI1064" s="138" t="s">
        <v>577</v>
      </c>
      <c r="AJ1064" s="24" t="s">
        <v>1527</v>
      </c>
      <c r="AK1064" s="140" t="s">
        <v>116</v>
      </c>
      <c r="AW1064" s="24" t="s">
        <v>160</v>
      </c>
      <c r="BP1064" s="395"/>
      <c r="BQ1064" s="395"/>
      <c r="BU1064" s="395"/>
      <c r="BV1064" s="395"/>
      <c r="BZ1064" s="395"/>
      <c r="CA1064" s="395"/>
      <c r="CE1064" s="548"/>
      <c r="CF1064" s="548"/>
      <c r="CG1064" s="548"/>
      <c r="CH1064" s="548"/>
      <c r="GK1064" s="24">
        <v>1.71</v>
      </c>
      <c r="GL1064" s="24">
        <v>3.08</v>
      </c>
      <c r="GO1064" s="24" t="s">
        <v>753</v>
      </c>
      <c r="JB1064" s="24" t="s">
        <v>753</v>
      </c>
    </row>
    <row r="1065" spans="1:262" s="24" customFormat="1" x14ac:dyDescent="0.25">
      <c r="A1065" s="24">
        <v>51</v>
      </c>
      <c r="B1065" s="42" t="s">
        <v>3997</v>
      </c>
      <c r="C1065" s="24" t="s">
        <v>751</v>
      </c>
      <c r="D1065" s="24" t="s">
        <v>752</v>
      </c>
      <c r="E1065" s="24">
        <v>2017</v>
      </c>
      <c r="F1065" s="24">
        <v>2011</v>
      </c>
      <c r="G1065" s="24" t="s">
        <v>296</v>
      </c>
      <c r="H1065" s="24" t="s">
        <v>318</v>
      </c>
      <c r="I1065" s="32" t="s">
        <v>2815</v>
      </c>
      <c r="J1065" s="24">
        <v>40.716666666666669</v>
      </c>
      <c r="K1065" s="24">
        <v>-77.916666666666671</v>
      </c>
      <c r="L1065" s="24">
        <v>376</v>
      </c>
      <c r="P1065" s="24">
        <v>975</v>
      </c>
      <c r="R1065" s="42" t="s">
        <v>1847</v>
      </c>
      <c r="S1065" s="42" t="s">
        <v>1728</v>
      </c>
      <c r="T1065" s="42"/>
      <c r="U1065" s="42" t="s">
        <v>1963</v>
      </c>
      <c r="V1065" s="42" t="s">
        <v>1377</v>
      </c>
      <c r="W1065" s="42" t="s">
        <v>1377</v>
      </c>
      <c r="X1065" s="42" t="s">
        <v>1377</v>
      </c>
      <c r="Y1065" s="42" t="s">
        <v>1377</v>
      </c>
      <c r="AA1065" s="321"/>
      <c r="AB1065" s="321"/>
      <c r="AC1065" s="24" t="s">
        <v>450</v>
      </c>
      <c r="AH1065" s="24" t="s">
        <v>131</v>
      </c>
      <c r="AI1065" s="138" t="s">
        <v>131</v>
      </c>
      <c r="AJ1065" s="24" t="s">
        <v>1527</v>
      </c>
      <c r="AK1065" s="140" t="s">
        <v>116</v>
      </c>
      <c r="AW1065" s="24" t="s">
        <v>160</v>
      </c>
      <c r="BP1065" s="395"/>
      <c r="BQ1065" s="395"/>
      <c r="BU1065" s="395"/>
      <c r="BV1065" s="395"/>
      <c r="BZ1065" s="395"/>
      <c r="CA1065" s="395"/>
      <c r="CE1065" s="548"/>
      <c r="CF1065" s="548"/>
      <c r="CG1065" s="548"/>
      <c r="CH1065" s="548"/>
      <c r="GK1065" s="24">
        <v>1.71</v>
      </c>
      <c r="GL1065" s="24">
        <v>1.47</v>
      </c>
      <c r="GO1065" s="24" t="s">
        <v>753</v>
      </c>
      <c r="JB1065" s="24" t="s">
        <v>753</v>
      </c>
    </row>
    <row r="1066" spans="1:262" s="28" customFormat="1" x14ac:dyDescent="0.25">
      <c r="A1066" s="28">
        <v>52</v>
      </c>
      <c r="B1066" s="46" t="s">
        <v>3998</v>
      </c>
      <c r="C1066" s="28" t="s">
        <v>754</v>
      </c>
      <c r="D1066" s="28" t="s">
        <v>755</v>
      </c>
      <c r="E1066" s="28">
        <v>1998</v>
      </c>
      <c r="F1066" s="28">
        <v>1989</v>
      </c>
      <c r="G1066" s="28" t="s">
        <v>756</v>
      </c>
      <c r="I1066" s="32" t="s">
        <v>2815</v>
      </c>
      <c r="J1066" s="28">
        <v>38.630000000000003</v>
      </c>
      <c r="K1066" s="28">
        <v>-75.459999999999994</v>
      </c>
      <c r="L1066" s="28">
        <v>10.8</v>
      </c>
      <c r="R1066" s="46">
        <v>1</v>
      </c>
      <c r="S1066" s="46" t="s">
        <v>1728</v>
      </c>
      <c r="T1066" s="46"/>
      <c r="U1066" s="46" t="s">
        <v>1964</v>
      </c>
      <c r="V1066" s="46" t="s">
        <v>1382</v>
      </c>
      <c r="W1066" s="46" t="s">
        <v>1717</v>
      </c>
      <c r="X1066" s="46" t="s">
        <v>1382</v>
      </c>
      <c r="Y1066" s="46" t="s">
        <v>1382</v>
      </c>
      <c r="AA1066" s="326"/>
      <c r="AB1066" s="326"/>
      <c r="AC1066" s="28" t="s">
        <v>175</v>
      </c>
      <c r="AG1066" s="28" t="s">
        <v>1343</v>
      </c>
      <c r="AH1066" s="28" t="s">
        <v>131</v>
      </c>
      <c r="AI1066" s="138" t="s">
        <v>131</v>
      </c>
      <c r="AJ1066" s="28" t="s">
        <v>132</v>
      </c>
      <c r="AK1066" s="141" t="s">
        <v>132</v>
      </c>
      <c r="AO1066" s="28" t="s">
        <v>156</v>
      </c>
      <c r="AP1066" s="28" t="s">
        <v>156</v>
      </c>
      <c r="AQ1066" s="28" t="s">
        <v>2126</v>
      </c>
      <c r="AR1066" s="28" t="s">
        <v>2126</v>
      </c>
      <c r="AS1066" s="28" t="s">
        <v>177</v>
      </c>
      <c r="AT1066" s="28" t="s">
        <v>757</v>
      </c>
      <c r="AU1066" s="28" t="s">
        <v>757</v>
      </c>
      <c r="AV1066" s="28" t="s">
        <v>177</v>
      </c>
      <c r="AW1066" s="28" t="s">
        <v>160</v>
      </c>
      <c r="AX1066" s="28">
        <v>3</v>
      </c>
      <c r="AZ1066" s="28" t="s">
        <v>141</v>
      </c>
      <c r="BK1066" s="28">
        <v>8568</v>
      </c>
      <c r="BL1066" s="28">
        <v>8517</v>
      </c>
      <c r="BP1066" s="401"/>
      <c r="BQ1066" s="401"/>
      <c r="BU1066" s="401"/>
      <c r="BV1066" s="401"/>
      <c r="BZ1066" s="401"/>
      <c r="CA1066" s="401"/>
      <c r="CE1066" s="554"/>
      <c r="CF1066" s="554"/>
      <c r="CG1066" s="554"/>
      <c r="CH1066" s="554"/>
      <c r="CJ1066" s="28">
        <f>(10.1+8.1)/2</f>
        <v>9.1</v>
      </c>
      <c r="CK1066" s="28">
        <f>(9.8+4)/2</f>
        <v>6.9</v>
      </c>
      <c r="CN1066" s="28" t="s">
        <v>1674</v>
      </c>
      <c r="FB1066" s="28">
        <v>64.2</v>
      </c>
      <c r="FC1066" s="28">
        <v>41.6</v>
      </c>
      <c r="FF1066" s="28" t="s">
        <v>766</v>
      </c>
      <c r="JB1066" s="28" t="s">
        <v>767</v>
      </c>
    </row>
    <row r="1067" spans="1:262" s="28" customFormat="1" x14ac:dyDescent="0.25">
      <c r="A1067" s="28">
        <v>52</v>
      </c>
      <c r="B1067" s="46" t="s">
        <v>3998</v>
      </c>
      <c r="C1067" s="28" t="s">
        <v>754</v>
      </c>
      <c r="D1067" s="28" t="s">
        <v>755</v>
      </c>
      <c r="E1067" s="28">
        <v>1998</v>
      </c>
      <c r="F1067" s="28">
        <v>1989</v>
      </c>
      <c r="G1067" s="28" t="s">
        <v>756</v>
      </c>
      <c r="I1067" s="32" t="s">
        <v>2815</v>
      </c>
      <c r="J1067" s="28">
        <v>38.630000000000003</v>
      </c>
      <c r="K1067" s="28">
        <v>-75.459999999999994</v>
      </c>
      <c r="L1067" s="28">
        <v>10.8</v>
      </c>
      <c r="R1067" s="46">
        <v>1</v>
      </c>
      <c r="S1067" s="46" t="s">
        <v>1728</v>
      </c>
      <c r="T1067" s="46"/>
      <c r="U1067" s="46" t="s">
        <v>1964</v>
      </c>
      <c r="V1067" s="46" t="s">
        <v>1382</v>
      </c>
      <c r="W1067" s="46" t="s">
        <v>1717</v>
      </c>
      <c r="X1067" s="46" t="s">
        <v>1382</v>
      </c>
      <c r="Y1067" s="46" t="s">
        <v>1382</v>
      </c>
      <c r="AA1067" s="326"/>
      <c r="AB1067" s="326"/>
      <c r="AC1067" s="28" t="s">
        <v>175</v>
      </c>
      <c r="AG1067" s="28" t="s">
        <v>1343</v>
      </c>
      <c r="AH1067" s="28" t="s">
        <v>131</v>
      </c>
      <c r="AI1067" s="138" t="s">
        <v>131</v>
      </c>
      <c r="AJ1067" s="28" t="s">
        <v>132</v>
      </c>
      <c r="AK1067" s="141" t="s">
        <v>132</v>
      </c>
      <c r="AO1067" s="28" t="s">
        <v>156</v>
      </c>
      <c r="AP1067" s="28" t="s">
        <v>156</v>
      </c>
      <c r="AQ1067" s="28" t="s">
        <v>2126</v>
      </c>
      <c r="AR1067" s="28" t="s">
        <v>2126</v>
      </c>
      <c r="AS1067" s="28" t="s">
        <v>177</v>
      </c>
      <c r="AT1067" s="28" t="s">
        <v>758</v>
      </c>
      <c r="AU1067" s="28" t="s">
        <v>758</v>
      </c>
      <c r="AV1067" s="28" t="s">
        <v>177</v>
      </c>
      <c r="AW1067" s="28" t="s">
        <v>160</v>
      </c>
      <c r="AX1067" s="28">
        <v>3</v>
      </c>
      <c r="AZ1067" s="28" t="s">
        <v>141</v>
      </c>
      <c r="BK1067" s="28">
        <v>8517</v>
      </c>
      <c r="BL1067" s="28">
        <v>8210</v>
      </c>
      <c r="BP1067" s="401"/>
      <c r="BQ1067" s="401"/>
      <c r="BU1067" s="401"/>
      <c r="BV1067" s="401"/>
      <c r="BZ1067" s="401"/>
      <c r="CA1067" s="401"/>
      <c r="CE1067" s="554"/>
      <c r="CF1067" s="554"/>
      <c r="CG1067" s="554"/>
      <c r="CH1067" s="554"/>
      <c r="CJ1067" s="28">
        <f>(7.5+7)/2</f>
        <v>7.25</v>
      </c>
      <c r="CK1067" s="28">
        <f>(8.5+8.4)/2</f>
        <v>8.4499999999999993</v>
      </c>
      <c r="CN1067" s="28" t="s">
        <v>1674</v>
      </c>
      <c r="FB1067" s="28">
        <v>43.8</v>
      </c>
      <c r="FC1067" s="28">
        <v>37.799999999999997</v>
      </c>
      <c r="FF1067" s="28" t="s">
        <v>766</v>
      </c>
      <c r="JB1067" s="28" t="s">
        <v>767</v>
      </c>
    </row>
    <row r="1068" spans="1:262" s="28" customFormat="1" x14ac:dyDescent="0.25">
      <c r="A1068" s="28">
        <v>52</v>
      </c>
      <c r="B1068" s="46" t="s">
        <v>3998</v>
      </c>
      <c r="C1068" s="28" t="s">
        <v>754</v>
      </c>
      <c r="D1068" s="28" t="s">
        <v>755</v>
      </c>
      <c r="E1068" s="28">
        <v>1998</v>
      </c>
      <c r="F1068" s="28">
        <v>1989</v>
      </c>
      <c r="G1068" s="28" t="s">
        <v>756</v>
      </c>
      <c r="I1068" s="32" t="s">
        <v>2815</v>
      </c>
      <c r="J1068" s="28">
        <v>38.630000000000003</v>
      </c>
      <c r="K1068" s="28">
        <v>-75.459999999999994</v>
      </c>
      <c r="L1068" s="28">
        <v>10.8</v>
      </c>
      <c r="R1068" s="46">
        <v>1</v>
      </c>
      <c r="S1068" s="46" t="s">
        <v>1728</v>
      </c>
      <c r="T1068" s="46"/>
      <c r="U1068" s="46" t="s">
        <v>1964</v>
      </c>
      <c r="V1068" s="46" t="s">
        <v>1382</v>
      </c>
      <c r="W1068" s="46" t="s">
        <v>1717</v>
      </c>
      <c r="X1068" s="46" t="s">
        <v>1382</v>
      </c>
      <c r="Y1068" s="46" t="s">
        <v>1382</v>
      </c>
      <c r="AA1068" s="326"/>
      <c r="AB1068" s="326"/>
      <c r="AC1068" s="28" t="s">
        <v>175</v>
      </c>
      <c r="AG1068" s="28" t="s">
        <v>1343</v>
      </c>
      <c r="AH1068" s="28" t="s">
        <v>131</v>
      </c>
      <c r="AI1068" s="138" t="s">
        <v>131</v>
      </c>
      <c r="AJ1068" s="28" t="s">
        <v>132</v>
      </c>
      <c r="AK1068" s="141" t="s">
        <v>132</v>
      </c>
      <c r="AO1068" s="28" t="s">
        <v>156</v>
      </c>
      <c r="AP1068" s="28" t="s">
        <v>156</v>
      </c>
      <c r="AQ1068" s="28" t="s">
        <v>2126</v>
      </c>
      <c r="AR1068" s="28" t="s">
        <v>2126</v>
      </c>
      <c r="AS1068" s="28" t="s">
        <v>177</v>
      </c>
      <c r="AT1068" s="28" t="s">
        <v>759</v>
      </c>
      <c r="AU1068" s="28" t="s">
        <v>759</v>
      </c>
      <c r="AV1068" s="28" t="s">
        <v>177</v>
      </c>
      <c r="AW1068" s="28" t="s">
        <v>160</v>
      </c>
      <c r="AX1068" s="28">
        <v>3</v>
      </c>
      <c r="AZ1068" s="28" t="s">
        <v>141</v>
      </c>
      <c r="BK1068" s="28">
        <v>7764</v>
      </c>
      <c r="BL1068" s="28">
        <v>8391</v>
      </c>
      <c r="BP1068" s="401"/>
      <c r="BQ1068" s="401"/>
      <c r="BU1068" s="401"/>
      <c r="BV1068" s="401"/>
      <c r="BZ1068" s="401"/>
      <c r="CA1068" s="401"/>
      <c r="CE1068" s="554"/>
      <c r="CF1068" s="554"/>
      <c r="CG1068" s="554"/>
      <c r="CH1068" s="554"/>
      <c r="FB1068" s="28">
        <v>58.1</v>
      </c>
      <c r="FC1068" s="28">
        <v>40.799999999999997</v>
      </c>
      <c r="FF1068" s="28" t="s">
        <v>766</v>
      </c>
      <c r="JB1068" s="28" t="s">
        <v>767</v>
      </c>
    </row>
    <row r="1069" spans="1:262" s="28" customFormat="1" x14ac:dyDescent="0.25">
      <c r="A1069" s="28">
        <v>52</v>
      </c>
      <c r="B1069" s="46" t="s">
        <v>3998</v>
      </c>
      <c r="C1069" s="28" t="s">
        <v>754</v>
      </c>
      <c r="D1069" s="28" t="s">
        <v>755</v>
      </c>
      <c r="E1069" s="28">
        <v>1998</v>
      </c>
      <c r="F1069" s="28">
        <v>1989</v>
      </c>
      <c r="G1069" s="28" t="s">
        <v>756</v>
      </c>
      <c r="I1069" s="32" t="s">
        <v>2815</v>
      </c>
      <c r="J1069" s="28">
        <v>38.630000000000003</v>
      </c>
      <c r="K1069" s="28">
        <v>-75.459999999999994</v>
      </c>
      <c r="L1069" s="28">
        <v>10.8</v>
      </c>
      <c r="R1069" s="46">
        <v>1</v>
      </c>
      <c r="S1069" s="46" t="s">
        <v>1728</v>
      </c>
      <c r="T1069" s="46"/>
      <c r="U1069" s="46" t="s">
        <v>1964</v>
      </c>
      <c r="V1069" s="46" t="s">
        <v>1382</v>
      </c>
      <c r="W1069" s="46" t="s">
        <v>1717</v>
      </c>
      <c r="X1069" s="46" t="s">
        <v>1382</v>
      </c>
      <c r="Y1069" s="46" t="s">
        <v>1382</v>
      </c>
      <c r="AA1069" s="326"/>
      <c r="AB1069" s="326"/>
      <c r="AC1069" s="28" t="s">
        <v>175</v>
      </c>
      <c r="AG1069" s="28" t="s">
        <v>1343</v>
      </c>
      <c r="AH1069" s="28" t="s">
        <v>131</v>
      </c>
      <c r="AI1069" s="138" t="s">
        <v>131</v>
      </c>
      <c r="AJ1069" s="28" t="s">
        <v>132</v>
      </c>
      <c r="AK1069" s="141" t="s">
        <v>132</v>
      </c>
      <c r="AO1069" s="28" t="s">
        <v>156</v>
      </c>
      <c r="AP1069" s="28" t="s">
        <v>156</v>
      </c>
      <c r="AQ1069" s="28" t="s">
        <v>2126</v>
      </c>
      <c r="AR1069" s="28" t="s">
        <v>2126</v>
      </c>
      <c r="AS1069" s="28" t="s">
        <v>177</v>
      </c>
      <c r="AT1069" s="28" t="s">
        <v>759</v>
      </c>
      <c r="AU1069" s="28" t="s">
        <v>759</v>
      </c>
      <c r="AV1069" s="28" t="s">
        <v>177</v>
      </c>
      <c r="AW1069" s="28" t="s">
        <v>160</v>
      </c>
      <c r="AX1069" s="28">
        <v>3</v>
      </c>
      <c r="AZ1069" s="28" t="s">
        <v>141</v>
      </c>
      <c r="BP1069" s="401"/>
      <c r="BQ1069" s="401"/>
      <c r="BU1069" s="401"/>
      <c r="BV1069" s="401"/>
      <c r="BZ1069" s="401"/>
      <c r="CA1069" s="401"/>
      <c r="CE1069" s="554"/>
      <c r="CF1069" s="554"/>
      <c r="CG1069" s="554"/>
      <c r="CH1069" s="554"/>
      <c r="FB1069" s="28">
        <v>24</v>
      </c>
      <c r="FC1069" s="28">
        <v>15.8</v>
      </c>
      <c r="FF1069" s="28" t="s">
        <v>766</v>
      </c>
      <c r="JB1069" s="28" t="s">
        <v>767</v>
      </c>
    </row>
    <row r="1070" spans="1:262" s="33" customFormat="1" x14ac:dyDescent="0.25">
      <c r="A1070" s="33">
        <v>52</v>
      </c>
      <c r="B1070" s="47" t="s">
        <v>3999</v>
      </c>
      <c r="C1070" s="33" t="s">
        <v>754</v>
      </c>
      <c r="D1070" s="33" t="s">
        <v>755</v>
      </c>
      <c r="E1070" s="33">
        <v>1998</v>
      </c>
      <c r="F1070" s="33">
        <v>1989</v>
      </c>
      <c r="G1070" s="33" t="s">
        <v>756</v>
      </c>
      <c r="I1070" s="32" t="s">
        <v>2815</v>
      </c>
      <c r="J1070" s="33">
        <v>38.630000000000003</v>
      </c>
      <c r="K1070" s="33">
        <v>-75.459999999999994</v>
      </c>
      <c r="L1070" s="33">
        <v>10.8</v>
      </c>
      <c r="R1070" s="47">
        <v>1</v>
      </c>
      <c r="S1070" s="47" t="s">
        <v>1728</v>
      </c>
      <c r="T1070" s="47"/>
      <c r="U1070" s="47" t="s">
        <v>1964</v>
      </c>
      <c r="V1070" s="47" t="s">
        <v>1382</v>
      </c>
      <c r="W1070" s="47" t="s">
        <v>1717</v>
      </c>
      <c r="X1070" s="47" t="s">
        <v>1382</v>
      </c>
      <c r="Y1070" s="47" t="s">
        <v>1382</v>
      </c>
      <c r="AA1070" s="327"/>
      <c r="AB1070" s="327"/>
      <c r="AC1070" s="33" t="s">
        <v>175</v>
      </c>
      <c r="AG1070" s="33" t="s">
        <v>1343</v>
      </c>
      <c r="AH1070" s="33" t="s">
        <v>131</v>
      </c>
      <c r="AI1070" s="138" t="s">
        <v>131</v>
      </c>
      <c r="AJ1070" s="33" t="s">
        <v>132</v>
      </c>
      <c r="AK1070" s="141" t="s">
        <v>132</v>
      </c>
      <c r="AO1070" s="33" t="s">
        <v>231</v>
      </c>
      <c r="AP1070" s="33" t="s">
        <v>231</v>
      </c>
      <c r="AQ1070" s="33" t="s">
        <v>2125</v>
      </c>
      <c r="AR1070" s="33" t="s">
        <v>2125</v>
      </c>
      <c r="AS1070" s="33" t="s">
        <v>177</v>
      </c>
      <c r="AT1070" s="33" t="s">
        <v>757</v>
      </c>
      <c r="AU1070" s="33" t="s">
        <v>757</v>
      </c>
      <c r="AV1070" s="33" t="s">
        <v>177</v>
      </c>
      <c r="AW1070" s="33" t="s">
        <v>160</v>
      </c>
      <c r="AX1070" s="33">
        <v>3</v>
      </c>
      <c r="AZ1070" s="33" t="s">
        <v>141</v>
      </c>
      <c r="BK1070" s="33">
        <v>8210</v>
      </c>
      <c r="BL1070" s="33">
        <v>7539</v>
      </c>
      <c r="BP1070" s="402"/>
      <c r="BQ1070" s="402"/>
      <c r="BU1070" s="402"/>
      <c r="BV1070" s="402"/>
      <c r="BZ1070" s="402"/>
      <c r="CA1070" s="402"/>
      <c r="CE1070" s="555"/>
      <c r="CF1070" s="555"/>
      <c r="CG1070" s="555"/>
      <c r="CH1070" s="555"/>
      <c r="CJ1070" s="33">
        <f>(9.8+4.8)/2</f>
        <v>7.3000000000000007</v>
      </c>
      <c r="CK1070" s="33">
        <f>(7.7+6.4)/2</f>
        <v>7.0500000000000007</v>
      </c>
      <c r="CN1070" s="33" t="s">
        <v>1674</v>
      </c>
      <c r="FB1070" s="33">
        <v>61.6</v>
      </c>
      <c r="FC1070" s="33">
        <v>31</v>
      </c>
      <c r="FF1070" s="33" t="s">
        <v>766</v>
      </c>
      <c r="JB1070" s="33" t="s">
        <v>767</v>
      </c>
    </row>
    <row r="1071" spans="1:262" s="33" customFormat="1" x14ac:dyDescent="0.25">
      <c r="A1071" s="33">
        <v>52</v>
      </c>
      <c r="B1071" s="47" t="s">
        <v>3999</v>
      </c>
      <c r="C1071" s="33" t="s">
        <v>754</v>
      </c>
      <c r="D1071" s="33" t="s">
        <v>755</v>
      </c>
      <c r="E1071" s="33">
        <v>1998</v>
      </c>
      <c r="F1071" s="33">
        <v>1989</v>
      </c>
      <c r="G1071" s="33" t="s">
        <v>756</v>
      </c>
      <c r="I1071" s="32" t="s">
        <v>2815</v>
      </c>
      <c r="J1071" s="33">
        <v>38.630000000000003</v>
      </c>
      <c r="K1071" s="33">
        <v>-75.459999999999994</v>
      </c>
      <c r="L1071" s="33">
        <v>10.8</v>
      </c>
      <c r="R1071" s="47">
        <v>1</v>
      </c>
      <c r="S1071" s="47" t="s">
        <v>1728</v>
      </c>
      <c r="T1071" s="47"/>
      <c r="U1071" s="47" t="s">
        <v>1964</v>
      </c>
      <c r="V1071" s="47" t="s">
        <v>1382</v>
      </c>
      <c r="W1071" s="47" t="s">
        <v>1717</v>
      </c>
      <c r="X1071" s="47" t="s">
        <v>1382</v>
      </c>
      <c r="Y1071" s="47" t="s">
        <v>1382</v>
      </c>
      <c r="AA1071" s="327"/>
      <c r="AB1071" s="327"/>
      <c r="AC1071" s="33" t="s">
        <v>175</v>
      </c>
      <c r="AG1071" s="33" t="s">
        <v>1343</v>
      </c>
      <c r="AH1071" s="33" t="s">
        <v>131</v>
      </c>
      <c r="AI1071" s="138" t="s">
        <v>131</v>
      </c>
      <c r="AJ1071" s="33" t="s">
        <v>132</v>
      </c>
      <c r="AK1071" s="141" t="s">
        <v>132</v>
      </c>
      <c r="AO1071" s="33" t="s">
        <v>231</v>
      </c>
      <c r="AP1071" s="33" t="s">
        <v>231</v>
      </c>
      <c r="AQ1071" s="33" t="s">
        <v>2125</v>
      </c>
      <c r="AR1071" s="33" t="s">
        <v>2125</v>
      </c>
      <c r="AS1071" s="33" t="s">
        <v>177</v>
      </c>
      <c r="AT1071" s="33" t="s">
        <v>758</v>
      </c>
      <c r="AU1071" s="33" t="s">
        <v>758</v>
      </c>
      <c r="AV1071" s="33" t="s">
        <v>177</v>
      </c>
      <c r="AW1071" s="33" t="s">
        <v>160</v>
      </c>
      <c r="AX1071" s="33">
        <v>3</v>
      </c>
      <c r="AZ1071" s="33" t="s">
        <v>141</v>
      </c>
      <c r="BK1071" s="33">
        <v>8963</v>
      </c>
      <c r="BL1071" s="33">
        <v>8109</v>
      </c>
      <c r="BP1071" s="402"/>
      <c r="BQ1071" s="402"/>
      <c r="BU1071" s="402"/>
      <c r="BV1071" s="402"/>
      <c r="BZ1071" s="402"/>
      <c r="CA1071" s="402"/>
      <c r="CE1071" s="555"/>
      <c r="CF1071" s="555"/>
      <c r="CG1071" s="555"/>
      <c r="CH1071" s="555"/>
      <c r="CJ1071" s="33">
        <f>(9.9+7)/2</f>
        <v>8.4499999999999993</v>
      </c>
      <c r="CK1071" s="33">
        <f>(7.7+6.8)/2</f>
        <v>7.25</v>
      </c>
      <c r="CN1071" s="33" t="s">
        <v>1674</v>
      </c>
      <c r="FB1071" s="33">
        <v>33</v>
      </c>
      <c r="FC1071" s="33">
        <v>37.299999999999997</v>
      </c>
      <c r="FF1071" s="33" t="s">
        <v>766</v>
      </c>
      <c r="JB1071" s="33" t="s">
        <v>767</v>
      </c>
    </row>
    <row r="1072" spans="1:262" s="33" customFormat="1" x14ac:dyDescent="0.25">
      <c r="A1072" s="33">
        <v>52</v>
      </c>
      <c r="B1072" s="47" t="s">
        <v>3999</v>
      </c>
      <c r="C1072" s="33" t="s">
        <v>754</v>
      </c>
      <c r="D1072" s="33" t="s">
        <v>755</v>
      </c>
      <c r="E1072" s="33">
        <v>1998</v>
      </c>
      <c r="F1072" s="33">
        <v>1989</v>
      </c>
      <c r="G1072" s="33" t="s">
        <v>756</v>
      </c>
      <c r="I1072" s="32" t="s">
        <v>2815</v>
      </c>
      <c r="J1072" s="33">
        <v>38.630000000000003</v>
      </c>
      <c r="K1072" s="33">
        <v>-75.459999999999994</v>
      </c>
      <c r="L1072" s="33">
        <v>10.8</v>
      </c>
      <c r="R1072" s="47">
        <v>1</v>
      </c>
      <c r="S1072" s="47" t="s">
        <v>1728</v>
      </c>
      <c r="T1072" s="47"/>
      <c r="U1072" s="47" t="s">
        <v>1964</v>
      </c>
      <c r="V1072" s="47" t="s">
        <v>1382</v>
      </c>
      <c r="W1072" s="47" t="s">
        <v>1717</v>
      </c>
      <c r="X1072" s="47" t="s">
        <v>1382</v>
      </c>
      <c r="Y1072" s="47" t="s">
        <v>1382</v>
      </c>
      <c r="AA1072" s="327"/>
      <c r="AB1072" s="327"/>
      <c r="AC1072" s="33" t="s">
        <v>175</v>
      </c>
      <c r="AG1072" s="33" t="s">
        <v>1343</v>
      </c>
      <c r="AH1072" s="33" t="s">
        <v>131</v>
      </c>
      <c r="AI1072" s="138" t="s">
        <v>131</v>
      </c>
      <c r="AJ1072" s="33" t="s">
        <v>132</v>
      </c>
      <c r="AK1072" s="141" t="s">
        <v>132</v>
      </c>
      <c r="AO1072" s="33" t="s">
        <v>231</v>
      </c>
      <c r="AP1072" s="33" t="s">
        <v>231</v>
      </c>
      <c r="AQ1072" s="33" t="s">
        <v>2125</v>
      </c>
      <c r="AR1072" s="33" t="s">
        <v>2125</v>
      </c>
      <c r="AS1072" s="33" t="s">
        <v>177</v>
      </c>
      <c r="AT1072" s="33" t="s">
        <v>759</v>
      </c>
      <c r="AU1072" s="33" t="s">
        <v>759</v>
      </c>
      <c r="AV1072" s="33" t="s">
        <v>177</v>
      </c>
      <c r="AW1072" s="33" t="s">
        <v>160</v>
      </c>
      <c r="AX1072" s="33">
        <v>3</v>
      </c>
      <c r="AZ1072" s="33" t="s">
        <v>141</v>
      </c>
      <c r="BK1072" s="33">
        <v>8957</v>
      </c>
      <c r="BL1072" s="33">
        <v>8379</v>
      </c>
      <c r="BP1072" s="402"/>
      <c r="BQ1072" s="402"/>
      <c r="BU1072" s="402"/>
      <c r="BV1072" s="402"/>
      <c r="BZ1072" s="402"/>
      <c r="CA1072" s="402"/>
      <c r="CE1072" s="555"/>
      <c r="CF1072" s="555"/>
      <c r="CG1072" s="555"/>
      <c r="CH1072" s="555"/>
      <c r="FB1072" s="33">
        <v>64.400000000000006</v>
      </c>
      <c r="FC1072" s="33">
        <v>46.2</v>
      </c>
      <c r="FF1072" s="33" t="s">
        <v>766</v>
      </c>
      <c r="JB1072" s="33" t="s">
        <v>767</v>
      </c>
    </row>
    <row r="1073" spans="1:262" s="33" customFormat="1" x14ac:dyDescent="0.25">
      <c r="A1073" s="33">
        <v>52</v>
      </c>
      <c r="B1073" s="47" t="s">
        <v>3999</v>
      </c>
      <c r="C1073" s="33" t="s">
        <v>754</v>
      </c>
      <c r="D1073" s="33" t="s">
        <v>755</v>
      </c>
      <c r="E1073" s="33">
        <v>1998</v>
      </c>
      <c r="F1073" s="33">
        <v>1989</v>
      </c>
      <c r="G1073" s="33" t="s">
        <v>756</v>
      </c>
      <c r="I1073" s="32" t="s">
        <v>2815</v>
      </c>
      <c r="J1073" s="33">
        <v>38.630000000000003</v>
      </c>
      <c r="K1073" s="33">
        <v>-75.459999999999994</v>
      </c>
      <c r="L1073" s="33">
        <v>10.8</v>
      </c>
      <c r="R1073" s="47">
        <v>1</v>
      </c>
      <c r="S1073" s="47" t="s">
        <v>1728</v>
      </c>
      <c r="T1073" s="47"/>
      <c r="U1073" s="47" t="s">
        <v>1964</v>
      </c>
      <c r="V1073" s="47" t="s">
        <v>1382</v>
      </c>
      <c r="W1073" s="47" t="s">
        <v>1717</v>
      </c>
      <c r="X1073" s="47" t="s">
        <v>1382</v>
      </c>
      <c r="Y1073" s="47" t="s">
        <v>1382</v>
      </c>
      <c r="AA1073" s="327"/>
      <c r="AB1073" s="327"/>
      <c r="AC1073" s="33" t="s">
        <v>175</v>
      </c>
      <c r="AG1073" s="33" t="s">
        <v>1343</v>
      </c>
      <c r="AH1073" s="33" t="s">
        <v>131</v>
      </c>
      <c r="AI1073" s="138" t="s">
        <v>131</v>
      </c>
      <c r="AJ1073" s="33" t="s">
        <v>132</v>
      </c>
      <c r="AK1073" s="141" t="s">
        <v>132</v>
      </c>
      <c r="AO1073" s="33" t="s">
        <v>231</v>
      </c>
      <c r="AP1073" s="33" t="s">
        <v>231</v>
      </c>
      <c r="AQ1073" s="33" t="s">
        <v>2125</v>
      </c>
      <c r="AR1073" s="33" t="s">
        <v>2125</v>
      </c>
      <c r="AS1073" s="33" t="s">
        <v>177</v>
      </c>
      <c r="AT1073" s="33" t="s">
        <v>759</v>
      </c>
      <c r="AU1073" s="33" t="s">
        <v>759</v>
      </c>
      <c r="AV1073" s="33" t="s">
        <v>177</v>
      </c>
      <c r="AW1073" s="33" t="s">
        <v>160</v>
      </c>
      <c r="AX1073" s="33">
        <v>3</v>
      </c>
      <c r="AZ1073" s="33" t="s">
        <v>141</v>
      </c>
      <c r="BP1073" s="402"/>
      <c r="BQ1073" s="402"/>
      <c r="BU1073" s="402"/>
      <c r="BV1073" s="402"/>
      <c r="BZ1073" s="402"/>
      <c r="CA1073" s="402"/>
      <c r="CE1073" s="555"/>
      <c r="CF1073" s="555"/>
      <c r="CG1073" s="555"/>
      <c r="CH1073" s="555"/>
      <c r="FB1073" s="33">
        <v>23.5</v>
      </c>
      <c r="FC1073" s="33">
        <v>24.1</v>
      </c>
      <c r="FF1073" s="33" t="s">
        <v>766</v>
      </c>
      <c r="JB1073" s="33" t="s">
        <v>767</v>
      </c>
    </row>
    <row r="1074" spans="1:262" s="28" customFormat="1" x14ac:dyDescent="0.25">
      <c r="A1074" s="28">
        <v>52</v>
      </c>
      <c r="B1074" s="46" t="s">
        <v>3998</v>
      </c>
      <c r="C1074" s="28" t="s">
        <v>754</v>
      </c>
      <c r="D1074" s="28" t="s">
        <v>755</v>
      </c>
      <c r="E1074" s="28">
        <v>1998</v>
      </c>
      <c r="F1074" s="28">
        <v>1990</v>
      </c>
      <c r="G1074" s="28" t="s">
        <v>756</v>
      </c>
      <c r="I1074" s="32" t="s">
        <v>2815</v>
      </c>
      <c r="J1074" s="28">
        <v>38.630000000000003</v>
      </c>
      <c r="K1074" s="28">
        <v>-75.459999999999994</v>
      </c>
      <c r="L1074" s="28">
        <v>10.8</v>
      </c>
      <c r="R1074" s="46">
        <v>2</v>
      </c>
      <c r="S1074" s="46" t="s">
        <v>1728</v>
      </c>
      <c r="T1074" s="46"/>
      <c r="U1074" s="46" t="s">
        <v>1964</v>
      </c>
      <c r="V1074" s="46" t="s">
        <v>1382</v>
      </c>
      <c r="W1074" s="46" t="s">
        <v>1717</v>
      </c>
      <c r="X1074" s="46" t="s">
        <v>1382</v>
      </c>
      <c r="Y1074" s="46" t="s">
        <v>1382</v>
      </c>
      <c r="AA1074" s="326"/>
      <c r="AB1074" s="326"/>
      <c r="AC1074" s="28" t="s">
        <v>175</v>
      </c>
      <c r="AG1074" s="28" t="s">
        <v>1343</v>
      </c>
      <c r="AH1074" s="28" t="s">
        <v>131</v>
      </c>
      <c r="AI1074" s="138" t="s">
        <v>131</v>
      </c>
      <c r="AJ1074" s="28" t="s">
        <v>132</v>
      </c>
      <c r="AK1074" s="141" t="s">
        <v>132</v>
      </c>
      <c r="AO1074" s="28" t="s">
        <v>156</v>
      </c>
      <c r="AP1074" s="28" t="s">
        <v>156</v>
      </c>
      <c r="AQ1074" s="28" t="s">
        <v>2126</v>
      </c>
      <c r="AR1074" s="28" t="s">
        <v>2126</v>
      </c>
      <c r="AS1074" s="28" t="s">
        <v>177</v>
      </c>
      <c r="AT1074" s="28" t="s">
        <v>757</v>
      </c>
      <c r="AU1074" s="28" t="s">
        <v>757</v>
      </c>
      <c r="AV1074" s="28" t="s">
        <v>177</v>
      </c>
      <c r="AW1074" s="28" t="s">
        <v>160</v>
      </c>
      <c r="AX1074" s="28">
        <v>3</v>
      </c>
      <c r="AZ1074" s="28" t="s">
        <v>141</v>
      </c>
      <c r="BK1074" s="28">
        <v>7009</v>
      </c>
      <c r="BL1074" s="28">
        <v>7323</v>
      </c>
      <c r="BP1074" s="401"/>
      <c r="BQ1074" s="401"/>
      <c r="BU1074" s="401"/>
      <c r="BV1074" s="401"/>
      <c r="BZ1074" s="401"/>
      <c r="CA1074" s="401"/>
      <c r="CE1074" s="554"/>
      <c r="CF1074" s="554"/>
      <c r="CG1074" s="554"/>
      <c r="CH1074" s="554"/>
      <c r="CJ1074" s="28">
        <f>(3.6+6.5+8.8)/3</f>
        <v>6.3</v>
      </c>
      <c r="CK1074" s="28">
        <f>(2.9+9+6.7)/3</f>
        <v>6.2</v>
      </c>
      <c r="CN1074" s="28" t="s">
        <v>1674</v>
      </c>
      <c r="FB1074" s="28">
        <v>41.6</v>
      </c>
      <c r="FC1074" s="28">
        <v>27.2</v>
      </c>
      <c r="FF1074" s="28" t="s">
        <v>766</v>
      </c>
      <c r="JB1074" s="28" t="s">
        <v>767</v>
      </c>
    </row>
    <row r="1075" spans="1:262" s="28" customFormat="1" x14ac:dyDescent="0.25">
      <c r="A1075" s="28">
        <v>52</v>
      </c>
      <c r="B1075" s="46" t="s">
        <v>3998</v>
      </c>
      <c r="C1075" s="28" t="s">
        <v>754</v>
      </c>
      <c r="D1075" s="28" t="s">
        <v>755</v>
      </c>
      <c r="E1075" s="28">
        <v>1998</v>
      </c>
      <c r="F1075" s="28">
        <v>1990</v>
      </c>
      <c r="G1075" s="28" t="s">
        <v>756</v>
      </c>
      <c r="I1075" s="32" t="s">
        <v>2815</v>
      </c>
      <c r="J1075" s="28">
        <v>38.630000000000003</v>
      </c>
      <c r="K1075" s="28">
        <v>-75.459999999999994</v>
      </c>
      <c r="L1075" s="28">
        <v>10.8</v>
      </c>
      <c r="R1075" s="46">
        <v>2</v>
      </c>
      <c r="S1075" s="46" t="s">
        <v>1728</v>
      </c>
      <c r="T1075" s="46"/>
      <c r="U1075" s="46" t="s">
        <v>1964</v>
      </c>
      <c r="V1075" s="46" t="s">
        <v>1382</v>
      </c>
      <c r="W1075" s="46" t="s">
        <v>1717</v>
      </c>
      <c r="X1075" s="46" t="s">
        <v>1382</v>
      </c>
      <c r="Y1075" s="46" t="s">
        <v>1382</v>
      </c>
      <c r="AA1075" s="326"/>
      <c r="AB1075" s="326"/>
      <c r="AC1075" s="28" t="s">
        <v>175</v>
      </c>
      <c r="AG1075" s="28" t="s">
        <v>1343</v>
      </c>
      <c r="AH1075" s="28" t="s">
        <v>131</v>
      </c>
      <c r="AI1075" s="138" t="s">
        <v>131</v>
      </c>
      <c r="AJ1075" s="28" t="s">
        <v>132</v>
      </c>
      <c r="AK1075" s="141" t="s">
        <v>132</v>
      </c>
      <c r="AO1075" s="28" t="s">
        <v>156</v>
      </c>
      <c r="AP1075" s="28" t="s">
        <v>156</v>
      </c>
      <c r="AQ1075" s="28" t="s">
        <v>2126</v>
      </c>
      <c r="AR1075" s="28" t="s">
        <v>2126</v>
      </c>
      <c r="AS1075" s="28" t="s">
        <v>177</v>
      </c>
      <c r="AT1075" s="28" t="s">
        <v>758</v>
      </c>
      <c r="AU1075" s="28" t="s">
        <v>758</v>
      </c>
      <c r="AV1075" s="28" t="s">
        <v>177</v>
      </c>
      <c r="AW1075" s="28" t="s">
        <v>160</v>
      </c>
      <c r="AX1075" s="28">
        <v>3</v>
      </c>
      <c r="AZ1075" s="28" t="s">
        <v>141</v>
      </c>
      <c r="BK1075" s="28">
        <v>6475</v>
      </c>
      <c r="BL1075" s="28">
        <v>7025</v>
      </c>
      <c r="BP1075" s="401"/>
      <c r="BQ1075" s="401"/>
      <c r="BU1075" s="401"/>
      <c r="BV1075" s="401"/>
      <c r="BZ1075" s="401"/>
      <c r="CA1075" s="401"/>
      <c r="CE1075" s="554"/>
      <c r="CF1075" s="554"/>
      <c r="CG1075" s="554"/>
      <c r="CH1075" s="554"/>
      <c r="FB1075" s="28">
        <v>45.7</v>
      </c>
      <c r="FC1075" s="28">
        <v>31.4</v>
      </c>
      <c r="FF1075" s="28" t="s">
        <v>766</v>
      </c>
      <c r="JB1075" s="28" t="s">
        <v>767</v>
      </c>
    </row>
    <row r="1076" spans="1:262" s="28" customFormat="1" x14ac:dyDescent="0.25">
      <c r="A1076" s="28">
        <v>52</v>
      </c>
      <c r="B1076" s="46" t="s">
        <v>3998</v>
      </c>
      <c r="C1076" s="28" t="s">
        <v>754</v>
      </c>
      <c r="D1076" s="28" t="s">
        <v>755</v>
      </c>
      <c r="E1076" s="28">
        <v>1998</v>
      </c>
      <c r="F1076" s="28">
        <v>1990</v>
      </c>
      <c r="G1076" s="28" t="s">
        <v>756</v>
      </c>
      <c r="I1076" s="32" t="s">
        <v>2815</v>
      </c>
      <c r="J1076" s="28">
        <v>38.630000000000003</v>
      </c>
      <c r="K1076" s="28">
        <v>-75.459999999999994</v>
      </c>
      <c r="L1076" s="28">
        <v>10.8</v>
      </c>
      <c r="R1076" s="46">
        <v>2</v>
      </c>
      <c r="S1076" s="46" t="s">
        <v>1728</v>
      </c>
      <c r="T1076" s="46"/>
      <c r="U1076" s="46" t="s">
        <v>1964</v>
      </c>
      <c r="V1076" s="46" t="s">
        <v>1382</v>
      </c>
      <c r="W1076" s="46" t="s">
        <v>1717</v>
      </c>
      <c r="X1076" s="46" t="s">
        <v>1382</v>
      </c>
      <c r="Y1076" s="46" t="s">
        <v>1382</v>
      </c>
      <c r="AA1076" s="326"/>
      <c r="AB1076" s="326"/>
      <c r="AC1076" s="28" t="s">
        <v>175</v>
      </c>
      <c r="AG1076" s="28" t="s">
        <v>1343</v>
      </c>
      <c r="AH1076" s="28" t="s">
        <v>131</v>
      </c>
      <c r="AI1076" s="138" t="s">
        <v>131</v>
      </c>
      <c r="AJ1076" s="28" t="s">
        <v>132</v>
      </c>
      <c r="AK1076" s="141" t="s">
        <v>132</v>
      </c>
      <c r="AO1076" s="28" t="s">
        <v>156</v>
      </c>
      <c r="AP1076" s="28" t="s">
        <v>156</v>
      </c>
      <c r="AQ1076" s="28" t="s">
        <v>2126</v>
      </c>
      <c r="AR1076" s="28" t="s">
        <v>2126</v>
      </c>
      <c r="AS1076" s="28" t="s">
        <v>177</v>
      </c>
      <c r="AT1076" s="28" t="s">
        <v>759</v>
      </c>
      <c r="AU1076" s="28" t="s">
        <v>759</v>
      </c>
      <c r="AV1076" s="28" t="s">
        <v>177</v>
      </c>
      <c r="AW1076" s="28" t="s">
        <v>160</v>
      </c>
      <c r="AX1076" s="28">
        <v>3</v>
      </c>
      <c r="AZ1076" s="28" t="s">
        <v>141</v>
      </c>
      <c r="BK1076" s="28">
        <v>6617</v>
      </c>
      <c r="BL1076" s="28">
        <v>7291</v>
      </c>
      <c r="BP1076" s="401"/>
      <c r="BQ1076" s="401"/>
      <c r="BU1076" s="401"/>
      <c r="BV1076" s="401"/>
      <c r="BZ1076" s="401"/>
      <c r="CA1076" s="401"/>
      <c r="CE1076" s="554"/>
      <c r="CF1076" s="554"/>
      <c r="CG1076" s="554"/>
      <c r="CH1076" s="554"/>
      <c r="FB1076" s="28">
        <v>25.3</v>
      </c>
      <c r="FC1076" s="28">
        <v>19.399999999999999</v>
      </c>
      <c r="FF1076" s="28" t="s">
        <v>766</v>
      </c>
      <c r="JB1076" s="28" t="s">
        <v>767</v>
      </c>
    </row>
    <row r="1077" spans="1:262" s="28" customFormat="1" x14ac:dyDescent="0.25">
      <c r="A1077" s="28">
        <v>52</v>
      </c>
      <c r="B1077" s="46" t="s">
        <v>3998</v>
      </c>
      <c r="C1077" s="28" t="s">
        <v>754</v>
      </c>
      <c r="D1077" s="28" t="s">
        <v>755</v>
      </c>
      <c r="E1077" s="28">
        <v>1998</v>
      </c>
      <c r="F1077" s="28">
        <v>1990</v>
      </c>
      <c r="G1077" s="28" t="s">
        <v>756</v>
      </c>
      <c r="I1077" s="32" t="s">
        <v>2815</v>
      </c>
      <c r="J1077" s="28">
        <v>38.630000000000003</v>
      </c>
      <c r="K1077" s="28">
        <v>-75.459999999999994</v>
      </c>
      <c r="L1077" s="28">
        <v>10.8</v>
      </c>
      <c r="R1077" s="46">
        <v>2</v>
      </c>
      <c r="S1077" s="46" t="s">
        <v>1728</v>
      </c>
      <c r="T1077" s="46"/>
      <c r="U1077" s="46" t="s">
        <v>1964</v>
      </c>
      <c r="V1077" s="46" t="s">
        <v>1382</v>
      </c>
      <c r="W1077" s="46" t="s">
        <v>1717</v>
      </c>
      <c r="X1077" s="46" t="s">
        <v>1382</v>
      </c>
      <c r="Y1077" s="46" t="s">
        <v>1382</v>
      </c>
      <c r="AA1077" s="326"/>
      <c r="AB1077" s="326"/>
      <c r="AC1077" s="28" t="s">
        <v>175</v>
      </c>
      <c r="AG1077" s="28" t="s">
        <v>1343</v>
      </c>
      <c r="AH1077" s="28" t="s">
        <v>131</v>
      </c>
      <c r="AI1077" s="138" t="s">
        <v>131</v>
      </c>
      <c r="AJ1077" s="28" t="s">
        <v>132</v>
      </c>
      <c r="AK1077" s="141" t="s">
        <v>132</v>
      </c>
      <c r="AO1077" s="28" t="s">
        <v>156</v>
      </c>
      <c r="AP1077" s="28" t="s">
        <v>156</v>
      </c>
      <c r="AQ1077" s="28" t="s">
        <v>2126</v>
      </c>
      <c r="AR1077" s="28" t="s">
        <v>2126</v>
      </c>
      <c r="AS1077" s="28" t="s">
        <v>177</v>
      </c>
      <c r="AT1077" s="28" t="s">
        <v>759</v>
      </c>
      <c r="AU1077" s="28" t="s">
        <v>759</v>
      </c>
      <c r="AV1077" s="28" t="s">
        <v>177</v>
      </c>
      <c r="AW1077" s="28" t="s">
        <v>160</v>
      </c>
      <c r="AX1077" s="28">
        <v>3</v>
      </c>
      <c r="AZ1077" s="28" t="s">
        <v>141</v>
      </c>
      <c r="BP1077" s="401"/>
      <c r="BQ1077" s="401"/>
      <c r="BU1077" s="401"/>
      <c r="BV1077" s="401"/>
      <c r="BZ1077" s="401"/>
      <c r="CA1077" s="401"/>
      <c r="CE1077" s="554"/>
      <c r="CF1077" s="554"/>
      <c r="CG1077" s="554"/>
      <c r="CH1077" s="554"/>
      <c r="FB1077" s="28">
        <v>3.6</v>
      </c>
      <c r="FC1077" s="28">
        <v>4.4000000000000004</v>
      </c>
      <c r="FF1077" s="28" t="s">
        <v>766</v>
      </c>
      <c r="JB1077" s="28" t="s">
        <v>767</v>
      </c>
    </row>
    <row r="1078" spans="1:262" s="33" customFormat="1" x14ac:dyDescent="0.25">
      <c r="A1078" s="33">
        <v>52</v>
      </c>
      <c r="B1078" s="47" t="s">
        <v>3999</v>
      </c>
      <c r="C1078" s="33" t="s">
        <v>754</v>
      </c>
      <c r="D1078" s="33" t="s">
        <v>755</v>
      </c>
      <c r="E1078" s="33">
        <v>1998</v>
      </c>
      <c r="F1078" s="33">
        <v>1990</v>
      </c>
      <c r="G1078" s="33" t="s">
        <v>756</v>
      </c>
      <c r="I1078" s="32" t="s">
        <v>2815</v>
      </c>
      <c r="J1078" s="33">
        <v>38.630000000000003</v>
      </c>
      <c r="K1078" s="33">
        <v>-75.459999999999994</v>
      </c>
      <c r="L1078" s="33">
        <v>10.8</v>
      </c>
      <c r="R1078" s="47">
        <v>2</v>
      </c>
      <c r="S1078" s="47" t="s">
        <v>1728</v>
      </c>
      <c r="T1078" s="47"/>
      <c r="U1078" s="47" t="s">
        <v>1964</v>
      </c>
      <c r="V1078" s="47" t="s">
        <v>1382</v>
      </c>
      <c r="W1078" s="47" t="s">
        <v>1717</v>
      </c>
      <c r="X1078" s="47" t="s">
        <v>1382</v>
      </c>
      <c r="Y1078" s="47" t="s">
        <v>1382</v>
      </c>
      <c r="AA1078" s="327"/>
      <c r="AB1078" s="327"/>
      <c r="AC1078" s="33" t="s">
        <v>175</v>
      </c>
      <c r="AG1078" s="33" t="s">
        <v>1343</v>
      </c>
      <c r="AH1078" s="33" t="s">
        <v>131</v>
      </c>
      <c r="AI1078" s="138" t="s">
        <v>131</v>
      </c>
      <c r="AJ1078" s="33" t="s">
        <v>132</v>
      </c>
      <c r="AK1078" s="141" t="s">
        <v>132</v>
      </c>
      <c r="AO1078" s="33" t="s">
        <v>231</v>
      </c>
      <c r="AP1078" s="33" t="s">
        <v>231</v>
      </c>
      <c r="AQ1078" s="33" t="s">
        <v>2125</v>
      </c>
      <c r="AR1078" s="33" t="s">
        <v>2125</v>
      </c>
      <c r="AS1078" s="33" t="s">
        <v>177</v>
      </c>
      <c r="AT1078" s="33" t="s">
        <v>757</v>
      </c>
      <c r="AU1078" s="33" t="s">
        <v>757</v>
      </c>
      <c r="AV1078" s="33" t="s">
        <v>177</v>
      </c>
      <c r="AW1078" s="33" t="s">
        <v>160</v>
      </c>
      <c r="AX1078" s="33">
        <v>3</v>
      </c>
      <c r="AZ1078" s="33" t="s">
        <v>141</v>
      </c>
      <c r="BK1078" s="33">
        <v>8593</v>
      </c>
      <c r="BL1078" s="33">
        <v>8059</v>
      </c>
      <c r="BP1078" s="402"/>
      <c r="BQ1078" s="402"/>
      <c r="BU1078" s="402"/>
      <c r="BV1078" s="402"/>
      <c r="BZ1078" s="402"/>
      <c r="CA1078" s="402"/>
      <c r="CE1078" s="555"/>
      <c r="CF1078" s="555"/>
      <c r="CG1078" s="555"/>
      <c r="CH1078" s="555"/>
      <c r="CJ1078" s="33">
        <f>(3.3+6.6+7.9)/3</f>
        <v>5.9333333333333327</v>
      </c>
      <c r="CK1078" s="33">
        <f>(2.3+7.3+6.3)/3</f>
        <v>5.3</v>
      </c>
      <c r="CN1078" s="33" t="s">
        <v>1674</v>
      </c>
      <c r="FB1078" s="33">
        <v>31.1</v>
      </c>
      <c r="FC1078" s="33">
        <v>48.6</v>
      </c>
      <c r="FF1078" s="33" t="s">
        <v>766</v>
      </c>
      <c r="JB1078" s="33" t="s">
        <v>767</v>
      </c>
    </row>
    <row r="1079" spans="1:262" s="33" customFormat="1" x14ac:dyDescent="0.25">
      <c r="A1079" s="33">
        <v>52</v>
      </c>
      <c r="B1079" s="47" t="s">
        <v>3999</v>
      </c>
      <c r="C1079" s="33" t="s">
        <v>754</v>
      </c>
      <c r="D1079" s="33" t="s">
        <v>755</v>
      </c>
      <c r="E1079" s="33">
        <v>1998</v>
      </c>
      <c r="F1079" s="33">
        <v>1990</v>
      </c>
      <c r="G1079" s="33" t="s">
        <v>756</v>
      </c>
      <c r="I1079" s="32" t="s">
        <v>2815</v>
      </c>
      <c r="J1079" s="33">
        <v>38.630000000000003</v>
      </c>
      <c r="K1079" s="33">
        <v>-75.459999999999994</v>
      </c>
      <c r="L1079" s="33">
        <v>10.8</v>
      </c>
      <c r="R1079" s="47">
        <v>2</v>
      </c>
      <c r="S1079" s="47" t="s">
        <v>1728</v>
      </c>
      <c r="T1079" s="47"/>
      <c r="U1079" s="47" t="s">
        <v>1964</v>
      </c>
      <c r="V1079" s="47" t="s">
        <v>1382</v>
      </c>
      <c r="W1079" s="47" t="s">
        <v>1717</v>
      </c>
      <c r="X1079" s="47" t="s">
        <v>1382</v>
      </c>
      <c r="Y1079" s="47" t="s">
        <v>1382</v>
      </c>
      <c r="AA1079" s="327"/>
      <c r="AB1079" s="327"/>
      <c r="AC1079" s="33" t="s">
        <v>175</v>
      </c>
      <c r="AG1079" s="33" t="s">
        <v>1343</v>
      </c>
      <c r="AH1079" s="33" t="s">
        <v>131</v>
      </c>
      <c r="AI1079" s="138" t="s">
        <v>131</v>
      </c>
      <c r="AJ1079" s="33" t="s">
        <v>132</v>
      </c>
      <c r="AK1079" s="141" t="s">
        <v>132</v>
      </c>
      <c r="AO1079" s="33" t="s">
        <v>231</v>
      </c>
      <c r="AP1079" s="33" t="s">
        <v>231</v>
      </c>
      <c r="AQ1079" s="33" t="s">
        <v>2125</v>
      </c>
      <c r="AR1079" s="33" t="s">
        <v>2125</v>
      </c>
      <c r="AS1079" s="33" t="s">
        <v>177</v>
      </c>
      <c r="AT1079" s="33" t="s">
        <v>758</v>
      </c>
      <c r="AU1079" s="33" t="s">
        <v>758</v>
      </c>
      <c r="AV1079" s="33" t="s">
        <v>177</v>
      </c>
      <c r="AW1079" s="33" t="s">
        <v>160</v>
      </c>
      <c r="AX1079" s="33">
        <v>3</v>
      </c>
      <c r="AZ1079" s="33" t="s">
        <v>141</v>
      </c>
      <c r="BK1079" s="33">
        <v>7558</v>
      </c>
      <c r="BL1079" s="33">
        <v>7401</v>
      </c>
      <c r="BP1079" s="402"/>
      <c r="BQ1079" s="402"/>
      <c r="BU1079" s="402"/>
      <c r="BV1079" s="402"/>
      <c r="BZ1079" s="402"/>
      <c r="CA1079" s="402"/>
      <c r="CE1079" s="555"/>
      <c r="CF1079" s="555"/>
      <c r="CG1079" s="555"/>
      <c r="CH1079" s="555"/>
      <c r="FB1079" s="33">
        <v>37.4</v>
      </c>
      <c r="FC1079" s="33">
        <v>35.1</v>
      </c>
      <c r="FF1079" s="33" t="s">
        <v>766</v>
      </c>
      <c r="JB1079" s="33" t="s">
        <v>767</v>
      </c>
    </row>
    <row r="1080" spans="1:262" s="33" customFormat="1" x14ac:dyDescent="0.25">
      <c r="A1080" s="33">
        <v>52</v>
      </c>
      <c r="B1080" s="47" t="s">
        <v>3999</v>
      </c>
      <c r="C1080" s="33" t="s">
        <v>754</v>
      </c>
      <c r="D1080" s="33" t="s">
        <v>755</v>
      </c>
      <c r="E1080" s="33">
        <v>1998</v>
      </c>
      <c r="F1080" s="33">
        <v>1990</v>
      </c>
      <c r="G1080" s="33" t="s">
        <v>756</v>
      </c>
      <c r="I1080" s="32" t="s">
        <v>2815</v>
      </c>
      <c r="J1080" s="33">
        <v>38.630000000000003</v>
      </c>
      <c r="K1080" s="33">
        <v>-75.459999999999994</v>
      </c>
      <c r="L1080" s="33">
        <v>10.8</v>
      </c>
      <c r="R1080" s="47">
        <v>2</v>
      </c>
      <c r="S1080" s="47" t="s">
        <v>1728</v>
      </c>
      <c r="T1080" s="47"/>
      <c r="U1080" s="47" t="s">
        <v>1964</v>
      </c>
      <c r="V1080" s="47" t="s">
        <v>1382</v>
      </c>
      <c r="W1080" s="47" t="s">
        <v>1717</v>
      </c>
      <c r="X1080" s="47" t="s">
        <v>1382</v>
      </c>
      <c r="Y1080" s="47" t="s">
        <v>1382</v>
      </c>
      <c r="AA1080" s="327"/>
      <c r="AB1080" s="327"/>
      <c r="AC1080" s="33" t="s">
        <v>175</v>
      </c>
      <c r="AG1080" s="33" t="s">
        <v>1343</v>
      </c>
      <c r="AH1080" s="33" t="s">
        <v>131</v>
      </c>
      <c r="AI1080" s="138" t="s">
        <v>131</v>
      </c>
      <c r="AJ1080" s="33" t="s">
        <v>132</v>
      </c>
      <c r="AK1080" s="141" t="s">
        <v>132</v>
      </c>
      <c r="AO1080" s="33" t="s">
        <v>231</v>
      </c>
      <c r="AP1080" s="33" t="s">
        <v>231</v>
      </c>
      <c r="AQ1080" s="33" t="s">
        <v>2125</v>
      </c>
      <c r="AR1080" s="33" t="s">
        <v>2125</v>
      </c>
      <c r="AS1080" s="33" t="s">
        <v>177</v>
      </c>
      <c r="AT1080" s="33" t="s">
        <v>759</v>
      </c>
      <c r="AU1080" s="33" t="s">
        <v>759</v>
      </c>
      <c r="AV1080" s="33" t="s">
        <v>177</v>
      </c>
      <c r="AW1080" s="33" t="s">
        <v>160</v>
      </c>
      <c r="AX1080" s="33">
        <v>3</v>
      </c>
      <c r="AZ1080" s="33" t="s">
        <v>141</v>
      </c>
      <c r="BK1080" s="33">
        <v>7777</v>
      </c>
      <c r="BL1080" s="33">
        <v>7605</v>
      </c>
      <c r="BP1080" s="402"/>
      <c r="BQ1080" s="402"/>
      <c r="BU1080" s="402"/>
      <c r="BV1080" s="402"/>
      <c r="BZ1080" s="402"/>
      <c r="CA1080" s="402"/>
      <c r="CE1080" s="555"/>
      <c r="CF1080" s="555"/>
      <c r="CG1080" s="555"/>
      <c r="CH1080" s="555"/>
      <c r="FB1080" s="33">
        <v>28.7</v>
      </c>
      <c r="FC1080" s="33">
        <v>19.399999999999999</v>
      </c>
      <c r="FF1080" s="33" t="s">
        <v>766</v>
      </c>
      <c r="JB1080" s="33" t="s">
        <v>767</v>
      </c>
    </row>
    <row r="1081" spans="1:262" s="33" customFormat="1" x14ac:dyDescent="0.25">
      <c r="A1081" s="33">
        <v>52</v>
      </c>
      <c r="B1081" s="47" t="s">
        <v>3999</v>
      </c>
      <c r="C1081" s="33" t="s">
        <v>754</v>
      </c>
      <c r="D1081" s="33" t="s">
        <v>755</v>
      </c>
      <c r="E1081" s="33">
        <v>1998</v>
      </c>
      <c r="F1081" s="33">
        <v>1990</v>
      </c>
      <c r="G1081" s="33" t="s">
        <v>756</v>
      </c>
      <c r="I1081" s="32" t="s">
        <v>2815</v>
      </c>
      <c r="J1081" s="33">
        <v>38.630000000000003</v>
      </c>
      <c r="K1081" s="33">
        <v>-75.459999999999994</v>
      </c>
      <c r="L1081" s="33">
        <v>10.8</v>
      </c>
      <c r="R1081" s="47">
        <v>2</v>
      </c>
      <c r="S1081" s="47" t="s">
        <v>1728</v>
      </c>
      <c r="T1081" s="47"/>
      <c r="U1081" s="47" t="s">
        <v>1964</v>
      </c>
      <c r="V1081" s="47" t="s">
        <v>1382</v>
      </c>
      <c r="W1081" s="47" t="s">
        <v>1717</v>
      </c>
      <c r="X1081" s="47" t="s">
        <v>1382</v>
      </c>
      <c r="Y1081" s="47" t="s">
        <v>1382</v>
      </c>
      <c r="AA1081" s="327"/>
      <c r="AB1081" s="327"/>
      <c r="AC1081" s="33" t="s">
        <v>175</v>
      </c>
      <c r="AG1081" s="33" t="s">
        <v>1343</v>
      </c>
      <c r="AH1081" s="33" t="s">
        <v>131</v>
      </c>
      <c r="AI1081" s="138" t="s">
        <v>131</v>
      </c>
      <c r="AJ1081" s="33" t="s">
        <v>132</v>
      </c>
      <c r="AK1081" s="141" t="s">
        <v>132</v>
      </c>
      <c r="AO1081" s="33" t="s">
        <v>231</v>
      </c>
      <c r="AP1081" s="33" t="s">
        <v>231</v>
      </c>
      <c r="AQ1081" s="33" t="s">
        <v>2125</v>
      </c>
      <c r="AR1081" s="33" t="s">
        <v>2125</v>
      </c>
      <c r="AS1081" s="33" t="s">
        <v>177</v>
      </c>
      <c r="AT1081" s="33" t="s">
        <v>759</v>
      </c>
      <c r="AU1081" s="33" t="s">
        <v>759</v>
      </c>
      <c r="AV1081" s="33" t="s">
        <v>177</v>
      </c>
      <c r="AW1081" s="33" t="s">
        <v>160</v>
      </c>
      <c r="AX1081" s="33">
        <v>3</v>
      </c>
      <c r="AZ1081" s="33" t="s">
        <v>141</v>
      </c>
      <c r="BP1081" s="402"/>
      <c r="BQ1081" s="402"/>
      <c r="BU1081" s="402"/>
      <c r="BV1081" s="402"/>
      <c r="BZ1081" s="402"/>
      <c r="CA1081" s="402"/>
      <c r="CE1081" s="555"/>
      <c r="CF1081" s="555"/>
      <c r="CG1081" s="555"/>
      <c r="CH1081" s="555"/>
      <c r="FB1081" s="33">
        <v>6.2</v>
      </c>
      <c r="FC1081" s="33">
        <v>6.5</v>
      </c>
      <c r="FF1081" s="33" t="s">
        <v>766</v>
      </c>
      <c r="JB1081" s="33" t="s">
        <v>767</v>
      </c>
    </row>
    <row r="1082" spans="1:262" s="28" customFormat="1" x14ac:dyDescent="0.25">
      <c r="A1082" s="28">
        <v>52</v>
      </c>
      <c r="B1082" s="46" t="s">
        <v>3998</v>
      </c>
      <c r="C1082" s="28" t="s">
        <v>754</v>
      </c>
      <c r="D1082" s="28" t="s">
        <v>755</v>
      </c>
      <c r="E1082" s="28">
        <v>1998</v>
      </c>
      <c r="F1082" s="28">
        <v>1991</v>
      </c>
      <c r="G1082" s="28" t="s">
        <v>756</v>
      </c>
      <c r="I1082" s="32" t="s">
        <v>2815</v>
      </c>
      <c r="J1082" s="28">
        <v>38.630000000000003</v>
      </c>
      <c r="K1082" s="28">
        <v>-75.459999999999994</v>
      </c>
      <c r="L1082" s="28">
        <v>10.8</v>
      </c>
      <c r="R1082" s="46">
        <v>3</v>
      </c>
      <c r="S1082" s="46" t="s">
        <v>1728</v>
      </c>
      <c r="T1082" s="46"/>
      <c r="U1082" s="46" t="s">
        <v>1964</v>
      </c>
      <c r="V1082" s="46" t="s">
        <v>1382</v>
      </c>
      <c r="W1082" s="46" t="s">
        <v>1717</v>
      </c>
      <c r="X1082" s="46" t="s">
        <v>1382</v>
      </c>
      <c r="Y1082" s="46" t="s">
        <v>1382</v>
      </c>
      <c r="AA1082" s="326"/>
      <c r="AB1082" s="326"/>
      <c r="AC1082" s="28" t="s">
        <v>175</v>
      </c>
      <c r="AG1082" s="28" t="s">
        <v>1343</v>
      </c>
      <c r="AH1082" s="28" t="s">
        <v>131</v>
      </c>
      <c r="AI1082" s="138" t="s">
        <v>131</v>
      </c>
      <c r="AJ1082" s="28" t="s">
        <v>132</v>
      </c>
      <c r="AK1082" s="141" t="s">
        <v>132</v>
      </c>
      <c r="AO1082" s="28" t="s">
        <v>156</v>
      </c>
      <c r="AP1082" s="28" t="s">
        <v>156</v>
      </c>
      <c r="AQ1082" s="28" t="s">
        <v>2126</v>
      </c>
      <c r="AR1082" s="28" t="s">
        <v>2126</v>
      </c>
      <c r="AS1082" s="28" t="s">
        <v>177</v>
      </c>
      <c r="AT1082" s="28" t="s">
        <v>757</v>
      </c>
      <c r="AU1082" s="28" t="s">
        <v>757</v>
      </c>
      <c r="AV1082" s="28" t="s">
        <v>177</v>
      </c>
      <c r="AW1082" s="28" t="s">
        <v>160</v>
      </c>
      <c r="AX1082" s="28">
        <v>3</v>
      </c>
      <c r="AZ1082" s="28" t="s">
        <v>141</v>
      </c>
      <c r="BK1082" s="28">
        <v>8216</v>
      </c>
      <c r="BL1082" s="28">
        <v>8106</v>
      </c>
      <c r="BP1082" s="401"/>
      <c r="BQ1082" s="401"/>
      <c r="BU1082" s="401"/>
      <c r="BV1082" s="401"/>
      <c r="BZ1082" s="401"/>
      <c r="CA1082" s="401"/>
      <c r="CE1082" s="554"/>
      <c r="CF1082" s="554"/>
      <c r="CG1082" s="554"/>
      <c r="CH1082" s="554"/>
      <c r="CJ1082" s="28">
        <f>(3+5)/2</f>
        <v>4</v>
      </c>
      <c r="CK1082" s="28">
        <f>(1.4+7.4)/2</f>
        <v>4.4000000000000004</v>
      </c>
      <c r="CN1082" s="28" t="s">
        <v>1674</v>
      </c>
      <c r="FB1082" s="28">
        <v>3.8</v>
      </c>
      <c r="FC1082" s="28">
        <v>3.7</v>
      </c>
      <c r="FF1082" s="28" t="s">
        <v>766</v>
      </c>
      <c r="JB1082" s="28" t="s">
        <v>767</v>
      </c>
    </row>
    <row r="1083" spans="1:262" s="28" customFormat="1" x14ac:dyDescent="0.25">
      <c r="A1083" s="28">
        <v>52</v>
      </c>
      <c r="B1083" s="46" t="s">
        <v>3998</v>
      </c>
      <c r="C1083" s="28" t="s">
        <v>754</v>
      </c>
      <c r="D1083" s="28" t="s">
        <v>755</v>
      </c>
      <c r="E1083" s="28">
        <v>1998</v>
      </c>
      <c r="F1083" s="28">
        <v>1991</v>
      </c>
      <c r="G1083" s="28" t="s">
        <v>756</v>
      </c>
      <c r="I1083" s="32" t="s">
        <v>2815</v>
      </c>
      <c r="J1083" s="28">
        <v>38.630000000000003</v>
      </c>
      <c r="K1083" s="28">
        <v>-75.459999999999994</v>
      </c>
      <c r="L1083" s="28">
        <v>10.8</v>
      </c>
      <c r="R1083" s="46">
        <v>3</v>
      </c>
      <c r="S1083" s="46" t="s">
        <v>1728</v>
      </c>
      <c r="T1083" s="46"/>
      <c r="U1083" s="46" t="s">
        <v>1964</v>
      </c>
      <c r="V1083" s="46" t="s">
        <v>1382</v>
      </c>
      <c r="W1083" s="46" t="s">
        <v>1717</v>
      </c>
      <c r="X1083" s="46" t="s">
        <v>1382</v>
      </c>
      <c r="Y1083" s="46" t="s">
        <v>1382</v>
      </c>
      <c r="AA1083" s="326"/>
      <c r="AB1083" s="326"/>
      <c r="AC1083" s="28" t="s">
        <v>175</v>
      </c>
      <c r="AG1083" s="28" t="s">
        <v>1343</v>
      </c>
      <c r="AH1083" s="28" t="s">
        <v>131</v>
      </c>
      <c r="AI1083" s="138" t="s">
        <v>131</v>
      </c>
      <c r="AJ1083" s="28" t="s">
        <v>132</v>
      </c>
      <c r="AK1083" s="141" t="s">
        <v>132</v>
      </c>
      <c r="AO1083" s="28" t="s">
        <v>156</v>
      </c>
      <c r="AP1083" s="28" t="s">
        <v>156</v>
      </c>
      <c r="AQ1083" s="28" t="s">
        <v>2126</v>
      </c>
      <c r="AR1083" s="28" t="s">
        <v>2126</v>
      </c>
      <c r="AS1083" s="28" t="s">
        <v>177</v>
      </c>
      <c r="AT1083" s="28" t="s">
        <v>758</v>
      </c>
      <c r="AU1083" s="28" t="s">
        <v>758</v>
      </c>
      <c r="AV1083" s="28" t="s">
        <v>177</v>
      </c>
      <c r="AW1083" s="28" t="s">
        <v>160</v>
      </c>
      <c r="AX1083" s="28">
        <v>3</v>
      </c>
      <c r="AZ1083" s="28" t="s">
        <v>141</v>
      </c>
      <c r="BK1083" s="28">
        <v>7243</v>
      </c>
      <c r="BL1083" s="28">
        <v>8467</v>
      </c>
      <c r="BP1083" s="401"/>
      <c r="BQ1083" s="401"/>
      <c r="BU1083" s="401"/>
      <c r="BV1083" s="401"/>
      <c r="BZ1083" s="401"/>
      <c r="CA1083" s="401"/>
      <c r="CE1083" s="554"/>
      <c r="CF1083" s="554"/>
      <c r="CG1083" s="554"/>
      <c r="CH1083" s="554"/>
      <c r="FB1083" s="28">
        <v>28.3</v>
      </c>
      <c r="FC1083" s="28">
        <v>25.4</v>
      </c>
      <c r="FF1083" s="28" t="s">
        <v>766</v>
      </c>
      <c r="JB1083" s="28" t="s">
        <v>767</v>
      </c>
    </row>
    <row r="1084" spans="1:262" s="28" customFormat="1" x14ac:dyDescent="0.25">
      <c r="A1084" s="28">
        <v>52</v>
      </c>
      <c r="B1084" s="46" t="s">
        <v>3998</v>
      </c>
      <c r="C1084" s="28" t="s">
        <v>754</v>
      </c>
      <c r="D1084" s="28" t="s">
        <v>755</v>
      </c>
      <c r="E1084" s="28">
        <v>1998</v>
      </c>
      <c r="F1084" s="28">
        <v>1991</v>
      </c>
      <c r="G1084" s="28" t="s">
        <v>756</v>
      </c>
      <c r="I1084" s="32" t="s">
        <v>2815</v>
      </c>
      <c r="J1084" s="28">
        <v>38.630000000000003</v>
      </c>
      <c r="K1084" s="28">
        <v>-75.459999999999994</v>
      </c>
      <c r="L1084" s="28">
        <v>10.8</v>
      </c>
      <c r="R1084" s="46">
        <v>3</v>
      </c>
      <c r="S1084" s="46" t="s">
        <v>1728</v>
      </c>
      <c r="T1084" s="46"/>
      <c r="U1084" s="46" t="s">
        <v>1964</v>
      </c>
      <c r="V1084" s="46" t="s">
        <v>1382</v>
      </c>
      <c r="W1084" s="46" t="s">
        <v>1717</v>
      </c>
      <c r="X1084" s="46" t="s">
        <v>1382</v>
      </c>
      <c r="Y1084" s="46" t="s">
        <v>1382</v>
      </c>
      <c r="AA1084" s="326"/>
      <c r="AB1084" s="326"/>
      <c r="AC1084" s="28" t="s">
        <v>175</v>
      </c>
      <c r="AG1084" s="28" t="s">
        <v>1343</v>
      </c>
      <c r="AH1084" s="28" t="s">
        <v>131</v>
      </c>
      <c r="AI1084" s="138" t="s">
        <v>131</v>
      </c>
      <c r="AJ1084" s="28" t="s">
        <v>132</v>
      </c>
      <c r="AK1084" s="141" t="s">
        <v>132</v>
      </c>
      <c r="AO1084" s="28" t="s">
        <v>156</v>
      </c>
      <c r="AP1084" s="28" t="s">
        <v>156</v>
      </c>
      <c r="AQ1084" s="28" t="s">
        <v>2126</v>
      </c>
      <c r="AR1084" s="28" t="s">
        <v>2126</v>
      </c>
      <c r="AS1084" s="28" t="s">
        <v>177</v>
      </c>
      <c r="AT1084" s="28" t="s">
        <v>759</v>
      </c>
      <c r="AU1084" s="28" t="s">
        <v>759</v>
      </c>
      <c r="AV1084" s="28" t="s">
        <v>177</v>
      </c>
      <c r="AW1084" s="28" t="s">
        <v>160</v>
      </c>
      <c r="AX1084" s="28">
        <v>3</v>
      </c>
      <c r="AZ1084" s="28" t="s">
        <v>141</v>
      </c>
      <c r="BK1084" s="28">
        <v>8060</v>
      </c>
      <c r="BL1084" s="28">
        <v>8294</v>
      </c>
      <c r="BP1084" s="401"/>
      <c r="BQ1084" s="401"/>
      <c r="BU1084" s="401"/>
      <c r="BV1084" s="401"/>
      <c r="BZ1084" s="401"/>
      <c r="CA1084" s="401"/>
      <c r="CE1084" s="554"/>
      <c r="CF1084" s="554"/>
      <c r="CG1084" s="554"/>
      <c r="CH1084" s="554"/>
      <c r="FF1084" s="28" t="s">
        <v>766</v>
      </c>
      <c r="JB1084" s="28" t="s">
        <v>767</v>
      </c>
    </row>
    <row r="1085" spans="1:262" s="33" customFormat="1" x14ac:dyDescent="0.25">
      <c r="A1085" s="33">
        <v>52</v>
      </c>
      <c r="B1085" s="47" t="s">
        <v>3999</v>
      </c>
      <c r="C1085" s="33" t="s">
        <v>754</v>
      </c>
      <c r="D1085" s="33" t="s">
        <v>755</v>
      </c>
      <c r="E1085" s="33">
        <v>1998</v>
      </c>
      <c r="F1085" s="33">
        <v>1991</v>
      </c>
      <c r="G1085" s="33" t="s">
        <v>756</v>
      </c>
      <c r="I1085" s="32" t="s">
        <v>2815</v>
      </c>
      <c r="J1085" s="33">
        <v>38.630000000000003</v>
      </c>
      <c r="K1085" s="33">
        <v>-75.459999999999994</v>
      </c>
      <c r="L1085" s="33">
        <v>10.8</v>
      </c>
      <c r="R1085" s="47">
        <v>3</v>
      </c>
      <c r="S1085" s="47" t="s">
        <v>1728</v>
      </c>
      <c r="T1085" s="47"/>
      <c r="U1085" s="47" t="s">
        <v>1964</v>
      </c>
      <c r="V1085" s="47" t="s">
        <v>1382</v>
      </c>
      <c r="W1085" s="47" t="s">
        <v>1717</v>
      </c>
      <c r="X1085" s="47" t="s">
        <v>1382</v>
      </c>
      <c r="Y1085" s="47" t="s">
        <v>1382</v>
      </c>
      <c r="AA1085" s="327"/>
      <c r="AB1085" s="327"/>
      <c r="AC1085" s="33" t="s">
        <v>175</v>
      </c>
      <c r="AG1085" s="28" t="s">
        <v>1343</v>
      </c>
      <c r="AH1085" s="33" t="s">
        <v>131</v>
      </c>
      <c r="AI1085" s="138" t="s">
        <v>131</v>
      </c>
      <c r="AJ1085" s="33" t="s">
        <v>132</v>
      </c>
      <c r="AK1085" s="141" t="s">
        <v>132</v>
      </c>
      <c r="AO1085" s="33" t="s">
        <v>231</v>
      </c>
      <c r="AP1085" s="33" t="s">
        <v>231</v>
      </c>
      <c r="AQ1085" s="33" t="s">
        <v>2125</v>
      </c>
      <c r="AR1085" s="33" t="s">
        <v>2125</v>
      </c>
      <c r="AS1085" s="33" t="s">
        <v>177</v>
      </c>
      <c r="AT1085" s="33" t="s">
        <v>757</v>
      </c>
      <c r="AU1085" s="33" t="s">
        <v>757</v>
      </c>
      <c r="AV1085" s="33" t="s">
        <v>177</v>
      </c>
      <c r="AW1085" s="33" t="s">
        <v>160</v>
      </c>
      <c r="AX1085" s="33">
        <v>3</v>
      </c>
      <c r="AZ1085" s="33" t="s">
        <v>141</v>
      </c>
      <c r="BK1085" s="33">
        <v>8060</v>
      </c>
      <c r="BL1085" s="33">
        <v>8122</v>
      </c>
      <c r="BP1085" s="402"/>
      <c r="BQ1085" s="402"/>
      <c r="BU1085" s="402"/>
      <c r="BV1085" s="402"/>
      <c r="BZ1085" s="402"/>
      <c r="CA1085" s="402"/>
      <c r="CE1085" s="555"/>
      <c r="CF1085" s="555"/>
      <c r="CG1085" s="555"/>
      <c r="CH1085" s="555"/>
      <c r="CJ1085" s="33">
        <f>(2.1+8.8)/2</f>
        <v>5.45</v>
      </c>
      <c r="CK1085" s="33">
        <f>(1.1+6.8)/2</f>
        <v>3.95</v>
      </c>
      <c r="CN1085" s="33" t="s">
        <v>1674</v>
      </c>
      <c r="FB1085" s="33">
        <v>4.5999999999999996</v>
      </c>
      <c r="FC1085" s="33">
        <v>4.7</v>
      </c>
      <c r="FF1085" s="33" t="s">
        <v>766</v>
      </c>
      <c r="JB1085" s="33" t="s">
        <v>767</v>
      </c>
    </row>
    <row r="1086" spans="1:262" s="33" customFormat="1" x14ac:dyDescent="0.25">
      <c r="A1086" s="33">
        <v>52</v>
      </c>
      <c r="B1086" s="47" t="s">
        <v>3999</v>
      </c>
      <c r="C1086" s="33" t="s">
        <v>754</v>
      </c>
      <c r="D1086" s="33" t="s">
        <v>755</v>
      </c>
      <c r="E1086" s="33">
        <v>1998</v>
      </c>
      <c r="F1086" s="33">
        <v>1991</v>
      </c>
      <c r="G1086" s="33" t="s">
        <v>756</v>
      </c>
      <c r="I1086" s="32" t="s">
        <v>2815</v>
      </c>
      <c r="J1086" s="33">
        <v>38.630000000000003</v>
      </c>
      <c r="K1086" s="33">
        <v>-75.459999999999994</v>
      </c>
      <c r="L1086" s="33">
        <v>10.8</v>
      </c>
      <c r="R1086" s="47">
        <v>3</v>
      </c>
      <c r="S1086" s="47" t="s">
        <v>1728</v>
      </c>
      <c r="T1086" s="47"/>
      <c r="U1086" s="47" t="s">
        <v>1964</v>
      </c>
      <c r="V1086" s="47" t="s">
        <v>1382</v>
      </c>
      <c r="W1086" s="47" t="s">
        <v>1717</v>
      </c>
      <c r="X1086" s="47" t="s">
        <v>1382</v>
      </c>
      <c r="Y1086" s="47" t="s">
        <v>1382</v>
      </c>
      <c r="AA1086" s="327"/>
      <c r="AB1086" s="327"/>
      <c r="AC1086" s="33" t="s">
        <v>175</v>
      </c>
      <c r="AG1086" s="33" t="s">
        <v>1343</v>
      </c>
      <c r="AH1086" s="33" t="s">
        <v>131</v>
      </c>
      <c r="AI1086" s="138" t="s">
        <v>131</v>
      </c>
      <c r="AJ1086" s="33" t="s">
        <v>132</v>
      </c>
      <c r="AK1086" s="141" t="s">
        <v>132</v>
      </c>
      <c r="AO1086" s="33" t="s">
        <v>231</v>
      </c>
      <c r="AP1086" s="33" t="s">
        <v>231</v>
      </c>
      <c r="AQ1086" s="33" t="s">
        <v>2125</v>
      </c>
      <c r="AR1086" s="33" t="s">
        <v>2125</v>
      </c>
      <c r="AS1086" s="33" t="s">
        <v>177</v>
      </c>
      <c r="AT1086" s="33" t="s">
        <v>758</v>
      </c>
      <c r="AU1086" s="33" t="s">
        <v>758</v>
      </c>
      <c r="AV1086" s="33" t="s">
        <v>177</v>
      </c>
      <c r="AW1086" s="33" t="s">
        <v>160</v>
      </c>
      <c r="AX1086" s="33">
        <v>3</v>
      </c>
      <c r="AZ1086" s="33" t="s">
        <v>141</v>
      </c>
      <c r="BK1086" s="33">
        <v>7871</v>
      </c>
      <c r="BL1086" s="33">
        <v>8091</v>
      </c>
      <c r="BP1086" s="402"/>
      <c r="BQ1086" s="402"/>
      <c r="BU1086" s="402"/>
      <c r="BV1086" s="402"/>
      <c r="BZ1086" s="402"/>
      <c r="CA1086" s="402"/>
      <c r="CE1086" s="555"/>
      <c r="CF1086" s="555"/>
      <c r="CG1086" s="555"/>
      <c r="CH1086" s="555"/>
      <c r="FB1086" s="33">
        <v>33.1</v>
      </c>
      <c r="FC1086" s="33">
        <v>28.1</v>
      </c>
      <c r="FF1086" s="33" t="s">
        <v>766</v>
      </c>
      <c r="JB1086" s="33" t="s">
        <v>767</v>
      </c>
    </row>
    <row r="1087" spans="1:262" s="33" customFormat="1" x14ac:dyDescent="0.25">
      <c r="A1087" s="33">
        <v>52</v>
      </c>
      <c r="B1087" s="47" t="s">
        <v>3999</v>
      </c>
      <c r="C1087" s="33" t="s">
        <v>754</v>
      </c>
      <c r="D1087" s="33" t="s">
        <v>755</v>
      </c>
      <c r="E1087" s="33">
        <v>1998</v>
      </c>
      <c r="F1087" s="33">
        <v>1991</v>
      </c>
      <c r="G1087" s="33" t="s">
        <v>756</v>
      </c>
      <c r="I1087" s="32" t="s">
        <v>2815</v>
      </c>
      <c r="J1087" s="33">
        <v>38.630000000000003</v>
      </c>
      <c r="K1087" s="33">
        <v>-75.459999999999994</v>
      </c>
      <c r="L1087" s="33">
        <v>10.8</v>
      </c>
      <c r="R1087" s="47">
        <v>3</v>
      </c>
      <c r="S1087" s="47" t="s">
        <v>1728</v>
      </c>
      <c r="T1087" s="47"/>
      <c r="U1087" s="47" t="s">
        <v>1964</v>
      </c>
      <c r="V1087" s="47" t="s">
        <v>1382</v>
      </c>
      <c r="W1087" s="47" t="s">
        <v>1717</v>
      </c>
      <c r="X1087" s="47" t="s">
        <v>1382</v>
      </c>
      <c r="Y1087" s="47" t="s">
        <v>1382</v>
      </c>
      <c r="AA1087" s="327"/>
      <c r="AB1087" s="327"/>
      <c r="AC1087" s="33" t="s">
        <v>175</v>
      </c>
      <c r="AG1087" s="33" t="s">
        <v>1343</v>
      </c>
      <c r="AH1087" s="33" t="s">
        <v>131</v>
      </c>
      <c r="AI1087" s="138" t="s">
        <v>131</v>
      </c>
      <c r="AJ1087" s="33" t="s">
        <v>132</v>
      </c>
      <c r="AK1087" s="141" t="s">
        <v>132</v>
      </c>
      <c r="AO1087" s="33" t="s">
        <v>231</v>
      </c>
      <c r="AP1087" s="33" t="s">
        <v>231</v>
      </c>
      <c r="AQ1087" s="33" t="s">
        <v>2125</v>
      </c>
      <c r="AR1087" s="33" t="s">
        <v>2125</v>
      </c>
      <c r="AS1087" s="33" t="s">
        <v>177</v>
      </c>
      <c r="AT1087" s="33" t="s">
        <v>759</v>
      </c>
      <c r="AU1087" s="33" t="s">
        <v>759</v>
      </c>
      <c r="AV1087" s="33" t="s">
        <v>177</v>
      </c>
      <c r="AW1087" s="33" t="s">
        <v>160</v>
      </c>
      <c r="AX1087" s="33">
        <v>3</v>
      </c>
      <c r="AZ1087" s="33" t="s">
        <v>141</v>
      </c>
      <c r="BK1087" s="33">
        <v>8201</v>
      </c>
      <c r="BL1087" s="33">
        <v>8372</v>
      </c>
      <c r="BP1087" s="402"/>
      <c r="BQ1087" s="402"/>
      <c r="BU1087" s="402"/>
      <c r="BV1087" s="402"/>
      <c r="BZ1087" s="402"/>
      <c r="CA1087" s="402"/>
      <c r="CE1087" s="555"/>
      <c r="CF1087" s="555"/>
      <c r="CG1087" s="555"/>
      <c r="CH1087" s="555"/>
      <c r="FB1087" s="87"/>
      <c r="FC1087" s="87"/>
      <c r="FD1087" s="87"/>
      <c r="FE1087" s="87"/>
      <c r="JB1087" s="33" t="s">
        <v>767</v>
      </c>
    </row>
    <row r="1088" spans="1:262" s="24" customFormat="1" x14ac:dyDescent="0.25">
      <c r="A1088" s="24">
        <v>53</v>
      </c>
      <c r="B1088" s="42" t="s">
        <v>4000</v>
      </c>
      <c r="C1088" s="24" t="s">
        <v>768</v>
      </c>
      <c r="D1088" s="24" t="s">
        <v>769</v>
      </c>
      <c r="E1088" s="24">
        <v>2006</v>
      </c>
      <c r="F1088" s="24">
        <v>2000</v>
      </c>
      <c r="G1088" s="24" t="s">
        <v>770</v>
      </c>
      <c r="H1088" s="24" t="s">
        <v>771</v>
      </c>
      <c r="I1088" s="32" t="s">
        <v>2815</v>
      </c>
      <c r="J1088" s="24">
        <v>33.950000000000003</v>
      </c>
      <c r="K1088" s="24">
        <v>-83.38</v>
      </c>
      <c r="L1088" s="24">
        <v>208.4</v>
      </c>
      <c r="O1088" s="24">
        <f>278+505</f>
        <v>783</v>
      </c>
      <c r="P1088" s="24">
        <f>588+645</f>
        <v>1233</v>
      </c>
      <c r="R1088" s="42">
        <v>1</v>
      </c>
      <c r="S1088" s="42" t="s">
        <v>1728</v>
      </c>
      <c r="T1088" s="42"/>
      <c r="U1088" s="42" t="s">
        <v>1965</v>
      </c>
      <c r="V1088" s="42" t="s">
        <v>1389</v>
      </c>
      <c r="W1088" s="42" t="s">
        <v>1720</v>
      </c>
      <c r="X1088" s="42" t="s">
        <v>1389</v>
      </c>
      <c r="Y1088" s="42" t="s">
        <v>1389</v>
      </c>
      <c r="AA1088" s="321">
        <f t="shared" ref="AA1088:AA1119" si="237">650/1000*100</f>
        <v>65</v>
      </c>
      <c r="AB1088" s="321">
        <f>25</f>
        <v>25</v>
      </c>
      <c r="AC1088" s="24" t="s">
        <v>240</v>
      </c>
      <c r="AD1088" s="24">
        <v>6.6</v>
      </c>
      <c r="AE1088" s="24">
        <v>0.88</v>
      </c>
      <c r="AG1088" s="24" t="s">
        <v>1344</v>
      </c>
      <c r="AH1088" s="24" t="s">
        <v>131</v>
      </c>
      <c r="AI1088" s="138" t="s">
        <v>131</v>
      </c>
      <c r="AJ1088" s="24" t="s">
        <v>584</v>
      </c>
      <c r="AK1088" s="140" t="s">
        <v>1627</v>
      </c>
      <c r="AL1088" s="24" t="s">
        <v>778</v>
      </c>
      <c r="AM1088" s="24" t="s">
        <v>778</v>
      </c>
      <c r="AN1088" s="24" t="s">
        <v>177</v>
      </c>
      <c r="AO1088" s="24" t="s">
        <v>156</v>
      </c>
      <c r="AP1088" s="24" t="s">
        <v>156</v>
      </c>
      <c r="AQ1088" s="24" t="s">
        <v>2126</v>
      </c>
      <c r="AR1088" s="24" t="s">
        <v>2126</v>
      </c>
      <c r="AS1088" s="24" t="s">
        <v>177</v>
      </c>
      <c r="AT1088" s="24" t="s">
        <v>338</v>
      </c>
      <c r="AU1088" s="24" t="s">
        <v>338</v>
      </c>
      <c r="AV1088" s="24" t="s">
        <v>177</v>
      </c>
      <c r="AW1088" s="24" t="s">
        <v>119</v>
      </c>
      <c r="AX1088" s="24">
        <v>3</v>
      </c>
      <c r="AZ1088" s="24" t="s">
        <v>335</v>
      </c>
      <c r="BB1088" s="24">
        <f>6.07*1000</f>
        <v>6070</v>
      </c>
      <c r="BC1088" s="24">
        <v>29</v>
      </c>
      <c r="BF1088" s="24">
        <v>5200</v>
      </c>
      <c r="BG1088" s="24">
        <v>6300</v>
      </c>
      <c r="BJ1088" s="24" t="s">
        <v>1666</v>
      </c>
      <c r="BK1088" s="24">
        <v>814</v>
      </c>
      <c r="BL1088" s="24">
        <v>1107</v>
      </c>
      <c r="BP1088" s="395"/>
      <c r="BQ1088" s="395"/>
      <c r="BU1088" s="395"/>
      <c r="BV1088" s="395"/>
      <c r="BZ1088" s="395"/>
      <c r="CA1088" s="395"/>
      <c r="CE1088" s="548"/>
      <c r="CF1088" s="548"/>
      <c r="CG1088" s="548"/>
      <c r="CH1088" s="548"/>
      <c r="CJ1088" s="24">
        <f>55.8*0.28</f>
        <v>15.624000000000001</v>
      </c>
      <c r="CK1088" s="24">
        <f>47.8*0.28</f>
        <v>13.384</v>
      </c>
      <c r="CN1088" s="24" t="s">
        <v>465</v>
      </c>
      <c r="HJ1088" s="24">
        <v>11</v>
      </c>
      <c r="HK1088" s="24">
        <v>20</v>
      </c>
      <c r="HN1088" s="24" t="s">
        <v>1698</v>
      </c>
      <c r="JB1088" s="24" t="s">
        <v>779</v>
      </c>
    </row>
    <row r="1089" spans="1:262" s="24" customFormat="1" x14ac:dyDescent="0.25">
      <c r="A1089" s="24">
        <v>53</v>
      </c>
      <c r="B1089" s="42" t="s">
        <v>4000</v>
      </c>
      <c r="C1089" s="24" t="s">
        <v>768</v>
      </c>
      <c r="D1089" s="24" t="s">
        <v>769</v>
      </c>
      <c r="E1089" s="24">
        <v>2006</v>
      </c>
      <c r="F1089" s="24">
        <v>2000</v>
      </c>
      <c r="G1089" s="24" t="s">
        <v>770</v>
      </c>
      <c r="H1089" s="24" t="s">
        <v>771</v>
      </c>
      <c r="I1089" s="32" t="s">
        <v>2815</v>
      </c>
      <c r="J1089" s="24">
        <v>33.950000000000003</v>
      </c>
      <c r="K1089" s="24">
        <v>-83.38</v>
      </c>
      <c r="L1089" s="24">
        <v>208.4</v>
      </c>
      <c r="O1089" s="24">
        <f t="shared" ref="O1089:O1102" si="238">278+505</f>
        <v>783</v>
      </c>
      <c r="P1089" s="24">
        <f t="shared" ref="P1089:P1152" si="239">588+645</f>
        <v>1233</v>
      </c>
      <c r="R1089" s="42">
        <v>1</v>
      </c>
      <c r="S1089" s="42" t="s">
        <v>1728</v>
      </c>
      <c r="T1089" s="42"/>
      <c r="U1089" s="42" t="s">
        <v>1965</v>
      </c>
      <c r="V1089" s="42" t="s">
        <v>1389</v>
      </c>
      <c r="W1089" s="42" t="s">
        <v>1720</v>
      </c>
      <c r="X1089" s="42" t="s">
        <v>1389</v>
      </c>
      <c r="Y1089" s="42" t="s">
        <v>1389</v>
      </c>
      <c r="AA1089" s="321">
        <f t="shared" si="237"/>
        <v>65</v>
      </c>
      <c r="AB1089" s="321">
        <f>25</f>
        <v>25</v>
      </c>
      <c r="AC1089" s="24" t="s">
        <v>240</v>
      </c>
      <c r="AD1089" s="24">
        <v>6.6</v>
      </c>
      <c r="AE1089" s="24">
        <v>0.88</v>
      </c>
      <c r="AG1089" s="24" t="s">
        <v>1344</v>
      </c>
      <c r="AH1089" s="24" t="s">
        <v>131</v>
      </c>
      <c r="AI1089" s="138" t="s">
        <v>131</v>
      </c>
      <c r="AJ1089" s="24" t="s">
        <v>584</v>
      </c>
      <c r="AK1089" s="140" t="s">
        <v>1627</v>
      </c>
      <c r="AL1089" s="24" t="s">
        <v>778</v>
      </c>
      <c r="AM1089" s="24" t="s">
        <v>778</v>
      </c>
      <c r="AN1089" s="24" t="s">
        <v>177</v>
      </c>
      <c r="AO1089" s="24" t="s">
        <v>772</v>
      </c>
      <c r="AP1089" s="24" t="s">
        <v>772</v>
      </c>
      <c r="AQ1089" s="24" t="s">
        <v>2125</v>
      </c>
      <c r="AR1089" s="24" t="s">
        <v>2125</v>
      </c>
      <c r="AS1089" s="24" t="s">
        <v>177</v>
      </c>
      <c r="AT1089" s="24" t="s">
        <v>338</v>
      </c>
      <c r="AU1089" s="24" t="s">
        <v>338</v>
      </c>
      <c r="AV1089" s="24" t="s">
        <v>177</v>
      </c>
      <c r="AW1089" s="24" t="s">
        <v>119</v>
      </c>
      <c r="AX1089" s="24">
        <v>3</v>
      </c>
      <c r="AZ1089" s="24" t="s">
        <v>335</v>
      </c>
      <c r="BB1089" s="24">
        <f t="shared" ref="BB1089:BB1090" si="240">6.07*1000</f>
        <v>6070</v>
      </c>
      <c r="BC1089" s="24">
        <v>29</v>
      </c>
      <c r="BK1089" s="24">
        <v>480</v>
      </c>
      <c r="BL1089" s="24">
        <v>674</v>
      </c>
      <c r="BP1089" s="395"/>
      <c r="BQ1089" s="395"/>
      <c r="BU1089" s="395"/>
      <c r="BV1089" s="395"/>
      <c r="BZ1089" s="395"/>
      <c r="CA1089" s="395"/>
      <c r="CE1089" s="548"/>
      <c r="CF1089" s="548"/>
      <c r="CG1089" s="548"/>
      <c r="CH1089" s="548"/>
      <c r="CJ1089" s="24">
        <f>50.5*0.28</f>
        <v>14.14</v>
      </c>
      <c r="CK1089" s="24">
        <f>57*0.28</f>
        <v>15.96</v>
      </c>
      <c r="CN1089" s="24" t="s">
        <v>465</v>
      </c>
      <c r="HJ1089" s="24">
        <v>8</v>
      </c>
      <c r="HK1089" s="24">
        <v>11</v>
      </c>
      <c r="HN1089" s="24" t="s">
        <v>1698</v>
      </c>
      <c r="JB1089" s="24" t="s">
        <v>779</v>
      </c>
    </row>
    <row r="1090" spans="1:262" s="24" customFormat="1" x14ac:dyDescent="0.25">
      <c r="A1090" s="24">
        <v>53</v>
      </c>
      <c r="B1090" s="42" t="s">
        <v>4000</v>
      </c>
      <c r="C1090" s="24" t="s">
        <v>768</v>
      </c>
      <c r="D1090" s="24" t="s">
        <v>769</v>
      </c>
      <c r="E1090" s="24">
        <v>2006</v>
      </c>
      <c r="F1090" s="24">
        <v>2000</v>
      </c>
      <c r="G1090" s="24" t="s">
        <v>770</v>
      </c>
      <c r="H1090" s="24" t="s">
        <v>771</v>
      </c>
      <c r="I1090" s="32" t="s">
        <v>2815</v>
      </c>
      <c r="J1090" s="24">
        <v>33.950000000000003</v>
      </c>
      <c r="K1090" s="24">
        <v>-83.38</v>
      </c>
      <c r="L1090" s="24">
        <v>208.4</v>
      </c>
      <c r="O1090" s="24">
        <f t="shared" si="238"/>
        <v>783</v>
      </c>
      <c r="P1090" s="24">
        <f t="shared" si="239"/>
        <v>1233</v>
      </c>
      <c r="R1090" s="42">
        <v>1</v>
      </c>
      <c r="S1090" s="42" t="s">
        <v>1728</v>
      </c>
      <c r="T1090" s="42"/>
      <c r="U1090" s="42" t="s">
        <v>1965</v>
      </c>
      <c r="V1090" s="42" t="s">
        <v>1389</v>
      </c>
      <c r="W1090" s="42" t="s">
        <v>1720</v>
      </c>
      <c r="X1090" s="42" t="s">
        <v>1389</v>
      </c>
      <c r="Y1090" s="42" t="s">
        <v>1389</v>
      </c>
      <c r="AA1090" s="321">
        <f t="shared" si="237"/>
        <v>65</v>
      </c>
      <c r="AB1090" s="321">
        <f>25</f>
        <v>25</v>
      </c>
      <c r="AC1090" s="24" t="s">
        <v>240</v>
      </c>
      <c r="AD1090" s="24">
        <v>6.6</v>
      </c>
      <c r="AE1090" s="24">
        <v>0.88</v>
      </c>
      <c r="AG1090" s="24" t="s">
        <v>1344</v>
      </c>
      <c r="AH1090" s="24" t="s">
        <v>131</v>
      </c>
      <c r="AI1090" s="138" t="s">
        <v>131</v>
      </c>
      <c r="AJ1090" s="24" t="s">
        <v>584</v>
      </c>
      <c r="AK1090" s="140" t="s">
        <v>1627</v>
      </c>
      <c r="AL1090" s="24" t="s">
        <v>778</v>
      </c>
      <c r="AM1090" s="24" t="s">
        <v>778</v>
      </c>
      <c r="AN1090" s="24" t="s">
        <v>177</v>
      </c>
      <c r="AO1090" s="24" t="s">
        <v>773</v>
      </c>
      <c r="AP1090" s="24" t="s">
        <v>773</v>
      </c>
      <c r="AQ1090" s="24" t="s">
        <v>2125</v>
      </c>
      <c r="AR1090" s="24" t="s">
        <v>2125</v>
      </c>
      <c r="AS1090" s="24" t="s">
        <v>177</v>
      </c>
      <c r="AT1090" s="24" t="s">
        <v>338</v>
      </c>
      <c r="AU1090" s="24" t="s">
        <v>338</v>
      </c>
      <c r="AV1090" s="24" t="s">
        <v>177</v>
      </c>
      <c r="AW1090" s="24" t="s">
        <v>119</v>
      </c>
      <c r="AX1090" s="24">
        <v>3</v>
      </c>
      <c r="AZ1090" s="24" t="s">
        <v>335</v>
      </c>
      <c r="BB1090" s="24">
        <f t="shared" si="240"/>
        <v>6070</v>
      </c>
      <c r="BC1090" s="24">
        <v>29</v>
      </c>
      <c r="BK1090" s="24">
        <v>802</v>
      </c>
      <c r="BL1090" s="24">
        <v>857</v>
      </c>
      <c r="BP1090" s="395"/>
      <c r="BQ1090" s="395"/>
      <c r="BU1090" s="395"/>
      <c r="BV1090" s="395"/>
      <c r="BZ1090" s="395"/>
      <c r="CA1090" s="395"/>
      <c r="CE1090" s="548"/>
      <c r="CF1090" s="548"/>
      <c r="CG1090" s="548"/>
      <c r="CH1090" s="548"/>
      <c r="CJ1090" s="24">
        <f>51.2*0.28</f>
        <v>14.336000000000002</v>
      </c>
      <c r="CK1090" s="24">
        <f>54.8*0.28</f>
        <v>15.344000000000001</v>
      </c>
      <c r="CN1090" s="24" t="s">
        <v>465</v>
      </c>
      <c r="HJ1090" s="24">
        <v>14</v>
      </c>
      <c r="HK1090" s="24">
        <v>14</v>
      </c>
      <c r="HN1090" s="24" t="s">
        <v>1698</v>
      </c>
      <c r="JB1090" s="24" t="s">
        <v>779</v>
      </c>
    </row>
    <row r="1091" spans="1:262" s="74" customFormat="1" x14ac:dyDescent="0.25">
      <c r="A1091" s="74">
        <v>53</v>
      </c>
      <c r="B1091" s="75" t="s">
        <v>4001</v>
      </c>
      <c r="C1091" s="74" t="s">
        <v>768</v>
      </c>
      <c r="D1091" s="74" t="s">
        <v>769</v>
      </c>
      <c r="E1091" s="74">
        <v>2006</v>
      </c>
      <c r="F1091" s="74">
        <v>2000</v>
      </c>
      <c r="G1091" s="74" t="s">
        <v>770</v>
      </c>
      <c r="H1091" s="74" t="s">
        <v>771</v>
      </c>
      <c r="I1091" s="32" t="s">
        <v>2815</v>
      </c>
      <c r="J1091" s="74">
        <v>33.950000000000003</v>
      </c>
      <c r="K1091" s="74">
        <v>-83.38</v>
      </c>
      <c r="L1091" s="74">
        <v>208.4</v>
      </c>
      <c r="O1091" s="24">
        <f t="shared" si="238"/>
        <v>783</v>
      </c>
      <c r="P1091" s="24">
        <f t="shared" si="239"/>
        <v>1233</v>
      </c>
      <c r="R1091" s="75">
        <v>1</v>
      </c>
      <c r="S1091" s="75" t="s">
        <v>1728</v>
      </c>
      <c r="T1091" s="75"/>
      <c r="U1091" s="42" t="s">
        <v>1965</v>
      </c>
      <c r="V1091" s="75" t="s">
        <v>1389</v>
      </c>
      <c r="W1091" s="42" t="s">
        <v>1720</v>
      </c>
      <c r="X1091" s="75" t="s">
        <v>1389</v>
      </c>
      <c r="Y1091" s="75" t="s">
        <v>1389</v>
      </c>
      <c r="AA1091" s="337">
        <f t="shared" si="237"/>
        <v>65</v>
      </c>
      <c r="AB1091" s="337">
        <f>25</f>
        <v>25</v>
      </c>
      <c r="AC1091" s="74" t="s">
        <v>240</v>
      </c>
      <c r="AD1091" s="74">
        <v>6.6</v>
      </c>
      <c r="AE1091" s="74">
        <v>0.88</v>
      </c>
      <c r="AG1091" s="24" t="s">
        <v>1344</v>
      </c>
      <c r="AH1091" s="74" t="s">
        <v>243</v>
      </c>
      <c r="AI1091" s="138" t="s">
        <v>577</v>
      </c>
      <c r="AJ1091" s="74" t="s">
        <v>584</v>
      </c>
      <c r="AK1091" s="140" t="s">
        <v>1627</v>
      </c>
      <c r="AL1091" s="24" t="s">
        <v>778</v>
      </c>
      <c r="AM1091" s="24" t="s">
        <v>778</v>
      </c>
      <c r="AN1091" s="24" t="s">
        <v>177</v>
      </c>
      <c r="AO1091" s="74" t="s">
        <v>156</v>
      </c>
      <c r="AP1091" s="74" t="s">
        <v>156</v>
      </c>
      <c r="AQ1091" s="24" t="s">
        <v>2126</v>
      </c>
      <c r="AR1091" s="24" t="s">
        <v>2126</v>
      </c>
      <c r="AS1091" s="74" t="s">
        <v>177</v>
      </c>
      <c r="AT1091" s="74" t="s">
        <v>338</v>
      </c>
      <c r="AU1091" s="74" t="s">
        <v>338</v>
      </c>
      <c r="AV1091" s="74" t="s">
        <v>177</v>
      </c>
      <c r="AW1091" s="74" t="s">
        <v>119</v>
      </c>
      <c r="AX1091" s="74">
        <v>3</v>
      </c>
      <c r="AZ1091" s="74" t="s">
        <v>335</v>
      </c>
      <c r="BB1091" s="74">
        <f>5.1*1000</f>
        <v>5100</v>
      </c>
      <c r="BC1091" s="74">
        <v>12</v>
      </c>
      <c r="BF1091" s="74">
        <v>5200</v>
      </c>
      <c r="BG1091" s="74">
        <v>8200</v>
      </c>
      <c r="BJ1091" s="74" t="s">
        <v>1666</v>
      </c>
      <c r="BK1091" s="74">
        <v>814</v>
      </c>
      <c r="BL1091" s="74">
        <v>661</v>
      </c>
      <c r="BP1091" s="412"/>
      <c r="BQ1091" s="412"/>
      <c r="BU1091" s="412"/>
      <c r="BV1091" s="412"/>
      <c r="BZ1091" s="412"/>
      <c r="CA1091" s="412"/>
      <c r="CE1091" s="565"/>
      <c r="CF1091" s="565"/>
      <c r="CG1091" s="565"/>
      <c r="CH1091" s="565"/>
      <c r="CJ1091" s="74">
        <v>15.624000000000001</v>
      </c>
      <c r="CK1091" s="74">
        <f>61*0.28</f>
        <v>17.080000000000002</v>
      </c>
      <c r="CL1091" s="24"/>
      <c r="CM1091" s="24"/>
      <c r="CN1091" s="24" t="s">
        <v>465</v>
      </c>
      <c r="HJ1091" s="24">
        <v>11</v>
      </c>
      <c r="HK1091" s="74">
        <v>11</v>
      </c>
      <c r="HN1091" s="24" t="s">
        <v>1698</v>
      </c>
      <c r="JB1091" s="24" t="s">
        <v>779</v>
      </c>
    </row>
    <row r="1092" spans="1:262" s="74" customFormat="1" x14ac:dyDescent="0.25">
      <c r="A1092" s="74">
        <v>53</v>
      </c>
      <c r="B1092" s="75" t="s">
        <v>4001</v>
      </c>
      <c r="C1092" s="74" t="s">
        <v>768</v>
      </c>
      <c r="D1092" s="74" t="s">
        <v>769</v>
      </c>
      <c r="E1092" s="74">
        <v>2006</v>
      </c>
      <c r="F1092" s="74">
        <v>2000</v>
      </c>
      <c r="G1092" s="74" t="s">
        <v>770</v>
      </c>
      <c r="H1092" s="74" t="s">
        <v>771</v>
      </c>
      <c r="I1092" s="32" t="s">
        <v>2815</v>
      </c>
      <c r="J1092" s="74">
        <v>33.950000000000003</v>
      </c>
      <c r="K1092" s="74">
        <v>-83.38</v>
      </c>
      <c r="L1092" s="74">
        <v>208.4</v>
      </c>
      <c r="O1092" s="24">
        <f t="shared" si="238"/>
        <v>783</v>
      </c>
      <c r="P1092" s="24">
        <f t="shared" si="239"/>
        <v>1233</v>
      </c>
      <c r="R1092" s="75">
        <v>1</v>
      </c>
      <c r="S1092" s="75" t="s">
        <v>1728</v>
      </c>
      <c r="T1092" s="75"/>
      <c r="U1092" s="42" t="s">
        <v>1965</v>
      </c>
      <c r="V1092" s="75" t="s">
        <v>1389</v>
      </c>
      <c r="W1092" s="42" t="s">
        <v>1720</v>
      </c>
      <c r="X1092" s="75" t="s">
        <v>1389</v>
      </c>
      <c r="Y1092" s="75" t="s">
        <v>1389</v>
      </c>
      <c r="AA1092" s="337">
        <f t="shared" si="237"/>
        <v>65</v>
      </c>
      <c r="AB1092" s="337">
        <f>25</f>
        <v>25</v>
      </c>
      <c r="AC1092" s="74" t="s">
        <v>240</v>
      </c>
      <c r="AD1092" s="74">
        <v>6.6</v>
      </c>
      <c r="AE1092" s="74">
        <v>0.88</v>
      </c>
      <c r="AG1092" s="24" t="s">
        <v>1344</v>
      </c>
      <c r="AH1092" s="74" t="s">
        <v>243</v>
      </c>
      <c r="AI1092" s="138" t="s">
        <v>577</v>
      </c>
      <c r="AJ1092" s="74" t="s">
        <v>584</v>
      </c>
      <c r="AK1092" s="140" t="s">
        <v>1627</v>
      </c>
      <c r="AL1092" s="24" t="s">
        <v>778</v>
      </c>
      <c r="AM1092" s="24" t="s">
        <v>778</v>
      </c>
      <c r="AN1092" s="24" t="s">
        <v>177</v>
      </c>
      <c r="AO1092" s="74" t="s">
        <v>772</v>
      </c>
      <c r="AP1092" s="74" t="s">
        <v>772</v>
      </c>
      <c r="AQ1092" s="24" t="s">
        <v>2125</v>
      </c>
      <c r="AR1092" s="24" t="s">
        <v>2125</v>
      </c>
      <c r="AS1092" s="74" t="s">
        <v>177</v>
      </c>
      <c r="AT1092" s="74" t="s">
        <v>338</v>
      </c>
      <c r="AU1092" s="74" t="s">
        <v>338</v>
      </c>
      <c r="AV1092" s="74" t="s">
        <v>177</v>
      </c>
      <c r="AW1092" s="74" t="s">
        <v>119</v>
      </c>
      <c r="AX1092" s="74">
        <v>3</v>
      </c>
      <c r="AZ1092" s="74" t="s">
        <v>335</v>
      </c>
      <c r="BB1092" s="74">
        <f t="shared" ref="BB1092:BB1093" si="241">5.1*1000</f>
        <v>5100</v>
      </c>
      <c r="BC1092" s="74">
        <v>12</v>
      </c>
      <c r="BK1092" s="74">
        <v>480</v>
      </c>
      <c r="BL1092" s="74">
        <v>664</v>
      </c>
      <c r="BP1092" s="412"/>
      <c r="BQ1092" s="412"/>
      <c r="BU1092" s="412"/>
      <c r="BV1092" s="412"/>
      <c r="BZ1092" s="412"/>
      <c r="CA1092" s="412"/>
      <c r="CE1092" s="565"/>
      <c r="CF1092" s="565"/>
      <c r="CG1092" s="565"/>
      <c r="CH1092" s="565"/>
      <c r="CJ1092" s="74">
        <v>14.14</v>
      </c>
      <c r="CK1092" s="74">
        <f>61.8*0.28</f>
        <v>17.304000000000002</v>
      </c>
      <c r="CL1092" s="24"/>
      <c r="CM1092" s="24"/>
      <c r="CN1092" s="24" t="s">
        <v>465</v>
      </c>
      <c r="HJ1092" s="24">
        <v>8</v>
      </c>
      <c r="HK1092" s="74">
        <v>11</v>
      </c>
      <c r="HN1092" s="24" t="s">
        <v>1698</v>
      </c>
      <c r="JB1092" s="24" t="s">
        <v>779</v>
      </c>
    </row>
    <row r="1093" spans="1:262" s="74" customFormat="1" x14ac:dyDescent="0.25">
      <c r="A1093" s="74">
        <v>53</v>
      </c>
      <c r="B1093" s="75" t="s">
        <v>4001</v>
      </c>
      <c r="C1093" s="74" t="s">
        <v>768</v>
      </c>
      <c r="D1093" s="74" t="s">
        <v>769</v>
      </c>
      <c r="E1093" s="74">
        <v>2006</v>
      </c>
      <c r="F1093" s="74">
        <v>2000</v>
      </c>
      <c r="G1093" s="74" t="s">
        <v>770</v>
      </c>
      <c r="H1093" s="74" t="s">
        <v>771</v>
      </c>
      <c r="I1093" s="32" t="s">
        <v>2815</v>
      </c>
      <c r="J1093" s="74">
        <v>33.950000000000003</v>
      </c>
      <c r="K1093" s="74">
        <v>-83.38</v>
      </c>
      <c r="L1093" s="74">
        <v>208.4</v>
      </c>
      <c r="O1093" s="24">
        <f t="shared" si="238"/>
        <v>783</v>
      </c>
      <c r="P1093" s="24">
        <f t="shared" si="239"/>
        <v>1233</v>
      </c>
      <c r="R1093" s="75">
        <v>1</v>
      </c>
      <c r="S1093" s="75" t="s">
        <v>1728</v>
      </c>
      <c r="T1093" s="75"/>
      <c r="U1093" s="42" t="s">
        <v>1965</v>
      </c>
      <c r="V1093" s="75" t="s">
        <v>1389</v>
      </c>
      <c r="W1093" s="42" t="s">
        <v>1720</v>
      </c>
      <c r="X1093" s="75" t="s">
        <v>1389</v>
      </c>
      <c r="Y1093" s="75" t="s">
        <v>1389</v>
      </c>
      <c r="AA1093" s="337">
        <f t="shared" si="237"/>
        <v>65</v>
      </c>
      <c r="AB1093" s="337">
        <f>25</f>
        <v>25</v>
      </c>
      <c r="AC1093" s="74" t="s">
        <v>240</v>
      </c>
      <c r="AD1093" s="74">
        <v>6.6</v>
      </c>
      <c r="AE1093" s="74">
        <v>0.88</v>
      </c>
      <c r="AG1093" s="24" t="s">
        <v>1344</v>
      </c>
      <c r="AH1093" s="74" t="s">
        <v>243</v>
      </c>
      <c r="AI1093" s="138" t="s">
        <v>577</v>
      </c>
      <c r="AJ1093" s="74" t="s">
        <v>584</v>
      </c>
      <c r="AK1093" s="140" t="s">
        <v>1627</v>
      </c>
      <c r="AL1093" s="24" t="s">
        <v>778</v>
      </c>
      <c r="AM1093" s="24" t="s">
        <v>778</v>
      </c>
      <c r="AN1093" s="24" t="s">
        <v>177</v>
      </c>
      <c r="AO1093" s="74" t="s">
        <v>773</v>
      </c>
      <c r="AP1093" s="74" t="s">
        <v>773</v>
      </c>
      <c r="AQ1093" s="24" t="s">
        <v>2125</v>
      </c>
      <c r="AR1093" s="24" t="s">
        <v>2125</v>
      </c>
      <c r="AS1093" s="74" t="s">
        <v>177</v>
      </c>
      <c r="AT1093" s="74" t="s">
        <v>338</v>
      </c>
      <c r="AU1093" s="74" t="s">
        <v>338</v>
      </c>
      <c r="AV1093" s="74" t="s">
        <v>177</v>
      </c>
      <c r="AW1093" s="74" t="s">
        <v>119</v>
      </c>
      <c r="AX1093" s="74">
        <v>3</v>
      </c>
      <c r="AZ1093" s="74" t="s">
        <v>335</v>
      </c>
      <c r="BB1093" s="74">
        <f t="shared" si="241"/>
        <v>5100</v>
      </c>
      <c r="BC1093" s="74">
        <v>12</v>
      </c>
      <c r="BK1093" s="74">
        <v>802</v>
      </c>
      <c r="BL1093" s="74">
        <v>657</v>
      </c>
      <c r="BP1093" s="412"/>
      <c r="BQ1093" s="412"/>
      <c r="BU1093" s="412"/>
      <c r="BV1093" s="412"/>
      <c r="BZ1093" s="412"/>
      <c r="CA1093" s="412"/>
      <c r="CE1093" s="565"/>
      <c r="CF1093" s="565"/>
      <c r="CG1093" s="565"/>
      <c r="CH1093" s="565"/>
      <c r="CJ1093" s="74">
        <v>14.336000000000002</v>
      </c>
      <c r="CK1093" s="74">
        <f>62.9*0.28</f>
        <v>17.612000000000002</v>
      </c>
      <c r="CL1093" s="24"/>
      <c r="CM1093" s="24"/>
      <c r="CN1093" s="24" t="s">
        <v>465</v>
      </c>
      <c r="HJ1093" s="24">
        <v>14</v>
      </c>
      <c r="HK1093" s="74">
        <v>11</v>
      </c>
      <c r="HN1093" s="24" t="s">
        <v>1698</v>
      </c>
      <c r="JB1093" s="24" t="s">
        <v>779</v>
      </c>
    </row>
    <row r="1094" spans="1:262" s="24" customFormat="1" x14ac:dyDescent="0.25">
      <c r="A1094" s="24">
        <v>53</v>
      </c>
      <c r="B1094" s="42" t="s">
        <v>4002</v>
      </c>
      <c r="C1094" s="24" t="s">
        <v>768</v>
      </c>
      <c r="D1094" s="24" t="s">
        <v>769</v>
      </c>
      <c r="E1094" s="24">
        <v>2006</v>
      </c>
      <c r="F1094" s="24">
        <v>2000</v>
      </c>
      <c r="G1094" s="24" t="s">
        <v>770</v>
      </c>
      <c r="H1094" s="24" t="s">
        <v>771</v>
      </c>
      <c r="I1094" s="32" t="s">
        <v>2815</v>
      </c>
      <c r="J1094" s="24">
        <v>33.950000000000003</v>
      </c>
      <c r="K1094" s="24">
        <v>-83.38</v>
      </c>
      <c r="L1094" s="24">
        <v>208.4</v>
      </c>
      <c r="O1094" s="24">
        <f t="shared" si="238"/>
        <v>783</v>
      </c>
      <c r="P1094" s="24">
        <f t="shared" si="239"/>
        <v>1233</v>
      </c>
      <c r="R1094" s="42">
        <v>1</v>
      </c>
      <c r="S1094" s="42" t="s">
        <v>1728</v>
      </c>
      <c r="T1094" s="42"/>
      <c r="U1094" s="42" t="s">
        <v>1965</v>
      </c>
      <c r="V1094" s="42" t="s">
        <v>1389</v>
      </c>
      <c r="W1094" s="42" t="s">
        <v>1720</v>
      </c>
      <c r="X1094" s="42" t="s">
        <v>1389</v>
      </c>
      <c r="Y1094" s="42" t="s">
        <v>1389</v>
      </c>
      <c r="AA1094" s="321">
        <f t="shared" si="237"/>
        <v>65</v>
      </c>
      <c r="AB1094" s="321">
        <f>25</f>
        <v>25</v>
      </c>
      <c r="AC1094" s="24" t="s">
        <v>240</v>
      </c>
      <c r="AD1094" s="24">
        <v>6.6</v>
      </c>
      <c r="AE1094" s="24">
        <v>0.88</v>
      </c>
      <c r="AG1094" s="24" t="s">
        <v>1344</v>
      </c>
      <c r="AH1094" s="24" t="s">
        <v>1518</v>
      </c>
      <c r="AI1094" s="138" t="s">
        <v>1582</v>
      </c>
      <c r="AJ1094" s="24" t="s">
        <v>584</v>
      </c>
      <c r="AK1094" s="140" t="s">
        <v>1627</v>
      </c>
      <c r="AL1094" s="24" t="s">
        <v>778</v>
      </c>
      <c r="AM1094" s="24" t="s">
        <v>778</v>
      </c>
      <c r="AN1094" s="24" t="s">
        <v>177</v>
      </c>
      <c r="AO1094" s="24" t="s">
        <v>156</v>
      </c>
      <c r="AP1094" s="24" t="s">
        <v>156</v>
      </c>
      <c r="AQ1094" s="24" t="s">
        <v>2126</v>
      </c>
      <c r="AR1094" s="24" t="s">
        <v>2126</v>
      </c>
      <c r="AS1094" s="24" t="s">
        <v>177</v>
      </c>
      <c r="AT1094" s="24" t="s">
        <v>338</v>
      </c>
      <c r="AU1094" s="24" t="s">
        <v>338</v>
      </c>
      <c r="AV1094" s="24" t="s">
        <v>177</v>
      </c>
      <c r="AW1094" s="24" t="s">
        <v>119</v>
      </c>
      <c r="AX1094" s="24">
        <v>3</v>
      </c>
      <c r="AZ1094" s="24" t="s">
        <v>335</v>
      </c>
      <c r="BB1094" s="24">
        <f>8.18*1000</f>
        <v>8180</v>
      </c>
      <c r="BC1094" s="24">
        <v>10</v>
      </c>
      <c r="BF1094" s="24">
        <v>5200</v>
      </c>
      <c r="BG1094" s="24">
        <v>7300</v>
      </c>
      <c r="BJ1094" s="24" t="s">
        <v>1666</v>
      </c>
      <c r="BK1094" s="24">
        <v>814</v>
      </c>
      <c r="BL1094" s="24">
        <v>837</v>
      </c>
      <c r="BP1094" s="395"/>
      <c r="BQ1094" s="395"/>
      <c r="BU1094" s="395"/>
      <c r="BV1094" s="395"/>
      <c r="BZ1094" s="395"/>
      <c r="CA1094" s="395"/>
      <c r="CE1094" s="548"/>
      <c r="CF1094" s="548"/>
      <c r="CG1094" s="548"/>
      <c r="CH1094" s="548"/>
      <c r="CJ1094" s="24">
        <f>55.8*0.28</f>
        <v>15.624000000000001</v>
      </c>
      <c r="CK1094" s="24">
        <f>53.7*0.28</f>
        <v>15.036000000000001</v>
      </c>
      <c r="CN1094" s="24" t="s">
        <v>465</v>
      </c>
      <c r="HJ1094" s="24">
        <v>11</v>
      </c>
      <c r="HK1094" s="24">
        <v>17</v>
      </c>
      <c r="HN1094" s="24" t="s">
        <v>1698</v>
      </c>
      <c r="JB1094" s="24" t="s">
        <v>779</v>
      </c>
    </row>
    <row r="1095" spans="1:262" s="24" customFormat="1" x14ac:dyDescent="0.25">
      <c r="A1095" s="24">
        <v>53</v>
      </c>
      <c r="B1095" s="42" t="s">
        <v>4002</v>
      </c>
      <c r="C1095" s="24" t="s">
        <v>768</v>
      </c>
      <c r="D1095" s="24" t="s">
        <v>769</v>
      </c>
      <c r="E1095" s="24">
        <v>2006</v>
      </c>
      <c r="F1095" s="24">
        <v>2000</v>
      </c>
      <c r="G1095" s="24" t="s">
        <v>770</v>
      </c>
      <c r="H1095" s="24" t="s">
        <v>771</v>
      </c>
      <c r="I1095" s="32" t="s">
        <v>2815</v>
      </c>
      <c r="J1095" s="24">
        <v>33.950000000000003</v>
      </c>
      <c r="K1095" s="24">
        <v>-83.38</v>
      </c>
      <c r="L1095" s="24">
        <v>208.4</v>
      </c>
      <c r="O1095" s="24">
        <f t="shared" si="238"/>
        <v>783</v>
      </c>
      <c r="P1095" s="24">
        <f t="shared" si="239"/>
        <v>1233</v>
      </c>
      <c r="R1095" s="42">
        <v>1</v>
      </c>
      <c r="S1095" s="42" t="s">
        <v>1728</v>
      </c>
      <c r="T1095" s="42"/>
      <c r="U1095" s="42" t="s">
        <v>1965</v>
      </c>
      <c r="V1095" s="42" t="s">
        <v>1389</v>
      </c>
      <c r="W1095" s="42" t="s">
        <v>1720</v>
      </c>
      <c r="X1095" s="42" t="s">
        <v>1389</v>
      </c>
      <c r="Y1095" s="42" t="s">
        <v>1389</v>
      </c>
      <c r="AA1095" s="321">
        <f t="shared" si="237"/>
        <v>65</v>
      </c>
      <c r="AB1095" s="321">
        <f>25</f>
        <v>25</v>
      </c>
      <c r="AC1095" s="24" t="s">
        <v>240</v>
      </c>
      <c r="AD1095" s="24">
        <v>6.6</v>
      </c>
      <c r="AE1095" s="24">
        <v>0.88</v>
      </c>
      <c r="AG1095" s="24" t="s">
        <v>1344</v>
      </c>
      <c r="AH1095" s="24" t="s">
        <v>1518</v>
      </c>
      <c r="AI1095" s="138" t="s">
        <v>1582</v>
      </c>
      <c r="AJ1095" s="24" t="s">
        <v>584</v>
      </c>
      <c r="AK1095" s="140" t="s">
        <v>1627</v>
      </c>
      <c r="AL1095" s="24" t="s">
        <v>778</v>
      </c>
      <c r="AM1095" s="24" t="s">
        <v>778</v>
      </c>
      <c r="AN1095" s="24" t="s">
        <v>177</v>
      </c>
      <c r="AO1095" s="24" t="s">
        <v>772</v>
      </c>
      <c r="AP1095" s="24" t="s">
        <v>772</v>
      </c>
      <c r="AQ1095" s="24" t="s">
        <v>2125</v>
      </c>
      <c r="AR1095" s="24" t="s">
        <v>2125</v>
      </c>
      <c r="AS1095" s="24" t="s">
        <v>177</v>
      </c>
      <c r="AT1095" s="24" t="s">
        <v>338</v>
      </c>
      <c r="AU1095" s="24" t="s">
        <v>338</v>
      </c>
      <c r="AV1095" s="24" t="s">
        <v>177</v>
      </c>
      <c r="AW1095" s="24" t="s">
        <v>119</v>
      </c>
      <c r="AX1095" s="24">
        <v>3</v>
      </c>
      <c r="AZ1095" s="24" t="s">
        <v>335</v>
      </c>
      <c r="BB1095" s="24">
        <f t="shared" ref="BB1095:BB1102" si="242">8.18*1000</f>
        <v>8180</v>
      </c>
      <c r="BC1095" s="24">
        <v>10</v>
      </c>
      <c r="BK1095" s="24">
        <v>480</v>
      </c>
      <c r="BL1095" s="24">
        <v>516</v>
      </c>
      <c r="BP1095" s="395"/>
      <c r="BQ1095" s="395"/>
      <c r="BU1095" s="395"/>
      <c r="BV1095" s="395"/>
      <c r="BZ1095" s="395"/>
      <c r="CA1095" s="395"/>
      <c r="CE1095" s="548"/>
      <c r="CF1095" s="548"/>
      <c r="CG1095" s="548"/>
      <c r="CH1095" s="548"/>
      <c r="CJ1095" s="24">
        <f>50.5*0.28</f>
        <v>14.14</v>
      </c>
      <c r="CK1095" s="24">
        <f>60.8*0.28</f>
        <v>17.024000000000001</v>
      </c>
      <c r="CN1095" s="24" t="s">
        <v>465</v>
      </c>
      <c r="HJ1095" s="24">
        <v>8</v>
      </c>
      <c r="HK1095" s="24">
        <v>9</v>
      </c>
      <c r="HN1095" s="24" t="s">
        <v>1698</v>
      </c>
      <c r="JB1095" s="24" t="s">
        <v>779</v>
      </c>
    </row>
    <row r="1096" spans="1:262" s="24" customFormat="1" x14ac:dyDescent="0.25">
      <c r="A1096" s="24">
        <v>53</v>
      </c>
      <c r="B1096" s="42" t="s">
        <v>4002</v>
      </c>
      <c r="C1096" s="24" t="s">
        <v>768</v>
      </c>
      <c r="D1096" s="24" t="s">
        <v>769</v>
      </c>
      <c r="E1096" s="24">
        <v>2006</v>
      </c>
      <c r="F1096" s="24">
        <v>2000</v>
      </c>
      <c r="G1096" s="24" t="s">
        <v>770</v>
      </c>
      <c r="H1096" s="24" t="s">
        <v>771</v>
      </c>
      <c r="I1096" s="32" t="s">
        <v>2815</v>
      </c>
      <c r="J1096" s="24">
        <v>33.950000000000003</v>
      </c>
      <c r="K1096" s="24">
        <v>-83.38</v>
      </c>
      <c r="L1096" s="24">
        <v>208.4</v>
      </c>
      <c r="O1096" s="24">
        <f t="shared" si="238"/>
        <v>783</v>
      </c>
      <c r="P1096" s="24">
        <f t="shared" si="239"/>
        <v>1233</v>
      </c>
      <c r="R1096" s="42">
        <v>1</v>
      </c>
      <c r="S1096" s="42" t="s">
        <v>1728</v>
      </c>
      <c r="T1096" s="42"/>
      <c r="U1096" s="42" t="s">
        <v>1965</v>
      </c>
      <c r="V1096" s="42" t="s">
        <v>1389</v>
      </c>
      <c r="W1096" s="42" t="s">
        <v>1720</v>
      </c>
      <c r="X1096" s="42" t="s">
        <v>1389</v>
      </c>
      <c r="Y1096" s="42" t="s">
        <v>1389</v>
      </c>
      <c r="AA1096" s="321">
        <f t="shared" si="237"/>
        <v>65</v>
      </c>
      <c r="AB1096" s="321">
        <f>25</f>
        <v>25</v>
      </c>
      <c r="AC1096" s="24" t="s">
        <v>240</v>
      </c>
      <c r="AD1096" s="24">
        <v>6.6</v>
      </c>
      <c r="AE1096" s="24">
        <v>0.88</v>
      </c>
      <c r="AG1096" s="24" t="s">
        <v>1344</v>
      </c>
      <c r="AH1096" s="24" t="s">
        <v>1518</v>
      </c>
      <c r="AI1096" s="138" t="s">
        <v>1582</v>
      </c>
      <c r="AJ1096" s="24" t="s">
        <v>584</v>
      </c>
      <c r="AK1096" s="140" t="s">
        <v>1627</v>
      </c>
      <c r="AL1096" s="24" t="s">
        <v>778</v>
      </c>
      <c r="AM1096" s="24" t="s">
        <v>778</v>
      </c>
      <c r="AN1096" s="24" t="s">
        <v>177</v>
      </c>
      <c r="AO1096" s="24" t="s">
        <v>773</v>
      </c>
      <c r="AP1096" s="24" t="s">
        <v>773</v>
      </c>
      <c r="AQ1096" s="24" t="s">
        <v>2125</v>
      </c>
      <c r="AR1096" s="24" t="s">
        <v>2125</v>
      </c>
      <c r="AS1096" s="24" t="s">
        <v>177</v>
      </c>
      <c r="AT1096" s="24" t="s">
        <v>338</v>
      </c>
      <c r="AU1096" s="24" t="s">
        <v>338</v>
      </c>
      <c r="AV1096" s="24" t="s">
        <v>177</v>
      </c>
      <c r="AW1096" s="24" t="s">
        <v>119</v>
      </c>
      <c r="AX1096" s="24">
        <v>3</v>
      </c>
      <c r="AZ1096" s="24" t="s">
        <v>335</v>
      </c>
      <c r="BB1096" s="24">
        <f t="shared" si="242"/>
        <v>8180</v>
      </c>
      <c r="BC1096" s="24">
        <v>10</v>
      </c>
      <c r="BK1096" s="24">
        <v>802</v>
      </c>
      <c r="BL1096" s="24">
        <v>856</v>
      </c>
      <c r="BP1096" s="395"/>
      <c r="BQ1096" s="395"/>
      <c r="BU1096" s="395"/>
      <c r="BV1096" s="395"/>
      <c r="BZ1096" s="395"/>
      <c r="CA1096" s="395"/>
      <c r="CE1096" s="548"/>
      <c r="CF1096" s="548"/>
      <c r="CG1096" s="548"/>
      <c r="CH1096" s="548"/>
      <c r="CJ1096" s="24">
        <f>51.2*0.28</f>
        <v>14.336000000000002</v>
      </c>
      <c r="CK1096" s="24">
        <f>54.7*0.28</f>
        <v>15.316000000000003</v>
      </c>
      <c r="CN1096" s="24" t="s">
        <v>465</v>
      </c>
      <c r="HJ1096" s="24">
        <v>14</v>
      </c>
      <c r="HK1096" s="24">
        <v>8</v>
      </c>
      <c r="HN1096" s="24" t="s">
        <v>1698</v>
      </c>
      <c r="JB1096" s="24" t="s">
        <v>779</v>
      </c>
    </row>
    <row r="1097" spans="1:262" s="24" customFormat="1" x14ac:dyDescent="0.25">
      <c r="A1097" s="24">
        <v>53</v>
      </c>
      <c r="B1097" s="42" t="s">
        <v>4002</v>
      </c>
      <c r="C1097" s="24" t="s">
        <v>768</v>
      </c>
      <c r="D1097" s="24" t="s">
        <v>769</v>
      </c>
      <c r="E1097" s="24">
        <v>2006</v>
      </c>
      <c r="F1097" s="24">
        <v>2000</v>
      </c>
      <c r="G1097" s="24" t="s">
        <v>770</v>
      </c>
      <c r="H1097" s="24" t="s">
        <v>771</v>
      </c>
      <c r="I1097" s="32" t="s">
        <v>2815</v>
      </c>
      <c r="J1097" s="24">
        <v>33.950000000000003</v>
      </c>
      <c r="K1097" s="24">
        <v>-83.38</v>
      </c>
      <c r="L1097" s="24">
        <v>208.4</v>
      </c>
      <c r="O1097" s="24">
        <f t="shared" si="238"/>
        <v>783</v>
      </c>
      <c r="P1097" s="24">
        <f t="shared" si="239"/>
        <v>1233</v>
      </c>
      <c r="R1097" s="42">
        <v>1</v>
      </c>
      <c r="S1097" s="42" t="s">
        <v>1728</v>
      </c>
      <c r="T1097" s="42"/>
      <c r="U1097" s="42" t="s">
        <v>1965</v>
      </c>
      <c r="V1097" s="42" t="s">
        <v>1389</v>
      </c>
      <c r="W1097" s="42" t="s">
        <v>1720</v>
      </c>
      <c r="X1097" s="42" t="s">
        <v>1389</v>
      </c>
      <c r="Y1097" s="42" t="s">
        <v>1389</v>
      </c>
      <c r="AA1097" s="321">
        <f t="shared" si="237"/>
        <v>65</v>
      </c>
      <c r="AB1097" s="321">
        <f>25</f>
        <v>25</v>
      </c>
      <c r="AC1097" s="24" t="s">
        <v>240</v>
      </c>
      <c r="AD1097" s="24">
        <v>6.6</v>
      </c>
      <c r="AE1097" s="24">
        <v>0.88</v>
      </c>
      <c r="AG1097" s="24" t="s">
        <v>1344</v>
      </c>
      <c r="AH1097" s="24" t="s">
        <v>1518</v>
      </c>
      <c r="AI1097" s="138" t="s">
        <v>1582</v>
      </c>
      <c r="AJ1097" s="24" t="s">
        <v>584</v>
      </c>
      <c r="AK1097" s="140" t="s">
        <v>1627</v>
      </c>
      <c r="AL1097" s="24" t="s">
        <v>778</v>
      </c>
      <c r="AM1097" s="24" t="s">
        <v>778</v>
      </c>
      <c r="AN1097" s="24" t="s">
        <v>177</v>
      </c>
      <c r="AO1097" s="24" t="s">
        <v>156</v>
      </c>
      <c r="AP1097" s="24" t="s">
        <v>156</v>
      </c>
      <c r="AQ1097" s="24" t="s">
        <v>2126</v>
      </c>
      <c r="AR1097" s="24" t="s">
        <v>2126</v>
      </c>
      <c r="AS1097" s="24" t="s">
        <v>177</v>
      </c>
      <c r="AT1097" s="24" t="s">
        <v>774</v>
      </c>
      <c r="AU1097" s="24" t="s">
        <v>774</v>
      </c>
      <c r="AV1097" s="24" t="s">
        <v>177</v>
      </c>
      <c r="AW1097" s="24" t="s">
        <v>119</v>
      </c>
      <c r="AX1097" s="24">
        <v>3</v>
      </c>
      <c r="AZ1097" s="24" t="s">
        <v>335</v>
      </c>
      <c r="BB1097" s="24">
        <f t="shared" si="242"/>
        <v>8180</v>
      </c>
      <c r="BC1097" s="24">
        <v>10</v>
      </c>
      <c r="BK1097" s="24">
        <v>814</v>
      </c>
      <c r="BL1097" s="24">
        <v>1009</v>
      </c>
      <c r="BP1097" s="395"/>
      <c r="BQ1097" s="395"/>
      <c r="BU1097" s="395"/>
      <c r="BV1097" s="395"/>
      <c r="BZ1097" s="395"/>
      <c r="CA1097" s="395"/>
      <c r="CE1097" s="548"/>
      <c r="CF1097" s="548"/>
      <c r="CG1097" s="548"/>
      <c r="CH1097" s="548"/>
      <c r="CJ1097" s="24">
        <f>52.5*0.28</f>
        <v>14.700000000000001</v>
      </c>
      <c r="CK1097" s="24">
        <f>56.1*0.28</f>
        <v>15.708000000000002</v>
      </c>
      <c r="CN1097" s="24" t="s">
        <v>465</v>
      </c>
      <c r="JB1097" s="24" t="s">
        <v>779</v>
      </c>
    </row>
    <row r="1098" spans="1:262" s="24" customFormat="1" x14ac:dyDescent="0.25">
      <c r="A1098" s="24">
        <v>53</v>
      </c>
      <c r="B1098" s="42" t="s">
        <v>4002</v>
      </c>
      <c r="C1098" s="24" t="s">
        <v>768</v>
      </c>
      <c r="D1098" s="24" t="s">
        <v>769</v>
      </c>
      <c r="E1098" s="24">
        <v>2006</v>
      </c>
      <c r="F1098" s="24">
        <v>2000</v>
      </c>
      <c r="G1098" s="24" t="s">
        <v>770</v>
      </c>
      <c r="H1098" s="24" t="s">
        <v>771</v>
      </c>
      <c r="I1098" s="32" t="s">
        <v>2815</v>
      </c>
      <c r="J1098" s="24">
        <v>33.950000000000003</v>
      </c>
      <c r="K1098" s="24">
        <v>-83.38</v>
      </c>
      <c r="L1098" s="24">
        <v>208.4</v>
      </c>
      <c r="O1098" s="24">
        <f t="shared" si="238"/>
        <v>783</v>
      </c>
      <c r="P1098" s="24">
        <f t="shared" si="239"/>
        <v>1233</v>
      </c>
      <c r="R1098" s="42">
        <v>1</v>
      </c>
      <c r="S1098" s="42" t="s">
        <v>1728</v>
      </c>
      <c r="T1098" s="42"/>
      <c r="U1098" s="42" t="s">
        <v>1965</v>
      </c>
      <c r="V1098" s="42" t="s">
        <v>1389</v>
      </c>
      <c r="W1098" s="42" t="s">
        <v>1720</v>
      </c>
      <c r="X1098" s="42" t="s">
        <v>1389</v>
      </c>
      <c r="Y1098" s="42" t="s">
        <v>1389</v>
      </c>
      <c r="AA1098" s="321">
        <f t="shared" si="237"/>
        <v>65</v>
      </c>
      <c r="AB1098" s="321">
        <f>25</f>
        <v>25</v>
      </c>
      <c r="AC1098" s="24" t="s">
        <v>240</v>
      </c>
      <c r="AD1098" s="24">
        <v>6.6</v>
      </c>
      <c r="AE1098" s="24">
        <v>0.88</v>
      </c>
      <c r="AG1098" s="24" t="s">
        <v>1344</v>
      </c>
      <c r="AH1098" s="24" t="s">
        <v>1518</v>
      </c>
      <c r="AI1098" s="138" t="s">
        <v>1582</v>
      </c>
      <c r="AJ1098" s="24" t="s">
        <v>584</v>
      </c>
      <c r="AK1098" s="140" t="s">
        <v>1627</v>
      </c>
      <c r="AL1098" s="24" t="s">
        <v>778</v>
      </c>
      <c r="AM1098" s="24" t="s">
        <v>778</v>
      </c>
      <c r="AN1098" s="24" t="s">
        <v>177</v>
      </c>
      <c r="AO1098" s="24" t="s">
        <v>772</v>
      </c>
      <c r="AP1098" s="24" t="s">
        <v>772</v>
      </c>
      <c r="AQ1098" s="24" t="s">
        <v>2125</v>
      </c>
      <c r="AR1098" s="24" t="s">
        <v>2125</v>
      </c>
      <c r="AS1098" s="24" t="s">
        <v>177</v>
      </c>
      <c r="AT1098" s="24" t="s">
        <v>774</v>
      </c>
      <c r="AU1098" s="24" t="s">
        <v>774</v>
      </c>
      <c r="AV1098" s="24" t="s">
        <v>177</v>
      </c>
      <c r="AW1098" s="24" t="s">
        <v>119</v>
      </c>
      <c r="AX1098" s="24">
        <v>3</v>
      </c>
      <c r="AZ1098" s="24" t="s">
        <v>335</v>
      </c>
      <c r="BB1098" s="24">
        <f t="shared" si="242"/>
        <v>8180</v>
      </c>
      <c r="BC1098" s="24">
        <v>10</v>
      </c>
      <c r="BK1098" s="24">
        <v>480</v>
      </c>
      <c r="BL1098" s="24">
        <v>645</v>
      </c>
      <c r="BP1098" s="395"/>
      <c r="BQ1098" s="395"/>
      <c r="BU1098" s="395"/>
      <c r="BV1098" s="395"/>
      <c r="BZ1098" s="395"/>
      <c r="CA1098" s="395"/>
      <c r="CE1098" s="548"/>
      <c r="CF1098" s="548"/>
      <c r="CG1098" s="548"/>
      <c r="CH1098" s="548"/>
      <c r="JB1098" s="24" t="s">
        <v>779</v>
      </c>
    </row>
    <row r="1099" spans="1:262" s="24" customFormat="1" x14ac:dyDescent="0.25">
      <c r="A1099" s="24">
        <v>53</v>
      </c>
      <c r="B1099" s="42" t="s">
        <v>4002</v>
      </c>
      <c r="C1099" s="24" t="s">
        <v>768</v>
      </c>
      <c r="D1099" s="24" t="s">
        <v>769</v>
      </c>
      <c r="E1099" s="24">
        <v>2006</v>
      </c>
      <c r="F1099" s="24">
        <v>2000</v>
      </c>
      <c r="G1099" s="24" t="s">
        <v>770</v>
      </c>
      <c r="H1099" s="24" t="s">
        <v>771</v>
      </c>
      <c r="I1099" s="32" t="s">
        <v>2815</v>
      </c>
      <c r="J1099" s="24">
        <v>33.950000000000003</v>
      </c>
      <c r="K1099" s="24">
        <v>-83.38</v>
      </c>
      <c r="L1099" s="24">
        <v>208.4</v>
      </c>
      <c r="O1099" s="24">
        <f t="shared" si="238"/>
        <v>783</v>
      </c>
      <c r="P1099" s="24">
        <f t="shared" si="239"/>
        <v>1233</v>
      </c>
      <c r="R1099" s="42">
        <v>1</v>
      </c>
      <c r="S1099" s="42" t="s">
        <v>1728</v>
      </c>
      <c r="T1099" s="42"/>
      <c r="U1099" s="42" t="s">
        <v>1965</v>
      </c>
      <c r="V1099" s="42" t="s">
        <v>1389</v>
      </c>
      <c r="W1099" s="42" t="s">
        <v>1720</v>
      </c>
      <c r="X1099" s="42" t="s">
        <v>1389</v>
      </c>
      <c r="Y1099" s="42" t="s">
        <v>1389</v>
      </c>
      <c r="AA1099" s="321">
        <f t="shared" si="237"/>
        <v>65</v>
      </c>
      <c r="AB1099" s="321">
        <f>25</f>
        <v>25</v>
      </c>
      <c r="AC1099" s="24" t="s">
        <v>240</v>
      </c>
      <c r="AD1099" s="24">
        <v>6.6</v>
      </c>
      <c r="AE1099" s="24">
        <v>0.88</v>
      </c>
      <c r="AG1099" s="24" t="s">
        <v>1344</v>
      </c>
      <c r="AH1099" s="24" t="s">
        <v>1518</v>
      </c>
      <c r="AI1099" s="138" t="s">
        <v>1582</v>
      </c>
      <c r="AJ1099" s="24" t="s">
        <v>584</v>
      </c>
      <c r="AK1099" s="140" t="s">
        <v>1627</v>
      </c>
      <c r="AL1099" s="24" t="s">
        <v>778</v>
      </c>
      <c r="AM1099" s="24" t="s">
        <v>778</v>
      </c>
      <c r="AN1099" s="24" t="s">
        <v>177</v>
      </c>
      <c r="AO1099" s="24" t="s">
        <v>773</v>
      </c>
      <c r="AP1099" s="24" t="s">
        <v>773</v>
      </c>
      <c r="AQ1099" s="24" t="s">
        <v>2125</v>
      </c>
      <c r="AR1099" s="24" t="s">
        <v>2125</v>
      </c>
      <c r="AS1099" s="24" t="s">
        <v>177</v>
      </c>
      <c r="AT1099" s="24" t="s">
        <v>774</v>
      </c>
      <c r="AU1099" s="24" t="s">
        <v>774</v>
      </c>
      <c r="AV1099" s="24" t="s">
        <v>177</v>
      </c>
      <c r="AW1099" s="24" t="s">
        <v>119</v>
      </c>
      <c r="AX1099" s="24">
        <v>3</v>
      </c>
      <c r="AZ1099" s="24" t="s">
        <v>335</v>
      </c>
      <c r="BB1099" s="24">
        <f t="shared" si="242"/>
        <v>8180</v>
      </c>
      <c r="BC1099" s="24">
        <v>10</v>
      </c>
      <c r="BK1099" s="24">
        <v>802</v>
      </c>
      <c r="BL1099" s="24">
        <v>666</v>
      </c>
      <c r="BP1099" s="395"/>
      <c r="BQ1099" s="395"/>
      <c r="BU1099" s="395"/>
      <c r="BV1099" s="395"/>
      <c r="BZ1099" s="395"/>
      <c r="CA1099" s="395"/>
      <c r="CE1099" s="548"/>
      <c r="CF1099" s="548"/>
      <c r="CG1099" s="548"/>
      <c r="CH1099" s="548"/>
      <c r="JB1099" s="24" t="s">
        <v>779</v>
      </c>
    </row>
    <row r="1100" spans="1:262" s="24" customFormat="1" x14ac:dyDescent="0.25">
      <c r="A1100" s="24">
        <v>53</v>
      </c>
      <c r="B1100" s="42" t="s">
        <v>4002</v>
      </c>
      <c r="C1100" s="24" t="s">
        <v>768</v>
      </c>
      <c r="D1100" s="24" t="s">
        <v>769</v>
      </c>
      <c r="E1100" s="24">
        <v>2006</v>
      </c>
      <c r="F1100" s="24">
        <v>2000</v>
      </c>
      <c r="G1100" s="24" t="s">
        <v>770</v>
      </c>
      <c r="H1100" s="24" t="s">
        <v>771</v>
      </c>
      <c r="I1100" s="32" t="s">
        <v>2815</v>
      </c>
      <c r="J1100" s="24">
        <v>33.950000000000003</v>
      </c>
      <c r="K1100" s="24">
        <v>-83.38</v>
      </c>
      <c r="L1100" s="24">
        <v>208.4</v>
      </c>
      <c r="O1100" s="24">
        <f t="shared" si="238"/>
        <v>783</v>
      </c>
      <c r="P1100" s="24">
        <f t="shared" si="239"/>
        <v>1233</v>
      </c>
      <c r="R1100" s="42">
        <v>1</v>
      </c>
      <c r="S1100" s="42" t="s">
        <v>1728</v>
      </c>
      <c r="T1100" s="42"/>
      <c r="U1100" s="42" t="s">
        <v>1965</v>
      </c>
      <c r="V1100" s="42" t="s">
        <v>1389</v>
      </c>
      <c r="W1100" s="42" t="s">
        <v>1720</v>
      </c>
      <c r="X1100" s="42" t="s">
        <v>1389</v>
      </c>
      <c r="Y1100" s="42" t="s">
        <v>1389</v>
      </c>
      <c r="AA1100" s="321">
        <f t="shared" si="237"/>
        <v>65</v>
      </c>
      <c r="AB1100" s="321">
        <f>25</f>
        <v>25</v>
      </c>
      <c r="AC1100" s="24" t="s">
        <v>240</v>
      </c>
      <c r="AD1100" s="24">
        <v>6.6</v>
      </c>
      <c r="AE1100" s="24">
        <v>0.88</v>
      </c>
      <c r="AG1100" s="24" t="s">
        <v>1344</v>
      </c>
      <c r="AH1100" s="24" t="s">
        <v>1518</v>
      </c>
      <c r="AI1100" s="138" t="s">
        <v>1582</v>
      </c>
      <c r="AJ1100" s="24" t="s">
        <v>584</v>
      </c>
      <c r="AK1100" s="140" t="s">
        <v>1627</v>
      </c>
      <c r="AL1100" s="24" t="s">
        <v>778</v>
      </c>
      <c r="AM1100" s="24" t="s">
        <v>778</v>
      </c>
      <c r="AN1100" s="24" t="s">
        <v>177</v>
      </c>
      <c r="AO1100" s="24" t="s">
        <v>156</v>
      </c>
      <c r="AP1100" s="24" t="s">
        <v>156</v>
      </c>
      <c r="AQ1100" s="24" t="s">
        <v>2126</v>
      </c>
      <c r="AR1100" s="24" t="s">
        <v>2126</v>
      </c>
      <c r="AS1100" s="24" t="s">
        <v>177</v>
      </c>
      <c r="AT1100" s="24" t="s">
        <v>775</v>
      </c>
      <c r="AU1100" s="24" t="s">
        <v>775</v>
      </c>
      <c r="AV1100" s="24" t="s">
        <v>177</v>
      </c>
      <c r="AW1100" s="24" t="s">
        <v>119</v>
      </c>
      <c r="AX1100" s="24">
        <v>3</v>
      </c>
      <c r="AZ1100" s="24" t="s">
        <v>335</v>
      </c>
      <c r="BB1100" s="24">
        <f t="shared" si="242"/>
        <v>8180</v>
      </c>
      <c r="BC1100" s="24">
        <v>10</v>
      </c>
      <c r="BK1100" s="24">
        <v>814</v>
      </c>
      <c r="BL1100" s="24">
        <v>824</v>
      </c>
      <c r="BP1100" s="395"/>
      <c r="BQ1100" s="395"/>
      <c r="BU1100" s="395"/>
      <c r="BV1100" s="395"/>
      <c r="BZ1100" s="395"/>
      <c r="CA1100" s="395"/>
      <c r="CE1100" s="548"/>
      <c r="CF1100" s="548"/>
      <c r="CG1100" s="548"/>
      <c r="CH1100" s="548"/>
      <c r="CJ1100" s="24">
        <f>52.5*0.28</f>
        <v>14.700000000000001</v>
      </c>
      <c r="CK1100" s="24">
        <f>59.9*0.28</f>
        <v>16.772000000000002</v>
      </c>
      <c r="CN1100" s="24" t="s">
        <v>465</v>
      </c>
      <c r="JB1100" s="24" t="s">
        <v>779</v>
      </c>
    </row>
    <row r="1101" spans="1:262" s="24" customFormat="1" x14ac:dyDescent="0.25">
      <c r="A1101" s="24">
        <v>53</v>
      </c>
      <c r="B1101" s="42" t="s">
        <v>4002</v>
      </c>
      <c r="C1101" s="24" t="s">
        <v>768</v>
      </c>
      <c r="D1101" s="24" t="s">
        <v>769</v>
      </c>
      <c r="E1101" s="24">
        <v>2006</v>
      </c>
      <c r="F1101" s="24">
        <v>2000</v>
      </c>
      <c r="G1101" s="24" t="s">
        <v>770</v>
      </c>
      <c r="H1101" s="24" t="s">
        <v>771</v>
      </c>
      <c r="I1101" s="32" t="s">
        <v>2815</v>
      </c>
      <c r="J1101" s="24">
        <v>33.950000000000003</v>
      </c>
      <c r="K1101" s="24">
        <v>-83.38</v>
      </c>
      <c r="L1101" s="24">
        <v>208.4</v>
      </c>
      <c r="O1101" s="24">
        <f t="shared" si="238"/>
        <v>783</v>
      </c>
      <c r="P1101" s="24">
        <f t="shared" si="239"/>
        <v>1233</v>
      </c>
      <c r="R1101" s="42">
        <v>1</v>
      </c>
      <c r="S1101" s="42" t="s">
        <v>1728</v>
      </c>
      <c r="T1101" s="42"/>
      <c r="U1101" s="42" t="s">
        <v>1965</v>
      </c>
      <c r="V1101" s="42" t="s">
        <v>1389</v>
      </c>
      <c r="W1101" s="42" t="s">
        <v>1720</v>
      </c>
      <c r="X1101" s="42" t="s">
        <v>1389</v>
      </c>
      <c r="Y1101" s="42" t="s">
        <v>1389</v>
      </c>
      <c r="AA1101" s="321">
        <f t="shared" si="237"/>
        <v>65</v>
      </c>
      <c r="AB1101" s="321">
        <f>25</f>
        <v>25</v>
      </c>
      <c r="AC1101" s="24" t="s">
        <v>240</v>
      </c>
      <c r="AD1101" s="24">
        <v>6.6</v>
      </c>
      <c r="AE1101" s="24">
        <v>0.88</v>
      </c>
      <c r="AG1101" s="24" t="s">
        <v>1344</v>
      </c>
      <c r="AH1101" s="24" t="s">
        <v>1518</v>
      </c>
      <c r="AI1101" s="138" t="s">
        <v>1582</v>
      </c>
      <c r="AJ1101" s="24" t="s">
        <v>584</v>
      </c>
      <c r="AK1101" s="140" t="s">
        <v>1627</v>
      </c>
      <c r="AL1101" s="24" t="s">
        <v>778</v>
      </c>
      <c r="AM1101" s="24" t="s">
        <v>778</v>
      </c>
      <c r="AN1101" s="24" t="s">
        <v>177</v>
      </c>
      <c r="AO1101" s="24" t="s">
        <v>772</v>
      </c>
      <c r="AP1101" s="24" t="s">
        <v>772</v>
      </c>
      <c r="AQ1101" s="24" t="s">
        <v>2125</v>
      </c>
      <c r="AR1101" s="24" t="s">
        <v>2125</v>
      </c>
      <c r="AS1101" s="24" t="s">
        <v>177</v>
      </c>
      <c r="AT1101" s="24" t="s">
        <v>775</v>
      </c>
      <c r="AU1101" s="24" t="s">
        <v>775</v>
      </c>
      <c r="AV1101" s="24" t="s">
        <v>177</v>
      </c>
      <c r="AW1101" s="24" t="s">
        <v>119</v>
      </c>
      <c r="AX1101" s="24">
        <v>3</v>
      </c>
      <c r="AZ1101" s="24" t="s">
        <v>335</v>
      </c>
      <c r="BB1101" s="24">
        <f t="shared" si="242"/>
        <v>8180</v>
      </c>
      <c r="BC1101" s="24">
        <v>10</v>
      </c>
      <c r="BK1101" s="24">
        <v>480</v>
      </c>
      <c r="BL1101" s="24">
        <v>594</v>
      </c>
      <c r="BP1101" s="395"/>
      <c r="BQ1101" s="395"/>
      <c r="BU1101" s="395"/>
      <c r="BV1101" s="395"/>
      <c r="BZ1101" s="395"/>
      <c r="CA1101" s="395"/>
      <c r="CE1101" s="548"/>
      <c r="CF1101" s="548"/>
      <c r="CG1101" s="548"/>
      <c r="CH1101" s="548"/>
      <c r="JB1101" s="24" t="s">
        <v>779</v>
      </c>
    </row>
    <row r="1102" spans="1:262" s="24" customFormat="1" x14ac:dyDescent="0.25">
      <c r="A1102" s="24">
        <v>53</v>
      </c>
      <c r="B1102" s="42" t="s">
        <v>4002</v>
      </c>
      <c r="C1102" s="24" t="s">
        <v>768</v>
      </c>
      <c r="D1102" s="24" t="s">
        <v>769</v>
      </c>
      <c r="E1102" s="24">
        <v>2006</v>
      </c>
      <c r="F1102" s="24">
        <v>2000</v>
      </c>
      <c r="G1102" s="24" t="s">
        <v>770</v>
      </c>
      <c r="H1102" s="24" t="s">
        <v>771</v>
      </c>
      <c r="I1102" s="32" t="s">
        <v>2815</v>
      </c>
      <c r="J1102" s="24">
        <v>33.950000000000003</v>
      </c>
      <c r="K1102" s="24">
        <v>-83.38</v>
      </c>
      <c r="L1102" s="24">
        <v>208.4</v>
      </c>
      <c r="O1102" s="24">
        <f t="shared" si="238"/>
        <v>783</v>
      </c>
      <c r="P1102" s="24">
        <f t="shared" si="239"/>
        <v>1233</v>
      </c>
      <c r="R1102" s="42">
        <v>1</v>
      </c>
      <c r="S1102" s="42" t="s">
        <v>1728</v>
      </c>
      <c r="T1102" s="42"/>
      <c r="U1102" s="42" t="s">
        <v>1965</v>
      </c>
      <c r="V1102" s="42" t="s">
        <v>1389</v>
      </c>
      <c r="W1102" s="42" t="s">
        <v>1720</v>
      </c>
      <c r="X1102" s="42" t="s">
        <v>1389</v>
      </c>
      <c r="Y1102" s="42" t="s">
        <v>1389</v>
      </c>
      <c r="AA1102" s="321">
        <f t="shared" si="237"/>
        <v>65</v>
      </c>
      <c r="AB1102" s="321">
        <f>25</f>
        <v>25</v>
      </c>
      <c r="AC1102" s="24" t="s">
        <v>240</v>
      </c>
      <c r="AD1102" s="24">
        <v>6.6</v>
      </c>
      <c r="AE1102" s="24">
        <v>0.88</v>
      </c>
      <c r="AG1102" s="24" t="s">
        <v>1344</v>
      </c>
      <c r="AH1102" s="24" t="s">
        <v>1518</v>
      </c>
      <c r="AI1102" s="138" t="s">
        <v>1582</v>
      </c>
      <c r="AJ1102" s="24" t="s">
        <v>584</v>
      </c>
      <c r="AK1102" s="140" t="s">
        <v>1627</v>
      </c>
      <c r="AL1102" s="24" t="s">
        <v>778</v>
      </c>
      <c r="AM1102" s="24" t="s">
        <v>778</v>
      </c>
      <c r="AN1102" s="24" t="s">
        <v>177</v>
      </c>
      <c r="AO1102" s="24" t="s">
        <v>773</v>
      </c>
      <c r="AP1102" s="24" t="s">
        <v>773</v>
      </c>
      <c r="AQ1102" s="24" t="s">
        <v>2125</v>
      </c>
      <c r="AR1102" s="24" t="s">
        <v>2125</v>
      </c>
      <c r="AS1102" s="24" t="s">
        <v>177</v>
      </c>
      <c r="AT1102" s="24" t="s">
        <v>775</v>
      </c>
      <c r="AU1102" s="24" t="s">
        <v>775</v>
      </c>
      <c r="AV1102" s="24" t="s">
        <v>177</v>
      </c>
      <c r="AW1102" s="24" t="s">
        <v>119</v>
      </c>
      <c r="AX1102" s="24">
        <v>3</v>
      </c>
      <c r="AZ1102" s="24" t="s">
        <v>335</v>
      </c>
      <c r="BB1102" s="24">
        <f t="shared" si="242"/>
        <v>8180</v>
      </c>
      <c r="BC1102" s="24">
        <v>10</v>
      </c>
      <c r="BK1102" s="24">
        <v>802</v>
      </c>
      <c r="BL1102" s="24">
        <v>647</v>
      </c>
      <c r="BP1102" s="395"/>
      <c r="BQ1102" s="395"/>
      <c r="BU1102" s="395"/>
      <c r="BV1102" s="395"/>
      <c r="BZ1102" s="395"/>
      <c r="CA1102" s="395"/>
      <c r="CE1102" s="548"/>
      <c r="CF1102" s="548"/>
      <c r="CG1102" s="548"/>
      <c r="CH1102" s="548"/>
      <c r="JB1102" s="24" t="s">
        <v>779</v>
      </c>
    </row>
    <row r="1103" spans="1:262" s="72" customFormat="1" x14ac:dyDescent="0.25">
      <c r="A1103" s="72">
        <v>53</v>
      </c>
      <c r="B1103" s="73" t="s">
        <v>4003</v>
      </c>
      <c r="C1103" s="72" t="s">
        <v>768</v>
      </c>
      <c r="D1103" s="72" t="s">
        <v>769</v>
      </c>
      <c r="E1103" s="72">
        <v>2006</v>
      </c>
      <c r="F1103" s="72">
        <v>2001</v>
      </c>
      <c r="G1103" s="72" t="s">
        <v>770</v>
      </c>
      <c r="H1103" s="72" t="s">
        <v>771</v>
      </c>
      <c r="I1103" s="32" t="s">
        <v>2815</v>
      </c>
      <c r="J1103" s="72">
        <v>33.950000000000003</v>
      </c>
      <c r="K1103" s="72">
        <v>-83.38</v>
      </c>
      <c r="L1103" s="72">
        <v>208.4</v>
      </c>
      <c r="O1103" s="72">
        <f>341+407</f>
        <v>748</v>
      </c>
      <c r="P1103" s="72">
        <f t="shared" si="239"/>
        <v>1233</v>
      </c>
      <c r="R1103" s="73">
        <v>2</v>
      </c>
      <c r="S1103" s="73" t="s">
        <v>1728</v>
      </c>
      <c r="T1103" s="73"/>
      <c r="U1103" s="42" t="s">
        <v>1965</v>
      </c>
      <c r="V1103" s="73" t="s">
        <v>1389</v>
      </c>
      <c r="W1103" s="42" t="s">
        <v>1720</v>
      </c>
      <c r="X1103" s="73" t="s">
        <v>1389</v>
      </c>
      <c r="Y1103" s="73" t="s">
        <v>1389</v>
      </c>
      <c r="AA1103" s="338">
        <f t="shared" si="237"/>
        <v>65</v>
      </c>
      <c r="AB1103" s="338">
        <f>25</f>
        <v>25</v>
      </c>
      <c r="AC1103" s="72" t="s">
        <v>240</v>
      </c>
      <c r="AD1103" s="72">
        <v>6.6</v>
      </c>
      <c r="AE1103" s="72">
        <v>0.88</v>
      </c>
      <c r="AG1103" s="24" t="s">
        <v>1344</v>
      </c>
      <c r="AH1103" s="72" t="s">
        <v>131</v>
      </c>
      <c r="AI1103" s="138" t="s">
        <v>131</v>
      </c>
      <c r="AJ1103" s="72" t="s">
        <v>220</v>
      </c>
      <c r="AK1103" s="140" t="s">
        <v>1627</v>
      </c>
      <c r="AL1103" s="72" t="s">
        <v>778</v>
      </c>
      <c r="AM1103" s="72" t="s">
        <v>778</v>
      </c>
      <c r="AN1103" s="72" t="s">
        <v>177</v>
      </c>
      <c r="AO1103" s="72" t="s">
        <v>156</v>
      </c>
      <c r="AP1103" s="72" t="s">
        <v>156</v>
      </c>
      <c r="AQ1103" s="72" t="s">
        <v>2126</v>
      </c>
      <c r="AR1103" s="72" t="s">
        <v>2126</v>
      </c>
      <c r="AS1103" s="72" t="s">
        <v>177</v>
      </c>
      <c r="AT1103" s="72" t="s">
        <v>338</v>
      </c>
      <c r="AU1103" s="72" t="s">
        <v>338</v>
      </c>
      <c r="AV1103" s="72" t="s">
        <v>177</v>
      </c>
      <c r="AW1103" s="72" t="s">
        <v>119</v>
      </c>
      <c r="AX1103" s="72">
        <v>3</v>
      </c>
      <c r="AZ1103" s="72" t="s">
        <v>335</v>
      </c>
      <c r="BB1103" s="72">
        <v>3810</v>
      </c>
      <c r="BC1103" s="72">
        <v>57</v>
      </c>
      <c r="BF1103" s="72">
        <v>10600</v>
      </c>
      <c r="BG1103" s="72">
        <v>7100</v>
      </c>
      <c r="BJ1103" s="72" t="s">
        <v>1666</v>
      </c>
      <c r="BK1103" s="72">
        <v>2700</v>
      </c>
      <c r="BL1103" s="72">
        <v>1500</v>
      </c>
      <c r="BP1103" s="413"/>
      <c r="BQ1103" s="413"/>
      <c r="BU1103" s="413"/>
      <c r="BV1103" s="413"/>
      <c r="BZ1103" s="413"/>
      <c r="CA1103" s="413"/>
      <c r="CE1103" s="566"/>
      <c r="CF1103" s="566"/>
      <c r="CG1103" s="566"/>
      <c r="CH1103" s="566"/>
      <c r="CL1103" s="24"/>
      <c r="CM1103" s="24"/>
      <c r="CN1103" s="24"/>
      <c r="HJ1103" s="72">
        <v>11</v>
      </c>
      <c r="HK1103" s="72">
        <v>17</v>
      </c>
      <c r="HN1103" s="24" t="s">
        <v>1698</v>
      </c>
      <c r="JB1103" s="72" t="s">
        <v>779</v>
      </c>
    </row>
    <row r="1104" spans="1:262" s="72" customFormat="1" x14ac:dyDescent="0.25">
      <c r="A1104" s="72">
        <v>53</v>
      </c>
      <c r="B1104" s="73" t="s">
        <v>4004</v>
      </c>
      <c r="C1104" s="72" t="s">
        <v>768</v>
      </c>
      <c r="D1104" s="72" t="s">
        <v>769</v>
      </c>
      <c r="E1104" s="72">
        <v>2006</v>
      </c>
      <c r="F1104" s="72">
        <v>2001</v>
      </c>
      <c r="G1104" s="72" t="s">
        <v>770</v>
      </c>
      <c r="H1104" s="72" t="s">
        <v>771</v>
      </c>
      <c r="I1104" s="32" t="s">
        <v>2815</v>
      </c>
      <c r="J1104" s="72">
        <v>33.950000000000003</v>
      </c>
      <c r="K1104" s="72">
        <v>-83.38</v>
      </c>
      <c r="L1104" s="72">
        <v>208.4</v>
      </c>
      <c r="O1104" s="72">
        <f t="shared" ref="O1104:O1111" si="243">341+407</f>
        <v>748</v>
      </c>
      <c r="P1104" s="72">
        <f t="shared" si="239"/>
        <v>1233</v>
      </c>
      <c r="R1104" s="73">
        <v>2</v>
      </c>
      <c r="S1104" s="73" t="s">
        <v>1728</v>
      </c>
      <c r="T1104" s="73"/>
      <c r="U1104" s="42" t="s">
        <v>1965</v>
      </c>
      <c r="V1104" s="73" t="s">
        <v>1389</v>
      </c>
      <c r="W1104" s="42" t="s">
        <v>1720</v>
      </c>
      <c r="X1104" s="73" t="s">
        <v>1389</v>
      </c>
      <c r="Y1104" s="73" t="s">
        <v>1389</v>
      </c>
      <c r="AA1104" s="338">
        <f t="shared" si="237"/>
        <v>65</v>
      </c>
      <c r="AB1104" s="338">
        <f>25</f>
        <v>25</v>
      </c>
      <c r="AC1104" s="72" t="s">
        <v>240</v>
      </c>
      <c r="AD1104" s="72">
        <v>6.6</v>
      </c>
      <c r="AE1104" s="72">
        <v>0.88</v>
      </c>
      <c r="AG1104" s="24" t="s">
        <v>1344</v>
      </c>
      <c r="AH1104" s="72" t="s">
        <v>243</v>
      </c>
      <c r="AI1104" s="138" t="s">
        <v>577</v>
      </c>
      <c r="AJ1104" s="72" t="s">
        <v>220</v>
      </c>
      <c r="AK1104" s="140" t="s">
        <v>1627</v>
      </c>
      <c r="AL1104" s="72" t="s">
        <v>778</v>
      </c>
      <c r="AM1104" s="72" t="s">
        <v>778</v>
      </c>
      <c r="AN1104" s="72" t="s">
        <v>177</v>
      </c>
      <c r="AO1104" s="72" t="s">
        <v>156</v>
      </c>
      <c r="AP1104" s="72" t="s">
        <v>156</v>
      </c>
      <c r="AQ1104" s="72" t="s">
        <v>2126</v>
      </c>
      <c r="AR1104" s="72" t="s">
        <v>2126</v>
      </c>
      <c r="AS1104" s="72" t="s">
        <v>177</v>
      </c>
      <c r="AT1104" s="72" t="s">
        <v>338</v>
      </c>
      <c r="AU1104" s="72" t="s">
        <v>338</v>
      </c>
      <c r="AV1104" s="72" t="s">
        <v>177</v>
      </c>
      <c r="AW1104" s="72" t="s">
        <v>119</v>
      </c>
      <c r="AX1104" s="72">
        <v>3</v>
      </c>
      <c r="AZ1104" s="72" t="s">
        <v>335</v>
      </c>
      <c r="BB1104" s="72">
        <v>3810</v>
      </c>
      <c r="BC1104" s="72">
        <v>57</v>
      </c>
      <c r="BF1104" s="72">
        <v>10600</v>
      </c>
      <c r="BG1104" s="72">
        <v>14800</v>
      </c>
      <c r="BJ1104" s="72" t="s">
        <v>1666</v>
      </c>
      <c r="BK1104" s="72">
        <v>2700</v>
      </c>
      <c r="BL1104" s="72">
        <v>3300</v>
      </c>
      <c r="BP1104" s="413"/>
      <c r="BQ1104" s="413"/>
      <c r="BU1104" s="413"/>
      <c r="BV1104" s="413"/>
      <c r="BZ1104" s="413"/>
      <c r="CA1104" s="413"/>
      <c r="CE1104" s="566"/>
      <c r="CF1104" s="566"/>
      <c r="CG1104" s="566"/>
      <c r="CH1104" s="566"/>
      <c r="CL1104" s="24"/>
      <c r="CM1104" s="24"/>
      <c r="CN1104" s="24"/>
      <c r="HJ1104" s="72">
        <v>8</v>
      </c>
      <c r="HK1104" s="72">
        <v>9</v>
      </c>
      <c r="HN1104" s="24" t="s">
        <v>1698</v>
      </c>
      <c r="JB1104" s="72" t="s">
        <v>779</v>
      </c>
    </row>
    <row r="1105" spans="1:262" s="72" customFormat="1" x14ac:dyDescent="0.25">
      <c r="A1105" s="72">
        <v>53</v>
      </c>
      <c r="B1105" s="73" t="s">
        <v>4005</v>
      </c>
      <c r="C1105" s="72" t="s">
        <v>768</v>
      </c>
      <c r="D1105" s="72" t="s">
        <v>769</v>
      </c>
      <c r="E1105" s="72">
        <v>2006</v>
      </c>
      <c r="F1105" s="72">
        <v>2001</v>
      </c>
      <c r="G1105" s="72" t="s">
        <v>770</v>
      </c>
      <c r="H1105" s="72" t="s">
        <v>771</v>
      </c>
      <c r="I1105" s="32" t="s">
        <v>2815</v>
      </c>
      <c r="J1105" s="72">
        <v>33.950000000000003</v>
      </c>
      <c r="K1105" s="72">
        <v>-83.38</v>
      </c>
      <c r="L1105" s="72">
        <v>208.4</v>
      </c>
      <c r="O1105" s="72">
        <f t="shared" si="243"/>
        <v>748</v>
      </c>
      <c r="P1105" s="72">
        <f t="shared" si="239"/>
        <v>1233</v>
      </c>
      <c r="R1105" s="73">
        <v>2</v>
      </c>
      <c r="S1105" s="73" t="s">
        <v>1728</v>
      </c>
      <c r="T1105" s="73"/>
      <c r="U1105" s="42" t="s">
        <v>1965</v>
      </c>
      <c r="V1105" s="73" t="s">
        <v>1389</v>
      </c>
      <c r="W1105" s="42" t="s">
        <v>1720</v>
      </c>
      <c r="X1105" s="73" t="s">
        <v>1389</v>
      </c>
      <c r="Y1105" s="73" t="s">
        <v>1389</v>
      </c>
      <c r="AA1105" s="338">
        <f t="shared" si="237"/>
        <v>65</v>
      </c>
      <c r="AB1105" s="338">
        <f>25</f>
        <v>25</v>
      </c>
      <c r="AC1105" s="72" t="s">
        <v>240</v>
      </c>
      <c r="AD1105" s="72">
        <v>6.6</v>
      </c>
      <c r="AE1105" s="72">
        <v>0.88</v>
      </c>
      <c r="AG1105" s="24" t="s">
        <v>1344</v>
      </c>
      <c r="AH1105" s="72" t="s">
        <v>1518</v>
      </c>
      <c r="AI1105" s="138" t="s">
        <v>1582</v>
      </c>
      <c r="AJ1105" s="72" t="s">
        <v>220</v>
      </c>
      <c r="AK1105" s="140" t="s">
        <v>1627</v>
      </c>
      <c r="AL1105" s="72" t="s">
        <v>778</v>
      </c>
      <c r="AM1105" s="72" t="s">
        <v>778</v>
      </c>
      <c r="AN1105" s="72" t="s">
        <v>177</v>
      </c>
      <c r="AO1105" s="72" t="s">
        <v>156</v>
      </c>
      <c r="AP1105" s="72" t="s">
        <v>156</v>
      </c>
      <c r="AQ1105" s="72" t="s">
        <v>2126</v>
      </c>
      <c r="AR1105" s="72" t="s">
        <v>2126</v>
      </c>
      <c r="AS1105" s="72" t="s">
        <v>177</v>
      </c>
      <c r="AT1105" s="72" t="s">
        <v>338</v>
      </c>
      <c r="AU1105" s="72" t="s">
        <v>338</v>
      </c>
      <c r="AV1105" s="72" t="s">
        <v>177</v>
      </c>
      <c r="AW1105" s="72" t="s">
        <v>119</v>
      </c>
      <c r="AX1105" s="72">
        <v>3</v>
      </c>
      <c r="AZ1105" s="72" t="s">
        <v>335</v>
      </c>
      <c r="BB1105" s="72">
        <v>3810</v>
      </c>
      <c r="BC1105" s="72">
        <v>57</v>
      </c>
      <c r="BF1105" s="72">
        <v>10600</v>
      </c>
      <c r="BG1105" s="72">
        <v>13800</v>
      </c>
      <c r="BJ1105" s="72" t="s">
        <v>1666</v>
      </c>
      <c r="BK1105" s="72">
        <v>2700</v>
      </c>
      <c r="BL1105" s="72">
        <v>3500</v>
      </c>
      <c r="BP1105" s="413"/>
      <c r="BQ1105" s="413"/>
      <c r="BU1105" s="413"/>
      <c r="BV1105" s="413"/>
      <c r="BZ1105" s="413"/>
      <c r="CA1105" s="413"/>
      <c r="CE1105" s="566"/>
      <c r="CF1105" s="566"/>
      <c r="CG1105" s="566"/>
      <c r="CH1105" s="566"/>
      <c r="CL1105" s="24"/>
      <c r="CM1105" s="24"/>
      <c r="CN1105" s="24"/>
      <c r="HJ1105" s="72">
        <v>14</v>
      </c>
      <c r="HK1105" s="72">
        <v>8</v>
      </c>
      <c r="HN1105" s="24" t="s">
        <v>1698</v>
      </c>
      <c r="JB1105" s="72" t="s">
        <v>779</v>
      </c>
    </row>
    <row r="1106" spans="1:262" s="72" customFormat="1" x14ac:dyDescent="0.25">
      <c r="A1106" s="72">
        <v>53</v>
      </c>
      <c r="B1106" s="73" t="s">
        <v>4003</v>
      </c>
      <c r="C1106" s="72" t="s">
        <v>768</v>
      </c>
      <c r="D1106" s="72" t="s">
        <v>769</v>
      </c>
      <c r="E1106" s="72">
        <v>2006</v>
      </c>
      <c r="F1106" s="72">
        <v>2001</v>
      </c>
      <c r="G1106" s="72" t="s">
        <v>770</v>
      </c>
      <c r="H1106" s="72" t="s">
        <v>771</v>
      </c>
      <c r="I1106" s="32" t="s">
        <v>2815</v>
      </c>
      <c r="J1106" s="72">
        <v>33.950000000000003</v>
      </c>
      <c r="K1106" s="72">
        <v>-83.38</v>
      </c>
      <c r="L1106" s="72">
        <v>208.4</v>
      </c>
      <c r="O1106" s="72">
        <f t="shared" si="243"/>
        <v>748</v>
      </c>
      <c r="P1106" s="72">
        <f t="shared" si="239"/>
        <v>1233</v>
      </c>
      <c r="R1106" s="73">
        <v>2</v>
      </c>
      <c r="S1106" s="73" t="s">
        <v>1728</v>
      </c>
      <c r="T1106" s="73"/>
      <c r="U1106" s="42" t="s">
        <v>1965</v>
      </c>
      <c r="V1106" s="73" t="s">
        <v>1389</v>
      </c>
      <c r="W1106" s="42" t="s">
        <v>1720</v>
      </c>
      <c r="X1106" s="73" t="s">
        <v>1389</v>
      </c>
      <c r="Y1106" s="73" t="s">
        <v>1389</v>
      </c>
      <c r="AA1106" s="338">
        <f t="shared" si="237"/>
        <v>65</v>
      </c>
      <c r="AB1106" s="338">
        <f>25</f>
        <v>25</v>
      </c>
      <c r="AC1106" s="72" t="s">
        <v>240</v>
      </c>
      <c r="AD1106" s="72">
        <v>6.6</v>
      </c>
      <c r="AE1106" s="72">
        <v>0.88</v>
      </c>
      <c r="AG1106" s="24" t="s">
        <v>1344</v>
      </c>
      <c r="AH1106" s="72" t="s">
        <v>131</v>
      </c>
      <c r="AI1106" s="138" t="s">
        <v>131</v>
      </c>
      <c r="AJ1106" s="72" t="s">
        <v>220</v>
      </c>
      <c r="AK1106" s="140" t="s">
        <v>1627</v>
      </c>
      <c r="AL1106" s="72" t="s">
        <v>778</v>
      </c>
      <c r="AM1106" s="72" t="s">
        <v>778</v>
      </c>
      <c r="AN1106" s="72" t="s">
        <v>177</v>
      </c>
      <c r="AO1106" s="72" t="s">
        <v>156</v>
      </c>
      <c r="AP1106" s="72" t="s">
        <v>156</v>
      </c>
      <c r="AQ1106" s="72" t="s">
        <v>2126</v>
      </c>
      <c r="AR1106" s="72" t="s">
        <v>2126</v>
      </c>
      <c r="AS1106" s="72" t="s">
        <v>177</v>
      </c>
      <c r="AT1106" s="72" t="s">
        <v>776</v>
      </c>
      <c r="AU1106" s="72" t="s">
        <v>776</v>
      </c>
      <c r="AV1106" s="72" t="s">
        <v>177</v>
      </c>
      <c r="AW1106" s="72" t="s">
        <v>119</v>
      </c>
      <c r="AX1106" s="72">
        <v>3</v>
      </c>
      <c r="AZ1106" s="72" t="s">
        <v>335</v>
      </c>
      <c r="BB1106" s="72">
        <v>2440</v>
      </c>
      <c r="BC1106" s="72">
        <v>12</v>
      </c>
      <c r="BF1106" s="72">
        <v>11200</v>
      </c>
      <c r="BG1106" s="72">
        <v>9400</v>
      </c>
      <c r="BJ1106" s="72" t="s">
        <v>1666</v>
      </c>
      <c r="BK1106" s="72">
        <v>2200</v>
      </c>
      <c r="BL1106" s="72">
        <v>2200</v>
      </c>
      <c r="BP1106" s="413"/>
      <c r="BQ1106" s="413"/>
      <c r="BU1106" s="413"/>
      <c r="BV1106" s="413"/>
      <c r="BZ1106" s="413"/>
      <c r="CA1106" s="413"/>
      <c r="CE1106" s="566"/>
      <c r="CF1106" s="566"/>
      <c r="CG1106" s="566"/>
      <c r="CH1106" s="566"/>
      <c r="CL1106" s="24"/>
      <c r="CM1106" s="24"/>
      <c r="CN1106" s="24"/>
      <c r="JB1106" s="72" t="s">
        <v>779</v>
      </c>
    </row>
    <row r="1107" spans="1:262" s="72" customFormat="1" x14ac:dyDescent="0.25">
      <c r="A1107" s="72">
        <v>53</v>
      </c>
      <c r="B1107" s="73" t="s">
        <v>4004</v>
      </c>
      <c r="C1107" s="72" t="s">
        <v>768</v>
      </c>
      <c r="D1107" s="72" t="s">
        <v>769</v>
      </c>
      <c r="E1107" s="72">
        <v>2006</v>
      </c>
      <c r="F1107" s="72">
        <v>2001</v>
      </c>
      <c r="G1107" s="72" t="s">
        <v>770</v>
      </c>
      <c r="H1107" s="72" t="s">
        <v>771</v>
      </c>
      <c r="I1107" s="32" t="s">
        <v>2815</v>
      </c>
      <c r="J1107" s="72">
        <v>33.950000000000003</v>
      </c>
      <c r="K1107" s="72">
        <v>-83.38</v>
      </c>
      <c r="L1107" s="72">
        <v>208.4</v>
      </c>
      <c r="O1107" s="72">
        <f t="shared" si="243"/>
        <v>748</v>
      </c>
      <c r="P1107" s="72">
        <f t="shared" si="239"/>
        <v>1233</v>
      </c>
      <c r="R1107" s="73">
        <v>2</v>
      </c>
      <c r="S1107" s="73" t="s">
        <v>1728</v>
      </c>
      <c r="T1107" s="73"/>
      <c r="U1107" s="42" t="s">
        <v>1965</v>
      </c>
      <c r="V1107" s="73" t="s">
        <v>1389</v>
      </c>
      <c r="W1107" s="42" t="s">
        <v>1720</v>
      </c>
      <c r="X1107" s="73" t="s">
        <v>1389</v>
      </c>
      <c r="Y1107" s="73" t="s">
        <v>1389</v>
      </c>
      <c r="AA1107" s="338">
        <f t="shared" si="237"/>
        <v>65</v>
      </c>
      <c r="AB1107" s="338">
        <f>25</f>
        <v>25</v>
      </c>
      <c r="AC1107" s="72" t="s">
        <v>240</v>
      </c>
      <c r="AD1107" s="72">
        <v>6.6</v>
      </c>
      <c r="AE1107" s="72">
        <v>0.88</v>
      </c>
      <c r="AG1107" s="24" t="s">
        <v>1344</v>
      </c>
      <c r="AH1107" s="72" t="s">
        <v>243</v>
      </c>
      <c r="AI1107" s="138" t="s">
        <v>577</v>
      </c>
      <c r="AJ1107" s="72" t="s">
        <v>220</v>
      </c>
      <c r="AK1107" s="140" t="s">
        <v>1627</v>
      </c>
      <c r="AL1107" s="72" t="s">
        <v>778</v>
      </c>
      <c r="AM1107" s="72" t="s">
        <v>778</v>
      </c>
      <c r="AN1107" s="72" t="s">
        <v>177</v>
      </c>
      <c r="AO1107" s="72" t="s">
        <v>156</v>
      </c>
      <c r="AP1107" s="72" t="s">
        <v>156</v>
      </c>
      <c r="AQ1107" s="72" t="s">
        <v>2126</v>
      </c>
      <c r="AR1107" s="72" t="s">
        <v>2126</v>
      </c>
      <c r="AS1107" s="72" t="s">
        <v>177</v>
      </c>
      <c r="AT1107" s="72" t="s">
        <v>776</v>
      </c>
      <c r="AU1107" s="72" t="s">
        <v>776</v>
      </c>
      <c r="AV1107" s="72" t="s">
        <v>177</v>
      </c>
      <c r="AW1107" s="72" t="s">
        <v>119</v>
      </c>
      <c r="AX1107" s="72">
        <v>3</v>
      </c>
      <c r="AZ1107" s="72" t="s">
        <v>335</v>
      </c>
      <c r="BB1107" s="72">
        <v>2440</v>
      </c>
      <c r="BC1107" s="72">
        <v>12</v>
      </c>
      <c r="BF1107" s="72">
        <v>11200</v>
      </c>
      <c r="BG1107" s="72">
        <v>14300</v>
      </c>
      <c r="BJ1107" s="72" t="s">
        <v>1666</v>
      </c>
      <c r="BK1107" s="72">
        <v>2200</v>
      </c>
      <c r="BL1107" s="72">
        <v>3700</v>
      </c>
      <c r="BP1107" s="413"/>
      <c r="BQ1107" s="413"/>
      <c r="BU1107" s="413"/>
      <c r="BV1107" s="413"/>
      <c r="BZ1107" s="413"/>
      <c r="CA1107" s="413"/>
      <c r="CE1107" s="566"/>
      <c r="CF1107" s="566"/>
      <c r="CG1107" s="566"/>
      <c r="CH1107" s="566"/>
      <c r="CL1107" s="24"/>
      <c r="CM1107" s="24"/>
      <c r="CN1107" s="24"/>
      <c r="JB1107" s="72" t="s">
        <v>779</v>
      </c>
    </row>
    <row r="1108" spans="1:262" s="72" customFormat="1" x14ac:dyDescent="0.25">
      <c r="A1108" s="72">
        <v>53</v>
      </c>
      <c r="B1108" s="73" t="s">
        <v>4005</v>
      </c>
      <c r="C1108" s="72" t="s">
        <v>768</v>
      </c>
      <c r="D1108" s="72" t="s">
        <v>769</v>
      </c>
      <c r="E1108" s="72">
        <v>2006</v>
      </c>
      <c r="F1108" s="72">
        <v>2001</v>
      </c>
      <c r="G1108" s="72" t="s">
        <v>770</v>
      </c>
      <c r="H1108" s="72" t="s">
        <v>771</v>
      </c>
      <c r="I1108" s="32" t="s">
        <v>2815</v>
      </c>
      <c r="J1108" s="72">
        <v>33.950000000000003</v>
      </c>
      <c r="K1108" s="72">
        <v>-83.38</v>
      </c>
      <c r="L1108" s="72">
        <v>208.4</v>
      </c>
      <c r="O1108" s="72">
        <f t="shared" si="243"/>
        <v>748</v>
      </c>
      <c r="P1108" s="72">
        <f t="shared" si="239"/>
        <v>1233</v>
      </c>
      <c r="R1108" s="73">
        <v>2</v>
      </c>
      <c r="S1108" s="73" t="s">
        <v>1728</v>
      </c>
      <c r="T1108" s="73"/>
      <c r="U1108" s="42" t="s">
        <v>1965</v>
      </c>
      <c r="V1108" s="73" t="s">
        <v>1389</v>
      </c>
      <c r="W1108" s="42" t="s">
        <v>1720</v>
      </c>
      <c r="X1108" s="73" t="s">
        <v>1389</v>
      </c>
      <c r="Y1108" s="73" t="s">
        <v>1389</v>
      </c>
      <c r="AA1108" s="338">
        <f t="shared" si="237"/>
        <v>65</v>
      </c>
      <c r="AB1108" s="338">
        <f>25</f>
        <v>25</v>
      </c>
      <c r="AC1108" s="72" t="s">
        <v>240</v>
      </c>
      <c r="AD1108" s="72">
        <v>6.6</v>
      </c>
      <c r="AE1108" s="72">
        <v>0.88</v>
      </c>
      <c r="AG1108" s="24" t="s">
        <v>1344</v>
      </c>
      <c r="AH1108" s="72" t="s">
        <v>1518</v>
      </c>
      <c r="AI1108" s="138" t="s">
        <v>1582</v>
      </c>
      <c r="AJ1108" s="72" t="s">
        <v>220</v>
      </c>
      <c r="AK1108" s="140" t="s">
        <v>1627</v>
      </c>
      <c r="AL1108" s="72" t="s">
        <v>778</v>
      </c>
      <c r="AM1108" s="72" t="s">
        <v>778</v>
      </c>
      <c r="AN1108" s="72" t="s">
        <v>177</v>
      </c>
      <c r="AO1108" s="72" t="s">
        <v>156</v>
      </c>
      <c r="AP1108" s="72" t="s">
        <v>156</v>
      </c>
      <c r="AQ1108" s="72" t="s">
        <v>2126</v>
      </c>
      <c r="AR1108" s="72" t="s">
        <v>2126</v>
      </c>
      <c r="AS1108" s="72" t="s">
        <v>177</v>
      </c>
      <c r="AT1108" s="72" t="s">
        <v>776</v>
      </c>
      <c r="AU1108" s="72" t="s">
        <v>776</v>
      </c>
      <c r="AV1108" s="72" t="s">
        <v>177</v>
      </c>
      <c r="AW1108" s="72" t="s">
        <v>119</v>
      </c>
      <c r="AX1108" s="72">
        <v>3</v>
      </c>
      <c r="AZ1108" s="72" t="s">
        <v>335</v>
      </c>
      <c r="BB1108" s="72">
        <v>2440</v>
      </c>
      <c r="BC1108" s="72">
        <v>12</v>
      </c>
      <c r="BF1108" s="72">
        <v>11200</v>
      </c>
      <c r="BG1108" s="72">
        <v>14600</v>
      </c>
      <c r="BJ1108" s="72" t="s">
        <v>1666</v>
      </c>
      <c r="BK1108" s="72">
        <v>2200</v>
      </c>
      <c r="BL1108" s="72">
        <v>4100</v>
      </c>
      <c r="BP1108" s="413"/>
      <c r="BQ1108" s="413"/>
      <c r="BU1108" s="413"/>
      <c r="BV1108" s="413"/>
      <c r="BZ1108" s="413"/>
      <c r="CA1108" s="413"/>
      <c r="CE1108" s="566"/>
      <c r="CF1108" s="566"/>
      <c r="CG1108" s="566"/>
      <c r="CH1108" s="566"/>
      <c r="CL1108" s="24"/>
      <c r="CM1108" s="24"/>
      <c r="CN1108" s="24"/>
      <c r="JB1108" s="72" t="s">
        <v>779</v>
      </c>
    </row>
    <row r="1109" spans="1:262" s="72" customFormat="1" x14ac:dyDescent="0.25">
      <c r="A1109" s="72">
        <v>53</v>
      </c>
      <c r="B1109" s="73" t="s">
        <v>4003</v>
      </c>
      <c r="C1109" s="72" t="s">
        <v>768</v>
      </c>
      <c r="D1109" s="72" t="s">
        <v>769</v>
      </c>
      <c r="E1109" s="72">
        <v>2006</v>
      </c>
      <c r="F1109" s="72">
        <v>2001</v>
      </c>
      <c r="G1109" s="72" t="s">
        <v>770</v>
      </c>
      <c r="H1109" s="72" t="s">
        <v>771</v>
      </c>
      <c r="I1109" s="32" t="s">
        <v>2815</v>
      </c>
      <c r="J1109" s="72">
        <v>33.950000000000003</v>
      </c>
      <c r="K1109" s="72">
        <v>-83.38</v>
      </c>
      <c r="L1109" s="72">
        <v>208.4</v>
      </c>
      <c r="O1109" s="72">
        <f t="shared" si="243"/>
        <v>748</v>
      </c>
      <c r="P1109" s="72">
        <f t="shared" si="239"/>
        <v>1233</v>
      </c>
      <c r="R1109" s="73">
        <v>2</v>
      </c>
      <c r="S1109" s="73" t="s">
        <v>1728</v>
      </c>
      <c r="T1109" s="73"/>
      <c r="U1109" s="42" t="s">
        <v>1965</v>
      </c>
      <c r="V1109" s="73" t="s">
        <v>1389</v>
      </c>
      <c r="W1109" s="42" t="s">
        <v>1720</v>
      </c>
      <c r="X1109" s="73" t="s">
        <v>1389</v>
      </c>
      <c r="Y1109" s="73" t="s">
        <v>1389</v>
      </c>
      <c r="AA1109" s="338">
        <f t="shared" si="237"/>
        <v>65</v>
      </c>
      <c r="AB1109" s="338">
        <f>25</f>
        <v>25</v>
      </c>
      <c r="AC1109" s="72" t="s">
        <v>240</v>
      </c>
      <c r="AD1109" s="72">
        <v>6.6</v>
      </c>
      <c r="AE1109" s="72">
        <v>0.88</v>
      </c>
      <c r="AG1109" s="24" t="s">
        <v>1344</v>
      </c>
      <c r="AH1109" s="72" t="s">
        <v>131</v>
      </c>
      <c r="AI1109" s="138" t="s">
        <v>131</v>
      </c>
      <c r="AJ1109" s="72" t="s">
        <v>220</v>
      </c>
      <c r="AK1109" s="140" t="s">
        <v>1627</v>
      </c>
      <c r="AL1109" s="72" t="s">
        <v>778</v>
      </c>
      <c r="AM1109" s="72" t="s">
        <v>778</v>
      </c>
      <c r="AN1109" s="72" t="s">
        <v>177</v>
      </c>
      <c r="AO1109" s="72" t="s">
        <v>156</v>
      </c>
      <c r="AP1109" s="72" t="s">
        <v>156</v>
      </c>
      <c r="AQ1109" s="72" t="s">
        <v>2126</v>
      </c>
      <c r="AR1109" s="72" t="s">
        <v>2126</v>
      </c>
      <c r="AS1109" s="72" t="s">
        <v>177</v>
      </c>
      <c r="AT1109" s="72" t="s">
        <v>777</v>
      </c>
      <c r="AU1109" s="72" t="s">
        <v>777</v>
      </c>
      <c r="AV1109" s="72" t="s">
        <v>177</v>
      </c>
      <c r="AW1109" s="72" t="s">
        <v>119</v>
      </c>
      <c r="AX1109" s="72">
        <v>3</v>
      </c>
      <c r="AZ1109" s="72" t="s">
        <v>335</v>
      </c>
      <c r="BB1109" s="72">
        <v>5980</v>
      </c>
      <c r="BC1109" s="72">
        <v>32</v>
      </c>
      <c r="BF1109" s="72">
        <v>14300</v>
      </c>
      <c r="BG1109" s="72">
        <v>11700</v>
      </c>
      <c r="BJ1109" s="72" t="s">
        <v>1666</v>
      </c>
      <c r="BK1109" s="72">
        <v>3400</v>
      </c>
      <c r="BL1109" s="72">
        <v>3300</v>
      </c>
      <c r="BP1109" s="413"/>
      <c r="BQ1109" s="413"/>
      <c r="BU1109" s="413"/>
      <c r="BV1109" s="413"/>
      <c r="BZ1109" s="413"/>
      <c r="CA1109" s="413"/>
      <c r="CE1109" s="566"/>
      <c r="CF1109" s="566"/>
      <c r="CG1109" s="566"/>
      <c r="CH1109" s="566"/>
      <c r="CL1109" s="24"/>
      <c r="CM1109" s="24"/>
      <c r="CN1109" s="24"/>
      <c r="JB1109" s="72" t="s">
        <v>779</v>
      </c>
    </row>
    <row r="1110" spans="1:262" s="72" customFormat="1" x14ac:dyDescent="0.25">
      <c r="A1110" s="72">
        <v>53</v>
      </c>
      <c r="B1110" s="73" t="s">
        <v>4004</v>
      </c>
      <c r="C1110" s="72" t="s">
        <v>768</v>
      </c>
      <c r="D1110" s="72" t="s">
        <v>769</v>
      </c>
      <c r="E1110" s="72">
        <v>2006</v>
      </c>
      <c r="F1110" s="72">
        <v>2001</v>
      </c>
      <c r="G1110" s="72" t="s">
        <v>770</v>
      </c>
      <c r="H1110" s="72" t="s">
        <v>771</v>
      </c>
      <c r="I1110" s="32" t="s">
        <v>2815</v>
      </c>
      <c r="J1110" s="72">
        <v>33.950000000000003</v>
      </c>
      <c r="K1110" s="72">
        <v>-83.38</v>
      </c>
      <c r="L1110" s="72">
        <v>208.4</v>
      </c>
      <c r="O1110" s="72">
        <f t="shared" si="243"/>
        <v>748</v>
      </c>
      <c r="P1110" s="72">
        <f t="shared" si="239"/>
        <v>1233</v>
      </c>
      <c r="R1110" s="73">
        <v>2</v>
      </c>
      <c r="S1110" s="73" t="s">
        <v>1728</v>
      </c>
      <c r="T1110" s="73"/>
      <c r="U1110" s="42" t="s">
        <v>1965</v>
      </c>
      <c r="V1110" s="73" t="s">
        <v>1389</v>
      </c>
      <c r="W1110" s="42" t="s">
        <v>1720</v>
      </c>
      <c r="X1110" s="73" t="s">
        <v>1389</v>
      </c>
      <c r="Y1110" s="73" t="s">
        <v>1389</v>
      </c>
      <c r="AA1110" s="338">
        <f t="shared" si="237"/>
        <v>65</v>
      </c>
      <c r="AB1110" s="338">
        <f>25</f>
        <v>25</v>
      </c>
      <c r="AC1110" s="72" t="s">
        <v>240</v>
      </c>
      <c r="AD1110" s="72">
        <v>6.6</v>
      </c>
      <c r="AE1110" s="72">
        <v>0.88</v>
      </c>
      <c r="AG1110" s="24" t="s">
        <v>1344</v>
      </c>
      <c r="AH1110" s="72" t="s">
        <v>243</v>
      </c>
      <c r="AI1110" s="138" t="s">
        <v>577</v>
      </c>
      <c r="AJ1110" s="72" t="s">
        <v>220</v>
      </c>
      <c r="AK1110" s="140" t="s">
        <v>1627</v>
      </c>
      <c r="AL1110" s="72" t="s">
        <v>778</v>
      </c>
      <c r="AM1110" s="72" t="s">
        <v>778</v>
      </c>
      <c r="AN1110" s="72" t="s">
        <v>177</v>
      </c>
      <c r="AO1110" s="72" t="s">
        <v>156</v>
      </c>
      <c r="AP1110" s="72" t="s">
        <v>156</v>
      </c>
      <c r="AQ1110" s="72" t="s">
        <v>2126</v>
      </c>
      <c r="AR1110" s="72" t="s">
        <v>2126</v>
      </c>
      <c r="AS1110" s="72" t="s">
        <v>177</v>
      </c>
      <c r="AT1110" s="72" t="s">
        <v>777</v>
      </c>
      <c r="AU1110" s="72" t="s">
        <v>777</v>
      </c>
      <c r="AV1110" s="72" t="s">
        <v>177</v>
      </c>
      <c r="AW1110" s="72" t="s">
        <v>119</v>
      </c>
      <c r="AX1110" s="72">
        <v>3</v>
      </c>
      <c r="AZ1110" s="72" t="s">
        <v>335</v>
      </c>
      <c r="BB1110" s="72">
        <v>5980</v>
      </c>
      <c r="BC1110" s="72">
        <v>32</v>
      </c>
      <c r="BF1110" s="72">
        <v>14300</v>
      </c>
      <c r="BG1110" s="72">
        <v>13200</v>
      </c>
      <c r="BJ1110" s="72" t="s">
        <v>1666</v>
      </c>
      <c r="BK1110" s="72">
        <v>3400</v>
      </c>
      <c r="BL1110" s="72">
        <v>3600</v>
      </c>
      <c r="BP1110" s="413"/>
      <c r="BQ1110" s="413"/>
      <c r="BU1110" s="413"/>
      <c r="BV1110" s="413"/>
      <c r="BZ1110" s="413"/>
      <c r="CA1110" s="413"/>
      <c r="CE1110" s="566"/>
      <c r="CF1110" s="566"/>
      <c r="CG1110" s="566"/>
      <c r="CH1110" s="566"/>
      <c r="CL1110" s="24"/>
      <c r="CM1110" s="24"/>
      <c r="CN1110" s="24"/>
      <c r="JB1110" s="72" t="s">
        <v>779</v>
      </c>
    </row>
    <row r="1111" spans="1:262" s="72" customFormat="1" x14ac:dyDescent="0.25">
      <c r="A1111" s="72">
        <v>53</v>
      </c>
      <c r="B1111" s="73" t="s">
        <v>4005</v>
      </c>
      <c r="C1111" s="72" t="s">
        <v>768</v>
      </c>
      <c r="D1111" s="72" t="s">
        <v>769</v>
      </c>
      <c r="E1111" s="72">
        <v>2006</v>
      </c>
      <c r="F1111" s="72">
        <v>2001</v>
      </c>
      <c r="G1111" s="72" t="s">
        <v>770</v>
      </c>
      <c r="H1111" s="72" t="s">
        <v>771</v>
      </c>
      <c r="I1111" s="32" t="s">
        <v>2815</v>
      </c>
      <c r="J1111" s="72">
        <v>33.950000000000003</v>
      </c>
      <c r="K1111" s="72">
        <v>-83.38</v>
      </c>
      <c r="L1111" s="72">
        <v>208.4</v>
      </c>
      <c r="O1111" s="72">
        <f t="shared" si="243"/>
        <v>748</v>
      </c>
      <c r="P1111" s="72">
        <f t="shared" si="239"/>
        <v>1233</v>
      </c>
      <c r="R1111" s="73">
        <v>2</v>
      </c>
      <c r="S1111" s="73" t="s">
        <v>1728</v>
      </c>
      <c r="T1111" s="73"/>
      <c r="U1111" s="42" t="s">
        <v>1965</v>
      </c>
      <c r="V1111" s="73" t="s">
        <v>1389</v>
      </c>
      <c r="W1111" s="42" t="s">
        <v>1720</v>
      </c>
      <c r="X1111" s="73" t="s">
        <v>1389</v>
      </c>
      <c r="Y1111" s="73" t="s">
        <v>1389</v>
      </c>
      <c r="AA1111" s="338">
        <f t="shared" si="237"/>
        <v>65</v>
      </c>
      <c r="AB1111" s="338">
        <f>25</f>
        <v>25</v>
      </c>
      <c r="AC1111" s="72" t="s">
        <v>240</v>
      </c>
      <c r="AD1111" s="72">
        <v>6.6</v>
      </c>
      <c r="AE1111" s="72">
        <v>0.88</v>
      </c>
      <c r="AG1111" s="24" t="s">
        <v>1344</v>
      </c>
      <c r="AH1111" s="72" t="s">
        <v>1518</v>
      </c>
      <c r="AI1111" s="138" t="s">
        <v>1582</v>
      </c>
      <c r="AJ1111" s="72" t="s">
        <v>220</v>
      </c>
      <c r="AK1111" s="140" t="s">
        <v>1627</v>
      </c>
      <c r="AL1111" s="72" t="s">
        <v>778</v>
      </c>
      <c r="AM1111" s="72" t="s">
        <v>778</v>
      </c>
      <c r="AN1111" s="72" t="s">
        <v>177</v>
      </c>
      <c r="AO1111" s="72" t="s">
        <v>156</v>
      </c>
      <c r="AP1111" s="72" t="s">
        <v>156</v>
      </c>
      <c r="AQ1111" s="72" t="s">
        <v>2126</v>
      </c>
      <c r="AR1111" s="72" t="s">
        <v>2126</v>
      </c>
      <c r="AS1111" s="72" t="s">
        <v>177</v>
      </c>
      <c r="AT1111" s="72" t="s">
        <v>777</v>
      </c>
      <c r="AU1111" s="72" t="s">
        <v>777</v>
      </c>
      <c r="AV1111" s="72" t="s">
        <v>177</v>
      </c>
      <c r="AW1111" s="72" t="s">
        <v>119</v>
      </c>
      <c r="AX1111" s="72">
        <v>3</v>
      </c>
      <c r="AZ1111" s="72" t="s">
        <v>335</v>
      </c>
      <c r="BB1111" s="72">
        <v>5980</v>
      </c>
      <c r="BC1111" s="72">
        <v>32</v>
      </c>
      <c r="BF1111" s="72">
        <v>14300</v>
      </c>
      <c r="BG1111" s="72">
        <v>14100</v>
      </c>
      <c r="BJ1111" s="72" t="s">
        <v>1666</v>
      </c>
      <c r="BK1111" s="72">
        <v>3400</v>
      </c>
      <c r="BL1111" s="72">
        <v>4400</v>
      </c>
      <c r="BP1111" s="413"/>
      <c r="BQ1111" s="413"/>
      <c r="BU1111" s="413"/>
      <c r="BV1111" s="413"/>
      <c r="BZ1111" s="413"/>
      <c r="CA1111" s="413"/>
      <c r="CE1111" s="566"/>
      <c r="CF1111" s="566"/>
      <c r="CG1111" s="566"/>
      <c r="CH1111" s="566"/>
      <c r="CL1111" s="24"/>
      <c r="CM1111" s="24"/>
      <c r="CN1111" s="24"/>
      <c r="JB1111" s="72" t="s">
        <v>779</v>
      </c>
    </row>
    <row r="1112" spans="1:262" s="32" customFormat="1" x14ac:dyDescent="0.25">
      <c r="A1112" s="32">
        <v>53</v>
      </c>
      <c r="B1112" s="44" t="s">
        <v>4002</v>
      </c>
      <c r="C1112" s="32" t="s">
        <v>768</v>
      </c>
      <c r="D1112" s="32" t="s">
        <v>769</v>
      </c>
      <c r="E1112" s="32">
        <v>2006</v>
      </c>
      <c r="F1112" s="32">
        <v>2002</v>
      </c>
      <c r="G1112" s="32" t="s">
        <v>770</v>
      </c>
      <c r="H1112" s="32" t="s">
        <v>771</v>
      </c>
      <c r="I1112" s="32" t="s">
        <v>2815</v>
      </c>
      <c r="J1112" s="32">
        <v>33.950000000000003</v>
      </c>
      <c r="K1112" s="32">
        <v>-83.38</v>
      </c>
      <c r="L1112" s="32">
        <v>208.4</v>
      </c>
      <c r="O1112" s="32">
        <v>971</v>
      </c>
      <c r="P1112" s="32">
        <f t="shared" si="239"/>
        <v>1233</v>
      </c>
      <c r="R1112" s="44">
        <v>3</v>
      </c>
      <c r="S1112" s="44" t="s">
        <v>1728</v>
      </c>
      <c r="T1112" s="44"/>
      <c r="U1112" s="44" t="s">
        <v>1965</v>
      </c>
      <c r="V1112" s="44" t="s">
        <v>1389</v>
      </c>
      <c r="W1112" s="44" t="s">
        <v>1720</v>
      </c>
      <c r="X1112" s="44" t="s">
        <v>1389</v>
      </c>
      <c r="Y1112" s="44" t="s">
        <v>1389</v>
      </c>
      <c r="AA1112" s="323">
        <f t="shared" si="237"/>
        <v>65</v>
      </c>
      <c r="AB1112" s="323">
        <f>25</f>
        <v>25</v>
      </c>
      <c r="AC1112" s="32" t="s">
        <v>240</v>
      </c>
      <c r="AD1112" s="32">
        <v>6.6</v>
      </c>
      <c r="AE1112" s="32">
        <v>0.88</v>
      </c>
      <c r="AG1112" s="32" t="s">
        <v>1344</v>
      </c>
      <c r="AH1112" s="32" t="s">
        <v>1518</v>
      </c>
      <c r="AI1112" s="138" t="s">
        <v>1582</v>
      </c>
      <c r="AJ1112" s="32" t="s">
        <v>584</v>
      </c>
      <c r="AK1112" s="140" t="s">
        <v>1627</v>
      </c>
      <c r="AL1112" s="32" t="s">
        <v>778</v>
      </c>
      <c r="AM1112" s="32" t="s">
        <v>778</v>
      </c>
      <c r="AN1112" s="32" t="s">
        <v>177</v>
      </c>
      <c r="AO1112" s="32" t="s">
        <v>156</v>
      </c>
      <c r="AP1112" s="32" t="s">
        <v>156</v>
      </c>
      <c r="AQ1112" s="32" t="s">
        <v>2126</v>
      </c>
      <c r="AR1112" s="32" t="s">
        <v>2126</v>
      </c>
      <c r="AS1112" s="32" t="s">
        <v>177</v>
      </c>
      <c r="AT1112" s="32" t="s">
        <v>338</v>
      </c>
      <c r="AU1112" s="32" t="s">
        <v>338</v>
      </c>
      <c r="AV1112" s="32" t="s">
        <v>177</v>
      </c>
      <c r="AW1112" s="32" t="s">
        <v>119</v>
      </c>
      <c r="AX1112" s="32">
        <v>3</v>
      </c>
      <c r="AZ1112" s="32" t="s">
        <v>335</v>
      </c>
      <c r="BB1112" s="32">
        <v>2280</v>
      </c>
      <c r="BC1112" s="32">
        <v>40</v>
      </c>
      <c r="BK1112" s="32">
        <v>814</v>
      </c>
      <c r="BL1112" s="32">
        <v>692</v>
      </c>
      <c r="BP1112" s="397"/>
      <c r="BQ1112" s="397"/>
      <c r="BU1112" s="397"/>
      <c r="BV1112" s="397"/>
      <c r="BZ1112" s="397"/>
      <c r="CA1112" s="397"/>
      <c r="CE1112" s="550"/>
      <c r="CF1112" s="550"/>
      <c r="CG1112" s="550"/>
      <c r="CH1112" s="550"/>
      <c r="HJ1112" s="32">
        <v>11</v>
      </c>
      <c r="HK1112" s="32">
        <v>14</v>
      </c>
      <c r="HN1112" s="32" t="s">
        <v>1698</v>
      </c>
      <c r="JB1112" s="32" t="s">
        <v>779</v>
      </c>
    </row>
    <row r="1113" spans="1:262" s="32" customFormat="1" x14ac:dyDescent="0.25">
      <c r="A1113" s="32">
        <v>53</v>
      </c>
      <c r="B1113" s="44" t="s">
        <v>4002</v>
      </c>
      <c r="C1113" s="32" t="s">
        <v>768</v>
      </c>
      <c r="D1113" s="32" t="s">
        <v>769</v>
      </c>
      <c r="E1113" s="32">
        <v>2006</v>
      </c>
      <c r="F1113" s="32">
        <v>2002</v>
      </c>
      <c r="G1113" s="32" t="s">
        <v>770</v>
      </c>
      <c r="H1113" s="32" t="s">
        <v>771</v>
      </c>
      <c r="I1113" s="32" t="s">
        <v>2815</v>
      </c>
      <c r="J1113" s="32">
        <v>33.950000000000003</v>
      </c>
      <c r="K1113" s="32">
        <v>-83.38</v>
      </c>
      <c r="L1113" s="32">
        <v>208.4</v>
      </c>
      <c r="O1113" s="32">
        <v>971</v>
      </c>
      <c r="P1113" s="32">
        <f t="shared" si="239"/>
        <v>1233</v>
      </c>
      <c r="R1113" s="44">
        <v>3</v>
      </c>
      <c r="S1113" s="44" t="s">
        <v>1728</v>
      </c>
      <c r="T1113" s="44"/>
      <c r="U1113" s="44" t="s">
        <v>1965</v>
      </c>
      <c r="V1113" s="44" t="s">
        <v>1389</v>
      </c>
      <c r="W1113" s="44" t="s">
        <v>1720</v>
      </c>
      <c r="X1113" s="44" t="s">
        <v>1389</v>
      </c>
      <c r="Y1113" s="44" t="s">
        <v>1389</v>
      </c>
      <c r="AA1113" s="323">
        <f t="shared" si="237"/>
        <v>65</v>
      </c>
      <c r="AB1113" s="323">
        <f>25</f>
        <v>25</v>
      </c>
      <c r="AC1113" s="32" t="s">
        <v>240</v>
      </c>
      <c r="AD1113" s="32">
        <v>6.6</v>
      </c>
      <c r="AE1113" s="32">
        <v>0.88</v>
      </c>
      <c r="AG1113" s="32" t="s">
        <v>1344</v>
      </c>
      <c r="AH1113" s="32" t="s">
        <v>1518</v>
      </c>
      <c r="AI1113" s="138" t="s">
        <v>1582</v>
      </c>
      <c r="AJ1113" s="32" t="s">
        <v>584</v>
      </c>
      <c r="AK1113" s="140" t="s">
        <v>1627</v>
      </c>
      <c r="AL1113" s="32" t="s">
        <v>778</v>
      </c>
      <c r="AM1113" s="32" t="s">
        <v>778</v>
      </c>
      <c r="AN1113" s="32" t="s">
        <v>177</v>
      </c>
      <c r="AO1113" s="32" t="s">
        <v>772</v>
      </c>
      <c r="AP1113" s="32" t="s">
        <v>772</v>
      </c>
      <c r="AQ1113" s="32" t="s">
        <v>2125</v>
      </c>
      <c r="AR1113" s="32" t="s">
        <v>2125</v>
      </c>
      <c r="AS1113" s="32" t="s">
        <v>177</v>
      </c>
      <c r="AT1113" s="32" t="s">
        <v>338</v>
      </c>
      <c r="AU1113" s="32" t="s">
        <v>338</v>
      </c>
      <c r="AV1113" s="32" t="s">
        <v>177</v>
      </c>
      <c r="AW1113" s="32" t="s">
        <v>119</v>
      </c>
      <c r="AX1113" s="32">
        <v>3</v>
      </c>
      <c r="AZ1113" s="32" t="s">
        <v>335</v>
      </c>
      <c r="BB1113" s="32">
        <v>2280</v>
      </c>
      <c r="BC1113" s="32">
        <v>40</v>
      </c>
      <c r="BK1113" s="32">
        <v>480</v>
      </c>
      <c r="BL1113" s="32">
        <v>826</v>
      </c>
      <c r="BP1113" s="397"/>
      <c r="BQ1113" s="397"/>
      <c r="BU1113" s="397"/>
      <c r="BV1113" s="397"/>
      <c r="BZ1113" s="397"/>
      <c r="CA1113" s="397"/>
      <c r="CE1113" s="550"/>
      <c r="CF1113" s="550"/>
      <c r="CG1113" s="550"/>
      <c r="CH1113" s="550"/>
      <c r="HJ1113" s="32">
        <v>8</v>
      </c>
      <c r="HK1113" s="32">
        <v>14</v>
      </c>
      <c r="HN1113" s="32" t="s">
        <v>1698</v>
      </c>
      <c r="JB1113" s="32" t="s">
        <v>779</v>
      </c>
    </row>
    <row r="1114" spans="1:262" s="32" customFormat="1" x14ac:dyDescent="0.25">
      <c r="A1114" s="32">
        <v>53</v>
      </c>
      <c r="B1114" s="44" t="s">
        <v>4002</v>
      </c>
      <c r="C1114" s="32" t="s">
        <v>768</v>
      </c>
      <c r="D1114" s="32" t="s">
        <v>769</v>
      </c>
      <c r="E1114" s="32">
        <v>2006</v>
      </c>
      <c r="F1114" s="32">
        <v>2002</v>
      </c>
      <c r="G1114" s="32" t="s">
        <v>770</v>
      </c>
      <c r="H1114" s="32" t="s">
        <v>771</v>
      </c>
      <c r="I1114" s="32" t="s">
        <v>2815</v>
      </c>
      <c r="J1114" s="32">
        <v>33.950000000000003</v>
      </c>
      <c r="K1114" s="32">
        <v>-83.38</v>
      </c>
      <c r="L1114" s="32">
        <v>208.4</v>
      </c>
      <c r="O1114" s="32">
        <v>971</v>
      </c>
      <c r="P1114" s="32">
        <f t="shared" si="239"/>
        <v>1233</v>
      </c>
      <c r="R1114" s="44">
        <v>3</v>
      </c>
      <c r="S1114" s="44" t="s">
        <v>1728</v>
      </c>
      <c r="T1114" s="44"/>
      <c r="U1114" s="44" t="s">
        <v>1965</v>
      </c>
      <c r="V1114" s="44" t="s">
        <v>1389</v>
      </c>
      <c r="W1114" s="44" t="s">
        <v>1720</v>
      </c>
      <c r="X1114" s="44" t="s">
        <v>1389</v>
      </c>
      <c r="Y1114" s="44" t="s">
        <v>1389</v>
      </c>
      <c r="AA1114" s="323">
        <f t="shared" si="237"/>
        <v>65</v>
      </c>
      <c r="AB1114" s="323">
        <f>25</f>
        <v>25</v>
      </c>
      <c r="AC1114" s="32" t="s">
        <v>240</v>
      </c>
      <c r="AD1114" s="32">
        <v>6.6</v>
      </c>
      <c r="AE1114" s="32">
        <v>0.88</v>
      </c>
      <c r="AG1114" s="32" t="s">
        <v>1344</v>
      </c>
      <c r="AH1114" s="32" t="s">
        <v>1518</v>
      </c>
      <c r="AI1114" s="138" t="s">
        <v>1582</v>
      </c>
      <c r="AJ1114" s="32" t="s">
        <v>584</v>
      </c>
      <c r="AK1114" s="140" t="s">
        <v>1627</v>
      </c>
      <c r="AL1114" s="32" t="s">
        <v>778</v>
      </c>
      <c r="AM1114" s="32" t="s">
        <v>778</v>
      </c>
      <c r="AN1114" s="32" t="s">
        <v>177</v>
      </c>
      <c r="AO1114" s="32" t="s">
        <v>773</v>
      </c>
      <c r="AP1114" s="32" t="s">
        <v>773</v>
      </c>
      <c r="AQ1114" s="32" t="s">
        <v>2125</v>
      </c>
      <c r="AR1114" s="32" t="s">
        <v>2125</v>
      </c>
      <c r="AS1114" s="32" t="s">
        <v>177</v>
      </c>
      <c r="AT1114" s="32" t="s">
        <v>338</v>
      </c>
      <c r="AU1114" s="32" t="s">
        <v>338</v>
      </c>
      <c r="AV1114" s="32" t="s">
        <v>177</v>
      </c>
      <c r="AW1114" s="32" t="s">
        <v>119</v>
      </c>
      <c r="AX1114" s="32">
        <v>3</v>
      </c>
      <c r="AZ1114" s="32" t="s">
        <v>335</v>
      </c>
      <c r="BB1114" s="32">
        <v>2280</v>
      </c>
      <c r="BC1114" s="32">
        <v>40</v>
      </c>
      <c r="BK1114" s="32">
        <v>802</v>
      </c>
      <c r="BL1114" s="32">
        <v>1546</v>
      </c>
      <c r="BP1114" s="397"/>
      <c r="BQ1114" s="397"/>
      <c r="BU1114" s="397"/>
      <c r="BV1114" s="397"/>
      <c r="BZ1114" s="397"/>
      <c r="CA1114" s="397"/>
      <c r="CE1114" s="550"/>
      <c r="CF1114" s="550"/>
      <c r="CG1114" s="550"/>
      <c r="CH1114" s="550"/>
      <c r="HJ1114" s="32">
        <v>14</v>
      </c>
      <c r="HK1114" s="32">
        <v>22</v>
      </c>
      <c r="HN1114" s="32" t="s">
        <v>1698</v>
      </c>
      <c r="JB1114" s="32" t="s">
        <v>779</v>
      </c>
    </row>
    <row r="1115" spans="1:262" s="32" customFormat="1" x14ac:dyDescent="0.25">
      <c r="A1115" s="32">
        <v>53</v>
      </c>
      <c r="B1115" s="44" t="s">
        <v>4002</v>
      </c>
      <c r="C1115" s="32" t="s">
        <v>768</v>
      </c>
      <c r="D1115" s="32" t="s">
        <v>769</v>
      </c>
      <c r="E1115" s="32">
        <v>2006</v>
      </c>
      <c r="F1115" s="32">
        <v>2002</v>
      </c>
      <c r="G1115" s="32" t="s">
        <v>770</v>
      </c>
      <c r="H1115" s="32" t="s">
        <v>771</v>
      </c>
      <c r="I1115" s="32" t="s">
        <v>2815</v>
      </c>
      <c r="J1115" s="32">
        <v>33.950000000000003</v>
      </c>
      <c r="K1115" s="32">
        <v>-83.38</v>
      </c>
      <c r="L1115" s="32">
        <v>208.4</v>
      </c>
      <c r="O1115" s="32">
        <v>971</v>
      </c>
      <c r="P1115" s="32">
        <f t="shared" si="239"/>
        <v>1233</v>
      </c>
      <c r="R1115" s="44">
        <v>3</v>
      </c>
      <c r="S1115" s="44" t="s">
        <v>1728</v>
      </c>
      <c r="T1115" s="44"/>
      <c r="U1115" s="44" t="s">
        <v>1965</v>
      </c>
      <c r="V1115" s="44" t="s">
        <v>1389</v>
      </c>
      <c r="W1115" s="44" t="s">
        <v>1720</v>
      </c>
      <c r="X1115" s="44" t="s">
        <v>1389</v>
      </c>
      <c r="Y1115" s="44" t="s">
        <v>1389</v>
      </c>
      <c r="AA1115" s="323">
        <f t="shared" si="237"/>
        <v>65</v>
      </c>
      <c r="AB1115" s="323">
        <f>25</f>
        <v>25</v>
      </c>
      <c r="AC1115" s="32" t="s">
        <v>240</v>
      </c>
      <c r="AD1115" s="32">
        <v>6.6</v>
      </c>
      <c r="AE1115" s="32">
        <v>0.88</v>
      </c>
      <c r="AG1115" s="32" t="s">
        <v>1344</v>
      </c>
      <c r="AH1115" s="32" t="s">
        <v>1518</v>
      </c>
      <c r="AI1115" s="138" t="s">
        <v>1582</v>
      </c>
      <c r="AJ1115" s="32" t="s">
        <v>584</v>
      </c>
      <c r="AK1115" s="140" t="s">
        <v>1627</v>
      </c>
      <c r="AL1115" s="32" t="s">
        <v>778</v>
      </c>
      <c r="AM1115" s="32" t="s">
        <v>778</v>
      </c>
      <c r="AN1115" s="32" t="s">
        <v>177</v>
      </c>
      <c r="AO1115" s="32" t="s">
        <v>156</v>
      </c>
      <c r="AP1115" s="32" t="s">
        <v>156</v>
      </c>
      <c r="AQ1115" s="32" t="s">
        <v>2126</v>
      </c>
      <c r="AR1115" s="32" t="s">
        <v>2126</v>
      </c>
      <c r="AS1115" s="32" t="s">
        <v>177</v>
      </c>
      <c r="AT1115" s="32" t="s">
        <v>774</v>
      </c>
      <c r="AU1115" s="32" t="s">
        <v>774</v>
      </c>
      <c r="AV1115" s="32" t="s">
        <v>177</v>
      </c>
      <c r="AW1115" s="32" t="s">
        <v>119</v>
      </c>
      <c r="AX1115" s="32">
        <v>3</v>
      </c>
      <c r="AZ1115" s="32" t="s">
        <v>335</v>
      </c>
      <c r="BB1115" s="32">
        <v>5160</v>
      </c>
      <c r="BC1115" s="32">
        <v>10</v>
      </c>
      <c r="BK1115" s="32">
        <v>814</v>
      </c>
      <c r="BL1115" s="32">
        <v>640</v>
      </c>
      <c r="BP1115" s="397"/>
      <c r="BQ1115" s="397"/>
      <c r="BU1115" s="397"/>
      <c r="BV1115" s="397"/>
      <c r="BZ1115" s="397"/>
      <c r="CA1115" s="397"/>
      <c r="CE1115" s="550"/>
      <c r="CF1115" s="550"/>
      <c r="CG1115" s="550"/>
      <c r="CH1115" s="550"/>
      <c r="HJ1115" s="32">
        <v>11</v>
      </c>
      <c r="HK1115" s="32">
        <v>12</v>
      </c>
      <c r="HN1115" s="32" t="s">
        <v>1698</v>
      </c>
      <c r="JB1115" s="32" t="s">
        <v>779</v>
      </c>
    </row>
    <row r="1116" spans="1:262" s="32" customFormat="1" x14ac:dyDescent="0.25">
      <c r="A1116" s="32">
        <v>53</v>
      </c>
      <c r="B1116" s="44" t="s">
        <v>4002</v>
      </c>
      <c r="C1116" s="32" t="s">
        <v>768</v>
      </c>
      <c r="D1116" s="32" t="s">
        <v>769</v>
      </c>
      <c r="E1116" s="32">
        <v>2006</v>
      </c>
      <c r="F1116" s="32">
        <v>2002</v>
      </c>
      <c r="G1116" s="32" t="s">
        <v>770</v>
      </c>
      <c r="H1116" s="32" t="s">
        <v>771</v>
      </c>
      <c r="I1116" s="32" t="s">
        <v>2815</v>
      </c>
      <c r="J1116" s="32">
        <v>33.950000000000003</v>
      </c>
      <c r="K1116" s="32">
        <v>-83.38</v>
      </c>
      <c r="L1116" s="32">
        <v>208.4</v>
      </c>
      <c r="O1116" s="32">
        <v>971</v>
      </c>
      <c r="P1116" s="32">
        <f t="shared" si="239"/>
        <v>1233</v>
      </c>
      <c r="R1116" s="44">
        <v>3</v>
      </c>
      <c r="S1116" s="44" t="s">
        <v>1728</v>
      </c>
      <c r="T1116" s="44"/>
      <c r="U1116" s="44" t="s">
        <v>1965</v>
      </c>
      <c r="V1116" s="44" t="s">
        <v>1389</v>
      </c>
      <c r="W1116" s="44" t="s">
        <v>1720</v>
      </c>
      <c r="X1116" s="44" t="s">
        <v>1389</v>
      </c>
      <c r="Y1116" s="44" t="s">
        <v>1389</v>
      </c>
      <c r="AA1116" s="323">
        <f t="shared" si="237"/>
        <v>65</v>
      </c>
      <c r="AB1116" s="323">
        <f>25</f>
        <v>25</v>
      </c>
      <c r="AC1116" s="32" t="s">
        <v>240</v>
      </c>
      <c r="AD1116" s="32">
        <v>6.6</v>
      </c>
      <c r="AE1116" s="32">
        <v>0.88</v>
      </c>
      <c r="AG1116" s="32" t="s">
        <v>1344</v>
      </c>
      <c r="AH1116" s="32" t="s">
        <v>1518</v>
      </c>
      <c r="AI1116" s="138" t="s">
        <v>1582</v>
      </c>
      <c r="AJ1116" s="32" t="s">
        <v>584</v>
      </c>
      <c r="AK1116" s="140" t="s">
        <v>1627</v>
      </c>
      <c r="AL1116" s="32" t="s">
        <v>778</v>
      </c>
      <c r="AM1116" s="32" t="s">
        <v>778</v>
      </c>
      <c r="AN1116" s="32" t="s">
        <v>177</v>
      </c>
      <c r="AO1116" s="32" t="s">
        <v>772</v>
      </c>
      <c r="AP1116" s="32" t="s">
        <v>772</v>
      </c>
      <c r="AQ1116" s="32" t="s">
        <v>2125</v>
      </c>
      <c r="AR1116" s="32" t="s">
        <v>2125</v>
      </c>
      <c r="AS1116" s="32" t="s">
        <v>177</v>
      </c>
      <c r="AT1116" s="32" t="s">
        <v>774</v>
      </c>
      <c r="AU1116" s="32" t="s">
        <v>774</v>
      </c>
      <c r="AV1116" s="32" t="s">
        <v>177</v>
      </c>
      <c r="AW1116" s="32" t="s">
        <v>119</v>
      </c>
      <c r="AX1116" s="32">
        <v>3</v>
      </c>
      <c r="AZ1116" s="32" t="s">
        <v>335</v>
      </c>
      <c r="BB1116" s="32">
        <v>5160</v>
      </c>
      <c r="BC1116" s="32">
        <v>10</v>
      </c>
      <c r="BK1116" s="32">
        <v>480</v>
      </c>
      <c r="BL1116" s="32">
        <v>774</v>
      </c>
      <c r="BP1116" s="397"/>
      <c r="BQ1116" s="397"/>
      <c r="BU1116" s="397"/>
      <c r="BV1116" s="397"/>
      <c r="BZ1116" s="397"/>
      <c r="CA1116" s="397"/>
      <c r="CE1116" s="550"/>
      <c r="CF1116" s="550"/>
      <c r="CG1116" s="550"/>
      <c r="CH1116" s="550"/>
      <c r="HJ1116" s="32">
        <v>8</v>
      </c>
      <c r="HK1116" s="32">
        <v>13</v>
      </c>
      <c r="HN1116" s="32" t="s">
        <v>1698</v>
      </c>
      <c r="JB1116" s="32" t="s">
        <v>779</v>
      </c>
    </row>
    <row r="1117" spans="1:262" s="32" customFormat="1" x14ac:dyDescent="0.25">
      <c r="A1117" s="32">
        <v>53</v>
      </c>
      <c r="B1117" s="44" t="s">
        <v>4002</v>
      </c>
      <c r="C1117" s="32" t="s">
        <v>768</v>
      </c>
      <c r="D1117" s="32" t="s">
        <v>769</v>
      </c>
      <c r="E1117" s="32">
        <v>2006</v>
      </c>
      <c r="F1117" s="32">
        <v>2002</v>
      </c>
      <c r="G1117" s="32" t="s">
        <v>770</v>
      </c>
      <c r="H1117" s="32" t="s">
        <v>771</v>
      </c>
      <c r="I1117" s="32" t="s">
        <v>2815</v>
      </c>
      <c r="J1117" s="32">
        <v>33.950000000000003</v>
      </c>
      <c r="K1117" s="32">
        <v>-83.38</v>
      </c>
      <c r="L1117" s="32">
        <v>208.4</v>
      </c>
      <c r="O1117" s="32">
        <v>971</v>
      </c>
      <c r="P1117" s="32">
        <f t="shared" si="239"/>
        <v>1233</v>
      </c>
      <c r="R1117" s="44">
        <v>3</v>
      </c>
      <c r="S1117" s="44" t="s">
        <v>1728</v>
      </c>
      <c r="T1117" s="44"/>
      <c r="U1117" s="44" t="s">
        <v>1965</v>
      </c>
      <c r="V1117" s="44" t="s">
        <v>1389</v>
      </c>
      <c r="W1117" s="44" t="s">
        <v>1720</v>
      </c>
      <c r="X1117" s="44" t="s">
        <v>1389</v>
      </c>
      <c r="Y1117" s="44" t="s">
        <v>1389</v>
      </c>
      <c r="AA1117" s="323">
        <f t="shared" si="237"/>
        <v>65</v>
      </c>
      <c r="AB1117" s="323">
        <f>25</f>
        <v>25</v>
      </c>
      <c r="AC1117" s="32" t="s">
        <v>240</v>
      </c>
      <c r="AD1117" s="32">
        <v>6.6</v>
      </c>
      <c r="AE1117" s="32">
        <v>0.88</v>
      </c>
      <c r="AG1117" s="32" t="s">
        <v>1344</v>
      </c>
      <c r="AH1117" s="32" t="s">
        <v>1518</v>
      </c>
      <c r="AI1117" s="138" t="s">
        <v>1582</v>
      </c>
      <c r="AJ1117" s="32" t="s">
        <v>584</v>
      </c>
      <c r="AK1117" s="140" t="s">
        <v>1627</v>
      </c>
      <c r="AL1117" s="32" t="s">
        <v>778</v>
      </c>
      <c r="AM1117" s="32" t="s">
        <v>778</v>
      </c>
      <c r="AN1117" s="32" t="s">
        <v>177</v>
      </c>
      <c r="AO1117" s="32" t="s">
        <v>773</v>
      </c>
      <c r="AP1117" s="32" t="s">
        <v>773</v>
      </c>
      <c r="AQ1117" s="32" t="s">
        <v>2125</v>
      </c>
      <c r="AR1117" s="32" t="s">
        <v>2125</v>
      </c>
      <c r="AS1117" s="32" t="s">
        <v>177</v>
      </c>
      <c r="AT1117" s="32" t="s">
        <v>774</v>
      </c>
      <c r="AU1117" s="32" t="s">
        <v>774</v>
      </c>
      <c r="AV1117" s="32" t="s">
        <v>177</v>
      </c>
      <c r="AW1117" s="32" t="s">
        <v>119</v>
      </c>
      <c r="AX1117" s="32">
        <v>3</v>
      </c>
      <c r="AZ1117" s="32" t="s">
        <v>335</v>
      </c>
      <c r="BB1117" s="32">
        <v>5160</v>
      </c>
      <c r="BC1117" s="32">
        <v>10</v>
      </c>
      <c r="BK1117" s="32">
        <v>802</v>
      </c>
      <c r="BL1117" s="32">
        <v>1525</v>
      </c>
      <c r="BP1117" s="397"/>
      <c r="BQ1117" s="397"/>
      <c r="BU1117" s="397"/>
      <c r="BV1117" s="397"/>
      <c r="BZ1117" s="397"/>
      <c r="CA1117" s="397"/>
      <c r="CE1117" s="550"/>
      <c r="CF1117" s="550"/>
      <c r="CG1117" s="550"/>
      <c r="CH1117" s="550"/>
      <c r="HJ1117" s="32">
        <v>14</v>
      </c>
      <c r="HK1117" s="32">
        <v>22</v>
      </c>
      <c r="HN1117" s="32" t="s">
        <v>1698</v>
      </c>
      <c r="JB1117" s="32" t="s">
        <v>779</v>
      </c>
    </row>
    <row r="1118" spans="1:262" s="32" customFormat="1" x14ac:dyDescent="0.25">
      <c r="A1118" s="32">
        <v>53</v>
      </c>
      <c r="B1118" s="44" t="s">
        <v>4002</v>
      </c>
      <c r="C1118" s="32" t="s">
        <v>768</v>
      </c>
      <c r="D1118" s="32" t="s">
        <v>769</v>
      </c>
      <c r="E1118" s="32">
        <v>2006</v>
      </c>
      <c r="F1118" s="32">
        <v>2002</v>
      </c>
      <c r="G1118" s="32" t="s">
        <v>770</v>
      </c>
      <c r="H1118" s="32" t="s">
        <v>771</v>
      </c>
      <c r="I1118" s="32" t="s">
        <v>2815</v>
      </c>
      <c r="J1118" s="32">
        <v>33.950000000000003</v>
      </c>
      <c r="K1118" s="32">
        <v>-83.38</v>
      </c>
      <c r="L1118" s="32">
        <v>208.4</v>
      </c>
      <c r="O1118" s="32">
        <v>971</v>
      </c>
      <c r="P1118" s="32">
        <f t="shared" si="239"/>
        <v>1233</v>
      </c>
      <c r="R1118" s="44">
        <v>3</v>
      </c>
      <c r="S1118" s="44" t="s">
        <v>1728</v>
      </c>
      <c r="T1118" s="44"/>
      <c r="U1118" s="44" t="s">
        <v>1965</v>
      </c>
      <c r="V1118" s="44" t="s">
        <v>1389</v>
      </c>
      <c r="W1118" s="44" t="s">
        <v>1720</v>
      </c>
      <c r="X1118" s="44" t="s">
        <v>1389</v>
      </c>
      <c r="Y1118" s="44" t="s">
        <v>1389</v>
      </c>
      <c r="AA1118" s="323">
        <f t="shared" si="237"/>
        <v>65</v>
      </c>
      <c r="AB1118" s="323">
        <f>25</f>
        <v>25</v>
      </c>
      <c r="AC1118" s="32" t="s">
        <v>240</v>
      </c>
      <c r="AD1118" s="32">
        <v>6.6</v>
      </c>
      <c r="AE1118" s="32">
        <v>0.88</v>
      </c>
      <c r="AG1118" s="32" t="s">
        <v>1344</v>
      </c>
      <c r="AH1118" s="32" t="s">
        <v>1518</v>
      </c>
      <c r="AI1118" s="138" t="s">
        <v>1582</v>
      </c>
      <c r="AJ1118" s="32" t="s">
        <v>584</v>
      </c>
      <c r="AK1118" s="140" t="s">
        <v>1627</v>
      </c>
      <c r="AL1118" s="32" t="s">
        <v>778</v>
      </c>
      <c r="AM1118" s="32" t="s">
        <v>778</v>
      </c>
      <c r="AN1118" s="32" t="s">
        <v>177</v>
      </c>
      <c r="AO1118" s="32" t="s">
        <v>156</v>
      </c>
      <c r="AP1118" s="32" t="s">
        <v>156</v>
      </c>
      <c r="AQ1118" s="32" t="s">
        <v>2126</v>
      </c>
      <c r="AR1118" s="32" t="s">
        <v>2126</v>
      </c>
      <c r="AS1118" s="32" t="s">
        <v>177</v>
      </c>
      <c r="AT1118" s="32" t="s">
        <v>775</v>
      </c>
      <c r="AU1118" s="32" t="s">
        <v>775</v>
      </c>
      <c r="AV1118" s="32" t="s">
        <v>177</v>
      </c>
      <c r="AW1118" s="32" t="s">
        <v>119</v>
      </c>
      <c r="AX1118" s="32">
        <v>3</v>
      </c>
      <c r="AZ1118" s="32" t="s">
        <v>335</v>
      </c>
      <c r="BB1118" s="32">
        <v>5720</v>
      </c>
      <c r="BC1118" s="32">
        <v>11</v>
      </c>
      <c r="BK1118" s="32">
        <v>814</v>
      </c>
      <c r="BL1118" s="32">
        <v>509</v>
      </c>
      <c r="BP1118" s="397"/>
      <c r="BQ1118" s="397"/>
      <c r="BU1118" s="397"/>
      <c r="BV1118" s="397"/>
      <c r="BZ1118" s="397"/>
      <c r="CA1118" s="397"/>
      <c r="CE1118" s="550"/>
      <c r="CF1118" s="550"/>
      <c r="CG1118" s="550"/>
      <c r="CH1118" s="550"/>
      <c r="HJ1118" s="32">
        <v>11</v>
      </c>
      <c r="HK1118" s="32">
        <v>12</v>
      </c>
      <c r="HN1118" s="32" t="s">
        <v>1698</v>
      </c>
      <c r="JB1118" s="32" t="s">
        <v>779</v>
      </c>
    </row>
    <row r="1119" spans="1:262" s="32" customFormat="1" x14ac:dyDescent="0.25">
      <c r="A1119" s="32">
        <v>53</v>
      </c>
      <c r="B1119" s="44" t="s">
        <v>4002</v>
      </c>
      <c r="C1119" s="32" t="s">
        <v>768</v>
      </c>
      <c r="D1119" s="32" t="s">
        <v>769</v>
      </c>
      <c r="E1119" s="32">
        <v>2006</v>
      </c>
      <c r="F1119" s="32">
        <v>2002</v>
      </c>
      <c r="G1119" s="32" t="s">
        <v>770</v>
      </c>
      <c r="H1119" s="32" t="s">
        <v>771</v>
      </c>
      <c r="I1119" s="32" t="s">
        <v>2815</v>
      </c>
      <c r="J1119" s="32">
        <v>33.950000000000003</v>
      </c>
      <c r="K1119" s="32">
        <v>-83.38</v>
      </c>
      <c r="L1119" s="32">
        <v>208.4</v>
      </c>
      <c r="O1119" s="32">
        <v>971</v>
      </c>
      <c r="P1119" s="32">
        <f t="shared" si="239"/>
        <v>1233</v>
      </c>
      <c r="R1119" s="44">
        <v>3</v>
      </c>
      <c r="S1119" s="44" t="s">
        <v>1728</v>
      </c>
      <c r="T1119" s="44"/>
      <c r="U1119" s="44" t="s">
        <v>1965</v>
      </c>
      <c r="V1119" s="44" t="s">
        <v>1389</v>
      </c>
      <c r="W1119" s="44" t="s">
        <v>1720</v>
      </c>
      <c r="X1119" s="44" t="s">
        <v>1389</v>
      </c>
      <c r="Y1119" s="44" t="s">
        <v>1389</v>
      </c>
      <c r="AA1119" s="323">
        <f t="shared" si="237"/>
        <v>65</v>
      </c>
      <c r="AB1119" s="323">
        <f>25</f>
        <v>25</v>
      </c>
      <c r="AC1119" s="32" t="s">
        <v>240</v>
      </c>
      <c r="AD1119" s="32">
        <v>6.6</v>
      </c>
      <c r="AE1119" s="32">
        <v>0.88</v>
      </c>
      <c r="AG1119" s="32" t="s">
        <v>1344</v>
      </c>
      <c r="AH1119" s="32" t="s">
        <v>1518</v>
      </c>
      <c r="AI1119" s="138" t="s">
        <v>1582</v>
      </c>
      <c r="AJ1119" s="32" t="s">
        <v>584</v>
      </c>
      <c r="AK1119" s="140" t="s">
        <v>1627</v>
      </c>
      <c r="AL1119" s="32" t="s">
        <v>778</v>
      </c>
      <c r="AM1119" s="32" t="s">
        <v>778</v>
      </c>
      <c r="AN1119" s="32" t="s">
        <v>177</v>
      </c>
      <c r="AO1119" s="32" t="s">
        <v>772</v>
      </c>
      <c r="AP1119" s="32" t="s">
        <v>772</v>
      </c>
      <c r="AQ1119" s="32" t="s">
        <v>2125</v>
      </c>
      <c r="AR1119" s="32" t="s">
        <v>2125</v>
      </c>
      <c r="AS1119" s="32" t="s">
        <v>177</v>
      </c>
      <c r="AT1119" s="32" t="s">
        <v>775</v>
      </c>
      <c r="AU1119" s="32" t="s">
        <v>775</v>
      </c>
      <c r="AV1119" s="32" t="s">
        <v>177</v>
      </c>
      <c r="AW1119" s="32" t="s">
        <v>119</v>
      </c>
      <c r="AX1119" s="32">
        <v>3</v>
      </c>
      <c r="AZ1119" s="32" t="s">
        <v>335</v>
      </c>
      <c r="BB1119" s="32">
        <v>5720</v>
      </c>
      <c r="BC1119" s="32">
        <v>11</v>
      </c>
      <c r="BK1119" s="32">
        <v>480</v>
      </c>
      <c r="BL1119" s="32">
        <v>464</v>
      </c>
      <c r="BP1119" s="397"/>
      <c r="BQ1119" s="397"/>
      <c r="BU1119" s="397"/>
      <c r="BV1119" s="397"/>
      <c r="BZ1119" s="397"/>
      <c r="CA1119" s="397"/>
      <c r="CE1119" s="550"/>
      <c r="CF1119" s="550"/>
      <c r="CG1119" s="550"/>
      <c r="CH1119" s="550"/>
      <c r="HJ1119" s="32">
        <v>8</v>
      </c>
      <c r="HK1119" s="32">
        <v>10</v>
      </c>
      <c r="HN1119" s="32" t="s">
        <v>1698</v>
      </c>
      <c r="JB1119" s="32" t="s">
        <v>779</v>
      </c>
    </row>
    <row r="1120" spans="1:262" s="32" customFormat="1" x14ac:dyDescent="0.25">
      <c r="A1120" s="32">
        <v>53</v>
      </c>
      <c r="B1120" s="44" t="s">
        <v>4002</v>
      </c>
      <c r="C1120" s="32" t="s">
        <v>768</v>
      </c>
      <c r="D1120" s="32" t="s">
        <v>769</v>
      </c>
      <c r="E1120" s="32">
        <v>2006</v>
      </c>
      <c r="F1120" s="32">
        <v>2002</v>
      </c>
      <c r="G1120" s="32" t="s">
        <v>770</v>
      </c>
      <c r="H1120" s="32" t="s">
        <v>771</v>
      </c>
      <c r="I1120" s="32" t="s">
        <v>2815</v>
      </c>
      <c r="J1120" s="32">
        <v>33.950000000000003</v>
      </c>
      <c r="K1120" s="32">
        <v>-83.38</v>
      </c>
      <c r="L1120" s="32">
        <v>208.4</v>
      </c>
      <c r="O1120" s="32">
        <v>971</v>
      </c>
      <c r="P1120" s="32">
        <f t="shared" si="239"/>
        <v>1233</v>
      </c>
      <c r="R1120" s="44">
        <v>3</v>
      </c>
      <c r="S1120" s="44" t="s">
        <v>1728</v>
      </c>
      <c r="T1120" s="44"/>
      <c r="U1120" s="44" t="s">
        <v>1965</v>
      </c>
      <c r="V1120" s="44" t="s">
        <v>1389</v>
      </c>
      <c r="W1120" s="44" t="s">
        <v>1720</v>
      </c>
      <c r="X1120" s="44" t="s">
        <v>1389</v>
      </c>
      <c r="Y1120" s="44" t="s">
        <v>1389</v>
      </c>
      <c r="AA1120" s="323">
        <f t="shared" ref="AA1120:AA1156" si="244">650/1000*100</f>
        <v>65</v>
      </c>
      <c r="AB1120" s="323">
        <f>25</f>
        <v>25</v>
      </c>
      <c r="AC1120" s="32" t="s">
        <v>240</v>
      </c>
      <c r="AD1120" s="32">
        <v>6.6</v>
      </c>
      <c r="AE1120" s="32">
        <v>0.88</v>
      </c>
      <c r="AG1120" s="32" t="s">
        <v>1344</v>
      </c>
      <c r="AH1120" s="32" t="s">
        <v>1518</v>
      </c>
      <c r="AI1120" s="138" t="s">
        <v>1582</v>
      </c>
      <c r="AJ1120" s="32" t="s">
        <v>584</v>
      </c>
      <c r="AK1120" s="140" t="s">
        <v>1627</v>
      </c>
      <c r="AL1120" s="32" t="s">
        <v>778</v>
      </c>
      <c r="AM1120" s="32" t="s">
        <v>778</v>
      </c>
      <c r="AN1120" s="32" t="s">
        <v>177</v>
      </c>
      <c r="AO1120" s="32" t="s">
        <v>773</v>
      </c>
      <c r="AP1120" s="32" t="s">
        <v>773</v>
      </c>
      <c r="AQ1120" s="32" t="s">
        <v>2125</v>
      </c>
      <c r="AR1120" s="32" t="s">
        <v>2125</v>
      </c>
      <c r="AS1120" s="32" t="s">
        <v>177</v>
      </c>
      <c r="AT1120" s="32" t="s">
        <v>775</v>
      </c>
      <c r="AU1120" s="32" t="s">
        <v>775</v>
      </c>
      <c r="AV1120" s="32" t="s">
        <v>177</v>
      </c>
      <c r="AW1120" s="32" t="s">
        <v>119</v>
      </c>
      <c r="AX1120" s="32">
        <v>3</v>
      </c>
      <c r="AZ1120" s="32" t="s">
        <v>335</v>
      </c>
      <c r="BB1120" s="32">
        <v>5720</v>
      </c>
      <c r="BC1120" s="32">
        <v>11</v>
      </c>
      <c r="BK1120" s="32">
        <v>802</v>
      </c>
      <c r="BL1120" s="32">
        <v>787</v>
      </c>
      <c r="BP1120" s="397"/>
      <c r="BQ1120" s="397"/>
      <c r="BU1120" s="397"/>
      <c r="BV1120" s="397"/>
      <c r="BZ1120" s="397"/>
      <c r="CA1120" s="397"/>
      <c r="CE1120" s="550"/>
      <c r="CF1120" s="550"/>
      <c r="CG1120" s="550"/>
      <c r="CH1120" s="550"/>
      <c r="HJ1120" s="32">
        <v>14</v>
      </c>
      <c r="HK1120" s="32">
        <v>12</v>
      </c>
      <c r="HN1120" s="32" t="s">
        <v>1698</v>
      </c>
      <c r="JB1120" s="32" t="s">
        <v>779</v>
      </c>
    </row>
    <row r="1121" spans="1:262" s="24" customFormat="1" x14ac:dyDescent="0.25">
      <c r="A1121" s="24">
        <v>53</v>
      </c>
      <c r="B1121" s="42" t="s">
        <v>4006</v>
      </c>
      <c r="C1121" s="24" t="s">
        <v>768</v>
      </c>
      <c r="D1121" s="24" t="s">
        <v>769</v>
      </c>
      <c r="E1121" s="24">
        <v>2006</v>
      </c>
      <c r="F1121" s="24">
        <v>2000</v>
      </c>
      <c r="G1121" s="24" t="s">
        <v>770</v>
      </c>
      <c r="H1121" s="24" t="s">
        <v>771</v>
      </c>
      <c r="I1121" s="32" t="s">
        <v>2815</v>
      </c>
      <c r="J1121" s="24">
        <v>33.950000000000003</v>
      </c>
      <c r="K1121" s="24">
        <v>-83.38</v>
      </c>
      <c r="L1121" s="24">
        <v>208.4</v>
      </c>
      <c r="O1121" s="24">
        <f>278+505</f>
        <v>783</v>
      </c>
      <c r="P1121" s="24">
        <f>588+645</f>
        <v>1233</v>
      </c>
      <c r="R1121" s="42">
        <v>1</v>
      </c>
      <c r="S1121" s="42" t="s">
        <v>1728</v>
      </c>
      <c r="T1121" s="42"/>
      <c r="U1121" s="42" t="s">
        <v>780</v>
      </c>
      <c r="V1121" s="42" t="s">
        <v>1388</v>
      </c>
      <c r="W1121" s="42" t="s">
        <v>1720</v>
      </c>
      <c r="X1121" s="42" t="s">
        <v>1388</v>
      </c>
      <c r="Y1121" s="42" t="s">
        <v>1389</v>
      </c>
      <c r="AA1121" s="321">
        <f t="shared" si="244"/>
        <v>65</v>
      </c>
      <c r="AB1121" s="321">
        <f>25</f>
        <v>25</v>
      </c>
      <c r="AC1121" s="24" t="s">
        <v>240</v>
      </c>
      <c r="AD1121" s="24">
        <v>6.6</v>
      </c>
      <c r="AE1121" s="24">
        <v>0.88</v>
      </c>
      <c r="AG1121" s="24" t="s">
        <v>1344</v>
      </c>
      <c r="AH1121" s="24" t="s">
        <v>131</v>
      </c>
      <c r="AI1121" s="138" t="s">
        <v>131</v>
      </c>
      <c r="AJ1121" s="24" t="s">
        <v>584</v>
      </c>
      <c r="AK1121" s="140" t="s">
        <v>1627</v>
      </c>
      <c r="AL1121" s="24" t="s">
        <v>778</v>
      </c>
      <c r="AM1121" s="24" t="s">
        <v>778</v>
      </c>
      <c r="AN1121" s="24" t="s">
        <v>177</v>
      </c>
      <c r="AW1121" s="24" t="s">
        <v>119</v>
      </c>
      <c r="AX1121" s="24">
        <v>3</v>
      </c>
      <c r="AZ1121" s="24" t="s">
        <v>335</v>
      </c>
      <c r="BB1121" s="24">
        <f>6.07*1000</f>
        <v>6070</v>
      </c>
      <c r="BC1121" s="24">
        <v>29</v>
      </c>
      <c r="BP1121" s="395"/>
      <c r="BQ1121" s="395"/>
      <c r="BU1121" s="395"/>
      <c r="BV1121" s="395"/>
      <c r="BZ1121" s="395"/>
      <c r="CA1121" s="395"/>
      <c r="CE1121" s="548"/>
      <c r="CF1121" s="548"/>
      <c r="CG1121" s="548"/>
      <c r="CH1121" s="548"/>
      <c r="CJ1121" s="24">
        <v>5.4824000000000002</v>
      </c>
      <c r="CK1121" s="24">
        <v>4.6144000000000007</v>
      </c>
      <c r="CN1121" s="24" t="s">
        <v>465</v>
      </c>
      <c r="JB1121" s="24" t="s">
        <v>779</v>
      </c>
    </row>
    <row r="1122" spans="1:262" s="24" customFormat="1" x14ac:dyDescent="0.25">
      <c r="A1122" s="24">
        <v>53</v>
      </c>
      <c r="B1122" s="42" t="s">
        <v>4007</v>
      </c>
      <c r="C1122" s="24" t="s">
        <v>768</v>
      </c>
      <c r="D1122" s="24" t="s">
        <v>769</v>
      </c>
      <c r="E1122" s="24">
        <v>2006</v>
      </c>
      <c r="F1122" s="24">
        <v>2000</v>
      </c>
      <c r="G1122" s="24" t="s">
        <v>770</v>
      </c>
      <c r="H1122" s="24" t="s">
        <v>771</v>
      </c>
      <c r="I1122" s="32" t="s">
        <v>2815</v>
      </c>
      <c r="J1122" s="24">
        <v>33.950000000000003</v>
      </c>
      <c r="K1122" s="24">
        <v>-83.38</v>
      </c>
      <c r="L1122" s="24">
        <v>208.4</v>
      </c>
      <c r="O1122" s="24">
        <f t="shared" ref="O1122:O1144" si="245">278+505</f>
        <v>783</v>
      </c>
      <c r="P1122" s="24">
        <f t="shared" si="239"/>
        <v>1233</v>
      </c>
      <c r="R1122" s="42">
        <v>1</v>
      </c>
      <c r="S1122" s="42" t="s">
        <v>1728</v>
      </c>
      <c r="T1122" s="42"/>
      <c r="U1122" s="42" t="s">
        <v>780</v>
      </c>
      <c r="V1122" s="42" t="s">
        <v>1388</v>
      </c>
      <c r="W1122" s="42" t="s">
        <v>1720</v>
      </c>
      <c r="X1122" s="42" t="s">
        <v>1388</v>
      </c>
      <c r="Y1122" s="42" t="s">
        <v>1389</v>
      </c>
      <c r="AA1122" s="321">
        <f t="shared" si="244"/>
        <v>65</v>
      </c>
      <c r="AB1122" s="321">
        <f>25</f>
        <v>25</v>
      </c>
      <c r="AC1122" s="24" t="s">
        <v>240</v>
      </c>
      <c r="AD1122" s="24">
        <v>6.6</v>
      </c>
      <c r="AE1122" s="24">
        <v>0.88</v>
      </c>
      <c r="AG1122" s="24" t="s">
        <v>1344</v>
      </c>
      <c r="AH1122" s="24" t="s">
        <v>243</v>
      </c>
      <c r="AI1122" s="138" t="s">
        <v>577</v>
      </c>
      <c r="AJ1122" s="24" t="s">
        <v>584</v>
      </c>
      <c r="AK1122" s="140" t="s">
        <v>1627</v>
      </c>
      <c r="AL1122" s="24" t="s">
        <v>778</v>
      </c>
      <c r="AM1122" s="24" t="s">
        <v>778</v>
      </c>
      <c r="AN1122" s="24" t="s">
        <v>177</v>
      </c>
      <c r="AW1122" s="24" t="s">
        <v>119</v>
      </c>
      <c r="AX1122" s="24">
        <v>3</v>
      </c>
      <c r="AZ1122" s="24" t="s">
        <v>335</v>
      </c>
      <c r="BB1122" s="24">
        <v>5100</v>
      </c>
      <c r="BC1122" s="24">
        <v>12</v>
      </c>
      <c r="BP1122" s="395"/>
      <c r="BQ1122" s="395"/>
      <c r="BU1122" s="395"/>
      <c r="BV1122" s="395"/>
      <c r="BZ1122" s="395"/>
      <c r="CA1122" s="395"/>
      <c r="CE1122" s="548"/>
      <c r="CF1122" s="548"/>
      <c r="CG1122" s="548"/>
      <c r="CH1122" s="548"/>
      <c r="CJ1122" s="24">
        <v>5.4824000000000002</v>
      </c>
      <c r="CK1122" s="24">
        <v>7.0364000000000004</v>
      </c>
      <c r="CN1122" s="24" t="s">
        <v>465</v>
      </c>
      <c r="JB1122" s="24" t="s">
        <v>779</v>
      </c>
    </row>
    <row r="1123" spans="1:262" s="24" customFormat="1" x14ac:dyDescent="0.25">
      <c r="A1123" s="24">
        <v>53</v>
      </c>
      <c r="B1123" s="42" t="s">
        <v>4006</v>
      </c>
      <c r="C1123" s="24" t="s">
        <v>768</v>
      </c>
      <c r="D1123" s="24" t="s">
        <v>769</v>
      </c>
      <c r="E1123" s="24">
        <v>2006</v>
      </c>
      <c r="F1123" s="24">
        <v>2000</v>
      </c>
      <c r="G1123" s="24" t="s">
        <v>770</v>
      </c>
      <c r="H1123" s="24" t="s">
        <v>771</v>
      </c>
      <c r="I1123" s="32" t="s">
        <v>2815</v>
      </c>
      <c r="J1123" s="24">
        <v>33.950000000000003</v>
      </c>
      <c r="K1123" s="24">
        <v>-83.38</v>
      </c>
      <c r="L1123" s="24">
        <v>208.4</v>
      </c>
      <c r="O1123" s="24">
        <f t="shared" si="245"/>
        <v>783</v>
      </c>
      <c r="P1123" s="24">
        <f t="shared" si="239"/>
        <v>1233</v>
      </c>
      <c r="R1123" s="42">
        <v>1</v>
      </c>
      <c r="S1123" s="42" t="s">
        <v>1728</v>
      </c>
      <c r="T1123" s="42"/>
      <c r="U1123" s="42" t="s">
        <v>780</v>
      </c>
      <c r="V1123" s="42" t="s">
        <v>1388</v>
      </c>
      <c r="W1123" s="42" t="s">
        <v>1720</v>
      </c>
      <c r="X1123" s="42" t="s">
        <v>1388</v>
      </c>
      <c r="Y1123" s="42" t="s">
        <v>1389</v>
      </c>
      <c r="AA1123" s="321">
        <f t="shared" si="244"/>
        <v>65</v>
      </c>
      <c r="AB1123" s="321">
        <f>25</f>
        <v>25</v>
      </c>
      <c r="AC1123" s="24" t="s">
        <v>240</v>
      </c>
      <c r="AD1123" s="24">
        <v>6.6</v>
      </c>
      <c r="AE1123" s="24">
        <v>0.88</v>
      </c>
      <c r="AG1123" s="24" t="s">
        <v>1344</v>
      </c>
      <c r="AH1123" s="24" t="s">
        <v>1518</v>
      </c>
      <c r="AI1123" s="138" t="s">
        <v>1582</v>
      </c>
      <c r="AJ1123" s="24" t="s">
        <v>584</v>
      </c>
      <c r="AK1123" s="140" t="s">
        <v>1627</v>
      </c>
      <c r="AL1123" s="24" t="s">
        <v>778</v>
      </c>
      <c r="AM1123" s="24" t="s">
        <v>778</v>
      </c>
      <c r="AN1123" s="24" t="s">
        <v>177</v>
      </c>
      <c r="AW1123" s="24" t="s">
        <v>119</v>
      </c>
      <c r="AX1123" s="24">
        <v>3</v>
      </c>
      <c r="AZ1123" s="24" t="s">
        <v>335</v>
      </c>
      <c r="BB1123" s="24">
        <v>8180</v>
      </c>
      <c r="BC1123" s="24">
        <v>10</v>
      </c>
      <c r="BP1123" s="395"/>
      <c r="BQ1123" s="395"/>
      <c r="BU1123" s="395"/>
      <c r="BV1123" s="395"/>
      <c r="BZ1123" s="395"/>
      <c r="CA1123" s="395"/>
      <c r="CE1123" s="548"/>
      <c r="CF1123" s="548"/>
      <c r="CG1123" s="548"/>
      <c r="CH1123" s="548"/>
      <c r="CJ1123" s="24">
        <v>5.4824000000000002</v>
      </c>
      <c r="CK1123" s="24">
        <v>5.4824000000000002</v>
      </c>
      <c r="CN1123" s="24" t="s">
        <v>465</v>
      </c>
      <c r="JB1123" s="24" t="s">
        <v>779</v>
      </c>
    </row>
    <row r="1124" spans="1:262" s="74" customFormat="1" x14ac:dyDescent="0.25">
      <c r="A1124" s="74">
        <v>53</v>
      </c>
      <c r="B1124" s="42" t="s">
        <v>4007</v>
      </c>
      <c r="C1124" s="74" t="s">
        <v>768</v>
      </c>
      <c r="D1124" s="74" t="s">
        <v>769</v>
      </c>
      <c r="E1124" s="74">
        <v>2006</v>
      </c>
      <c r="F1124" s="74">
        <v>2000</v>
      </c>
      <c r="G1124" s="74" t="s">
        <v>770</v>
      </c>
      <c r="H1124" s="74" t="s">
        <v>771</v>
      </c>
      <c r="I1124" s="32" t="s">
        <v>2815</v>
      </c>
      <c r="J1124" s="74">
        <v>33.950000000000003</v>
      </c>
      <c r="K1124" s="74">
        <v>-83.38</v>
      </c>
      <c r="L1124" s="74">
        <v>208.4</v>
      </c>
      <c r="O1124" s="24">
        <f t="shared" si="245"/>
        <v>783</v>
      </c>
      <c r="P1124" s="24">
        <f t="shared" si="239"/>
        <v>1233</v>
      </c>
      <c r="R1124" s="75">
        <v>1</v>
      </c>
      <c r="S1124" s="75" t="s">
        <v>1728</v>
      </c>
      <c r="T1124" s="75"/>
      <c r="U1124" s="75" t="s">
        <v>781</v>
      </c>
      <c r="V1124" s="75" t="s">
        <v>1388</v>
      </c>
      <c r="W1124" s="42" t="s">
        <v>1720</v>
      </c>
      <c r="X1124" s="42" t="s">
        <v>1388</v>
      </c>
      <c r="Y1124" s="75" t="s">
        <v>1389</v>
      </c>
      <c r="AA1124" s="337">
        <f t="shared" si="244"/>
        <v>65</v>
      </c>
      <c r="AB1124" s="337">
        <f>25</f>
        <v>25</v>
      </c>
      <c r="AC1124" s="74" t="s">
        <v>240</v>
      </c>
      <c r="AD1124" s="74">
        <v>6.6</v>
      </c>
      <c r="AE1124" s="74">
        <v>0.88</v>
      </c>
      <c r="AG1124" s="74" t="s">
        <v>1344</v>
      </c>
      <c r="AH1124" s="74" t="s">
        <v>131</v>
      </c>
      <c r="AI1124" s="138" t="s">
        <v>131</v>
      </c>
      <c r="AJ1124" s="74" t="s">
        <v>584</v>
      </c>
      <c r="AK1124" s="140" t="s">
        <v>1627</v>
      </c>
      <c r="AL1124" s="24" t="s">
        <v>778</v>
      </c>
      <c r="AM1124" s="24" t="s">
        <v>778</v>
      </c>
      <c r="AN1124" s="24" t="s">
        <v>177</v>
      </c>
      <c r="AW1124" s="74" t="s">
        <v>119</v>
      </c>
      <c r="AX1124" s="74">
        <v>3</v>
      </c>
      <c r="AZ1124" s="74" t="s">
        <v>335</v>
      </c>
      <c r="BB1124" s="74">
        <v>6070</v>
      </c>
      <c r="BC1124" s="74">
        <v>29</v>
      </c>
      <c r="BP1124" s="412"/>
      <c r="BQ1124" s="412"/>
      <c r="BU1124" s="412"/>
      <c r="BV1124" s="412"/>
      <c r="BZ1124" s="412"/>
      <c r="CA1124" s="412"/>
      <c r="CE1124" s="565"/>
      <c r="CF1124" s="565"/>
      <c r="CG1124" s="565"/>
      <c r="CH1124" s="565"/>
      <c r="CJ1124" s="74">
        <v>5.9444000000000008</v>
      </c>
      <c r="CK1124" s="74">
        <v>5.4880000000000013</v>
      </c>
      <c r="CL1124" s="24"/>
      <c r="CM1124" s="24"/>
      <c r="CN1124" s="24" t="s">
        <v>465</v>
      </c>
      <c r="CP1124" s="24"/>
      <c r="CQ1124" s="24"/>
      <c r="CR1124" s="24"/>
      <c r="FB1124" s="24"/>
      <c r="FF1124" s="24"/>
      <c r="JB1124" s="24" t="s">
        <v>779</v>
      </c>
    </row>
    <row r="1125" spans="1:262" s="74" customFormat="1" x14ac:dyDescent="0.25">
      <c r="A1125" s="74">
        <v>53</v>
      </c>
      <c r="B1125" s="42" t="s">
        <v>4006</v>
      </c>
      <c r="C1125" s="74" t="s">
        <v>768</v>
      </c>
      <c r="D1125" s="74" t="s">
        <v>769</v>
      </c>
      <c r="E1125" s="74">
        <v>2006</v>
      </c>
      <c r="F1125" s="74">
        <v>2000</v>
      </c>
      <c r="G1125" s="74" t="s">
        <v>770</v>
      </c>
      <c r="H1125" s="74" t="s">
        <v>771</v>
      </c>
      <c r="I1125" s="32" t="s">
        <v>2815</v>
      </c>
      <c r="J1125" s="74">
        <v>33.950000000000003</v>
      </c>
      <c r="K1125" s="74">
        <v>-83.38</v>
      </c>
      <c r="L1125" s="74">
        <v>208.4</v>
      </c>
      <c r="O1125" s="24">
        <f t="shared" si="245"/>
        <v>783</v>
      </c>
      <c r="P1125" s="24">
        <f t="shared" si="239"/>
        <v>1233</v>
      </c>
      <c r="R1125" s="75">
        <v>1</v>
      </c>
      <c r="S1125" s="75" t="s">
        <v>1728</v>
      </c>
      <c r="T1125" s="75"/>
      <c r="U1125" s="75" t="s">
        <v>781</v>
      </c>
      <c r="V1125" s="75" t="s">
        <v>1388</v>
      </c>
      <c r="W1125" s="42" t="s">
        <v>1720</v>
      </c>
      <c r="X1125" s="42" t="s">
        <v>1388</v>
      </c>
      <c r="Y1125" s="75" t="s">
        <v>1389</v>
      </c>
      <c r="AA1125" s="337">
        <f t="shared" si="244"/>
        <v>65</v>
      </c>
      <c r="AB1125" s="337">
        <f>25</f>
        <v>25</v>
      </c>
      <c r="AC1125" s="74" t="s">
        <v>240</v>
      </c>
      <c r="AD1125" s="74">
        <v>6.6</v>
      </c>
      <c r="AE1125" s="74">
        <v>0.88</v>
      </c>
      <c r="AG1125" s="74" t="s">
        <v>1344</v>
      </c>
      <c r="AH1125" s="74" t="s">
        <v>243</v>
      </c>
      <c r="AI1125" s="138" t="s">
        <v>577</v>
      </c>
      <c r="AJ1125" s="74" t="s">
        <v>584</v>
      </c>
      <c r="AK1125" s="140" t="s">
        <v>1627</v>
      </c>
      <c r="AL1125" s="24" t="s">
        <v>778</v>
      </c>
      <c r="AM1125" s="24" t="s">
        <v>778</v>
      </c>
      <c r="AN1125" s="24" t="s">
        <v>177</v>
      </c>
      <c r="AW1125" s="74" t="s">
        <v>119</v>
      </c>
      <c r="AX1125" s="74">
        <v>3</v>
      </c>
      <c r="AZ1125" s="74" t="s">
        <v>335</v>
      </c>
      <c r="BB1125" s="74">
        <v>5100</v>
      </c>
      <c r="BC1125" s="74">
        <v>12</v>
      </c>
      <c r="BP1125" s="412"/>
      <c r="BQ1125" s="412"/>
      <c r="BU1125" s="412"/>
      <c r="BV1125" s="412"/>
      <c r="BZ1125" s="412"/>
      <c r="CA1125" s="412"/>
      <c r="CE1125" s="565"/>
      <c r="CF1125" s="565"/>
      <c r="CG1125" s="565"/>
      <c r="CH1125" s="565"/>
      <c r="CJ1125" s="74">
        <v>5.9444000000000008</v>
      </c>
      <c r="CK1125" s="74">
        <v>6.3560000000000008</v>
      </c>
      <c r="CL1125" s="24"/>
      <c r="CM1125" s="24"/>
      <c r="CN1125" s="24" t="s">
        <v>465</v>
      </c>
      <c r="CP1125" s="24"/>
      <c r="CQ1125" s="24"/>
      <c r="CR1125" s="24"/>
      <c r="FB1125" s="24"/>
      <c r="FF1125" s="24"/>
      <c r="JB1125" s="24" t="s">
        <v>779</v>
      </c>
    </row>
    <row r="1126" spans="1:262" s="74" customFormat="1" x14ac:dyDescent="0.25">
      <c r="A1126" s="74">
        <v>53</v>
      </c>
      <c r="B1126" s="42" t="s">
        <v>4007</v>
      </c>
      <c r="C1126" s="74" t="s">
        <v>768</v>
      </c>
      <c r="D1126" s="74" t="s">
        <v>769</v>
      </c>
      <c r="E1126" s="74">
        <v>2006</v>
      </c>
      <c r="F1126" s="74">
        <v>2000</v>
      </c>
      <c r="G1126" s="74" t="s">
        <v>770</v>
      </c>
      <c r="H1126" s="74" t="s">
        <v>771</v>
      </c>
      <c r="I1126" s="32" t="s">
        <v>2815</v>
      </c>
      <c r="J1126" s="74">
        <v>33.950000000000003</v>
      </c>
      <c r="K1126" s="74">
        <v>-83.38</v>
      </c>
      <c r="L1126" s="74">
        <v>208.4</v>
      </c>
      <c r="O1126" s="24">
        <f t="shared" si="245"/>
        <v>783</v>
      </c>
      <c r="P1126" s="24">
        <f t="shared" si="239"/>
        <v>1233</v>
      </c>
      <c r="R1126" s="75">
        <v>1</v>
      </c>
      <c r="S1126" s="75" t="s">
        <v>1728</v>
      </c>
      <c r="T1126" s="75"/>
      <c r="U1126" s="75" t="s">
        <v>781</v>
      </c>
      <c r="V1126" s="75" t="s">
        <v>1388</v>
      </c>
      <c r="W1126" s="42" t="s">
        <v>1720</v>
      </c>
      <c r="X1126" s="42" t="s">
        <v>1388</v>
      </c>
      <c r="Y1126" s="75" t="s">
        <v>1389</v>
      </c>
      <c r="AA1126" s="337">
        <f t="shared" si="244"/>
        <v>65</v>
      </c>
      <c r="AB1126" s="337">
        <f>25</f>
        <v>25</v>
      </c>
      <c r="AC1126" s="74" t="s">
        <v>240</v>
      </c>
      <c r="AD1126" s="74">
        <v>6.6</v>
      </c>
      <c r="AE1126" s="74">
        <v>0.88</v>
      </c>
      <c r="AG1126" s="74" t="s">
        <v>1344</v>
      </c>
      <c r="AH1126" s="74" t="s">
        <v>1518</v>
      </c>
      <c r="AI1126" s="138" t="s">
        <v>1582</v>
      </c>
      <c r="AJ1126" s="74" t="s">
        <v>584</v>
      </c>
      <c r="AK1126" s="140" t="s">
        <v>1627</v>
      </c>
      <c r="AL1126" s="24" t="s">
        <v>778</v>
      </c>
      <c r="AM1126" s="24" t="s">
        <v>778</v>
      </c>
      <c r="AN1126" s="24" t="s">
        <v>177</v>
      </c>
      <c r="AW1126" s="74" t="s">
        <v>119</v>
      </c>
      <c r="AX1126" s="74">
        <v>3</v>
      </c>
      <c r="AZ1126" s="74" t="s">
        <v>335</v>
      </c>
      <c r="BB1126" s="74">
        <v>8180</v>
      </c>
      <c r="BC1126" s="74">
        <v>10</v>
      </c>
      <c r="BP1126" s="412"/>
      <c r="BQ1126" s="412"/>
      <c r="BU1126" s="412"/>
      <c r="BV1126" s="412"/>
      <c r="BZ1126" s="412"/>
      <c r="CA1126" s="412"/>
      <c r="CE1126" s="565"/>
      <c r="CF1126" s="565"/>
      <c r="CG1126" s="565"/>
      <c r="CH1126" s="565"/>
      <c r="CJ1126" s="74">
        <v>5.9444000000000008</v>
      </c>
      <c r="CK1126" s="74">
        <v>5.9640000000000004</v>
      </c>
      <c r="CL1126" s="24"/>
      <c r="CM1126" s="24"/>
      <c r="CN1126" s="24" t="s">
        <v>465</v>
      </c>
      <c r="CP1126" s="24"/>
      <c r="CQ1126" s="24"/>
      <c r="CR1126" s="24"/>
      <c r="FB1126" s="24"/>
      <c r="FF1126" s="24"/>
      <c r="JB1126" s="24" t="s">
        <v>779</v>
      </c>
    </row>
    <row r="1127" spans="1:262" s="24" customFormat="1" x14ac:dyDescent="0.25">
      <c r="A1127" s="24">
        <v>53</v>
      </c>
      <c r="B1127" s="42" t="s">
        <v>4006</v>
      </c>
      <c r="C1127" s="24" t="s">
        <v>768</v>
      </c>
      <c r="D1127" s="24" t="s">
        <v>769</v>
      </c>
      <c r="E1127" s="24">
        <v>2006</v>
      </c>
      <c r="F1127" s="24">
        <v>2001</v>
      </c>
      <c r="G1127" s="24" t="s">
        <v>770</v>
      </c>
      <c r="H1127" s="24" t="s">
        <v>771</v>
      </c>
      <c r="I1127" s="32" t="s">
        <v>2815</v>
      </c>
      <c r="J1127" s="24">
        <v>33.950000000000003</v>
      </c>
      <c r="K1127" s="24">
        <v>-83.38</v>
      </c>
      <c r="L1127" s="24">
        <v>208.4</v>
      </c>
      <c r="O1127" s="24">
        <v>748</v>
      </c>
      <c r="P1127" s="24">
        <f>588+645</f>
        <v>1233</v>
      </c>
      <c r="R1127" s="42">
        <v>2</v>
      </c>
      <c r="S1127" s="42" t="s">
        <v>1728</v>
      </c>
      <c r="T1127" s="42"/>
      <c r="U1127" s="42" t="s">
        <v>780</v>
      </c>
      <c r="V1127" s="42" t="s">
        <v>1388</v>
      </c>
      <c r="W1127" s="42" t="s">
        <v>1720</v>
      </c>
      <c r="X1127" s="42" t="s">
        <v>1388</v>
      </c>
      <c r="Y1127" s="42" t="s">
        <v>1389</v>
      </c>
      <c r="AA1127" s="321">
        <f t="shared" si="244"/>
        <v>65</v>
      </c>
      <c r="AB1127" s="321">
        <f>25</f>
        <v>25</v>
      </c>
      <c r="AC1127" s="24" t="s">
        <v>240</v>
      </c>
      <c r="AD1127" s="24">
        <v>6.6</v>
      </c>
      <c r="AE1127" s="24">
        <v>0.88</v>
      </c>
      <c r="AG1127" s="24" t="s">
        <v>1344</v>
      </c>
      <c r="AH1127" s="24" t="s">
        <v>131</v>
      </c>
      <c r="AI1127" s="138" t="s">
        <v>131</v>
      </c>
      <c r="AJ1127" s="24" t="s">
        <v>584</v>
      </c>
      <c r="AK1127" s="140" t="s">
        <v>1627</v>
      </c>
      <c r="AL1127" s="24" t="s">
        <v>778</v>
      </c>
      <c r="AM1127" s="24" t="s">
        <v>778</v>
      </c>
      <c r="AN1127" s="24" t="s">
        <v>177</v>
      </c>
      <c r="AW1127" s="24" t="s">
        <v>119</v>
      </c>
      <c r="AX1127" s="24">
        <v>3</v>
      </c>
      <c r="AZ1127" s="24" t="s">
        <v>335</v>
      </c>
      <c r="BB1127" s="24">
        <v>3810</v>
      </c>
      <c r="BC1127" s="24">
        <v>57</v>
      </c>
      <c r="BP1127" s="395"/>
      <c r="BQ1127" s="395"/>
      <c r="BU1127" s="395"/>
      <c r="BV1127" s="395"/>
      <c r="BZ1127" s="395"/>
      <c r="CA1127" s="395"/>
      <c r="CE1127" s="548"/>
      <c r="CF1127" s="548"/>
      <c r="CG1127" s="548"/>
      <c r="CH1127" s="548"/>
      <c r="CJ1127" s="24">
        <v>3.6624000000000003</v>
      </c>
      <c r="CK1127" s="24">
        <v>3.6120000000000005</v>
      </c>
      <c r="CN1127" s="24" t="s">
        <v>465</v>
      </c>
      <c r="JB1127" s="24" t="s">
        <v>779</v>
      </c>
    </row>
    <row r="1128" spans="1:262" s="24" customFormat="1" x14ac:dyDescent="0.25">
      <c r="A1128" s="24">
        <v>53</v>
      </c>
      <c r="B1128" s="42" t="s">
        <v>4007</v>
      </c>
      <c r="C1128" s="24" t="s">
        <v>768</v>
      </c>
      <c r="D1128" s="24" t="s">
        <v>769</v>
      </c>
      <c r="E1128" s="24">
        <v>2006</v>
      </c>
      <c r="F1128" s="24">
        <v>2001</v>
      </c>
      <c r="G1128" s="24" t="s">
        <v>770</v>
      </c>
      <c r="H1128" s="24" t="s">
        <v>771</v>
      </c>
      <c r="I1128" s="32" t="s">
        <v>2815</v>
      </c>
      <c r="J1128" s="24">
        <v>33.950000000000003</v>
      </c>
      <c r="K1128" s="24">
        <v>-83.38</v>
      </c>
      <c r="L1128" s="24">
        <v>208.4</v>
      </c>
      <c r="O1128" s="24">
        <v>748</v>
      </c>
      <c r="P1128" s="24">
        <f t="shared" si="239"/>
        <v>1233</v>
      </c>
      <c r="R1128" s="42">
        <v>2</v>
      </c>
      <c r="S1128" s="42" t="s">
        <v>1728</v>
      </c>
      <c r="T1128" s="42"/>
      <c r="U1128" s="42" t="s">
        <v>780</v>
      </c>
      <c r="V1128" s="42" t="s">
        <v>1388</v>
      </c>
      <c r="W1128" s="42" t="s">
        <v>1720</v>
      </c>
      <c r="X1128" s="42" t="s">
        <v>1388</v>
      </c>
      <c r="Y1128" s="42" t="s">
        <v>1389</v>
      </c>
      <c r="AA1128" s="321">
        <f t="shared" si="244"/>
        <v>65</v>
      </c>
      <c r="AB1128" s="321">
        <f>25</f>
        <v>25</v>
      </c>
      <c r="AC1128" s="24" t="s">
        <v>240</v>
      </c>
      <c r="AD1128" s="24">
        <v>6.6</v>
      </c>
      <c r="AE1128" s="24">
        <v>0.88</v>
      </c>
      <c r="AG1128" s="24" t="s">
        <v>1344</v>
      </c>
      <c r="AH1128" s="24" t="s">
        <v>243</v>
      </c>
      <c r="AI1128" s="138" t="s">
        <v>577</v>
      </c>
      <c r="AJ1128" s="24" t="s">
        <v>584</v>
      </c>
      <c r="AK1128" s="140" t="s">
        <v>1627</v>
      </c>
      <c r="AL1128" s="24" t="s">
        <v>778</v>
      </c>
      <c r="AM1128" s="24" t="s">
        <v>778</v>
      </c>
      <c r="AN1128" s="24" t="s">
        <v>177</v>
      </c>
      <c r="AW1128" s="24" t="s">
        <v>119</v>
      </c>
      <c r="AX1128" s="24">
        <v>3</v>
      </c>
      <c r="AZ1128" s="24" t="s">
        <v>335</v>
      </c>
      <c r="BB1128" s="24">
        <v>2440</v>
      </c>
      <c r="BC1128" s="24">
        <v>12</v>
      </c>
      <c r="BP1128" s="395"/>
      <c r="BQ1128" s="395"/>
      <c r="BU1128" s="395"/>
      <c r="BV1128" s="395"/>
      <c r="BZ1128" s="395"/>
      <c r="CA1128" s="395"/>
      <c r="CE1128" s="548"/>
      <c r="CF1128" s="548"/>
      <c r="CG1128" s="548"/>
      <c r="CH1128" s="548"/>
      <c r="CJ1128" s="24">
        <v>3.6624000000000003</v>
      </c>
      <c r="CK1128" s="24">
        <v>4.2111999999999998</v>
      </c>
      <c r="CN1128" s="24" t="s">
        <v>465</v>
      </c>
      <c r="JB1128" s="24" t="s">
        <v>779</v>
      </c>
    </row>
    <row r="1129" spans="1:262" s="24" customFormat="1" x14ac:dyDescent="0.25">
      <c r="A1129" s="24">
        <v>53</v>
      </c>
      <c r="B1129" s="42" t="s">
        <v>4006</v>
      </c>
      <c r="C1129" s="24" t="s">
        <v>768</v>
      </c>
      <c r="D1129" s="24" t="s">
        <v>769</v>
      </c>
      <c r="E1129" s="24">
        <v>2006</v>
      </c>
      <c r="F1129" s="24">
        <v>2001</v>
      </c>
      <c r="G1129" s="24" t="s">
        <v>770</v>
      </c>
      <c r="H1129" s="24" t="s">
        <v>771</v>
      </c>
      <c r="I1129" s="32" t="s">
        <v>2815</v>
      </c>
      <c r="J1129" s="24">
        <v>33.950000000000003</v>
      </c>
      <c r="K1129" s="24">
        <v>-83.38</v>
      </c>
      <c r="L1129" s="24">
        <v>208.4</v>
      </c>
      <c r="O1129" s="24">
        <v>748</v>
      </c>
      <c r="P1129" s="24">
        <f t="shared" si="239"/>
        <v>1233</v>
      </c>
      <c r="R1129" s="42">
        <v>2</v>
      </c>
      <c r="S1129" s="42" t="s">
        <v>1728</v>
      </c>
      <c r="T1129" s="42"/>
      <c r="U1129" s="42" t="s">
        <v>780</v>
      </c>
      <c r="V1129" s="42" t="s">
        <v>1388</v>
      </c>
      <c r="W1129" s="42" t="s">
        <v>1720</v>
      </c>
      <c r="X1129" s="42" t="s">
        <v>1388</v>
      </c>
      <c r="Y1129" s="42" t="s">
        <v>1389</v>
      </c>
      <c r="AA1129" s="321">
        <f t="shared" si="244"/>
        <v>65</v>
      </c>
      <c r="AB1129" s="321">
        <f>25</f>
        <v>25</v>
      </c>
      <c r="AC1129" s="24" t="s">
        <v>240</v>
      </c>
      <c r="AD1129" s="24">
        <v>6.6</v>
      </c>
      <c r="AE1129" s="24">
        <v>0.88</v>
      </c>
      <c r="AG1129" s="24" t="s">
        <v>1344</v>
      </c>
      <c r="AH1129" s="24" t="s">
        <v>1518</v>
      </c>
      <c r="AI1129" s="138" t="s">
        <v>1582</v>
      </c>
      <c r="AJ1129" s="24" t="s">
        <v>584</v>
      </c>
      <c r="AK1129" s="140" t="s">
        <v>1627</v>
      </c>
      <c r="AL1129" s="24" t="s">
        <v>778</v>
      </c>
      <c r="AM1129" s="24" t="s">
        <v>778</v>
      </c>
      <c r="AN1129" s="24" t="s">
        <v>177</v>
      </c>
      <c r="AW1129" s="24" t="s">
        <v>119</v>
      </c>
      <c r="AX1129" s="24">
        <v>3</v>
      </c>
      <c r="AZ1129" s="24" t="s">
        <v>335</v>
      </c>
      <c r="BB1129" s="24">
        <v>5980</v>
      </c>
      <c r="BC1129" s="24">
        <v>32</v>
      </c>
      <c r="BP1129" s="395"/>
      <c r="BQ1129" s="395"/>
      <c r="BU1129" s="395"/>
      <c r="BV1129" s="395"/>
      <c r="BZ1129" s="395"/>
      <c r="CA1129" s="395"/>
      <c r="CE1129" s="548"/>
      <c r="CF1129" s="548"/>
      <c r="CG1129" s="548"/>
      <c r="CH1129" s="548"/>
      <c r="CJ1129" s="24">
        <v>3.6624000000000003</v>
      </c>
      <c r="CK1129" s="24">
        <v>3.6624000000000003</v>
      </c>
      <c r="CN1129" s="24" t="s">
        <v>465</v>
      </c>
      <c r="JB1129" s="24" t="s">
        <v>779</v>
      </c>
    </row>
    <row r="1130" spans="1:262" s="74" customFormat="1" x14ac:dyDescent="0.25">
      <c r="A1130" s="74">
        <v>53</v>
      </c>
      <c r="B1130" s="42" t="s">
        <v>4007</v>
      </c>
      <c r="C1130" s="74" t="s">
        <v>768</v>
      </c>
      <c r="D1130" s="74" t="s">
        <v>769</v>
      </c>
      <c r="E1130" s="74">
        <v>2006</v>
      </c>
      <c r="F1130" s="74">
        <v>2001</v>
      </c>
      <c r="G1130" s="74" t="s">
        <v>770</v>
      </c>
      <c r="H1130" s="74" t="s">
        <v>771</v>
      </c>
      <c r="I1130" s="32" t="s">
        <v>2815</v>
      </c>
      <c r="J1130" s="74">
        <v>33.950000000000003</v>
      </c>
      <c r="K1130" s="74">
        <v>-83.38</v>
      </c>
      <c r="L1130" s="74">
        <v>208.4</v>
      </c>
      <c r="O1130" s="24">
        <v>748</v>
      </c>
      <c r="P1130" s="24">
        <f t="shared" si="239"/>
        <v>1233</v>
      </c>
      <c r="R1130" s="75">
        <v>2</v>
      </c>
      <c r="S1130" s="75" t="s">
        <v>1728</v>
      </c>
      <c r="T1130" s="75"/>
      <c r="U1130" s="75" t="s">
        <v>781</v>
      </c>
      <c r="V1130" s="75" t="s">
        <v>1388</v>
      </c>
      <c r="W1130" s="42" t="s">
        <v>1720</v>
      </c>
      <c r="X1130" s="42" t="s">
        <v>1388</v>
      </c>
      <c r="Y1130" s="75" t="s">
        <v>1389</v>
      </c>
      <c r="AA1130" s="337">
        <f t="shared" si="244"/>
        <v>65</v>
      </c>
      <c r="AB1130" s="337">
        <f>25</f>
        <v>25</v>
      </c>
      <c r="AC1130" s="74" t="s">
        <v>240</v>
      </c>
      <c r="AD1130" s="74">
        <v>6.6</v>
      </c>
      <c r="AE1130" s="74">
        <v>0.88</v>
      </c>
      <c r="AG1130" s="74" t="s">
        <v>1344</v>
      </c>
      <c r="AH1130" s="74" t="s">
        <v>131</v>
      </c>
      <c r="AI1130" s="138" t="s">
        <v>131</v>
      </c>
      <c r="AJ1130" s="74" t="s">
        <v>584</v>
      </c>
      <c r="AK1130" s="140" t="s">
        <v>1627</v>
      </c>
      <c r="AL1130" s="24" t="s">
        <v>778</v>
      </c>
      <c r="AM1130" s="24" t="s">
        <v>778</v>
      </c>
      <c r="AN1130" s="24" t="s">
        <v>177</v>
      </c>
      <c r="AW1130" s="74" t="s">
        <v>119</v>
      </c>
      <c r="AX1130" s="74">
        <v>3</v>
      </c>
      <c r="AZ1130" s="74" t="s">
        <v>335</v>
      </c>
      <c r="BB1130" s="74">
        <v>3810</v>
      </c>
      <c r="BC1130" s="74">
        <v>57</v>
      </c>
      <c r="BP1130" s="412"/>
      <c r="BQ1130" s="412"/>
      <c r="BU1130" s="412"/>
      <c r="BV1130" s="412"/>
      <c r="BZ1130" s="412"/>
      <c r="CA1130" s="412"/>
      <c r="CE1130" s="565"/>
      <c r="CF1130" s="565"/>
      <c r="CG1130" s="565"/>
      <c r="CH1130" s="565"/>
      <c r="CJ1130" s="74">
        <v>5.7232000000000012</v>
      </c>
      <c r="CK1130" s="74">
        <v>4.6256000000000004</v>
      </c>
      <c r="CL1130" s="24"/>
      <c r="CM1130" s="24"/>
      <c r="CN1130" s="24" t="s">
        <v>465</v>
      </c>
      <c r="CP1130" s="24"/>
      <c r="CQ1130" s="24"/>
      <c r="CR1130" s="24"/>
      <c r="FB1130" s="24"/>
      <c r="FF1130" s="24"/>
      <c r="JB1130" s="24" t="s">
        <v>779</v>
      </c>
    </row>
    <row r="1131" spans="1:262" s="74" customFormat="1" x14ac:dyDescent="0.25">
      <c r="A1131" s="74">
        <v>53</v>
      </c>
      <c r="B1131" s="42" t="s">
        <v>4006</v>
      </c>
      <c r="C1131" s="74" t="s">
        <v>768</v>
      </c>
      <c r="D1131" s="74" t="s">
        <v>769</v>
      </c>
      <c r="E1131" s="74">
        <v>2006</v>
      </c>
      <c r="F1131" s="74">
        <v>2001</v>
      </c>
      <c r="G1131" s="74" t="s">
        <v>770</v>
      </c>
      <c r="H1131" s="74" t="s">
        <v>771</v>
      </c>
      <c r="I1131" s="32" t="s">
        <v>2815</v>
      </c>
      <c r="J1131" s="74">
        <v>33.950000000000003</v>
      </c>
      <c r="K1131" s="74">
        <v>-83.38</v>
      </c>
      <c r="L1131" s="74">
        <v>208.4</v>
      </c>
      <c r="O1131" s="24">
        <v>748</v>
      </c>
      <c r="P1131" s="24">
        <f t="shared" si="239"/>
        <v>1233</v>
      </c>
      <c r="R1131" s="75">
        <v>2</v>
      </c>
      <c r="S1131" s="75" t="s">
        <v>1728</v>
      </c>
      <c r="T1131" s="75"/>
      <c r="U1131" s="75" t="s">
        <v>781</v>
      </c>
      <c r="V1131" s="75" t="s">
        <v>1388</v>
      </c>
      <c r="W1131" s="42" t="s">
        <v>1720</v>
      </c>
      <c r="X1131" s="42" t="s">
        <v>1388</v>
      </c>
      <c r="Y1131" s="75" t="s">
        <v>1389</v>
      </c>
      <c r="AA1131" s="337">
        <f t="shared" si="244"/>
        <v>65</v>
      </c>
      <c r="AB1131" s="337">
        <f>25</f>
        <v>25</v>
      </c>
      <c r="AC1131" s="74" t="s">
        <v>240</v>
      </c>
      <c r="AD1131" s="74">
        <v>6.6</v>
      </c>
      <c r="AE1131" s="74">
        <v>0.88</v>
      </c>
      <c r="AG1131" s="74" t="s">
        <v>1344</v>
      </c>
      <c r="AH1131" s="74" t="s">
        <v>243</v>
      </c>
      <c r="AI1131" s="138" t="s">
        <v>577</v>
      </c>
      <c r="AJ1131" s="74" t="s">
        <v>584</v>
      </c>
      <c r="AK1131" s="140" t="s">
        <v>1627</v>
      </c>
      <c r="AL1131" s="24" t="s">
        <v>778</v>
      </c>
      <c r="AM1131" s="24" t="s">
        <v>778</v>
      </c>
      <c r="AN1131" s="24" t="s">
        <v>177</v>
      </c>
      <c r="AW1131" s="74" t="s">
        <v>119</v>
      </c>
      <c r="AX1131" s="74">
        <v>3</v>
      </c>
      <c r="AZ1131" s="74" t="s">
        <v>335</v>
      </c>
      <c r="BB1131" s="74">
        <v>2440</v>
      </c>
      <c r="BC1131" s="74">
        <v>12</v>
      </c>
      <c r="BP1131" s="412"/>
      <c r="BQ1131" s="412"/>
      <c r="BU1131" s="412"/>
      <c r="BV1131" s="412"/>
      <c r="BZ1131" s="412"/>
      <c r="CA1131" s="412"/>
      <c r="CE1131" s="565"/>
      <c r="CF1131" s="565"/>
      <c r="CG1131" s="565"/>
      <c r="CH1131" s="565"/>
      <c r="CJ1131" s="74">
        <v>5.7232000000000012</v>
      </c>
      <c r="CK1131" s="74">
        <v>5.7204000000000006</v>
      </c>
      <c r="CL1131" s="24"/>
      <c r="CM1131" s="24"/>
      <c r="CN1131" s="24" t="s">
        <v>465</v>
      </c>
      <c r="CP1131" s="24"/>
      <c r="CQ1131" s="24"/>
      <c r="CR1131" s="24"/>
      <c r="FB1131" s="24"/>
      <c r="FF1131" s="24"/>
      <c r="JB1131" s="24" t="s">
        <v>779</v>
      </c>
    </row>
    <row r="1132" spans="1:262" s="74" customFormat="1" x14ac:dyDescent="0.25">
      <c r="A1132" s="74">
        <v>53</v>
      </c>
      <c r="B1132" s="42" t="s">
        <v>4007</v>
      </c>
      <c r="C1132" s="74" t="s">
        <v>768</v>
      </c>
      <c r="D1132" s="74" t="s">
        <v>769</v>
      </c>
      <c r="E1132" s="74">
        <v>2006</v>
      </c>
      <c r="F1132" s="74">
        <v>2001</v>
      </c>
      <c r="G1132" s="74" t="s">
        <v>770</v>
      </c>
      <c r="H1132" s="74" t="s">
        <v>771</v>
      </c>
      <c r="I1132" s="32" t="s">
        <v>2815</v>
      </c>
      <c r="J1132" s="74">
        <v>33.950000000000003</v>
      </c>
      <c r="K1132" s="74">
        <v>-83.38</v>
      </c>
      <c r="L1132" s="74">
        <v>208.4</v>
      </c>
      <c r="O1132" s="24">
        <v>748</v>
      </c>
      <c r="P1132" s="24">
        <f t="shared" si="239"/>
        <v>1233</v>
      </c>
      <c r="R1132" s="75">
        <v>2</v>
      </c>
      <c r="S1132" s="75" t="s">
        <v>1728</v>
      </c>
      <c r="T1132" s="75"/>
      <c r="U1132" s="75" t="s">
        <v>781</v>
      </c>
      <c r="V1132" s="75" t="s">
        <v>1388</v>
      </c>
      <c r="W1132" s="42" t="s">
        <v>1720</v>
      </c>
      <c r="X1132" s="42" t="s">
        <v>1388</v>
      </c>
      <c r="Y1132" s="75" t="s">
        <v>1389</v>
      </c>
      <c r="AA1132" s="337">
        <f t="shared" si="244"/>
        <v>65</v>
      </c>
      <c r="AB1132" s="337">
        <f>25</f>
        <v>25</v>
      </c>
      <c r="AC1132" s="74" t="s">
        <v>240</v>
      </c>
      <c r="AD1132" s="74">
        <v>6.6</v>
      </c>
      <c r="AE1132" s="74">
        <v>0.88</v>
      </c>
      <c r="AG1132" s="74" t="s">
        <v>1344</v>
      </c>
      <c r="AH1132" s="74" t="s">
        <v>1518</v>
      </c>
      <c r="AI1132" s="138" t="s">
        <v>1582</v>
      </c>
      <c r="AJ1132" s="74" t="s">
        <v>584</v>
      </c>
      <c r="AK1132" s="140" t="s">
        <v>1627</v>
      </c>
      <c r="AL1132" s="24" t="s">
        <v>778</v>
      </c>
      <c r="AM1132" s="24" t="s">
        <v>778</v>
      </c>
      <c r="AN1132" s="24" t="s">
        <v>177</v>
      </c>
      <c r="AW1132" s="74" t="s">
        <v>119</v>
      </c>
      <c r="AX1132" s="74">
        <v>3</v>
      </c>
      <c r="AZ1132" s="74" t="s">
        <v>335</v>
      </c>
      <c r="BB1132" s="74">
        <v>5980</v>
      </c>
      <c r="BC1132" s="74">
        <v>32</v>
      </c>
      <c r="BP1132" s="412"/>
      <c r="BQ1132" s="412"/>
      <c r="BU1132" s="412"/>
      <c r="BV1132" s="412"/>
      <c r="BZ1132" s="412"/>
      <c r="CA1132" s="412"/>
      <c r="CE1132" s="565"/>
      <c r="CF1132" s="565"/>
      <c r="CG1132" s="565"/>
      <c r="CH1132" s="565"/>
      <c r="CJ1132" s="74">
        <v>5.7232000000000012</v>
      </c>
      <c r="CK1132" s="74">
        <v>5.3116000000000003</v>
      </c>
      <c r="CL1132" s="24"/>
      <c r="CM1132" s="24"/>
      <c r="CN1132" s="24" t="s">
        <v>465</v>
      </c>
      <c r="CP1132" s="24"/>
      <c r="CQ1132" s="24"/>
      <c r="CR1132" s="24"/>
      <c r="FB1132" s="24"/>
      <c r="FF1132" s="24"/>
      <c r="JB1132" s="24" t="s">
        <v>779</v>
      </c>
    </row>
    <row r="1133" spans="1:262" s="24" customFormat="1" x14ac:dyDescent="0.25">
      <c r="A1133" s="24">
        <v>53</v>
      </c>
      <c r="B1133" s="42" t="s">
        <v>4006</v>
      </c>
      <c r="C1133" s="24" t="s">
        <v>768</v>
      </c>
      <c r="D1133" s="24" t="s">
        <v>769</v>
      </c>
      <c r="E1133" s="24">
        <v>2006</v>
      </c>
      <c r="F1133" s="24">
        <v>2002</v>
      </c>
      <c r="G1133" s="24" t="s">
        <v>770</v>
      </c>
      <c r="H1133" s="24" t="s">
        <v>771</v>
      </c>
      <c r="I1133" s="32" t="s">
        <v>2815</v>
      </c>
      <c r="J1133" s="24">
        <v>33.950000000000003</v>
      </c>
      <c r="K1133" s="24">
        <v>-83.38</v>
      </c>
      <c r="L1133" s="24">
        <v>208.4</v>
      </c>
      <c r="O1133" s="24">
        <v>971</v>
      </c>
      <c r="P1133" s="24">
        <f>588+645</f>
        <v>1233</v>
      </c>
      <c r="R1133" s="42">
        <v>3</v>
      </c>
      <c r="S1133" s="42" t="s">
        <v>1728</v>
      </c>
      <c r="T1133" s="42"/>
      <c r="U1133" s="42" t="s">
        <v>780</v>
      </c>
      <c r="V1133" s="42" t="s">
        <v>1388</v>
      </c>
      <c r="W1133" s="42" t="s">
        <v>1720</v>
      </c>
      <c r="X1133" s="42" t="s">
        <v>1388</v>
      </c>
      <c r="Y1133" s="42" t="s">
        <v>1389</v>
      </c>
      <c r="AA1133" s="321">
        <f t="shared" si="244"/>
        <v>65</v>
      </c>
      <c r="AB1133" s="321">
        <f>25</f>
        <v>25</v>
      </c>
      <c r="AC1133" s="24" t="s">
        <v>240</v>
      </c>
      <c r="AD1133" s="24">
        <v>6.6</v>
      </c>
      <c r="AE1133" s="24">
        <v>0.88</v>
      </c>
      <c r="AG1133" s="24" t="s">
        <v>1344</v>
      </c>
      <c r="AH1133" s="24" t="s">
        <v>131</v>
      </c>
      <c r="AI1133" s="138" t="s">
        <v>131</v>
      </c>
      <c r="AJ1133" s="24" t="s">
        <v>584</v>
      </c>
      <c r="AK1133" s="140" t="s">
        <v>1627</v>
      </c>
      <c r="AL1133" s="24" t="s">
        <v>778</v>
      </c>
      <c r="AM1133" s="24" t="s">
        <v>778</v>
      </c>
      <c r="AN1133" s="24" t="s">
        <v>177</v>
      </c>
      <c r="AW1133" s="24" t="s">
        <v>119</v>
      </c>
      <c r="AX1133" s="24">
        <v>3</v>
      </c>
      <c r="AZ1133" s="24" t="s">
        <v>335</v>
      </c>
      <c r="BB1133" s="24">
        <v>2280</v>
      </c>
      <c r="BC1133" s="24">
        <v>40</v>
      </c>
      <c r="BF1133" s="24">
        <v>3667</v>
      </c>
      <c r="BG1133" s="24">
        <v>3567</v>
      </c>
      <c r="BJ1133" s="24" t="s">
        <v>1666</v>
      </c>
      <c r="BP1133" s="395"/>
      <c r="BQ1133" s="395"/>
      <c r="BU1133" s="395"/>
      <c r="BV1133" s="395"/>
      <c r="BZ1133" s="395"/>
      <c r="CA1133" s="395"/>
      <c r="CE1133" s="548"/>
      <c r="CF1133" s="548"/>
      <c r="CG1133" s="548"/>
      <c r="CH1133" s="548"/>
      <c r="CJ1133" s="24">
        <v>6.0452000000000004</v>
      </c>
      <c r="CK1133" s="24">
        <v>7.0504000000000007</v>
      </c>
      <c r="CN1133" s="24" t="s">
        <v>465</v>
      </c>
      <c r="JB1133" s="24" t="s">
        <v>779</v>
      </c>
    </row>
    <row r="1134" spans="1:262" s="24" customFormat="1" x14ac:dyDescent="0.25">
      <c r="A1134" s="24">
        <v>53</v>
      </c>
      <c r="B1134" s="42" t="s">
        <v>4007</v>
      </c>
      <c r="C1134" s="24" t="s">
        <v>768</v>
      </c>
      <c r="D1134" s="24" t="s">
        <v>769</v>
      </c>
      <c r="E1134" s="24">
        <v>2006</v>
      </c>
      <c r="F1134" s="24">
        <v>2002</v>
      </c>
      <c r="G1134" s="24" t="s">
        <v>770</v>
      </c>
      <c r="H1134" s="24" t="s">
        <v>771</v>
      </c>
      <c r="I1134" s="32" t="s">
        <v>2815</v>
      </c>
      <c r="J1134" s="24">
        <v>33.950000000000003</v>
      </c>
      <c r="K1134" s="24">
        <v>-83.38</v>
      </c>
      <c r="L1134" s="24">
        <v>208.4</v>
      </c>
      <c r="O1134" s="24">
        <v>971</v>
      </c>
      <c r="P1134" s="24">
        <f t="shared" si="239"/>
        <v>1233</v>
      </c>
      <c r="R1134" s="42">
        <v>3</v>
      </c>
      <c r="S1134" s="42" t="s">
        <v>1728</v>
      </c>
      <c r="T1134" s="42"/>
      <c r="U1134" s="42" t="s">
        <v>780</v>
      </c>
      <c r="V1134" s="42" t="s">
        <v>1388</v>
      </c>
      <c r="W1134" s="42" t="s">
        <v>1720</v>
      </c>
      <c r="X1134" s="42" t="s">
        <v>1388</v>
      </c>
      <c r="Y1134" s="42" t="s">
        <v>1389</v>
      </c>
      <c r="AA1134" s="321">
        <f t="shared" si="244"/>
        <v>65</v>
      </c>
      <c r="AB1134" s="321">
        <f>25</f>
        <v>25</v>
      </c>
      <c r="AC1134" s="24" t="s">
        <v>240</v>
      </c>
      <c r="AD1134" s="24">
        <v>6.6</v>
      </c>
      <c r="AE1134" s="24">
        <v>0.88</v>
      </c>
      <c r="AG1134" s="24" t="s">
        <v>1344</v>
      </c>
      <c r="AH1134" s="24" t="s">
        <v>243</v>
      </c>
      <c r="AI1134" s="138" t="s">
        <v>577</v>
      </c>
      <c r="AJ1134" s="24" t="s">
        <v>584</v>
      </c>
      <c r="AK1134" s="140" t="s">
        <v>1627</v>
      </c>
      <c r="AL1134" s="24" t="s">
        <v>778</v>
      </c>
      <c r="AM1134" s="24" t="s">
        <v>778</v>
      </c>
      <c r="AN1134" s="24" t="s">
        <v>177</v>
      </c>
      <c r="AW1134" s="24" t="s">
        <v>119</v>
      </c>
      <c r="AX1134" s="24">
        <v>3</v>
      </c>
      <c r="AZ1134" s="24" t="s">
        <v>335</v>
      </c>
      <c r="BB1134" s="24">
        <v>5160</v>
      </c>
      <c r="BC1134" s="24">
        <v>10</v>
      </c>
      <c r="BF1134" s="24">
        <v>3667</v>
      </c>
      <c r="BG1134" s="24">
        <v>4067</v>
      </c>
      <c r="BJ1134" s="24" t="s">
        <v>1666</v>
      </c>
      <c r="BP1134" s="395"/>
      <c r="BQ1134" s="395"/>
      <c r="BU1134" s="395"/>
      <c r="BV1134" s="395"/>
      <c r="BZ1134" s="395"/>
      <c r="CA1134" s="395"/>
      <c r="CE1134" s="548"/>
      <c r="CF1134" s="548"/>
      <c r="CG1134" s="548"/>
      <c r="CH1134" s="548"/>
      <c r="CJ1134" s="24">
        <v>6.0452000000000004</v>
      </c>
      <c r="CK1134" s="24">
        <v>9.2904</v>
      </c>
      <c r="CN1134" s="24" t="s">
        <v>465</v>
      </c>
      <c r="JB1134" s="24" t="s">
        <v>779</v>
      </c>
    </row>
    <row r="1135" spans="1:262" s="24" customFormat="1" x14ac:dyDescent="0.25">
      <c r="A1135" s="24">
        <v>53</v>
      </c>
      <c r="B1135" s="42" t="s">
        <v>4006</v>
      </c>
      <c r="C1135" s="24" t="s">
        <v>768</v>
      </c>
      <c r="D1135" s="24" t="s">
        <v>769</v>
      </c>
      <c r="E1135" s="24">
        <v>2006</v>
      </c>
      <c r="F1135" s="24">
        <v>2002</v>
      </c>
      <c r="G1135" s="24" t="s">
        <v>770</v>
      </c>
      <c r="H1135" s="24" t="s">
        <v>771</v>
      </c>
      <c r="I1135" s="32" t="s">
        <v>2815</v>
      </c>
      <c r="J1135" s="24">
        <v>33.950000000000003</v>
      </c>
      <c r="K1135" s="24">
        <v>-83.38</v>
      </c>
      <c r="L1135" s="24">
        <v>208.4</v>
      </c>
      <c r="O1135" s="24">
        <v>971</v>
      </c>
      <c r="P1135" s="24">
        <f t="shared" si="239"/>
        <v>1233</v>
      </c>
      <c r="R1135" s="42">
        <v>3</v>
      </c>
      <c r="S1135" s="42" t="s">
        <v>1728</v>
      </c>
      <c r="T1135" s="42"/>
      <c r="U1135" s="42" t="s">
        <v>780</v>
      </c>
      <c r="V1135" s="42" t="s">
        <v>1388</v>
      </c>
      <c r="W1135" s="42" t="s">
        <v>1720</v>
      </c>
      <c r="X1135" s="42" t="s">
        <v>1388</v>
      </c>
      <c r="Y1135" s="42" t="s">
        <v>1389</v>
      </c>
      <c r="AA1135" s="321">
        <f t="shared" si="244"/>
        <v>65</v>
      </c>
      <c r="AB1135" s="321">
        <f>25</f>
        <v>25</v>
      </c>
      <c r="AC1135" s="24" t="s">
        <v>240</v>
      </c>
      <c r="AD1135" s="24">
        <v>6.6</v>
      </c>
      <c r="AE1135" s="24">
        <v>0.88</v>
      </c>
      <c r="AG1135" s="24" t="s">
        <v>1344</v>
      </c>
      <c r="AH1135" s="24" t="s">
        <v>1518</v>
      </c>
      <c r="AI1135" s="138" t="s">
        <v>1582</v>
      </c>
      <c r="AJ1135" s="24" t="s">
        <v>584</v>
      </c>
      <c r="AK1135" s="140" t="s">
        <v>1627</v>
      </c>
      <c r="AL1135" s="24" t="s">
        <v>778</v>
      </c>
      <c r="AM1135" s="24" t="s">
        <v>778</v>
      </c>
      <c r="AN1135" s="24" t="s">
        <v>177</v>
      </c>
      <c r="AW1135" s="24" t="s">
        <v>119</v>
      </c>
      <c r="AX1135" s="24">
        <v>3</v>
      </c>
      <c r="AZ1135" s="24" t="s">
        <v>335</v>
      </c>
      <c r="BB1135" s="24">
        <v>5720</v>
      </c>
      <c r="BC1135" s="24">
        <v>11</v>
      </c>
      <c r="BF1135" s="24">
        <v>3667</v>
      </c>
      <c r="BG1135" s="24">
        <v>4233</v>
      </c>
      <c r="BJ1135" s="24" t="s">
        <v>1666</v>
      </c>
      <c r="BP1135" s="395"/>
      <c r="BQ1135" s="395"/>
      <c r="BU1135" s="395"/>
      <c r="BV1135" s="395"/>
      <c r="BZ1135" s="395"/>
      <c r="CA1135" s="395"/>
      <c r="CE1135" s="548"/>
      <c r="CF1135" s="548"/>
      <c r="CG1135" s="548"/>
      <c r="CH1135" s="548"/>
      <c r="CJ1135" s="24">
        <v>6.0452000000000004</v>
      </c>
      <c r="CK1135" s="24">
        <v>9.2904</v>
      </c>
      <c r="CN1135" s="24" t="s">
        <v>465</v>
      </c>
      <c r="JB1135" s="24" t="s">
        <v>779</v>
      </c>
    </row>
    <row r="1136" spans="1:262" s="74" customFormat="1" x14ac:dyDescent="0.25">
      <c r="A1136" s="74">
        <v>53</v>
      </c>
      <c r="B1136" s="42" t="s">
        <v>4007</v>
      </c>
      <c r="C1136" s="74" t="s">
        <v>768</v>
      </c>
      <c r="D1136" s="74" t="s">
        <v>769</v>
      </c>
      <c r="E1136" s="74">
        <v>2006</v>
      </c>
      <c r="F1136" s="74">
        <v>2002</v>
      </c>
      <c r="G1136" s="74" t="s">
        <v>770</v>
      </c>
      <c r="H1136" s="74" t="s">
        <v>771</v>
      </c>
      <c r="I1136" s="32" t="s">
        <v>2815</v>
      </c>
      <c r="J1136" s="74">
        <v>33.950000000000003</v>
      </c>
      <c r="K1136" s="74">
        <v>-83.38</v>
      </c>
      <c r="L1136" s="74">
        <v>208.4</v>
      </c>
      <c r="O1136" s="24">
        <v>971</v>
      </c>
      <c r="P1136" s="24">
        <f t="shared" si="239"/>
        <v>1233</v>
      </c>
      <c r="R1136" s="75">
        <v>3</v>
      </c>
      <c r="S1136" s="75" t="s">
        <v>1728</v>
      </c>
      <c r="T1136" s="75"/>
      <c r="U1136" s="75" t="s">
        <v>781</v>
      </c>
      <c r="V1136" s="75" t="s">
        <v>1388</v>
      </c>
      <c r="W1136" s="42" t="s">
        <v>1720</v>
      </c>
      <c r="X1136" s="42" t="s">
        <v>1388</v>
      </c>
      <c r="Y1136" s="75" t="s">
        <v>1389</v>
      </c>
      <c r="AA1136" s="337">
        <f t="shared" si="244"/>
        <v>65</v>
      </c>
      <c r="AB1136" s="337">
        <f>25</f>
        <v>25</v>
      </c>
      <c r="AC1136" s="74" t="s">
        <v>240</v>
      </c>
      <c r="AD1136" s="74">
        <v>6.6</v>
      </c>
      <c r="AE1136" s="74">
        <v>0.88</v>
      </c>
      <c r="AG1136" s="74" t="s">
        <v>1344</v>
      </c>
      <c r="AH1136" s="74" t="s">
        <v>131</v>
      </c>
      <c r="AI1136" s="138" t="s">
        <v>131</v>
      </c>
      <c r="AJ1136" s="74" t="s">
        <v>584</v>
      </c>
      <c r="AK1136" s="140" t="s">
        <v>1627</v>
      </c>
      <c r="AL1136" s="24" t="s">
        <v>778</v>
      </c>
      <c r="AM1136" s="24" t="s">
        <v>778</v>
      </c>
      <c r="AN1136" s="24" t="s">
        <v>177</v>
      </c>
      <c r="AW1136" s="74" t="s">
        <v>119</v>
      </c>
      <c r="AX1136" s="74">
        <v>3</v>
      </c>
      <c r="AZ1136" s="74" t="s">
        <v>335</v>
      </c>
      <c r="BB1136" s="74">
        <v>2280</v>
      </c>
      <c r="BC1136" s="74">
        <v>40</v>
      </c>
      <c r="BP1136" s="412"/>
      <c r="BQ1136" s="412"/>
      <c r="BU1136" s="412"/>
      <c r="BV1136" s="412"/>
      <c r="BZ1136" s="412"/>
      <c r="CA1136" s="412"/>
      <c r="CE1136" s="565"/>
      <c r="CF1136" s="565"/>
      <c r="CG1136" s="565"/>
      <c r="CH1136" s="565"/>
      <c r="CJ1136" s="74">
        <v>5.9136000000000006</v>
      </c>
      <c r="CK1136" s="74">
        <v>6.6892000000000005</v>
      </c>
      <c r="CL1136" s="24"/>
      <c r="CM1136" s="24"/>
      <c r="CN1136" s="24" t="s">
        <v>465</v>
      </c>
      <c r="CP1136" s="24"/>
      <c r="CQ1136" s="24"/>
      <c r="CR1136" s="24"/>
      <c r="FB1136" s="24"/>
      <c r="FF1136" s="24"/>
      <c r="JB1136" s="24" t="s">
        <v>779</v>
      </c>
    </row>
    <row r="1137" spans="1:262" s="74" customFormat="1" x14ac:dyDescent="0.25">
      <c r="A1137" s="74">
        <v>53</v>
      </c>
      <c r="B1137" s="42" t="s">
        <v>4006</v>
      </c>
      <c r="C1137" s="74" t="s">
        <v>768</v>
      </c>
      <c r="D1137" s="74" t="s">
        <v>769</v>
      </c>
      <c r="E1137" s="74">
        <v>2006</v>
      </c>
      <c r="F1137" s="74">
        <v>2002</v>
      </c>
      <c r="G1137" s="74" t="s">
        <v>770</v>
      </c>
      <c r="H1137" s="74" t="s">
        <v>771</v>
      </c>
      <c r="I1137" s="32" t="s">
        <v>2815</v>
      </c>
      <c r="J1137" s="74">
        <v>33.950000000000003</v>
      </c>
      <c r="K1137" s="74">
        <v>-83.38</v>
      </c>
      <c r="L1137" s="74">
        <v>208.4</v>
      </c>
      <c r="O1137" s="24">
        <v>971</v>
      </c>
      <c r="P1137" s="24">
        <f t="shared" si="239"/>
        <v>1233</v>
      </c>
      <c r="R1137" s="75">
        <v>3</v>
      </c>
      <c r="S1137" s="75" t="s">
        <v>1728</v>
      </c>
      <c r="T1137" s="75"/>
      <c r="U1137" s="75" t="s">
        <v>781</v>
      </c>
      <c r="V1137" s="75" t="s">
        <v>1388</v>
      </c>
      <c r="W1137" s="42" t="s">
        <v>1720</v>
      </c>
      <c r="X1137" s="42" t="s">
        <v>1388</v>
      </c>
      <c r="Y1137" s="75" t="s">
        <v>1389</v>
      </c>
      <c r="AA1137" s="337">
        <f t="shared" si="244"/>
        <v>65</v>
      </c>
      <c r="AB1137" s="337">
        <f>25</f>
        <v>25</v>
      </c>
      <c r="AC1137" s="74" t="s">
        <v>240</v>
      </c>
      <c r="AD1137" s="74">
        <v>6.6</v>
      </c>
      <c r="AE1137" s="74">
        <v>0.88</v>
      </c>
      <c r="AG1137" s="74" t="s">
        <v>1344</v>
      </c>
      <c r="AH1137" s="74" t="s">
        <v>243</v>
      </c>
      <c r="AI1137" s="138" t="s">
        <v>577</v>
      </c>
      <c r="AJ1137" s="74" t="s">
        <v>584</v>
      </c>
      <c r="AK1137" s="140" t="s">
        <v>1627</v>
      </c>
      <c r="AL1137" s="24" t="s">
        <v>778</v>
      </c>
      <c r="AM1137" s="24" t="s">
        <v>778</v>
      </c>
      <c r="AN1137" s="24" t="s">
        <v>177</v>
      </c>
      <c r="AW1137" s="74" t="s">
        <v>119</v>
      </c>
      <c r="AX1137" s="74">
        <v>3</v>
      </c>
      <c r="AZ1137" s="74" t="s">
        <v>335</v>
      </c>
      <c r="BB1137" s="74">
        <v>5160</v>
      </c>
      <c r="BC1137" s="74">
        <v>10</v>
      </c>
      <c r="BP1137" s="412"/>
      <c r="BQ1137" s="412"/>
      <c r="BU1137" s="412"/>
      <c r="BV1137" s="412"/>
      <c r="BZ1137" s="412"/>
      <c r="CA1137" s="412"/>
      <c r="CE1137" s="565"/>
      <c r="CF1137" s="565"/>
      <c r="CG1137" s="565"/>
      <c r="CH1137" s="565"/>
      <c r="CJ1137" s="74">
        <v>5.9136000000000006</v>
      </c>
      <c r="CK1137" s="74">
        <v>7.1456000000000008</v>
      </c>
      <c r="CL1137" s="24"/>
      <c r="CM1137" s="24"/>
      <c r="CN1137" s="24" t="s">
        <v>465</v>
      </c>
      <c r="CP1137" s="24"/>
      <c r="CQ1137" s="24"/>
      <c r="CR1137" s="24"/>
      <c r="FB1137" s="24"/>
      <c r="FF1137" s="24"/>
      <c r="JB1137" s="24" t="s">
        <v>779</v>
      </c>
    </row>
    <row r="1138" spans="1:262" s="74" customFormat="1" x14ac:dyDescent="0.25">
      <c r="A1138" s="74">
        <v>53</v>
      </c>
      <c r="B1138" s="42" t="s">
        <v>4007</v>
      </c>
      <c r="C1138" s="74" t="s">
        <v>768</v>
      </c>
      <c r="D1138" s="74" t="s">
        <v>769</v>
      </c>
      <c r="E1138" s="74">
        <v>2006</v>
      </c>
      <c r="F1138" s="74">
        <v>2002</v>
      </c>
      <c r="G1138" s="74" t="s">
        <v>770</v>
      </c>
      <c r="H1138" s="74" t="s">
        <v>771</v>
      </c>
      <c r="I1138" s="32" t="s">
        <v>2815</v>
      </c>
      <c r="J1138" s="74">
        <v>33.950000000000003</v>
      </c>
      <c r="K1138" s="74">
        <v>-83.38</v>
      </c>
      <c r="L1138" s="74">
        <v>208.4</v>
      </c>
      <c r="O1138" s="24">
        <v>971</v>
      </c>
      <c r="P1138" s="24">
        <f t="shared" si="239"/>
        <v>1233</v>
      </c>
      <c r="R1138" s="75">
        <v>3</v>
      </c>
      <c r="S1138" s="75" t="s">
        <v>1728</v>
      </c>
      <c r="T1138" s="75"/>
      <c r="U1138" s="75" t="s">
        <v>781</v>
      </c>
      <c r="V1138" s="75" t="s">
        <v>1388</v>
      </c>
      <c r="W1138" s="42" t="s">
        <v>1720</v>
      </c>
      <c r="X1138" s="42" t="s">
        <v>1388</v>
      </c>
      <c r="Y1138" s="75" t="s">
        <v>1389</v>
      </c>
      <c r="AA1138" s="337">
        <f t="shared" si="244"/>
        <v>65</v>
      </c>
      <c r="AB1138" s="337">
        <f>25</f>
        <v>25</v>
      </c>
      <c r="AC1138" s="74" t="s">
        <v>240</v>
      </c>
      <c r="AD1138" s="74">
        <v>6.6</v>
      </c>
      <c r="AE1138" s="74">
        <v>0.88</v>
      </c>
      <c r="AG1138" s="74" t="s">
        <v>1344</v>
      </c>
      <c r="AH1138" s="74" t="s">
        <v>1518</v>
      </c>
      <c r="AI1138" s="138" t="s">
        <v>1582</v>
      </c>
      <c r="AJ1138" s="74" t="s">
        <v>584</v>
      </c>
      <c r="AK1138" s="140" t="s">
        <v>1627</v>
      </c>
      <c r="AL1138" s="24" t="s">
        <v>778</v>
      </c>
      <c r="AM1138" s="24" t="s">
        <v>778</v>
      </c>
      <c r="AN1138" s="24" t="s">
        <v>177</v>
      </c>
      <c r="AW1138" s="74" t="s">
        <v>119</v>
      </c>
      <c r="AX1138" s="74">
        <v>3</v>
      </c>
      <c r="AZ1138" s="74" t="s">
        <v>335</v>
      </c>
      <c r="BB1138" s="74">
        <v>5720</v>
      </c>
      <c r="BC1138" s="74">
        <v>11</v>
      </c>
      <c r="BP1138" s="412"/>
      <c r="BQ1138" s="412"/>
      <c r="BU1138" s="412"/>
      <c r="BV1138" s="412"/>
      <c r="BZ1138" s="412"/>
      <c r="CA1138" s="412"/>
      <c r="CE1138" s="565"/>
      <c r="CF1138" s="565"/>
      <c r="CG1138" s="565"/>
      <c r="CH1138" s="565"/>
      <c r="CJ1138" s="74">
        <v>5.9136000000000006</v>
      </c>
      <c r="CK1138" s="74">
        <v>6.370000000000001</v>
      </c>
      <c r="CL1138" s="24"/>
      <c r="CM1138" s="24"/>
      <c r="CN1138" s="24" t="s">
        <v>465</v>
      </c>
      <c r="CP1138" s="24"/>
      <c r="CQ1138" s="24"/>
      <c r="CR1138" s="24"/>
      <c r="FB1138" s="24"/>
      <c r="FF1138" s="24"/>
      <c r="JB1138" s="24" t="s">
        <v>779</v>
      </c>
    </row>
    <row r="1139" spans="1:262" s="32" customFormat="1" x14ac:dyDescent="0.25">
      <c r="A1139" s="32">
        <v>53</v>
      </c>
      <c r="B1139" s="44" t="s">
        <v>4006</v>
      </c>
      <c r="C1139" s="32" t="s">
        <v>768</v>
      </c>
      <c r="D1139" s="32" t="s">
        <v>769</v>
      </c>
      <c r="E1139" s="32">
        <v>2006</v>
      </c>
      <c r="F1139" s="32">
        <v>2000</v>
      </c>
      <c r="G1139" s="32" t="s">
        <v>770</v>
      </c>
      <c r="H1139" s="32" t="s">
        <v>771</v>
      </c>
      <c r="I1139" s="32" t="s">
        <v>2815</v>
      </c>
      <c r="J1139" s="32">
        <v>33.950000000000003</v>
      </c>
      <c r="K1139" s="32">
        <v>-83.38</v>
      </c>
      <c r="L1139" s="32">
        <v>208.4</v>
      </c>
      <c r="O1139" s="32">
        <f>278+505</f>
        <v>783</v>
      </c>
      <c r="P1139" s="32">
        <f>588+645</f>
        <v>1233</v>
      </c>
      <c r="R1139" s="44">
        <v>1</v>
      </c>
      <c r="S1139" s="44" t="s">
        <v>1728</v>
      </c>
      <c r="T1139" s="44"/>
      <c r="U1139" s="44" t="s">
        <v>780</v>
      </c>
      <c r="V1139" s="44" t="s">
        <v>1408</v>
      </c>
      <c r="W1139" s="44" t="s">
        <v>1720</v>
      </c>
      <c r="X1139" s="44" t="s">
        <v>1388</v>
      </c>
      <c r="Y1139" s="44" t="s">
        <v>1389</v>
      </c>
      <c r="AA1139" s="323">
        <f t="shared" si="244"/>
        <v>65</v>
      </c>
      <c r="AB1139" s="323">
        <f>25</f>
        <v>25</v>
      </c>
      <c r="AC1139" s="32" t="s">
        <v>240</v>
      </c>
      <c r="AD1139" s="32">
        <v>6.6</v>
      </c>
      <c r="AE1139" s="32">
        <v>0.88</v>
      </c>
      <c r="AG1139" s="32" t="s">
        <v>1344</v>
      </c>
      <c r="AH1139" s="32" t="s">
        <v>131</v>
      </c>
      <c r="AI1139" s="138" t="s">
        <v>131</v>
      </c>
      <c r="AJ1139" s="32" t="s">
        <v>584</v>
      </c>
      <c r="AK1139" s="140" t="s">
        <v>1627</v>
      </c>
      <c r="AL1139" s="32" t="s">
        <v>778</v>
      </c>
      <c r="AM1139" s="32" t="s">
        <v>778</v>
      </c>
      <c r="AN1139" s="32" t="s">
        <v>177</v>
      </c>
      <c r="AW1139" s="32" t="s">
        <v>119</v>
      </c>
      <c r="AX1139" s="32">
        <v>3</v>
      </c>
      <c r="AZ1139" s="32" t="s">
        <v>335</v>
      </c>
      <c r="BB1139" s="32">
        <f>6.07*1000</f>
        <v>6070</v>
      </c>
      <c r="BC1139" s="32">
        <v>29</v>
      </c>
      <c r="BP1139" s="397"/>
      <c r="BQ1139" s="397"/>
      <c r="BU1139" s="397"/>
      <c r="BV1139" s="397"/>
      <c r="BZ1139" s="397"/>
      <c r="CA1139" s="397"/>
      <c r="CE1139" s="550"/>
      <c r="CF1139" s="550"/>
      <c r="CG1139" s="550"/>
      <c r="CH1139" s="550"/>
      <c r="CJ1139" s="32">
        <v>8.0332000000000008</v>
      </c>
      <c r="CK1139" s="32">
        <v>6.983200000000001</v>
      </c>
      <c r="CN1139" s="32" t="s">
        <v>465</v>
      </c>
      <c r="CP1139" s="24"/>
      <c r="CQ1139" s="24"/>
      <c r="CR1139" s="24"/>
      <c r="JB1139" s="32" t="s">
        <v>779</v>
      </c>
    </row>
    <row r="1140" spans="1:262" s="32" customFormat="1" x14ac:dyDescent="0.25">
      <c r="A1140" s="32">
        <v>53</v>
      </c>
      <c r="B1140" s="44" t="s">
        <v>4007</v>
      </c>
      <c r="C1140" s="32" t="s">
        <v>768</v>
      </c>
      <c r="D1140" s="32" t="s">
        <v>769</v>
      </c>
      <c r="E1140" s="32">
        <v>2006</v>
      </c>
      <c r="F1140" s="32">
        <v>2000</v>
      </c>
      <c r="G1140" s="32" t="s">
        <v>770</v>
      </c>
      <c r="H1140" s="32" t="s">
        <v>771</v>
      </c>
      <c r="I1140" s="32" t="s">
        <v>2815</v>
      </c>
      <c r="J1140" s="32">
        <v>33.950000000000003</v>
      </c>
      <c r="K1140" s="32">
        <v>-83.38</v>
      </c>
      <c r="L1140" s="32">
        <v>208.4</v>
      </c>
      <c r="O1140" s="32">
        <f t="shared" si="245"/>
        <v>783</v>
      </c>
      <c r="P1140" s="32">
        <f t="shared" si="239"/>
        <v>1233</v>
      </c>
      <c r="R1140" s="44">
        <v>1</v>
      </c>
      <c r="S1140" s="44" t="s">
        <v>1728</v>
      </c>
      <c r="T1140" s="44"/>
      <c r="U1140" s="44" t="s">
        <v>780</v>
      </c>
      <c r="V1140" s="44" t="s">
        <v>1408</v>
      </c>
      <c r="W1140" s="44" t="s">
        <v>1720</v>
      </c>
      <c r="X1140" s="44" t="s">
        <v>1388</v>
      </c>
      <c r="Y1140" s="44" t="s">
        <v>1389</v>
      </c>
      <c r="AA1140" s="323">
        <f t="shared" si="244"/>
        <v>65</v>
      </c>
      <c r="AB1140" s="323">
        <f>25</f>
        <v>25</v>
      </c>
      <c r="AC1140" s="32" t="s">
        <v>240</v>
      </c>
      <c r="AD1140" s="32">
        <v>6.6</v>
      </c>
      <c r="AE1140" s="32">
        <v>0.88</v>
      </c>
      <c r="AG1140" s="32" t="s">
        <v>1344</v>
      </c>
      <c r="AH1140" s="32" t="s">
        <v>243</v>
      </c>
      <c r="AI1140" s="138" t="s">
        <v>577</v>
      </c>
      <c r="AJ1140" s="32" t="s">
        <v>584</v>
      </c>
      <c r="AK1140" s="140" t="s">
        <v>1627</v>
      </c>
      <c r="AL1140" s="32" t="s">
        <v>778</v>
      </c>
      <c r="AM1140" s="32" t="s">
        <v>778</v>
      </c>
      <c r="AN1140" s="32" t="s">
        <v>177</v>
      </c>
      <c r="AW1140" s="32" t="s">
        <v>119</v>
      </c>
      <c r="AX1140" s="32">
        <v>3</v>
      </c>
      <c r="AZ1140" s="32" t="s">
        <v>335</v>
      </c>
      <c r="BB1140" s="32">
        <v>5100</v>
      </c>
      <c r="BC1140" s="32">
        <v>12</v>
      </c>
      <c r="BP1140" s="397"/>
      <c r="BQ1140" s="397"/>
      <c r="BU1140" s="397"/>
      <c r="BV1140" s="397"/>
      <c r="BZ1140" s="397"/>
      <c r="CA1140" s="397"/>
      <c r="CE1140" s="550"/>
      <c r="CF1140" s="550"/>
      <c r="CG1140" s="550"/>
      <c r="CH1140" s="550"/>
      <c r="CJ1140" s="32">
        <v>8.0332000000000008</v>
      </c>
      <c r="CK1140" s="32">
        <v>10.5448</v>
      </c>
      <c r="CN1140" s="32" t="s">
        <v>465</v>
      </c>
      <c r="CP1140" s="24"/>
      <c r="CQ1140" s="24"/>
      <c r="CR1140" s="24"/>
      <c r="JB1140" s="32" t="s">
        <v>779</v>
      </c>
    </row>
    <row r="1141" spans="1:262" s="32" customFormat="1" x14ac:dyDescent="0.25">
      <c r="A1141" s="32">
        <v>53</v>
      </c>
      <c r="B1141" s="44" t="s">
        <v>4006</v>
      </c>
      <c r="C1141" s="32" t="s">
        <v>768</v>
      </c>
      <c r="D1141" s="32" t="s">
        <v>769</v>
      </c>
      <c r="E1141" s="32">
        <v>2006</v>
      </c>
      <c r="F1141" s="32">
        <v>2000</v>
      </c>
      <c r="G1141" s="32" t="s">
        <v>770</v>
      </c>
      <c r="H1141" s="32" t="s">
        <v>771</v>
      </c>
      <c r="I1141" s="32" t="s">
        <v>2815</v>
      </c>
      <c r="J1141" s="32">
        <v>33.950000000000003</v>
      </c>
      <c r="K1141" s="32">
        <v>-83.38</v>
      </c>
      <c r="L1141" s="32">
        <v>208.4</v>
      </c>
      <c r="O1141" s="32">
        <f t="shared" si="245"/>
        <v>783</v>
      </c>
      <c r="P1141" s="32">
        <f t="shared" si="239"/>
        <v>1233</v>
      </c>
      <c r="R1141" s="44">
        <v>1</v>
      </c>
      <c r="S1141" s="44" t="s">
        <v>1728</v>
      </c>
      <c r="T1141" s="44"/>
      <c r="U1141" s="44" t="s">
        <v>780</v>
      </c>
      <c r="V1141" s="44" t="s">
        <v>1408</v>
      </c>
      <c r="W1141" s="44" t="s">
        <v>1720</v>
      </c>
      <c r="X1141" s="44" t="s">
        <v>1388</v>
      </c>
      <c r="Y1141" s="44" t="s">
        <v>1389</v>
      </c>
      <c r="AA1141" s="323">
        <f t="shared" si="244"/>
        <v>65</v>
      </c>
      <c r="AB1141" s="323">
        <f>25</f>
        <v>25</v>
      </c>
      <c r="AC1141" s="32" t="s">
        <v>240</v>
      </c>
      <c r="AD1141" s="32">
        <v>6.6</v>
      </c>
      <c r="AE1141" s="32">
        <v>0.88</v>
      </c>
      <c r="AG1141" s="32" t="s">
        <v>1344</v>
      </c>
      <c r="AH1141" s="32" t="s">
        <v>1518</v>
      </c>
      <c r="AI1141" s="138" t="s">
        <v>1582</v>
      </c>
      <c r="AJ1141" s="32" t="s">
        <v>584</v>
      </c>
      <c r="AK1141" s="140" t="s">
        <v>1627</v>
      </c>
      <c r="AL1141" s="32" t="s">
        <v>778</v>
      </c>
      <c r="AM1141" s="32" t="s">
        <v>778</v>
      </c>
      <c r="AN1141" s="32" t="s">
        <v>177</v>
      </c>
      <c r="AW1141" s="32" t="s">
        <v>119</v>
      </c>
      <c r="AX1141" s="32">
        <v>3</v>
      </c>
      <c r="AZ1141" s="32" t="s">
        <v>335</v>
      </c>
      <c r="BB1141" s="32">
        <v>8180</v>
      </c>
      <c r="BC1141" s="32">
        <v>10</v>
      </c>
      <c r="BP1141" s="397"/>
      <c r="BQ1141" s="397"/>
      <c r="BU1141" s="397"/>
      <c r="BV1141" s="397"/>
      <c r="BZ1141" s="397"/>
      <c r="CA1141" s="397"/>
      <c r="CE1141" s="550"/>
      <c r="CF1141" s="550"/>
      <c r="CG1141" s="550"/>
      <c r="CH1141" s="550"/>
      <c r="CJ1141" s="32">
        <v>8.0332000000000008</v>
      </c>
      <c r="CK1141" s="32">
        <v>8.9012000000000011</v>
      </c>
      <c r="CN1141" s="32" t="s">
        <v>465</v>
      </c>
      <c r="CP1141" s="24"/>
      <c r="CQ1141" s="24"/>
      <c r="CR1141" s="24"/>
      <c r="JB1141" s="32" t="s">
        <v>779</v>
      </c>
    </row>
    <row r="1142" spans="1:262" s="76" customFormat="1" x14ac:dyDescent="0.25">
      <c r="A1142" s="76">
        <v>53</v>
      </c>
      <c r="B1142" s="77" t="s">
        <v>4007</v>
      </c>
      <c r="C1142" s="76" t="s">
        <v>768</v>
      </c>
      <c r="D1142" s="76" t="s">
        <v>769</v>
      </c>
      <c r="E1142" s="76">
        <v>2006</v>
      </c>
      <c r="F1142" s="76">
        <v>2000</v>
      </c>
      <c r="G1142" s="76" t="s">
        <v>770</v>
      </c>
      <c r="H1142" s="76" t="s">
        <v>771</v>
      </c>
      <c r="I1142" s="32" t="s">
        <v>2815</v>
      </c>
      <c r="J1142" s="76">
        <v>33.950000000000003</v>
      </c>
      <c r="K1142" s="76">
        <v>-83.38</v>
      </c>
      <c r="L1142" s="76">
        <v>208.4</v>
      </c>
      <c r="O1142" s="32">
        <f t="shared" si="245"/>
        <v>783</v>
      </c>
      <c r="P1142" s="32">
        <f t="shared" si="239"/>
        <v>1233</v>
      </c>
      <c r="R1142" s="77">
        <v>1</v>
      </c>
      <c r="S1142" s="77" t="s">
        <v>1728</v>
      </c>
      <c r="T1142" s="77"/>
      <c r="U1142" s="77" t="s">
        <v>781</v>
      </c>
      <c r="V1142" s="77" t="s">
        <v>1408</v>
      </c>
      <c r="W1142" s="77" t="s">
        <v>1720</v>
      </c>
      <c r="X1142" s="77" t="s">
        <v>1388</v>
      </c>
      <c r="Y1142" s="77" t="s">
        <v>1389</v>
      </c>
      <c r="AA1142" s="339">
        <f t="shared" si="244"/>
        <v>65</v>
      </c>
      <c r="AB1142" s="339">
        <f>25</f>
        <v>25</v>
      </c>
      <c r="AC1142" s="76" t="s">
        <v>240</v>
      </c>
      <c r="AD1142" s="76">
        <v>6.6</v>
      </c>
      <c r="AE1142" s="76">
        <v>0.88</v>
      </c>
      <c r="AG1142" s="76" t="s">
        <v>1344</v>
      </c>
      <c r="AH1142" s="76" t="s">
        <v>131</v>
      </c>
      <c r="AI1142" s="138" t="s">
        <v>131</v>
      </c>
      <c r="AJ1142" s="76" t="s">
        <v>584</v>
      </c>
      <c r="AK1142" s="140" t="s">
        <v>1627</v>
      </c>
      <c r="AL1142" s="32" t="s">
        <v>778</v>
      </c>
      <c r="AM1142" s="32" t="s">
        <v>778</v>
      </c>
      <c r="AN1142" s="32" t="s">
        <v>177</v>
      </c>
      <c r="AW1142" s="76" t="s">
        <v>119</v>
      </c>
      <c r="AX1142" s="76">
        <v>3</v>
      </c>
      <c r="AZ1142" s="76" t="s">
        <v>335</v>
      </c>
      <c r="BB1142" s="76">
        <v>6070</v>
      </c>
      <c r="BC1142" s="76">
        <v>29</v>
      </c>
      <c r="BP1142" s="414"/>
      <c r="BQ1142" s="414"/>
      <c r="BU1142" s="414"/>
      <c r="BV1142" s="414"/>
      <c r="BZ1142" s="414"/>
      <c r="CA1142" s="414"/>
      <c r="CE1142" s="567"/>
      <c r="CF1142" s="567"/>
      <c r="CG1142" s="567"/>
      <c r="CH1142" s="567"/>
      <c r="CJ1142" s="76">
        <v>11.583600000000001</v>
      </c>
      <c r="CK1142" s="76">
        <v>11.356800000000002</v>
      </c>
      <c r="CL1142" s="32"/>
      <c r="CM1142" s="32"/>
      <c r="CN1142" s="32" t="s">
        <v>465</v>
      </c>
      <c r="CP1142" s="24"/>
      <c r="CQ1142" s="24"/>
      <c r="CR1142" s="24"/>
      <c r="FB1142" s="32"/>
      <c r="FF1142" s="32"/>
      <c r="JB1142" s="32" t="s">
        <v>779</v>
      </c>
    </row>
    <row r="1143" spans="1:262" s="76" customFormat="1" x14ac:dyDescent="0.25">
      <c r="A1143" s="76">
        <v>53</v>
      </c>
      <c r="B1143" s="77" t="s">
        <v>4006</v>
      </c>
      <c r="C1143" s="76" t="s">
        <v>768</v>
      </c>
      <c r="D1143" s="76" t="s">
        <v>769</v>
      </c>
      <c r="E1143" s="76">
        <v>2006</v>
      </c>
      <c r="F1143" s="76">
        <v>2000</v>
      </c>
      <c r="G1143" s="76" t="s">
        <v>770</v>
      </c>
      <c r="H1143" s="76" t="s">
        <v>771</v>
      </c>
      <c r="I1143" s="32" t="s">
        <v>2815</v>
      </c>
      <c r="J1143" s="76">
        <v>33.950000000000003</v>
      </c>
      <c r="K1143" s="76">
        <v>-83.38</v>
      </c>
      <c r="L1143" s="76">
        <v>208.4</v>
      </c>
      <c r="O1143" s="32">
        <f t="shared" si="245"/>
        <v>783</v>
      </c>
      <c r="P1143" s="32">
        <f t="shared" si="239"/>
        <v>1233</v>
      </c>
      <c r="R1143" s="77">
        <v>1</v>
      </c>
      <c r="S1143" s="77" t="s">
        <v>1728</v>
      </c>
      <c r="T1143" s="77"/>
      <c r="U1143" s="77" t="s">
        <v>781</v>
      </c>
      <c r="V1143" s="77" t="s">
        <v>1408</v>
      </c>
      <c r="W1143" s="77" t="s">
        <v>1720</v>
      </c>
      <c r="X1143" s="77" t="s">
        <v>1388</v>
      </c>
      <c r="Y1143" s="77" t="s">
        <v>1389</v>
      </c>
      <c r="AA1143" s="339">
        <f t="shared" si="244"/>
        <v>65</v>
      </c>
      <c r="AB1143" s="339">
        <f>25</f>
        <v>25</v>
      </c>
      <c r="AC1143" s="76" t="s">
        <v>240</v>
      </c>
      <c r="AD1143" s="76">
        <v>6.6</v>
      </c>
      <c r="AE1143" s="76">
        <v>0.88</v>
      </c>
      <c r="AG1143" s="76" t="s">
        <v>1344</v>
      </c>
      <c r="AH1143" s="76" t="s">
        <v>243</v>
      </c>
      <c r="AI1143" s="138" t="s">
        <v>577</v>
      </c>
      <c r="AJ1143" s="76" t="s">
        <v>584</v>
      </c>
      <c r="AK1143" s="140" t="s">
        <v>1627</v>
      </c>
      <c r="AL1143" s="32" t="s">
        <v>778</v>
      </c>
      <c r="AM1143" s="32" t="s">
        <v>778</v>
      </c>
      <c r="AN1143" s="32" t="s">
        <v>177</v>
      </c>
      <c r="AW1143" s="76" t="s">
        <v>119</v>
      </c>
      <c r="AX1143" s="76">
        <v>3</v>
      </c>
      <c r="AZ1143" s="76" t="s">
        <v>335</v>
      </c>
      <c r="BB1143" s="76">
        <v>5100</v>
      </c>
      <c r="BC1143" s="76">
        <v>12</v>
      </c>
      <c r="BP1143" s="414"/>
      <c r="BQ1143" s="414"/>
      <c r="BU1143" s="414"/>
      <c r="BV1143" s="414"/>
      <c r="BZ1143" s="414"/>
      <c r="CA1143" s="414"/>
      <c r="CE1143" s="567"/>
      <c r="CF1143" s="567"/>
      <c r="CG1143" s="567"/>
      <c r="CH1143" s="567"/>
      <c r="CJ1143" s="76">
        <v>11.583600000000001</v>
      </c>
      <c r="CK1143" s="76">
        <v>12.544</v>
      </c>
      <c r="CL1143" s="32"/>
      <c r="CM1143" s="32"/>
      <c r="CN1143" s="32" t="s">
        <v>465</v>
      </c>
      <c r="CP1143" s="24"/>
      <c r="CQ1143" s="24"/>
      <c r="CR1143" s="24"/>
      <c r="FB1143" s="32"/>
      <c r="FF1143" s="32"/>
      <c r="JB1143" s="32" t="s">
        <v>779</v>
      </c>
    </row>
    <row r="1144" spans="1:262" s="76" customFormat="1" x14ac:dyDescent="0.25">
      <c r="A1144" s="76">
        <v>53</v>
      </c>
      <c r="B1144" s="77" t="s">
        <v>4007</v>
      </c>
      <c r="C1144" s="76" t="s">
        <v>768</v>
      </c>
      <c r="D1144" s="76" t="s">
        <v>769</v>
      </c>
      <c r="E1144" s="76">
        <v>2006</v>
      </c>
      <c r="F1144" s="76">
        <v>2000</v>
      </c>
      <c r="G1144" s="76" t="s">
        <v>770</v>
      </c>
      <c r="H1144" s="76" t="s">
        <v>771</v>
      </c>
      <c r="I1144" s="32" t="s">
        <v>2815</v>
      </c>
      <c r="J1144" s="76">
        <v>33.950000000000003</v>
      </c>
      <c r="K1144" s="76">
        <v>-83.38</v>
      </c>
      <c r="L1144" s="76">
        <v>208.4</v>
      </c>
      <c r="O1144" s="32">
        <f t="shared" si="245"/>
        <v>783</v>
      </c>
      <c r="P1144" s="32">
        <f t="shared" si="239"/>
        <v>1233</v>
      </c>
      <c r="R1144" s="77">
        <v>1</v>
      </c>
      <c r="S1144" s="77" t="s">
        <v>1728</v>
      </c>
      <c r="T1144" s="77"/>
      <c r="U1144" s="77" t="s">
        <v>781</v>
      </c>
      <c r="V1144" s="77" t="s">
        <v>1408</v>
      </c>
      <c r="W1144" s="77" t="s">
        <v>1720</v>
      </c>
      <c r="X1144" s="77" t="s">
        <v>1388</v>
      </c>
      <c r="Y1144" s="77" t="s">
        <v>1389</v>
      </c>
      <c r="AA1144" s="339">
        <f t="shared" si="244"/>
        <v>65</v>
      </c>
      <c r="AB1144" s="339">
        <f>25</f>
        <v>25</v>
      </c>
      <c r="AC1144" s="76" t="s">
        <v>240</v>
      </c>
      <c r="AD1144" s="76">
        <v>6.6</v>
      </c>
      <c r="AE1144" s="76">
        <v>0.88</v>
      </c>
      <c r="AG1144" s="76" t="s">
        <v>1344</v>
      </c>
      <c r="AH1144" s="76" t="s">
        <v>1518</v>
      </c>
      <c r="AI1144" s="138" t="s">
        <v>1582</v>
      </c>
      <c r="AJ1144" s="76" t="s">
        <v>584</v>
      </c>
      <c r="AK1144" s="140" t="s">
        <v>1627</v>
      </c>
      <c r="AL1144" s="32" t="s">
        <v>778</v>
      </c>
      <c r="AM1144" s="32" t="s">
        <v>778</v>
      </c>
      <c r="AN1144" s="32" t="s">
        <v>177</v>
      </c>
      <c r="AW1144" s="76" t="s">
        <v>119</v>
      </c>
      <c r="AX1144" s="76">
        <v>3</v>
      </c>
      <c r="AZ1144" s="76" t="s">
        <v>335</v>
      </c>
      <c r="BB1144" s="76">
        <v>8180</v>
      </c>
      <c r="BC1144" s="76">
        <v>10</v>
      </c>
      <c r="BP1144" s="414"/>
      <c r="BQ1144" s="414"/>
      <c r="BU1144" s="414"/>
      <c r="BV1144" s="414"/>
      <c r="BZ1144" s="414"/>
      <c r="CA1144" s="414"/>
      <c r="CE1144" s="567"/>
      <c r="CF1144" s="567"/>
      <c r="CG1144" s="567"/>
      <c r="CH1144" s="567"/>
      <c r="CJ1144" s="76">
        <v>11.583600000000001</v>
      </c>
      <c r="CK1144" s="76">
        <v>11.8132</v>
      </c>
      <c r="CL1144" s="32"/>
      <c r="CM1144" s="32"/>
      <c r="CN1144" s="32" t="s">
        <v>465</v>
      </c>
      <c r="CP1144" s="24"/>
      <c r="CQ1144" s="24"/>
      <c r="CR1144" s="24"/>
      <c r="FB1144" s="32"/>
      <c r="FF1144" s="32"/>
      <c r="JB1144" s="32" t="s">
        <v>779</v>
      </c>
    </row>
    <row r="1145" spans="1:262" s="32" customFormat="1" x14ac:dyDescent="0.25">
      <c r="A1145" s="32">
        <v>53</v>
      </c>
      <c r="B1145" s="44" t="s">
        <v>4006</v>
      </c>
      <c r="C1145" s="32" t="s">
        <v>768</v>
      </c>
      <c r="D1145" s="32" t="s">
        <v>769</v>
      </c>
      <c r="E1145" s="32">
        <v>2006</v>
      </c>
      <c r="F1145" s="32">
        <v>2001</v>
      </c>
      <c r="G1145" s="32" t="s">
        <v>770</v>
      </c>
      <c r="H1145" s="32" t="s">
        <v>771</v>
      </c>
      <c r="I1145" s="32" t="s">
        <v>2815</v>
      </c>
      <c r="J1145" s="32">
        <v>33.950000000000003</v>
      </c>
      <c r="K1145" s="32">
        <v>-83.38</v>
      </c>
      <c r="L1145" s="32">
        <v>208.4</v>
      </c>
      <c r="O1145" s="32">
        <v>748</v>
      </c>
      <c r="P1145" s="32">
        <f>588+645</f>
        <v>1233</v>
      </c>
      <c r="R1145" s="44">
        <v>2</v>
      </c>
      <c r="S1145" s="44" t="s">
        <v>1728</v>
      </c>
      <c r="T1145" s="44"/>
      <c r="U1145" s="44" t="s">
        <v>780</v>
      </c>
      <c r="V1145" s="44" t="s">
        <v>1408</v>
      </c>
      <c r="W1145" s="44" t="s">
        <v>1720</v>
      </c>
      <c r="X1145" s="44" t="s">
        <v>1388</v>
      </c>
      <c r="Y1145" s="44" t="s">
        <v>1389</v>
      </c>
      <c r="AA1145" s="323">
        <f t="shared" si="244"/>
        <v>65</v>
      </c>
      <c r="AB1145" s="323">
        <f>25</f>
        <v>25</v>
      </c>
      <c r="AC1145" s="32" t="s">
        <v>240</v>
      </c>
      <c r="AD1145" s="32">
        <v>6.6</v>
      </c>
      <c r="AE1145" s="32">
        <v>0.88</v>
      </c>
      <c r="AG1145" s="32" t="s">
        <v>1344</v>
      </c>
      <c r="AH1145" s="32" t="s">
        <v>131</v>
      </c>
      <c r="AI1145" s="138" t="s">
        <v>131</v>
      </c>
      <c r="AJ1145" s="32" t="s">
        <v>584</v>
      </c>
      <c r="AK1145" s="140" t="s">
        <v>1627</v>
      </c>
      <c r="AL1145" s="32" t="s">
        <v>778</v>
      </c>
      <c r="AM1145" s="32" t="s">
        <v>778</v>
      </c>
      <c r="AN1145" s="32" t="s">
        <v>177</v>
      </c>
      <c r="AW1145" s="32" t="s">
        <v>119</v>
      </c>
      <c r="AX1145" s="32">
        <v>3</v>
      </c>
      <c r="AZ1145" s="32" t="s">
        <v>335</v>
      </c>
      <c r="BB1145" s="32">
        <v>3810</v>
      </c>
      <c r="BC1145" s="32">
        <v>57</v>
      </c>
      <c r="BP1145" s="397"/>
      <c r="BQ1145" s="397"/>
      <c r="BU1145" s="397"/>
      <c r="BV1145" s="397"/>
      <c r="BZ1145" s="397"/>
      <c r="CA1145" s="397"/>
      <c r="CE1145" s="550"/>
      <c r="CF1145" s="550"/>
      <c r="CG1145" s="550"/>
      <c r="CH1145" s="550"/>
      <c r="CJ1145" s="32">
        <v>8.0108000000000015</v>
      </c>
      <c r="CK1145" s="32">
        <v>8.0108000000000015</v>
      </c>
      <c r="CN1145" s="32" t="s">
        <v>465</v>
      </c>
      <c r="CP1145" s="24"/>
      <c r="CQ1145" s="24"/>
      <c r="CR1145" s="24"/>
      <c r="JB1145" s="32" t="s">
        <v>779</v>
      </c>
    </row>
    <row r="1146" spans="1:262" s="32" customFormat="1" x14ac:dyDescent="0.25">
      <c r="A1146" s="32">
        <v>53</v>
      </c>
      <c r="B1146" s="44" t="s">
        <v>4007</v>
      </c>
      <c r="C1146" s="32" t="s">
        <v>768</v>
      </c>
      <c r="D1146" s="32" t="s">
        <v>769</v>
      </c>
      <c r="E1146" s="32">
        <v>2006</v>
      </c>
      <c r="F1146" s="32">
        <v>2001</v>
      </c>
      <c r="G1146" s="32" t="s">
        <v>770</v>
      </c>
      <c r="H1146" s="32" t="s">
        <v>771</v>
      </c>
      <c r="I1146" s="32" t="s">
        <v>2815</v>
      </c>
      <c r="J1146" s="32">
        <v>33.950000000000003</v>
      </c>
      <c r="K1146" s="32">
        <v>-83.38</v>
      </c>
      <c r="L1146" s="32">
        <v>208.4</v>
      </c>
      <c r="O1146" s="32">
        <v>748</v>
      </c>
      <c r="P1146" s="32">
        <f t="shared" si="239"/>
        <v>1233</v>
      </c>
      <c r="R1146" s="44">
        <v>2</v>
      </c>
      <c r="S1146" s="44" t="s">
        <v>1728</v>
      </c>
      <c r="T1146" s="44"/>
      <c r="U1146" s="44" t="s">
        <v>780</v>
      </c>
      <c r="V1146" s="44" t="s">
        <v>1408</v>
      </c>
      <c r="W1146" s="44" t="s">
        <v>1720</v>
      </c>
      <c r="X1146" s="44" t="s">
        <v>1388</v>
      </c>
      <c r="Y1146" s="44" t="s">
        <v>1389</v>
      </c>
      <c r="AA1146" s="323">
        <f t="shared" si="244"/>
        <v>65</v>
      </c>
      <c r="AB1146" s="323">
        <f>25</f>
        <v>25</v>
      </c>
      <c r="AC1146" s="32" t="s">
        <v>240</v>
      </c>
      <c r="AD1146" s="32">
        <v>6.6</v>
      </c>
      <c r="AE1146" s="32">
        <v>0.88</v>
      </c>
      <c r="AG1146" s="32" t="s">
        <v>1344</v>
      </c>
      <c r="AH1146" s="32" t="s">
        <v>243</v>
      </c>
      <c r="AI1146" s="138" t="s">
        <v>577</v>
      </c>
      <c r="AJ1146" s="32" t="s">
        <v>584</v>
      </c>
      <c r="AK1146" s="140" t="s">
        <v>1627</v>
      </c>
      <c r="AL1146" s="32" t="s">
        <v>778</v>
      </c>
      <c r="AM1146" s="32" t="s">
        <v>778</v>
      </c>
      <c r="AN1146" s="32" t="s">
        <v>177</v>
      </c>
      <c r="AW1146" s="32" t="s">
        <v>119</v>
      </c>
      <c r="AX1146" s="32">
        <v>3</v>
      </c>
      <c r="AZ1146" s="32" t="s">
        <v>335</v>
      </c>
      <c r="BB1146" s="32">
        <v>2440</v>
      </c>
      <c r="BC1146" s="32">
        <v>12</v>
      </c>
      <c r="BP1146" s="397"/>
      <c r="BQ1146" s="397"/>
      <c r="BU1146" s="397"/>
      <c r="BV1146" s="397"/>
      <c r="BZ1146" s="397"/>
      <c r="CA1146" s="397"/>
      <c r="CE1146" s="550"/>
      <c r="CF1146" s="550"/>
      <c r="CG1146" s="550"/>
      <c r="CH1146" s="550"/>
      <c r="CJ1146" s="32">
        <v>8.0108000000000015</v>
      </c>
      <c r="CK1146" s="32">
        <v>8.6492000000000004</v>
      </c>
      <c r="CN1146" s="32" t="s">
        <v>465</v>
      </c>
      <c r="CP1146" s="24"/>
      <c r="CQ1146" s="24"/>
      <c r="CR1146" s="24"/>
      <c r="JB1146" s="32" t="s">
        <v>779</v>
      </c>
    </row>
    <row r="1147" spans="1:262" s="32" customFormat="1" x14ac:dyDescent="0.25">
      <c r="A1147" s="32">
        <v>53</v>
      </c>
      <c r="B1147" s="44" t="s">
        <v>4006</v>
      </c>
      <c r="C1147" s="32" t="s">
        <v>768</v>
      </c>
      <c r="D1147" s="32" t="s">
        <v>769</v>
      </c>
      <c r="E1147" s="32">
        <v>2006</v>
      </c>
      <c r="F1147" s="32">
        <v>2001</v>
      </c>
      <c r="G1147" s="32" t="s">
        <v>770</v>
      </c>
      <c r="H1147" s="32" t="s">
        <v>771</v>
      </c>
      <c r="I1147" s="32" t="s">
        <v>2815</v>
      </c>
      <c r="J1147" s="32">
        <v>33.950000000000003</v>
      </c>
      <c r="K1147" s="32">
        <v>-83.38</v>
      </c>
      <c r="L1147" s="32">
        <v>208.4</v>
      </c>
      <c r="O1147" s="32">
        <v>748</v>
      </c>
      <c r="P1147" s="32">
        <f t="shared" si="239"/>
        <v>1233</v>
      </c>
      <c r="R1147" s="44">
        <v>2</v>
      </c>
      <c r="S1147" s="44" t="s">
        <v>1728</v>
      </c>
      <c r="T1147" s="44"/>
      <c r="U1147" s="44" t="s">
        <v>780</v>
      </c>
      <c r="V1147" s="44" t="s">
        <v>1408</v>
      </c>
      <c r="W1147" s="44" t="s">
        <v>1720</v>
      </c>
      <c r="X1147" s="44" t="s">
        <v>1388</v>
      </c>
      <c r="Y1147" s="44" t="s">
        <v>1389</v>
      </c>
      <c r="AA1147" s="323">
        <f t="shared" si="244"/>
        <v>65</v>
      </c>
      <c r="AB1147" s="323">
        <f>25</f>
        <v>25</v>
      </c>
      <c r="AC1147" s="32" t="s">
        <v>240</v>
      </c>
      <c r="AD1147" s="32">
        <v>6.6</v>
      </c>
      <c r="AE1147" s="32">
        <v>0.88</v>
      </c>
      <c r="AG1147" s="32" t="s">
        <v>1344</v>
      </c>
      <c r="AH1147" s="32" t="s">
        <v>1518</v>
      </c>
      <c r="AI1147" s="138" t="s">
        <v>1582</v>
      </c>
      <c r="AJ1147" s="32" t="s">
        <v>584</v>
      </c>
      <c r="AK1147" s="140" t="s">
        <v>1627</v>
      </c>
      <c r="AL1147" s="32" t="s">
        <v>778</v>
      </c>
      <c r="AM1147" s="32" t="s">
        <v>778</v>
      </c>
      <c r="AN1147" s="32" t="s">
        <v>177</v>
      </c>
      <c r="AW1147" s="32" t="s">
        <v>119</v>
      </c>
      <c r="AX1147" s="32">
        <v>3</v>
      </c>
      <c r="AZ1147" s="32" t="s">
        <v>335</v>
      </c>
      <c r="BB1147" s="32">
        <v>5980</v>
      </c>
      <c r="BC1147" s="32">
        <v>32</v>
      </c>
      <c r="BP1147" s="397"/>
      <c r="BQ1147" s="397"/>
      <c r="BU1147" s="397"/>
      <c r="BV1147" s="397"/>
      <c r="BZ1147" s="397"/>
      <c r="CA1147" s="397"/>
      <c r="CE1147" s="550"/>
      <c r="CF1147" s="550"/>
      <c r="CG1147" s="550"/>
      <c r="CH1147" s="550"/>
      <c r="CJ1147" s="32">
        <v>8.0108000000000015</v>
      </c>
      <c r="CK1147" s="32">
        <v>8.0108000000000015</v>
      </c>
      <c r="CN1147" s="32" t="s">
        <v>465</v>
      </c>
      <c r="CP1147" s="24"/>
      <c r="CQ1147" s="24"/>
      <c r="CR1147" s="24"/>
      <c r="JB1147" s="32" t="s">
        <v>779</v>
      </c>
    </row>
    <row r="1148" spans="1:262" s="76" customFormat="1" x14ac:dyDescent="0.25">
      <c r="A1148" s="76">
        <v>53</v>
      </c>
      <c r="B1148" s="77" t="s">
        <v>4007</v>
      </c>
      <c r="C1148" s="76" t="s">
        <v>768</v>
      </c>
      <c r="D1148" s="76" t="s">
        <v>769</v>
      </c>
      <c r="E1148" s="76">
        <v>2006</v>
      </c>
      <c r="F1148" s="76">
        <v>2001</v>
      </c>
      <c r="G1148" s="76" t="s">
        <v>770</v>
      </c>
      <c r="H1148" s="76" t="s">
        <v>771</v>
      </c>
      <c r="I1148" s="32" t="s">
        <v>2815</v>
      </c>
      <c r="J1148" s="76">
        <v>33.950000000000003</v>
      </c>
      <c r="K1148" s="76">
        <v>-83.38</v>
      </c>
      <c r="L1148" s="76">
        <v>208.4</v>
      </c>
      <c r="O1148" s="32">
        <v>748</v>
      </c>
      <c r="P1148" s="32">
        <f t="shared" si="239"/>
        <v>1233</v>
      </c>
      <c r="R1148" s="77">
        <v>2</v>
      </c>
      <c r="S1148" s="77" t="s">
        <v>1728</v>
      </c>
      <c r="T1148" s="77"/>
      <c r="U1148" s="77" t="s">
        <v>781</v>
      </c>
      <c r="V1148" s="77" t="s">
        <v>1408</v>
      </c>
      <c r="W1148" s="77" t="s">
        <v>1720</v>
      </c>
      <c r="X1148" s="77" t="s">
        <v>1388</v>
      </c>
      <c r="Y1148" s="77" t="s">
        <v>1389</v>
      </c>
      <c r="AA1148" s="339">
        <f t="shared" si="244"/>
        <v>65</v>
      </c>
      <c r="AB1148" s="339">
        <f>25</f>
        <v>25</v>
      </c>
      <c r="AC1148" s="76" t="s">
        <v>240</v>
      </c>
      <c r="AD1148" s="76">
        <v>6.6</v>
      </c>
      <c r="AE1148" s="76">
        <v>0.88</v>
      </c>
      <c r="AG1148" s="76" t="s">
        <v>1344</v>
      </c>
      <c r="AH1148" s="76" t="s">
        <v>131</v>
      </c>
      <c r="AI1148" s="138" t="s">
        <v>131</v>
      </c>
      <c r="AJ1148" s="76" t="s">
        <v>584</v>
      </c>
      <c r="AK1148" s="140" t="s">
        <v>1627</v>
      </c>
      <c r="AL1148" s="32" t="s">
        <v>778</v>
      </c>
      <c r="AM1148" s="32" t="s">
        <v>778</v>
      </c>
      <c r="AN1148" s="32" t="s">
        <v>177</v>
      </c>
      <c r="AW1148" s="76" t="s">
        <v>119</v>
      </c>
      <c r="AX1148" s="76">
        <v>3</v>
      </c>
      <c r="AZ1148" s="76" t="s">
        <v>335</v>
      </c>
      <c r="BB1148" s="76">
        <v>3810</v>
      </c>
      <c r="BC1148" s="76">
        <v>57</v>
      </c>
      <c r="BP1148" s="414"/>
      <c r="BQ1148" s="414"/>
      <c r="BU1148" s="414"/>
      <c r="BV1148" s="414"/>
      <c r="BZ1148" s="414"/>
      <c r="CA1148" s="414"/>
      <c r="CE1148" s="567"/>
      <c r="CF1148" s="567"/>
      <c r="CG1148" s="567"/>
      <c r="CH1148" s="567"/>
      <c r="CJ1148" s="76">
        <v>8.4560000000000013</v>
      </c>
      <c r="CK1148" s="76">
        <v>8.4560000000000013</v>
      </c>
      <c r="CL1148" s="32"/>
      <c r="CM1148" s="32"/>
      <c r="CN1148" s="32" t="s">
        <v>465</v>
      </c>
      <c r="CP1148" s="24"/>
      <c r="CQ1148" s="24"/>
      <c r="CR1148" s="24"/>
      <c r="FB1148" s="32"/>
      <c r="FF1148" s="32"/>
      <c r="JB1148" s="32" t="s">
        <v>779</v>
      </c>
    </row>
    <row r="1149" spans="1:262" s="76" customFormat="1" x14ac:dyDescent="0.25">
      <c r="A1149" s="76">
        <v>53</v>
      </c>
      <c r="B1149" s="77" t="s">
        <v>4006</v>
      </c>
      <c r="C1149" s="76" t="s">
        <v>768</v>
      </c>
      <c r="D1149" s="76" t="s">
        <v>769</v>
      </c>
      <c r="E1149" s="76">
        <v>2006</v>
      </c>
      <c r="F1149" s="76">
        <v>2001</v>
      </c>
      <c r="G1149" s="76" t="s">
        <v>770</v>
      </c>
      <c r="H1149" s="76" t="s">
        <v>771</v>
      </c>
      <c r="I1149" s="32" t="s">
        <v>2815</v>
      </c>
      <c r="J1149" s="76">
        <v>33.950000000000003</v>
      </c>
      <c r="K1149" s="76">
        <v>-83.38</v>
      </c>
      <c r="L1149" s="76">
        <v>208.4</v>
      </c>
      <c r="O1149" s="32">
        <v>748</v>
      </c>
      <c r="P1149" s="32">
        <f t="shared" si="239"/>
        <v>1233</v>
      </c>
      <c r="R1149" s="77">
        <v>2</v>
      </c>
      <c r="S1149" s="77" t="s">
        <v>1728</v>
      </c>
      <c r="T1149" s="77"/>
      <c r="U1149" s="77" t="s">
        <v>781</v>
      </c>
      <c r="V1149" s="77" t="s">
        <v>1408</v>
      </c>
      <c r="W1149" s="77" t="s">
        <v>1720</v>
      </c>
      <c r="X1149" s="77" t="s">
        <v>1388</v>
      </c>
      <c r="Y1149" s="77" t="s">
        <v>1389</v>
      </c>
      <c r="AA1149" s="339">
        <f t="shared" si="244"/>
        <v>65</v>
      </c>
      <c r="AB1149" s="339">
        <f>25</f>
        <v>25</v>
      </c>
      <c r="AC1149" s="76" t="s">
        <v>240</v>
      </c>
      <c r="AD1149" s="76">
        <v>6.6</v>
      </c>
      <c r="AE1149" s="76">
        <v>0.88</v>
      </c>
      <c r="AG1149" s="76" t="s">
        <v>1344</v>
      </c>
      <c r="AH1149" s="76" t="s">
        <v>243</v>
      </c>
      <c r="AI1149" s="138" t="s">
        <v>577</v>
      </c>
      <c r="AJ1149" s="76" t="s">
        <v>584</v>
      </c>
      <c r="AK1149" s="140" t="s">
        <v>1627</v>
      </c>
      <c r="AL1149" s="32" t="s">
        <v>778</v>
      </c>
      <c r="AM1149" s="32" t="s">
        <v>778</v>
      </c>
      <c r="AN1149" s="32" t="s">
        <v>177</v>
      </c>
      <c r="AW1149" s="76" t="s">
        <v>119</v>
      </c>
      <c r="AX1149" s="76">
        <v>3</v>
      </c>
      <c r="AZ1149" s="76" t="s">
        <v>335</v>
      </c>
      <c r="BB1149" s="76">
        <v>2440</v>
      </c>
      <c r="BC1149" s="76">
        <v>12</v>
      </c>
      <c r="BP1149" s="414"/>
      <c r="BQ1149" s="414"/>
      <c r="BU1149" s="414"/>
      <c r="BV1149" s="414"/>
      <c r="BZ1149" s="414"/>
      <c r="CA1149" s="414"/>
      <c r="CE1149" s="567"/>
      <c r="CF1149" s="567"/>
      <c r="CG1149" s="567"/>
      <c r="CH1149" s="567"/>
      <c r="CJ1149" s="76">
        <v>8.4560000000000013</v>
      </c>
      <c r="CK1149" s="76">
        <v>9.7356000000000016</v>
      </c>
      <c r="CL1149" s="32"/>
      <c r="CM1149" s="32"/>
      <c r="CN1149" s="32" t="s">
        <v>465</v>
      </c>
      <c r="CP1149" s="24"/>
      <c r="CQ1149" s="24"/>
      <c r="CR1149" s="24"/>
      <c r="FB1149" s="32"/>
      <c r="FF1149" s="32"/>
      <c r="JB1149" s="32" t="s">
        <v>779</v>
      </c>
    </row>
    <row r="1150" spans="1:262" s="76" customFormat="1" x14ac:dyDescent="0.25">
      <c r="A1150" s="76">
        <v>53</v>
      </c>
      <c r="B1150" s="77" t="s">
        <v>4007</v>
      </c>
      <c r="C1150" s="76" t="s">
        <v>768</v>
      </c>
      <c r="D1150" s="76" t="s">
        <v>769</v>
      </c>
      <c r="E1150" s="76">
        <v>2006</v>
      </c>
      <c r="F1150" s="76">
        <v>2001</v>
      </c>
      <c r="G1150" s="76" t="s">
        <v>770</v>
      </c>
      <c r="H1150" s="76" t="s">
        <v>771</v>
      </c>
      <c r="I1150" s="32" t="s">
        <v>2815</v>
      </c>
      <c r="J1150" s="76">
        <v>33.950000000000003</v>
      </c>
      <c r="K1150" s="76">
        <v>-83.38</v>
      </c>
      <c r="L1150" s="76">
        <v>208.4</v>
      </c>
      <c r="O1150" s="32">
        <v>748</v>
      </c>
      <c r="P1150" s="32">
        <f t="shared" si="239"/>
        <v>1233</v>
      </c>
      <c r="R1150" s="77">
        <v>2</v>
      </c>
      <c r="S1150" s="77" t="s">
        <v>1728</v>
      </c>
      <c r="T1150" s="77"/>
      <c r="U1150" s="77" t="s">
        <v>781</v>
      </c>
      <c r="V1150" s="77" t="s">
        <v>1408</v>
      </c>
      <c r="W1150" s="77" t="s">
        <v>1720</v>
      </c>
      <c r="X1150" s="77" t="s">
        <v>1388</v>
      </c>
      <c r="Y1150" s="77" t="s">
        <v>1389</v>
      </c>
      <c r="AA1150" s="339">
        <f t="shared" si="244"/>
        <v>65</v>
      </c>
      <c r="AB1150" s="339">
        <f>25</f>
        <v>25</v>
      </c>
      <c r="AC1150" s="76" t="s">
        <v>240</v>
      </c>
      <c r="AD1150" s="76">
        <v>6.6</v>
      </c>
      <c r="AE1150" s="76">
        <v>0.88</v>
      </c>
      <c r="AG1150" s="76" t="s">
        <v>1344</v>
      </c>
      <c r="AH1150" s="76" t="s">
        <v>1518</v>
      </c>
      <c r="AI1150" s="138" t="s">
        <v>1582</v>
      </c>
      <c r="AJ1150" s="76" t="s">
        <v>584</v>
      </c>
      <c r="AK1150" s="140" t="s">
        <v>1627</v>
      </c>
      <c r="AL1150" s="32" t="s">
        <v>778</v>
      </c>
      <c r="AM1150" s="32" t="s">
        <v>778</v>
      </c>
      <c r="AN1150" s="32" t="s">
        <v>177</v>
      </c>
      <c r="AW1150" s="76" t="s">
        <v>119</v>
      </c>
      <c r="AX1150" s="76">
        <v>3</v>
      </c>
      <c r="AZ1150" s="76" t="s">
        <v>335</v>
      </c>
      <c r="BB1150" s="76">
        <v>5980</v>
      </c>
      <c r="BC1150" s="76">
        <v>32</v>
      </c>
      <c r="BP1150" s="414"/>
      <c r="BQ1150" s="414"/>
      <c r="BU1150" s="414"/>
      <c r="BV1150" s="414"/>
      <c r="BZ1150" s="414"/>
      <c r="CA1150" s="414"/>
      <c r="CE1150" s="567"/>
      <c r="CF1150" s="567"/>
      <c r="CG1150" s="567"/>
      <c r="CH1150" s="567"/>
      <c r="CJ1150" s="76">
        <v>8.4560000000000013</v>
      </c>
      <c r="CK1150" s="76">
        <v>9.0944000000000003</v>
      </c>
      <c r="CL1150" s="32"/>
      <c r="CM1150" s="32"/>
      <c r="CN1150" s="32" t="s">
        <v>465</v>
      </c>
      <c r="CP1150" s="24"/>
      <c r="CQ1150" s="24"/>
      <c r="CR1150" s="24"/>
      <c r="FB1150" s="32"/>
      <c r="FF1150" s="32"/>
      <c r="JB1150" s="32" t="s">
        <v>779</v>
      </c>
    </row>
    <row r="1151" spans="1:262" s="32" customFormat="1" x14ac:dyDescent="0.25">
      <c r="A1151" s="32">
        <v>53</v>
      </c>
      <c r="B1151" s="44" t="s">
        <v>4006</v>
      </c>
      <c r="C1151" s="32" t="s">
        <v>768</v>
      </c>
      <c r="D1151" s="32" t="s">
        <v>769</v>
      </c>
      <c r="E1151" s="32">
        <v>2006</v>
      </c>
      <c r="F1151" s="32">
        <v>2002</v>
      </c>
      <c r="G1151" s="32" t="s">
        <v>770</v>
      </c>
      <c r="H1151" s="32" t="s">
        <v>771</v>
      </c>
      <c r="I1151" s="32" t="s">
        <v>2815</v>
      </c>
      <c r="J1151" s="32">
        <v>33.950000000000003</v>
      </c>
      <c r="K1151" s="32">
        <v>-83.38</v>
      </c>
      <c r="L1151" s="32">
        <v>208.4</v>
      </c>
      <c r="O1151" s="32">
        <v>971</v>
      </c>
      <c r="P1151" s="32">
        <f>588+645</f>
        <v>1233</v>
      </c>
      <c r="R1151" s="44">
        <v>3</v>
      </c>
      <c r="S1151" s="44" t="s">
        <v>1728</v>
      </c>
      <c r="T1151" s="44"/>
      <c r="U1151" s="44" t="s">
        <v>780</v>
      </c>
      <c r="V1151" s="44" t="s">
        <v>1408</v>
      </c>
      <c r="W1151" s="44" t="s">
        <v>1720</v>
      </c>
      <c r="X1151" s="44" t="s">
        <v>1388</v>
      </c>
      <c r="Y1151" s="44" t="s">
        <v>1389</v>
      </c>
      <c r="AA1151" s="323">
        <f t="shared" si="244"/>
        <v>65</v>
      </c>
      <c r="AB1151" s="323">
        <f>25</f>
        <v>25</v>
      </c>
      <c r="AC1151" s="32" t="s">
        <v>240</v>
      </c>
      <c r="AD1151" s="32">
        <v>6.6</v>
      </c>
      <c r="AE1151" s="32">
        <v>0.88</v>
      </c>
      <c r="AG1151" s="32" t="s">
        <v>1344</v>
      </c>
      <c r="AH1151" s="32" t="s">
        <v>131</v>
      </c>
      <c r="AI1151" s="138" t="s">
        <v>131</v>
      </c>
      <c r="AJ1151" s="32" t="s">
        <v>584</v>
      </c>
      <c r="AK1151" s="140" t="s">
        <v>1627</v>
      </c>
      <c r="AL1151" s="32" t="s">
        <v>778</v>
      </c>
      <c r="AM1151" s="32" t="s">
        <v>778</v>
      </c>
      <c r="AN1151" s="32" t="s">
        <v>177</v>
      </c>
      <c r="AW1151" s="32" t="s">
        <v>119</v>
      </c>
      <c r="AX1151" s="32">
        <v>3</v>
      </c>
      <c r="AZ1151" s="32" t="s">
        <v>335</v>
      </c>
      <c r="BB1151" s="32">
        <v>2280</v>
      </c>
      <c r="BC1151" s="32">
        <v>40</v>
      </c>
      <c r="BP1151" s="397"/>
      <c r="BQ1151" s="397"/>
      <c r="BU1151" s="397"/>
      <c r="BV1151" s="397"/>
      <c r="BZ1151" s="397"/>
      <c r="CA1151" s="397"/>
      <c r="CE1151" s="550"/>
      <c r="CF1151" s="550"/>
      <c r="CG1151" s="550"/>
      <c r="CH1151" s="550"/>
      <c r="CJ1151" s="32">
        <v>7.7588000000000008</v>
      </c>
      <c r="CK1151" s="32">
        <v>7.7560000000000002</v>
      </c>
      <c r="CN1151" s="32" t="s">
        <v>465</v>
      </c>
      <c r="CP1151" s="24"/>
      <c r="CQ1151" s="24"/>
      <c r="CR1151" s="24"/>
      <c r="JB1151" s="32" t="s">
        <v>779</v>
      </c>
    </row>
    <row r="1152" spans="1:262" s="32" customFormat="1" x14ac:dyDescent="0.25">
      <c r="A1152" s="32">
        <v>53</v>
      </c>
      <c r="B1152" s="44" t="s">
        <v>4007</v>
      </c>
      <c r="C1152" s="32" t="s">
        <v>768</v>
      </c>
      <c r="D1152" s="32" t="s">
        <v>769</v>
      </c>
      <c r="E1152" s="32">
        <v>2006</v>
      </c>
      <c r="F1152" s="32">
        <v>2002</v>
      </c>
      <c r="G1152" s="32" t="s">
        <v>770</v>
      </c>
      <c r="H1152" s="32" t="s">
        <v>771</v>
      </c>
      <c r="I1152" s="32" t="s">
        <v>2815</v>
      </c>
      <c r="J1152" s="32">
        <v>33.950000000000003</v>
      </c>
      <c r="K1152" s="32">
        <v>-83.38</v>
      </c>
      <c r="L1152" s="32">
        <v>208.4</v>
      </c>
      <c r="O1152" s="32">
        <v>971</v>
      </c>
      <c r="P1152" s="32">
        <f t="shared" si="239"/>
        <v>1233</v>
      </c>
      <c r="R1152" s="44">
        <v>3</v>
      </c>
      <c r="S1152" s="44" t="s">
        <v>1728</v>
      </c>
      <c r="T1152" s="44"/>
      <c r="U1152" s="44" t="s">
        <v>780</v>
      </c>
      <c r="V1152" s="44" t="s">
        <v>1408</v>
      </c>
      <c r="W1152" s="44" t="s">
        <v>1720</v>
      </c>
      <c r="X1152" s="44" t="s">
        <v>1388</v>
      </c>
      <c r="Y1152" s="44" t="s">
        <v>1389</v>
      </c>
      <c r="AA1152" s="323">
        <f t="shared" si="244"/>
        <v>65</v>
      </c>
      <c r="AB1152" s="323">
        <f>25</f>
        <v>25</v>
      </c>
      <c r="AC1152" s="32" t="s">
        <v>240</v>
      </c>
      <c r="AD1152" s="32">
        <v>6.6</v>
      </c>
      <c r="AE1152" s="32">
        <v>0.88</v>
      </c>
      <c r="AG1152" s="32" t="s">
        <v>1344</v>
      </c>
      <c r="AH1152" s="32" t="s">
        <v>243</v>
      </c>
      <c r="AI1152" s="138" t="s">
        <v>577</v>
      </c>
      <c r="AJ1152" s="32" t="s">
        <v>584</v>
      </c>
      <c r="AK1152" s="140" t="s">
        <v>1627</v>
      </c>
      <c r="AL1152" s="32" t="s">
        <v>778</v>
      </c>
      <c r="AM1152" s="32" t="s">
        <v>778</v>
      </c>
      <c r="AN1152" s="32" t="s">
        <v>177</v>
      </c>
      <c r="AW1152" s="32" t="s">
        <v>119</v>
      </c>
      <c r="AX1152" s="32">
        <v>3</v>
      </c>
      <c r="AZ1152" s="32" t="s">
        <v>335</v>
      </c>
      <c r="BB1152" s="32">
        <v>5160</v>
      </c>
      <c r="BC1152" s="32">
        <v>10</v>
      </c>
      <c r="BP1152" s="397"/>
      <c r="BQ1152" s="397"/>
      <c r="BU1152" s="397"/>
      <c r="BV1152" s="397"/>
      <c r="BZ1152" s="397"/>
      <c r="CA1152" s="397"/>
      <c r="CE1152" s="550"/>
      <c r="CF1152" s="550"/>
      <c r="CG1152" s="550"/>
      <c r="CH1152" s="550"/>
      <c r="CJ1152" s="32">
        <v>7.7588000000000008</v>
      </c>
      <c r="CK1152" s="32">
        <v>9.5872000000000011</v>
      </c>
      <c r="CN1152" s="32" t="s">
        <v>465</v>
      </c>
      <c r="CP1152" s="24"/>
      <c r="CQ1152" s="24"/>
      <c r="CR1152" s="24"/>
      <c r="JB1152" s="32" t="s">
        <v>779</v>
      </c>
    </row>
    <row r="1153" spans="1:264" s="32" customFormat="1" x14ac:dyDescent="0.25">
      <c r="A1153" s="32">
        <v>53</v>
      </c>
      <c r="B1153" s="44" t="s">
        <v>4006</v>
      </c>
      <c r="C1153" s="32" t="s">
        <v>768</v>
      </c>
      <c r="D1153" s="32" t="s">
        <v>769</v>
      </c>
      <c r="E1153" s="32">
        <v>2006</v>
      </c>
      <c r="F1153" s="32">
        <v>2002</v>
      </c>
      <c r="G1153" s="32" t="s">
        <v>770</v>
      </c>
      <c r="H1153" s="32" t="s">
        <v>771</v>
      </c>
      <c r="I1153" s="32" t="s">
        <v>2815</v>
      </c>
      <c r="J1153" s="32">
        <v>33.950000000000003</v>
      </c>
      <c r="K1153" s="32">
        <v>-83.38</v>
      </c>
      <c r="L1153" s="32">
        <v>208.4</v>
      </c>
      <c r="O1153" s="32">
        <v>971</v>
      </c>
      <c r="P1153" s="32">
        <f t="shared" ref="P1153:P1156" si="246">588+645</f>
        <v>1233</v>
      </c>
      <c r="R1153" s="44">
        <v>3</v>
      </c>
      <c r="S1153" s="44" t="s">
        <v>1728</v>
      </c>
      <c r="T1153" s="44"/>
      <c r="U1153" s="44" t="s">
        <v>780</v>
      </c>
      <c r="V1153" s="44" t="s">
        <v>1408</v>
      </c>
      <c r="W1153" s="44" t="s">
        <v>1720</v>
      </c>
      <c r="X1153" s="44" t="s">
        <v>1388</v>
      </c>
      <c r="Y1153" s="44" t="s">
        <v>1389</v>
      </c>
      <c r="AA1153" s="323">
        <f t="shared" si="244"/>
        <v>65</v>
      </c>
      <c r="AB1153" s="323">
        <f>25</f>
        <v>25</v>
      </c>
      <c r="AC1153" s="32" t="s">
        <v>240</v>
      </c>
      <c r="AD1153" s="32">
        <v>6.6</v>
      </c>
      <c r="AE1153" s="32">
        <v>0.88</v>
      </c>
      <c r="AG1153" s="32" t="s">
        <v>1344</v>
      </c>
      <c r="AH1153" s="32" t="s">
        <v>1518</v>
      </c>
      <c r="AI1153" s="138" t="s">
        <v>1582</v>
      </c>
      <c r="AJ1153" s="32" t="s">
        <v>584</v>
      </c>
      <c r="AK1153" s="140" t="s">
        <v>1627</v>
      </c>
      <c r="AL1153" s="32" t="s">
        <v>778</v>
      </c>
      <c r="AM1153" s="32" t="s">
        <v>778</v>
      </c>
      <c r="AN1153" s="32" t="s">
        <v>177</v>
      </c>
      <c r="AW1153" s="32" t="s">
        <v>119</v>
      </c>
      <c r="AX1153" s="32">
        <v>3</v>
      </c>
      <c r="AZ1153" s="32" t="s">
        <v>335</v>
      </c>
      <c r="BB1153" s="32">
        <v>5720</v>
      </c>
      <c r="BC1153" s="32">
        <v>11</v>
      </c>
      <c r="BP1153" s="397"/>
      <c r="BQ1153" s="397"/>
      <c r="BU1153" s="397"/>
      <c r="BV1153" s="397"/>
      <c r="BZ1153" s="397"/>
      <c r="CA1153" s="397"/>
      <c r="CE1153" s="550"/>
      <c r="CF1153" s="550"/>
      <c r="CG1153" s="550"/>
      <c r="CH1153" s="550"/>
      <c r="CJ1153" s="32">
        <v>7.7588000000000008</v>
      </c>
      <c r="CK1153" s="32">
        <v>8.6268000000000011</v>
      </c>
      <c r="CN1153" s="32" t="s">
        <v>465</v>
      </c>
      <c r="CP1153" s="24"/>
      <c r="CQ1153" s="24"/>
      <c r="CR1153" s="24"/>
      <c r="JB1153" s="32" t="s">
        <v>779</v>
      </c>
    </row>
    <row r="1154" spans="1:264" s="76" customFormat="1" x14ac:dyDescent="0.25">
      <c r="A1154" s="76">
        <v>53</v>
      </c>
      <c r="B1154" s="77" t="s">
        <v>4007</v>
      </c>
      <c r="C1154" s="76" t="s">
        <v>768</v>
      </c>
      <c r="D1154" s="76" t="s">
        <v>769</v>
      </c>
      <c r="E1154" s="76">
        <v>2006</v>
      </c>
      <c r="F1154" s="76">
        <v>2002</v>
      </c>
      <c r="G1154" s="76" t="s">
        <v>770</v>
      </c>
      <c r="H1154" s="76" t="s">
        <v>771</v>
      </c>
      <c r="I1154" s="32" t="s">
        <v>2815</v>
      </c>
      <c r="J1154" s="76">
        <v>33.950000000000003</v>
      </c>
      <c r="K1154" s="76">
        <v>-83.38</v>
      </c>
      <c r="L1154" s="76">
        <v>208.4</v>
      </c>
      <c r="O1154" s="32">
        <v>971</v>
      </c>
      <c r="P1154" s="32">
        <f t="shared" si="246"/>
        <v>1233</v>
      </c>
      <c r="R1154" s="77">
        <v>3</v>
      </c>
      <c r="S1154" s="77" t="s">
        <v>1728</v>
      </c>
      <c r="T1154" s="77"/>
      <c r="U1154" s="77" t="s">
        <v>781</v>
      </c>
      <c r="V1154" s="77" t="s">
        <v>1408</v>
      </c>
      <c r="W1154" s="77" t="s">
        <v>1720</v>
      </c>
      <c r="X1154" s="77" t="s">
        <v>1388</v>
      </c>
      <c r="Y1154" s="77" t="s">
        <v>1389</v>
      </c>
      <c r="AA1154" s="339">
        <f t="shared" si="244"/>
        <v>65</v>
      </c>
      <c r="AB1154" s="339">
        <f>25</f>
        <v>25</v>
      </c>
      <c r="AC1154" s="76" t="s">
        <v>240</v>
      </c>
      <c r="AD1154" s="76">
        <v>6.6</v>
      </c>
      <c r="AE1154" s="76">
        <v>0.88</v>
      </c>
      <c r="AG1154" s="76" t="s">
        <v>1344</v>
      </c>
      <c r="AH1154" s="76" t="s">
        <v>131</v>
      </c>
      <c r="AI1154" s="138" t="s">
        <v>131</v>
      </c>
      <c r="AJ1154" s="76" t="s">
        <v>584</v>
      </c>
      <c r="AK1154" s="140" t="s">
        <v>1627</v>
      </c>
      <c r="AL1154" s="32" t="s">
        <v>778</v>
      </c>
      <c r="AM1154" s="32" t="s">
        <v>778</v>
      </c>
      <c r="AN1154" s="32" t="s">
        <v>177</v>
      </c>
      <c r="AW1154" s="76" t="s">
        <v>119</v>
      </c>
      <c r="AX1154" s="76">
        <v>3</v>
      </c>
      <c r="AZ1154" s="76" t="s">
        <v>335</v>
      </c>
      <c r="BB1154" s="76">
        <v>2280</v>
      </c>
      <c r="BC1154" s="76">
        <v>40</v>
      </c>
      <c r="BP1154" s="414"/>
      <c r="BQ1154" s="414"/>
      <c r="BU1154" s="414"/>
      <c r="BV1154" s="414"/>
      <c r="BZ1154" s="414"/>
      <c r="CA1154" s="414"/>
      <c r="CE1154" s="567"/>
      <c r="CF1154" s="567"/>
      <c r="CG1154" s="567"/>
      <c r="CH1154" s="567"/>
      <c r="CJ1154" s="76">
        <v>11.538800000000002</v>
      </c>
      <c r="CK1154" s="76">
        <v>13.367200000000002</v>
      </c>
      <c r="CL1154" s="32"/>
      <c r="CM1154" s="32"/>
      <c r="CN1154" s="32" t="s">
        <v>465</v>
      </c>
      <c r="CP1154" s="24"/>
      <c r="CQ1154" s="24"/>
      <c r="CR1154" s="24"/>
      <c r="FB1154" s="32"/>
      <c r="FF1154" s="32"/>
      <c r="JB1154" s="32" t="s">
        <v>779</v>
      </c>
    </row>
    <row r="1155" spans="1:264" s="76" customFormat="1" x14ac:dyDescent="0.25">
      <c r="A1155" s="76">
        <v>53</v>
      </c>
      <c r="B1155" s="77" t="s">
        <v>4006</v>
      </c>
      <c r="C1155" s="76" t="s">
        <v>768</v>
      </c>
      <c r="D1155" s="76" t="s">
        <v>769</v>
      </c>
      <c r="E1155" s="76">
        <v>2006</v>
      </c>
      <c r="F1155" s="76">
        <v>2002</v>
      </c>
      <c r="G1155" s="76" t="s">
        <v>770</v>
      </c>
      <c r="H1155" s="76" t="s">
        <v>771</v>
      </c>
      <c r="I1155" s="32" t="s">
        <v>2815</v>
      </c>
      <c r="J1155" s="76">
        <v>33.950000000000003</v>
      </c>
      <c r="K1155" s="76">
        <v>-83.38</v>
      </c>
      <c r="L1155" s="76">
        <v>208.4</v>
      </c>
      <c r="O1155" s="32">
        <v>971</v>
      </c>
      <c r="P1155" s="32">
        <f t="shared" si="246"/>
        <v>1233</v>
      </c>
      <c r="R1155" s="77">
        <v>3</v>
      </c>
      <c r="S1155" s="77" t="s">
        <v>1728</v>
      </c>
      <c r="T1155" s="77"/>
      <c r="U1155" s="77" t="s">
        <v>781</v>
      </c>
      <c r="V1155" s="77" t="s">
        <v>1408</v>
      </c>
      <c r="W1155" s="77" t="s">
        <v>1720</v>
      </c>
      <c r="X1155" s="77" t="s">
        <v>1388</v>
      </c>
      <c r="Y1155" s="77" t="s">
        <v>1389</v>
      </c>
      <c r="AA1155" s="339">
        <f t="shared" si="244"/>
        <v>65</v>
      </c>
      <c r="AB1155" s="339">
        <f>25</f>
        <v>25</v>
      </c>
      <c r="AC1155" s="76" t="s">
        <v>240</v>
      </c>
      <c r="AD1155" s="76">
        <v>6.6</v>
      </c>
      <c r="AE1155" s="76">
        <v>0.88</v>
      </c>
      <c r="AG1155" s="76" t="s">
        <v>1344</v>
      </c>
      <c r="AH1155" s="76" t="s">
        <v>243</v>
      </c>
      <c r="AI1155" s="138" t="s">
        <v>577</v>
      </c>
      <c r="AJ1155" s="76" t="s">
        <v>584</v>
      </c>
      <c r="AK1155" s="140" t="s">
        <v>1627</v>
      </c>
      <c r="AL1155" s="32" t="s">
        <v>778</v>
      </c>
      <c r="AM1155" s="32" t="s">
        <v>778</v>
      </c>
      <c r="AN1155" s="32" t="s">
        <v>177</v>
      </c>
      <c r="AW1155" s="76" t="s">
        <v>119</v>
      </c>
      <c r="AX1155" s="76">
        <v>3</v>
      </c>
      <c r="AZ1155" s="76" t="s">
        <v>335</v>
      </c>
      <c r="BB1155" s="76">
        <v>5160</v>
      </c>
      <c r="BC1155" s="76">
        <v>10</v>
      </c>
      <c r="BP1155" s="414"/>
      <c r="BQ1155" s="414"/>
      <c r="BU1155" s="414"/>
      <c r="BV1155" s="414"/>
      <c r="BZ1155" s="414"/>
      <c r="CA1155" s="414"/>
      <c r="CE1155" s="567"/>
      <c r="CF1155" s="567"/>
      <c r="CG1155" s="567"/>
      <c r="CH1155" s="567"/>
      <c r="CJ1155" s="76">
        <v>11.538800000000002</v>
      </c>
      <c r="CK1155" s="76">
        <v>12.908000000000001</v>
      </c>
      <c r="CL1155" s="32"/>
      <c r="CM1155" s="32"/>
      <c r="CN1155" s="32" t="s">
        <v>465</v>
      </c>
      <c r="CP1155" s="24"/>
      <c r="CQ1155" s="24"/>
      <c r="CR1155" s="24"/>
      <c r="FB1155" s="32"/>
      <c r="FF1155" s="32"/>
      <c r="JB1155" s="32" t="s">
        <v>779</v>
      </c>
    </row>
    <row r="1156" spans="1:264" s="76" customFormat="1" x14ac:dyDescent="0.25">
      <c r="A1156" s="76">
        <v>53</v>
      </c>
      <c r="B1156" s="77" t="s">
        <v>4007</v>
      </c>
      <c r="C1156" s="76" t="s">
        <v>768</v>
      </c>
      <c r="D1156" s="76" t="s">
        <v>769</v>
      </c>
      <c r="E1156" s="76">
        <v>2006</v>
      </c>
      <c r="F1156" s="76">
        <v>2002</v>
      </c>
      <c r="G1156" s="76" t="s">
        <v>770</v>
      </c>
      <c r="H1156" s="76" t="s">
        <v>771</v>
      </c>
      <c r="I1156" s="32" t="s">
        <v>2815</v>
      </c>
      <c r="J1156" s="76">
        <v>33.950000000000003</v>
      </c>
      <c r="K1156" s="76">
        <v>-83.38</v>
      </c>
      <c r="L1156" s="76">
        <v>208.4</v>
      </c>
      <c r="O1156" s="32">
        <v>971</v>
      </c>
      <c r="P1156" s="32">
        <f t="shared" si="246"/>
        <v>1233</v>
      </c>
      <c r="R1156" s="77">
        <v>3</v>
      </c>
      <c r="S1156" s="77" t="s">
        <v>1728</v>
      </c>
      <c r="T1156" s="77"/>
      <c r="U1156" s="77" t="s">
        <v>781</v>
      </c>
      <c r="V1156" s="77" t="s">
        <v>1408</v>
      </c>
      <c r="W1156" s="77" t="s">
        <v>1720</v>
      </c>
      <c r="X1156" s="77" t="s">
        <v>1388</v>
      </c>
      <c r="Y1156" s="77" t="s">
        <v>1389</v>
      </c>
      <c r="AA1156" s="339">
        <f t="shared" si="244"/>
        <v>65</v>
      </c>
      <c r="AB1156" s="339">
        <f>25</f>
        <v>25</v>
      </c>
      <c r="AC1156" s="76" t="s">
        <v>240</v>
      </c>
      <c r="AD1156" s="76">
        <v>6.6</v>
      </c>
      <c r="AE1156" s="76">
        <v>0.88</v>
      </c>
      <c r="AG1156" s="76" t="s">
        <v>1344</v>
      </c>
      <c r="AH1156" s="76" t="s">
        <v>1518</v>
      </c>
      <c r="AI1156" s="138" t="s">
        <v>1582</v>
      </c>
      <c r="AJ1156" s="76" t="s">
        <v>584</v>
      </c>
      <c r="AK1156" s="140" t="s">
        <v>1627</v>
      </c>
      <c r="AL1156" s="32" t="s">
        <v>778</v>
      </c>
      <c r="AM1156" s="32" t="s">
        <v>778</v>
      </c>
      <c r="AN1156" s="32" t="s">
        <v>177</v>
      </c>
      <c r="AW1156" s="76" t="s">
        <v>119</v>
      </c>
      <c r="AX1156" s="76">
        <v>3</v>
      </c>
      <c r="AZ1156" s="76" t="s">
        <v>335</v>
      </c>
      <c r="BB1156" s="76">
        <v>5720</v>
      </c>
      <c r="BC1156" s="76">
        <v>11</v>
      </c>
      <c r="BP1156" s="414"/>
      <c r="BQ1156" s="414"/>
      <c r="BU1156" s="414"/>
      <c r="BV1156" s="414"/>
      <c r="BZ1156" s="414"/>
      <c r="CA1156" s="414"/>
      <c r="CE1156" s="567"/>
      <c r="CF1156" s="567"/>
      <c r="CG1156" s="567"/>
      <c r="CH1156" s="567"/>
      <c r="CJ1156" s="76">
        <v>11.538800000000002</v>
      </c>
      <c r="CK1156" s="76">
        <v>12.177200000000001</v>
      </c>
      <c r="CL1156" s="32"/>
      <c r="CM1156" s="32"/>
      <c r="CN1156" s="32" t="s">
        <v>465</v>
      </c>
      <c r="CP1156" s="24"/>
      <c r="CQ1156" s="24"/>
      <c r="CR1156" s="24"/>
      <c r="FB1156" s="32"/>
      <c r="FF1156" s="32"/>
      <c r="JB1156" s="32" t="s">
        <v>779</v>
      </c>
    </row>
    <row r="1157" spans="1:264" s="39" customFormat="1" x14ac:dyDescent="0.25">
      <c r="A1157" s="39">
        <v>54</v>
      </c>
      <c r="B1157" s="70" t="s">
        <v>4008</v>
      </c>
      <c r="C1157" s="39" t="s">
        <v>782</v>
      </c>
      <c r="D1157" s="39" t="s">
        <v>783</v>
      </c>
      <c r="E1157" s="39">
        <v>2014</v>
      </c>
      <c r="F1157" s="39">
        <v>2011</v>
      </c>
      <c r="G1157" s="39" t="s">
        <v>784</v>
      </c>
      <c r="H1157" s="39" t="s">
        <v>303</v>
      </c>
      <c r="I1157" s="32" t="s">
        <v>2815</v>
      </c>
      <c r="J1157" s="39">
        <v>40.733333333333334</v>
      </c>
      <c r="K1157" s="39">
        <v>-77.95</v>
      </c>
      <c r="L1157" s="39">
        <v>375.2</v>
      </c>
      <c r="R1157" s="70" t="s">
        <v>1847</v>
      </c>
      <c r="S1157" s="70" t="s">
        <v>1728</v>
      </c>
      <c r="T1157" s="70"/>
      <c r="U1157" s="70" t="s">
        <v>1966</v>
      </c>
      <c r="V1157" s="70" t="s">
        <v>1377</v>
      </c>
      <c r="W1157" s="70" t="s">
        <v>1377</v>
      </c>
      <c r="X1157" s="70" t="s">
        <v>1377</v>
      </c>
      <c r="Y1157" s="70" t="s">
        <v>1377</v>
      </c>
      <c r="AA1157" s="340"/>
      <c r="AB1157" s="340"/>
      <c r="AC1157" s="39" t="s">
        <v>450</v>
      </c>
      <c r="AH1157" s="39" t="s">
        <v>131</v>
      </c>
      <c r="AI1157" s="138" t="s">
        <v>131</v>
      </c>
      <c r="AJ1157" s="39" t="s">
        <v>158</v>
      </c>
      <c r="AK1157" s="141" t="s">
        <v>1621</v>
      </c>
      <c r="AL1157" s="39" t="s">
        <v>785</v>
      </c>
      <c r="AM1157" s="39" t="s">
        <v>785</v>
      </c>
      <c r="AN1157" s="39" t="s">
        <v>177</v>
      </c>
      <c r="AW1157" s="39" t="s">
        <v>160</v>
      </c>
      <c r="BE1157" s="39" t="s">
        <v>786</v>
      </c>
      <c r="BK1157" s="39">
        <v>3100</v>
      </c>
      <c r="BL1157" s="39">
        <v>3100</v>
      </c>
      <c r="BP1157" s="415"/>
      <c r="BQ1157" s="415"/>
      <c r="BU1157" s="415"/>
      <c r="BV1157" s="415"/>
      <c r="BZ1157" s="415"/>
      <c r="CA1157" s="415"/>
      <c r="CE1157" s="568"/>
      <c r="CF1157" s="568"/>
      <c r="CG1157" s="568"/>
      <c r="CH1157" s="568"/>
      <c r="IZ1157" s="39">
        <v>99999</v>
      </c>
      <c r="JB1157" s="39" t="s">
        <v>787</v>
      </c>
      <c r="JD1157"/>
    </row>
    <row r="1158" spans="1:264" s="39" customFormat="1" x14ac:dyDescent="0.25">
      <c r="A1158" s="39">
        <v>54</v>
      </c>
      <c r="B1158" s="70" t="s">
        <v>4009</v>
      </c>
      <c r="C1158" s="39" t="s">
        <v>782</v>
      </c>
      <c r="D1158" s="39" t="s">
        <v>783</v>
      </c>
      <c r="E1158" s="39">
        <v>2014</v>
      </c>
      <c r="F1158" s="39">
        <v>2011</v>
      </c>
      <c r="G1158" s="39" t="s">
        <v>784</v>
      </c>
      <c r="H1158" s="39" t="s">
        <v>303</v>
      </c>
      <c r="I1158" s="32" t="s">
        <v>2815</v>
      </c>
      <c r="J1158" s="39">
        <v>40.733333333333334</v>
      </c>
      <c r="K1158" s="39">
        <v>-77.95</v>
      </c>
      <c r="L1158" s="39">
        <v>375.2</v>
      </c>
      <c r="R1158" s="70" t="s">
        <v>1847</v>
      </c>
      <c r="S1158" s="70" t="s">
        <v>1728</v>
      </c>
      <c r="T1158" s="70"/>
      <c r="U1158" s="70" t="s">
        <v>1966</v>
      </c>
      <c r="V1158" s="70" t="s">
        <v>1377</v>
      </c>
      <c r="W1158" s="70" t="s">
        <v>1377</v>
      </c>
      <c r="X1158" s="70" t="s">
        <v>1377</v>
      </c>
      <c r="Y1158" s="70" t="s">
        <v>1377</v>
      </c>
      <c r="AA1158" s="340"/>
      <c r="AB1158" s="340"/>
      <c r="AC1158" s="39" t="s">
        <v>450</v>
      </c>
      <c r="AH1158" s="39" t="s">
        <v>131</v>
      </c>
      <c r="AI1158" s="138" t="s">
        <v>131</v>
      </c>
      <c r="AJ1158" s="39" t="s">
        <v>116</v>
      </c>
      <c r="AK1158" s="141" t="s">
        <v>1621</v>
      </c>
      <c r="AL1158" s="39" t="s">
        <v>785</v>
      </c>
      <c r="AM1158" s="39" t="s">
        <v>785</v>
      </c>
      <c r="AN1158" s="39" t="s">
        <v>177</v>
      </c>
      <c r="AW1158" s="39" t="s">
        <v>160</v>
      </c>
      <c r="BE1158" s="39" t="s">
        <v>786</v>
      </c>
      <c r="BK1158" s="39">
        <v>5900</v>
      </c>
      <c r="BL1158" s="39">
        <v>5800</v>
      </c>
      <c r="BP1158" s="415"/>
      <c r="BQ1158" s="415"/>
      <c r="BU1158" s="415"/>
      <c r="BV1158" s="415"/>
      <c r="BZ1158" s="415"/>
      <c r="CA1158" s="415"/>
      <c r="CE1158" s="568"/>
      <c r="CF1158" s="568"/>
      <c r="CG1158" s="568"/>
      <c r="CH1158" s="568"/>
      <c r="IZ1158" s="39">
        <v>99999</v>
      </c>
      <c r="JB1158" s="39" t="s">
        <v>787</v>
      </c>
      <c r="JD1158"/>
    </row>
    <row r="1159" spans="1:264" s="39" customFormat="1" x14ac:dyDescent="0.25">
      <c r="A1159" s="39">
        <v>54</v>
      </c>
      <c r="B1159" s="70" t="s">
        <v>4010</v>
      </c>
      <c r="C1159" s="39" t="s">
        <v>782</v>
      </c>
      <c r="D1159" s="39" t="s">
        <v>783</v>
      </c>
      <c r="E1159" s="39">
        <v>2014</v>
      </c>
      <c r="F1159" s="39">
        <v>2011</v>
      </c>
      <c r="G1159" s="39" t="s">
        <v>784</v>
      </c>
      <c r="H1159" s="39" t="s">
        <v>303</v>
      </c>
      <c r="I1159" s="32" t="s">
        <v>2815</v>
      </c>
      <c r="J1159" s="39">
        <v>40.733333333333334</v>
      </c>
      <c r="K1159" s="39">
        <v>-77.95</v>
      </c>
      <c r="L1159" s="39">
        <v>375.2</v>
      </c>
      <c r="R1159" s="70" t="s">
        <v>1847</v>
      </c>
      <c r="S1159" s="70" t="s">
        <v>1728</v>
      </c>
      <c r="T1159" s="70"/>
      <c r="U1159" s="70" t="s">
        <v>1966</v>
      </c>
      <c r="V1159" s="70" t="s">
        <v>1377</v>
      </c>
      <c r="W1159" s="70" t="s">
        <v>1377</v>
      </c>
      <c r="X1159" s="70" t="s">
        <v>1377</v>
      </c>
      <c r="Y1159" s="70" t="s">
        <v>1377</v>
      </c>
      <c r="AA1159" s="340"/>
      <c r="AB1159" s="340"/>
      <c r="AC1159" s="39" t="s">
        <v>450</v>
      </c>
      <c r="AH1159" s="39" t="s">
        <v>131</v>
      </c>
      <c r="AI1159" s="138" t="s">
        <v>131</v>
      </c>
      <c r="AJ1159" s="39" t="s">
        <v>132</v>
      </c>
      <c r="AK1159" s="141" t="s">
        <v>1621</v>
      </c>
      <c r="AL1159" s="39" t="s">
        <v>785</v>
      </c>
      <c r="AM1159" s="39" t="s">
        <v>785</v>
      </c>
      <c r="AN1159" s="39" t="s">
        <v>177</v>
      </c>
      <c r="AW1159" s="39" t="s">
        <v>160</v>
      </c>
      <c r="BE1159" s="39" t="s">
        <v>786</v>
      </c>
      <c r="BK1159" s="39">
        <v>8200</v>
      </c>
      <c r="BL1159" s="39">
        <v>8100</v>
      </c>
      <c r="BP1159" s="415"/>
      <c r="BQ1159" s="415"/>
      <c r="BU1159" s="415"/>
      <c r="BV1159" s="415"/>
      <c r="BZ1159" s="415"/>
      <c r="CA1159" s="415"/>
      <c r="CE1159" s="568"/>
      <c r="CF1159" s="568"/>
      <c r="CG1159" s="568"/>
      <c r="CH1159" s="568"/>
      <c r="IZ1159" s="39">
        <v>99999</v>
      </c>
      <c r="JB1159" s="39" t="s">
        <v>787</v>
      </c>
      <c r="JD1159"/>
    </row>
    <row r="1160" spans="1:264" s="24" customFormat="1" x14ac:dyDescent="0.25">
      <c r="A1160" s="24">
        <v>55</v>
      </c>
      <c r="B1160" s="42" t="s">
        <v>4011</v>
      </c>
      <c r="C1160" s="24" t="s">
        <v>788</v>
      </c>
      <c r="D1160" s="24" t="s">
        <v>789</v>
      </c>
      <c r="E1160" s="24">
        <v>2001</v>
      </c>
      <c r="F1160" s="24">
        <v>1997</v>
      </c>
      <c r="G1160" s="24" t="s">
        <v>794</v>
      </c>
      <c r="H1160" s="24" t="s">
        <v>790</v>
      </c>
      <c r="I1160" s="32" t="s">
        <v>2815</v>
      </c>
      <c r="J1160" s="24">
        <v>45.23</v>
      </c>
      <c r="K1160" s="24">
        <v>-122.756</v>
      </c>
      <c r="L1160" s="24">
        <v>48.4</v>
      </c>
      <c r="R1160" s="42" t="s">
        <v>1975</v>
      </c>
      <c r="S1160" s="42" t="s">
        <v>1860</v>
      </c>
      <c r="T1160" s="42"/>
      <c r="U1160" s="42" t="s">
        <v>1971</v>
      </c>
      <c r="V1160" s="42" t="s">
        <v>1380</v>
      </c>
      <c r="W1160" s="42" t="s">
        <v>1716</v>
      </c>
      <c r="X1160" s="42" t="s">
        <v>1380</v>
      </c>
      <c r="Y1160" s="42" t="s">
        <v>1380</v>
      </c>
      <c r="AA1160" s="321">
        <v>28</v>
      </c>
      <c r="AB1160" s="321">
        <v>54</v>
      </c>
      <c r="AC1160" s="24" t="s">
        <v>450</v>
      </c>
      <c r="AD1160" s="24">
        <v>5.4</v>
      </c>
      <c r="AE1160" s="24">
        <v>1.71</v>
      </c>
      <c r="AG1160" s="24" t="s">
        <v>1345</v>
      </c>
      <c r="AH1160" s="24" t="s">
        <v>791</v>
      </c>
      <c r="AI1160" s="138" t="s">
        <v>1581</v>
      </c>
      <c r="AJ1160" s="24" t="s">
        <v>634</v>
      </c>
      <c r="AK1160" s="140" t="s">
        <v>1625</v>
      </c>
      <c r="AL1160" s="24" t="s">
        <v>798</v>
      </c>
      <c r="AM1160" s="24" t="s">
        <v>798</v>
      </c>
      <c r="AN1160" s="24" t="s">
        <v>177</v>
      </c>
      <c r="AW1160" s="24" t="s">
        <v>119</v>
      </c>
      <c r="AX1160" s="24">
        <v>4</v>
      </c>
      <c r="AZ1160" s="24" t="s">
        <v>141</v>
      </c>
      <c r="BP1160" s="395"/>
      <c r="BQ1160" s="395"/>
      <c r="BU1160" s="395"/>
      <c r="BV1160" s="395"/>
      <c r="BZ1160" s="395"/>
      <c r="CA1160" s="395"/>
      <c r="CE1160" s="548"/>
      <c r="CF1160" s="548"/>
      <c r="CG1160" s="548"/>
      <c r="CH1160" s="548"/>
      <c r="GK1160" s="24">
        <v>0.96</v>
      </c>
      <c r="GL1160" s="24">
        <v>1.1200000000000001</v>
      </c>
      <c r="GO1160" s="24" t="s">
        <v>802</v>
      </c>
      <c r="JB1160" s="24" t="s">
        <v>803</v>
      </c>
    </row>
    <row r="1161" spans="1:264" s="24" customFormat="1" x14ac:dyDescent="0.25">
      <c r="A1161" s="24">
        <v>55</v>
      </c>
      <c r="B1161" s="42" t="s">
        <v>4012</v>
      </c>
      <c r="C1161" s="24" t="s">
        <v>788</v>
      </c>
      <c r="D1161" s="24" t="s">
        <v>789</v>
      </c>
      <c r="E1161" s="24">
        <v>2001</v>
      </c>
      <c r="F1161" s="24">
        <v>1997</v>
      </c>
      <c r="G1161" s="24" t="s">
        <v>794</v>
      </c>
      <c r="H1161" s="24" t="s">
        <v>790</v>
      </c>
      <c r="I1161" s="32" t="s">
        <v>2815</v>
      </c>
      <c r="J1161" s="24">
        <v>45.23</v>
      </c>
      <c r="K1161" s="24">
        <v>-122.756</v>
      </c>
      <c r="L1161" s="24">
        <v>48.4</v>
      </c>
      <c r="R1161" s="42" t="s">
        <v>1975</v>
      </c>
      <c r="S1161" s="42" t="s">
        <v>1860</v>
      </c>
      <c r="T1161" s="42"/>
      <c r="U1161" s="42" t="s">
        <v>1971</v>
      </c>
      <c r="V1161" s="42" t="s">
        <v>1380</v>
      </c>
      <c r="W1161" s="42" t="s">
        <v>1716</v>
      </c>
      <c r="X1161" s="42" t="s">
        <v>1380</v>
      </c>
      <c r="Y1161" s="42" t="s">
        <v>1380</v>
      </c>
      <c r="AA1161" s="321">
        <v>28</v>
      </c>
      <c r="AB1161" s="321">
        <v>54</v>
      </c>
      <c r="AC1161" s="24" t="s">
        <v>450</v>
      </c>
      <c r="AD1161" s="24">
        <v>5.4</v>
      </c>
      <c r="AE1161" s="24">
        <v>1.71</v>
      </c>
      <c r="AG1161" s="24" t="s">
        <v>1345</v>
      </c>
      <c r="AH1161" s="24" t="s">
        <v>1578</v>
      </c>
      <c r="AI1161" s="138" t="s">
        <v>1582</v>
      </c>
      <c r="AJ1161" s="24" t="s">
        <v>634</v>
      </c>
      <c r="AK1161" s="140" t="s">
        <v>1625</v>
      </c>
      <c r="AL1161" s="24" t="s">
        <v>798</v>
      </c>
      <c r="AM1161" s="24" t="s">
        <v>798</v>
      </c>
      <c r="AN1161" s="24" t="s">
        <v>177</v>
      </c>
      <c r="AW1161" s="24" t="s">
        <v>119</v>
      </c>
      <c r="AX1161" s="24">
        <v>4</v>
      </c>
      <c r="AZ1161" s="24" t="s">
        <v>141</v>
      </c>
      <c r="BP1161" s="395"/>
      <c r="BQ1161" s="395"/>
      <c r="BU1161" s="395"/>
      <c r="BV1161" s="395"/>
      <c r="BZ1161" s="395"/>
      <c r="CA1161" s="395"/>
      <c r="CE1161" s="548"/>
      <c r="CF1161" s="548"/>
      <c r="CG1161" s="548"/>
      <c r="CH1161" s="548"/>
      <c r="GK1161" s="24">
        <v>0.96</v>
      </c>
      <c r="GL1161" s="24">
        <v>0.84</v>
      </c>
      <c r="GO1161" s="24" t="s">
        <v>802</v>
      </c>
      <c r="JB1161" s="24" t="s">
        <v>803</v>
      </c>
    </row>
    <row r="1162" spans="1:264" s="40" customFormat="1" x14ac:dyDescent="0.25">
      <c r="A1162" s="40">
        <v>55</v>
      </c>
      <c r="B1162" s="71" t="s">
        <v>4013</v>
      </c>
      <c r="C1162" s="40" t="s">
        <v>788</v>
      </c>
      <c r="D1162" s="40" t="s">
        <v>789</v>
      </c>
      <c r="E1162" s="40">
        <v>2001</v>
      </c>
      <c r="F1162" s="40">
        <v>1997</v>
      </c>
      <c r="G1162" s="40" t="s">
        <v>794</v>
      </c>
      <c r="H1162" s="40" t="s">
        <v>795</v>
      </c>
      <c r="I1162" s="32" t="s">
        <v>2815</v>
      </c>
      <c r="J1162" s="40">
        <v>44.56</v>
      </c>
      <c r="K1162" s="40">
        <v>-123.26</v>
      </c>
      <c r="L1162" s="40">
        <v>59.6</v>
      </c>
      <c r="R1162" s="71" t="s">
        <v>1722</v>
      </c>
      <c r="S1162" s="71" t="s">
        <v>1734</v>
      </c>
      <c r="T1162" s="71"/>
      <c r="U1162" s="71" t="s">
        <v>1967</v>
      </c>
      <c r="V1162" s="71" t="s">
        <v>1380</v>
      </c>
      <c r="W1162" s="71" t="s">
        <v>1716</v>
      </c>
      <c r="X1162" s="71" t="s">
        <v>1380</v>
      </c>
      <c r="Y1162" s="71" t="s">
        <v>1380</v>
      </c>
      <c r="AA1162" s="341">
        <v>22</v>
      </c>
      <c r="AB1162" s="341">
        <v>52</v>
      </c>
      <c r="AC1162" s="40" t="s">
        <v>450</v>
      </c>
      <c r="AD1162" s="40">
        <v>5.9</v>
      </c>
      <c r="AE1162" s="40">
        <v>1.65</v>
      </c>
      <c r="AG1162" s="40" t="s">
        <v>1345</v>
      </c>
      <c r="AH1162" s="40" t="s">
        <v>1578</v>
      </c>
      <c r="AI1162" s="138" t="s">
        <v>1582</v>
      </c>
      <c r="AJ1162" s="40" t="s">
        <v>797</v>
      </c>
      <c r="AK1162" s="140" t="s">
        <v>1625</v>
      </c>
      <c r="AL1162" s="40" t="s">
        <v>799</v>
      </c>
      <c r="AM1162" s="40" t="s">
        <v>799</v>
      </c>
      <c r="AN1162" s="40" t="s">
        <v>177</v>
      </c>
      <c r="AW1162" s="40" t="s">
        <v>119</v>
      </c>
      <c r="AX1162" s="40">
        <v>4</v>
      </c>
      <c r="AZ1162" s="40" t="s">
        <v>141</v>
      </c>
      <c r="BP1162" s="416"/>
      <c r="BQ1162" s="416"/>
      <c r="BU1162" s="416"/>
      <c r="BV1162" s="416"/>
      <c r="BZ1162" s="416"/>
      <c r="CA1162" s="416"/>
      <c r="CE1162" s="569"/>
      <c r="CF1162" s="569"/>
      <c r="CG1162" s="569"/>
      <c r="CH1162" s="569"/>
      <c r="GK1162" s="40">
        <v>1.74</v>
      </c>
      <c r="GL1162" s="40">
        <v>4.7699999999999996</v>
      </c>
      <c r="GO1162" s="40" t="s">
        <v>802</v>
      </c>
      <c r="JB1162" s="40" t="s">
        <v>803</v>
      </c>
    </row>
    <row r="1163" spans="1:264" s="24" customFormat="1" x14ac:dyDescent="0.25">
      <c r="A1163" s="24">
        <v>55</v>
      </c>
      <c r="B1163" s="42" t="s">
        <v>4014</v>
      </c>
      <c r="C1163" s="24" t="s">
        <v>788</v>
      </c>
      <c r="D1163" s="24" t="s">
        <v>789</v>
      </c>
      <c r="E1163" s="24">
        <v>2001</v>
      </c>
      <c r="F1163" s="24">
        <v>1997</v>
      </c>
      <c r="G1163" s="24" t="s">
        <v>794</v>
      </c>
      <c r="H1163" s="24" t="s">
        <v>792</v>
      </c>
      <c r="I1163" s="32" t="s">
        <v>2815</v>
      </c>
      <c r="J1163" s="24">
        <v>44.94</v>
      </c>
      <c r="K1163" s="24">
        <v>-123.04</v>
      </c>
      <c r="L1163" s="24">
        <v>49.3</v>
      </c>
      <c r="R1163" s="42">
        <v>1</v>
      </c>
      <c r="S1163" s="42" t="s">
        <v>1977</v>
      </c>
      <c r="T1163" s="42"/>
      <c r="U1163" s="42" t="s">
        <v>1976</v>
      </c>
      <c r="V1163" s="42" t="s">
        <v>1380</v>
      </c>
      <c r="W1163" s="42" t="s">
        <v>1716</v>
      </c>
      <c r="X1163" s="42" t="s">
        <v>1380</v>
      </c>
      <c r="Y1163" s="42" t="s">
        <v>1380</v>
      </c>
      <c r="AA1163" s="321">
        <v>46</v>
      </c>
      <c r="AB1163" s="321">
        <v>38</v>
      </c>
      <c r="AC1163" s="24" t="s">
        <v>606</v>
      </c>
      <c r="AD1163" s="24">
        <v>6.2</v>
      </c>
      <c r="AE1163" s="24">
        <v>2.02</v>
      </c>
      <c r="AG1163" s="24" t="s">
        <v>1345</v>
      </c>
      <c r="AH1163" s="24" t="s">
        <v>1578</v>
      </c>
      <c r="AI1163" s="138" t="s">
        <v>1582</v>
      </c>
      <c r="AJ1163" s="24" t="s">
        <v>797</v>
      </c>
      <c r="AK1163" s="140" t="s">
        <v>1625</v>
      </c>
      <c r="AL1163" s="24" t="s">
        <v>800</v>
      </c>
      <c r="AM1163" s="24" t="s">
        <v>800</v>
      </c>
      <c r="AN1163" s="24" t="s">
        <v>177</v>
      </c>
      <c r="AW1163" s="24" t="s">
        <v>119</v>
      </c>
      <c r="AX1163" s="24">
        <v>4</v>
      </c>
      <c r="AZ1163" s="24" t="s">
        <v>141</v>
      </c>
      <c r="BP1163" s="395"/>
      <c r="BQ1163" s="395"/>
      <c r="BU1163" s="395"/>
      <c r="BV1163" s="395"/>
      <c r="BZ1163" s="395"/>
      <c r="CA1163" s="395"/>
      <c r="CE1163" s="548"/>
      <c r="CF1163" s="548"/>
      <c r="CG1163" s="548"/>
      <c r="CH1163" s="548"/>
      <c r="GK1163" s="24">
        <v>0.35</v>
      </c>
      <c r="GL1163" s="24">
        <v>1.34</v>
      </c>
      <c r="GO1163" s="24" t="s">
        <v>802</v>
      </c>
      <c r="JB1163" s="24" t="s">
        <v>803</v>
      </c>
    </row>
    <row r="1164" spans="1:264" s="40" customFormat="1" x14ac:dyDescent="0.25">
      <c r="A1164" s="40">
        <v>55</v>
      </c>
      <c r="B1164" s="71" t="s">
        <v>4015</v>
      </c>
      <c r="C1164" s="40" t="s">
        <v>788</v>
      </c>
      <c r="D1164" s="40" t="s">
        <v>789</v>
      </c>
      <c r="E1164" s="40">
        <v>2001</v>
      </c>
      <c r="F1164" s="40">
        <v>1997</v>
      </c>
      <c r="G1164" s="40" t="s">
        <v>794</v>
      </c>
      <c r="H1164" s="40" t="s">
        <v>793</v>
      </c>
      <c r="I1164" s="32" t="s">
        <v>2815</v>
      </c>
      <c r="J1164" s="40">
        <v>45.01</v>
      </c>
      <c r="K1164" s="40">
        <v>-122.78</v>
      </c>
      <c r="L1164" s="40">
        <v>78.5</v>
      </c>
      <c r="R1164" s="71">
        <v>1</v>
      </c>
      <c r="S1164" s="71" t="s">
        <v>1977</v>
      </c>
      <c r="T1164" s="71"/>
      <c r="U1164" s="71" t="s">
        <v>1976</v>
      </c>
      <c r="V1164" s="71" t="s">
        <v>1380</v>
      </c>
      <c r="W1164" s="71" t="s">
        <v>1716</v>
      </c>
      <c r="X1164" s="71" t="s">
        <v>1380</v>
      </c>
      <c r="Y1164" s="71" t="s">
        <v>1380</v>
      </c>
      <c r="AA1164" s="341">
        <v>7</v>
      </c>
      <c r="AB1164" s="341">
        <v>67</v>
      </c>
      <c r="AC1164" s="40" t="s">
        <v>796</v>
      </c>
      <c r="AD1164" s="40">
        <v>5.9</v>
      </c>
      <c r="AE1164" s="40">
        <v>1.77</v>
      </c>
      <c r="AG1164" s="40" t="s">
        <v>1345</v>
      </c>
      <c r="AH1164" s="40" t="s">
        <v>1578</v>
      </c>
      <c r="AI1164" s="138" t="s">
        <v>1582</v>
      </c>
      <c r="AJ1164" s="40" t="s">
        <v>633</v>
      </c>
      <c r="AK1164" s="140" t="s">
        <v>1625</v>
      </c>
      <c r="AL1164" s="40" t="s">
        <v>801</v>
      </c>
      <c r="AM1164" s="40" t="s">
        <v>801</v>
      </c>
      <c r="AN1164" s="40" t="s">
        <v>177</v>
      </c>
      <c r="AW1164" s="40" t="s">
        <v>119</v>
      </c>
      <c r="AX1164" s="40">
        <v>4</v>
      </c>
      <c r="AZ1164" s="40" t="s">
        <v>141</v>
      </c>
      <c r="BP1164" s="416"/>
      <c r="BQ1164" s="416"/>
      <c r="BU1164" s="416"/>
      <c r="BV1164" s="416"/>
      <c r="BZ1164" s="416"/>
      <c r="CA1164" s="416"/>
      <c r="CE1164" s="569"/>
      <c r="CF1164" s="569"/>
      <c r="CG1164" s="569"/>
      <c r="CH1164" s="569"/>
      <c r="GK1164" s="40">
        <v>3.23</v>
      </c>
      <c r="GL1164" s="40">
        <v>3.89</v>
      </c>
      <c r="GO1164" s="40" t="s">
        <v>802</v>
      </c>
      <c r="JB1164" s="40" t="s">
        <v>803</v>
      </c>
    </row>
    <row r="1165" spans="1:264" s="24" customFormat="1" x14ac:dyDescent="0.25">
      <c r="A1165" s="24">
        <v>55</v>
      </c>
      <c r="B1165" s="42" t="s">
        <v>4016</v>
      </c>
      <c r="C1165" s="24" t="s">
        <v>788</v>
      </c>
      <c r="D1165" s="24" t="s">
        <v>789</v>
      </c>
      <c r="E1165" s="24">
        <v>2001</v>
      </c>
      <c r="F1165" s="24">
        <v>1998</v>
      </c>
      <c r="G1165" s="24" t="s">
        <v>794</v>
      </c>
      <c r="H1165" s="24" t="s">
        <v>795</v>
      </c>
      <c r="I1165" s="32" t="s">
        <v>2815</v>
      </c>
      <c r="J1165" s="24">
        <v>44.56</v>
      </c>
      <c r="K1165" s="24">
        <v>-123.26</v>
      </c>
      <c r="L1165" s="24">
        <v>59.6</v>
      </c>
      <c r="R1165" s="42" t="s">
        <v>1843</v>
      </c>
      <c r="S1165" s="42" t="s">
        <v>1734</v>
      </c>
      <c r="T1165" s="42"/>
      <c r="U1165" s="42" t="s">
        <v>1968</v>
      </c>
      <c r="V1165" s="42" t="s">
        <v>1380</v>
      </c>
      <c r="W1165" s="42" t="s">
        <v>1716</v>
      </c>
      <c r="X1165" s="42" t="s">
        <v>1380</v>
      </c>
      <c r="Y1165" s="42" t="s">
        <v>1380</v>
      </c>
      <c r="AA1165" s="321">
        <v>22</v>
      </c>
      <c r="AB1165" s="321">
        <v>52</v>
      </c>
      <c r="AC1165" s="24" t="s">
        <v>450</v>
      </c>
      <c r="AD1165" s="24">
        <v>5.9</v>
      </c>
      <c r="AE1165" s="24">
        <v>1.65</v>
      </c>
      <c r="AG1165" s="24" t="s">
        <v>1345</v>
      </c>
      <c r="AH1165" s="24" t="s">
        <v>1578</v>
      </c>
      <c r="AI1165" s="138" t="s">
        <v>1582</v>
      </c>
      <c r="AJ1165" s="24" t="s">
        <v>804</v>
      </c>
      <c r="AK1165" s="140" t="s">
        <v>1625</v>
      </c>
      <c r="AL1165" s="24" t="s">
        <v>799</v>
      </c>
      <c r="AM1165" s="24" t="s">
        <v>799</v>
      </c>
      <c r="AN1165" s="24" t="s">
        <v>177</v>
      </c>
      <c r="AW1165" s="24" t="s">
        <v>119</v>
      </c>
      <c r="AX1165" s="24">
        <v>4</v>
      </c>
      <c r="AZ1165" s="24" t="s">
        <v>141</v>
      </c>
      <c r="BP1165" s="395"/>
      <c r="BQ1165" s="395"/>
      <c r="BU1165" s="395"/>
      <c r="BV1165" s="395"/>
      <c r="BZ1165" s="395"/>
      <c r="CA1165" s="395"/>
      <c r="CE1165" s="548"/>
      <c r="CF1165" s="548"/>
      <c r="CG1165" s="548"/>
      <c r="CH1165" s="548"/>
      <c r="GK1165" s="24">
        <v>9.15</v>
      </c>
      <c r="GL1165" s="24">
        <v>15.2</v>
      </c>
      <c r="GO1165" s="24" t="s">
        <v>802</v>
      </c>
      <c r="JB1165" s="24" t="s">
        <v>803</v>
      </c>
    </row>
    <row r="1166" spans="1:264" s="24" customFormat="1" x14ac:dyDescent="0.25">
      <c r="A1166" s="24">
        <v>55</v>
      </c>
      <c r="B1166" s="42" t="s">
        <v>4016</v>
      </c>
      <c r="C1166" s="24" t="s">
        <v>788</v>
      </c>
      <c r="D1166" s="24" t="s">
        <v>789</v>
      </c>
      <c r="E1166" s="24">
        <v>2001</v>
      </c>
      <c r="F1166" s="24">
        <v>1998</v>
      </c>
      <c r="G1166" s="24" t="s">
        <v>794</v>
      </c>
      <c r="H1166" s="24" t="s">
        <v>795</v>
      </c>
      <c r="I1166" s="32" t="s">
        <v>2815</v>
      </c>
      <c r="J1166" s="24">
        <v>44.56</v>
      </c>
      <c r="K1166" s="24">
        <v>-123.26</v>
      </c>
      <c r="L1166" s="24">
        <v>59.6</v>
      </c>
      <c r="R1166" s="42" t="s">
        <v>1843</v>
      </c>
      <c r="S1166" s="42" t="s">
        <v>1734</v>
      </c>
      <c r="T1166" s="42"/>
      <c r="U1166" s="42" t="s">
        <v>1969</v>
      </c>
      <c r="V1166" s="42" t="s">
        <v>1380</v>
      </c>
      <c r="W1166" s="42" t="s">
        <v>1716</v>
      </c>
      <c r="X1166" s="42" t="s">
        <v>1380</v>
      </c>
      <c r="Y1166" s="42" t="s">
        <v>1380</v>
      </c>
      <c r="AA1166" s="321">
        <v>22</v>
      </c>
      <c r="AB1166" s="321">
        <v>52</v>
      </c>
      <c r="AC1166" s="24" t="s">
        <v>450</v>
      </c>
      <c r="AD1166" s="24">
        <v>5.9</v>
      </c>
      <c r="AE1166" s="24">
        <v>1.65</v>
      </c>
      <c r="AG1166" s="24" t="s">
        <v>1345</v>
      </c>
      <c r="AH1166" s="24" t="s">
        <v>1578</v>
      </c>
      <c r="AI1166" s="138" t="s">
        <v>1582</v>
      </c>
      <c r="AJ1166" s="24" t="s">
        <v>804</v>
      </c>
      <c r="AK1166" s="140" t="s">
        <v>1625</v>
      </c>
      <c r="AL1166" s="24" t="s">
        <v>799</v>
      </c>
      <c r="AM1166" s="24" t="s">
        <v>799</v>
      </c>
      <c r="AN1166" s="24" t="s">
        <v>177</v>
      </c>
      <c r="AW1166" s="24" t="s">
        <v>119</v>
      </c>
      <c r="AX1166" s="24">
        <v>4</v>
      </c>
      <c r="AZ1166" s="24" t="s">
        <v>141</v>
      </c>
      <c r="BP1166" s="395"/>
      <c r="BQ1166" s="395"/>
      <c r="BU1166" s="395"/>
      <c r="BV1166" s="395"/>
      <c r="BZ1166" s="395"/>
      <c r="CA1166" s="395"/>
      <c r="CE1166" s="548"/>
      <c r="CF1166" s="548"/>
      <c r="CG1166" s="548"/>
      <c r="CH1166" s="548"/>
      <c r="GK1166" s="24">
        <v>3.58</v>
      </c>
      <c r="GL1166" s="24">
        <v>6.58</v>
      </c>
      <c r="GO1166" s="24" t="s">
        <v>802</v>
      </c>
      <c r="JB1166" s="24" t="s">
        <v>803</v>
      </c>
    </row>
    <row r="1167" spans="1:264" s="24" customFormat="1" x14ac:dyDescent="0.25">
      <c r="A1167" s="24">
        <v>55</v>
      </c>
      <c r="B1167" s="42" t="s">
        <v>4016</v>
      </c>
      <c r="C1167" s="24" t="s">
        <v>788</v>
      </c>
      <c r="D1167" s="24" t="s">
        <v>789</v>
      </c>
      <c r="E1167" s="24">
        <v>2001</v>
      </c>
      <c r="F1167" s="24">
        <v>1998</v>
      </c>
      <c r="G1167" s="24" t="s">
        <v>794</v>
      </c>
      <c r="H1167" s="24" t="s">
        <v>795</v>
      </c>
      <c r="I1167" s="32" t="s">
        <v>2815</v>
      </c>
      <c r="J1167" s="24">
        <v>44.56</v>
      </c>
      <c r="K1167" s="24">
        <v>-123.26</v>
      </c>
      <c r="L1167" s="24">
        <v>59.6</v>
      </c>
      <c r="R1167" s="42" t="s">
        <v>1843</v>
      </c>
      <c r="S1167" s="42" t="s">
        <v>1734</v>
      </c>
      <c r="T1167" s="42"/>
      <c r="U1167" s="42" t="s">
        <v>1970</v>
      </c>
      <c r="V1167" s="42" t="s">
        <v>1380</v>
      </c>
      <c r="W1167" s="42" t="s">
        <v>1716</v>
      </c>
      <c r="X1167" s="42" t="s">
        <v>1380</v>
      </c>
      <c r="Y1167" s="42" t="s">
        <v>1380</v>
      </c>
      <c r="AA1167" s="321">
        <v>22</v>
      </c>
      <c r="AB1167" s="321">
        <v>52</v>
      </c>
      <c r="AC1167" s="24" t="s">
        <v>450</v>
      </c>
      <c r="AD1167" s="24">
        <v>5.9</v>
      </c>
      <c r="AE1167" s="24">
        <v>1.65</v>
      </c>
      <c r="AG1167" s="24" t="s">
        <v>1345</v>
      </c>
      <c r="AH1167" s="24" t="s">
        <v>1578</v>
      </c>
      <c r="AI1167" s="138" t="s">
        <v>1582</v>
      </c>
      <c r="AJ1167" s="24" t="s">
        <v>804</v>
      </c>
      <c r="AK1167" s="140" t="s">
        <v>1625</v>
      </c>
      <c r="AL1167" s="24" t="s">
        <v>799</v>
      </c>
      <c r="AM1167" s="24" t="s">
        <v>799</v>
      </c>
      <c r="AN1167" s="24" t="s">
        <v>177</v>
      </c>
      <c r="AW1167" s="24" t="s">
        <v>119</v>
      </c>
      <c r="AX1167" s="24">
        <v>4</v>
      </c>
      <c r="AZ1167" s="24" t="s">
        <v>141</v>
      </c>
      <c r="BP1167" s="395"/>
      <c r="BQ1167" s="395"/>
      <c r="BU1167" s="395"/>
      <c r="BV1167" s="395"/>
      <c r="BZ1167" s="395"/>
      <c r="CA1167" s="395"/>
      <c r="CE1167" s="548"/>
      <c r="CF1167" s="548"/>
      <c r="CG1167" s="548"/>
      <c r="CH1167" s="548"/>
      <c r="GK1167" s="24">
        <v>1.95</v>
      </c>
      <c r="GL1167" s="24">
        <v>3.05</v>
      </c>
      <c r="GO1167" s="24" t="s">
        <v>802</v>
      </c>
      <c r="JB1167" s="24" t="s">
        <v>803</v>
      </c>
    </row>
    <row r="1168" spans="1:264" s="32" customFormat="1" x14ac:dyDescent="0.25">
      <c r="A1168" s="32">
        <v>55</v>
      </c>
      <c r="B1168" s="44" t="s">
        <v>4011</v>
      </c>
      <c r="C1168" s="32" t="s">
        <v>788</v>
      </c>
      <c r="D1168" s="32" t="s">
        <v>789</v>
      </c>
      <c r="E1168" s="32">
        <v>2001</v>
      </c>
      <c r="F1168" s="32">
        <v>1998</v>
      </c>
      <c r="G1168" s="32" t="s">
        <v>794</v>
      </c>
      <c r="H1168" s="32" t="s">
        <v>790</v>
      </c>
      <c r="I1168" s="32" t="s">
        <v>2815</v>
      </c>
      <c r="J1168" s="32">
        <v>45.23</v>
      </c>
      <c r="K1168" s="32">
        <v>-122.756</v>
      </c>
      <c r="L1168" s="32">
        <v>48.4</v>
      </c>
      <c r="R1168" s="44" t="s">
        <v>1719</v>
      </c>
      <c r="S1168" s="44" t="s">
        <v>1860</v>
      </c>
      <c r="T1168" s="44"/>
      <c r="U1168" s="44" t="s">
        <v>1972</v>
      </c>
      <c r="V1168" s="44" t="s">
        <v>1380</v>
      </c>
      <c r="W1168" s="44" t="s">
        <v>1716</v>
      </c>
      <c r="X1168" s="44" t="s">
        <v>1380</v>
      </c>
      <c r="Y1168" s="44" t="s">
        <v>1380</v>
      </c>
      <c r="AA1168" s="323">
        <v>28</v>
      </c>
      <c r="AB1168" s="323">
        <v>54</v>
      </c>
      <c r="AC1168" s="32" t="s">
        <v>450</v>
      </c>
      <c r="AD1168" s="32">
        <v>5.4</v>
      </c>
      <c r="AE1168" s="32">
        <v>1.71</v>
      </c>
      <c r="AG1168" s="32" t="s">
        <v>1345</v>
      </c>
      <c r="AH1168" s="32" t="s">
        <v>791</v>
      </c>
      <c r="AI1168" s="138" t="s">
        <v>1581</v>
      </c>
      <c r="AJ1168" s="32" t="s">
        <v>797</v>
      </c>
      <c r="AK1168" s="140" t="s">
        <v>1625</v>
      </c>
      <c r="AL1168" s="32" t="s">
        <v>798</v>
      </c>
      <c r="AM1168" s="32" t="s">
        <v>798</v>
      </c>
      <c r="AN1168" s="32" t="s">
        <v>177</v>
      </c>
      <c r="AW1168" s="32" t="s">
        <v>119</v>
      </c>
      <c r="AX1168" s="32">
        <v>4</v>
      </c>
      <c r="AZ1168" s="32" t="s">
        <v>141</v>
      </c>
      <c r="BP1168" s="397"/>
      <c r="BQ1168" s="397"/>
      <c r="BU1168" s="397"/>
      <c r="BV1168" s="397"/>
      <c r="BZ1168" s="397"/>
      <c r="CA1168" s="397"/>
      <c r="CE1168" s="550"/>
      <c r="CF1168" s="550"/>
      <c r="CG1168" s="550"/>
      <c r="CH1168" s="550"/>
      <c r="GU1168" s="32">
        <v>2.87</v>
      </c>
      <c r="GV1168" s="32">
        <v>2.79</v>
      </c>
      <c r="GY1168" s="32" t="s">
        <v>805</v>
      </c>
      <c r="JB1168" s="32" t="s">
        <v>803</v>
      </c>
    </row>
    <row r="1169" spans="1:262" s="32" customFormat="1" x14ac:dyDescent="0.25">
      <c r="A1169" s="32">
        <v>55</v>
      </c>
      <c r="B1169" s="44" t="s">
        <v>4017</v>
      </c>
      <c r="C1169" s="32" t="s">
        <v>788</v>
      </c>
      <c r="D1169" s="32" t="s">
        <v>789</v>
      </c>
      <c r="E1169" s="32">
        <v>2001</v>
      </c>
      <c r="F1169" s="32">
        <v>1998</v>
      </c>
      <c r="G1169" s="32" t="s">
        <v>794</v>
      </c>
      <c r="H1169" s="32" t="s">
        <v>790</v>
      </c>
      <c r="I1169" s="32" t="s">
        <v>2815</v>
      </c>
      <c r="J1169" s="32">
        <v>45.23</v>
      </c>
      <c r="K1169" s="32">
        <v>-122.756</v>
      </c>
      <c r="L1169" s="32">
        <v>48.4</v>
      </c>
      <c r="R1169" s="44" t="s">
        <v>1719</v>
      </c>
      <c r="S1169" s="44" t="s">
        <v>1860</v>
      </c>
      <c r="T1169" s="44"/>
      <c r="U1169" s="44" t="s">
        <v>1972</v>
      </c>
      <c r="V1169" s="44" t="s">
        <v>1380</v>
      </c>
      <c r="W1169" s="44" t="s">
        <v>1716</v>
      </c>
      <c r="X1169" s="44" t="s">
        <v>1380</v>
      </c>
      <c r="Y1169" s="44" t="s">
        <v>1380</v>
      </c>
      <c r="AA1169" s="323">
        <v>28</v>
      </c>
      <c r="AB1169" s="323">
        <v>54</v>
      </c>
      <c r="AC1169" s="32" t="s">
        <v>450</v>
      </c>
      <c r="AD1169" s="32">
        <v>5.4</v>
      </c>
      <c r="AE1169" s="32">
        <v>1.71</v>
      </c>
      <c r="AG1169" s="32" t="s">
        <v>1345</v>
      </c>
      <c r="AH1169" s="32" t="s">
        <v>1578</v>
      </c>
      <c r="AI1169" s="138" t="s">
        <v>1582</v>
      </c>
      <c r="AJ1169" s="32" t="s">
        <v>797</v>
      </c>
      <c r="AK1169" s="140" t="s">
        <v>1625</v>
      </c>
      <c r="AL1169" s="32" t="s">
        <v>798</v>
      </c>
      <c r="AM1169" s="32" t="s">
        <v>798</v>
      </c>
      <c r="AN1169" s="32" t="s">
        <v>177</v>
      </c>
      <c r="AW1169" s="32" t="s">
        <v>119</v>
      </c>
      <c r="AX1169" s="32">
        <v>4</v>
      </c>
      <c r="AZ1169" s="32" t="s">
        <v>141</v>
      </c>
      <c r="BP1169" s="397"/>
      <c r="BQ1169" s="397"/>
      <c r="BU1169" s="397"/>
      <c r="BV1169" s="397"/>
      <c r="BZ1169" s="397"/>
      <c r="CA1169" s="397"/>
      <c r="CE1169" s="550"/>
      <c r="CF1169" s="550"/>
      <c r="CG1169" s="550"/>
      <c r="CH1169" s="550"/>
      <c r="GU1169" s="32">
        <v>2.87</v>
      </c>
      <c r="GV1169" s="32">
        <v>2.83</v>
      </c>
      <c r="GY1169" s="32" t="s">
        <v>805</v>
      </c>
      <c r="JB1169" s="32" t="s">
        <v>803</v>
      </c>
    </row>
    <row r="1170" spans="1:262" s="40" customFormat="1" x14ac:dyDescent="0.25">
      <c r="A1170" s="40">
        <v>55</v>
      </c>
      <c r="B1170" s="71" t="s">
        <v>4013</v>
      </c>
      <c r="C1170" s="40" t="s">
        <v>788</v>
      </c>
      <c r="D1170" s="40" t="s">
        <v>789</v>
      </c>
      <c r="E1170" s="40">
        <v>2001</v>
      </c>
      <c r="F1170" s="40">
        <v>1998</v>
      </c>
      <c r="G1170" s="40" t="s">
        <v>794</v>
      </c>
      <c r="H1170" s="40" t="s">
        <v>795</v>
      </c>
      <c r="I1170" s="32" t="s">
        <v>2815</v>
      </c>
      <c r="J1170" s="40">
        <v>44.56</v>
      </c>
      <c r="K1170" s="40">
        <v>-123.26</v>
      </c>
      <c r="L1170" s="40">
        <v>59.6</v>
      </c>
      <c r="R1170" s="71" t="s">
        <v>1734</v>
      </c>
      <c r="S1170" s="71" t="s">
        <v>1734</v>
      </c>
      <c r="T1170" s="71"/>
      <c r="U1170" s="71" t="s">
        <v>1968</v>
      </c>
      <c r="V1170" s="71" t="s">
        <v>1380</v>
      </c>
      <c r="W1170" s="71" t="s">
        <v>1716</v>
      </c>
      <c r="X1170" s="71" t="s">
        <v>1380</v>
      </c>
      <c r="Y1170" s="71" t="s">
        <v>1380</v>
      </c>
      <c r="AA1170" s="341">
        <v>22</v>
      </c>
      <c r="AB1170" s="341">
        <v>52</v>
      </c>
      <c r="AC1170" s="40" t="s">
        <v>450</v>
      </c>
      <c r="AD1170" s="40">
        <v>5.9</v>
      </c>
      <c r="AE1170" s="40">
        <v>1.65</v>
      </c>
      <c r="AG1170" s="40" t="s">
        <v>1345</v>
      </c>
      <c r="AH1170" s="40" t="s">
        <v>1578</v>
      </c>
      <c r="AI1170" s="138" t="s">
        <v>1582</v>
      </c>
      <c r="AJ1170" s="40" t="s">
        <v>804</v>
      </c>
      <c r="AK1170" s="140" t="s">
        <v>1625</v>
      </c>
      <c r="AL1170" s="40" t="s">
        <v>799</v>
      </c>
      <c r="AM1170" s="40" t="s">
        <v>799</v>
      </c>
      <c r="AN1170" s="40" t="s">
        <v>177</v>
      </c>
      <c r="AW1170" s="40" t="s">
        <v>119</v>
      </c>
      <c r="AX1170" s="40">
        <v>4</v>
      </c>
      <c r="AZ1170" s="40" t="s">
        <v>141</v>
      </c>
      <c r="BP1170" s="416"/>
      <c r="BQ1170" s="416"/>
      <c r="BU1170" s="416"/>
      <c r="BV1170" s="416"/>
      <c r="BZ1170" s="416"/>
      <c r="CA1170" s="416"/>
      <c r="CE1170" s="569"/>
      <c r="CF1170" s="569"/>
      <c r="CG1170" s="569"/>
      <c r="CH1170" s="569"/>
      <c r="GU1170" s="40">
        <v>2.98</v>
      </c>
      <c r="GV1170" s="40">
        <v>3.05</v>
      </c>
      <c r="GY1170" s="40" t="s">
        <v>805</v>
      </c>
      <c r="JB1170" s="40" t="s">
        <v>803</v>
      </c>
    </row>
    <row r="1171" spans="1:262" s="32" customFormat="1" x14ac:dyDescent="0.25">
      <c r="A1171" s="32">
        <v>55</v>
      </c>
      <c r="B1171" s="44" t="s">
        <v>4011</v>
      </c>
      <c r="C1171" s="32" t="s">
        <v>788</v>
      </c>
      <c r="D1171" s="32" t="s">
        <v>789</v>
      </c>
      <c r="E1171" s="32">
        <v>2001</v>
      </c>
      <c r="F1171" s="32">
        <v>1999</v>
      </c>
      <c r="G1171" s="32" t="s">
        <v>794</v>
      </c>
      <c r="H1171" s="32" t="s">
        <v>790</v>
      </c>
      <c r="I1171" s="32" t="s">
        <v>2815</v>
      </c>
      <c r="J1171" s="32">
        <v>45.23</v>
      </c>
      <c r="K1171" s="32">
        <v>-122.756</v>
      </c>
      <c r="L1171" s="32">
        <v>48.4</v>
      </c>
      <c r="R1171" s="44" t="s">
        <v>1860</v>
      </c>
      <c r="S1171" s="44" t="s">
        <v>1860</v>
      </c>
      <c r="T1171" s="44"/>
      <c r="U1171" s="44" t="s">
        <v>1972</v>
      </c>
      <c r="V1171" s="44" t="s">
        <v>1380</v>
      </c>
      <c r="W1171" s="44" t="s">
        <v>1716</v>
      </c>
      <c r="X1171" s="44" t="s">
        <v>1380</v>
      </c>
      <c r="Y1171" s="44" t="s">
        <v>1380</v>
      </c>
      <c r="AA1171" s="323">
        <v>28</v>
      </c>
      <c r="AB1171" s="323">
        <v>54</v>
      </c>
      <c r="AC1171" s="32" t="s">
        <v>450</v>
      </c>
      <c r="AD1171" s="32">
        <v>5.4</v>
      </c>
      <c r="AE1171" s="32">
        <v>1.71</v>
      </c>
      <c r="AG1171" s="32" t="s">
        <v>1345</v>
      </c>
      <c r="AH1171" s="32" t="s">
        <v>791</v>
      </c>
      <c r="AI1171" s="138" t="s">
        <v>1581</v>
      </c>
      <c r="AJ1171" s="32" t="s">
        <v>804</v>
      </c>
      <c r="AK1171" s="140" t="s">
        <v>1625</v>
      </c>
      <c r="AL1171" s="32" t="s">
        <v>798</v>
      </c>
      <c r="AM1171" s="32" t="s">
        <v>798</v>
      </c>
      <c r="AN1171" s="32" t="s">
        <v>177</v>
      </c>
      <c r="AW1171" s="32" t="s">
        <v>119</v>
      </c>
      <c r="AX1171" s="32">
        <v>4</v>
      </c>
      <c r="AZ1171" s="32" t="s">
        <v>141</v>
      </c>
      <c r="BP1171" s="397"/>
      <c r="BQ1171" s="397"/>
      <c r="BU1171" s="397"/>
      <c r="BV1171" s="397"/>
      <c r="BZ1171" s="397"/>
      <c r="CA1171" s="397"/>
      <c r="CE1171" s="550"/>
      <c r="CF1171" s="550"/>
      <c r="CG1171" s="550"/>
      <c r="CH1171" s="550"/>
      <c r="GU1171" s="32">
        <v>2.44</v>
      </c>
      <c r="GV1171" s="32">
        <v>2.63</v>
      </c>
      <c r="GY1171" s="32" t="s">
        <v>805</v>
      </c>
      <c r="JB1171" s="32" t="s">
        <v>803</v>
      </c>
    </row>
    <row r="1172" spans="1:262" s="32" customFormat="1" x14ac:dyDescent="0.25">
      <c r="A1172" s="32">
        <v>55</v>
      </c>
      <c r="B1172" s="44" t="s">
        <v>4017</v>
      </c>
      <c r="C1172" s="32" t="s">
        <v>788</v>
      </c>
      <c r="D1172" s="32" t="s">
        <v>789</v>
      </c>
      <c r="E1172" s="32">
        <v>2001</v>
      </c>
      <c r="F1172" s="32">
        <v>1999</v>
      </c>
      <c r="G1172" s="32" t="s">
        <v>794</v>
      </c>
      <c r="H1172" s="32" t="s">
        <v>790</v>
      </c>
      <c r="I1172" s="32" t="s">
        <v>2815</v>
      </c>
      <c r="J1172" s="32">
        <v>45.23</v>
      </c>
      <c r="K1172" s="32">
        <v>-122.756</v>
      </c>
      <c r="L1172" s="32">
        <v>48.4</v>
      </c>
      <c r="R1172" s="44" t="s">
        <v>1860</v>
      </c>
      <c r="S1172" s="44" t="s">
        <v>1860</v>
      </c>
      <c r="T1172" s="44"/>
      <c r="U1172" s="44" t="s">
        <v>1972</v>
      </c>
      <c r="V1172" s="44" t="s">
        <v>1380</v>
      </c>
      <c r="W1172" s="44" t="s">
        <v>1716</v>
      </c>
      <c r="X1172" s="44" t="s">
        <v>1380</v>
      </c>
      <c r="Y1172" s="44" t="s">
        <v>1380</v>
      </c>
      <c r="AA1172" s="323">
        <v>28</v>
      </c>
      <c r="AB1172" s="323">
        <v>54</v>
      </c>
      <c r="AC1172" s="32" t="s">
        <v>450</v>
      </c>
      <c r="AD1172" s="32">
        <v>5.4</v>
      </c>
      <c r="AE1172" s="32">
        <v>1.71</v>
      </c>
      <c r="AG1172" s="32" t="s">
        <v>1345</v>
      </c>
      <c r="AH1172" s="32" t="s">
        <v>1578</v>
      </c>
      <c r="AI1172" s="138" t="s">
        <v>1582</v>
      </c>
      <c r="AJ1172" s="32" t="s">
        <v>804</v>
      </c>
      <c r="AK1172" s="140" t="s">
        <v>1625</v>
      </c>
      <c r="AL1172" s="32" t="s">
        <v>798</v>
      </c>
      <c r="AM1172" s="32" t="s">
        <v>798</v>
      </c>
      <c r="AN1172" s="32" t="s">
        <v>177</v>
      </c>
      <c r="AW1172" s="32" t="s">
        <v>119</v>
      </c>
      <c r="AX1172" s="32">
        <v>4</v>
      </c>
      <c r="AZ1172" s="32" t="s">
        <v>141</v>
      </c>
      <c r="BP1172" s="397"/>
      <c r="BQ1172" s="397"/>
      <c r="BU1172" s="397"/>
      <c r="BV1172" s="397"/>
      <c r="BZ1172" s="397"/>
      <c r="CA1172" s="397"/>
      <c r="CE1172" s="550"/>
      <c r="CF1172" s="550"/>
      <c r="CG1172" s="550"/>
      <c r="CH1172" s="550"/>
      <c r="GU1172" s="32">
        <v>2.44</v>
      </c>
      <c r="GV1172" s="32">
        <v>2.64</v>
      </c>
      <c r="GY1172" s="32" t="s">
        <v>805</v>
      </c>
      <c r="JB1172" s="32" t="s">
        <v>803</v>
      </c>
    </row>
    <row r="1173" spans="1:262" s="40" customFormat="1" x14ac:dyDescent="0.25">
      <c r="A1173" s="40">
        <v>55</v>
      </c>
      <c r="B1173" s="71" t="s">
        <v>4013</v>
      </c>
      <c r="C1173" s="40" t="s">
        <v>788</v>
      </c>
      <c r="D1173" s="40" t="s">
        <v>789</v>
      </c>
      <c r="E1173" s="40">
        <v>2001</v>
      </c>
      <c r="F1173" s="40">
        <v>1999</v>
      </c>
      <c r="G1173" s="40" t="s">
        <v>794</v>
      </c>
      <c r="H1173" s="40" t="s">
        <v>795</v>
      </c>
      <c r="I1173" s="32" t="s">
        <v>2815</v>
      </c>
      <c r="J1173" s="40">
        <v>44.56</v>
      </c>
      <c r="K1173" s="40">
        <v>-123.26</v>
      </c>
      <c r="L1173" s="40">
        <v>59.6</v>
      </c>
      <c r="R1173" s="71" t="s">
        <v>1734</v>
      </c>
      <c r="S1173" s="71" t="s">
        <v>1734</v>
      </c>
      <c r="T1173" s="71"/>
      <c r="U1173" s="71" t="s">
        <v>1968</v>
      </c>
      <c r="V1173" s="71" t="s">
        <v>1380</v>
      </c>
      <c r="W1173" s="71" t="s">
        <v>1716</v>
      </c>
      <c r="X1173" s="71" t="s">
        <v>1380</v>
      </c>
      <c r="Y1173" s="71" t="s">
        <v>1380</v>
      </c>
      <c r="AA1173" s="341">
        <v>22</v>
      </c>
      <c r="AB1173" s="341">
        <v>52</v>
      </c>
      <c r="AC1173" s="40" t="s">
        <v>450</v>
      </c>
      <c r="AD1173" s="40">
        <v>5.9</v>
      </c>
      <c r="AE1173" s="40">
        <v>1.65</v>
      </c>
      <c r="AG1173" s="40" t="s">
        <v>1345</v>
      </c>
      <c r="AH1173" s="40" t="s">
        <v>1578</v>
      </c>
      <c r="AI1173" s="138" t="s">
        <v>1582</v>
      </c>
      <c r="AJ1173" s="40" t="s">
        <v>804</v>
      </c>
      <c r="AK1173" s="140" t="s">
        <v>1625</v>
      </c>
      <c r="AL1173" s="40" t="s">
        <v>799</v>
      </c>
      <c r="AM1173" s="40" t="s">
        <v>799</v>
      </c>
      <c r="AN1173" s="40" t="s">
        <v>177</v>
      </c>
      <c r="AW1173" s="40" t="s">
        <v>119</v>
      </c>
      <c r="AX1173" s="40">
        <v>4</v>
      </c>
      <c r="AZ1173" s="40" t="s">
        <v>141</v>
      </c>
      <c r="BP1173" s="416"/>
      <c r="BQ1173" s="416"/>
      <c r="BU1173" s="416"/>
      <c r="BV1173" s="416"/>
      <c r="BZ1173" s="416"/>
      <c r="CA1173" s="416"/>
      <c r="CE1173" s="569"/>
      <c r="CF1173" s="569"/>
      <c r="CG1173" s="569"/>
      <c r="CH1173" s="569"/>
      <c r="GU1173" s="40">
        <v>2.84</v>
      </c>
      <c r="GV1173" s="40">
        <v>2.95</v>
      </c>
      <c r="GY1173" s="40" t="s">
        <v>805</v>
      </c>
      <c r="JB1173" s="40" t="s">
        <v>803</v>
      </c>
    </row>
    <row r="1174" spans="1:262" s="32" customFormat="1" x14ac:dyDescent="0.25">
      <c r="A1174" s="32">
        <v>55</v>
      </c>
      <c r="B1174" s="44" t="s">
        <v>4011</v>
      </c>
      <c r="C1174" s="32" t="s">
        <v>788</v>
      </c>
      <c r="D1174" s="32" t="s">
        <v>789</v>
      </c>
      <c r="E1174" s="32">
        <v>2001</v>
      </c>
      <c r="F1174" s="32">
        <v>1998</v>
      </c>
      <c r="G1174" s="32" t="s">
        <v>794</v>
      </c>
      <c r="H1174" s="32" t="s">
        <v>790</v>
      </c>
      <c r="I1174" s="32" t="s">
        <v>2815</v>
      </c>
      <c r="J1174" s="32">
        <v>45.23</v>
      </c>
      <c r="K1174" s="32">
        <v>-122.756</v>
      </c>
      <c r="L1174" s="32">
        <v>48.4</v>
      </c>
      <c r="R1174" s="44" t="s">
        <v>1719</v>
      </c>
      <c r="S1174" s="44" t="s">
        <v>1860</v>
      </c>
      <c r="T1174" s="44"/>
      <c r="U1174" s="44" t="s">
        <v>1973</v>
      </c>
      <c r="V1174" s="44" t="s">
        <v>1380</v>
      </c>
      <c r="W1174" s="44" t="s">
        <v>1716</v>
      </c>
      <c r="X1174" s="44" t="s">
        <v>1380</v>
      </c>
      <c r="Y1174" s="44" t="s">
        <v>1380</v>
      </c>
      <c r="AA1174" s="323">
        <v>28</v>
      </c>
      <c r="AB1174" s="323">
        <v>54</v>
      </c>
      <c r="AC1174" s="32" t="s">
        <v>450</v>
      </c>
      <c r="AD1174" s="32">
        <v>5.4</v>
      </c>
      <c r="AE1174" s="32">
        <v>1.71</v>
      </c>
      <c r="AG1174" s="32" t="s">
        <v>1345</v>
      </c>
      <c r="AH1174" s="32" t="s">
        <v>791</v>
      </c>
      <c r="AI1174" s="138" t="s">
        <v>1581</v>
      </c>
      <c r="AJ1174" s="32" t="s">
        <v>797</v>
      </c>
      <c r="AK1174" s="140" t="s">
        <v>1625</v>
      </c>
      <c r="AL1174" s="32" t="s">
        <v>798</v>
      </c>
      <c r="AM1174" s="32" t="s">
        <v>798</v>
      </c>
      <c r="AN1174" s="32" t="s">
        <v>177</v>
      </c>
      <c r="AW1174" s="32" t="s">
        <v>119</v>
      </c>
      <c r="AX1174" s="32">
        <v>4</v>
      </c>
      <c r="AZ1174" s="32" t="s">
        <v>141</v>
      </c>
      <c r="BP1174" s="397"/>
      <c r="BQ1174" s="397"/>
      <c r="BU1174" s="397"/>
      <c r="BV1174" s="397"/>
      <c r="BZ1174" s="397"/>
      <c r="CA1174" s="397"/>
      <c r="CE1174" s="550"/>
      <c r="CF1174" s="550"/>
      <c r="CG1174" s="550"/>
      <c r="CH1174" s="550"/>
      <c r="GU1174" s="32">
        <v>2.77</v>
      </c>
      <c r="GV1174" s="32">
        <v>2.61</v>
      </c>
      <c r="GY1174" s="32" t="s">
        <v>805</v>
      </c>
      <c r="JB1174" s="32" t="s">
        <v>803</v>
      </c>
    </row>
    <row r="1175" spans="1:262" s="32" customFormat="1" x14ac:dyDescent="0.25">
      <c r="A1175" s="32">
        <v>55</v>
      </c>
      <c r="B1175" s="44" t="s">
        <v>4017</v>
      </c>
      <c r="C1175" s="32" t="s">
        <v>788</v>
      </c>
      <c r="D1175" s="32" t="s">
        <v>789</v>
      </c>
      <c r="E1175" s="32">
        <v>2001</v>
      </c>
      <c r="F1175" s="32">
        <v>1998</v>
      </c>
      <c r="G1175" s="32" t="s">
        <v>794</v>
      </c>
      <c r="H1175" s="32" t="s">
        <v>790</v>
      </c>
      <c r="I1175" s="32" t="s">
        <v>2815</v>
      </c>
      <c r="J1175" s="32">
        <v>45.23</v>
      </c>
      <c r="K1175" s="32">
        <v>-122.756</v>
      </c>
      <c r="L1175" s="32">
        <v>48.4</v>
      </c>
      <c r="R1175" s="44" t="s">
        <v>1719</v>
      </c>
      <c r="S1175" s="44" t="s">
        <v>1860</v>
      </c>
      <c r="T1175" s="44"/>
      <c r="U1175" s="44" t="s">
        <v>1973</v>
      </c>
      <c r="V1175" s="44" t="s">
        <v>1380</v>
      </c>
      <c r="W1175" s="44" t="s">
        <v>1716</v>
      </c>
      <c r="X1175" s="44" t="s">
        <v>1380</v>
      </c>
      <c r="Y1175" s="44" t="s">
        <v>1380</v>
      </c>
      <c r="AA1175" s="323">
        <v>28</v>
      </c>
      <c r="AB1175" s="323">
        <v>54</v>
      </c>
      <c r="AC1175" s="32" t="s">
        <v>450</v>
      </c>
      <c r="AD1175" s="32">
        <v>5.4</v>
      </c>
      <c r="AE1175" s="32">
        <v>1.71</v>
      </c>
      <c r="AG1175" s="32" t="s">
        <v>1345</v>
      </c>
      <c r="AH1175" s="32" t="s">
        <v>1578</v>
      </c>
      <c r="AI1175" s="138" t="s">
        <v>1582</v>
      </c>
      <c r="AJ1175" s="32" t="s">
        <v>797</v>
      </c>
      <c r="AK1175" s="140" t="s">
        <v>1625</v>
      </c>
      <c r="AL1175" s="32" t="s">
        <v>798</v>
      </c>
      <c r="AM1175" s="32" t="s">
        <v>798</v>
      </c>
      <c r="AN1175" s="32" t="s">
        <v>177</v>
      </c>
      <c r="AW1175" s="32" t="s">
        <v>119</v>
      </c>
      <c r="AX1175" s="32">
        <v>4</v>
      </c>
      <c r="AZ1175" s="32" t="s">
        <v>141</v>
      </c>
      <c r="BP1175" s="397"/>
      <c r="BQ1175" s="397"/>
      <c r="BU1175" s="397"/>
      <c r="BV1175" s="397"/>
      <c r="BZ1175" s="397"/>
      <c r="CA1175" s="397"/>
      <c r="CE1175" s="550"/>
      <c r="CF1175" s="550"/>
      <c r="CG1175" s="550"/>
      <c r="CH1175" s="550"/>
      <c r="GU1175" s="32">
        <v>2.77</v>
      </c>
      <c r="GV1175" s="32">
        <v>2.7</v>
      </c>
      <c r="GY1175" s="32" t="s">
        <v>805</v>
      </c>
      <c r="JB1175" s="32" t="s">
        <v>803</v>
      </c>
    </row>
    <row r="1176" spans="1:262" s="40" customFormat="1" x14ac:dyDescent="0.25">
      <c r="A1176" s="40">
        <v>55</v>
      </c>
      <c r="B1176" s="71" t="s">
        <v>4013</v>
      </c>
      <c r="C1176" s="40" t="s">
        <v>788</v>
      </c>
      <c r="D1176" s="40" t="s">
        <v>789</v>
      </c>
      <c r="E1176" s="40">
        <v>2001</v>
      </c>
      <c r="F1176" s="40">
        <v>1998</v>
      </c>
      <c r="G1176" s="40" t="s">
        <v>794</v>
      </c>
      <c r="H1176" s="40" t="s">
        <v>795</v>
      </c>
      <c r="I1176" s="32" t="s">
        <v>2815</v>
      </c>
      <c r="J1176" s="40">
        <v>44.56</v>
      </c>
      <c r="K1176" s="40">
        <v>-123.26</v>
      </c>
      <c r="L1176" s="40">
        <v>59.6</v>
      </c>
      <c r="R1176" s="71" t="s">
        <v>1734</v>
      </c>
      <c r="S1176" s="71" t="s">
        <v>1734</v>
      </c>
      <c r="T1176" s="71"/>
      <c r="U1176" s="71" t="s">
        <v>1969</v>
      </c>
      <c r="V1176" s="71" t="s">
        <v>1380</v>
      </c>
      <c r="W1176" s="71" t="s">
        <v>1716</v>
      </c>
      <c r="X1176" s="71" t="s">
        <v>1380</v>
      </c>
      <c r="Y1176" s="71" t="s">
        <v>1380</v>
      </c>
      <c r="AA1176" s="341">
        <v>22</v>
      </c>
      <c r="AB1176" s="341">
        <v>52</v>
      </c>
      <c r="AC1176" s="40" t="s">
        <v>450</v>
      </c>
      <c r="AD1176" s="40">
        <v>5.9</v>
      </c>
      <c r="AE1176" s="40">
        <v>1.65</v>
      </c>
      <c r="AG1176" s="40" t="s">
        <v>1345</v>
      </c>
      <c r="AH1176" s="40" t="s">
        <v>1578</v>
      </c>
      <c r="AI1176" s="138" t="s">
        <v>1582</v>
      </c>
      <c r="AJ1176" s="40" t="s">
        <v>804</v>
      </c>
      <c r="AK1176" s="140" t="s">
        <v>1625</v>
      </c>
      <c r="AL1176" s="40" t="s">
        <v>799</v>
      </c>
      <c r="AM1176" s="40" t="s">
        <v>799</v>
      </c>
      <c r="AN1176" s="40" t="s">
        <v>177</v>
      </c>
      <c r="AW1176" s="40" t="s">
        <v>119</v>
      </c>
      <c r="AX1176" s="40">
        <v>4</v>
      </c>
      <c r="AZ1176" s="40" t="s">
        <v>141</v>
      </c>
      <c r="BP1176" s="416"/>
      <c r="BQ1176" s="416"/>
      <c r="BU1176" s="416"/>
      <c r="BV1176" s="416"/>
      <c r="BZ1176" s="416"/>
      <c r="CA1176" s="416"/>
      <c r="CE1176" s="569"/>
      <c r="CF1176" s="569"/>
      <c r="CG1176" s="569"/>
      <c r="CH1176" s="569"/>
      <c r="GU1176" s="40">
        <v>2.58</v>
      </c>
      <c r="GV1176" s="40">
        <v>2.82</v>
      </c>
      <c r="GY1176" s="40" t="s">
        <v>805</v>
      </c>
      <c r="JB1176" s="40" t="s">
        <v>803</v>
      </c>
    </row>
    <row r="1177" spans="1:262" s="32" customFormat="1" x14ac:dyDescent="0.25">
      <c r="A1177" s="32">
        <v>55</v>
      </c>
      <c r="B1177" s="44" t="s">
        <v>4011</v>
      </c>
      <c r="C1177" s="32" t="s">
        <v>788</v>
      </c>
      <c r="D1177" s="32" t="s">
        <v>789</v>
      </c>
      <c r="E1177" s="32">
        <v>2001</v>
      </c>
      <c r="F1177" s="32">
        <v>1999</v>
      </c>
      <c r="G1177" s="32" t="s">
        <v>794</v>
      </c>
      <c r="H1177" s="32" t="s">
        <v>790</v>
      </c>
      <c r="I1177" s="32" t="s">
        <v>2815</v>
      </c>
      <c r="J1177" s="32">
        <v>45.23</v>
      </c>
      <c r="K1177" s="32">
        <v>-122.756</v>
      </c>
      <c r="L1177" s="32">
        <v>48.4</v>
      </c>
      <c r="R1177" s="44" t="s">
        <v>1860</v>
      </c>
      <c r="S1177" s="44" t="s">
        <v>1860</v>
      </c>
      <c r="T1177" s="44"/>
      <c r="U1177" s="44" t="s">
        <v>1973</v>
      </c>
      <c r="V1177" s="44" t="s">
        <v>1380</v>
      </c>
      <c r="W1177" s="44" t="s">
        <v>1716</v>
      </c>
      <c r="X1177" s="44" t="s">
        <v>1380</v>
      </c>
      <c r="Y1177" s="44" t="s">
        <v>1380</v>
      </c>
      <c r="AA1177" s="323">
        <v>28</v>
      </c>
      <c r="AB1177" s="323">
        <v>54</v>
      </c>
      <c r="AC1177" s="32" t="s">
        <v>450</v>
      </c>
      <c r="AD1177" s="32">
        <v>5.4</v>
      </c>
      <c r="AE1177" s="32">
        <v>1.71</v>
      </c>
      <c r="AG1177" s="32" t="s">
        <v>1345</v>
      </c>
      <c r="AH1177" s="32" t="s">
        <v>791</v>
      </c>
      <c r="AI1177" s="138" t="s">
        <v>1581</v>
      </c>
      <c r="AJ1177" s="32" t="s">
        <v>804</v>
      </c>
      <c r="AK1177" s="140" t="s">
        <v>1625</v>
      </c>
      <c r="AL1177" s="32" t="s">
        <v>798</v>
      </c>
      <c r="AM1177" s="32" t="s">
        <v>798</v>
      </c>
      <c r="AN1177" s="32" t="s">
        <v>177</v>
      </c>
      <c r="AW1177" s="32" t="s">
        <v>119</v>
      </c>
      <c r="AX1177" s="32">
        <v>4</v>
      </c>
      <c r="AZ1177" s="32" t="s">
        <v>141</v>
      </c>
      <c r="BP1177" s="397"/>
      <c r="BQ1177" s="397"/>
      <c r="BU1177" s="397"/>
      <c r="BV1177" s="397"/>
      <c r="BZ1177" s="397"/>
      <c r="CA1177" s="397"/>
      <c r="CE1177" s="550"/>
      <c r="CF1177" s="550"/>
      <c r="CG1177" s="550"/>
      <c r="CH1177" s="550"/>
      <c r="GU1177" s="32">
        <v>2.9</v>
      </c>
      <c r="GV1177" s="32">
        <v>2.9</v>
      </c>
      <c r="GY1177" s="32" t="s">
        <v>805</v>
      </c>
      <c r="JB1177" s="32" t="s">
        <v>803</v>
      </c>
    </row>
    <row r="1178" spans="1:262" s="32" customFormat="1" x14ac:dyDescent="0.25">
      <c r="A1178" s="32">
        <v>55</v>
      </c>
      <c r="B1178" s="44" t="s">
        <v>4017</v>
      </c>
      <c r="C1178" s="32" t="s">
        <v>788</v>
      </c>
      <c r="D1178" s="32" t="s">
        <v>789</v>
      </c>
      <c r="E1178" s="32">
        <v>2001</v>
      </c>
      <c r="F1178" s="32">
        <v>1999</v>
      </c>
      <c r="G1178" s="32" t="s">
        <v>794</v>
      </c>
      <c r="H1178" s="32" t="s">
        <v>790</v>
      </c>
      <c r="I1178" s="32" t="s">
        <v>2815</v>
      </c>
      <c r="J1178" s="32">
        <v>45.23</v>
      </c>
      <c r="K1178" s="32">
        <v>-122.756</v>
      </c>
      <c r="L1178" s="32">
        <v>48.4</v>
      </c>
      <c r="R1178" s="44" t="s">
        <v>1860</v>
      </c>
      <c r="S1178" s="44" t="s">
        <v>1860</v>
      </c>
      <c r="T1178" s="44"/>
      <c r="U1178" s="44" t="s">
        <v>1973</v>
      </c>
      <c r="V1178" s="44" t="s">
        <v>1380</v>
      </c>
      <c r="W1178" s="44" t="s">
        <v>1716</v>
      </c>
      <c r="X1178" s="44" t="s">
        <v>1380</v>
      </c>
      <c r="Y1178" s="44" t="s">
        <v>1380</v>
      </c>
      <c r="AA1178" s="323">
        <v>28</v>
      </c>
      <c r="AB1178" s="323">
        <v>54</v>
      </c>
      <c r="AC1178" s="32" t="s">
        <v>450</v>
      </c>
      <c r="AD1178" s="32">
        <v>5.4</v>
      </c>
      <c r="AE1178" s="32">
        <v>1.71</v>
      </c>
      <c r="AG1178" s="32" t="s">
        <v>1345</v>
      </c>
      <c r="AH1178" s="32" t="s">
        <v>1578</v>
      </c>
      <c r="AI1178" s="138" t="s">
        <v>1582</v>
      </c>
      <c r="AJ1178" s="32" t="s">
        <v>804</v>
      </c>
      <c r="AK1178" s="140" t="s">
        <v>1625</v>
      </c>
      <c r="AL1178" s="32" t="s">
        <v>798</v>
      </c>
      <c r="AM1178" s="32" t="s">
        <v>798</v>
      </c>
      <c r="AN1178" s="32" t="s">
        <v>177</v>
      </c>
      <c r="AW1178" s="32" t="s">
        <v>119</v>
      </c>
      <c r="AX1178" s="32">
        <v>4</v>
      </c>
      <c r="AZ1178" s="32" t="s">
        <v>141</v>
      </c>
      <c r="BP1178" s="397"/>
      <c r="BQ1178" s="397"/>
      <c r="BU1178" s="397"/>
      <c r="BV1178" s="397"/>
      <c r="BZ1178" s="397"/>
      <c r="CA1178" s="397"/>
      <c r="CE1178" s="550"/>
      <c r="CF1178" s="550"/>
      <c r="CG1178" s="550"/>
      <c r="CH1178" s="550"/>
      <c r="GU1178" s="32">
        <v>2.9</v>
      </c>
      <c r="GV1178" s="32">
        <v>2.92</v>
      </c>
      <c r="GY1178" s="32" t="s">
        <v>805</v>
      </c>
      <c r="JB1178" s="32" t="s">
        <v>803</v>
      </c>
    </row>
    <row r="1179" spans="1:262" s="40" customFormat="1" x14ac:dyDescent="0.25">
      <c r="A1179" s="40">
        <v>55</v>
      </c>
      <c r="B1179" s="71" t="s">
        <v>4013</v>
      </c>
      <c r="C1179" s="40" t="s">
        <v>788</v>
      </c>
      <c r="D1179" s="40" t="s">
        <v>789</v>
      </c>
      <c r="E1179" s="40">
        <v>2001</v>
      </c>
      <c r="F1179" s="40">
        <v>1999</v>
      </c>
      <c r="G1179" s="40" t="s">
        <v>794</v>
      </c>
      <c r="H1179" s="40" t="s">
        <v>795</v>
      </c>
      <c r="I1179" s="32" t="s">
        <v>2815</v>
      </c>
      <c r="J1179" s="40">
        <v>44.56</v>
      </c>
      <c r="K1179" s="40">
        <v>-123.26</v>
      </c>
      <c r="L1179" s="40">
        <v>59.6</v>
      </c>
      <c r="R1179" s="71" t="s">
        <v>1734</v>
      </c>
      <c r="S1179" s="71" t="s">
        <v>1734</v>
      </c>
      <c r="T1179" s="71"/>
      <c r="U1179" s="71" t="s">
        <v>1969</v>
      </c>
      <c r="V1179" s="71" t="s">
        <v>1380</v>
      </c>
      <c r="W1179" s="71" t="s">
        <v>1716</v>
      </c>
      <c r="X1179" s="71" t="s">
        <v>1380</v>
      </c>
      <c r="Y1179" s="71" t="s">
        <v>1380</v>
      </c>
      <c r="AA1179" s="341">
        <v>22</v>
      </c>
      <c r="AB1179" s="341">
        <v>52</v>
      </c>
      <c r="AC1179" s="40" t="s">
        <v>450</v>
      </c>
      <c r="AD1179" s="40">
        <v>5.9</v>
      </c>
      <c r="AE1179" s="40">
        <v>1.65</v>
      </c>
      <c r="AG1179" s="40" t="s">
        <v>1345</v>
      </c>
      <c r="AH1179" s="40" t="s">
        <v>1578</v>
      </c>
      <c r="AI1179" s="138" t="s">
        <v>1582</v>
      </c>
      <c r="AJ1179" s="40" t="s">
        <v>804</v>
      </c>
      <c r="AK1179" s="140" t="s">
        <v>1625</v>
      </c>
      <c r="AL1179" s="40" t="s">
        <v>799</v>
      </c>
      <c r="AM1179" s="40" t="s">
        <v>799</v>
      </c>
      <c r="AN1179" s="40" t="s">
        <v>177</v>
      </c>
      <c r="AW1179" s="40" t="s">
        <v>119</v>
      </c>
      <c r="AX1179" s="40">
        <v>4</v>
      </c>
      <c r="AZ1179" s="40" t="s">
        <v>141</v>
      </c>
      <c r="BP1179" s="416"/>
      <c r="BQ1179" s="416"/>
      <c r="BU1179" s="416"/>
      <c r="BV1179" s="416"/>
      <c r="BZ1179" s="416"/>
      <c r="CA1179" s="416"/>
      <c r="CE1179" s="569"/>
      <c r="CF1179" s="569"/>
      <c r="CG1179" s="569"/>
      <c r="CH1179" s="569"/>
      <c r="GU1179" s="40">
        <v>2.97</v>
      </c>
      <c r="GV1179" s="40">
        <v>3</v>
      </c>
      <c r="GY1179" s="40" t="s">
        <v>805</v>
      </c>
      <c r="JB1179" s="40" t="s">
        <v>803</v>
      </c>
    </row>
    <row r="1180" spans="1:262" s="32" customFormat="1" x14ac:dyDescent="0.25">
      <c r="A1180" s="32">
        <v>55</v>
      </c>
      <c r="B1180" s="44" t="s">
        <v>4011</v>
      </c>
      <c r="C1180" s="32" t="s">
        <v>788</v>
      </c>
      <c r="D1180" s="32" t="s">
        <v>789</v>
      </c>
      <c r="E1180" s="32">
        <v>2001</v>
      </c>
      <c r="F1180" s="32">
        <v>1998</v>
      </c>
      <c r="G1180" s="32" t="s">
        <v>794</v>
      </c>
      <c r="H1180" s="32" t="s">
        <v>790</v>
      </c>
      <c r="I1180" s="32" t="s">
        <v>2815</v>
      </c>
      <c r="J1180" s="32">
        <v>45.23</v>
      </c>
      <c r="K1180" s="32">
        <v>-122.756</v>
      </c>
      <c r="L1180" s="32">
        <v>48.4</v>
      </c>
      <c r="R1180" s="44" t="s">
        <v>1719</v>
      </c>
      <c r="S1180" s="44" t="s">
        <v>1860</v>
      </c>
      <c r="T1180" s="44"/>
      <c r="U1180" s="44" t="s">
        <v>1974</v>
      </c>
      <c r="V1180" s="44" t="s">
        <v>1380</v>
      </c>
      <c r="W1180" s="44" t="s">
        <v>1716</v>
      </c>
      <c r="X1180" s="44" t="s">
        <v>1380</v>
      </c>
      <c r="Y1180" s="44" t="s">
        <v>1380</v>
      </c>
      <c r="AA1180" s="323">
        <v>28</v>
      </c>
      <c r="AB1180" s="323">
        <v>54</v>
      </c>
      <c r="AC1180" s="32" t="s">
        <v>450</v>
      </c>
      <c r="AD1180" s="32">
        <v>5.4</v>
      </c>
      <c r="AE1180" s="32">
        <v>1.71</v>
      </c>
      <c r="AG1180" s="32" t="s">
        <v>1345</v>
      </c>
      <c r="AH1180" s="32" t="s">
        <v>791</v>
      </c>
      <c r="AI1180" s="138" t="s">
        <v>1581</v>
      </c>
      <c r="AJ1180" s="32" t="s">
        <v>797</v>
      </c>
      <c r="AK1180" s="140" t="s">
        <v>1625</v>
      </c>
      <c r="AL1180" s="32" t="s">
        <v>798</v>
      </c>
      <c r="AM1180" s="32" t="s">
        <v>798</v>
      </c>
      <c r="AN1180" s="32" t="s">
        <v>177</v>
      </c>
      <c r="AW1180" s="32" t="s">
        <v>119</v>
      </c>
      <c r="AX1180" s="32">
        <v>4</v>
      </c>
      <c r="AZ1180" s="32" t="s">
        <v>141</v>
      </c>
      <c r="BP1180" s="397"/>
      <c r="BQ1180" s="397"/>
      <c r="BU1180" s="397"/>
      <c r="BV1180" s="397"/>
      <c r="BZ1180" s="397"/>
      <c r="CA1180" s="397"/>
      <c r="CE1180" s="550"/>
      <c r="CF1180" s="550"/>
      <c r="CG1180" s="550"/>
      <c r="CH1180" s="550"/>
      <c r="GU1180" s="32">
        <v>2.95</v>
      </c>
      <c r="GV1180" s="32">
        <v>2.83</v>
      </c>
      <c r="GY1180" s="32" t="s">
        <v>805</v>
      </c>
      <c r="JB1180" s="32" t="s">
        <v>803</v>
      </c>
    </row>
    <row r="1181" spans="1:262" s="32" customFormat="1" x14ac:dyDescent="0.25">
      <c r="A1181" s="32">
        <v>55</v>
      </c>
      <c r="B1181" s="44" t="s">
        <v>4017</v>
      </c>
      <c r="C1181" s="32" t="s">
        <v>788</v>
      </c>
      <c r="D1181" s="32" t="s">
        <v>789</v>
      </c>
      <c r="E1181" s="32">
        <v>2001</v>
      </c>
      <c r="F1181" s="32">
        <v>1998</v>
      </c>
      <c r="G1181" s="32" t="s">
        <v>794</v>
      </c>
      <c r="H1181" s="32" t="s">
        <v>790</v>
      </c>
      <c r="I1181" s="32" t="s">
        <v>2815</v>
      </c>
      <c r="J1181" s="32">
        <v>45.23</v>
      </c>
      <c r="K1181" s="32">
        <v>-122.756</v>
      </c>
      <c r="L1181" s="32">
        <v>48.4</v>
      </c>
      <c r="R1181" s="44" t="s">
        <v>1719</v>
      </c>
      <c r="S1181" s="44" t="s">
        <v>1860</v>
      </c>
      <c r="T1181" s="44"/>
      <c r="U1181" s="44" t="s">
        <v>1974</v>
      </c>
      <c r="V1181" s="44" t="s">
        <v>1380</v>
      </c>
      <c r="W1181" s="44" t="s">
        <v>1716</v>
      </c>
      <c r="X1181" s="44" t="s">
        <v>1380</v>
      </c>
      <c r="Y1181" s="44" t="s">
        <v>1380</v>
      </c>
      <c r="AA1181" s="323">
        <v>28</v>
      </c>
      <c r="AB1181" s="323">
        <v>54</v>
      </c>
      <c r="AC1181" s="32" t="s">
        <v>450</v>
      </c>
      <c r="AD1181" s="32">
        <v>5.4</v>
      </c>
      <c r="AE1181" s="32">
        <v>1.71</v>
      </c>
      <c r="AG1181" s="32" t="s">
        <v>1345</v>
      </c>
      <c r="AH1181" s="32" t="s">
        <v>1578</v>
      </c>
      <c r="AI1181" s="138" t="s">
        <v>1582</v>
      </c>
      <c r="AJ1181" s="32" t="s">
        <v>797</v>
      </c>
      <c r="AK1181" s="140" t="s">
        <v>1625</v>
      </c>
      <c r="AL1181" s="32" t="s">
        <v>798</v>
      </c>
      <c r="AM1181" s="32" t="s">
        <v>798</v>
      </c>
      <c r="AN1181" s="32" t="s">
        <v>177</v>
      </c>
      <c r="AW1181" s="32" t="s">
        <v>119</v>
      </c>
      <c r="AX1181" s="32">
        <v>4</v>
      </c>
      <c r="AZ1181" s="32" t="s">
        <v>141</v>
      </c>
      <c r="BP1181" s="397"/>
      <c r="BQ1181" s="397"/>
      <c r="BU1181" s="397"/>
      <c r="BV1181" s="397"/>
      <c r="BZ1181" s="397"/>
      <c r="CA1181" s="397"/>
      <c r="CE1181" s="550"/>
      <c r="CF1181" s="550"/>
      <c r="CG1181" s="550"/>
      <c r="CH1181" s="550"/>
      <c r="GU1181" s="32">
        <v>2.95</v>
      </c>
      <c r="GV1181" s="32">
        <v>2.89</v>
      </c>
      <c r="GY1181" s="32" t="s">
        <v>805</v>
      </c>
      <c r="JB1181" s="32" t="s">
        <v>803</v>
      </c>
    </row>
    <row r="1182" spans="1:262" s="40" customFormat="1" x14ac:dyDescent="0.25">
      <c r="A1182" s="40">
        <v>55</v>
      </c>
      <c r="B1182" s="71" t="s">
        <v>4013</v>
      </c>
      <c r="C1182" s="40" t="s">
        <v>788</v>
      </c>
      <c r="D1182" s="40" t="s">
        <v>789</v>
      </c>
      <c r="E1182" s="40">
        <v>2001</v>
      </c>
      <c r="F1182" s="40">
        <v>1998</v>
      </c>
      <c r="G1182" s="40" t="s">
        <v>794</v>
      </c>
      <c r="H1182" s="40" t="s">
        <v>795</v>
      </c>
      <c r="I1182" s="32" t="s">
        <v>2815</v>
      </c>
      <c r="J1182" s="40">
        <v>44.56</v>
      </c>
      <c r="K1182" s="40">
        <v>-123.26</v>
      </c>
      <c r="L1182" s="40">
        <v>59.6</v>
      </c>
      <c r="R1182" s="71" t="s">
        <v>1734</v>
      </c>
      <c r="S1182" s="71" t="s">
        <v>1734</v>
      </c>
      <c r="T1182" s="71"/>
      <c r="U1182" s="71" t="s">
        <v>1970</v>
      </c>
      <c r="V1182" s="71" t="s">
        <v>1380</v>
      </c>
      <c r="W1182" s="71" t="s">
        <v>1716</v>
      </c>
      <c r="X1182" s="71" t="s">
        <v>1380</v>
      </c>
      <c r="Y1182" s="71" t="s">
        <v>1380</v>
      </c>
      <c r="AA1182" s="341">
        <v>22</v>
      </c>
      <c r="AB1182" s="341">
        <v>52</v>
      </c>
      <c r="AC1182" s="40" t="s">
        <v>450</v>
      </c>
      <c r="AD1182" s="40">
        <v>5.9</v>
      </c>
      <c r="AE1182" s="40">
        <v>1.65</v>
      </c>
      <c r="AG1182" s="40" t="s">
        <v>1345</v>
      </c>
      <c r="AH1182" s="40" t="s">
        <v>1578</v>
      </c>
      <c r="AI1182" s="138" t="s">
        <v>1582</v>
      </c>
      <c r="AJ1182" s="40" t="s">
        <v>804</v>
      </c>
      <c r="AK1182" s="140" t="s">
        <v>1625</v>
      </c>
      <c r="AL1182" s="40" t="s">
        <v>799</v>
      </c>
      <c r="AM1182" s="40" t="s">
        <v>799</v>
      </c>
      <c r="AN1182" s="40" t="s">
        <v>177</v>
      </c>
      <c r="AW1182" s="40" t="s">
        <v>119</v>
      </c>
      <c r="AX1182" s="40">
        <v>4</v>
      </c>
      <c r="AZ1182" s="40" t="s">
        <v>141</v>
      </c>
      <c r="BP1182" s="416"/>
      <c r="BQ1182" s="416"/>
      <c r="BU1182" s="416"/>
      <c r="BV1182" s="416"/>
      <c r="BZ1182" s="416"/>
      <c r="CA1182" s="416"/>
      <c r="CE1182" s="569"/>
      <c r="CF1182" s="569"/>
      <c r="CG1182" s="569"/>
      <c r="CH1182" s="569"/>
      <c r="GU1182" s="40">
        <v>2.7</v>
      </c>
      <c r="GV1182" s="40">
        <v>2.84</v>
      </c>
      <c r="GY1182" s="40" t="s">
        <v>805</v>
      </c>
      <c r="JB1182" s="40" t="s">
        <v>803</v>
      </c>
    </row>
    <row r="1183" spans="1:262" s="32" customFormat="1" x14ac:dyDescent="0.25">
      <c r="A1183" s="32">
        <v>55</v>
      </c>
      <c r="B1183" s="44" t="s">
        <v>4011</v>
      </c>
      <c r="C1183" s="32" t="s">
        <v>788</v>
      </c>
      <c r="D1183" s="32" t="s">
        <v>789</v>
      </c>
      <c r="E1183" s="32">
        <v>2001</v>
      </c>
      <c r="F1183" s="32">
        <v>1999</v>
      </c>
      <c r="G1183" s="32" t="s">
        <v>794</v>
      </c>
      <c r="H1183" s="32" t="s">
        <v>790</v>
      </c>
      <c r="I1183" s="32" t="s">
        <v>2815</v>
      </c>
      <c r="J1183" s="32">
        <v>45.23</v>
      </c>
      <c r="K1183" s="32">
        <v>-122.756</v>
      </c>
      <c r="L1183" s="32">
        <v>48.4</v>
      </c>
      <c r="R1183" s="44" t="s">
        <v>1860</v>
      </c>
      <c r="S1183" s="44" t="s">
        <v>1860</v>
      </c>
      <c r="T1183" s="44"/>
      <c r="U1183" s="44" t="s">
        <v>1974</v>
      </c>
      <c r="V1183" s="44" t="s">
        <v>1380</v>
      </c>
      <c r="W1183" s="44" t="s">
        <v>1716</v>
      </c>
      <c r="X1183" s="44" t="s">
        <v>1380</v>
      </c>
      <c r="Y1183" s="44" t="s">
        <v>1380</v>
      </c>
      <c r="AA1183" s="323">
        <v>28</v>
      </c>
      <c r="AB1183" s="323">
        <v>54</v>
      </c>
      <c r="AC1183" s="32" t="s">
        <v>450</v>
      </c>
      <c r="AD1183" s="32">
        <v>5.4</v>
      </c>
      <c r="AE1183" s="32">
        <v>1.71</v>
      </c>
      <c r="AG1183" s="32" t="s">
        <v>1345</v>
      </c>
      <c r="AH1183" s="32" t="s">
        <v>791</v>
      </c>
      <c r="AI1183" s="138" t="s">
        <v>1581</v>
      </c>
      <c r="AJ1183" s="32" t="s">
        <v>804</v>
      </c>
      <c r="AK1183" s="140" t="s">
        <v>1625</v>
      </c>
      <c r="AL1183" s="32" t="s">
        <v>798</v>
      </c>
      <c r="AM1183" s="32" t="s">
        <v>798</v>
      </c>
      <c r="AN1183" s="32" t="s">
        <v>177</v>
      </c>
      <c r="AW1183" s="32" t="s">
        <v>119</v>
      </c>
      <c r="AX1183" s="32">
        <v>4</v>
      </c>
      <c r="AZ1183" s="32" t="s">
        <v>141</v>
      </c>
      <c r="BP1183" s="397"/>
      <c r="BQ1183" s="397"/>
      <c r="BU1183" s="397"/>
      <c r="BV1183" s="397"/>
      <c r="BZ1183" s="397"/>
      <c r="CA1183" s="397"/>
      <c r="CE1183" s="550"/>
      <c r="CF1183" s="550"/>
      <c r="CG1183" s="550"/>
      <c r="CH1183" s="550"/>
      <c r="GU1183" s="32">
        <v>2.78</v>
      </c>
      <c r="GV1183" s="32">
        <v>2.75</v>
      </c>
      <c r="GY1183" s="32" t="s">
        <v>805</v>
      </c>
      <c r="JB1183" s="32" t="s">
        <v>803</v>
      </c>
    </row>
    <row r="1184" spans="1:262" s="32" customFormat="1" x14ac:dyDescent="0.25">
      <c r="A1184" s="32">
        <v>55</v>
      </c>
      <c r="B1184" s="44" t="s">
        <v>4017</v>
      </c>
      <c r="C1184" s="32" t="s">
        <v>788</v>
      </c>
      <c r="D1184" s="32" t="s">
        <v>789</v>
      </c>
      <c r="E1184" s="32">
        <v>2001</v>
      </c>
      <c r="F1184" s="32">
        <v>1999</v>
      </c>
      <c r="G1184" s="32" t="s">
        <v>794</v>
      </c>
      <c r="H1184" s="32" t="s">
        <v>790</v>
      </c>
      <c r="I1184" s="32" t="s">
        <v>2815</v>
      </c>
      <c r="J1184" s="32">
        <v>45.23</v>
      </c>
      <c r="K1184" s="32">
        <v>-122.756</v>
      </c>
      <c r="L1184" s="32">
        <v>48.4</v>
      </c>
      <c r="R1184" s="44" t="s">
        <v>1860</v>
      </c>
      <c r="S1184" s="44" t="s">
        <v>1860</v>
      </c>
      <c r="T1184" s="44"/>
      <c r="U1184" s="44" t="s">
        <v>1974</v>
      </c>
      <c r="V1184" s="44" t="s">
        <v>1380</v>
      </c>
      <c r="W1184" s="44" t="s">
        <v>1716</v>
      </c>
      <c r="X1184" s="44" t="s">
        <v>1380</v>
      </c>
      <c r="Y1184" s="44" t="s">
        <v>1380</v>
      </c>
      <c r="AA1184" s="323">
        <v>28</v>
      </c>
      <c r="AB1184" s="323">
        <v>54</v>
      </c>
      <c r="AC1184" s="32" t="s">
        <v>450</v>
      </c>
      <c r="AD1184" s="32">
        <v>5.4</v>
      </c>
      <c r="AE1184" s="32">
        <v>1.71</v>
      </c>
      <c r="AG1184" s="32" t="s">
        <v>1345</v>
      </c>
      <c r="AH1184" s="32" t="s">
        <v>1578</v>
      </c>
      <c r="AI1184" s="138" t="s">
        <v>1582</v>
      </c>
      <c r="AJ1184" s="32" t="s">
        <v>804</v>
      </c>
      <c r="AK1184" s="140" t="s">
        <v>1625</v>
      </c>
      <c r="AL1184" s="32" t="s">
        <v>798</v>
      </c>
      <c r="AM1184" s="32" t="s">
        <v>798</v>
      </c>
      <c r="AN1184" s="32" t="s">
        <v>177</v>
      </c>
      <c r="AW1184" s="32" t="s">
        <v>119</v>
      </c>
      <c r="AX1184" s="32">
        <v>4</v>
      </c>
      <c r="AZ1184" s="32" t="s">
        <v>141</v>
      </c>
      <c r="BP1184" s="397"/>
      <c r="BQ1184" s="397"/>
      <c r="BU1184" s="397"/>
      <c r="BV1184" s="397"/>
      <c r="BZ1184" s="397"/>
      <c r="CA1184" s="397"/>
      <c r="CE1184" s="550"/>
      <c r="CF1184" s="550"/>
      <c r="CG1184" s="550"/>
      <c r="CH1184" s="550"/>
      <c r="GU1184" s="32">
        <v>2.78</v>
      </c>
      <c r="GV1184" s="32">
        <v>2.76</v>
      </c>
      <c r="GY1184" s="32" t="s">
        <v>805</v>
      </c>
      <c r="JB1184" s="32" t="s">
        <v>803</v>
      </c>
    </row>
    <row r="1185" spans="1:262" s="40" customFormat="1" x14ac:dyDescent="0.25">
      <c r="A1185" s="40">
        <v>55</v>
      </c>
      <c r="B1185" s="71" t="s">
        <v>4013</v>
      </c>
      <c r="C1185" s="40" t="s">
        <v>788</v>
      </c>
      <c r="D1185" s="40" t="s">
        <v>789</v>
      </c>
      <c r="E1185" s="40">
        <v>2001</v>
      </c>
      <c r="F1185" s="40">
        <v>1999</v>
      </c>
      <c r="G1185" s="40" t="s">
        <v>794</v>
      </c>
      <c r="H1185" s="40" t="s">
        <v>795</v>
      </c>
      <c r="I1185" s="32" t="s">
        <v>2815</v>
      </c>
      <c r="J1185" s="40">
        <v>44.56</v>
      </c>
      <c r="K1185" s="40">
        <v>-123.26</v>
      </c>
      <c r="L1185" s="40">
        <v>59.6</v>
      </c>
      <c r="R1185" s="71" t="s">
        <v>1734</v>
      </c>
      <c r="S1185" s="71" t="s">
        <v>1734</v>
      </c>
      <c r="T1185" s="71"/>
      <c r="U1185" s="71" t="s">
        <v>1970</v>
      </c>
      <c r="V1185" s="71" t="s">
        <v>1380</v>
      </c>
      <c r="W1185" s="71" t="s">
        <v>1716</v>
      </c>
      <c r="X1185" s="71" t="s">
        <v>1380</v>
      </c>
      <c r="Y1185" s="71" t="s">
        <v>1380</v>
      </c>
      <c r="AA1185" s="341">
        <v>22</v>
      </c>
      <c r="AB1185" s="341">
        <v>52</v>
      </c>
      <c r="AC1185" s="40" t="s">
        <v>450</v>
      </c>
      <c r="AD1185" s="40">
        <v>5.9</v>
      </c>
      <c r="AE1185" s="40">
        <v>1.65</v>
      </c>
      <c r="AG1185" s="40" t="s">
        <v>1345</v>
      </c>
      <c r="AH1185" s="40" t="s">
        <v>1578</v>
      </c>
      <c r="AI1185" s="138" t="s">
        <v>1582</v>
      </c>
      <c r="AJ1185" s="40" t="s">
        <v>804</v>
      </c>
      <c r="AK1185" s="140" t="s">
        <v>1625</v>
      </c>
      <c r="AL1185" s="40" t="s">
        <v>799</v>
      </c>
      <c r="AM1185" s="40" t="s">
        <v>799</v>
      </c>
      <c r="AN1185" s="40" t="s">
        <v>177</v>
      </c>
      <c r="AW1185" s="40" t="s">
        <v>119</v>
      </c>
      <c r="AX1185" s="40">
        <v>4</v>
      </c>
      <c r="AZ1185" s="40" t="s">
        <v>141</v>
      </c>
      <c r="BP1185" s="416"/>
      <c r="BQ1185" s="416"/>
      <c r="BU1185" s="416"/>
      <c r="BV1185" s="416"/>
      <c r="BZ1185" s="416"/>
      <c r="CA1185" s="416"/>
      <c r="CE1185" s="569"/>
      <c r="CF1185" s="569"/>
      <c r="CG1185" s="569"/>
      <c r="CH1185" s="569"/>
      <c r="GU1185" s="40">
        <v>2.72</v>
      </c>
      <c r="GV1185" s="40">
        <v>2.84</v>
      </c>
      <c r="GY1185" s="40" t="s">
        <v>805</v>
      </c>
      <c r="JB1185" s="24" t="s">
        <v>803</v>
      </c>
    </row>
    <row r="1186" spans="1:262" s="21" customFormat="1" x14ac:dyDescent="0.25">
      <c r="A1186" s="21">
        <v>56</v>
      </c>
      <c r="B1186" s="43" t="s">
        <v>4018</v>
      </c>
      <c r="C1186" s="21" t="s">
        <v>788</v>
      </c>
      <c r="D1186" s="21" t="s">
        <v>789</v>
      </c>
      <c r="E1186" s="21">
        <v>2002</v>
      </c>
      <c r="F1186" s="21">
        <v>1998</v>
      </c>
      <c r="G1186" s="21" t="s">
        <v>418</v>
      </c>
      <c r="H1186" s="21" t="s">
        <v>795</v>
      </c>
      <c r="I1186" s="32" t="s">
        <v>2815</v>
      </c>
      <c r="J1186" s="21">
        <v>44.56</v>
      </c>
      <c r="K1186" s="21">
        <v>-123.26</v>
      </c>
      <c r="L1186" s="21">
        <v>59.6</v>
      </c>
      <c r="R1186" s="43" t="s">
        <v>1843</v>
      </c>
      <c r="S1186" s="43" t="s">
        <v>1734</v>
      </c>
      <c r="T1186" s="43"/>
      <c r="U1186" s="43" t="s">
        <v>1978</v>
      </c>
      <c r="V1186" s="43" t="s">
        <v>1380</v>
      </c>
      <c r="W1186" s="43" t="s">
        <v>1716</v>
      </c>
      <c r="X1186" s="43" t="s">
        <v>1380</v>
      </c>
      <c r="Y1186" s="43" t="s">
        <v>1380</v>
      </c>
      <c r="AA1186" s="322">
        <v>22</v>
      </c>
      <c r="AB1186" s="322">
        <v>52</v>
      </c>
      <c r="AC1186" s="21" t="s">
        <v>450</v>
      </c>
      <c r="AD1186" s="21">
        <v>5.9</v>
      </c>
      <c r="AE1186" s="21">
        <v>1.65</v>
      </c>
      <c r="AG1186" s="21" t="s">
        <v>1345</v>
      </c>
      <c r="AH1186" s="21" t="s">
        <v>1578</v>
      </c>
      <c r="AI1186" s="138" t="s">
        <v>1582</v>
      </c>
      <c r="AJ1186" s="21" t="s">
        <v>804</v>
      </c>
      <c r="AK1186" s="141" t="s">
        <v>1613</v>
      </c>
      <c r="AL1186" s="21" t="s">
        <v>799</v>
      </c>
      <c r="AM1186" s="21" t="s">
        <v>799</v>
      </c>
      <c r="AN1186" s="21" t="s">
        <v>177</v>
      </c>
      <c r="AW1186" s="21" t="s">
        <v>119</v>
      </c>
      <c r="AX1186" s="21">
        <v>4</v>
      </c>
      <c r="AZ1186" s="21" t="s">
        <v>141</v>
      </c>
      <c r="BP1186" s="396"/>
      <c r="BQ1186" s="396"/>
      <c r="BU1186" s="396"/>
      <c r="BV1186" s="396"/>
      <c r="BZ1186" s="396"/>
      <c r="CA1186" s="396"/>
      <c r="CE1186" s="549"/>
      <c r="CF1186" s="549"/>
      <c r="CG1186" s="549"/>
      <c r="CH1186" s="549"/>
      <c r="HJ1186" s="21">
        <f>29.8/7</f>
        <v>4.2571428571428571</v>
      </c>
      <c r="HK1186" s="21">
        <f>31.6/7</f>
        <v>4.5142857142857142</v>
      </c>
      <c r="HY1186" s="21">
        <f>5.72</f>
        <v>5.72</v>
      </c>
      <c r="HZ1186" s="21">
        <v>7.31</v>
      </c>
      <c r="IC1186" s="21" t="s">
        <v>807</v>
      </c>
      <c r="IN1186" s="21">
        <v>231</v>
      </c>
      <c r="IO1186" s="21">
        <v>253</v>
      </c>
      <c r="IR1186" s="21" t="s">
        <v>806</v>
      </c>
    </row>
    <row r="1187" spans="1:262" s="21" customFormat="1" x14ac:dyDescent="0.25">
      <c r="A1187" s="21">
        <v>56</v>
      </c>
      <c r="B1187" s="43" t="s">
        <v>4018</v>
      </c>
      <c r="C1187" s="21" t="s">
        <v>788</v>
      </c>
      <c r="D1187" s="21" t="s">
        <v>789</v>
      </c>
      <c r="E1187" s="21">
        <v>2002</v>
      </c>
      <c r="F1187" s="21">
        <v>1998</v>
      </c>
      <c r="G1187" s="21" t="s">
        <v>418</v>
      </c>
      <c r="H1187" s="21" t="s">
        <v>795</v>
      </c>
      <c r="I1187" s="32" t="s">
        <v>2815</v>
      </c>
      <c r="J1187" s="21">
        <v>44.56</v>
      </c>
      <c r="K1187" s="21">
        <v>-123.26</v>
      </c>
      <c r="L1187" s="21">
        <v>59.6</v>
      </c>
      <c r="R1187" s="43" t="s">
        <v>1843</v>
      </c>
      <c r="S1187" s="43" t="s">
        <v>1734</v>
      </c>
      <c r="T1187" s="43"/>
      <c r="U1187" s="43" t="s">
        <v>1979</v>
      </c>
      <c r="V1187" s="43" t="s">
        <v>1380</v>
      </c>
      <c r="W1187" s="43" t="s">
        <v>1716</v>
      </c>
      <c r="X1187" s="43" t="s">
        <v>1380</v>
      </c>
      <c r="Y1187" s="43" t="s">
        <v>1380</v>
      </c>
      <c r="AA1187" s="322">
        <v>22</v>
      </c>
      <c r="AB1187" s="322">
        <v>52</v>
      </c>
      <c r="AC1187" s="21" t="s">
        <v>450</v>
      </c>
      <c r="AD1187" s="21">
        <v>5.9</v>
      </c>
      <c r="AE1187" s="21">
        <v>1.65</v>
      </c>
      <c r="AG1187" s="21" t="s">
        <v>1345</v>
      </c>
      <c r="AH1187" s="21" t="s">
        <v>1578</v>
      </c>
      <c r="AI1187" s="138" t="s">
        <v>1582</v>
      </c>
      <c r="AJ1187" s="21" t="s">
        <v>804</v>
      </c>
      <c r="AK1187" s="141" t="s">
        <v>1613</v>
      </c>
      <c r="AL1187" s="21" t="s">
        <v>799</v>
      </c>
      <c r="AM1187" s="21" t="s">
        <v>799</v>
      </c>
      <c r="AN1187" s="21" t="s">
        <v>177</v>
      </c>
      <c r="AW1187" s="21" t="s">
        <v>119</v>
      </c>
      <c r="AX1187" s="21">
        <v>4</v>
      </c>
      <c r="AZ1187" s="21" t="s">
        <v>141</v>
      </c>
      <c r="BP1187" s="396"/>
      <c r="BQ1187" s="396"/>
      <c r="BU1187" s="396"/>
      <c r="BV1187" s="396"/>
      <c r="BZ1187" s="396"/>
      <c r="CA1187" s="396"/>
      <c r="CE1187" s="549"/>
      <c r="CF1187" s="549"/>
      <c r="CG1187" s="549"/>
      <c r="CH1187" s="549"/>
      <c r="HJ1187" s="21">
        <f>15.2/7</f>
        <v>2.1714285714285713</v>
      </c>
      <c r="HK1187" s="21">
        <f>31.4/7</f>
        <v>4.4857142857142858</v>
      </c>
      <c r="HY1187" s="21">
        <v>3.37</v>
      </c>
      <c r="HZ1187" s="21">
        <v>5.31</v>
      </c>
      <c r="IC1187" s="21" t="s">
        <v>807</v>
      </c>
      <c r="IN1187" s="21">
        <v>133</v>
      </c>
      <c r="IO1187" s="21">
        <v>222</v>
      </c>
      <c r="IR1187" s="21" t="s">
        <v>806</v>
      </c>
    </row>
    <row r="1188" spans="1:262" s="21" customFormat="1" x14ac:dyDescent="0.25">
      <c r="A1188" s="21">
        <v>56</v>
      </c>
      <c r="B1188" s="43" t="s">
        <v>4018</v>
      </c>
      <c r="C1188" s="21" t="s">
        <v>788</v>
      </c>
      <c r="D1188" s="21" t="s">
        <v>789</v>
      </c>
      <c r="E1188" s="21">
        <v>2002</v>
      </c>
      <c r="F1188" s="21">
        <v>1998</v>
      </c>
      <c r="G1188" s="21" t="s">
        <v>418</v>
      </c>
      <c r="H1188" s="21" t="s">
        <v>795</v>
      </c>
      <c r="I1188" s="32" t="s">
        <v>2815</v>
      </c>
      <c r="J1188" s="21">
        <v>44.56</v>
      </c>
      <c r="K1188" s="21">
        <v>-123.26</v>
      </c>
      <c r="L1188" s="21">
        <v>59.6</v>
      </c>
      <c r="R1188" s="43" t="s">
        <v>1843</v>
      </c>
      <c r="S1188" s="43" t="s">
        <v>1734</v>
      </c>
      <c r="T1188" s="43"/>
      <c r="U1188" s="43" t="s">
        <v>1980</v>
      </c>
      <c r="V1188" s="43" t="s">
        <v>1380</v>
      </c>
      <c r="W1188" s="43" t="s">
        <v>1716</v>
      </c>
      <c r="X1188" s="43" t="s">
        <v>1380</v>
      </c>
      <c r="Y1188" s="43" t="s">
        <v>1380</v>
      </c>
      <c r="AA1188" s="322">
        <v>22</v>
      </c>
      <c r="AB1188" s="322">
        <v>52</v>
      </c>
      <c r="AC1188" s="21" t="s">
        <v>450</v>
      </c>
      <c r="AD1188" s="21">
        <v>5.9</v>
      </c>
      <c r="AE1188" s="21">
        <v>1.65</v>
      </c>
      <c r="AG1188" s="21" t="s">
        <v>1345</v>
      </c>
      <c r="AH1188" s="21" t="s">
        <v>1578</v>
      </c>
      <c r="AI1188" s="138" t="s">
        <v>1582</v>
      </c>
      <c r="AJ1188" s="21" t="s">
        <v>804</v>
      </c>
      <c r="AK1188" s="141" t="s">
        <v>1613</v>
      </c>
      <c r="AL1188" s="21" t="s">
        <v>799</v>
      </c>
      <c r="AM1188" s="21" t="s">
        <v>799</v>
      </c>
      <c r="AN1188" s="21" t="s">
        <v>177</v>
      </c>
      <c r="AW1188" s="21" t="s">
        <v>119</v>
      </c>
      <c r="AX1188" s="21">
        <v>4</v>
      </c>
      <c r="AZ1188" s="21" t="s">
        <v>141</v>
      </c>
      <c r="BP1188" s="396"/>
      <c r="BQ1188" s="396"/>
      <c r="BU1188" s="396"/>
      <c r="BV1188" s="396"/>
      <c r="BZ1188" s="396"/>
      <c r="CA1188" s="396"/>
      <c r="CE1188" s="549"/>
      <c r="CF1188" s="549"/>
      <c r="CG1188" s="549"/>
      <c r="CH1188" s="549"/>
      <c r="HJ1188" s="21">
        <f>12.6/7</f>
        <v>1.8</v>
      </c>
      <c r="HK1188" s="21">
        <f>20.9/7</f>
        <v>2.9857142857142853</v>
      </c>
      <c r="HY1188" s="21">
        <v>3.41</v>
      </c>
      <c r="HZ1188" s="21">
        <v>5.16</v>
      </c>
      <c r="IC1188" s="21" t="s">
        <v>807</v>
      </c>
      <c r="IN1188" s="21">
        <v>188</v>
      </c>
      <c r="IO1188" s="21">
        <v>315</v>
      </c>
      <c r="IR1188" s="21" t="s">
        <v>806</v>
      </c>
    </row>
    <row r="1189" spans="1:262" s="21" customFormat="1" x14ac:dyDescent="0.25">
      <c r="A1189" s="21">
        <v>56</v>
      </c>
      <c r="B1189" s="43" t="s">
        <v>4018</v>
      </c>
      <c r="C1189" s="21" t="s">
        <v>788</v>
      </c>
      <c r="D1189" s="21" t="s">
        <v>789</v>
      </c>
      <c r="E1189" s="21">
        <v>2002</v>
      </c>
      <c r="F1189" s="21">
        <v>1999</v>
      </c>
      <c r="G1189" s="21" t="s">
        <v>418</v>
      </c>
      <c r="H1189" s="21" t="s">
        <v>795</v>
      </c>
      <c r="I1189" s="32" t="s">
        <v>2815</v>
      </c>
      <c r="J1189" s="21">
        <v>44.56</v>
      </c>
      <c r="K1189" s="21">
        <v>-123.26</v>
      </c>
      <c r="L1189" s="21">
        <v>59.6</v>
      </c>
      <c r="R1189" s="43" t="s">
        <v>1734</v>
      </c>
      <c r="S1189" s="43" t="s">
        <v>1734</v>
      </c>
      <c r="T1189" s="43"/>
      <c r="U1189" s="43" t="s">
        <v>1978</v>
      </c>
      <c r="V1189" s="43" t="s">
        <v>1380</v>
      </c>
      <c r="W1189" s="43" t="s">
        <v>1716</v>
      </c>
      <c r="X1189" s="43" t="s">
        <v>1380</v>
      </c>
      <c r="Y1189" s="43" t="s">
        <v>1380</v>
      </c>
      <c r="AA1189" s="322">
        <v>22</v>
      </c>
      <c r="AB1189" s="322">
        <v>52</v>
      </c>
      <c r="AC1189" s="21" t="s">
        <v>450</v>
      </c>
      <c r="AD1189" s="21">
        <v>5.9</v>
      </c>
      <c r="AE1189" s="21">
        <v>1.65</v>
      </c>
      <c r="AG1189" s="21" t="s">
        <v>1345</v>
      </c>
      <c r="AH1189" s="21" t="s">
        <v>1578</v>
      </c>
      <c r="AI1189" s="138" t="s">
        <v>1582</v>
      </c>
      <c r="AJ1189" s="21" t="s">
        <v>804</v>
      </c>
      <c r="AK1189" s="141" t="s">
        <v>1613</v>
      </c>
      <c r="AL1189" s="21" t="s">
        <v>799</v>
      </c>
      <c r="AM1189" s="21" t="s">
        <v>799</v>
      </c>
      <c r="AN1189" s="21" t="s">
        <v>177</v>
      </c>
      <c r="AW1189" s="21" t="s">
        <v>119</v>
      </c>
      <c r="AX1189" s="21">
        <v>4</v>
      </c>
      <c r="AZ1189" s="21" t="s">
        <v>141</v>
      </c>
      <c r="BP1189" s="396"/>
      <c r="BQ1189" s="396"/>
      <c r="BU1189" s="396"/>
      <c r="BV1189" s="396"/>
      <c r="BZ1189" s="396"/>
      <c r="CA1189" s="396"/>
      <c r="CE1189" s="549"/>
      <c r="CF1189" s="549"/>
      <c r="CG1189" s="549"/>
      <c r="CH1189" s="549"/>
      <c r="HJ1189" s="21">
        <f>21.7/7</f>
        <v>3.1</v>
      </c>
      <c r="HK1189" s="21">
        <f>34.5/7</f>
        <v>4.9285714285714288</v>
      </c>
      <c r="HY1189" s="21">
        <v>1.55</v>
      </c>
      <c r="HZ1189" s="21">
        <v>2.97</v>
      </c>
      <c r="IC1189" s="21" t="s">
        <v>807</v>
      </c>
      <c r="IN1189" s="21">
        <v>153</v>
      </c>
      <c r="IO1189" s="21">
        <v>184</v>
      </c>
      <c r="IR1189" s="21" t="s">
        <v>806</v>
      </c>
    </row>
    <row r="1190" spans="1:262" s="40" customFormat="1" x14ac:dyDescent="0.25">
      <c r="A1190" s="40">
        <v>57</v>
      </c>
      <c r="B1190" s="71" t="s">
        <v>4019</v>
      </c>
      <c r="C1190" s="40" t="s">
        <v>835</v>
      </c>
      <c r="D1190" s="40" t="s">
        <v>836</v>
      </c>
      <c r="E1190" s="40">
        <v>1990</v>
      </c>
      <c r="F1190" s="40">
        <v>1973</v>
      </c>
      <c r="G1190" s="40" t="s">
        <v>840</v>
      </c>
      <c r="H1190" s="40" t="s">
        <v>837</v>
      </c>
      <c r="I1190" s="32" t="s">
        <v>2815</v>
      </c>
      <c r="J1190" s="40">
        <v>34.200000000000003</v>
      </c>
      <c r="K1190" s="40">
        <v>-90.58</v>
      </c>
      <c r="L1190" s="40">
        <v>55.3</v>
      </c>
      <c r="R1190" s="71" t="s">
        <v>1847</v>
      </c>
      <c r="S1190" s="71" t="s">
        <v>1927</v>
      </c>
      <c r="T1190" s="40" t="s">
        <v>867</v>
      </c>
      <c r="U1190" s="71" t="s">
        <v>1981</v>
      </c>
      <c r="V1190" s="71" t="s">
        <v>1382</v>
      </c>
      <c r="W1190" s="71" t="s">
        <v>1717</v>
      </c>
      <c r="X1190" s="71" t="s">
        <v>1382</v>
      </c>
      <c r="Y1190" s="71" t="s">
        <v>1382</v>
      </c>
      <c r="Z1190" s="40">
        <v>1.325</v>
      </c>
      <c r="AA1190" s="341"/>
      <c r="AB1190" s="341"/>
      <c r="AC1190" s="40" t="s">
        <v>450</v>
      </c>
      <c r="AG1190" s="40" t="s">
        <v>1346</v>
      </c>
      <c r="AH1190" s="40" t="s">
        <v>131</v>
      </c>
      <c r="AI1190" s="138" t="s">
        <v>131</v>
      </c>
      <c r="AJ1190" s="40" t="s">
        <v>584</v>
      </c>
      <c r="AK1190" s="140" t="s">
        <v>1646</v>
      </c>
      <c r="AT1190" s="40" t="s">
        <v>841</v>
      </c>
      <c r="AU1190" s="40" t="s">
        <v>841</v>
      </c>
      <c r="AV1190" s="40" t="s">
        <v>177</v>
      </c>
      <c r="AW1190" s="40" t="s">
        <v>160</v>
      </c>
      <c r="AX1190" s="40">
        <v>4</v>
      </c>
      <c r="AZ1190" s="40" t="s">
        <v>141</v>
      </c>
      <c r="BE1190" s="40" t="s">
        <v>838</v>
      </c>
      <c r="BK1190" s="40">
        <v>2350</v>
      </c>
      <c r="BL1190" s="40">
        <v>2434</v>
      </c>
      <c r="BP1190" s="416"/>
      <c r="BQ1190" s="416"/>
      <c r="BU1190" s="416"/>
      <c r="BV1190" s="416"/>
      <c r="BZ1190" s="416"/>
      <c r="CA1190" s="416"/>
      <c r="CE1190" s="569"/>
      <c r="CF1190" s="569"/>
      <c r="CG1190" s="569"/>
      <c r="CH1190" s="569"/>
      <c r="JB1190" s="40" t="s">
        <v>850</v>
      </c>
    </row>
    <row r="1191" spans="1:262" s="40" customFormat="1" x14ac:dyDescent="0.25">
      <c r="A1191" s="40">
        <v>57</v>
      </c>
      <c r="B1191" s="71" t="s">
        <v>4020</v>
      </c>
      <c r="C1191" s="40" t="s">
        <v>835</v>
      </c>
      <c r="D1191" s="40" t="s">
        <v>836</v>
      </c>
      <c r="E1191" s="40">
        <v>1990</v>
      </c>
      <c r="F1191" s="40">
        <v>1973</v>
      </c>
      <c r="G1191" s="40" t="s">
        <v>840</v>
      </c>
      <c r="H1191" s="40" t="s">
        <v>837</v>
      </c>
      <c r="I1191" s="32" t="s">
        <v>2815</v>
      </c>
      <c r="J1191" s="40">
        <v>34.200000000000003</v>
      </c>
      <c r="K1191" s="40">
        <v>-90.58</v>
      </c>
      <c r="L1191" s="40">
        <v>55.3</v>
      </c>
      <c r="R1191" s="71" t="s">
        <v>1847</v>
      </c>
      <c r="S1191" s="71" t="s">
        <v>1927</v>
      </c>
      <c r="T1191" s="40" t="s">
        <v>867</v>
      </c>
      <c r="U1191" s="71" t="s">
        <v>1981</v>
      </c>
      <c r="V1191" s="71" t="s">
        <v>1382</v>
      </c>
      <c r="W1191" s="71" t="s">
        <v>1717</v>
      </c>
      <c r="X1191" s="71" t="s">
        <v>1382</v>
      </c>
      <c r="Y1191" s="71" t="s">
        <v>1382</v>
      </c>
      <c r="Z1191" s="40">
        <v>1.325</v>
      </c>
      <c r="AA1191" s="341"/>
      <c r="AB1191" s="341"/>
      <c r="AC1191" s="40" t="s">
        <v>450</v>
      </c>
      <c r="AG1191" s="40" t="s">
        <v>1346</v>
      </c>
      <c r="AH1191" s="40" t="s">
        <v>243</v>
      </c>
      <c r="AI1191" s="138" t="s">
        <v>577</v>
      </c>
      <c r="AJ1191" s="40" t="s">
        <v>584</v>
      </c>
      <c r="AK1191" s="140" t="s">
        <v>1646</v>
      </c>
      <c r="AT1191" s="40" t="s">
        <v>841</v>
      </c>
      <c r="AU1191" s="40" t="s">
        <v>841</v>
      </c>
      <c r="AV1191" s="40" t="s">
        <v>177</v>
      </c>
      <c r="AW1191" s="40" t="s">
        <v>160</v>
      </c>
      <c r="AX1191" s="40">
        <v>4</v>
      </c>
      <c r="AZ1191" s="40" t="s">
        <v>141</v>
      </c>
      <c r="BE1191" s="40" t="s">
        <v>838</v>
      </c>
      <c r="BK1191" s="40">
        <v>2350</v>
      </c>
      <c r="BL1191" s="40">
        <v>2492</v>
      </c>
      <c r="BP1191" s="416"/>
      <c r="BQ1191" s="416"/>
      <c r="BU1191" s="416"/>
      <c r="BV1191" s="416"/>
      <c r="BZ1191" s="416"/>
      <c r="CA1191" s="416"/>
      <c r="CE1191" s="569"/>
      <c r="CF1191" s="569"/>
      <c r="CG1191" s="569"/>
      <c r="CH1191" s="569"/>
      <c r="JB1191" s="40" t="s">
        <v>850</v>
      </c>
    </row>
    <row r="1192" spans="1:262" s="40" customFormat="1" x14ac:dyDescent="0.25">
      <c r="A1192" s="40">
        <v>57</v>
      </c>
      <c r="B1192" s="71" t="s">
        <v>4020</v>
      </c>
      <c r="C1192" s="40" t="s">
        <v>835</v>
      </c>
      <c r="D1192" s="40" t="s">
        <v>836</v>
      </c>
      <c r="E1192" s="40">
        <v>1990</v>
      </c>
      <c r="F1192" s="40">
        <v>1973</v>
      </c>
      <c r="G1192" s="40" t="s">
        <v>840</v>
      </c>
      <c r="H1192" s="40" t="s">
        <v>837</v>
      </c>
      <c r="I1192" s="32" t="s">
        <v>2815</v>
      </c>
      <c r="J1192" s="40">
        <v>34.200000000000003</v>
      </c>
      <c r="K1192" s="40">
        <v>-90.58</v>
      </c>
      <c r="L1192" s="40">
        <v>55.3</v>
      </c>
      <c r="R1192" s="71" t="s">
        <v>1847</v>
      </c>
      <c r="S1192" s="71" t="s">
        <v>1927</v>
      </c>
      <c r="T1192" s="40" t="s">
        <v>867</v>
      </c>
      <c r="U1192" s="71" t="s">
        <v>1981</v>
      </c>
      <c r="V1192" s="71" t="s">
        <v>1382</v>
      </c>
      <c r="W1192" s="71" t="s">
        <v>1717</v>
      </c>
      <c r="X1192" s="71" t="s">
        <v>1382</v>
      </c>
      <c r="Y1192" s="71" t="s">
        <v>1382</v>
      </c>
      <c r="Z1192" s="40">
        <v>1.325</v>
      </c>
      <c r="AA1192" s="341"/>
      <c r="AB1192" s="341"/>
      <c r="AC1192" s="40" t="s">
        <v>450</v>
      </c>
      <c r="AG1192" s="40" t="s">
        <v>1346</v>
      </c>
      <c r="AH1192" s="40" t="s">
        <v>839</v>
      </c>
      <c r="AI1192" s="138" t="s">
        <v>577</v>
      </c>
      <c r="AJ1192" s="40" t="s">
        <v>584</v>
      </c>
      <c r="AK1192" s="140" t="s">
        <v>1646</v>
      </c>
      <c r="AT1192" s="40" t="s">
        <v>841</v>
      </c>
      <c r="AU1192" s="40" t="s">
        <v>841</v>
      </c>
      <c r="AV1192" s="40" t="s">
        <v>177</v>
      </c>
      <c r="AW1192" s="40" t="s">
        <v>160</v>
      </c>
      <c r="AX1192" s="40">
        <v>4</v>
      </c>
      <c r="AZ1192" s="40" t="s">
        <v>141</v>
      </c>
      <c r="BE1192" s="40" t="s">
        <v>838</v>
      </c>
      <c r="BK1192" s="40">
        <v>2350</v>
      </c>
      <c r="BL1192" s="40">
        <v>2156</v>
      </c>
      <c r="BP1192" s="416"/>
      <c r="BQ1192" s="416"/>
      <c r="BU1192" s="416"/>
      <c r="BV1192" s="416"/>
      <c r="BZ1192" s="416"/>
      <c r="CA1192" s="416"/>
      <c r="CE1192" s="569"/>
      <c r="CF1192" s="569"/>
      <c r="CG1192" s="569"/>
      <c r="CH1192" s="569"/>
      <c r="JB1192" s="40" t="s">
        <v>850</v>
      </c>
    </row>
    <row r="1193" spans="1:262" s="32" customFormat="1" x14ac:dyDescent="0.25">
      <c r="A1193" s="32">
        <v>57</v>
      </c>
      <c r="B1193" s="44" t="s">
        <v>4019</v>
      </c>
      <c r="C1193" s="32" t="s">
        <v>835</v>
      </c>
      <c r="D1193" s="32" t="s">
        <v>836</v>
      </c>
      <c r="E1193" s="32">
        <v>1990</v>
      </c>
      <c r="F1193" s="32">
        <v>1974</v>
      </c>
      <c r="G1193" s="32" t="s">
        <v>840</v>
      </c>
      <c r="H1193" s="32" t="s">
        <v>837</v>
      </c>
      <c r="I1193" s="32" t="s">
        <v>2815</v>
      </c>
      <c r="J1193" s="32">
        <v>34.200000000000003</v>
      </c>
      <c r="K1193" s="32">
        <v>-90.58</v>
      </c>
      <c r="L1193" s="32">
        <v>55.3</v>
      </c>
      <c r="R1193" s="44" t="s">
        <v>1728</v>
      </c>
      <c r="S1193" s="44" t="s">
        <v>1927</v>
      </c>
      <c r="T1193" s="44" t="s">
        <v>869</v>
      </c>
      <c r="U1193" s="44" t="s">
        <v>1981</v>
      </c>
      <c r="V1193" s="44" t="s">
        <v>1382</v>
      </c>
      <c r="W1193" s="44" t="s">
        <v>1717</v>
      </c>
      <c r="X1193" s="44" t="s">
        <v>1382</v>
      </c>
      <c r="Y1193" s="44" t="s">
        <v>1382</v>
      </c>
      <c r="Z1193" s="32">
        <v>1.325</v>
      </c>
      <c r="AA1193" s="323"/>
      <c r="AB1193" s="323"/>
      <c r="AC1193" s="32" t="s">
        <v>450</v>
      </c>
      <c r="AG1193" s="32" t="s">
        <v>1346</v>
      </c>
      <c r="AH1193" s="32" t="s">
        <v>131</v>
      </c>
      <c r="AI1193" s="138" t="s">
        <v>131</v>
      </c>
      <c r="AJ1193" s="32" t="s">
        <v>584</v>
      </c>
      <c r="AK1193" s="140" t="s">
        <v>1646</v>
      </c>
      <c r="AT1193" s="32" t="s">
        <v>842</v>
      </c>
      <c r="AU1193" s="32" t="s">
        <v>842</v>
      </c>
      <c r="AV1193" s="32" t="s">
        <v>177</v>
      </c>
      <c r="AW1193" s="32" t="s">
        <v>160</v>
      </c>
      <c r="AX1193" s="32">
        <v>4</v>
      </c>
      <c r="AZ1193" s="32" t="s">
        <v>141</v>
      </c>
      <c r="BE1193" s="32" t="s">
        <v>838</v>
      </c>
      <c r="BK1193" s="32">
        <v>1636</v>
      </c>
      <c r="BL1193" s="32">
        <v>1839</v>
      </c>
      <c r="BP1193" s="397"/>
      <c r="BQ1193" s="397"/>
      <c r="BU1193" s="397"/>
      <c r="BV1193" s="397"/>
      <c r="BZ1193" s="397"/>
      <c r="CA1193" s="397"/>
      <c r="CE1193" s="550"/>
      <c r="CF1193" s="550"/>
      <c r="CG1193" s="550"/>
      <c r="CH1193" s="550"/>
      <c r="JB1193" s="32" t="s">
        <v>850</v>
      </c>
    </row>
    <row r="1194" spans="1:262" s="32" customFormat="1" x14ac:dyDescent="0.25">
      <c r="A1194" s="32">
        <v>57</v>
      </c>
      <c r="B1194" s="44" t="s">
        <v>4020</v>
      </c>
      <c r="C1194" s="32" t="s">
        <v>835</v>
      </c>
      <c r="D1194" s="32" t="s">
        <v>836</v>
      </c>
      <c r="E1194" s="32">
        <v>1990</v>
      </c>
      <c r="F1194" s="32">
        <v>1974</v>
      </c>
      <c r="G1194" s="32" t="s">
        <v>840</v>
      </c>
      <c r="H1194" s="32" t="s">
        <v>837</v>
      </c>
      <c r="I1194" s="32" t="s">
        <v>2815</v>
      </c>
      <c r="J1194" s="32">
        <v>34.200000000000003</v>
      </c>
      <c r="K1194" s="32">
        <v>-90.58</v>
      </c>
      <c r="L1194" s="32">
        <v>55.3</v>
      </c>
      <c r="R1194" s="44" t="s">
        <v>1728</v>
      </c>
      <c r="S1194" s="44" t="s">
        <v>1927</v>
      </c>
      <c r="T1194" s="44" t="s">
        <v>869</v>
      </c>
      <c r="U1194" s="44" t="s">
        <v>1981</v>
      </c>
      <c r="V1194" s="44" t="s">
        <v>1382</v>
      </c>
      <c r="W1194" s="44" t="s">
        <v>1717</v>
      </c>
      <c r="X1194" s="44" t="s">
        <v>1382</v>
      </c>
      <c r="Y1194" s="44" t="s">
        <v>1382</v>
      </c>
      <c r="Z1194" s="32">
        <v>1.325</v>
      </c>
      <c r="AA1194" s="323"/>
      <c r="AB1194" s="323"/>
      <c r="AC1194" s="32" t="s">
        <v>450</v>
      </c>
      <c r="AG1194" s="32" t="s">
        <v>1346</v>
      </c>
      <c r="AH1194" s="32" t="s">
        <v>243</v>
      </c>
      <c r="AI1194" s="138" t="s">
        <v>577</v>
      </c>
      <c r="AJ1194" s="32" t="s">
        <v>584</v>
      </c>
      <c r="AK1194" s="140" t="s">
        <v>1646</v>
      </c>
      <c r="AT1194" s="32" t="s">
        <v>842</v>
      </c>
      <c r="AU1194" s="32" t="s">
        <v>842</v>
      </c>
      <c r="AV1194" s="32" t="s">
        <v>177</v>
      </c>
      <c r="AW1194" s="32" t="s">
        <v>160</v>
      </c>
      <c r="AX1194" s="32">
        <v>4</v>
      </c>
      <c r="AZ1194" s="32" t="s">
        <v>141</v>
      </c>
      <c r="BE1194" s="32" t="s">
        <v>838</v>
      </c>
      <c r="BK1194" s="32">
        <v>1636</v>
      </c>
      <c r="BL1194" s="32">
        <v>1897</v>
      </c>
      <c r="BP1194" s="397"/>
      <c r="BQ1194" s="397"/>
      <c r="BU1194" s="397"/>
      <c r="BV1194" s="397"/>
      <c r="BZ1194" s="397"/>
      <c r="CA1194" s="397"/>
      <c r="CE1194" s="550"/>
      <c r="CF1194" s="550"/>
      <c r="CG1194" s="550"/>
      <c r="CH1194" s="550"/>
      <c r="JB1194" s="32" t="s">
        <v>850</v>
      </c>
    </row>
    <row r="1195" spans="1:262" s="32" customFormat="1" x14ac:dyDescent="0.25">
      <c r="A1195" s="32">
        <v>57</v>
      </c>
      <c r="B1195" s="44" t="s">
        <v>4020</v>
      </c>
      <c r="C1195" s="32" t="s">
        <v>835</v>
      </c>
      <c r="D1195" s="32" t="s">
        <v>836</v>
      </c>
      <c r="E1195" s="32">
        <v>1990</v>
      </c>
      <c r="F1195" s="32">
        <v>1974</v>
      </c>
      <c r="G1195" s="32" t="s">
        <v>840</v>
      </c>
      <c r="H1195" s="32" t="s">
        <v>837</v>
      </c>
      <c r="I1195" s="32" t="s">
        <v>2815</v>
      </c>
      <c r="J1195" s="32">
        <v>34.200000000000003</v>
      </c>
      <c r="K1195" s="32">
        <v>-90.58</v>
      </c>
      <c r="L1195" s="32">
        <v>55.3</v>
      </c>
      <c r="R1195" s="44" t="s">
        <v>1728</v>
      </c>
      <c r="S1195" s="44" t="s">
        <v>1927</v>
      </c>
      <c r="T1195" s="44" t="s">
        <v>869</v>
      </c>
      <c r="U1195" s="44" t="s">
        <v>1981</v>
      </c>
      <c r="V1195" s="44" t="s">
        <v>1382</v>
      </c>
      <c r="W1195" s="44" t="s">
        <v>1717</v>
      </c>
      <c r="X1195" s="44" t="s">
        <v>1382</v>
      </c>
      <c r="Y1195" s="44" t="s">
        <v>1382</v>
      </c>
      <c r="Z1195" s="32">
        <v>1.325</v>
      </c>
      <c r="AA1195" s="323"/>
      <c r="AB1195" s="323"/>
      <c r="AC1195" s="32" t="s">
        <v>450</v>
      </c>
      <c r="AG1195" s="32" t="s">
        <v>1346</v>
      </c>
      <c r="AH1195" s="32" t="s">
        <v>839</v>
      </c>
      <c r="AI1195" s="138" t="s">
        <v>577</v>
      </c>
      <c r="AJ1195" s="32" t="s">
        <v>584</v>
      </c>
      <c r="AK1195" s="140" t="s">
        <v>1646</v>
      </c>
      <c r="AT1195" s="32" t="s">
        <v>842</v>
      </c>
      <c r="AU1195" s="32" t="s">
        <v>842</v>
      </c>
      <c r="AV1195" s="32" t="s">
        <v>177</v>
      </c>
      <c r="AW1195" s="32" t="s">
        <v>160</v>
      </c>
      <c r="AX1195" s="32">
        <v>4</v>
      </c>
      <c r="AZ1195" s="32" t="s">
        <v>141</v>
      </c>
      <c r="BE1195" s="32" t="s">
        <v>838</v>
      </c>
      <c r="BK1195" s="32">
        <v>1636</v>
      </c>
      <c r="BL1195" s="32">
        <v>1515</v>
      </c>
      <c r="BP1195" s="397"/>
      <c r="BQ1195" s="397"/>
      <c r="BU1195" s="397"/>
      <c r="BV1195" s="397"/>
      <c r="BZ1195" s="397"/>
      <c r="CA1195" s="397"/>
      <c r="CE1195" s="550"/>
      <c r="CF1195" s="550"/>
      <c r="CG1195" s="550"/>
      <c r="CH1195" s="550"/>
      <c r="JB1195" s="32" t="s">
        <v>850</v>
      </c>
    </row>
    <row r="1196" spans="1:262" s="40" customFormat="1" x14ac:dyDescent="0.25">
      <c r="A1196" s="40">
        <v>57</v>
      </c>
      <c r="B1196" s="71" t="s">
        <v>4019</v>
      </c>
      <c r="C1196" s="40" t="s">
        <v>835</v>
      </c>
      <c r="D1196" s="40" t="s">
        <v>836</v>
      </c>
      <c r="E1196" s="40">
        <v>1990</v>
      </c>
      <c r="F1196" s="40">
        <v>1975</v>
      </c>
      <c r="G1196" s="40" t="s">
        <v>840</v>
      </c>
      <c r="H1196" s="40" t="s">
        <v>837</v>
      </c>
      <c r="I1196" s="32" t="s">
        <v>2815</v>
      </c>
      <c r="J1196" s="40">
        <v>34.200000000000003</v>
      </c>
      <c r="K1196" s="40">
        <v>-90.58</v>
      </c>
      <c r="L1196" s="40">
        <v>55.3</v>
      </c>
      <c r="R1196" s="71" t="s">
        <v>1858</v>
      </c>
      <c r="S1196" s="71" t="s">
        <v>1927</v>
      </c>
      <c r="T1196" s="40" t="s">
        <v>871</v>
      </c>
      <c r="U1196" s="71" t="s">
        <v>1981</v>
      </c>
      <c r="V1196" s="71" t="s">
        <v>1382</v>
      </c>
      <c r="W1196" s="71" t="s">
        <v>1717</v>
      </c>
      <c r="X1196" s="71" t="s">
        <v>1382</v>
      </c>
      <c r="Y1196" s="71" t="s">
        <v>1382</v>
      </c>
      <c r="Z1196" s="40">
        <v>1.325</v>
      </c>
      <c r="AA1196" s="341"/>
      <c r="AB1196" s="341"/>
      <c r="AC1196" s="40" t="s">
        <v>450</v>
      </c>
      <c r="AG1196" s="40" t="s">
        <v>1346</v>
      </c>
      <c r="AH1196" s="40" t="s">
        <v>131</v>
      </c>
      <c r="AI1196" s="138" t="s">
        <v>131</v>
      </c>
      <c r="AJ1196" s="40" t="s">
        <v>584</v>
      </c>
      <c r="AK1196" s="140" t="s">
        <v>1646</v>
      </c>
      <c r="AT1196" s="40" t="s">
        <v>843</v>
      </c>
      <c r="AU1196" s="40" t="s">
        <v>843</v>
      </c>
      <c r="AV1196" s="40" t="s">
        <v>177</v>
      </c>
      <c r="AW1196" s="40" t="s">
        <v>160</v>
      </c>
      <c r="AX1196" s="40">
        <v>4</v>
      </c>
      <c r="AZ1196" s="40" t="s">
        <v>141</v>
      </c>
      <c r="BE1196" s="40" t="s">
        <v>838</v>
      </c>
      <c r="BK1196" s="40">
        <v>2328</v>
      </c>
      <c r="BL1196" s="40">
        <v>2415</v>
      </c>
      <c r="BP1196" s="416"/>
      <c r="BQ1196" s="416"/>
      <c r="BU1196" s="416"/>
      <c r="BV1196" s="416"/>
      <c r="BZ1196" s="416"/>
      <c r="CA1196" s="416"/>
      <c r="CE1196" s="569"/>
      <c r="CF1196" s="569"/>
      <c r="CG1196" s="569"/>
      <c r="CH1196" s="569"/>
      <c r="JB1196" s="40" t="s">
        <v>850</v>
      </c>
    </row>
    <row r="1197" spans="1:262" s="40" customFormat="1" x14ac:dyDescent="0.25">
      <c r="A1197" s="40">
        <v>57</v>
      </c>
      <c r="B1197" s="71" t="s">
        <v>4020</v>
      </c>
      <c r="C1197" s="40" t="s">
        <v>835</v>
      </c>
      <c r="D1197" s="40" t="s">
        <v>836</v>
      </c>
      <c r="E1197" s="40">
        <v>1990</v>
      </c>
      <c r="F1197" s="40">
        <v>1975</v>
      </c>
      <c r="G1197" s="40" t="s">
        <v>840</v>
      </c>
      <c r="H1197" s="40" t="s">
        <v>837</v>
      </c>
      <c r="I1197" s="32" t="s">
        <v>2815</v>
      </c>
      <c r="J1197" s="40">
        <v>34.200000000000003</v>
      </c>
      <c r="K1197" s="40">
        <v>-90.58</v>
      </c>
      <c r="L1197" s="40">
        <v>55.3</v>
      </c>
      <c r="R1197" s="71" t="s">
        <v>1858</v>
      </c>
      <c r="S1197" s="71" t="s">
        <v>1927</v>
      </c>
      <c r="T1197" s="40" t="s">
        <v>871</v>
      </c>
      <c r="U1197" s="71" t="s">
        <v>1981</v>
      </c>
      <c r="V1197" s="71" t="s">
        <v>1382</v>
      </c>
      <c r="W1197" s="71" t="s">
        <v>1717</v>
      </c>
      <c r="X1197" s="71" t="s">
        <v>1382</v>
      </c>
      <c r="Y1197" s="71" t="s">
        <v>1382</v>
      </c>
      <c r="Z1197" s="40">
        <v>1.325</v>
      </c>
      <c r="AA1197" s="341"/>
      <c r="AB1197" s="341"/>
      <c r="AC1197" s="40" t="s">
        <v>450</v>
      </c>
      <c r="AG1197" s="40" t="s">
        <v>1346</v>
      </c>
      <c r="AH1197" s="40" t="s">
        <v>243</v>
      </c>
      <c r="AI1197" s="138" t="s">
        <v>577</v>
      </c>
      <c r="AJ1197" s="40" t="s">
        <v>584</v>
      </c>
      <c r="AK1197" s="140" t="s">
        <v>1646</v>
      </c>
      <c r="AT1197" s="40" t="s">
        <v>843</v>
      </c>
      <c r="AU1197" s="40" t="s">
        <v>843</v>
      </c>
      <c r="AV1197" s="40" t="s">
        <v>177</v>
      </c>
      <c r="AW1197" s="40" t="s">
        <v>160</v>
      </c>
      <c r="AX1197" s="40">
        <v>4</v>
      </c>
      <c r="AZ1197" s="40" t="s">
        <v>141</v>
      </c>
      <c r="BE1197" s="40" t="s">
        <v>838</v>
      </c>
      <c r="BK1197" s="40">
        <v>2328</v>
      </c>
      <c r="BL1197" s="40">
        <v>2646</v>
      </c>
      <c r="BP1197" s="416"/>
      <c r="BQ1197" s="416"/>
      <c r="BU1197" s="416"/>
      <c r="BV1197" s="416"/>
      <c r="BZ1197" s="416"/>
      <c r="CA1197" s="416"/>
      <c r="CE1197" s="569"/>
      <c r="CF1197" s="569"/>
      <c r="CG1197" s="569"/>
      <c r="CH1197" s="569"/>
      <c r="JB1197" s="40" t="s">
        <v>850</v>
      </c>
    </row>
    <row r="1198" spans="1:262" s="40" customFormat="1" x14ac:dyDescent="0.25">
      <c r="A1198" s="40">
        <v>57</v>
      </c>
      <c r="B1198" s="71" t="s">
        <v>4020</v>
      </c>
      <c r="C1198" s="40" t="s">
        <v>835</v>
      </c>
      <c r="D1198" s="40" t="s">
        <v>836</v>
      </c>
      <c r="E1198" s="40">
        <v>1990</v>
      </c>
      <c r="F1198" s="40">
        <v>1975</v>
      </c>
      <c r="G1198" s="40" t="s">
        <v>840</v>
      </c>
      <c r="H1198" s="40" t="s">
        <v>837</v>
      </c>
      <c r="I1198" s="32" t="s">
        <v>2815</v>
      </c>
      <c r="J1198" s="40">
        <v>34.200000000000003</v>
      </c>
      <c r="K1198" s="40">
        <v>-90.58</v>
      </c>
      <c r="L1198" s="40">
        <v>55.3</v>
      </c>
      <c r="R1198" s="71" t="s">
        <v>1858</v>
      </c>
      <c r="S1198" s="71" t="s">
        <v>1927</v>
      </c>
      <c r="T1198" s="40" t="s">
        <v>871</v>
      </c>
      <c r="U1198" s="71" t="s">
        <v>1981</v>
      </c>
      <c r="V1198" s="71" t="s">
        <v>1382</v>
      </c>
      <c r="W1198" s="71" t="s">
        <v>1717</v>
      </c>
      <c r="X1198" s="71" t="s">
        <v>1382</v>
      </c>
      <c r="Y1198" s="71" t="s">
        <v>1382</v>
      </c>
      <c r="Z1198" s="40">
        <v>1.325</v>
      </c>
      <c r="AA1198" s="341"/>
      <c r="AB1198" s="341"/>
      <c r="AC1198" s="40" t="s">
        <v>450</v>
      </c>
      <c r="AG1198" s="40" t="s">
        <v>1346</v>
      </c>
      <c r="AH1198" s="40" t="s">
        <v>839</v>
      </c>
      <c r="AI1198" s="138" t="s">
        <v>577</v>
      </c>
      <c r="AJ1198" s="40" t="s">
        <v>584</v>
      </c>
      <c r="AK1198" s="140" t="s">
        <v>1646</v>
      </c>
      <c r="AT1198" s="40" t="s">
        <v>843</v>
      </c>
      <c r="AU1198" s="40" t="s">
        <v>843</v>
      </c>
      <c r="AV1198" s="40" t="s">
        <v>177</v>
      </c>
      <c r="AW1198" s="40" t="s">
        <v>160</v>
      </c>
      <c r="AX1198" s="40">
        <v>4</v>
      </c>
      <c r="AZ1198" s="40" t="s">
        <v>141</v>
      </c>
      <c r="BE1198" s="40" t="s">
        <v>838</v>
      </c>
      <c r="BK1198" s="40">
        <v>2328</v>
      </c>
      <c r="BL1198" s="40">
        <v>2599</v>
      </c>
      <c r="BP1198" s="416"/>
      <c r="BQ1198" s="416"/>
      <c r="BU1198" s="416"/>
      <c r="BV1198" s="416"/>
      <c r="BZ1198" s="416"/>
      <c r="CA1198" s="416"/>
      <c r="CE1198" s="569"/>
      <c r="CF1198" s="569"/>
      <c r="CG1198" s="569"/>
      <c r="CH1198" s="569"/>
      <c r="JB1198" s="40" t="s">
        <v>850</v>
      </c>
    </row>
    <row r="1199" spans="1:262" s="79" customFormat="1" x14ac:dyDescent="0.25">
      <c r="A1199" s="79">
        <v>57</v>
      </c>
      <c r="B1199" s="71" t="s">
        <v>4019</v>
      </c>
      <c r="C1199" s="79" t="s">
        <v>835</v>
      </c>
      <c r="D1199" s="79" t="s">
        <v>836</v>
      </c>
      <c r="E1199" s="79">
        <v>1990</v>
      </c>
      <c r="F1199" s="79">
        <v>1977</v>
      </c>
      <c r="G1199" s="79" t="s">
        <v>840</v>
      </c>
      <c r="H1199" s="79" t="s">
        <v>837</v>
      </c>
      <c r="I1199" s="32" t="s">
        <v>2815</v>
      </c>
      <c r="J1199" s="79">
        <v>34.200000000000003</v>
      </c>
      <c r="K1199" s="79">
        <v>-90.58</v>
      </c>
      <c r="L1199" s="79">
        <v>55.3</v>
      </c>
      <c r="R1199" s="80" t="s">
        <v>1843</v>
      </c>
      <c r="S1199" s="80" t="s">
        <v>1927</v>
      </c>
      <c r="T1199" s="80" t="s">
        <v>872</v>
      </c>
      <c r="U1199" s="80" t="s">
        <v>1981</v>
      </c>
      <c r="V1199" s="80" t="s">
        <v>1382</v>
      </c>
      <c r="W1199" s="80" t="s">
        <v>1717</v>
      </c>
      <c r="X1199" s="80" t="s">
        <v>1382</v>
      </c>
      <c r="Y1199" s="80" t="s">
        <v>1382</v>
      </c>
      <c r="Z1199" s="79">
        <v>1.325</v>
      </c>
      <c r="AA1199" s="342"/>
      <c r="AB1199" s="342"/>
      <c r="AC1199" s="79" t="s">
        <v>450</v>
      </c>
      <c r="AG1199" s="40" t="s">
        <v>1346</v>
      </c>
      <c r="AH1199" s="79" t="s">
        <v>131</v>
      </c>
      <c r="AI1199" s="138" t="s">
        <v>131</v>
      </c>
      <c r="AJ1199" s="79" t="s">
        <v>584</v>
      </c>
      <c r="AK1199" s="140" t="s">
        <v>1646</v>
      </c>
      <c r="AT1199" s="79" t="s">
        <v>843</v>
      </c>
      <c r="AU1199" s="79" t="s">
        <v>843</v>
      </c>
      <c r="AV1199" s="79" t="s">
        <v>177</v>
      </c>
      <c r="AW1199" s="79" t="s">
        <v>160</v>
      </c>
      <c r="AX1199" s="79">
        <v>4</v>
      </c>
      <c r="AZ1199" s="79" t="s">
        <v>141</v>
      </c>
      <c r="BB1199" s="79">
        <v>3863</v>
      </c>
      <c r="BE1199" s="79" t="s">
        <v>838</v>
      </c>
      <c r="BK1199" s="79">
        <v>2175</v>
      </c>
      <c r="BL1199" s="79">
        <v>2040</v>
      </c>
      <c r="BP1199" s="417"/>
      <c r="BQ1199" s="417"/>
      <c r="BU1199" s="417"/>
      <c r="BV1199" s="417"/>
      <c r="BZ1199" s="417"/>
      <c r="CA1199" s="417"/>
      <c r="CE1199" s="570"/>
      <c r="CF1199" s="570"/>
      <c r="CG1199" s="570"/>
      <c r="CH1199" s="570"/>
      <c r="JB1199" s="79" t="s">
        <v>850</v>
      </c>
    </row>
    <row r="1200" spans="1:262" s="79" customFormat="1" x14ac:dyDescent="0.25">
      <c r="A1200" s="79">
        <v>57</v>
      </c>
      <c r="B1200" s="71" t="s">
        <v>4020</v>
      </c>
      <c r="C1200" s="79" t="s">
        <v>835</v>
      </c>
      <c r="D1200" s="79" t="s">
        <v>836</v>
      </c>
      <c r="E1200" s="79">
        <v>1990</v>
      </c>
      <c r="F1200" s="79">
        <v>1977</v>
      </c>
      <c r="G1200" s="79" t="s">
        <v>840</v>
      </c>
      <c r="H1200" s="79" t="s">
        <v>837</v>
      </c>
      <c r="I1200" s="32" t="s">
        <v>2815</v>
      </c>
      <c r="J1200" s="79">
        <v>34.200000000000003</v>
      </c>
      <c r="K1200" s="79">
        <v>-90.58</v>
      </c>
      <c r="L1200" s="79">
        <v>55.3</v>
      </c>
      <c r="R1200" s="80" t="s">
        <v>1843</v>
      </c>
      <c r="S1200" s="80" t="s">
        <v>1927</v>
      </c>
      <c r="T1200" s="80" t="s">
        <v>872</v>
      </c>
      <c r="U1200" s="80" t="s">
        <v>1981</v>
      </c>
      <c r="V1200" s="80" t="s">
        <v>1382</v>
      </c>
      <c r="W1200" s="80" t="s">
        <v>1717</v>
      </c>
      <c r="X1200" s="80" t="s">
        <v>1382</v>
      </c>
      <c r="Y1200" s="80" t="s">
        <v>1382</v>
      </c>
      <c r="Z1200" s="79">
        <v>1.325</v>
      </c>
      <c r="AA1200" s="342"/>
      <c r="AB1200" s="342"/>
      <c r="AC1200" s="79" t="s">
        <v>450</v>
      </c>
      <c r="AG1200" s="40" t="s">
        <v>1346</v>
      </c>
      <c r="AH1200" s="79" t="s">
        <v>243</v>
      </c>
      <c r="AI1200" s="138" t="s">
        <v>577</v>
      </c>
      <c r="AJ1200" s="79" t="s">
        <v>584</v>
      </c>
      <c r="AK1200" s="140" t="s">
        <v>1646</v>
      </c>
      <c r="AT1200" s="79" t="s">
        <v>843</v>
      </c>
      <c r="AU1200" s="79" t="s">
        <v>843</v>
      </c>
      <c r="AV1200" s="79" t="s">
        <v>177</v>
      </c>
      <c r="AW1200" s="79" t="s">
        <v>160</v>
      </c>
      <c r="AX1200" s="79">
        <v>4</v>
      </c>
      <c r="AZ1200" s="79" t="s">
        <v>141</v>
      </c>
      <c r="BB1200" s="79">
        <v>2507</v>
      </c>
      <c r="BE1200" s="79" t="s">
        <v>838</v>
      </c>
      <c r="BK1200" s="79">
        <v>2175</v>
      </c>
      <c r="BL1200" s="79">
        <v>2185</v>
      </c>
      <c r="BP1200" s="417"/>
      <c r="BQ1200" s="417"/>
      <c r="BU1200" s="417"/>
      <c r="BV1200" s="417"/>
      <c r="BZ1200" s="417"/>
      <c r="CA1200" s="417"/>
      <c r="CE1200" s="570"/>
      <c r="CF1200" s="570"/>
      <c r="CG1200" s="570"/>
      <c r="CH1200" s="570"/>
      <c r="JB1200" s="79" t="s">
        <v>850</v>
      </c>
    </row>
    <row r="1201" spans="1:262" s="79" customFormat="1" x14ac:dyDescent="0.25">
      <c r="A1201" s="79">
        <v>57</v>
      </c>
      <c r="B1201" s="71" t="s">
        <v>4020</v>
      </c>
      <c r="C1201" s="79" t="s">
        <v>835</v>
      </c>
      <c r="D1201" s="79" t="s">
        <v>836</v>
      </c>
      <c r="E1201" s="79">
        <v>1990</v>
      </c>
      <c r="F1201" s="79">
        <v>1977</v>
      </c>
      <c r="G1201" s="79" t="s">
        <v>840</v>
      </c>
      <c r="H1201" s="79" t="s">
        <v>837</v>
      </c>
      <c r="I1201" s="32" t="s">
        <v>2815</v>
      </c>
      <c r="J1201" s="79">
        <v>34.200000000000003</v>
      </c>
      <c r="K1201" s="79">
        <v>-90.58</v>
      </c>
      <c r="L1201" s="79">
        <v>55.3</v>
      </c>
      <c r="R1201" s="80" t="s">
        <v>1843</v>
      </c>
      <c r="S1201" s="80" t="s">
        <v>1927</v>
      </c>
      <c r="T1201" s="80" t="s">
        <v>872</v>
      </c>
      <c r="U1201" s="80" t="s">
        <v>1981</v>
      </c>
      <c r="V1201" s="80" t="s">
        <v>1382</v>
      </c>
      <c r="W1201" s="80" t="s">
        <v>1717</v>
      </c>
      <c r="X1201" s="80" t="s">
        <v>1382</v>
      </c>
      <c r="Y1201" s="80" t="s">
        <v>1382</v>
      </c>
      <c r="Z1201" s="79">
        <v>1.325</v>
      </c>
      <c r="AA1201" s="342"/>
      <c r="AB1201" s="342"/>
      <c r="AC1201" s="79" t="s">
        <v>450</v>
      </c>
      <c r="AG1201" s="40" t="s">
        <v>1346</v>
      </c>
      <c r="AH1201" s="79" t="s">
        <v>1518</v>
      </c>
      <c r="AI1201" s="138" t="s">
        <v>1582</v>
      </c>
      <c r="AJ1201" s="79" t="s">
        <v>584</v>
      </c>
      <c r="AK1201" s="140" t="s">
        <v>1646</v>
      </c>
      <c r="AT1201" s="79" t="s">
        <v>843</v>
      </c>
      <c r="AU1201" s="79" t="s">
        <v>843</v>
      </c>
      <c r="AV1201" s="79" t="s">
        <v>177</v>
      </c>
      <c r="AW1201" s="79" t="s">
        <v>160</v>
      </c>
      <c r="AX1201" s="79">
        <v>4</v>
      </c>
      <c r="AZ1201" s="79" t="s">
        <v>141</v>
      </c>
      <c r="BB1201" s="79">
        <v>3863</v>
      </c>
      <c r="BE1201" s="79" t="s">
        <v>838</v>
      </c>
      <c r="BK1201" s="79">
        <v>2175</v>
      </c>
      <c r="BL1201" s="79">
        <v>2409</v>
      </c>
      <c r="BP1201" s="417"/>
      <c r="BQ1201" s="417"/>
      <c r="BU1201" s="417"/>
      <c r="BV1201" s="417"/>
      <c r="BZ1201" s="417"/>
      <c r="CA1201" s="417"/>
      <c r="CE1201" s="570"/>
      <c r="CF1201" s="570"/>
      <c r="CG1201" s="570"/>
      <c r="CH1201" s="570"/>
      <c r="JB1201" s="79" t="s">
        <v>850</v>
      </c>
    </row>
    <row r="1202" spans="1:262" s="32" customFormat="1" x14ac:dyDescent="0.25">
      <c r="A1202" s="32">
        <v>57</v>
      </c>
      <c r="B1202" s="44" t="s">
        <v>4019</v>
      </c>
      <c r="C1202" s="32" t="s">
        <v>835</v>
      </c>
      <c r="D1202" s="32" t="s">
        <v>836</v>
      </c>
      <c r="E1202" s="32">
        <v>1990</v>
      </c>
      <c r="F1202" s="32">
        <v>1978</v>
      </c>
      <c r="G1202" s="32" t="s">
        <v>840</v>
      </c>
      <c r="H1202" s="32" t="s">
        <v>837</v>
      </c>
      <c r="I1202" s="32" t="s">
        <v>2815</v>
      </c>
      <c r="J1202" s="32">
        <v>34.200000000000003</v>
      </c>
      <c r="K1202" s="32">
        <v>-90.58</v>
      </c>
      <c r="L1202" s="32">
        <v>55.3</v>
      </c>
      <c r="R1202" s="44" t="s">
        <v>1734</v>
      </c>
      <c r="S1202" s="44" t="s">
        <v>1927</v>
      </c>
      <c r="T1202" s="44" t="s">
        <v>873</v>
      </c>
      <c r="U1202" s="44" t="s">
        <v>1981</v>
      </c>
      <c r="V1202" s="44" t="s">
        <v>1382</v>
      </c>
      <c r="W1202" s="44" t="s">
        <v>1717</v>
      </c>
      <c r="X1202" s="44" t="s">
        <v>1382</v>
      </c>
      <c r="Y1202" s="44" t="s">
        <v>1382</v>
      </c>
      <c r="Z1202" s="32">
        <v>1.325</v>
      </c>
      <c r="AA1202" s="323"/>
      <c r="AB1202" s="323"/>
      <c r="AC1202" s="32" t="s">
        <v>450</v>
      </c>
      <c r="AG1202" s="32" t="s">
        <v>1346</v>
      </c>
      <c r="AH1202" s="32" t="s">
        <v>131</v>
      </c>
      <c r="AI1202" s="138" t="s">
        <v>131</v>
      </c>
      <c r="AJ1202" s="32" t="s">
        <v>584</v>
      </c>
      <c r="AK1202" s="140" t="s">
        <v>1646</v>
      </c>
      <c r="AT1202" s="32" t="s">
        <v>844</v>
      </c>
      <c r="AU1202" s="32" t="s">
        <v>844</v>
      </c>
      <c r="AV1202" s="32" t="s">
        <v>177</v>
      </c>
      <c r="AW1202" s="32" t="s">
        <v>160</v>
      </c>
      <c r="AX1202" s="32">
        <v>4</v>
      </c>
      <c r="AZ1202" s="32" t="s">
        <v>141</v>
      </c>
      <c r="BB1202" s="32">
        <v>4242</v>
      </c>
      <c r="BE1202" s="32" t="s">
        <v>838</v>
      </c>
      <c r="BK1202" s="32">
        <v>1719</v>
      </c>
      <c r="BL1202" s="32">
        <v>1771</v>
      </c>
      <c r="BP1202" s="397"/>
      <c r="BQ1202" s="397"/>
      <c r="BU1202" s="397"/>
      <c r="BV1202" s="397"/>
      <c r="BZ1202" s="397"/>
      <c r="CA1202" s="397"/>
      <c r="CE1202" s="550"/>
      <c r="CF1202" s="550"/>
      <c r="CG1202" s="550"/>
      <c r="CH1202" s="550"/>
      <c r="JB1202" s="32" t="s">
        <v>850</v>
      </c>
    </row>
    <row r="1203" spans="1:262" s="32" customFormat="1" x14ac:dyDescent="0.25">
      <c r="A1203" s="32">
        <v>57</v>
      </c>
      <c r="B1203" s="44" t="s">
        <v>4020</v>
      </c>
      <c r="C1203" s="32" t="s">
        <v>835</v>
      </c>
      <c r="D1203" s="32" t="s">
        <v>836</v>
      </c>
      <c r="E1203" s="32">
        <v>1990</v>
      </c>
      <c r="F1203" s="32">
        <v>1978</v>
      </c>
      <c r="G1203" s="32" t="s">
        <v>840</v>
      </c>
      <c r="H1203" s="32" t="s">
        <v>837</v>
      </c>
      <c r="I1203" s="32" t="s">
        <v>2815</v>
      </c>
      <c r="J1203" s="32">
        <v>34.200000000000003</v>
      </c>
      <c r="K1203" s="32">
        <v>-90.58</v>
      </c>
      <c r="L1203" s="32">
        <v>55.3</v>
      </c>
      <c r="R1203" s="44" t="s">
        <v>1734</v>
      </c>
      <c r="S1203" s="44" t="s">
        <v>1927</v>
      </c>
      <c r="T1203" s="44" t="s">
        <v>873</v>
      </c>
      <c r="U1203" s="44" t="s">
        <v>1981</v>
      </c>
      <c r="V1203" s="44" t="s">
        <v>1382</v>
      </c>
      <c r="W1203" s="44" t="s">
        <v>1717</v>
      </c>
      <c r="X1203" s="44" t="s">
        <v>1382</v>
      </c>
      <c r="Y1203" s="44" t="s">
        <v>1382</v>
      </c>
      <c r="Z1203" s="32">
        <v>1.325</v>
      </c>
      <c r="AA1203" s="323"/>
      <c r="AB1203" s="323"/>
      <c r="AC1203" s="32" t="s">
        <v>450</v>
      </c>
      <c r="AG1203" s="32" t="s">
        <v>1346</v>
      </c>
      <c r="AH1203" s="32" t="s">
        <v>243</v>
      </c>
      <c r="AI1203" s="138" t="s">
        <v>577</v>
      </c>
      <c r="AJ1203" s="32" t="s">
        <v>584</v>
      </c>
      <c r="AK1203" s="140" t="s">
        <v>1646</v>
      </c>
      <c r="AT1203" s="32" t="s">
        <v>844</v>
      </c>
      <c r="AU1203" s="32" t="s">
        <v>844</v>
      </c>
      <c r="AV1203" s="32" t="s">
        <v>177</v>
      </c>
      <c r="AW1203" s="32" t="s">
        <v>160</v>
      </c>
      <c r="AX1203" s="32">
        <v>4</v>
      </c>
      <c r="AZ1203" s="32" t="s">
        <v>141</v>
      </c>
      <c r="BB1203" s="32">
        <v>1992</v>
      </c>
      <c r="BE1203" s="32" t="s">
        <v>838</v>
      </c>
      <c r="BK1203" s="32">
        <v>1719</v>
      </c>
      <c r="BL1203" s="32">
        <v>2120</v>
      </c>
      <c r="BP1203" s="397"/>
      <c r="BQ1203" s="397"/>
      <c r="BU1203" s="397"/>
      <c r="BV1203" s="397"/>
      <c r="BZ1203" s="397"/>
      <c r="CA1203" s="397"/>
      <c r="CE1203" s="550"/>
      <c r="CF1203" s="550"/>
      <c r="CG1203" s="550"/>
      <c r="CH1203" s="550"/>
      <c r="JB1203" s="32" t="s">
        <v>850</v>
      </c>
    </row>
    <row r="1204" spans="1:262" s="32" customFormat="1" x14ac:dyDescent="0.25">
      <c r="A1204" s="32">
        <v>57</v>
      </c>
      <c r="B1204" s="44" t="s">
        <v>4020</v>
      </c>
      <c r="C1204" s="32" t="s">
        <v>835</v>
      </c>
      <c r="D1204" s="32" t="s">
        <v>836</v>
      </c>
      <c r="E1204" s="32">
        <v>1990</v>
      </c>
      <c r="F1204" s="32">
        <v>1978</v>
      </c>
      <c r="G1204" s="32" t="s">
        <v>840</v>
      </c>
      <c r="H1204" s="32" t="s">
        <v>837</v>
      </c>
      <c r="I1204" s="32" t="s">
        <v>2815</v>
      </c>
      <c r="J1204" s="32">
        <v>34.200000000000003</v>
      </c>
      <c r="K1204" s="32">
        <v>-90.58</v>
      </c>
      <c r="L1204" s="32">
        <v>55.3</v>
      </c>
      <c r="R1204" s="44" t="s">
        <v>1734</v>
      </c>
      <c r="S1204" s="44" t="s">
        <v>1927</v>
      </c>
      <c r="T1204" s="44" t="s">
        <v>873</v>
      </c>
      <c r="U1204" s="44" t="s">
        <v>1981</v>
      </c>
      <c r="V1204" s="44" t="s">
        <v>1382</v>
      </c>
      <c r="W1204" s="44" t="s">
        <v>1717</v>
      </c>
      <c r="X1204" s="44" t="s">
        <v>1382</v>
      </c>
      <c r="Y1204" s="44" t="s">
        <v>1382</v>
      </c>
      <c r="Z1204" s="32">
        <v>1.325</v>
      </c>
      <c r="AA1204" s="323"/>
      <c r="AB1204" s="323"/>
      <c r="AC1204" s="32" t="s">
        <v>450</v>
      </c>
      <c r="AG1204" s="32" t="s">
        <v>1346</v>
      </c>
      <c r="AH1204" s="32" t="s">
        <v>1518</v>
      </c>
      <c r="AI1204" s="138" t="s">
        <v>1582</v>
      </c>
      <c r="AJ1204" s="32" t="s">
        <v>584</v>
      </c>
      <c r="AK1204" s="140" t="s">
        <v>1646</v>
      </c>
      <c r="AT1204" s="32" t="s">
        <v>844</v>
      </c>
      <c r="AU1204" s="32" t="s">
        <v>844</v>
      </c>
      <c r="AV1204" s="32" t="s">
        <v>177</v>
      </c>
      <c r="AW1204" s="32" t="s">
        <v>160</v>
      </c>
      <c r="AX1204" s="32">
        <v>4</v>
      </c>
      <c r="AZ1204" s="32" t="s">
        <v>141</v>
      </c>
      <c r="BB1204" s="32">
        <v>4201</v>
      </c>
      <c r="BE1204" s="32" t="s">
        <v>838</v>
      </c>
      <c r="BK1204" s="32">
        <v>1719</v>
      </c>
      <c r="BL1204" s="32">
        <v>2147</v>
      </c>
      <c r="BP1204" s="397"/>
      <c r="BQ1204" s="397"/>
      <c r="BU1204" s="397"/>
      <c r="BV1204" s="397"/>
      <c r="BZ1204" s="397"/>
      <c r="CA1204" s="397"/>
      <c r="CE1204" s="550"/>
      <c r="CF1204" s="550"/>
      <c r="CG1204" s="550"/>
      <c r="CH1204" s="550"/>
      <c r="JB1204" s="32" t="s">
        <v>850</v>
      </c>
    </row>
    <row r="1205" spans="1:262" s="40" customFormat="1" x14ac:dyDescent="0.25">
      <c r="A1205" s="40">
        <v>57</v>
      </c>
      <c r="B1205" s="71" t="s">
        <v>4021</v>
      </c>
      <c r="C1205" s="40" t="s">
        <v>835</v>
      </c>
      <c r="D1205" s="40" t="s">
        <v>836</v>
      </c>
      <c r="E1205" s="40">
        <v>1990</v>
      </c>
      <c r="F1205" s="40">
        <v>1979</v>
      </c>
      <c r="G1205" s="40" t="s">
        <v>840</v>
      </c>
      <c r="H1205" s="40" t="s">
        <v>837</v>
      </c>
      <c r="I1205" s="32" t="s">
        <v>2815</v>
      </c>
      <c r="J1205" s="40">
        <v>34.200000000000003</v>
      </c>
      <c r="K1205" s="40">
        <v>-90.58</v>
      </c>
      <c r="L1205" s="40">
        <v>55.3</v>
      </c>
      <c r="R1205" s="71" t="s">
        <v>1982</v>
      </c>
      <c r="S1205" s="71" t="s">
        <v>1927</v>
      </c>
      <c r="T1205" s="71" t="s">
        <v>874</v>
      </c>
      <c r="U1205" s="71" t="s">
        <v>1981</v>
      </c>
      <c r="V1205" s="71" t="s">
        <v>1382</v>
      </c>
      <c r="W1205" s="71" t="s">
        <v>1717</v>
      </c>
      <c r="X1205" s="71" t="s">
        <v>1382</v>
      </c>
      <c r="Y1205" s="71" t="s">
        <v>1382</v>
      </c>
      <c r="Z1205" s="40">
        <v>1.325</v>
      </c>
      <c r="AA1205" s="341"/>
      <c r="AB1205" s="341"/>
      <c r="AC1205" s="40" t="s">
        <v>450</v>
      </c>
      <c r="AG1205" s="40" t="s">
        <v>1346</v>
      </c>
      <c r="AH1205" s="40" t="s">
        <v>243</v>
      </c>
      <c r="AI1205" s="138" t="s">
        <v>577</v>
      </c>
      <c r="AJ1205" s="40" t="s">
        <v>584</v>
      </c>
      <c r="AK1205" s="140" t="s">
        <v>1646</v>
      </c>
      <c r="AT1205" s="40" t="s">
        <v>844</v>
      </c>
      <c r="AU1205" s="40" t="s">
        <v>844</v>
      </c>
      <c r="AV1205" s="40" t="s">
        <v>177</v>
      </c>
      <c r="AW1205" s="40" t="s">
        <v>160</v>
      </c>
      <c r="AX1205" s="40">
        <v>4</v>
      </c>
      <c r="AZ1205" s="40" t="s">
        <v>141</v>
      </c>
      <c r="BE1205" s="40" t="s">
        <v>838</v>
      </c>
      <c r="BK1205" s="40">
        <v>2135</v>
      </c>
      <c r="BL1205" s="40">
        <v>2158</v>
      </c>
      <c r="BP1205" s="416"/>
      <c r="BQ1205" s="416"/>
      <c r="BU1205" s="416"/>
      <c r="BV1205" s="416"/>
      <c r="BZ1205" s="416"/>
      <c r="CA1205" s="416"/>
      <c r="CE1205" s="569"/>
      <c r="CF1205" s="569"/>
      <c r="CG1205" s="569"/>
      <c r="CH1205" s="569"/>
      <c r="JB1205" s="40" t="s">
        <v>850</v>
      </c>
    </row>
    <row r="1206" spans="1:262" s="83" customFormat="1" x14ac:dyDescent="0.25">
      <c r="A1206" s="83">
        <v>57</v>
      </c>
      <c r="B1206" s="84" t="s">
        <v>4022</v>
      </c>
      <c r="C1206" s="83" t="s">
        <v>835</v>
      </c>
      <c r="D1206" s="83" t="s">
        <v>836</v>
      </c>
      <c r="E1206" s="83">
        <v>1990</v>
      </c>
      <c r="F1206" s="83">
        <v>1979</v>
      </c>
      <c r="G1206" s="83" t="s">
        <v>840</v>
      </c>
      <c r="H1206" s="83" t="s">
        <v>837</v>
      </c>
      <c r="I1206" s="32" t="s">
        <v>2815</v>
      </c>
      <c r="J1206" s="83">
        <v>34.200000000000003</v>
      </c>
      <c r="K1206" s="83">
        <v>-90.58</v>
      </c>
      <c r="L1206" s="83">
        <v>55.3</v>
      </c>
      <c r="R1206" s="84" t="s">
        <v>1982</v>
      </c>
      <c r="S1206" s="84" t="s">
        <v>1927</v>
      </c>
      <c r="T1206" s="84" t="s">
        <v>874</v>
      </c>
      <c r="U1206" s="84" t="s">
        <v>1981</v>
      </c>
      <c r="V1206" s="84" t="s">
        <v>1394</v>
      </c>
      <c r="W1206" s="84" t="s">
        <v>1722</v>
      </c>
      <c r="X1206" s="84" t="s">
        <v>1382</v>
      </c>
      <c r="Y1206" s="84" t="s">
        <v>1382</v>
      </c>
      <c r="Z1206" s="83">
        <v>1.325</v>
      </c>
      <c r="AA1206" s="343"/>
      <c r="AB1206" s="343"/>
      <c r="AC1206" s="83" t="s">
        <v>450</v>
      </c>
      <c r="AG1206" s="83" t="s">
        <v>1346</v>
      </c>
      <c r="AH1206" s="83" t="s">
        <v>1518</v>
      </c>
      <c r="AI1206" s="138" t="s">
        <v>1582</v>
      </c>
      <c r="AJ1206" s="83" t="s">
        <v>584</v>
      </c>
      <c r="AK1206" s="140" t="s">
        <v>1646</v>
      </c>
      <c r="AT1206" s="83" t="s">
        <v>844</v>
      </c>
      <c r="AU1206" s="83" t="s">
        <v>844</v>
      </c>
      <c r="AV1206" s="83" t="s">
        <v>177</v>
      </c>
      <c r="AW1206" s="83" t="s">
        <v>160</v>
      </c>
      <c r="AX1206" s="83">
        <v>4</v>
      </c>
      <c r="AZ1206" s="83" t="s">
        <v>141</v>
      </c>
      <c r="BE1206" s="83" t="s">
        <v>838</v>
      </c>
      <c r="BK1206" s="83">
        <v>2135</v>
      </c>
      <c r="BL1206" s="83">
        <v>2430</v>
      </c>
      <c r="BP1206" s="418">
        <v>1.28</v>
      </c>
      <c r="BQ1206" s="418">
        <v>1.26</v>
      </c>
      <c r="BU1206" s="418">
        <v>1.4</v>
      </c>
      <c r="BV1206" s="418">
        <v>1.9</v>
      </c>
      <c r="BY1206" s="83" t="s">
        <v>1673</v>
      </c>
      <c r="BZ1206" s="418"/>
      <c r="CA1206" s="418"/>
      <c r="CD1206" s="83" t="s">
        <v>1670</v>
      </c>
      <c r="CE1206" s="571">
        <v>1.4</v>
      </c>
      <c r="CF1206" s="571">
        <v>1.9</v>
      </c>
      <c r="CG1206" s="571"/>
      <c r="CH1206" s="571"/>
      <c r="CI1206" s="83" t="s">
        <v>4541</v>
      </c>
      <c r="EM1206" s="83">
        <v>2.08</v>
      </c>
      <c r="EN1206" s="83">
        <v>3.46</v>
      </c>
      <c r="FQ1206" s="83">
        <f>0.295-0.07</f>
        <v>0.22499999999999998</v>
      </c>
      <c r="FR1206" s="83">
        <f>0.332-0.061</f>
        <v>0.27100000000000002</v>
      </c>
      <c r="FU1206" s="83" t="s">
        <v>852</v>
      </c>
      <c r="JB1206" s="83" t="s">
        <v>850</v>
      </c>
    </row>
    <row r="1207" spans="1:262" s="40" customFormat="1" x14ac:dyDescent="0.25">
      <c r="A1207" s="40">
        <v>57</v>
      </c>
      <c r="B1207" s="71" t="s">
        <v>4022</v>
      </c>
      <c r="C1207" s="40" t="s">
        <v>835</v>
      </c>
      <c r="D1207" s="40" t="s">
        <v>836</v>
      </c>
      <c r="E1207" s="40">
        <v>1990</v>
      </c>
      <c r="F1207" s="40">
        <v>1979</v>
      </c>
      <c r="G1207" s="40" t="s">
        <v>840</v>
      </c>
      <c r="H1207" s="40" t="s">
        <v>837</v>
      </c>
      <c r="I1207" s="32" t="s">
        <v>2815</v>
      </c>
      <c r="J1207" s="40">
        <v>34.200000000000003</v>
      </c>
      <c r="K1207" s="40">
        <v>-90.58</v>
      </c>
      <c r="L1207" s="40">
        <v>55.3</v>
      </c>
      <c r="R1207" s="71" t="s">
        <v>1982</v>
      </c>
      <c r="S1207" s="71" t="s">
        <v>1927</v>
      </c>
      <c r="T1207" s="71" t="s">
        <v>874</v>
      </c>
      <c r="U1207" s="71" t="s">
        <v>1981</v>
      </c>
      <c r="V1207" s="71" t="s">
        <v>1382</v>
      </c>
      <c r="W1207" s="71" t="s">
        <v>1717</v>
      </c>
      <c r="X1207" s="71" t="s">
        <v>1382</v>
      </c>
      <c r="Y1207" s="71" t="s">
        <v>1382</v>
      </c>
      <c r="Z1207" s="40">
        <v>1.325</v>
      </c>
      <c r="AA1207" s="341"/>
      <c r="AB1207" s="341"/>
      <c r="AC1207" s="40" t="s">
        <v>450</v>
      </c>
      <c r="AG1207" s="40" t="s">
        <v>1346</v>
      </c>
      <c r="AH1207" s="40" t="s">
        <v>1519</v>
      </c>
      <c r="AI1207" s="138" t="s">
        <v>1582</v>
      </c>
      <c r="AJ1207" s="40" t="s">
        <v>584</v>
      </c>
      <c r="AK1207" s="140" t="s">
        <v>1646</v>
      </c>
      <c r="AT1207" s="40" t="s">
        <v>844</v>
      </c>
      <c r="AU1207" s="40" t="s">
        <v>844</v>
      </c>
      <c r="AV1207" s="40" t="s">
        <v>177</v>
      </c>
      <c r="AW1207" s="40" t="s">
        <v>160</v>
      </c>
      <c r="AX1207" s="40">
        <v>4</v>
      </c>
      <c r="AZ1207" s="40" t="s">
        <v>141</v>
      </c>
      <c r="BE1207" s="40" t="s">
        <v>838</v>
      </c>
      <c r="BK1207" s="40">
        <v>2135</v>
      </c>
      <c r="BL1207" s="40">
        <v>2043</v>
      </c>
      <c r="BP1207" s="416"/>
      <c r="BQ1207" s="416"/>
      <c r="BU1207" s="416"/>
      <c r="BV1207" s="416"/>
      <c r="BZ1207" s="416"/>
      <c r="CA1207" s="416"/>
      <c r="CE1207" s="569"/>
      <c r="CF1207" s="569"/>
      <c r="CG1207" s="569"/>
      <c r="CH1207" s="569"/>
      <c r="JB1207" s="40" t="s">
        <v>850</v>
      </c>
    </row>
    <row r="1208" spans="1:262" s="32" customFormat="1" x14ac:dyDescent="0.25">
      <c r="A1208" s="32">
        <v>57</v>
      </c>
      <c r="B1208" s="44" t="s">
        <v>4021</v>
      </c>
      <c r="C1208" s="32" t="s">
        <v>835</v>
      </c>
      <c r="D1208" s="32" t="s">
        <v>836</v>
      </c>
      <c r="E1208" s="32">
        <v>1990</v>
      </c>
      <c r="F1208" s="32">
        <v>1980</v>
      </c>
      <c r="G1208" s="32" t="s">
        <v>840</v>
      </c>
      <c r="H1208" s="32" t="s">
        <v>837</v>
      </c>
      <c r="I1208" s="32" t="s">
        <v>2815</v>
      </c>
      <c r="J1208" s="32">
        <v>34.200000000000003</v>
      </c>
      <c r="K1208" s="32">
        <v>-90.58</v>
      </c>
      <c r="L1208" s="32">
        <v>55.3</v>
      </c>
      <c r="R1208" s="44" t="s">
        <v>1975</v>
      </c>
      <c r="S1208" s="44" t="s">
        <v>1927</v>
      </c>
      <c r="T1208" s="44" t="s">
        <v>875</v>
      </c>
      <c r="U1208" s="44" t="s">
        <v>1981</v>
      </c>
      <c r="V1208" s="44" t="s">
        <v>1382</v>
      </c>
      <c r="W1208" s="44" t="s">
        <v>1717</v>
      </c>
      <c r="X1208" s="44" t="s">
        <v>1382</v>
      </c>
      <c r="Y1208" s="44" t="s">
        <v>1382</v>
      </c>
      <c r="Z1208" s="32">
        <v>1.325</v>
      </c>
      <c r="AA1208" s="323"/>
      <c r="AB1208" s="323"/>
      <c r="AC1208" s="32" t="s">
        <v>450</v>
      </c>
      <c r="AG1208" s="32" t="s">
        <v>1346</v>
      </c>
      <c r="AH1208" s="32" t="s">
        <v>243</v>
      </c>
      <c r="AI1208" s="138" t="s">
        <v>577</v>
      </c>
      <c r="AJ1208" s="32" t="s">
        <v>584</v>
      </c>
      <c r="AK1208" s="140" t="s">
        <v>1646</v>
      </c>
      <c r="AT1208" s="32" t="s">
        <v>845</v>
      </c>
      <c r="AU1208" s="32" t="s">
        <v>845</v>
      </c>
      <c r="AV1208" s="32" t="s">
        <v>177</v>
      </c>
      <c r="AW1208" s="32" t="s">
        <v>160</v>
      </c>
      <c r="AX1208" s="32">
        <v>4</v>
      </c>
      <c r="AZ1208" s="32" t="s">
        <v>141</v>
      </c>
      <c r="BE1208" s="32" t="s">
        <v>838</v>
      </c>
      <c r="BK1208" s="32">
        <v>1796</v>
      </c>
      <c r="BL1208" s="32">
        <v>1921</v>
      </c>
      <c r="BP1208" s="397"/>
      <c r="BQ1208" s="397"/>
      <c r="BU1208" s="397"/>
      <c r="BV1208" s="397"/>
      <c r="BZ1208" s="397"/>
      <c r="CA1208" s="397"/>
      <c r="CE1208" s="550"/>
      <c r="CF1208" s="550"/>
      <c r="CG1208" s="550"/>
      <c r="CH1208" s="550"/>
      <c r="JB1208" s="32" t="s">
        <v>850</v>
      </c>
    </row>
    <row r="1209" spans="1:262" s="83" customFormat="1" x14ac:dyDescent="0.25">
      <c r="A1209" s="83">
        <v>57</v>
      </c>
      <c r="B1209" s="84" t="s">
        <v>4022</v>
      </c>
      <c r="C1209" s="83" t="s">
        <v>835</v>
      </c>
      <c r="D1209" s="83" t="s">
        <v>836</v>
      </c>
      <c r="E1209" s="83">
        <v>1990</v>
      </c>
      <c r="F1209" s="83">
        <v>1980</v>
      </c>
      <c r="G1209" s="83" t="s">
        <v>840</v>
      </c>
      <c r="H1209" s="83" t="s">
        <v>837</v>
      </c>
      <c r="I1209" s="32" t="s">
        <v>2815</v>
      </c>
      <c r="J1209" s="83">
        <v>34.200000000000003</v>
      </c>
      <c r="K1209" s="83">
        <v>-90.58</v>
      </c>
      <c r="L1209" s="83">
        <v>55.3</v>
      </c>
      <c r="R1209" s="84" t="s">
        <v>1975</v>
      </c>
      <c r="S1209" s="84" t="s">
        <v>1927</v>
      </c>
      <c r="T1209" s="84" t="s">
        <v>875</v>
      </c>
      <c r="U1209" s="84" t="s">
        <v>1981</v>
      </c>
      <c r="V1209" s="84" t="s">
        <v>1401</v>
      </c>
      <c r="W1209" s="84" t="s">
        <v>1722</v>
      </c>
      <c r="X1209" s="84" t="s">
        <v>1382</v>
      </c>
      <c r="Y1209" s="84" t="s">
        <v>1382</v>
      </c>
      <c r="Z1209" s="83">
        <v>1.325</v>
      </c>
      <c r="AA1209" s="343"/>
      <c r="AB1209" s="343"/>
      <c r="AC1209" s="83" t="s">
        <v>450</v>
      </c>
      <c r="AG1209" s="83" t="s">
        <v>1346</v>
      </c>
      <c r="AH1209" s="83" t="s">
        <v>1518</v>
      </c>
      <c r="AI1209" s="138" t="s">
        <v>1582</v>
      </c>
      <c r="AJ1209" s="83" t="s">
        <v>584</v>
      </c>
      <c r="AK1209" s="140" t="s">
        <v>1646</v>
      </c>
      <c r="AT1209" s="83" t="s">
        <v>845</v>
      </c>
      <c r="AU1209" s="83" t="s">
        <v>845</v>
      </c>
      <c r="AV1209" s="83" t="s">
        <v>177</v>
      </c>
      <c r="AW1209" s="83" t="s">
        <v>160</v>
      </c>
      <c r="AX1209" s="83">
        <v>4</v>
      </c>
      <c r="AZ1209" s="83" t="s">
        <v>141</v>
      </c>
      <c r="BE1209" s="83" t="s">
        <v>838</v>
      </c>
      <c r="BK1209" s="83">
        <v>1796</v>
      </c>
      <c r="BL1209" s="83">
        <v>2110</v>
      </c>
      <c r="BP1209" s="418">
        <v>1.39</v>
      </c>
      <c r="BQ1209" s="418">
        <v>1.29</v>
      </c>
      <c r="BU1209" s="418">
        <v>1.1000000000000001</v>
      </c>
      <c r="BV1209" s="418">
        <v>1.3</v>
      </c>
      <c r="BY1209" s="83" t="s">
        <v>1673</v>
      </c>
      <c r="BZ1209" s="418"/>
      <c r="CA1209" s="418"/>
      <c r="CD1209" s="83" t="s">
        <v>1670</v>
      </c>
      <c r="CE1209" s="571">
        <v>1.1000000000000001</v>
      </c>
      <c r="CF1209" s="571">
        <v>1.3</v>
      </c>
      <c r="CG1209" s="571"/>
      <c r="CH1209" s="571"/>
      <c r="CI1209" s="83" t="s">
        <v>4541</v>
      </c>
      <c r="EM1209" s="83">
        <v>2.31</v>
      </c>
      <c r="EN1209" s="83">
        <v>4.49</v>
      </c>
      <c r="FQ1209" s="83">
        <f>0.351-0.081</f>
        <v>0.26999999999999996</v>
      </c>
      <c r="FR1209" s="83">
        <f>0.312-0.071</f>
        <v>0.24099999999999999</v>
      </c>
      <c r="FU1209" s="83" t="s">
        <v>852</v>
      </c>
      <c r="JB1209" s="83" t="s">
        <v>850</v>
      </c>
    </row>
    <row r="1210" spans="1:262" s="32" customFormat="1" x14ac:dyDescent="0.25">
      <c r="A1210" s="32">
        <v>57</v>
      </c>
      <c r="B1210" s="44" t="s">
        <v>4022</v>
      </c>
      <c r="C1210" s="32" t="s">
        <v>835</v>
      </c>
      <c r="D1210" s="32" t="s">
        <v>836</v>
      </c>
      <c r="E1210" s="32">
        <v>1990</v>
      </c>
      <c r="F1210" s="32">
        <v>1980</v>
      </c>
      <c r="G1210" s="32" t="s">
        <v>840</v>
      </c>
      <c r="H1210" s="32" t="s">
        <v>837</v>
      </c>
      <c r="I1210" s="32" t="s">
        <v>2815</v>
      </c>
      <c r="J1210" s="32">
        <v>34.200000000000003</v>
      </c>
      <c r="K1210" s="32">
        <v>-90.58</v>
      </c>
      <c r="L1210" s="32">
        <v>55.3</v>
      </c>
      <c r="R1210" s="44" t="s">
        <v>1975</v>
      </c>
      <c r="S1210" s="44" t="s">
        <v>1927</v>
      </c>
      <c r="T1210" s="44" t="s">
        <v>875</v>
      </c>
      <c r="U1210" s="44" t="s">
        <v>1981</v>
      </c>
      <c r="V1210" s="44" t="s">
        <v>1382</v>
      </c>
      <c r="W1210" s="44" t="s">
        <v>1717</v>
      </c>
      <c r="X1210" s="44" t="s">
        <v>1382</v>
      </c>
      <c r="Y1210" s="44" t="s">
        <v>1382</v>
      </c>
      <c r="Z1210" s="32">
        <v>1.325</v>
      </c>
      <c r="AA1210" s="323"/>
      <c r="AB1210" s="323"/>
      <c r="AC1210" s="32" t="s">
        <v>450</v>
      </c>
      <c r="AG1210" s="32" t="s">
        <v>1346</v>
      </c>
      <c r="AH1210" s="32" t="s">
        <v>1519</v>
      </c>
      <c r="AI1210" s="138" t="s">
        <v>1582</v>
      </c>
      <c r="AJ1210" s="32" t="s">
        <v>584</v>
      </c>
      <c r="AK1210" s="140" t="s">
        <v>1646</v>
      </c>
      <c r="AT1210" s="32" t="s">
        <v>845</v>
      </c>
      <c r="AU1210" s="32" t="s">
        <v>845</v>
      </c>
      <c r="AV1210" s="32" t="s">
        <v>177</v>
      </c>
      <c r="AW1210" s="32" t="s">
        <v>160</v>
      </c>
      <c r="AX1210" s="32">
        <v>4</v>
      </c>
      <c r="AZ1210" s="32" t="s">
        <v>141</v>
      </c>
      <c r="BE1210" s="32" t="s">
        <v>838</v>
      </c>
      <c r="BK1210" s="32">
        <v>1796</v>
      </c>
      <c r="BL1210" s="32">
        <v>1932</v>
      </c>
      <c r="BP1210" s="397"/>
      <c r="BQ1210" s="397"/>
      <c r="BU1210" s="397"/>
      <c r="BV1210" s="397"/>
      <c r="BZ1210" s="397"/>
      <c r="CA1210" s="397"/>
      <c r="CE1210" s="550"/>
      <c r="CF1210" s="550"/>
      <c r="CG1210" s="550"/>
      <c r="CH1210" s="550"/>
      <c r="JB1210" s="32" t="s">
        <v>850</v>
      </c>
    </row>
    <row r="1211" spans="1:262" s="40" customFormat="1" x14ac:dyDescent="0.25">
      <c r="A1211" s="40">
        <v>57</v>
      </c>
      <c r="B1211" s="71" t="s">
        <v>4021</v>
      </c>
      <c r="C1211" s="40" t="s">
        <v>835</v>
      </c>
      <c r="D1211" s="40" t="s">
        <v>836</v>
      </c>
      <c r="E1211" s="40">
        <v>1990</v>
      </c>
      <c r="F1211" s="40">
        <v>1981</v>
      </c>
      <c r="G1211" s="40" t="s">
        <v>840</v>
      </c>
      <c r="H1211" s="40" t="s">
        <v>837</v>
      </c>
      <c r="I1211" s="32" t="s">
        <v>2815</v>
      </c>
      <c r="J1211" s="40">
        <v>34.200000000000003</v>
      </c>
      <c r="K1211" s="40">
        <v>-90.58</v>
      </c>
      <c r="L1211" s="40">
        <v>55.3</v>
      </c>
      <c r="R1211" s="71" t="s">
        <v>1719</v>
      </c>
      <c r="S1211" s="71" t="s">
        <v>1927</v>
      </c>
      <c r="T1211" s="71" t="s">
        <v>876</v>
      </c>
      <c r="U1211" s="71" t="s">
        <v>1981</v>
      </c>
      <c r="V1211" s="71" t="s">
        <v>1382</v>
      </c>
      <c r="W1211" s="71" t="s">
        <v>1717</v>
      </c>
      <c r="X1211" s="71" t="s">
        <v>1382</v>
      </c>
      <c r="Y1211" s="71" t="s">
        <v>1382</v>
      </c>
      <c r="Z1211" s="40">
        <v>1.325</v>
      </c>
      <c r="AA1211" s="341"/>
      <c r="AB1211" s="341"/>
      <c r="AC1211" s="40" t="s">
        <v>450</v>
      </c>
      <c r="AG1211" s="40" t="s">
        <v>1346</v>
      </c>
      <c r="AH1211" s="40" t="s">
        <v>243</v>
      </c>
      <c r="AI1211" s="138" t="s">
        <v>577</v>
      </c>
      <c r="AJ1211" s="40" t="s">
        <v>584</v>
      </c>
      <c r="AK1211" s="140" t="s">
        <v>1646</v>
      </c>
      <c r="AT1211" s="40" t="s">
        <v>846</v>
      </c>
      <c r="AU1211" s="40" t="s">
        <v>846</v>
      </c>
      <c r="AV1211" s="40" t="s">
        <v>177</v>
      </c>
      <c r="AW1211" s="40" t="s">
        <v>160</v>
      </c>
      <c r="AX1211" s="40">
        <v>4</v>
      </c>
      <c r="AZ1211" s="40" t="s">
        <v>141</v>
      </c>
      <c r="BE1211" s="40" t="s">
        <v>838</v>
      </c>
      <c r="BK1211" s="40">
        <v>1944</v>
      </c>
      <c r="BL1211" s="40">
        <v>2782</v>
      </c>
      <c r="BP1211" s="416"/>
      <c r="BQ1211" s="416"/>
      <c r="BU1211" s="416"/>
      <c r="BV1211" s="416"/>
      <c r="BZ1211" s="416"/>
      <c r="CA1211" s="416"/>
      <c r="CE1211" s="569"/>
      <c r="CF1211" s="569"/>
      <c r="CG1211" s="569"/>
      <c r="CH1211" s="569"/>
      <c r="JB1211" s="40" t="s">
        <v>850</v>
      </c>
    </row>
    <row r="1212" spans="1:262" s="83" customFormat="1" x14ac:dyDescent="0.25">
      <c r="A1212" s="83">
        <v>57</v>
      </c>
      <c r="B1212" s="84" t="s">
        <v>4022</v>
      </c>
      <c r="C1212" s="83" t="s">
        <v>835</v>
      </c>
      <c r="D1212" s="83" t="s">
        <v>836</v>
      </c>
      <c r="E1212" s="83">
        <v>1990</v>
      </c>
      <c r="F1212" s="83">
        <v>1981</v>
      </c>
      <c r="G1212" s="83" t="s">
        <v>840</v>
      </c>
      <c r="H1212" s="83" t="s">
        <v>837</v>
      </c>
      <c r="I1212" s="32" t="s">
        <v>2815</v>
      </c>
      <c r="J1212" s="83">
        <v>34.200000000000003</v>
      </c>
      <c r="K1212" s="83">
        <v>-90.58</v>
      </c>
      <c r="L1212" s="83">
        <v>55.3</v>
      </c>
      <c r="R1212" s="84" t="s">
        <v>1719</v>
      </c>
      <c r="S1212" s="84" t="s">
        <v>1927</v>
      </c>
      <c r="T1212" s="84" t="s">
        <v>876</v>
      </c>
      <c r="U1212" s="84" t="s">
        <v>1981</v>
      </c>
      <c r="V1212" s="84" t="s">
        <v>1409</v>
      </c>
      <c r="W1212" s="84" t="s">
        <v>1722</v>
      </c>
      <c r="X1212" s="84" t="s">
        <v>1382</v>
      </c>
      <c r="Y1212" s="84" t="s">
        <v>1382</v>
      </c>
      <c r="Z1212" s="83">
        <v>1.325</v>
      </c>
      <c r="AA1212" s="343"/>
      <c r="AB1212" s="343"/>
      <c r="AC1212" s="83" t="s">
        <v>450</v>
      </c>
      <c r="AG1212" s="83" t="s">
        <v>1346</v>
      </c>
      <c r="AH1212" s="83" t="s">
        <v>1518</v>
      </c>
      <c r="AI1212" s="138" t="s">
        <v>1582</v>
      </c>
      <c r="AJ1212" s="83" t="s">
        <v>584</v>
      </c>
      <c r="AK1212" s="140" t="s">
        <v>1646</v>
      </c>
      <c r="AT1212" s="83" t="s">
        <v>846</v>
      </c>
      <c r="AU1212" s="83" t="s">
        <v>846</v>
      </c>
      <c r="AV1212" s="83" t="s">
        <v>177</v>
      </c>
      <c r="AW1212" s="83" t="s">
        <v>160</v>
      </c>
      <c r="AX1212" s="83">
        <v>4</v>
      </c>
      <c r="AZ1212" s="83" t="s">
        <v>141</v>
      </c>
      <c r="BE1212" s="83" t="s">
        <v>838</v>
      </c>
      <c r="BK1212" s="83">
        <v>1944</v>
      </c>
      <c r="BL1212" s="83">
        <v>2947</v>
      </c>
      <c r="BP1212" s="418">
        <v>1.39</v>
      </c>
      <c r="BQ1212" s="418">
        <v>1.34</v>
      </c>
      <c r="BU1212" s="418">
        <v>1.1000000000000001</v>
      </c>
      <c r="BV1212" s="418">
        <v>0.9</v>
      </c>
      <c r="BY1212" s="83" t="s">
        <v>1673</v>
      </c>
      <c r="BZ1212" s="418"/>
      <c r="CA1212" s="418"/>
      <c r="CD1212" s="83" t="s">
        <v>1670</v>
      </c>
      <c r="CE1212" s="571">
        <v>1.1000000000000001</v>
      </c>
      <c r="CF1212" s="571">
        <v>0.9</v>
      </c>
      <c r="CG1212" s="571"/>
      <c r="CH1212" s="571"/>
      <c r="CI1212" s="83" t="s">
        <v>4541</v>
      </c>
      <c r="EM1212" s="83">
        <v>1.43</v>
      </c>
      <c r="EN1212" s="83">
        <v>5.13</v>
      </c>
      <c r="FQ1212" s="83">
        <f>0.299-0.087</f>
        <v>0.21199999999999999</v>
      </c>
      <c r="FR1212" s="83">
        <f>0.308-0.087</f>
        <v>0.221</v>
      </c>
      <c r="FU1212" s="83" t="s">
        <v>852</v>
      </c>
      <c r="JB1212" s="83" t="s">
        <v>850</v>
      </c>
    </row>
    <row r="1213" spans="1:262" s="40" customFormat="1" x14ac:dyDescent="0.25">
      <c r="A1213" s="40">
        <v>57</v>
      </c>
      <c r="B1213" s="71" t="s">
        <v>4022</v>
      </c>
      <c r="C1213" s="40" t="s">
        <v>835</v>
      </c>
      <c r="D1213" s="40" t="s">
        <v>836</v>
      </c>
      <c r="E1213" s="40">
        <v>1990</v>
      </c>
      <c r="F1213" s="40">
        <v>1981</v>
      </c>
      <c r="G1213" s="40" t="s">
        <v>840</v>
      </c>
      <c r="H1213" s="40" t="s">
        <v>837</v>
      </c>
      <c r="I1213" s="32" t="s">
        <v>2815</v>
      </c>
      <c r="J1213" s="40">
        <v>34.200000000000003</v>
      </c>
      <c r="K1213" s="40">
        <v>-90.58</v>
      </c>
      <c r="L1213" s="40">
        <v>55.3</v>
      </c>
      <c r="R1213" s="71" t="s">
        <v>1719</v>
      </c>
      <c r="S1213" s="71" t="s">
        <v>1927</v>
      </c>
      <c r="T1213" s="71" t="s">
        <v>876</v>
      </c>
      <c r="U1213" s="71" t="s">
        <v>1981</v>
      </c>
      <c r="V1213" s="71" t="s">
        <v>1382</v>
      </c>
      <c r="W1213" s="71" t="s">
        <v>1717</v>
      </c>
      <c r="X1213" s="71" t="s">
        <v>1382</v>
      </c>
      <c r="Y1213" s="71" t="s">
        <v>1382</v>
      </c>
      <c r="Z1213" s="40">
        <v>1.325</v>
      </c>
      <c r="AA1213" s="341"/>
      <c r="AB1213" s="341"/>
      <c r="AC1213" s="40" t="s">
        <v>450</v>
      </c>
      <c r="AG1213" s="40" t="s">
        <v>1346</v>
      </c>
      <c r="AH1213" s="40" t="s">
        <v>1519</v>
      </c>
      <c r="AI1213" s="138" t="s">
        <v>1582</v>
      </c>
      <c r="AJ1213" s="40" t="s">
        <v>584</v>
      </c>
      <c r="AK1213" s="140" t="s">
        <v>1646</v>
      </c>
      <c r="AT1213" s="40" t="s">
        <v>846</v>
      </c>
      <c r="AU1213" s="40" t="s">
        <v>846</v>
      </c>
      <c r="AV1213" s="40" t="s">
        <v>177</v>
      </c>
      <c r="AW1213" s="40" t="s">
        <v>160</v>
      </c>
      <c r="AX1213" s="40">
        <v>4</v>
      </c>
      <c r="AZ1213" s="40" t="s">
        <v>141</v>
      </c>
      <c r="BE1213" s="40" t="s">
        <v>838</v>
      </c>
      <c r="BK1213" s="40">
        <v>1944</v>
      </c>
      <c r="BL1213" s="40">
        <v>2395</v>
      </c>
      <c r="BP1213" s="416"/>
      <c r="BQ1213" s="416"/>
      <c r="BU1213" s="416"/>
      <c r="BV1213" s="416"/>
      <c r="BZ1213" s="416"/>
      <c r="CA1213" s="416"/>
      <c r="CE1213" s="569"/>
      <c r="CF1213" s="569"/>
      <c r="CG1213" s="569"/>
      <c r="CH1213" s="569"/>
      <c r="JB1213" s="40" t="s">
        <v>850</v>
      </c>
    </row>
    <row r="1214" spans="1:262" s="79" customFormat="1" x14ac:dyDescent="0.25">
      <c r="A1214" s="79">
        <v>57</v>
      </c>
      <c r="B1214" s="80" t="s">
        <v>4023</v>
      </c>
      <c r="C1214" s="79" t="s">
        <v>835</v>
      </c>
      <c r="D1214" s="79" t="s">
        <v>836</v>
      </c>
      <c r="E1214" s="79">
        <v>1990</v>
      </c>
      <c r="F1214" s="79">
        <v>1983</v>
      </c>
      <c r="G1214" s="79" t="s">
        <v>840</v>
      </c>
      <c r="H1214" s="79" t="s">
        <v>837</v>
      </c>
      <c r="I1214" s="32" t="s">
        <v>2815</v>
      </c>
      <c r="J1214" s="79">
        <v>34.200000000000003</v>
      </c>
      <c r="K1214" s="79">
        <v>-90.58</v>
      </c>
      <c r="L1214" s="79">
        <v>55.3</v>
      </c>
      <c r="R1214" s="80" t="s">
        <v>1931</v>
      </c>
      <c r="S1214" s="80" t="s">
        <v>1927</v>
      </c>
      <c r="T1214" s="80" t="s">
        <v>877</v>
      </c>
      <c r="U1214" s="80" t="s">
        <v>1981</v>
      </c>
      <c r="V1214" s="71" t="s">
        <v>1382</v>
      </c>
      <c r="W1214" s="71" t="s">
        <v>1717</v>
      </c>
      <c r="X1214" s="71" t="s">
        <v>1382</v>
      </c>
      <c r="Y1214" s="71" t="s">
        <v>1382</v>
      </c>
      <c r="Z1214" s="79">
        <v>1.325</v>
      </c>
      <c r="AA1214" s="342"/>
      <c r="AB1214" s="342"/>
      <c r="AC1214" s="79" t="s">
        <v>450</v>
      </c>
      <c r="AG1214" s="79" t="s">
        <v>1346</v>
      </c>
      <c r="AH1214" s="79" t="s">
        <v>243</v>
      </c>
      <c r="AI1214" s="138" t="s">
        <v>577</v>
      </c>
      <c r="AJ1214" s="79" t="s">
        <v>584</v>
      </c>
      <c r="AK1214" s="140" t="s">
        <v>1646</v>
      </c>
      <c r="AT1214" s="79" t="s">
        <v>847</v>
      </c>
      <c r="AU1214" s="79" t="s">
        <v>847</v>
      </c>
      <c r="AV1214" s="79" t="s">
        <v>177</v>
      </c>
      <c r="AW1214" s="79" t="s">
        <v>160</v>
      </c>
      <c r="AX1214" s="79">
        <v>4</v>
      </c>
      <c r="AZ1214" s="79" t="s">
        <v>141</v>
      </c>
      <c r="BB1214" s="79">
        <v>3117</v>
      </c>
      <c r="BE1214" s="79" t="s">
        <v>838</v>
      </c>
      <c r="BK1214" s="79">
        <v>2930</v>
      </c>
      <c r="BL1214" s="79">
        <v>3145</v>
      </c>
      <c r="BP1214" s="417"/>
      <c r="BQ1214" s="417"/>
      <c r="BU1214" s="417"/>
      <c r="BV1214" s="417"/>
      <c r="BZ1214" s="417"/>
      <c r="CA1214" s="417"/>
      <c r="CE1214" s="570"/>
      <c r="CF1214" s="570"/>
      <c r="CG1214" s="570"/>
      <c r="CH1214" s="570"/>
      <c r="JB1214" s="79" t="s">
        <v>850</v>
      </c>
    </row>
    <row r="1215" spans="1:262" s="79" customFormat="1" x14ac:dyDescent="0.25">
      <c r="A1215" s="79">
        <v>57</v>
      </c>
      <c r="B1215" s="80" t="s">
        <v>4024</v>
      </c>
      <c r="C1215" s="79" t="s">
        <v>835</v>
      </c>
      <c r="D1215" s="79" t="s">
        <v>836</v>
      </c>
      <c r="E1215" s="79">
        <v>1990</v>
      </c>
      <c r="F1215" s="79">
        <v>1983</v>
      </c>
      <c r="G1215" s="79" t="s">
        <v>840</v>
      </c>
      <c r="H1215" s="79" t="s">
        <v>837</v>
      </c>
      <c r="I1215" s="32" t="s">
        <v>2815</v>
      </c>
      <c r="J1215" s="79">
        <v>34.200000000000003</v>
      </c>
      <c r="K1215" s="79">
        <v>-90.58</v>
      </c>
      <c r="L1215" s="79">
        <v>55.3</v>
      </c>
      <c r="R1215" s="80" t="s">
        <v>1931</v>
      </c>
      <c r="S1215" s="80" t="s">
        <v>1927</v>
      </c>
      <c r="T1215" s="80" t="s">
        <v>877</v>
      </c>
      <c r="U1215" s="80" t="s">
        <v>1981</v>
      </c>
      <c r="V1215" s="71" t="s">
        <v>1382</v>
      </c>
      <c r="W1215" s="71" t="s">
        <v>1717</v>
      </c>
      <c r="X1215" s="71" t="s">
        <v>1382</v>
      </c>
      <c r="Y1215" s="71" t="s">
        <v>1382</v>
      </c>
      <c r="Z1215" s="79">
        <v>1.325</v>
      </c>
      <c r="AA1215" s="342"/>
      <c r="AB1215" s="342"/>
      <c r="AC1215" s="79" t="s">
        <v>450</v>
      </c>
      <c r="AG1215" s="79" t="s">
        <v>1346</v>
      </c>
      <c r="AH1215" s="79" t="s">
        <v>1518</v>
      </c>
      <c r="AI1215" s="138" t="s">
        <v>1582</v>
      </c>
      <c r="AJ1215" s="79" t="s">
        <v>584</v>
      </c>
      <c r="AK1215" s="140" t="s">
        <v>1646</v>
      </c>
      <c r="AT1215" s="79" t="s">
        <v>847</v>
      </c>
      <c r="AU1215" s="79" t="s">
        <v>847</v>
      </c>
      <c r="AV1215" s="79" t="s">
        <v>177</v>
      </c>
      <c r="AW1215" s="79" t="s">
        <v>160</v>
      </c>
      <c r="AX1215" s="79">
        <v>4</v>
      </c>
      <c r="AZ1215" s="79" t="s">
        <v>141</v>
      </c>
      <c r="BB1215" s="79">
        <v>2615</v>
      </c>
      <c r="BE1215" s="79" t="s">
        <v>838</v>
      </c>
      <c r="BK1215" s="79">
        <v>2930</v>
      </c>
      <c r="BL1215" s="79">
        <v>3156</v>
      </c>
      <c r="BP1215" s="417"/>
      <c r="BQ1215" s="417"/>
      <c r="BU1215" s="417"/>
      <c r="BV1215" s="417"/>
      <c r="BZ1215" s="417"/>
      <c r="CA1215" s="417"/>
      <c r="CE1215" s="570"/>
      <c r="CF1215" s="570"/>
      <c r="CG1215" s="570"/>
      <c r="CH1215" s="570"/>
      <c r="JB1215" s="79" t="s">
        <v>850</v>
      </c>
    </row>
    <row r="1216" spans="1:262" s="79" customFormat="1" x14ac:dyDescent="0.25">
      <c r="A1216" s="79">
        <v>57</v>
      </c>
      <c r="B1216" s="80" t="s">
        <v>4023</v>
      </c>
      <c r="C1216" s="79" t="s">
        <v>835</v>
      </c>
      <c r="D1216" s="79" t="s">
        <v>836</v>
      </c>
      <c r="E1216" s="79">
        <v>1990</v>
      </c>
      <c r="F1216" s="79">
        <v>1983</v>
      </c>
      <c r="G1216" s="79" t="s">
        <v>840</v>
      </c>
      <c r="H1216" s="79" t="s">
        <v>837</v>
      </c>
      <c r="I1216" s="32" t="s">
        <v>2815</v>
      </c>
      <c r="J1216" s="79">
        <v>34.200000000000003</v>
      </c>
      <c r="K1216" s="79">
        <v>-90.58</v>
      </c>
      <c r="L1216" s="79">
        <v>55.3</v>
      </c>
      <c r="R1216" s="80" t="s">
        <v>1931</v>
      </c>
      <c r="S1216" s="80" t="s">
        <v>1927</v>
      </c>
      <c r="T1216" s="80" t="s">
        <v>877</v>
      </c>
      <c r="U1216" s="80" t="s">
        <v>1981</v>
      </c>
      <c r="V1216" s="80" t="s">
        <v>1382</v>
      </c>
      <c r="W1216" s="71" t="s">
        <v>1717</v>
      </c>
      <c r="X1216" s="80" t="s">
        <v>1382</v>
      </c>
      <c r="Y1216" s="80" t="s">
        <v>1382</v>
      </c>
      <c r="Z1216" s="79">
        <v>1.325</v>
      </c>
      <c r="AA1216" s="342"/>
      <c r="AB1216" s="342"/>
      <c r="AC1216" s="79" t="s">
        <v>450</v>
      </c>
      <c r="AG1216" s="79" t="s">
        <v>1346</v>
      </c>
      <c r="AH1216" s="79" t="s">
        <v>1519</v>
      </c>
      <c r="AI1216" s="138" t="s">
        <v>1582</v>
      </c>
      <c r="AJ1216" s="79" t="s">
        <v>584</v>
      </c>
      <c r="AK1216" s="140" t="s">
        <v>1646</v>
      </c>
      <c r="AT1216" s="79" t="s">
        <v>847</v>
      </c>
      <c r="AU1216" s="79" t="s">
        <v>847</v>
      </c>
      <c r="AV1216" s="79" t="s">
        <v>177</v>
      </c>
      <c r="AW1216" s="79" t="s">
        <v>160</v>
      </c>
      <c r="AX1216" s="79">
        <v>4</v>
      </c>
      <c r="AZ1216" s="79" t="s">
        <v>141</v>
      </c>
      <c r="BB1216" s="79">
        <v>4054</v>
      </c>
      <c r="BE1216" s="79" t="s">
        <v>838</v>
      </c>
      <c r="BK1216" s="79">
        <v>2930</v>
      </c>
      <c r="BL1216" s="79">
        <v>3053</v>
      </c>
      <c r="BP1216" s="417"/>
      <c r="BQ1216" s="417"/>
      <c r="BU1216" s="417"/>
      <c r="BV1216" s="417"/>
      <c r="BZ1216" s="417"/>
      <c r="CA1216" s="417"/>
      <c r="CE1216" s="570"/>
      <c r="CF1216" s="570"/>
      <c r="CG1216" s="570"/>
      <c r="CH1216" s="570"/>
      <c r="JB1216" s="79" t="s">
        <v>850</v>
      </c>
    </row>
    <row r="1217" spans="1:264" s="32" customFormat="1" x14ac:dyDescent="0.25">
      <c r="A1217" s="32">
        <v>57</v>
      </c>
      <c r="B1217" s="44" t="s">
        <v>4023</v>
      </c>
      <c r="C1217" s="32" t="s">
        <v>835</v>
      </c>
      <c r="D1217" s="32" t="s">
        <v>836</v>
      </c>
      <c r="E1217" s="32">
        <v>1990</v>
      </c>
      <c r="F1217" s="32">
        <v>1984</v>
      </c>
      <c r="G1217" s="32" t="s">
        <v>840</v>
      </c>
      <c r="H1217" s="32" t="s">
        <v>837</v>
      </c>
      <c r="I1217" s="32" t="s">
        <v>2815</v>
      </c>
      <c r="J1217" s="32">
        <v>34.200000000000003</v>
      </c>
      <c r="K1217" s="32">
        <v>-90.58</v>
      </c>
      <c r="L1217" s="32">
        <v>55.3</v>
      </c>
      <c r="R1217" s="44" t="s">
        <v>1917</v>
      </c>
      <c r="S1217" s="44" t="s">
        <v>1927</v>
      </c>
      <c r="T1217" s="44" t="s">
        <v>878</v>
      </c>
      <c r="U1217" s="44" t="s">
        <v>1981</v>
      </c>
      <c r="V1217" s="44" t="s">
        <v>1382</v>
      </c>
      <c r="W1217" s="44" t="s">
        <v>1717</v>
      </c>
      <c r="X1217" s="44" t="s">
        <v>1382</v>
      </c>
      <c r="Y1217" s="44" t="s">
        <v>1382</v>
      </c>
      <c r="Z1217" s="32">
        <v>1.325</v>
      </c>
      <c r="AA1217" s="323"/>
      <c r="AB1217" s="323"/>
      <c r="AC1217" s="32" t="s">
        <v>450</v>
      </c>
      <c r="AG1217" s="32" t="s">
        <v>1346</v>
      </c>
      <c r="AH1217" s="32" t="s">
        <v>243</v>
      </c>
      <c r="AI1217" s="138" t="s">
        <v>577</v>
      </c>
      <c r="AJ1217" s="32" t="s">
        <v>584</v>
      </c>
      <c r="AK1217" s="140" t="s">
        <v>1646</v>
      </c>
      <c r="AT1217" s="32" t="s">
        <v>848</v>
      </c>
      <c r="AU1217" s="32" t="s">
        <v>848</v>
      </c>
      <c r="AV1217" s="32" t="s">
        <v>177</v>
      </c>
      <c r="AW1217" s="32" t="s">
        <v>160</v>
      </c>
      <c r="AX1217" s="32">
        <v>4</v>
      </c>
      <c r="AZ1217" s="32" t="s">
        <v>141</v>
      </c>
      <c r="BE1217" s="32" t="s">
        <v>838</v>
      </c>
      <c r="BK1217" s="32">
        <v>2012</v>
      </c>
      <c r="BL1217" s="32">
        <v>2461</v>
      </c>
      <c r="BP1217" s="397"/>
      <c r="BQ1217" s="397"/>
      <c r="BU1217" s="397"/>
      <c r="BV1217" s="397"/>
      <c r="BZ1217" s="397"/>
      <c r="CA1217" s="397"/>
      <c r="CE1217" s="550"/>
      <c r="CF1217" s="550"/>
      <c r="CG1217" s="550"/>
      <c r="CH1217" s="550"/>
      <c r="JB1217" s="32" t="s">
        <v>850</v>
      </c>
    </row>
    <row r="1218" spans="1:264" s="32" customFormat="1" x14ac:dyDescent="0.25">
      <c r="A1218" s="32">
        <v>57</v>
      </c>
      <c r="B1218" s="44" t="s">
        <v>4024</v>
      </c>
      <c r="C1218" s="32" t="s">
        <v>835</v>
      </c>
      <c r="D1218" s="32" t="s">
        <v>836</v>
      </c>
      <c r="E1218" s="32">
        <v>1990</v>
      </c>
      <c r="F1218" s="32">
        <v>1984</v>
      </c>
      <c r="G1218" s="32" t="s">
        <v>840</v>
      </c>
      <c r="H1218" s="32" t="s">
        <v>837</v>
      </c>
      <c r="I1218" s="32" t="s">
        <v>2815</v>
      </c>
      <c r="J1218" s="32">
        <v>34.200000000000003</v>
      </c>
      <c r="K1218" s="32">
        <v>-90.58</v>
      </c>
      <c r="L1218" s="32">
        <v>55.3</v>
      </c>
      <c r="R1218" s="44" t="s">
        <v>1917</v>
      </c>
      <c r="S1218" s="44" t="s">
        <v>1927</v>
      </c>
      <c r="T1218" s="44" t="s">
        <v>878</v>
      </c>
      <c r="U1218" s="44" t="s">
        <v>1981</v>
      </c>
      <c r="V1218" s="44" t="s">
        <v>1382</v>
      </c>
      <c r="W1218" s="44" t="s">
        <v>1717</v>
      </c>
      <c r="X1218" s="44" t="s">
        <v>1382</v>
      </c>
      <c r="Y1218" s="44" t="s">
        <v>1382</v>
      </c>
      <c r="Z1218" s="32">
        <v>1.325</v>
      </c>
      <c r="AA1218" s="323"/>
      <c r="AB1218" s="323"/>
      <c r="AC1218" s="32" t="s">
        <v>450</v>
      </c>
      <c r="AG1218" s="32" t="s">
        <v>1346</v>
      </c>
      <c r="AH1218" s="32" t="s">
        <v>1518</v>
      </c>
      <c r="AI1218" s="138" t="s">
        <v>1582</v>
      </c>
      <c r="AJ1218" s="32" t="s">
        <v>584</v>
      </c>
      <c r="AK1218" s="140" t="s">
        <v>1646</v>
      </c>
      <c r="AT1218" s="32" t="s">
        <v>848</v>
      </c>
      <c r="AU1218" s="32" t="s">
        <v>848</v>
      </c>
      <c r="AV1218" s="32" t="s">
        <v>177</v>
      </c>
      <c r="AW1218" s="32" t="s">
        <v>160</v>
      </c>
      <c r="AX1218" s="32">
        <v>4</v>
      </c>
      <c r="AZ1218" s="32" t="s">
        <v>141</v>
      </c>
      <c r="BE1218" s="32" t="s">
        <v>838</v>
      </c>
      <c r="BK1218" s="32">
        <v>2012</v>
      </c>
      <c r="BL1218" s="32">
        <v>2581</v>
      </c>
      <c r="BP1218" s="397"/>
      <c r="BQ1218" s="397"/>
      <c r="BU1218" s="397"/>
      <c r="BV1218" s="397"/>
      <c r="BZ1218" s="397"/>
      <c r="CA1218" s="397"/>
      <c r="CE1218" s="550"/>
      <c r="CF1218" s="550"/>
      <c r="CG1218" s="550"/>
      <c r="CH1218" s="550"/>
      <c r="JB1218" s="32" t="s">
        <v>850</v>
      </c>
    </row>
    <row r="1219" spans="1:264" s="32" customFormat="1" x14ac:dyDescent="0.25">
      <c r="A1219" s="32">
        <v>57</v>
      </c>
      <c r="B1219" s="44" t="s">
        <v>4023</v>
      </c>
      <c r="C1219" s="32" t="s">
        <v>835</v>
      </c>
      <c r="D1219" s="32" t="s">
        <v>836</v>
      </c>
      <c r="E1219" s="32">
        <v>1990</v>
      </c>
      <c r="F1219" s="32">
        <v>1984</v>
      </c>
      <c r="G1219" s="32" t="s">
        <v>840</v>
      </c>
      <c r="H1219" s="32" t="s">
        <v>837</v>
      </c>
      <c r="I1219" s="32" t="s">
        <v>2815</v>
      </c>
      <c r="J1219" s="32">
        <v>34.200000000000003</v>
      </c>
      <c r="K1219" s="32">
        <v>-90.58</v>
      </c>
      <c r="L1219" s="32">
        <v>55.3</v>
      </c>
      <c r="R1219" s="44" t="s">
        <v>1917</v>
      </c>
      <c r="S1219" s="44" t="s">
        <v>1927</v>
      </c>
      <c r="T1219" s="44" t="s">
        <v>878</v>
      </c>
      <c r="U1219" s="44" t="s">
        <v>1981</v>
      </c>
      <c r="V1219" s="44" t="s">
        <v>1382</v>
      </c>
      <c r="W1219" s="44" t="s">
        <v>1717</v>
      </c>
      <c r="X1219" s="44" t="s">
        <v>1382</v>
      </c>
      <c r="Y1219" s="44" t="s">
        <v>1382</v>
      </c>
      <c r="Z1219" s="32">
        <v>1.325</v>
      </c>
      <c r="AA1219" s="323"/>
      <c r="AB1219" s="323"/>
      <c r="AC1219" s="32" t="s">
        <v>450</v>
      </c>
      <c r="AG1219" s="32" t="s">
        <v>1346</v>
      </c>
      <c r="AH1219" s="32" t="s">
        <v>1519</v>
      </c>
      <c r="AI1219" s="138" t="s">
        <v>1582</v>
      </c>
      <c r="AJ1219" s="32" t="s">
        <v>584</v>
      </c>
      <c r="AK1219" s="140" t="s">
        <v>1646</v>
      </c>
      <c r="AT1219" s="32" t="s">
        <v>848</v>
      </c>
      <c r="AU1219" s="32" t="s">
        <v>848</v>
      </c>
      <c r="AV1219" s="32" t="s">
        <v>177</v>
      </c>
      <c r="AW1219" s="32" t="s">
        <v>160</v>
      </c>
      <c r="AX1219" s="32">
        <v>4</v>
      </c>
      <c r="AZ1219" s="32" t="s">
        <v>141</v>
      </c>
      <c r="BE1219" s="32" t="s">
        <v>838</v>
      </c>
      <c r="BK1219" s="32">
        <v>2012</v>
      </c>
      <c r="BL1219" s="32">
        <v>2389</v>
      </c>
      <c r="BP1219" s="397"/>
      <c r="BQ1219" s="397"/>
      <c r="BU1219" s="397"/>
      <c r="BV1219" s="397"/>
      <c r="BZ1219" s="397"/>
      <c r="CA1219" s="397"/>
      <c r="CE1219" s="550"/>
      <c r="CF1219" s="550"/>
      <c r="CG1219" s="550"/>
      <c r="CH1219" s="550"/>
      <c r="JB1219" s="32" t="s">
        <v>850</v>
      </c>
    </row>
    <row r="1220" spans="1:264" s="79" customFormat="1" x14ac:dyDescent="0.25">
      <c r="A1220" s="79">
        <v>57</v>
      </c>
      <c r="B1220" s="80" t="s">
        <v>4023</v>
      </c>
      <c r="C1220" s="79" t="s">
        <v>835</v>
      </c>
      <c r="D1220" s="79" t="s">
        <v>836</v>
      </c>
      <c r="E1220" s="79">
        <v>1990</v>
      </c>
      <c r="F1220" s="79">
        <v>1985</v>
      </c>
      <c r="G1220" s="79" t="s">
        <v>840</v>
      </c>
      <c r="H1220" s="79" t="s">
        <v>837</v>
      </c>
      <c r="I1220" s="32" t="s">
        <v>2815</v>
      </c>
      <c r="J1220" s="79">
        <v>34.200000000000003</v>
      </c>
      <c r="K1220" s="79">
        <v>-90.58</v>
      </c>
      <c r="L1220" s="79">
        <v>55.3</v>
      </c>
      <c r="R1220" s="80" t="s">
        <v>1954</v>
      </c>
      <c r="S1220" s="80" t="s">
        <v>1927</v>
      </c>
      <c r="T1220" s="80" t="s">
        <v>879</v>
      </c>
      <c r="U1220" s="80" t="s">
        <v>1981</v>
      </c>
      <c r="V1220" s="80" t="s">
        <v>1382</v>
      </c>
      <c r="W1220" s="80" t="s">
        <v>1717</v>
      </c>
      <c r="X1220" s="80" t="s">
        <v>1382</v>
      </c>
      <c r="Y1220" s="80" t="s">
        <v>1382</v>
      </c>
      <c r="Z1220" s="79">
        <v>1.325</v>
      </c>
      <c r="AA1220" s="342"/>
      <c r="AB1220" s="342"/>
      <c r="AC1220" s="79" t="s">
        <v>450</v>
      </c>
      <c r="AG1220" s="79" t="s">
        <v>1346</v>
      </c>
      <c r="AH1220" s="79" t="s">
        <v>243</v>
      </c>
      <c r="AI1220" s="138" t="s">
        <v>577</v>
      </c>
      <c r="AJ1220" s="79" t="s">
        <v>584</v>
      </c>
      <c r="AK1220" s="140" t="s">
        <v>1646</v>
      </c>
      <c r="AT1220" s="79" t="s">
        <v>848</v>
      </c>
      <c r="AU1220" s="79" t="s">
        <v>848</v>
      </c>
      <c r="AV1220" s="79" t="s">
        <v>177</v>
      </c>
      <c r="AW1220" s="79" t="s">
        <v>160</v>
      </c>
      <c r="AX1220" s="79">
        <v>4</v>
      </c>
      <c r="AZ1220" s="79" t="s">
        <v>141</v>
      </c>
      <c r="BB1220" s="79">
        <v>2100</v>
      </c>
      <c r="BE1220" s="79" t="s">
        <v>838</v>
      </c>
      <c r="BK1220" s="79">
        <v>3471</v>
      </c>
      <c r="BL1220" s="79">
        <v>3693</v>
      </c>
      <c r="BP1220" s="417"/>
      <c r="BQ1220" s="417"/>
      <c r="BU1220" s="417"/>
      <c r="BV1220" s="417"/>
      <c r="BZ1220" s="417"/>
      <c r="CA1220" s="417"/>
      <c r="CE1220" s="570"/>
      <c r="CF1220" s="570"/>
      <c r="CG1220" s="570"/>
      <c r="CH1220" s="570"/>
      <c r="JB1220" s="79" t="s">
        <v>850</v>
      </c>
    </row>
    <row r="1221" spans="1:264" s="79" customFormat="1" x14ac:dyDescent="0.25">
      <c r="A1221" s="79">
        <v>57</v>
      </c>
      <c r="B1221" s="80" t="s">
        <v>4024</v>
      </c>
      <c r="C1221" s="79" t="s">
        <v>835</v>
      </c>
      <c r="D1221" s="79" t="s">
        <v>836</v>
      </c>
      <c r="E1221" s="79">
        <v>1990</v>
      </c>
      <c r="F1221" s="79">
        <v>1985</v>
      </c>
      <c r="G1221" s="79" t="s">
        <v>840</v>
      </c>
      <c r="H1221" s="79" t="s">
        <v>837</v>
      </c>
      <c r="I1221" s="32" t="s">
        <v>2815</v>
      </c>
      <c r="J1221" s="79">
        <v>34.200000000000003</v>
      </c>
      <c r="K1221" s="79">
        <v>-90.58</v>
      </c>
      <c r="L1221" s="79">
        <v>55.3</v>
      </c>
      <c r="R1221" s="80" t="s">
        <v>1954</v>
      </c>
      <c r="S1221" s="80" t="s">
        <v>1927</v>
      </c>
      <c r="T1221" s="80" t="s">
        <v>879</v>
      </c>
      <c r="U1221" s="80" t="s">
        <v>1981</v>
      </c>
      <c r="V1221" s="80" t="s">
        <v>1382</v>
      </c>
      <c r="W1221" s="80" t="s">
        <v>1717</v>
      </c>
      <c r="X1221" s="80" t="s">
        <v>1382</v>
      </c>
      <c r="Y1221" s="80" t="s">
        <v>1382</v>
      </c>
      <c r="Z1221" s="79">
        <v>1.325</v>
      </c>
      <c r="AA1221" s="342"/>
      <c r="AB1221" s="342"/>
      <c r="AC1221" s="79" t="s">
        <v>450</v>
      </c>
      <c r="AG1221" s="79" t="s">
        <v>1346</v>
      </c>
      <c r="AH1221" s="79" t="s">
        <v>1518</v>
      </c>
      <c r="AI1221" s="138" t="s">
        <v>1582</v>
      </c>
      <c r="AJ1221" s="79" t="s">
        <v>584</v>
      </c>
      <c r="AK1221" s="140" t="s">
        <v>1646</v>
      </c>
      <c r="AT1221" s="79" t="s">
        <v>848</v>
      </c>
      <c r="AU1221" s="79" t="s">
        <v>848</v>
      </c>
      <c r="AV1221" s="79" t="s">
        <v>177</v>
      </c>
      <c r="AW1221" s="79" t="s">
        <v>160</v>
      </c>
      <c r="AX1221" s="79">
        <v>4</v>
      </c>
      <c r="AZ1221" s="79" t="s">
        <v>141</v>
      </c>
      <c r="BB1221" s="79">
        <v>1999</v>
      </c>
      <c r="BE1221" s="79" t="s">
        <v>838</v>
      </c>
      <c r="BK1221" s="79">
        <v>3471</v>
      </c>
      <c r="BL1221" s="79">
        <v>3845</v>
      </c>
      <c r="BP1221" s="417"/>
      <c r="BQ1221" s="417"/>
      <c r="BU1221" s="417"/>
      <c r="BV1221" s="417"/>
      <c r="BZ1221" s="417"/>
      <c r="CA1221" s="417"/>
      <c r="CE1221" s="570"/>
      <c r="CF1221" s="570"/>
      <c r="CG1221" s="570"/>
      <c r="CH1221" s="570"/>
      <c r="JB1221" s="79" t="s">
        <v>850</v>
      </c>
    </row>
    <row r="1222" spans="1:264" s="79" customFormat="1" x14ac:dyDescent="0.25">
      <c r="A1222" s="79">
        <v>57</v>
      </c>
      <c r="B1222" s="80" t="s">
        <v>4023</v>
      </c>
      <c r="C1222" s="79" t="s">
        <v>835</v>
      </c>
      <c r="D1222" s="79" t="s">
        <v>836</v>
      </c>
      <c r="E1222" s="79">
        <v>1990</v>
      </c>
      <c r="F1222" s="79">
        <v>1985</v>
      </c>
      <c r="G1222" s="79" t="s">
        <v>840</v>
      </c>
      <c r="H1222" s="79" t="s">
        <v>837</v>
      </c>
      <c r="I1222" s="32" t="s">
        <v>2815</v>
      </c>
      <c r="J1222" s="79">
        <v>34.200000000000003</v>
      </c>
      <c r="K1222" s="79">
        <v>-90.58</v>
      </c>
      <c r="L1222" s="79">
        <v>55.3</v>
      </c>
      <c r="R1222" s="80" t="s">
        <v>1954</v>
      </c>
      <c r="S1222" s="80" t="s">
        <v>1927</v>
      </c>
      <c r="T1222" s="80" t="s">
        <v>879</v>
      </c>
      <c r="U1222" s="80" t="s">
        <v>1981</v>
      </c>
      <c r="V1222" s="80" t="s">
        <v>1382</v>
      </c>
      <c r="W1222" s="80" t="s">
        <v>1717</v>
      </c>
      <c r="X1222" s="80" t="s">
        <v>1382</v>
      </c>
      <c r="Y1222" s="80" t="s">
        <v>1382</v>
      </c>
      <c r="Z1222" s="79">
        <v>1.325</v>
      </c>
      <c r="AA1222" s="342"/>
      <c r="AB1222" s="342"/>
      <c r="AC1222" s="79" t="s">
        <v>450</v>
      </c>
      <c r="AG1222" s="79" t="s">
        <v>1346</v>
      </c>
      <c r="AH1222" s="79" t="s">
        <v>1519</v>
      </c>
      <c r="AI1222" s="138" t="s">
        <v>1582</v>
      </c>
      <c r="AJ1222" s="79" t="s">
        <v>584</v>
      </c>
      <c r="AK1222" s="140" t="s">
        <v>1646</v>
      </c>
      <c r="AT1222" s="79" t="s">
        <v>848</v>
      </c>
      <c r="AU1222" s="79" t="s">
        <v>848</v>
      </c>
      <c r="AV1222" s="79" t="s">
        <v>177</v>
      </c>
      <c r="AW1222" s="79" t="s">
        <v>160</v>
      </c>
      <c r="AX1222" s="79">
        <v>4</v>
      </c>
      <c r="AZ1222" s="79" t="s">
        <v>141</v>
      </c>
      <c r="BB1222" s="79">
        <v>3151</v>
      </c>
      <c r="BE1222" s="79" t="s">
        <v>838</v>
      </c>
      <c r="BK1222" s="79">
        <v>3471</v>
      </c>
      <c r="BL1222" s="79">
        <v>3666</v>
      </c>
      <c r="BP1222" s="417"/>
      <c r="BQ1222" s="417"/>
      <c r="BU1222" s="417"/>
      <c r="BV1222" s="417"/>
      <c r="BZ1222" s="417"/>
      <c r="CA1222" s="417"/>
      <c r="CE1222" s="570"/>
      <c r="CF1222" s="570"/>
      <c r="CG1222" s="570"/>
      <c r="CH1222" s="570"/>
      <c r="JB1222" s="79" t="s">
        <v>850</v>
      </c>
    </row>
    <row r="1223" spans="1:264" s="32" customFormat="1" x14ac:dyDescent="0.25">
      <c r="A1223" s="32">
        <v>57</v>
      </c>
      <c r="B1223" s="44" t="s">
        <v>4023</v>
      </c>
      <c r="C1223" s="32" t="s">
        <v>835</v>
      </c>
      <c r="D1223" s="32" t="s">
        <v>836</v>
      </c>
      <c r="E1223" s="32">
        <v>1990</v>
      </c>
      <c r="F1223" s="32">
        <v>1986</v>
      </c>
      <c r="G1223" s="32" t="s">
        <v>840</v>
      </c>
      <c r="H1223" s="32" t="s">
        <v>837</v>
      </c>
      <c r="I1223" s="32" t="s">
        <v>2815</v>
      </c>
      <c r="J1223" s="32">
        <v>34.200000000000003</v>
      </c>
      <c r="K1223" s="32">
        <v>-90.58</v>
      </c>
      <c r="L1223" s="32">
        <v>55.3</v>
      </c>
      <c r="R1223" s="44" t="s">
        <v>1717</v>
      </c>
      <c r="S1223" s="44" t="s">
        <v>1927</v>
      </c>
      <c r="T1223" s="44" t="s">
        <v>867</v>
      </c>
      <c r="U1223" s="44" t="s">
        <v>1981</v>
      </c>
      <c r="V1223" s="44" t="s">
        <v>1382</v>
      </c>
      <c r="W1223" s="44" t="s">
        <v>1717</v>
      </c>
      <c r="X1223" s="44" t="s">
        <v>1382</v>
      </c>
      <c r="Y1223" s="44" t="s">
        <v>1382</v>
      </c>
      <c r="Z1223" s="32">
        <v>1.325</v>
      </c>
      <c r="AA1223" s="323"/>
      <c r="AB1223" s="323"/>
      <c r="AC1223" s="32" t="s">
        <v>450</v>
      </c>
      <c r="AG1223" s="32" t="s">
        <v>1346</v>
      </c>
      <c r="AH1223" s="32" t="s">
        <v>243</v>
      </c>
      <c r="AI1223" s="138" t="s">
        <v>577</v>
      </c>
      <c r="AJ1223" s="32" t="s">
        <v>584</v>
      </c>
      <c r="AK1223" s="140" t="s">
        <v>1646</v>
      </c>
      <c r="AT1223" s="32" t="s">
        <v>843</v>
      </c>
      <c r="AU1223" s="32" t="s">
        <v>843</v>
      </c>
      <c r="AV1223" s="32" t="s">
        <v>177</v>
      </c>
      <c r="AW1223" s="32" t="s">
        <v>160</v>
      </c>
      <c r="AX1223" s="32">
        <v>4</v>
      </c>
      <c r="AZ1223" s="32" t="s">
        <v>141</v>
      </c>
      <c r="BE1223" s="32" t="s">
        <v>838</v>
      </c>
      <c r="BK1223" s="32">
        <v>2664</v>
      </c>
      <c r="BL1223" s="32">
        <v>2351</v>
      </c>
      <c r="BP1223" s="397"/>
      <c r="BQ1223" s="397"/>
      <c r="BU1223" s="397"/>
      <c r="BV1223" s="397"/>
      <c r="BZ1223" s="397"/>
      <c r="CA1223" s="397"/>
      <c r="CE1223" s="550"/>
      <c r="CF1223" s="550"/>
      <c r="CG1223" s="550"/>
      <c r="CH1223" s="550"/>
      <c r="JB1223" s="32" t="s">
        <v>850</v>
      </c>
    </row>
    <row r="1224" spans="1:264" s="32" customFormat="1" x14ac:dyDescent="0.25">
      <c r="A1224" s="32">
        <v>57</v>
      </c>
      <c r="B1224" s="44" t="s">
        <v>4024</v>
      </c>
      <c r="C1224" s="32" t="s">
        <v>835</v>
      </c>
      <c r="D1224" s="32" t="s">
        <v>836</v>
      </c>
      <c r="E1224" s="32">
        <v>1990</v>
      </c>
      <c r="F1224" s="32">
        <v>1986</v>
      </c>
      <c r="G1224" s="32" t="s">
        <v>840</v>
      </c>
      <c r="H1224" s="32" t="s">
        <v>837</v>
      </c>
      <c r="I1224" s="32" t="s">
        <v>2815</v>
      </c>
      <c r="J1224" s="32">
        <v>34.200000000000003</v>
      </c>
      <c r="K1224" s="32">
        <v>-90.58</v>
      </c>
      <c r="L1224" s="32">
        <v>55.3</v>
      </c>
      <c r="R1224" s="44" t="s">
        <v>1717</v>
      </c>
      <c r="S1224" s="44" t="s">
        <v>1927</v>
      </c>
      <c r="T1224" s="44" t="s">
        <v>867</v>
      </c>
      <c r="U1224" s="44" t="s">
        <v>1981</v>
      </c>
      <c r="V1224" s="44" t="s">
        <v>1382</v>
      </c>
      <c r="W1224" s="44" t="s">
        <v>1717</v>
      </c>
      <c r="X1224" s="44" t="s">
        <v>1382</v>
      </c>
      <c r="Y1224" s="44" t="s">
        <v>1382</v>
      </c>
      <c r="Z1224" s="32">
        <v>1.325</v>
      </c>
      <c r="AA1224" s="323"/>
      <c r="AB1224" s="323"/>
      <c r="AC1224" s="32" t="s">
        <v>450</v>
      </c>
      <c r="AG1224" s="32" t="s">
        <v>1346</v>
      </c>
      <c r="AH1224" s="32" t="s">
        <v>1518</v>
      </c>
      <c r="AI1224" s="138" t="s">
        <v>1582</v>
      </c>
      <c r="AJ1224" s="32" t="s">
        <v>584</v>
      </c>
      <c r="AK1224" s="140" t="s">
        <v>1646</v>
      </c>
      <c r="AT1224" s="32" t="s">
        <v>843</v>
      </c>
      <c r="AU1224" s="32" t="s">
        <v>843</v>
      </c>
      <c r="AV1224" s="32" t="s">
        <v>177</v>
      </c>
      <c r="AW1224" s="32" t="s">
        <v>160</v>
      </c>
      <c r="AX1224" s="32">
        <v>4</v>
      </c>
      <c r="AZ1224" s="32" t="s">
        <v>141</v>
      </c>
      <c r="BE1224" s="32" t="s">
        <v>838</v>
      </c>
      <c r="BK1224" s="32">
        <v>2664</v>
      </c>
      <c r="BL1224" s="32">
        <v>2610</v>
      </c>
      <c r="BP1224" s="397"/>
      <c r="BQ1224" s="397"/>
      <c r="BU1224" s="397"/>
      <c r="BV1224" s="397"/>
      <c r="BZ1224" s="397"/>
      <c r="CA1224" s="397"/>
      <c r="CE1224" s="550"/>
      <c r="CF1224" s="550"/>
      <c r="CG1224" s="550"/>
      <c r="CH1224" s="550"/>
      <c r="JB1224" s="32" t="s">
        <v>850</v>
      </c>
    </row>
    <row r="1225" spans="1:264" s="32" customFormat="1" x14ac:dyDescent="0.25">
      <c r="A1225" s="32">
        <v>57</v>
      </c>
      <c r="B1225" s="44" t="s">
        <v>4023</v>
      </c>
      <c r="C1225" s="32" t="s">
        <v>835</v>
      </c>
      <c r="D1225" s="32" t="s">
        <v>836</v>
      </c>
      <c r="E1225" s="32">
        <v>1990</v>
      </c>
      <c r="F1225" s="32">
        <v>1986</v>
      </c>
      <c r="G1225" s="32" t="s">
        <v>840</v>
      </c>
      <c r="H1225" s="32" t="s">
        <v>837</v>
      </c>
      <c r="I1225" s="32" t="s">
        <v>2815</v>
      </c>
      <c r="J1225" s="32">
        <v>34.200000000000003</v>
      </c>
      <c r="K1225" s="32">
        <v>-90.58</v>
      </c>
      <c r="L1225" s="32">
        <v>55.3</v>
      </c>
      <c r="R1225" s="44" t="s">
        <v>1717</v>
      </c>
      <c r="S1225" s="44" t="s">
        <v>1927</v>
      </c>
      <c r="T1225" s="44" t="s">
        <v>867</v>
      </c>
      <c r="U1225" s="44" t="s">
        <v>1981</v>
      </c>
      <c r="V1225" s="44" t="s">
        <v>1382</v>
      </c>
      <c r="W1225" s="44" t="s">
        <v>1717</v>
      </c>
      <c r="X1225" s="44" t="s">
        <v>1382</v>
      </c>
      <c r="Y1225" s="44" t="s">
        <v>1382</v>
      </c>
      <c r="Z1225" s="32">
        <v>1.325</v>
      </c>
      <c r="AA1225" s="323"/>
      <c r="AB1225" s="323"/>
      <c r="AC1225" s="32" t="s">
        <v>450</v>
      </c>
      <c r="AG1225" s="32" t="s">
        <v>1346</v>
      </c>
      <c r="AH1225" s="32" t="s">
        <v>1519</v>
      </c>
      <c r="AI1225" s="138" t="s">
        <v>1582</v>
      </c>
      <c r="AJ1225" s="32" t="s">
        <v>584</v>
      </c>
      <c r="AK1225" s="140" t="s">
        <v>1646</v>
      </c>
      <c r="AT1225" s="32" t="s">
        <v>843</v>
      </c>
      <c r="AU1225" s="32" t="s">
        <v>843</v>
      </c>
      <c r="AV1225" s="32" t="s">
        <v>177</v>
      </c>
      <c r="AW1225" s="32" t="s">
        <v>160</v>
      </c>
      <c r="AX1225" s="32">
        <v>4</v>
      </c>
      <c r="AZ1225" s="32" t="s">
        <v>141</v>
      </c>
      <c r="BE1225" s="32" t="s">
        <v>838</v>
      </c>
      <c r="BK1225" s="32">
        <v>2664</v>
      </c>
      <c r="BL1225" s="32">
        <v>2260</v>
      </c>
      <c r="BP1225" s="397"/>
      <c r="BQ1225" s="397"/>
      <c r="BU1225" s="397"/>
      <c r="BV1225" s="397"/>
      <c r="BZ1225" s="397"/>
      <c r="CA1225" s="397"/>
      <c r="CE1225" s="550"/>
      <c r="CF1225" s="550"/>
      <c r="CG1225" s="550"/>
      <c r="CH1225" s="550"/>
      <c r="JB1225" s="32" t="s">
        <v>850</v>
      </c>
    </row>
    <row r="1226" spans="1:264" s="40" customFormat="1" x14ac:dyDescent="0.25">
      <c r="A1226" s="40">
        <v>57</v>
      </c>
      <c r="B1226" s="80" t="s">
        <v>4023</v>
      </c>
      <c r="C1226" s="40" t="s">
        <v>835</v>
      </c>
      <c r="D1226" s="40" t="s">
        <v>836</v>
      </c>
      <c r="E1226" s="40">
        <v>1990</v>
      </c>
      <c r="F1226" s="40">
        <v>1987</v>
      </c>
      <c r="G1226" s="40" t="s">
        <v>840</v>
      </c>
      <c r="H1226" s="40" t="s">
        <v>837</v>
      </c>
      <c r="I1226" s="32" t="s">
        <v>2815</v>
      </c>
      <c r="J1226" s="40">
        <v>34.200000000000003</v>
      </c>
      <c r="K1226" s="40">
        <v>-90.58</v>
      </c>
      <c r="L1226" s="40">
        <v>55.3</v>
      </c>
      <c r="R1226" s="71" t="s">
        <v>1929</v>
      </c>
      <c r="S1226" s="71" t="s">
        <v>1927</v>
      </c>
      <c r="T1226" s="71" t="s">
        <v>875</v>
      </c>
      <c r="U1226" s="71" t="s">
        <v>1981</v>
      </c>
      <c r="V1226" s="71" t="s">
        <v>1382</v>
      </c>
      <c r="W1226" s="80" t="s">
        <v>1717</v>
      </c>
      <c r="X1226" s="71" t="s">
        <v>1382</v>
      </c>
      <c r="Y1226" s="71" t="s">
        <v>1382</v>
      </c>
      <c r="Z1226" s="40">
        <v>1.325</v>
      </c>
      <c r="AA1226" s="341"/>
      <c r="AB1226" s="341"/>
      <c r="AC1226" s="40" t="s">
        <v>450</v>
      </c>
      <c r="AG1226" s="79" t="s">
        <v>1346</v>
      </c>
      <c r="AH1226" s="40" t="s">
        <v>243</v>
      </c>
      <c r="AI1226" s="138" t="s">
        <v>577</v>
      </c>
      <c r="AJ1226" s="40" t="s">
        <v>584</v>
      </c>
      <c r="AK1226" s="140" t="s">
        <v>1646</v>
      </c>
      <c r="AT1226" s="40" t="s">
        <v>843</v>
      </c>
      <c r="AU1226" s="40" t="s">
        <v>843</v>
      </c>
      <c r="AV1226" s="40" t="s">
        <v>177</v>
      </c>
      <c r="AW1226" s="40" t="s">
        <v>160</v>
      </c>
      <c r="AX1226" s="40">
        <v>4</v>
      </c>
      <c r="AZ1226" s="40" t="s">
        <v>141</v>
      </c>
      <c r="BE1226" s="40" t="s">
        <v>838</v>
      </c>
      <c r="BK1226" s="40">
        <v>2490</v>
      </c>
      <c r="BL1226" s="40">
        <v>2781</v>
      </c>
      <c r="BP1226" s="416"/>
      <c r="BQ1226" s="416"/>
      <c r="BU1226" s="416"/>
      <c r="BV1226" s="416"/>
      <c r="BZ1226" s="416"/>
      <c r="CA1226" s="416"/>
      <c r="CE1226" s="569"/>
      <c r="CF1226" s="569"/>
      <c r="CG1226" s="569"/>
      <c r="CH1226" s="569"/>
      <c r="JB1226" s="40" t="s">
        <v>850</v>
      </c>
    </row>
    <row r="1227" spans="1:264" s="40" customFormat="1" x14ac:dyDescent="0.25">
      <c r="A1227" s="40">
        <v>57</v>
      </c>
      <c r="B1227" s="80" t="s">
        <v>4024</v>
      </c>
      <c r="C1227" s="40" t="s">
        <v>835</v>
      </c>
      <c r="D1227" s="40" t="s">
        <v>836</v>
      </c>
      <c r="E1227" s="40">
        <v>1990</v>
      </c>
      <c r="F1227" s="40">
        <v>1987</v>
      </c>
      <c r="G1227" s="40" t="s">
        <v>840</v>
      </c>
      <c r="H1227" s="40" t="s">
        <v>837</v>
      </c>
      <c r="I1227" s="32" t="s">
        <v>2815</v>
      </c>
      <c r="J1227" s="40">
        <v>34.200000000000003</v>
      </c>
      <c r="K1227" s="40">
        <v>-90.58</v>
      </c>
      <c r="L1227" s="40">
        <v>55.3</v>
      </c>
      <c r="R1227" s="71" t="s">
        <v>1929</v>
      </c>
      <c r="S1227" s="71" t="s">
        <v>1927</v>
      </c>
      <c r="T1227" s="71" t="s">
        <v>875</v>
      </c>
      <c r="U1227" s="71" t="s">
        <v>1981</v>
      </c>
      <c r="V1227" s="71" t="s">
        <v>1382</v>
      </c>
      <c r="W1227" s="80" t="s">
        <v>1717</v>
      </c>
      <c r="X1227" s="71" t="s">
        <v>1382</v>
      </c>
      <c r="Y1227" s="71" t="s">
        <v>1382</v>
      </c>
      <c r="Z1227" s="40">
        <v>1.325</v>
      </c>
      <c r="AA1227" s="341"/>
      <c r="AB1227" s="341"/>
      <c r="AC1227" s="40" t="s">
        <v>450</v>
      </c>
      <c r="AG1227" s="79" t="s">
        <v>1346</v>
      </c>
      <c r="AH1227" s="40" t="s">
        <v>1518</v>
      </c>
      <c r="AI1227" s="138" t="s">
        <v>1582</v>
      </c>
      <c r="AJ1227" s="40" t="s">
        <v>584</v>
      </c>
      <c r="AK1227" s="140" t="s">
        <v>1646</v>
      </c>
      <c r="AT1227" s="40" t="s">
        <v>843</v>
      </c>
      <c r="AU1227" s="40" t="s">
        <v>843</v>
      </c>
      <c r="AV1227" s="40" t="s">
        <v>177</v>
      </c>
      <c r="AW1227" s="40" t="s">
        <v>160</v>
      </c>
      <c r="AX1227" s="40">
        <v>4</v>
      </c>
      <c r="AZ1227" s="40" t="s">
        <v>141</v>
      </c>
      <c r="BE1227" s="40" t="s">
        <v>838</v>
      </c>
      <c r="BK1227" s="40">
        <v>2490</v>
      </c>
      <c r="BL1227" s="40">
        <v>2798</v>
      </c>
      <c r="BP1227" s="416"/>
      <c r="BQ1227" s="416"/>
      <c r="BU1227" s="416"/>
      <c r="BV1227" s="416"/>
      <c r="BZ1227" s="416"/>
      <c r="CA1227" s="416"/>
      <c r="CE1227" s="569"/>
      <c r="CF1227" s="569"/>
      <c r="CG1227" s="569"/>
      <c r="CH1227" s="569"/>
      <c r="JB1227" s="40" t="s">
        <v>850</v>
      </c>
    </row>
    <row r="1228" spans="1:264" s="40" customFormat="1" x14ac:dyDescent="0.25">
      <c r="A1228" s="40">
        <v>57</v>
      </c>
      <c r="B1228" s="80" t="s">
        <v>4023</v>
      </c>
      <c r="C1228" s="40" t="s">
        <v>835</v>
      </c>
      <c r="D1228" s="40" t="s">
        <v>836</v>
      </c>
      <c r="E1228" s="40">
        <v>1990</v>
      </c>
      <c r="F1228" s="40">
        <v>1987</v>
      </c>
      <c r="G1228" s="40" t="s">
        <v>840</v>
      </c>
      <c r="H1228" s="40" t="s">
        <v>837</v>
      </c>
      <c r="I1228" s="32" t="s">
        <v>2815</v>
      </c>
      <c r="J1228" s="40">
        <v>34.200000000000003</v>
      </c>
      <c r="K1228" s="40">
        <v>-90.58</v>
      </c>
      <c r="L1228" s="40">
        <v>55.3</v>
      </c>
      <c r="R1228" s="71" t="s">
        <v>1929</v>
      </c>
      <c r="S1228" s="71" t="s">
        <v>1927</v>
      </c>
      <c r="T1228" s="71" t="s">
        <v>875</v>
      </c>
      <c r="U1228" s="71" t="s">
        <v>1981</v>
      </c>
      <c r="V1228" s="71" t="s">
        <v>1382</v>
      </c>
      <c r="W1228" s="80" t="s">
        <v>1717</v>
      </c>
      <c r="X1228" s="71" t="s">
        <v>1382</v>
      </c>
      <c r="Y1228" s="71" t="s">
        <v>1382</v>
      </c>
      <c r="Z1228" s="40">
        <v>1.325</v>
      </c>
      <c r="AA1228" s="341"/>
      <c r="AB1228" s="341"/>
      <c r="AC1228" s="40" t="s">
        <v>450</v>
      </c>
      <c r="AG1228" s="79" t="s">
        <v>1346</v>
      </c>
      <c r="AH1228" s="40" t="s">
        <v>1519</v>
      </c>
      <c r="AI1228" s="138" t="s">
        <v>1582</v>
      </c>
      <c r="AJ1228" s="40" t="s">
        <v>584</v>
      </c>
      <c r="AK1228" s="140" t="s">
        <v>1646</v>
      </c>
      <c r="AT1228" s="40" t="s">
        <v>843</v>
      </c>
      <c r="AU1228" s="40" t="s">
        <v>843</v>
      </c>
      <c r="AV1228" s="40" t="s">
        <v>177</v>
      </c>
      <c r="AW1228" s="40" t="s">
        <v>160</v>
      </c>
      <c r="AX1228" s="40">
        <v>4</v>
      </c>
      <c r="AZ1228" s="40" t="s">
        <v>141</v>
      </c>
      <c r="BE1228" s="40" t="s">
        <v>838</v>
      </c>
      <c r="BK1228" s="40">
        <v>2490</v>
      </c>
      <c r="BL1228" s="40">
        <v>2925</v>
      </c>
      <c r="BP1228" s="416"/>
      <c r="BQ1228" s="416"/>
      <c r="BU1228" s="416"/>
      <c r="BV1228" s="416"/>
      <c r="BZ1228" s="416"/>
      <c r="CA1228" s="416"/>
      <c r="CE1228" s="569"/>
      <c r="CF1228" s="569"/>
      <c r="CG1228" s="569"/>
      <c r="CH1228" s="569"/>
      <c r="JB1228" s="40" t="s">
        <v>850</v>
      </c>
    </row>
    <row r="1229" spans="1:264" s="81" customFormat="1" x14ac:dyDescent="0.25">
      <c r="A1229" s="81">
        <v>57</v>
      </c>
      <c r="B1229" s="44" t="s">
        <v>4023</v>
      </c>
      <c r="C1229" s="81" t="s">
        <v>835</v>
      </c>
      <c r="D1229" s="81" t="s">
        <v>836</v>
      </c>
      <c r="E1229" s="81">
        <v>1990</v>
      </c>
      <c r="F1229" s="81">
        <v>1988</v>
      </c>
      <c r="G1229" s="81" t="s">
        <v>840</v>
      </c>
      <c r="H1229" s="81" t="s">
        <v>837</v>
      </c>
      <c r="I1229" s="32" t="s">
        <v>2815</v>
      </c>
      <c r="J1229" s="81">
        <v>34.200000000000003</v>
      </c>
      <c r="K1229" s="81">
        <v>-90.58</v>
      </c>
      <c r="L1229" s="81">
        <v>55.3</v>
      </c>
      <c r="R1229" s="82" t="s">
        <v>1927</v>
      </c>
      <c r="S1229" s="82" t="s">
        <v>1927</v>
      </c>
      <c r="T1229" s="82" t="s">
        <v>880</v>
      </c>
      <c r="U1229" s="82" t="s">
        <v>1981</v>
      </c>
      <c r="V1229" s="82" t="s">
        <v>1382</v>
      </c>
      <c r="W1229" s="44" t="s">
        <v>1717</v>
      </c>
      <c r="X1229" s="82" t="s">
        <v>1382</v>
      </c>
      <c r="Y1229" s="82" t="s">
        <v>1382</v>
      </c>
      <c r="Z1229" s="81">
        <v>1.325</v>
      </c>
      <c r="AA1229" s="344"/>
      <c r="AB1229" s="344"/>
      <c r="AC1229" s="81" t="s">
        <v>450</v>
      </c>
      <c r="AG1229" s="32" t="s">
        <v>1346</v>
      </c>
      <c r="AH1229" s="81" t="s">
        <v>243</v>
      </c>
      <c r="AI1229" s="138" t="s">
        <v>577</v>
      </c>
      <c r="AJ1229" s="81" t="s">
        <v>584</v>
      </c>
      <c r="AK1229" s="140" t="s">
        <v>1646</v>
      </c>
      <c r="AT1229" s="81" t="s">
        <v>849</v>
      </c>
      <c r="AU1229" s="81" t="s">
        <v>849</v>
      </c>
      <c r="AV1229" s="81" t="s">
        <v>177</v>
      </c>
      <c r="AW1229" s="81" t="s">
        <v>160</v>
      </c>
      <c r="AX1229" s="81">
        <v>4</v>
      </c>
      <c r="AZ1229" s="81" t="s">
        <v>141</v>
      </c>
      <c r="BB1229" s="81">
        <v>2439</v>
      </c>
      <c r="BE1229" s="81" t="s">
        <v>838</v>
      </c>
      <c r="BK1229" s="81">
        <v>3135</v>
      </c>
      <c r="BL1229" s="81">
        <v>2191</v>
      </c>
      <c r="BP1229" s="419"/>
      <c r="BQ1229" s="419"/>
      <c r="BU1229" s="419"/>
      <c r="BV1229" s="419"/>
      <c r="BZ1229" s="419"/>
      <c r="CA1229" s="419"/>
      <c r="CE1229" s="572"/>
      <c r="CF1229" s="572"/>
      <c r="CG1229" s="572"/>
      <c r="CH1229" s="572"/>
      <c r="JB1229" s="81" t="s">
        <v>850</v>
      </c>
    </row>
    <row r="1230" spans="1:264" s="81" customFormat="1" x14ac:dyDescent="0.25">
      <c r="A1230" s="81">
        <v>57</v>
      </c>
      <c r="B1230" s="44" t="s">
        <v>4024</v>
      </c>
      <c r="C1230" s="81" t="s">
        <v>835</v>
      </c>
      <c r="D1230" s="81" t="s">
        <v>836</v>
      </c>
      <c r="E1230" s="81">
        <v>1990</v>
      </c>
      <c r="F1230" s="81">
        <v>1988</v>
      </c>
      <c r="G1230" s="81" t="s">
        <v>840</v>
      </c>
      <c r="H1230" s="81" t="s">
        <v>837</v>
      </c>
      <c r="I1230" s="32" t="s">
        <v>2815</v>
      </c>
      <c r="J1230" s="81">
        <v>34.200000000000003</v>
      </c>
      <c r="K1230" s="81">
        <v>-90.58</v>
      </c>
      <c r="L1230" s="81">
        <v>55.3</v>
      </c>
      <c r="R1230" s="82" t="s">
        <v>1927</v>
      </c>
      <c r="S1230" s="82" t="s">
        <v>1927</v>
      </c>
      <c r="T1230" s="82" t="s">
        <v>880</v>
      </c>
      <c r="U1230" s="82" t="s">
        <v>1981</v>
      </c>
      <c r="V1230" s="82" t="s">
        <v>1382</v>
      </c>
      <c r="W1230" s="44" t="s">
        <v>1717</v>
      </c>
      <c r="X1230" s="82" t="s">
        <v>1382</v>
      </c>
      <c r="Y1230" s="82" t="s">
        <v>1382</v>
      </c>
      <c r="Z1230" s="81">
        <v>1.325</v>
      </c>
      <c r="AA1230" s="344"/>
      <c r="AB1230" s="344"/>
      <c r="AC1230" s="81" t="s">
        <v>450</v>
      </c>
      <c r="AG1230" s="32" t="s">
        <v>1346</v>
      </c>
      <c r="AH1230" s="81" t="s">
        <v>1518</v>
      </c>
      <c r="AI1230" s="138" t="s">
        <v>1582</v>
      </c>
      <c r="AJ1230" s="81" t="s">
        <v>584</v>
      </c>
      <c r="AK1230" s="140" t="s">
        <v>1646</v>
      </c>
      <c r="AT1230" s="81" t="s">
        <v>849</v>
      </c>
      <c r="AU1230" s="81" t="s">
        <v>849</v>
      </c>
      <c r="AV1230" s="81" t="s">
        <v>177</v>
      </c>
      <c r="AW1230" s="81" t="s">
        <v>160</v>
      </c>
      <c r="AX1230" s="81">
        <v>4</v>
      </c>
      <c r="AZ1230" s="81" t="s">
        <v>141</v>
      </c>
      <c r="BB1230" s="81">
        <v>2710</v>
      </c>
      <c r="BE1230" s="81" t="s">
        <v>838</v>
      </c>
      <c r="BK1230" s="81">
        <v>3135</v>
      </c>
      <c r="BL1230" s="81">
        <v>2596</v>
      </c>
      <c r="BP1230" s="419"/>
      <c r="BQ1230" s="419"/>
      <c r="BU1230" s="419"/>
      <c r="BV1230" s="419"/>
      <c r="BZ1230" s="419"/>
      <c r="CA1230" s="419"/>
      <c r="CE1230" s="572"/>
      <c r="CF1230" s="572"/>
      <c r="CG1230" s="572"/>
      <c r="CH1230" s="572"/>
      <c r="JB1230" s="81" t="s">
        <v>850</v>
      </c>
    </row>
    <row r="1231" spans="1:264" s="81" customFormat="1" x14ac:dyDescent="0.25">
      <c r="A1231" s="81">
        <v>57</v>
      </c>
      <c r="B1231" s="44" t="s">
        <v>4023</v>
      </c>
      <c r="C1231" s="81" t="s">
        <v>835</v>
      </c>
      <c r="D1231" s="81" t="s">
        <v>836</v>
      </c>
      <c r="E1231" s="81">
        <v>1990</v>
      </c>
      <c r="F1231" s="81">
        <v>1988</v>
      </c>
      <c r="G1231" s="81" t="s">
        <v>840</v>
      </c>
      <c r="H1231" s="81" t="s">
        <v>837</v>
      </c>
      <c r="I1231" s="32" t="s">
        <v>2815</v>
      </c>
      <c r="J1231" s="81">
        <v>34.200000000000003</v>
      </c>
      <c r="K1231" s="81">
        <v>-90.58</v>
      </c>
      <c r="L1231" s="81">
        <v>55.3</v>
      </c>
      <c r="R1231" s="82" t="s">
        <v>1927</v>
      </c>
      <c r="S1231" s="82" t="s">
        <v>1927</v>
      </c>
      <c r="T1231" s="82" t="s">
        <v>880</v>
      </c>
      <c r="U1231" s="82" t="s">
        <v>1981</v>
      </c>
      <c r="V1231" s="82" t="s">
        <v>1382</v>
      </c>
      <c r="W1231" s="44" t="s">
        <v>1717</v>
      </c>
      <c r="X1231" s="82" t="s">
        <v>1382</v>
      </c>
      <c r="Y1231" s="82" t="s">
        <v>1382</v>
      </c>
      <c r="Z1231" s="81">
        <v>1.325</v>
      </c>
      <c r="AA1231" s="344"/>
      <c r="AB1231" s="344"/>
      <c r="AC1231" s="81" t="s">
        <v>450</v>
      </c>
      <c r="AG1231" s="32" t="s">
        <v>1346</v>
      </c>
      <c r="AH1231" s="81" t="s">
        <v>1519</v>
      </c>
      <c r="AI1231" s="138" t="s">
        <v>1582</v>
      </c>
      <c r="AJ1231" s="81" t="s">
        <v>584</v>
      </c>
      <c r="AK1231" s="140" t="s">
        <v>1646</v>
      </c>
      <c r="AT1231" s="81" t="s">
        <v>849</v>
      </c>
      <c r="AU1231" s="81" t="s">
        <v>849</v>
      </c>
      <c r="AV1231" s="81" t="s">
        <v>177</v>
      </c>
      <c r="AW1231" s="81" t="s">
        <v>160</v>
      </c>
      <c r="AX1231" s="81">
        <v>4</v>
      </c>
      <c r="AZ1231" s="81" t="s">
        <v>141</v>
      </c>
      <c r="BB1231" s="81">
        <v>3524</v>
      </c>
      <c r="BE1231" s="81" t="s">
        <v>838</v>
      </c>
      <c r="BK1231" s="81">
        <v>3135</v>
      </c>
      <c r="BL1231" s="81">
        <v>2723</v>
      </c>
      <c r="BP1231" s="419"/>
      <c r="BQ1231" s="419"/>
      <c r="BU1231" s="419"/>
      <c r="BV1231" s="419"/>
      <c r="BZ1231" s="419"/>
      <c r="CA1231" s="419"/>
      <c r="CE1231" s="572"/>
      <c r="CF1231" s="572"/>
      <c r="CG1231" s="572"/>
      <c r="CH1231" s="572"/>
      <c r="JB1231" s="81" t="s">
        <v>850</v>
      </c>
    </row>
    <row r="1232" spans="1:264" s="39" customFormat="1" x14ac:dyDescent="0.25">
      <c r="A1232" s="39">
        <v>58</v>
      </c>
      <c r="B1232" s="70" t="s">
        <v>4025</v>
      </c>
      <c r="C1232" s="39" t="s">
        <v>861</v>
      </c>
      <c r="D1232" s="39" t="s">
        <v>862</v>
      </c>
      <c r="E1232" s="39">
        <v>1990</v>
      </c>
      <c r="F1232" s="39">
        <v>1987</v>
      </c>
      <c r="G1232" s="39" t="s">
        <v>863</v>
      </c>
      <c r="H1232" s="39" t="s">
        <v>889</v>
      </c>
      <c r="I1232" s="32" t="s">
        <v>2815</v>
      </c>
      <c r="J1232" s="39">
        <v>38.92</v>
      </c>
      <c r="K1232" s="39">
        <v>-76.150000000000006</v>
      </c>
      <c r="L1232" s="39">
        <v>5</v>
      </c>
      <c r="O1232" s="39">
        <v>836</v>
      </c>
      <c r="R1232" s="70">
        <v>1</v>
      </c>
      <c r="S1232" s="70" t="s">
        <v>1847</v>
      </c>
      <c r="T1232" s="39" t="s">
        <v>864</v>
      </c>
      <c r="U1232" s="70" t="s">
        <v>881</v>
      </c>
      <c r="V1232" s="70" t="s">
        <v>1389</v>
      </c>
      <c r="W1232" s="80" t="s">
        <v>1720</v>
      </c>
      <c r="X1232" s="70" t="s">
        <v>1389</v>
      </c>
      <c r="Y1232" s="70" t="s">
        <v>1389</v>
      </c>
      <c r="Z1232" s="39">
        <v>1.5</v>
      </c>
      <c r="AA1232" s="340"/>
      <c r="AB1232" s="340"/>
      <c r="AC1232" s="39" t="s">
        <v>450</v>
      </c>
      <c r="AG1232" s="39" t="s">
        <v>1347</v>
      </c>
      <c r="AH1232" s="39" t="s">
        <v>131</v>
      </c>
      <c r="AI1232" s="138" t="s">
        <v>131</v>
      </c>
      <c r="AJ1232" s="39" t="s">
        <v>132</v>
      </c>
      <c r="AK1232" s="141" t="s">
        <v>132</v>
      </c>
      <c r="AO1232" s="39" t="s">
        <v>231</v>
      </c>
      <c r="AP1232" s="39" t="s">
        <v>231</v>
      </c>
      <c r="AQ1232" s="39" t="s">
        <v>2125</v>
      </c>
      <c r="AR1232" s="39" t="s">
        <v>2125</v>
      </c>
      <c r="AS1232" s="39" t="s">
        <v>177</v>
      </c>
      <c r="AW1232" s="39" t="s">
        <v>119</v>
      </c>
      <c r="AX1232" s="39">
        <v>4</v>
      </c>
      <c r="AZ1232" s="39" t="s">
        <v>335</v>
      </c>
      <c r="BP1232" s="415"/>
      <c r="BQ1232" s="415"/>
      <c r="BU1232" s="415"/>
      <c r="BV1232" s="415"/>
      <c r="BZ1232" s="415"/>
      <c r="CA1232" s="415"/>
      <c r="CE1232" s="568"/>
      <c r="CF1232" s="568"/>
      <c r="CG1232" s="568"/>
      <c r="CH1232" s="568"/>
      <c r="CJ1232" s="39">
        <v>9.94</v>
      </c>
      <c r="CK1232" s="39">
        <v>13.11</v>
      </c>
      <c r="CN1232" s="39" t="s">
        <v>888</v>
      </c>
      <c r="JD1232"/>
    </row>
    <row r="1233" spans="1:264" s="39" customFormat="1" x14ac:dyDescent="0.25">
      <c r="A1233" s="39">
        <v>58</v>
      </c>
      <c r="B1233" s="70" t="s">
        <v>4025</v>
      </c>
      <c r="C1233" s="39" t="s">
        <v>861</v>
      </c>
      <c r="D1233" s="39" t="s">
        <v>862</v>
      </c>
      <c r="E1233" s="39">
        <v>1990</v>
      </c>
      <c r="F1233" s="39">
        <v>1987</v>
      </c>
      <c r="G1233" s="39" t="s">
        <v>863</v>
      </c>
      <c r="H1233" s="39" t="s">
        <v>889</v>
      </c>
      <c r="I1233" s="32" t="s">
        <v>2815</v>
      </c>
      <c r="J1233" s="39">
        <v>38.92</v>
      </c>
      <c r="K1233" s="39">
        <v>-76.150000000000006</v>
      </c>
      <c r="L1233" s="39">
        <v>5</v>
      </c>
      <c r="O1233" s="39">
        <v>836</v>
      </c>
      <c r="R1233" s="70">
        <v>1</v>
      </c>
      <c r="S1233" s="70" t="s">
        <v>1847</v>
      </c>
      <c r="T1233" s="39" t="s">
        <v>864</v>
      </c>
      <c r="U1233" s="70" t="s">
        <v>882</v>
      </c>
      <c r="V1233" s="70" t="s">
        <v>1389</v>
      </c>
      <c r="W1233" s="80" t="s">
        <v>1720</v>
      </c>
      <c r="X1233" s="70" t="s">
        <v>1389</v>
      </c>
      <c r="Y1233" s="70" t="s">
        <v>1389</v>
      </c>
      <c r="Z1233" s="39">
        <v>1.5</v>
      </c>
      <c r="AA1233" s="340"/>
      <c r="AB1233" s="340"/>
      <c r="AC1233" s="39" t="s">
        <v>450</v>
      </c>
      <c r="AG1233" s="39" t="s">
        <v>1347</v>
      </c>
      <c r="AH1233" s="39" t="s">
        <v>131</v>
      </c>
      <c r="AI1233" s="138" t="s">
        <v>131</v>
      </c>
      <c r="AJ1233" s="39" t="s">
        <v>132</v>
      </c>
      <c r="AK1233" s="141" t="s">
        <v>132</v>
      </c>
      <c r="AO1233" s="39" t="s">
        <v>231</v>
      </c>
      <c r="AP1233" s="39" t="s">
        <v>231</v>
      </c>
      <c r="AQ1233" s="39" t="s">
        <v>2125</v>
      </c>
      <c r="AR1233" s="39" t="s">
        <v>2125</v>
      </c>
      <c r="AS1233" s="39" t="s">
        <v>177</v>
      </c>
      <c r="AW1233" s="39" t="s">
        <v>119</v>
      </c>
      <c r="AX1233" s="39">
        <v>4</v>
      </c>
      <c r="AZ1233" s="39" t="s">
        <v>335</v>
      </c>
      <c r="BP1233" s="415"/>
      <c r="BQ1233" s="415"/>
      <c r="BU1233" s="415"/>
      <c r="BV1233" s="415"/>
      <c r="BZ1233" s="415"/>
      <c r="CA1233" s="415"/>
      <c r="CE1233" s="568"/>
      <c r="CF1233" s="568"/>
      <c r="CG1233" s="568"/>
      <c r="CH1233" s="568"/>
      <c r="CJ1233" s="39">
        <v>1.44</v>
      </c>
      <c r="CK1233" s="39">
        <v>7.28</v>
      </c>
      <c r="CN1233" s="39" t="s">
        <v>888</v>
      </c>
      <c r="JD1233"/>
    </row>
    <row r="1234" spans="1:264" s="39" customFormat="1" x14ac:dyDescent="0.25">
      <c r="A1234" s="39">
        <v>58</v>
      </c>
      <c r="B1234" s="70" t="s">
        <v>4025</v>
      </c>
      <c r="C1234" s="39" t="s">
        <v>861</v>
      </c>
      <c r="D1234" s="39" t="s">
        <v>862</v>
      </c>
      <c r="E1234" s="39">
        <v>1990</v>
      </c>
      <c r="F1234" s="39">
        <v>1988</v>
      </c>
      <c r="G1234" s="39" t="s">
        <v>863</v>
      </c>
      <c r="H1234" s="39" t="s">
        <v>889</v>
      </c>
      <c r="I1234" s="32" t="s">
        <v>2815</v>
      </c>
      <c r="J1234" s="39">
        <v>38.92</v>
      </c>
      <c r="K1234" s="39">
        <v>-76.150000000000006</v>
      </c>
      <c r="L1234" s="39">
        <v>5</v>
      </c>
      <c r="O1234" s="39">
        <v>836</v>
      </c>
      <c r="R1234" s="70">
        <v>2</v>
      </c>
      <c r="S1234" s="70" t="s">
        <v>1847</v>
      </c>
      <c r="T1234" s="39" t="s">
        <v>864</v>
      </c>
      <c r="U1234" s="70" t="s">
        <v>883</v>
      </c>
      <c r="V1234" s="70" t="s">
        <v>1389</v>
      </c>
      <c r="W1234" s="80" t="s">
        <v>1720</v>
      </c>
      <c r="X1234" s="70" t="s">
        <v>1389</v>
      </c>
      <c r="Y1234" s="70" t="s">
        <v>1389</v>
      </c>
      <c r="Z1234" s="39">
        <v>1.5</v>
      </c>
      <c r="AA1234" s="340"/>
      <c r="AB1234" s="340"/>
      <c r="AC1234" s="39" t="s">
        <v>450</v>
      </c>
      <c r="AG1234" s="39" t="s">
        <v>1347</v>
      </c>
      <c r="AH1234" s="39" t="s">
        <v>131</v>
      </c>
      <c r="AI1234" s="138" t="s">
        <v>131</v>
      </c>
      <c r="AJ1234" s="39" t="s">
        <v>132</v>
      </c>
      <c r="AK1234" s="141" t="s">
        <v>132</v>
      </c>
      <c r="AO1234" s="39" t="s">
        <v>231</v>
      </c>
      <c r="AP1234" s="39" t="s">
        <v>231</v>
      </c>
      <c r="AQ1234" s="39" t="s">
        <v>2125</v>
      </c>
      <c r="AR1234" s="39" t="s">
        <v>2125</v>
      </c>
      <c r="AS1234" s="39" t="s">
        <v>177</v>
      </c>
      <c r="AW1234" s="39" t="s">
        <v>119</v>
      </c>
      <c r="AX1234" s="39">
        <v>4</v>
      </c>
      <c r="AZ1234" s="39" t="s">
        <v>335</v>
      </c>
      <c r="BP1234" s="415"/>
      <c r="BQ1234" s="415"/>
      <c r="BU1234" s="415"/>
      <c r="BV1234" s="415"/>
      <c r="BZ1234" s="415"/>
      <c r="CA1234" s="415"/>
      <c r="CE1234" s="568"/>
      <c r="CF1234" s="568"/>
      <c r="CG1234" s="568"/>
      <c r="CH1234" s="568"/>
      <c r="CJ1234" s="39">
        <v>1.75</v>
      </c>
      <c r="CK1234" s="39">
        <v>3.6</v>
      </c>
      <c r="CN1234" s="39" t="s">
        <v>888</v>
      </c>
      <c r="JD1234"/>
    </row>
    <row r="1235" spans="1:264" s="39" customFormat="1" x14ac:dyDescent="0.25">
      <c r="A1235" s="39">
        <v>58</v>
      </c>
      <c r="B1235" s="70" t="s">
        <v>4025</v>
      </c>
      <c r="C1235" s="39" t="s">
        <v>861</v>
      </c>
      <c r="D1235" s="39" t="s">
        <v>862</v>
      </c>
      <c r="E1235" s="39">
        <v>1990</v>
      </c>
      <c r="F1235" s="39">
        <v>1988</v>
      </c>
      <c r="G1235" s="39" t="s">
        <v>863</v>
      </c>
      <c r="H1235" s="39" t="s">
        <v>889</v>
      </c>
      <c r="I1235" s="32" t="s">
        <v>2815</v>
      </c>
      <c r="J1235" s="39">
        <v>38.92</v>
      </c>
      <c r="K1235" s="39">
        <v>-76.150000000000006</v>
      </c>
      <c r="L1235" s="39">
        <v>5</v>
      </c>
      <c r="O1235" s="39">
        <v>836</v>
      </c>
      <c r="R1235" s="70">
        <v>2</v>
      </c>
      <c r="S1235" s="70" t="s">
        <v>1847</v>
      </c>
      <c r="T1235" s="39" t="s">
        <v>864</v>
      </c>
      <c r="U1235" s="70" t="s">
        <v>780</v>
      </c>
      <c r="V1235" s="70" t="s">
        <v>1389</v>
      </c>
      <c r="W1235" s="80" t="s">
        <v>1720</v>
      </c>
      <c r="X1235" s="70" t="s">
        <v>1389</v>
      </c>
      <c r="Y1235" s="70" t="s">
        <v>1389</v>
      </c>
      <c r="Z1235" s="39">
        <v>1.5</v>
      </c>
      <c r="AA1235" s="340"/>
      <c r="AB1235" s="340"/>
      <c r="AC1235" s="39" t="s">
        <v>450</v>
      </c>
      <c r="AG1235" s="39" t="s">
        <v>1347</v>
      </c>
      <c r="AH1235" s="39" t="s">
        <v>131</v>
      </c>
      <c r="AI1235" s="138" t="s">
        <v>131</v>
      </c>
      <c r="AJ1235" s="39" t="s">
        <v>132</v>
      </c>
      <c r="AK1235" s="141" t="s">
        <v>132</v>
      </c>
      <c r="AO1235" s="39" t="s">
        <v>231</v>
      </c>
      <c r="AP1235" s="39" t="s">
        <v>231</v>
      </c>
      <c r="AQ1235" s="39" t="s">
        <v>2125</v>
      </c>
      <c r="AR1235" s="39" t="s">
        <v>2125</v>
      </c>
      <c r="AS1235" s="39" t="s">
        <v>177</v>
      </c>
      <c r="AW1235" s="39" t="s">
        <v>119</v>
      </c>
      <c r="AX1235" s="39">
        <v>4</v>
      </c>
      <c r="AZ1235" s="39" t="s">
        <v>335</v>
      </c>
      <c r="BP1235" s="415"/>
      <c r="BQ1235" s="415"/>
      <c r="BU1235" s="415"/>
      <c r="BV1235" s="415"/>
      <c r="BZ1235" s="415"/>
      <c r="CA1235" s="415"/>
      <c r="CE1235" s="568"/>
      <c r="CF1235" s="568"/>
      <c r="CG1235" s="568"/>
      <c r="CH1235" s="568"/>
      <c r="CJ1235" s="39">
        <v>0.43</v>
      </c>
      <c r="CK1235" s="39">
        <v>0.74</v>
      </c>
      <c r="CN1235" s="39" t="s">
        <v>888</v>
      </c>
      <c r="JD1235"/>
    </row>
    <row r="1236" spans="1:264" s="39" customFormat="1" x14ac:dyDescent="0.25">
      <c r="A1236" s="39">
        <v>58</v>
      </c>
      <c r="B1236" s="70" t="s">
        <v>4025</v>
      </c>
      <c r="C1236" s="39" t="s">
        <v>861</v>
      </c>
      <c r="D1236" s="39" t="s">
        <v>862</v>
      </c>
      <c r="E1236" s="39">
        <v>1990</v>
      </c>
      <c r="F1236" s="39">
        <v>1988</v>
      </c>
      <c r="G1236" s="39" t="s">
        <v>863</v>
      </c>
      <c r="H1236" s="39" t="s">
        <v>889</v>
      </c>
      <c r="I1236" s="32" t="s">
        <v>2815</v>
      </c>
      <c r="J1236" s="39">
        <v>38.92</v>
      </c>
      <c r="K1236" s="39">
        <v>-76.150000000000006</v>
      </c>
      <c r="L1236" s="39">
        <v>5</v>
      </c>
      <c r="O1236" s="39">
        <v>836</v>
      </c>
      <c r="R1236" s="70">
        <v>2</v>
      </c>
      <c r="S1236" s="70" t="s">
        <v>1847</v>
      </c>
      <c r="T1236" s="39" t="s">
        <v>864</v>
      </c>
      <c r="U1236" s="70" t="s">
        <v>884</v>
      </c>
      <c r="V1236" s="70" t="s">
        <v>1389</v>
      </c>
      <c r="W1236" s="80" t="s">
        <v>1720</v>
      </c>
      <c r="X1236" s="70" t="s">
        <v>1389</v>
      </c>
      <c r="Y1236" s="70" t="s">
        <v>1389</v>
      </c>
      <c r="Z1236" s="39">
        <v>1.5</v>
      </c>
      <c r="AA1236" s="340"/>
      <c r="AB1236" s="340"/>
      <c r="AC1236" s="39" t="s">
        <v>450</v>
      </c>
      <c r="AG1236" s="39" t="s">
        <v>1347</v>
      </c>
      <c r="AH1236" s="39" t="s">
        <v>131</v>
      </c>
      <c r="AI1236" s="138" t="s">
        <v>131</v>
      </c>
      <c r="AJ1236" s="39" t="s">
        <v>132</v>
      </c>
      <c r="AK1236" s="141" t="s">
        <v>132</v>
      </c>
      <c r="AO1236" s="39" t="s">
        <v>231</v>
      </c>
      <c r="AP1236" s="39" t="s">
        <v>231</v>
      </c>
      <c r="AQ1236" s="39" t="s">
        <v>2125</v>
      </c>
      <c r="AR1236" s="39" t="s">
        <v>2125</v>
      </c>
      <c r="AS1236" s="39" t="s">
        <v>177</v>
      </c>
      <c r="AW1236" s="39" t="s">
        <v>119</v>
      </c>
      <c r="AX1236" s="39">
        <v>4</v>
      </c>
      <c r="AZ1236" s="39" t="s">
        <v>335</v>
      </c>
      <c r="BP1236" s="415"/>
      <c r="BQ1236" s="415"/>
      <c r="BU1236" s="415"/>
      <c r="BV1236" s="415"/>
      <c r="BZ1236" s="415"/>
      <c r="CA1236" s="415"/>
      <c r="CE1236" s="568"/>
      <c r="CF1236" s="568"/>
      <c r="CG1236" s="568"/>
      <c r="CH1236" s="568"/>
      <c r="CJ1236" s="39">
        <v>1.98</v>
      </c>
      <c r="CK1236" s="39">
        <v>9.15</v>
      </c>
      <c r="CN1236" s="39" t="s">
        <v>888</v>
      </c>
      <c r="JD1236"/>
    </row>
    <row r="1237" spans="1:264" s="39" customFormat="1" x14ac:dyDescent="0.25">
      <c r="A1237" s="39">
        <v>58</v>
      </c>
      <c r="B1237" s="70" t="s">
        <v>4025</v>
      </c>
      <c r="C1237" s="39" t="s">
        <v>861</v>
      </c>
      <c r="D1237" s="39" t="s">
        <v>862</v>
      </c>
      <c r="E1237" s="39">
        <v>1990</v>
      </c>
      <c r="F1237" s="39">
        <v>1988</v>
      </c>
      <c r="G1237" s="39" t="s">
        <v>863</v>
      </c>
      <c r="H1237" s="39" t="s">
        <v>889</v>
      </c>
      <c r="I1237" s="32" t="s">
        <v>2815</v>
      </c>
      <c r="J1237" s="39">
        <v>38.92</v>
      </c>
      <c r="K1237" s="39">
        <v>-76.150000000000006</v>
      </c>
      <c r="L1237" s="39">
        <v>5</v>
      </c>
      <c r="O1237" s="39">
        <v>836</v>
      </c>
      <c r="R1237" s="70">
        <v>2</v>
      </c>
      <c r="S1237" s="70" t="s">
        <v>1847</v>
      </c>
      <c r="T1237" s="39" t="s">
        <v>864</v>
      </c>
      <c r="U1237" s="70" t="s">
        <v>887</v>
      </c>
      <c r="V1237" s="70" t="s">
        <v>1389</v>
      </c>
      <c r="W1237" s="80" t="s">
        <v>1720</v>
      </c>
      <c r="X1237" s="70" t="s">
        <v>1389</v>
      </c>
      <c r="Y1237" s="70" t="s">
        <v>1389</v>
      </c>
      <c r="Z1237" s="39">
        <v>1.5</v>
      </c>
      <c r="AA1237" s="340"/>
      <c r="AB1237" s="340"/>
      <c r="AC1237" s="39" t="s">
        <v>450</v>
      </c>
      <c r="AG1237" s="39" t="s">
        <v>1347</v>
      </c>
      <c r="AH1237" s="39" t="s">
        <v>131</v>
      </c>
      <c r="AI1237" s="138" t="s">
        <v>131</v>
      </c>
      <c r="AJ1237" s="39" t="s">
        <v>132</v>
      </c>
      <c r="AK1237" s="141" t="s">
        <v>132</v>
      </c>
      <c r="AO1237" s="39" t="s">
        <v>231</v>
      </c>
      <c r="AP1237" s="39" t="s">
        <v>231</v>
      </c>
      <c r="AQ1237" s="39" t="s">
        <v>2125</v>
      </c>
      <c r="AR1237" s="39" t="s">
        <v>2125</v>
      </c>
      <c r="AS1237" s="39" t="s">
        <v>177</v>
      </c>
      <c r="AW1237" s="39" t="s">
        <v>119</v>
      </c>
      <c r="AX1237" s="39">
        <v>4</v>
      </c>
      <c r="AZ1237" s="39" t="s">
        <v>335</v>
      </c>
      <c r="BP1237" s="415"/>
      <c r="BQ1237" s="415"/>
      <c r="BU1237" s="415"/>
      <c r="BV1237" s="415"/>
      <c r="BZ1237" s="415"/>
      <c r="CA1237" s="415"/>
      <c r="CE1237" s="568"/>
      <c r="CF1237" s="568"/>
      <c r="CG1237" s="568"/>
      <c r="CH1237" s="568"/>
      <c r="CJ1237" s="39">
        <v>18.989999999999998</v>
      </c>
      <c r="CK1237" s="39">
        <v>31.89</v>
      </c>
      <c r="CN1237" s="39" t="s">
        <v>888</v>
      </c>
      <c r="JD1237"/>
    </row>
    <row r="1238" spans="1:264" s="39" customFormat="1" x14ac:dyDescent="0.25">
      <c r="A1238" s="39">
        <v>58</v>
      </c>
      <c r="B1238" s="70" t="s">
        <v>4025</v>
      </c>
      <c r="C1238" s="39" t="s">
        <v>861</v>
      </c>
      <c r="D1238" s="39" t="s">
        <v>862</v>
      </c>
      <c r="E1238" s="39">
        <v>1990</v>
      </c>
      <c r="F1238" s="39">
        <v>1988</v>
      </c>
      <c r="G1238" s="39" t="s">
        <v>863</v>
      </c>
      <c r="H1238" s="39" t="s">
        <v>889</v>
      </c>
      <c r="I1238" s="32" t="s">
        <v>2815</v>
      </c>
      <c r="J1238" s="39">
        <v>38.92</v>
      </c>
      <c r="K1238" s="39">
        <v>-76.150000000000006</v>
      </c>
      <c r="L1238" s="39">
        <v>5</v>
      </c>
      <c r="O1238" s="39">
        <v>836</v>
      </c>
      <c r="R1238" s="70">
        <v>2</v>
      </c>
      <c r="S1238" s="70" t="s">
        <v>1847</v>
      </c>
      <c r="T1238" s="39" t="s">
        <v>864</v>
      </c>
      <c r="U1238" s="70" t="s">
        <v>885</v>
      </c>
      <c r="V1238" s="70" t="s">
        <v>1389</v>
      </c>
      <c r="W1238" s="80" t="s">
        <v>1720</v>
      </c>
      <c r="X1238" s="70" t="s">
        <v>1389</v>
      </c>
      <c r="Y1238" s="70" t="s">
        <v>1389</v>
      </c>
      <c r="Z1238" s="39">
        <v>1.5</v>
      </c>
      <c r="AA1238" s="340"/>
      <c r="AB1238" s="340"/>
      <c r="AC1238" s="39" t="s">
        <v>450</v>
      </c>
      <c r="AG1238" s="39" t="s">
        <v>1347</v>
      </c>
      <c r="AH1238" s="39" t="s">
        <v>131</v>
      </c>
      <c r="AI1238" s="138" t="s">
        <v>131</v>
      </c>
      <c r="AJ1238" s="39" t="s">
        <v>132</v>
      </c>
      <c r="AK1238" s="141" t="s">
        <v>132</v>
      </c>
      <c r="AO1238" s="39" t="s">
        <v>231</v>
      </c>
      <c r="AP1238" s="39" t="s">
        <v>231</v>
      </c>
      <c r="AQ1238" s="39" t="s">
        <v>2125</v>
      </c>
      <c r="AR1238" s="39" t="s">
        <v>2125</v>
      </c>
      <c r="AS1238" s="39" t="s">
        <v>177</v>
      </c>
      <c r="AW1238" s="39" t="s">
        <v>119</v>
      </c>
      <c r="AX1238" s="39">
        <v>4</v>
      </c>
      <c r="AZ1238" s="39" t="s">
        <v>335</v>
      </c>
      <c r="BP1238" s="415"/>
      <c r="BQ1238" s="415"/>
      <c r="BU1238" s="415"/>
      <c r="BV1238" s="415"/>
      <c r="BZ1238" s="415"/>
      <c r="CA1238" s="415"/>
      <c r="CE1238" s="568"/>
      <c r="CF1238" s="568"/>
      <c r="CG1238" s="568"/>
      <c r="CH1238" s="568"/>
      <c r="CJ1238" s="39">
        <v>16.329999999999998</v>
      </c>
      <c r="CK1238" s="39">
        <v>36.200000000000003</v>
      </c>
      <c r="CN1238" s="39" t="s">
        <v>888</v>
      </c>
      <c r="JD1238"/>
    </row>
    <row r="1239" spans="1:264" s="39" customFormat="1" x14ac:dyDescent="0.25">
      <c r="A1239" s="39">
        <v>58</v>
      </c>
      <c r="B1239" s="70" t="s">
        <v>4025</v>
      </c>
      <c r="C1239" s="39" t="s">
        <v>861</v>
      </c>
      <c r="D1239" s="39" t="s">
        <v>862</v>
      </c>
      <c r="E1239" s="39">
        <v>1990</v>
      </c>
      <c r="F1239" s="39">
        <v>1988</v>
      </c>
      <c r="G1239" s="39" t="s">
        <v>863</v>
      </c>
      <c r="H1239" s="39" t="s">
        <v>889</v>
      </c>
      <c r="I1239" s="32" t="s">
        <v>2815</v>
      </c>
      <c r="J1239" s="39">
        <v>38.92</v>
      </c>
      <c r="K1239" s="39">
        <v>-76.150000000000006</v>
      </c>
      <c r="L1239" s="39">
        <v>5</v>
      </c>
      <c r="O1239" s="39">
        <v>836</v>
      </c>
      <c r="R1239" s="70">
        <v>2</v>
      </c>
      <c r="S1239" s="70" t="s">
        <v>1847</v>
      </c>
      <c r="T1239" s="39" t="s">
        <v>864</v>
      </c>
      <c r="U1239" s="70" t="s">
        <v>886</v>
      </c>
      <c r="V1239" s="70" t="s">
        <v>1389</v>
      </c>
      <c r="W1239" s="80" t="s">
        <v>1720</v>
      </c>
      <c r="X1239" s="70" t="s">
        <v>1389</v>
      </c>
      <c r="Y1239" s="70" t="s">
        <v>1389</v>
      </c>
      <c r="Z1239" s="39">
        <v>1.5</v>
      </c>
      <c r="AA1239" s="340"/>
      <c r="AB1239" s="340"/>
      <c r="AC1239" s="39" t="s">
        <v>450</v>
      </c>
      <c r="AG1239" s="39" t="s">
        <v>1347</v>
      </c>
      <c r="AH1239" s="39" t="s">
        <v>131</v>
      </c>
      <c r="AI1239" s="138" t="s">
        <v>131</v>
      </c>
      <c r="AJ1239" s="39" t="s">
        <v>132</v>
      </c>
      <c r="AK1239" s="141" t="s">
        <v>132</v>
      </c>
      <c r="AO1239" s="39" t="s">
        <v>231</v>
      </c>
      <c r="AP1239" s="39" t="s">
        <v>231</v>
      </c>
      <c r="AQ1239" s="39" t="s">
        <v>2125</v>
      </c>
      <c r="AR1239" s="39" t="s">
        <v>2125</v>
      </c>
      <c r="AS1239" s="39" t="s">
        <v>177</v>
      </c>
      <c r="AW1239" s="39" t="s">
        <v>119</v>
      </c>
      <c r="AX1239" s="39">
        <v>4</v>
      </c>
      <c r="AZ1239" s="39" t="s">
        <v>335</v>
      </c>
      <c r="BP1239" s="415"/>
      <c r="BQ1239" s="415"/>
      <c r="BU1239" s="415"/>
      <c r="BV1239" s="415"/>
      <c r="BZ1239" s="415"/>
      <c r="CA1239" s="415"/>
      <c r="CE1239" s="568"/>
      <c r="CF1239" s="568"/>
      <c r="CG1239" s="568"/>
      <c r="CH1239" s="568"/>
      <c r="CJ1239" s="39">
        <v>25.04</v>
      </c>
      <c r="CK1239" s="39">
        <v>47.06</v>
      </c>
      <c r="CN1239" s="39" t="s">
        <v>888</v>
      </c>
      <c r="JD1239"/>
    </row>
    <row r="1240" spans="1:264" s="28" customFormat="1" x14ac:dyDescent="0.25">
      <c r="A1240" s="28">
        <v>58</v>
      </c>
      <c r="B1240" s="46" t="s">
        <v>4026</v>
      </c>
      <c r="C1240" s="28" t="s">
        <v>861</v>
      </c>
      <c r="D1240" s="28" t="s">
        <v>862</v>
      </c>
      <c r="E1240" s="28">
        <v>1990</v>
      </c>
      <c r="F1240" s="28">
        <v>1987</v>
      </c>
      <c r="G1240" s="28" t="s">
        <v>863</v>
      </c>
      <c r="H1240" s="28" t="s">
        <v>889</v>
      </c>
      <c r="I1240" s="32" t="s">
        <v>2815</v>
      </c>
      <c r="J1240" s="28">
        <v>38.92</v>
      </c>
      <c r="K1240" s="28">
        <v>-76.150000000000006</v>
      </c>
      <c r="L1240" s="28">
        <v>5</v>
      </c>
      <c r="O1240" s="28">
        <v>836</v>
      </c>
      <c r="R1240" s="46">
        <v>1</v>
      </c>
      <c r="S1240" s="46" t="s">
        <v>1847</v>
      </c>
      <c r="T1240" s="28" t="s">
        <v>864</v>
      </c>
      <c r="U1240" s="46" t="s">
        <v>882</v>
      </c>
      <c r="V1240" s="46" t="s">
        <v>1389</v>
      </c>
      <c r="W1240" s="46" t="s">
        <v>1720</v>
      </c>
      <c r="X1240" s="46" t="s">
        <v>1389</v>
      </c>
      <c r="Y1240" s="46" t="s">
        <v>1389</v>
      </c>
      <c r="Z1240" s="28">
        <v>1.5</v>
      </c>
      <c r="AA1240" s="326"/>
      <c r="AB1240" s="326"/>
      <c r="AC1240" s="28" t="s">
        <v>450</v>
      </c>
      <c r="AG1240" s="28" t="s">
        <v>1347</v>
      </c>
      <c r="AH1240" s="28" t="s">
        <v>131</v>
      </c>
      <c r="AI1240" s="138" t="s">
        <v>131</v>
      </c>
      <c r="AJ1240" s="28" t="s">
        <v>132</v>
      </c>
      <c r="AK1240" s="141" t="s">
        <v>132</v>
      </c>
      <c r="AO1240" s="28" t="s">
        <v>156</v>
      </c>
      <c r="AP1240" s="28" t="s">
        <v>156</v>
      </c>
      <c r="AQ1240" s="28" t="s">
        <v>2126</v>
      </c>
      <c r="AR1240" s="28" t="s">
        <v>2126</v>
      </c>
      <c r="AS1240" s="28" t="s">
        <v>177</v>
      </c>
      <c r="AW1240" s="28" t="s">
        <v>119</v>
      </c>
      <c r="AX1240" s="28">
        <v>4</v>
      </c>
      <c r="AZ1240" s="28" t="s">
        <v>335</v>
      </c>
      <c r="BP1240" s="401"/>
      <c r="BQ1240" s="401"/>
      <c r="BU1240" s="401"/>
      <c r="BV1240" s="401"/>
      <c r="BZ1240" s="401"/>
      <c r="CA1240" s="401"/>
      <c r="CE1240" s="554"/>
      <c r="CF1240" s="554"/>
      <c r="CG1240" s="554"/>
      <c r="CH1240" s="554"/>
      <c r="CJ1240" s="28">
        <v>38.520000000000003</v>
      </c>
      <c r="CK1240" s="28">
        <v>23.56</v>
      </c>
      <c r="CN1240" s="28" t="s">
        <v>888</v>
      </c>
    </row>
    <row r="1241" spans="1:264" s="28" customFormat="1" x14ac:dyDescent="0.25">
      <c r="A1241" s="28">
        <v>58</v>
      </c>
      <c r="B1241" s="46" t="s">
        <v>4026</v>
      </c>
      <c r="C1241" s="28" t="s">
        <v>861</v>
      </c>
      <c r="D1241" s="28" t="s">
        <v>862</v>
      </c>
      <c r="E1241" s="28">
        <v>1990</v>
      </c>
      <c r="F1241" s="28">
        <v>1988</v>
      </c>
      <c r="G1241" s="28" t="s">
        <v>863</v>
      </c>
      <c r="H1241" s="28" t="s">
        <v>889</v>
      </c>
      <c r="I1241" s="32" t="s">
        <v>2815</v>
      </c>
      <c r="J1241" s="28">
        <v>38.92</v>
      </c>
      <c r="K1241" s="28">
        <v>-76.150000000000006</v>
      </c>
      <c r="L1241" s="28">
        <v>5</v>
      </c>
      <c r="O1241" s="28">
        <v>836</v>
      </c>
      <c r="R1241" s="46">
        <v>2</v>
      </c>
      <c r="S1241" s="46" t="s">
        <v>1847</v>
      </c>
      <c r="T1241" s="28" t="s">
        <v>864</v>
      </c>
      <c r="U1241" s="46" t="s">
        <v>883</v>
      </c>
      <c r="V1241" s="46" t="s">
        <v>1389</v>
      </c>
      <c r="W1241" s="46" t="s">
        <v>1720</v>
      </c>
      <c r="X1241" s="46" t="s">
        <v>1389</v>
      </c>
      <c r="Y1241" s="46" t="s">
        <v>1389</v>
      </c>
      <c r="Z1241" s="28">
        <v>1.5</v>
      </c>
      <c r="AA1241" s="326"/>
      <c r="AB1241" s="326"/>
      <c r="AC1241" s="28" t="s">
        <v>450</v>
      </c>
      <c r="AG1241" s="28" t="s">
        <v>1347</v>
      </c>
      <c r="AH1241" s="28" t="s">
        <v>131</v>
      </c>
      <c r="AI1241" s="138" t="s">
        <v>131</v>
      </c>
      <c r="AJ1241" s="28" t="s">
        <v>132</v>
      </c>
      <c r="AK1241" s="141" t="s">
        <v>132</v>
      </c>
      <c r="AO1241" s="28" t="s">
        <v>156</v>
      </c>
      <c r="AP1241" s="28" t="s">
        <v>156</v>
      </c>
      <c r="AQ1241" s="28" t="s">
        <v>2126</v>
      </c>
      <c r="AR1241" s="28" t="s">
        <v>2126</v>
      </c>
      <c r="AS1241" s="28" t="s">
        <v>177</v>
      </c>
      <c r="AW1241" s="28" t="s">
        <v>119</v>
      </c>
      <c r="AX1241" s="28">
        <v>4</v>
      </c>
      <c r="AZ1241" s="28" t="s">
        <v>335</v>
      </c>
      <c r="BP1241" s="401"/>
      <c r="BQ1241" s="401"/>
      <c r="BU1241" s="401"/>
      <c r="BV1241" s="401"/>
      <c r="BZ1241" s="401"/>
      <c r="CA1241" s="401"/>
      <c r="CE1241" s="554"/>
      <c r="CF1241" s="554"/>
      <c r="CG1241" s="554"/>
      <c r="CH1241" s="554"/>
      <c r="CJ1241" s="28">
        <v>11.89</v>
      </c>
      <c r="CK1241" s="28">
        <v>6.27</v>
      </c>
      <c r="CN1241" s="28" t="s">
        <v>888</v>
      </c>
    </row>
    <row r="1242" spans="1:264" s="28" customFormat="1" x14ac:dyDescent="0.25">
      <c r="A1242" s="28">
        <v>58</v>
      </c>
      <c r="B1242" s="46" t="s">
        <v>4026</v>
      </c>
      <c r="C1242" s="28" t="s">
        <v>861</v>
      </c>
      <c r="D1242" s="28" t="s">
        <v>862</v>
      </c>
      <c r="E1242" s="28">
        <v>1990</v>
      </c>
      <c r="F1242" s="28">
        <v>1988</v>
      </c>
      <c r="G1242" s="28" t="s">
        <v>863</v>
      </c>
      <c r="H1242" s="28" t="s">
        <v>889</v>
      </c>
      <c r="I1242" s="32" t="s">
        <v>2815</v>
      </c>
      <c r="J1242" s="28">
        <v>38.92</v>
      </c>
      <c r="K1242" s="28">
        <v>-76.150000000000006</v>
      </c>
      <c r="L1242" s="28">
        <v>5</v>
      </c>
      <c r="O1242" s="28">
        <v>836</v>
      </c>
      <c r="R1242" s="46">
        <v>2</v>
      </c>
      <c r="S1242" s="46" t="s">
        <v>1847</v>
      </c>
      <c r="T1242" s="28" t="s">
        <v>864</v>
      </c>
      <c r="U1242" s="46" t="s">
        <v>780</v>
      </c>
      <c r="V1242" s="46" t="s">
        <v>1389</v>
      </c>
      <c r="W1242" s="46" t="s">
        <v>1720</v>
      </c>
      <c r="X1242" s="46" t="s">
        <v>1389</v>
      </c>
      <c r="Y1242" s="46" t="s">
        <v>1389</v>
      </c>
      <c r="Z1242" s="28">
        <v>1.5</v>
      </c>
      <c r="AA1242" s="326"/>
      <c r="AB1242" s="326"/>
      <c r="AC1242" s="28" t="s">
        <v>450</v>
      </c>
      <c r="AG1242" s="28" t="s">
        <v>1347</v>
      </c>
      <c r="AH1242" s="28" t="s">
        <v>131</v>
      </c>
      <c r="AI1242" s="138" t="s">
        <v>131</v>
      </c>
      <c r="AJ1242" s="28" t="s">
        <v>132</v>
      </c>
      <c r="AK1242" s="141" t="s">
        <v>132</v>
      </c>
      <c r="AO1242" s="28" t="s">
        <v>156</v>
      </c>
      <c r="AP1242" s="28" t="s">
        <v>156</v>
      </c>
      <c r="AQ1242" s="28" t="s">
        <v>2126</v>
      </c>
      <c r="AR1242" s="28" t="s">
        <v>2126</v>
      </c>
      <c r="AS1242" s="28" t="s">
        <v>177</v>
      </c>
      <c r="AW1242" s="28" t="s">
        <v>119</v>
      </c>
      <c r="AX1242" s="28">
        <v>4</v>
      </c>
      <c r="AZ1242" s="28" t="s">
        <v>335</v>
      </c>
      <c r="BP1242" s="401"/>
      <c r="BQ1242" s="401"/>
      <c r="BU1242" s="401"/>
      <c r="BV1242" s="401"/>
      <c r="BZ1242" s="401"/>
      <c r="CA1242" s="401"/>
      <c r="CE1242" s="554"/>
      <c r="CF1242" s="554"/>
      <c r="CG1242" s="554"/>
      <c r="CH1242" s="554"/>
      <c r="CJ1242" s="28">
        <v>0.74</v>
      </c>
      <c r="CK1242" s="28">
        <v>2.48</v>
      </c>
      <c r="CN1242" s="28" t="s">
        <v>888</v>
      </c>
    </row>
    <row r="1243" spans="1:264" s="28" customFormat="1" x14ac:dyDescent="0.25">
      <c r="A1243" s="28">
        <v>58</v>
      </c>
      <c r="B1243" s="46" t="s">
        <v>4026</v>
      </c>
      <c r="C1243" s="28" t="s">
        <v>861</v>
      </c>
      <c r="D1243" s="28" t="s">
        <v>862</v>
      </c>
      <c r="E1243" s="28">
        <v>1990</v>
      </c>
      <c r="F1243" s="28">
        <v>1988</v>
      </c>
      <c r="G1243" s="28" t="s">
        <v>863</v>
      </c>
      <c r="H1243" s="28" t="s">
        <v>889</v>
      </c>
      <c r="I1243" s="32" t="s">
        <v>2815</v>
      </c>
      <c r="J1243" s="28">
        <v>38.92</v>
      </c>
      <c r="K1243" s="28">
        <v>-76.150000000000006</v>
      </c>
      <c r="L1243" s="28">
        <v>5</v>
      </c>
      <c r="O1243" s="28">
        <v>836</v>
      </c>
      <c r="R1243" s="46">
        <v>2</v>
      </c>
      <c r="S1243" s="46" t="s">
        <v>1847</v>
      </c>
      <c r="T1243" s="28" t="s">
        <v>864</v>
      </c>
      <c r="U1243" s="46" t="s">
        <v>884</v>
      </c>
      <c r="V1243" s="46" t="s">
        <v>1389</v>
      </c>
      <c r="W1243" s="46" t="s">
        <v>1720</v>
      </c>
      <c r="X1243" s="46" t="s">
        <v>1389</v>
      </c>
      <c r="Y1243" s="46" t="s">
        <v>1389</v>
      </c>
      <c r="Z1243" s="28">
        <v>1.5</v>
      </c>
      <c r="AA1243" s="326"/>
      <c r="AB1243" s="326"/>
      <c r="AC1243" s="28" t="s">
        <v>450</v>
      </c>
      <c r="AG1243" s="28" t="s">
        <v>1347</v>
      </c>
      <c r="AH1243" s="28" t="s">
        <v>131</v>
      </c>
      <c r="AI1243" s="138" t="s">
        <v>131</v>
      </c>
      <c r="AJ1243" s="28" t="s">
        <v>132</v>
      </c>
      <c r="AK1243" s="141" t="s">
        <v>132</v>
      </c>
      <c r="AO1243" s="28" t="s">
        <v>156</v>
      </c>
      <c r="AP1243" s="28" t="s">
        <v>156</v>
      </c>
      <c r="AQ1243" s="28" t="s">
        <v>2126</v>
      </c>
      <c r="AR1243" s="28" t="s">
        <v>2126</v>
      </c>
      <c r="AS1243" s="28" t="s">
        <v>177</v>
      </c>
      <c r="AW1243" s="28" t="s">
        <v>119</v>
      </c>
      <c r="AX1243" s="28">
        <v>4</v>
      </c>
      <c r="AZ1243" s="28" t="s">
        <v>335</v>
      </c>
      <c r="BP1243" s="401"/>
      <c r="BQ1243" s="401"/>
      <c r="BU1243" s="401"/>
      <c r="BV1243" s="401"/>
      <c r="BZ1243" s="401"/>
      <c r="CA1243" s="401"/>
      <c r="CE1243" s="554"/>
      <c r="CF1243" s="554"/>
      <c r="CG1243" s="554"/>
      <c r="CH1243" s="554"/>
      <c r="CJ1243" s="28">
        <v>0.31</v>
      </c>
      <c r="CK1243" s="28">
        <v>13.04</v>
      </c>
      <c r="CN1243" s="28" t="s">
        <v>888</v>
      </c>
    </row>
    <row r="1244" spans="1:264" s="28" customFormat="1" x14ac:dyDescent="0.25">
      <c r="A1244" s="28">
        <v>58</v>
      </c>
      <c r="B1244" s="46" t="s">
        <v>4026</v>
      </c>
      <c r="C1244" s="28" t="s">
        <v>861</v>
      </c>
      <c r="D1244" s="28" t="s">
        <v>862</v>
      </c>
      <c r="E1244" s="28">
        <v>1990</v>
      </c>
      <c r="F1244" s="28">
        <v>1988</v>
      </c>
      <c r="G1244" s="28" t="s">
        <v>863</v>
      </c>
      <c r="H1244" s="28" t="s">
        <v>889</v>
      </c>
      <c r="I1244" s="32" t="s">
        <v>2815</v>
      </c>
      <c r="J1244" s="28">
        <v>38.92</v>
      </c>
      <c r="K1244" s="28">
        <v>-76.150000000000006</v>
      </c>
      <c r="L1244" s="28">
        <v>5</v>
      </c>
      <c r="O1244" s="28">
        <v>836</v>
      </c>
      <c r="R1244" s="46">
        <v>2</v>
      </c>
      <c r="S1244" s="46" t="s">
        <v>1847</v>
      </c>
      <c r="T1244" s="28" t="s">
        <v>864</v>
      </c>
      <c r="U1244" s="46" t="s">
        <v>887</v>
      </c>
      <c r="V1244" s="46" t="s">
        <v>1389</v>
      </c>
      <c r="W1244" s="46" t="s">
        <v>1720</v>
      </c>
      <c r="X1244" s="46" t="s">
        <v>1389</v>
      </c>
      <c r="Y1244" s="46" t="s">
        <v>1389</v>
      </c>
      <c r="Z1244" s="28">
        <v>1.5</v>
      </c>
      <c r="AA1244" s="326"/>
      <c r="AB1244" s="326"/>
      <c r="AC1244" s="28" t="s">
        <v>450</v>
      </c>
      <c r="AG1244" s="28" t="s">
        <v>1347</v>
      </c>
      <c r="AH1244" s="28" t="s">
        <v>131</v>
      </c>
      <c r="AI1244" s="138" t="s">
        <v>131</v>
      </c>
      <c r="AJ1244" s="28" t="s">
        <v>132</v>
      </c>
      <c r="AK1244" s="141" t="s">
        <v>132</v>
      </c>
      <c r="AO1244" s="28" t="s">
        <v>156</v>
      </c>
      <c r="AP1244" s="28" t="s">
        <v>156</v>
      </c>
      <c r="AQ1244" s="28" t="s">
        <v>2126</v>
      </c>
      <c r="AR1244" s="28" t="s">
        <v>2126</v>
      </c>
      <c r="AS1244" s="28" t="s">
        <v>177</v>
      </c>
      <c r="AW1244" s="28" t="s">
        <v>119</v>
      </c>
      <c r="AX1244" s="28">
        <v>4</v>
      </c>
      <c r="AZ1244" s="28" t="s">
        <v>335</v>
      </c>
      <c r="BP1244" s="401"/>
      <c r="BQ1244" s="401"/>
      <c r="BU1244" s="401"/>
      <c r="BV1244" s="401"/>
      <c r="BZ1244" s="401"/>
      <c r="CA1244" s="401"/>
      <c r="CE1244" s="554"/>
      <c r="CF1244" s="554"/>
      <c r="CG1244" s="554"/>
      <c r="CH1244" s="554"/>
      <c r="CJ1244" s="28">
        <v>18.89</v>
      </c>
      <c r="CK1244" s="28">
        <v>33.33</v>
      </c>
      <c r="CN1244" s="28" t="s">
        <v>888</v>
      </c>
    </row>
    <row r="1245" spans="1:264" s="28" customFormat="1" x14ac:dyDescent="0.25">
      <c r="A1245" s="28">
        <v>58</v>
      </c>
      <c r="B1245" s="46" t="s">
        <v>4026</v>
      </c>
      <c r="C1245" s="28" t="s">
        <v>861</v>
      </c>
      <c r="D1245" s="28" t="s">
        <v>862</v>
      </c>
      <c r="E1245" s="28">
        <v>1990</v>
      </c>
      <c r="F1245" s="28">
        <v>1988</v>
      </c>
      <c r="G1245" s="28" t="s">
        <v>863</v>
      </c>
      <c r="H1245" s="28" t="s">
        <v>889</v>
      </c>
      <c r="I1245" s="32" t="s">
        <v>2815</v>
      </c>
      <c r="J1245" s="28">
        <v>38.92</v>
      </c>
      <c r="K1245" s="28">
        <v>-76.150000000000006</v>
      </c>
      <c r="L1245" s="28">
        <v>5</v>
      </c>
      <c r="O1245" s="28">
        <v>836</v>
      </c>
      <c r="R1245" s="46">
        <v>2</v>
      </c>
      <c r="S1245" s="46" t="s">
        <v>1847</v>
      </c>
      <c r="T1245" s="28" t="s">
        <v>864</v>
      </c>
      <c r="U1245" s="46" t="s">
        <v>885</v>
      </c>
      <c r="V1245" s="46" t="s">
        <v>1389</v>
      </c>
      <c r="W1245" s="46" t="s">
        <v>1720</v>
      </c>
      <c r="X1245" s="46" t="s">
        <v>1389</v>
      </c>
      <c r="Y1245" s="46" t="s">
        <v>1389</v>
      </c>
      <c r="Z1245" s="28">
        <v>1.5</v>
      </c>
      <c r="AA1245" s="326"/>
      <c r="AB1245" s="326"/>
      <c r="AC1245" s="28" t="s">
        <v>450</v>
      </c>
      <c r="AG1245" s="28" t="s">
        <v>1347</v>
      </c>
      <c r="AH1245" s="28" t="s">
        <v>131</v>
      </c>
      <c r="AI1245" s="138" t="s">
        <v>131</v>
      </c>
      <c r="AJ1245" s="28" t="s">
        <v>132</v>
      </c>
      <c r="AK1245" s="141" t="s">
        <v>132</v>
      </c>
      <c r="AO1245" s="28" t="s">
        <v>156</v>
      </c>
      <c r="AP1245" s="28" t="s">
        <v>156</v>
      </c>
      <c r="AQ1245" s="28" t="s">
        <v>2126</v>
      </c>
      <c r="AR1245" s="28" t="s">
        <v>2126</v>
      </c>
      <c r="AS1245" s="28" t="s">
        <v>177</v>
      </c>
      <c r="AW1245" s="28" t="s">
        <v>119</v>
      </c>
      <c r="AX1245" s="28">
        <v>4</v>
      </c>
      <c r="AZ1245" s="28" t="s">
        <v>335</v>
      </c>
      <c r="BP1245" s="401"/>
      <c r="BQ1245" s="401"/>
      <c r="BU1245" s="401"/>
      <c r="BV1245" s="401"/>
      <c r="BZ1245" s="401"/>
      <c r="CA1245" s="401"/>
      <c r="CE1245" s="554"/>
      <c r="CF1245" s="554"/>
      <c r="CG1245" s="554"/>
      <c r="CH1245" s="554"/>
      <c r="CJ1245" s="28">
        <v>28.93</v>
      </c>
      <c r="CK1245" s="28">
        <v>28.93</v>
      </c>
      <c r="CN1245" s="28" t="s">
        <v>888</v>
      </c>
    </row>
    <row r="1246" spans="1:264" s="28" customFormat="1" x14ac:dyDescent="0.25">
      <c r="A1246" s="28">
        <v>58</v>
      </c>
      <c r="B1246" s="46" t="s">
        <v>4026</v>
      </c>
      <c r="C1246" s="28" t="s">
        <v>861</v>
      </c>
      <c r="D1246" s="28" t="s">
        <v>862</v>
      </c>
      <c r="E1246" s="28">
        <v>1990</v>
      </c>
      <c r="F1246" s="28">
        <v>1988</v>
      </c>
      <c r="G1246" s="28" t="s">
        <v>863</v>
      </c>
      <c r="H1246" s="28" t="s">
        <v>889</v>
      </c>
      <c r="I1246" s="32" t="s">
        <v>2815</v>
      </c>
      <c r="J1246" s="28">
        <v>38.92</v>
      </c>
      <c r="K1246" s="28">
        <v>-76.150000000000006</v>
      </c>
      <c r="L1246" s="28">
        <v>5</v>
      </c>
      <c r="O1246" s="28">
        <v>836</v>
      </c>
      <c r="R1246" s="46">
        <v>2</v>
      </c>
      <c r="S1246" s="46" t="s">
        <v>1847</v>
      </c>
      <c r="T1246" s="28" t="s">
        <v>864</v>
      </c>
      <c r="U1246" s="46" t="s">
        <v>886</v>
      </c>
      <c r="V1246" s="46" t="s">
        <v>1389</v>
      </c>
      <c r="W1246" s="46" t="s">
        <v>1720</v>
      </c>
      <c r="X1246" s="46" t="s">
        <v>1389</v>
      </c>
      <c r="Y1246" s="46" t="s">
        <v>1389</v>
      </c>
      <c r="Z1246" s="28">
        <v>1.5</v>
      </c>
      <c r="AA1246" s="326"/>
      <c r="AB1246" s="326"/>
      <c r="AC1246" s="28" t="s">
        <v>450</v>
      </c>
      <c r="AG1246" s="28" t="s">
        <v>1347</v>
      </c>
      <c r="AH1246" s="28" t="s">
        <v>131</v>
      </c>
      <c r="AI1246" s="138" t="s">
        <v>131</v>
      </c>
      <c r="AJ1246" s="28" t="s">
        <v>132</v>
      </c>
      <c r="AK1246" s="141" t="s">
        <v>132</v>
      </c>
      <c r="AO1246" s="28" t="s">
        <v>156</v>
      </c>
      <c r="AP1246" s="28" t="s">
        <v>156</v>
      </c>
      <c r="AQ1246" s="28" t="s">
        <v>2126</v>
      </c>
      <c r="AR1246" s="28" t="s">
        <v>2126</v>
      </c>
      <c r="AS1246" s="28" t="s">
        <v>177</v>
      </c>
      <c r="AW1246" s="28" t="s">
        <v>119</v>
      </c>
      <c r="AX1246" s="28">
        <v>4</v>
      </c>
      <c r="AZ1246" s="28" t="s">
        <v>335</v>
      </c>
      <c r="BP1246" s="401"/>
      <c r="BQ1246" s="401"/>
      <c r="BU1246" s="401"/>
      <c r="BV1246" s="401"/>
      <c r="BZ1246" s="401"/>
      <c r="CA1246" s="401"/>
      <c r="CE1246" s="554"/>
      <c r="CF1246" s="554"/>
      <c r="CG1246" s="554"/>
      <c r="CH1246" s="554"/>
      <c r="CJ1246" s="28">
        <v>9.57</v>
      </c>
      <c r="CK1246" s="28">
        <v>64.98</v>
      </c>
      <c r="CN1246" s="28" t="s">
        <v>888</v>
      </c>
    </row>
    <row r="1247" spans="1:264" s="40" customFormat="1" x14ac:dyDescent="0.25">
      <c r="A1247" s="40">
        <v>59</v>
      </c>
      <c r="B1247" s="71" t="s">
        <v>4027</v>
      </c>
      <c r="C1247" s="40" t="s">
        <v>861</v>
      </c>
      <c r="D1247" s="40" t="s">
        <v>862</v>
      </c>
      <c r="E1247" s="40">
        <v>1997</v>
      </c>
      <c r="F1247" s="40">
        <v>1990</v>
      </c>
      <c r="G1247" s="40" t="s">
        <v>863</v>
      </c>
      <c r="H1247" s="40" t="s">
        <v>889</v>
      </c>
      <c r="I1247" s="32" t="s">
        <v>2815</v>
      </c>
      <c r="J1247" s="40">
        <v>38.92</v>
      </c>
      <c r="K1247" s="40">
        <v>-76.150000000000006</v>
      </c>
      <c r="L1247" s="40">
        <v>5</v>
      </c>
      <c r="O1247" s="40">
        <v>1007</v>
      </c>
      <c r="R1247" s="71">
        <v>4</v>
      </c>
      <c r="S1247" s="71" t="s">
        <v>1860</v>
      </c>
      <c r="T1247" s="71" t="s">
        <v>864</v>
      </c>
      <c r="U1247" s="71" t="s">
        <v>1983</v>
      </c>
      <c r="V1247" s="71" t="s">
        <v>1389</v>
      </c>
      <c r="W1247" s="71" t="s">
        <v>1720</v>
      </c>
      <c r="X1247" s="71" t="s">
        <v>1389</v>
      </c>
      <c r="Y1247" s="71" t="s">
        <v>1417</v>
      </c>
      <c r="Z1247" s="40">
        <v>1.5</v>
      </c>
      <c r="AA1247" s="341"/>
      <c r="AB1247" s="341"/>
      <c r="AC1247" s="40" t="s">
        <v>450</v>
      </c>
      <c r="AG1247" s="40" t="s">
        <v>1347</v>
      </c>
      <c r="AH1247" s="40" t="s">
        <v>131</v>
      </c>
      <c r="AI1247" s="138" t="s">
        <v>131</v>
      </c>
      <c r="AJ1247" s="40" t="s">
        <v>132</v>
      </c>
      <c r="AK1247" s="140" t="s">
        <v>132</v>
      </c>
      <c r="AO1247" s="40" t="s">
        <v>156</v>
      </c>
      <c r="AP1247" s="40" t="s">
        <v>156</v>
      </c>
      <c r="AQ1247" s="40" t="s">
        <v>2126</v>
      </c>
      <c r="AR1247" s="40" t="s">
        <v>2126</v>
      </c>
      <c r="AS1247" s="40" t="s">
        <v>177</v>
      </c>
      <c r="AT1247" s="40" t="s">
        <v>891</v>
      </c>
      <c r="AU1247" s="40" t="s">
        <v>891</v>
      </c>
      <c r="AV1247" s="40" t="s">
        <v>177</v>
      </c>
      <c r="AW1247" s="40" t="s">
        <v>119</v>
      </c>
      <c r="AX1247" s="40">
        <v>4</v>
      </c>
      <c r="AZ1247" s="40" t="s">
        <v>335</v>
      </c>
      <c r="BB1247" s="40">
        <v>4048</v>
      </c>
      <c r="BC1247" s="40">
        <f>BB1247/85</f>
        <v>47.623529411764707</v>
      </c>
      <c r="BF1247" s="40">
        <v>8809</v>
      </c>
      <c r="BG1247" s="40">
        <v>9447</v>
      </c>
      <c r="BJ1247" s="40" t="s">
        <v>890</v>
      </c>
      <c r="BK1247" s="40">
        <v>9483</v>
      </c>
      <c r="BL1247" s="40">
        <v>10049</v>
      </c>
      <c r="BP1247" s="416"/>
      <c r="BQ1247" s="416"/>
      <c r="BU1247" s="416"/>
      <c r="BV1247" s="416"/>
      <c r="BZ1247" s="416"/>
      <c r="CA1247" s="416"/>
      <c r="CE1247" s="569"/>
      <c r="CF1247" s="569"/>
      <c r="CG1247" s="569"/>
      <c r="CH1247" s="569"/>
      <c r="FB1247" s="40">
        <v>27</v>
      </c>
      <c r="FC1247" s="40">
        <v>1.5</v>
      </c>
      <c r="FF1247" s="87" t="s">
        <v>893</v>
      </c>
    </row>
    <row r="1248" spans="1:264" s="40" customFormat="1" x14ac:dyDescent="0.25">
      <c r="A1248" s="40">
        <v>59</v>
      </c>
      <c r="B1248" s="71" t="s">
        <v>4027</v>
      </c>
      <c r="C1248" s="40" t="s">
        <v>861</v>
      </c>
      <c r="D1248" s="40" t="s">
        <v>862</v>
      </c>
      <c r="E1248" s="40">
        <v>1997</v>
      </c>
      <c r="F1248" s="40">
        <v>1991</v>
      </c>
      <c r="G1248" s="40" t="s">
        <v>863</v>
      </c>
      <c r="H1248" s="40" t="s">
        <v>889</v>
      </c>
      <c r="I1248" s="32" t="s">
        <v>2815</v>
      </c>
      <c r="J1248" s="40">
        <v>38.92</v>
      </c>
      <c r="K1248" s="40">
        <v>-76.150000000000006</v>
      </c>
      <c r="L1248" s="40">
        <v>5</v>
      </c>
      <c r="O1248" s="40">
        <v>997</v>
      </c>
      <c r="R1248" s="71">
        <v>5</v>
      </c>
      <c r="S1248" s="71" t="s">
        <v>1860</v>
      </c>
      <c r="T1248" s="71" t="s">
        <v>864</v>
      </c>
      <c r="U1248" s="71" t="s">
        <v>1983</v>
      </c>
      <c r="V1248" s="71" t="s">
        <v>1389</v>
      </c>
      <c r="W1248" s="71" t="s">
        <v>1720</v>
      </c>
      <c r="X1248" s="71" t="s">
        <v>1389</v>
      </c>
      <c r="Y1248" s="71" t="s">
        <v>1417</v>
      </c>
      <c r="Z1248" s="40">
        <v>1.5</v>
      </c>
      <c r="AA1248" s="341"/>
      <c r="AB1248" s="341"/>
      <c r="AC1248" s="40" t="s">
        <v>450</v>
      </c>
      <c r="AG1248" s="40" t="s">
        <v>1347</v>
      </c>
      <c r="AH1248" s="40" t="s">
        <v>131</v>
      </c>
      <c r="AI1248" s="138" t="s">
        <v>131</v>
      </c>
      <c r="AJ1248" s="40" t="s">
        <v>132</v>
      </c>
      <c r="AK1248" s="140" t="s">
        <v>132</v>
      </c>
      <c r="AO1248" s="40" t="s">
        <v>156</v>
      </c>
      <c r="AP1248" s="40" t="s">
        <v>156</v>
      </c>
      <c r="AQ1248" s="40" t="s">
        <v>2126</v>
      </c>
      <c r="AR1248" s="40" t="s">
        <v>2126</v>
      </c>
      <c r="AS1248" s="40" t="s">
        <v>177</v>
      </c>
      <c r="AT1248" s="40" t="s">
        <v>891</v>
      </c>
      <c r="AU1248" s="40" t="s">
        <v>891</v>
      </c>
      <c r="AV1248" s="40" t="s">
        <v>177</v>
      </c>
      <c r="AW1248" s="40" t="s">
        <v>119</v>
      </c>
      <c r="AX1248" s="40">
        <v>4</v>
      </c>
      <c r="AZ1248" s="40" t="s">
        <v>335</v>
      </c>
      <c r="BB1248" s="40">
        <v>1793</v>
      </c>
      <c r="BC1248" s="40">
        <f>BB1248/25.9</f>
        <v>69.227799227799238</v>
      </c>
      <c r="BF1248" s="40">
        <v>7462</v>
      </c>
      <c r="BG1248" s="40">
        <v>8171</v>
      </c>
      <c r="BJ1248" s="40" t="s">
        <v>890</v>
      </c>
      <c r="BK1248" s="40">
        <v>9096</v>
      </c>
      <c r="BL1248" s="40">
        <v>9104</v>
      </c>
      <c r="BP1248" s="416"/>
      <c r="BQ1248" s="416"/>
      <c r="BU1248" s="416"/>
      <c r="BV1248" s="416"/>
      <c r="BZ1248" s="416"/>
      <c r="CA1248" s="416"/>
      <c r="CE1248" s="569"/>
      <c r="CF1248" s="569"/>
      <c r="CG1248" s="569"/>
      <c r="CH1248" s="569"/>
      <c r="FB1248" s="40">
        <v>25</v>
      </c>
      <c r="FC1248" s="40">
        <v>0.5</v>
      </c>
      <c r="FF1248" s="87" t="s">
        <v>893</v>
      </c>
    </row>
    <row r="1249" spans="1:162" s="40" customFormat="1" x14ac:dyDescent="0.25">
      <c r="A1249" s="40">
        <v>59</v>
      </c>
      <c r="B1249" s="71" t="s">
        <v>4027</v>
      </c>
      <c r="C1249" s="40" t="s">
        <v>861</v>
      </c>
      <c r="D1249" s="40" t="s">
        <v>862</v>
      </c>
      <c r="E1249" s="40">
        <v>1997</v>
      </c>
      <c r="F1249" s="40">
        <v>1992</v>
      </c>
      <c r="G1249" s="40" t="s">
        <v>863</v>
      </c>
      <c r="H1249" s="40" t="s">
        <v>889</v>
      </c>
      <c r="I1249" s="32" t="s">
        <v>2815</v>
      </c>
      <c r="J1249" s="40">
        <v>38.92</v>
      </c>
      <c r="K1249" s="40">
        <v>-76.150000000000006</v>
      </c>
      <c r="L1249" s="40">
        <v>5</v>
      </c>
      <c r="O1249" s="40">
        <v>866</v>
      </c>
      <c r="R1249" s="71">
        <v>6</v>
      </c>
      <c r="S1249" s="71" t="s">
        <v>1860</v>
      </c>
      <c r="T1249" s="71" t="s">
        <v>864</v>
      </c>
      <c r="U1249" s="71" t="s">
        <v>1983</v>
      </c>
      <c r="V1249" s="71" t="s">
        <v>1389</v>
      </c>
      <c r="W1249" s="71" t="s">
        <v>1720</v>
      </c>
      <c r="X1249" s="71" t="s">
        <v>1389</v>
      </c>
      <c r="Y1249" s="71" t="s">
        <v>1417</v>
      </c>
      <c r="Z1249" s="40">
        <v>1.5</v>
      </c>
      <c r="AA1249" s="341"/>
      <c r="AB1249" s="341"/>
      <c r="AC1249" s="40" t="s">
        <v>450</v>
      </c>
      <c r="AG1249" s="40" t="s">
        <v>1347</v>
      </c>
      <c r="AH1249" s="40" t="s">
        <v>131</v>
      </c>
      <c r="AI1249" s="138" t="s">
        <v>131</v>
      </c>
      <c r="AJ1249" s="40" t="s">
        <v>132</v>
      </c>
      <c r="AK1249" s="140" t="s">
        <v>132</v>
      </c>
      <c r="AO1249" s="40" t="s">
        <v>156</v>
      </c>
      <c r="AP1249" s="40" t="s">
        <v>156</v>
      </c>
      <c r="AQ1249" s="40" t="s">
        <v>2126</v>
      </c>
      <c r="AR1249" s="40" t="s">
        <v>2126</v>
      </c>
      <c r="AS1249" s="40" t="s">
        <v>177</v>
      </c>
      <c r="AT1249" s="40" t="s">
        <v>891</v>
      </c>
      <c r="AU1249" s="40" t="s">
        <v>891</v>
      </c>
      <c r="AV1249" s="40" t="s">
        <v>177</v>
      </c>
      <c r="AW1249" s="40" t="s">
        <v>119</v>
      </c>
      <c r="AX1249" s="40">
        <v>4</v>
      </c>
      <c r="AZ1249" s="40" t="s">
        <v>335</v>
      </c>
      <c r="BB1249" s="40">
        <v>2053</v>
      </c>
      <c r="BC1249" s="40">
        <f>BB1249/40.5</f>
        <v>50.691358024691361</v>
      </c>
      <c r="BF1249" s="40">
        <v>8245</v>
      </c>
      <c r="BG1249" s="40">
        <v>7689</v>
      </c>
      <c r="BJ1249" s="40" t="s">
        <v>890</v>
      </c>
      <c r="BK1249" s="40">
        <v>10898</v>
      </c>
      <c r="BL1249" s="40">
        <v>9920</v>
      </c>
      <c r="BP1249" s="416"/>
      <c r="BQ1249" s="416"/>
      <c r="BU1249" s="416"/>
      <c r="BV1249" s="416"/>
      <c r="BZ1249" s="416"/>
      <c r="CA1249" s="416"/>
      <c r="CE1249" s="569"/>
      <c r="CF1249" s="569"/>
      <c r="CG1249" s="569"/>
      <c r="CH1249" s="569"/>
      <c r="FB1249" s="40">
        <v>12</v>
      </c>
      <c r="FC1249" s="40">
        <v>0.8</v>
      </c>
      <c r="FF1249" s="87" t="s">
        <v>893</v>
      </c>
    </row>
    <row r="1250" spans="1:162" s="40" customFormat="1" x14ac:dyDescent="0.25">
      <c r="A1250" s="40">
        <v>59</v>
      </c>
      <c r="B1250" s="71" t="s">
        <v>4027</v>
      </c>
      <c r="C1250" s="40" t="s">
        <v>861</v>
      </c>
      <c r="D1250" s="40" t="s">
        <v>862</v>
      </c>
      <c r="E1250" s="40">
        <v>1997</v>
      </c>
      <c r="F1250" s="40">
        <v>1993</v>
      </c>
      <c r="G1250" s="40" t="s">
        <v>863</v>
      </c>
      <c r="H1250" s="40" t="s">
        <v>889</v>
      </c>
      <c r="I1250" s="32" t="s">
        <v>2815</v>
      </c>
      <c r="J1250" s="40">
        <v>38.92</v>
      </c>
      <c r="K1250" s="40">
        <v>-76.150000000000006</v>
      </c>
      <c r="L1250" s="40">
        <v>5</v>
      </c>
      <c r="O1250" s="40">
        <v>972</v>
      </c>
      <c r="R1250" s="71">
        <v>7</v>
      </c>
      <c r="S1250" s="71" t="s">
        <v>1860</v>
      </c>
      <c r="T1250" s="71" t="s">
        <v>864</v>
      </c>
      <c r="U1250" s="71" t="s">
        <v>1983</v>
      </c>
      <c r="V1250" s="71" t="s">
        <v>1389</v>
      </c>
      <c r="W1250" s="71" t="s">
        <v>1720</v>
      </c>
      <c r="X1250" s="71" t="s">
        <v>1389</v>
      </c>
      <c r="Y1250" s="71" t="s">
        <v>1417</v>
      </c>
      <c r="Z1250" s="40">
        <v>1.5</v>
      </c>
      <c r="AA1250" s="341"/>
      <c r="AB1250" s="341"/>
      <c r="AC1250" s="40" t="s">
        <v>450</v>
      </c>
      <c r="AG1250" s="40" t="s">
        <v>1347</v>
      </c>
      <c r="AH1250" s="40" t="s">
        <v>131</v>
      </c>
      <c r="AI1250" s="138" t="s">
        <v>131</v>
      </c>
      <c r="AJ1250" s="40" t="s">
        <v>132</v>
      </c>
      <c r="AK1250" s="140" t="s">
        <v>132</v>
      </c>
      <c r="AO1250" s="40" t="s">
        <v>156</v>
      </c>
      <c r="AP1250" s="40" t="s">
        <v>156</v>
      </c>
      <c r="AQ1250" s="40" t="s">
        <v>2126</v>
      </c>
      <c r="AR1250" s="40" t="s">
        <v>2126</v>
      </c>
      <c r="AS1250" s="40" t="s">
        <v>177</v>
      </c>
      <c r="AT1250" s="40" t="s">
        <v>891</v>
      </c>
      <c r="AU1250" s="40" t="s">
        <v>891</v>
      </c>
      <c r="AV1250" s="40" t="s">
        <v>177</v>
      </c>
      <c r="AW1250" s="40" t="s">
        <v>119</v>
      </c>
      <c r="AX1250" s="40">
        <v>4</v>
      </c>
      <c r="AZ1250" s="40" t="s">
        <v>335</v>
      </c>
      <c r="BB1250" s="40">
        <v>1873</v>
      </c>
      <c r="BC1250" s="40">
        <f>BB1250/37.3</f>
        <v>50.21447721179625</v>
      </c>
      <c r="BF1250" s="40">
        <v>7455</v>
      </c>
      <c r="BG1250" s="40">
        <v>8732</v>
      </c>
      <c r="BJ1250" s="40" t="s">
        <v>890</v>
      </c>
      <c r="BK1250" s="40">
        <v>7421</v>
      </c>
      <c r="BL1250" s="40">
        <v>8586</v>
      </c>
      <c r="BP1250" s="416"/>
      <c r="BQ1250" s="416"/>
      <c r="BU1250" s="416"/>
      <c r="BV1250" s="416"/>
      <c r="BZ1250" s="416"/>
      <c r="CA1250" s="416"/>
      <c r="CE1250" s="569"/>
      <c r="CF1250" s="569"/>
      <c r="CG1250" s="569"/>
      <c r="CH1250" s="569"/>
      <c r="FB1250" s="40">
        <v>9</v>
      </c>
      <c r="FC1250" s="40">
        <v>2.2999999999999998</v>
      </c>
      <c r="FF1250" s="87" t="s">
        <v>893</v>
      </c>
    </row>
    <row r="1251" spans="1:162" s="40" customFormat="1" x14ac:dyDescent="0.25">
      <c r="A1251" s="40">
        <v>59</v>
      </c>
      <c r="B1251" s="71" t="s">
        <v>4027</v>
      </c>
      <c r="C1251" s="40" t="s">
        <v>861</v>
      </c>
      <c r="D1251" s="40" t="s">
        <v>862</v>
      </c>
      <c r="E1251" s="40">
        <v>1997</v>
      </c>
      <c r="F1251" s="40">
        <v>1994</v>
      </c>
      <c r="G1251" s="40" t="s">
        <v>863</v>
      </c>
      <c r="H1251" s="40" t="s">
        <v>889</v>
      </c>
      <c r="I1251" s="32" t="s">
        <v>2815</v>
      </c>
      <c r="J1251" s="40">
        <v>38.92</v>
      </c>
      <c r="K1251" s="40">
        <v>-76.150000000000006</v>
      </c>
      <c r="L1251" s="40">
        <v>5</v>
      </c>
      <c r="O1251" s="40">
        <v>1275</v>
      </c>
      <c r="R1251" s="71">
        <v>8</v>
      </c>
      <c r="S1251" s="71" t="s">
        <v>1860</v>
      </c>
      <c r="T1251" s="71" t="s">
        <v>864</v>
      </c>
      <c r="U1251" s="71" t="s">
        <v>1983</v>
      </c>
      <c r="V1251" s="71" t="s">
        <v>1389</v>
      </c>
      <c r="W1251" s="71" t="s">
        <v>1720</v>
      </c>
      <c r="X1251" s="71" t="s">
        <v>1389</v>
      </c>
      <c r="Y1251" s="71" t="s">
        <v>1417</v>
      </c>
      <c r="Z1251" s="40">
        <v>1.5</v>
      </c>
      <c r="AA1251" s="341"/>
      <c r="AB1251" s="341"/>
      <c r="AC1251" s="40" t="s">
        <v>450</v>
      </c>
      <c r="AG1251" s="40" t="s">
        <v>1347</v>
      </c>
      <c r="AH1251" s="40" t="s">
        <v>131</v>
      </c>
      <c r="AI1251" s="138" t="s">
        <v>131</v>
      </c>
      <c r="AJ1251" s="40" t="s">
        <v>132</v>
      </c>
      <c r="AK1251" s="140" t="s">
        <v>132</v>
      </c>
      <c r="AO1251" s="40" t="s">
        <v>156</v>
      </c>
      <c r="AP1251" s="40" t="s">
        <v>156</v>
      </c>
      <c r="AQ1251" s="40" t="s">
        <v>2126</v>
      </c>
      <c r="AR1251" s="40" t="s">
        <v>2126</v>
      </c>
      <c r="AS1251" s="40" t="s">
        <v>177</v>
      </c>
      <c r="AT1251" s="40" t="s">
        <v>891</v>
      </c>
      <c r="AU1251" s="40" t="s">
        <v>891</v>
      </c>
      <c r="AV1251" s="40" t="s">
        <v>177</v>
      </c>
      <c r="AW1251" s="40" t="s">
        <v>119</v>
      </c>
      <c r="AX1251" s="40">
        <v>4</v>
      </c>
      <c r="AZ1251" s="40" t="s">
        <v>335</v>
      </c>
      <c r="BB1251" s="40">
        <v>3645</v>
      </c>
      <c r="BC1251" s="40">
        <f>BB1251/59.2</f>
        <v>61.570945945945944</v>
      </c>
      <c r="BF1251" s="40">
        <v>9114</v>
      </c>
      <c r="BG1251" s="40">
        <v>9261</v>
      </c>
      <c r="BJ1251" s="40" t="s">
        <v>890</v>
      </c>
      <c r="BK1251" s="40">
        <v>10036</v>
      </c>
      <c r="BL1251" s="40">
        <v>10042</v>
      </c>
      <c r="BP1251" s="416"/>
      <c r="BQ1251" s="416"/>
      <c r="BU1251" s="416"/>
      <c r="BV1251" s="416"/>
      <c r="BZ1251" s="416"/>
      <c r="CA1251" s="416"/>
      <c r="CE1251" s="569"/>
      <c r="CF1251" s="569"/>
      <c r="CG1251" s="569"/>
      <c r="CH1251" s="569"/>
      <c r="FB1251" s="40">
        <v>11</v>
      </c>
      <c r="FC1251" s="40">
        <v>1.4</v>
      </c>
      <c r="FF1251" s="87" t="s">
        <v>893</v>
      </c>
    </row>
    <row r="1252" spans="1:162" s="40" customFormat="1" x14ac:dyDescent="0.25">
      <c r="A1252" s="40">
        <v>59</v>
      </c>
      <c r="B1252" s="71" t="s">
        <v>4027</v>
      </c>
      <c r="C1252" s="40" t="s">
        <v>861</v>
      </c>
      <c r="D1252" s="40" t="s">
        <v>862</v>
      </c>
      <c r="E1252" s="40">
        <v>1997</v>
      </c>
      <c r="F1252" s="40">
        <v>1995</v>
      </c>
      <c r="G1252" s="40" t="s">
        <v>863</v>
      </c>
      <c r="H1252" s="40" t="s">
        <v>889</v>
      </c>
      <c r="I1252" s="32" t="s">
        <v>2815</v>
      </c>
      <c r="J1252" s="40">
        <v>38.92</v>
      </c>
      <c r="K1252" s="40">
        <v>-76.150000000000006</v>
      </c>
      <c r="L1252" s="40">
        <v>5</v>
      </c>
      <c r="O1252" s="40">
        <v>755</v>
      </c>
      <c r="R1252" s="71">
        <v>9</v>
      </c>
      <c r="S1252" s="71" t="s">
        <v>1860</v>
      </c>
      <c r="T1252" s="71" t="s">
        <v>864</v>
      </c>
      <c r="U1252" s="71" t="s">
        <v>1983</v>
      </c>
      <c r="V1252" s="71" t="s">
        <v>1389</v>
      </c>
      <c r="W1252" s="71" t="s">
        <v>1720</v>
      </c>
      <c r="X1252" s="71" t="s">
        <v>1389</v>
      </c>
      <c r="Y1252" s="71" t="s">
        <v>1417</v>
      </c>
      <c r="Z1252" s="40">
        <v>1.5</v>
      </c>
      <c r="AA1252" s="341"/>
      <c r="AB1252" s="341"/>
      <c r="AC1252" s="40" t="s">
        <v>450</v>
      </c>
      <c r="AG1252" s="40" t="s">
        <v>1347</v>
      </c>
      <c r="AH1252" s="40" t="s">
        <v>131</v>
      </c>
      <c r="AI1252" s="138" t="s">
        <v>131</v>
      </c>
      <c r="AJ1252" s="40" t="s">
        <v>132</v>
      </c>
      <c r="AK1252" s="140" t="s">
        <v>132</v>
      </c>
      <c r="AO1252" s="40" t="s">
        <v>156</v>
      </c>
      <c r="AP1252" s="40" t="s">
        <v>156</v>
      </c>
      <c r="AQ1252" s="40" t="s">
        <v>2126</v>
      </c>
      <c r="AR1252" s="40" t="s">
        <v>2126</v>
      </c>
      <c r="AS1252" s="40" t="s">
        <v>177</v>
      </c>
      <c r="AT1252" s="40" t="s">
        <v>891</v>
      </c>
      <c r="AU1252" s="40" t="s">
        <v>891</v>
      </c>
      <c r="AV1252" s="40" t="s">
        <v>177</v>
      </c>
      <c r="AW1252" s="40" t="s">
        <v>119</v>
      </c>
      <c r="AX1252" s="40">
        <v>4</v>
      </c>
      <c r="AZ1252" s="40" t="s">
        <v>335</v>
      </c>
      <c r="BF1252" s="40">
        <v>8474</v>
      </c>
      <c r="BG1252" s="40">
        <v>7822</v>
      </c>
      <c r="BJ1252" s="40" t="s">
        <v>890</v>
      </c>
      <c r="BK1252" s="40">
        <v>8978</v>
      </c>
      <c r="BL1252" s="40">
        <v>8372</v>
      </c>
      <c r="BP1252" s="416"/>
      <c r="BQ1252" s="416"/>
      <c r="BU1252" s="416"/>
      <c r="BV1252" s="416"/>
      <c r="BZ1252" s="416"/>
      <c r="CA1252" s="416"/>
      <c r="CE1252" s="569"/>
      <c r="CF1252" s="569"/>
      <c r="CG1252" s="569"/>
      <c r="CH1252" s="569"/>
      <c r="FB1252" s="40">
        <v>13</v>
      </c>
      <c r="FC1252" s="40">
        <v>0.9</v>
      </c>
      <c r="FF1252" s="87" t="s">
        <v>893</v>
      </c>
    </row>
    <row r="1253" spans="1:162" s="24" customFormat="1" x14ac:dyDescent="0.25">
      <c r="A1253" s="24">
        <v>59</v>
      </c>
      <c r="B1253" s="42" t="s">
        <v>4027</v>
      </c>
      <c r="C1253" s="24" t="s">
        <v>861</v>
      </c>
      <c r="D1253" s="24" t="s">
        <v>862</v>
      </c>
      <c r="E1253" s="24">
        <v>1997</v>
      </c>
      <c r="F1253" s="24">
        <v>1991</v>
      </c>
      <c r="G1253" s="24" t="s">
        <v>863</v>
      </c>
      <c r="H1253" s="24" t="s">
        <v>889</v>
      </c>
      <c r="I1253" s="32" t="s">
        <v>2815</v>
      </c>
      <c r="J1253" s="24">
        <v>38.92</v>
      </c>
      <c r="K1253" s="24">
        <v>-76.150000000000006</v>
      </c>
      <c r="L1253" s="24">
        <v>5</v>
      </c>
      <c r="O1253" s="24">
        <v>997</v>
      </c>
      <c r="R1253" s="42">
        <v>5</v>
      </c>
      <c r="S1253" s="42" t="s">
        <v>1860</v>
      </c>
      <c r="T1253" s="42" t="s">
        <v>864</v>
      </c>
      <c r="U1253" s="42" t="s">
        <v>1983</v>
      </c>
      <c r="V1253" s="42" t="s">
        <v>1389</v>
      </c>
      <c r="W1253" s="42" t="s">
        <v>1720</v>
      </c>
      <c r="X1253" s="42" t="s">
        <v>1389</v>
      </c>
      <c r="Y1253" s="42" t="s">
        <v>1417</v>
      </c>
      <c r="Z1253" s="24">
        <v>1.5</v>
      </c>
      <c r="AA1253" s="321"/>
      <c r="AB1253" s="321"/>
      <c r="AC1253" s="24" t="s">
        <v>450</v>
      </c>
      <c r="AG1253" s="24" t="s">
        <v>1347</v>
      </c>
      <c r="AH1253" s="24" t="s">
        <v>131</v>
      </c>
      <c r="AI1253" s="138" t="s">
        <v>131</v>
      </c>
      <c r="AJ1253" s="24" t="s">
        <v>132</v>
      </c>
      <c r="AK1253" s="140" t="s">
        <v>132</v>
      </c>
      <c r="AO1253" s="24" t="s">
        <v>156</v>
      </c>
      <c r="AP1253" s="24" t="s">
        <v>156</v>
      </c>
      <c r="AQ1253" s="24" t="s">
        <v>2126</v>
      </c>
      <c r="AR1253" s="24" t="s">
        <v>2126</v>
      </c>
      <c r="AS1253" s="24" t="s">
        <v>177</v>
      </c>
      <c r="AT1253" s="24" t="s">
        <v>891</v>
      </c>
      <c r="AU1253" s="24" t="s">
        <v>891</v>
      </c>
      <c r="AV1253" s="24" t="s">
        <v>177</v>
      </c>
      <c r="AW1253" s="24" t="s">
        <v>119</v>
      </c>
      <c r="AX1253" s="24">
        <v>4</v>
      </c>
      <c r="AZ1253" s="24" t="s">
        <v>335</v>
      </c>
      <c r="BB1253" s="24">
        <v>1793</v>
      </c>
      <c r="BC1253" s="24">
        <v>69.227799227799238</v>
      </c>
      <c r="BP1253" s="395"/>
      <c r="BQ1253" s="395"/>
      <c r="BU1253" s="395"/>
      <c r="BV1253" s="395"/>
      <c r="BZ1253" s="395"/>
      <c r="CA1253" s="395"/>
      <c r="CE1253" s="548"/>
      <c r="CF1253" s="548"/>
      <c r="CG1253" s="548"/>
      <c r="CH1253" s="548"/>
      <c r="FB1253" s="24">
        <v>27.32</v>
      </c>
      <c r="FC1253" s="24">
        <v>1.46</v>
      </c>
      <c r="FF1253" s="24" t="s">
        <v>893</v>
      </c>
    </row>
    <row r="1254" spans="1:162" s="24" customFormat="1" x14ac:dyDescent="0.25">
      <c r="A1254" s="24">
        <v>59</v>
      </c>
      <c r="B1254" s="42" t="s">
        <v>4027</v>
      </c>
      <c r="C1254" s="24" t="s">
        <v>861</v>
      </c>
      <c r="D1254" s="24" t="s">
        <v>862</v>
      </c>
      <c r="E1254" s="24">
        <v>1997</v>
      </c>
      <c r="F1254" s="24">
        <v>1991</v>
      </c>
      <c r="G1254" s="24" t="s">
        <v>863</v>
      </c>
      <c r="H1254" s="24" t="s">
        <v>889</v>
      </c>
      <c r="I1254" s="32" t="s">
        <v>2815</v>
      </c>
      <c r="J1254" s="24">
        <v>38.92</v>
      </c>
      <c r="K1254" s="24">
        <v>-76.150000000000006</v>
      </c>
      <c r="L1254" s="24">
        <v>5</v>
      </c>
      <c r="O1254" s="24">
        <v>997</v>
      </c>
      <c r="R1254" s="42">
        <v>5</v>
      </c>
      <c r="S1254" s="42" t="s">
        <v>1860</v>
      </c>
      <c r="T1254" s="42" t="s">
        <v>864</v>
      </c>
      <c r="U1254" s="42" t="s">
        <v>1983</v>
      </c>
      <c r="V1254" s="42" t="s">
        <v>1389</v>
      </c>
      <c r="W1254" s="42" t="s">
        <v>1720</v>
      </c>
      <c r="X1254" s="42" t="s">
        <v>1389</v>
      </c>
      <c r="Y1254" s="42" t="s">
        <v>1417</v>
      </c>
      <c r="Z1254" s="24">
        <v>1.5</v>
      </c>
      <c r="AA1254" s="321"/>
      <c r="AB1254" s="321"/>
      <c r="AC1254" s="24" t="s">
        <v>450</v>
      </c>
      <c r="AG1254" s="24" t="s">
        <v>1347</v>
      </c>
      <c r="AH1254" s="24" t="s">
        <v>131</v>
      </c>
      <c r="AI1254" s="138" t="s">
        <v>131</v>
      </c>
      <c r="AJ1254" s="24" t="s">
        <v>132</v>
      </c>
      <c r="AK1254" s="140" t="s">
        <v>132</v>
      </c>
      <c r="AO1254" s="24" t="s">
        <v>156</v>
      </c>
      <c r="AP1254" s="24" t="s">
        <v>156</v>
      </c>
      <c r="AQ1254" s="24" t="s">
        <v>2126</v>
      </c>
      <c r="AR1254" s="24" t="s">
        <v>2126</v>
      </c>
      <c r="AS1254" s="24" t="s">
        <v>177</v>
      </c>
      <c r="AT1254" s="24" t="s">
        <v>891</v>
      </c>
      <c r="AU1254" s="24" t="s">
        <v>891</v>
      </c>
      <c r="AV1254" s="24" t="s">
        <v>177</v>
      </c>
      <c r="AW1254" s="24" t="s">
        <v>119</v>
      </c>
      <c r="AX1254" s="24">
        <v>4</v>
      </c>
      <c r="AZ1254" s="24" t="s">
        <v>335</v>
      </c>
      <c r="BB1254" s="24">
        <v>1793</v>
      </c>
      <c r="BC1254" s="24">
        <v>69.227799227799238</v>
      </c>
      <c r="BP1254" s="395"/>
      <c r="BQ1254" s="395"/>
      <c r="BU1254" s="395"/>
      <c r="BV1254" s="395"/>
      <c r="BZ1254" s="395"/>
      <c r="CA1254" s="395"/>
      <c r="CE1254" s="548"/>
      <c r="CF1254" s="548"/>
      <c r="CG1254" s="548"/>
      <c r="CH1254" s="548"/>
      <c r="FB1254" s="24">
        <v>20.79</v>
      </c>
      <c r="FC1254" s="24">
        <v>0.73</v>
      </c>
      <c r="FF1254" s="24" t="s">
        <v>893</v>
      </c>
    </row>
    <row r="1255" spans="1:162" s="24" customFormat="1" x14ac:dyDescent="0.25">
      <c r="A1255" s="24">
        <v>59</v>
      </c>
      <c r="B1255" s="42" t="s">
        <v>4027</v>
      </c>
      <c r="C1255" s="24" t="s">
        <v>861</v>
      </c>
      <c r="D1255" s="24" t="s">
        <v>862</v>
      </c>
      <c r="E1255" s="24">
        <v>1997</v>
      </c>
      <c r="F1255" s="24">
        <v>1991</v>
      </c>
      <c r="G1255" s="24" t="s">
        <v>863</v>
      </c>
      <c r="H1255" s="24" t="s">
        <v>889</v>
      </c>
      <c r="I1255" s="32" t="s">
        <v>2815</v>
      </c>
      <c r="J1255" s="24">
        <v>38.92</v>
      </c>
      <c r="K1255" s="24">
        <v>-76.150000000000006</v>
      </c>
      <c r="L1255" s="24">
        <v>5</v>
      </c>
      <c r="O1255" s="24">
        <v>997</v>
      </c>
      <c r="R1255" s="42">
        <v>5</v>
      </c>
      <c r="S1255" s="42" t="s">
        <v>1860</v>
      </c>
      <c r="T1255" s="42" t="s">
        <v>864</v>
      </c>
      <c r="U1255" s="42" t="s">
        <v>1983</v>
      </c>
      <c r="V1255" s="42" t="s">
        <v>1389</v>
      </c>
      <c r="W1255" s="42" t="s">
        <v>1720</v>
      </c>
      <c r="X1255" s="42" t="s">
        <v>1389</v>
      </c>
      <c r="Y1255" s="42" t="s">
        <v>1417</v>
      </c>
      <c r="Z1255" s="24">
        <v>1.5</v>
      </c>
      <c r="AA1255" s="321"/>
      <c r="AB1255" s="321"/>
      <c r="AC1255" s="24" t="s">
        <v>450</v>
      </c>
      <c r="AG1255" s="24" t="s">
        <v>1347</v>
      </c>
      <c r="AH1255" s="24" t="s">
        <v>131</v>
      </c>
      <c r="AI1255" s="138" t="s">
        <v>131</v>
      </c>
      <c r="AJ1255" s="24" t="s">
        <v>132</v>
      </c>
      <c r="AK1255" s="140" t="s">
        <v>132</v>
      </c>
      <c r="AO1255" s="24" t="s">
        <v>156</v>
      </c>
      <c r="AP1255" s="24" t="s">
        <v>156</v>
      </c>
      <c r="AQ1255" s="24" t="s">
        <v>2126</v>
      </c>
      <c r="AR1255" s="24" t="s">
        <v>2126</v>
      </c>
      <c r="AS1255" s="24" t="s">
        <v>177</v>
      </c>
      <c r="AT1255" s="24" t="s">
        <v>891</v>
      </c>
      <c r="AU1255" s="24" t="s">
        <v>891</v>
      </c>
      <c r="AV1255" s="24" t="s">
        <v>177</v>
      </c>
      <c r="AW1255" s="24" t="s">
        <v>119</v>
      </c>
      <c r="AX1255" s="24">
        <v>4</v>
      </c>
      <c r="AZ1255" s="24" t="s">
        <v>335</v>
      </c>
      <c r="BB1255" s="24">
        <v>1793</v>
      </c>
      <c r="BC1255" s="24">
        <v>69.227799227799238</v>
      </c>
      <c r="BP1255" s="395"/>
      <c r="BQ1255" s="395"/>
      <c r="BU1255" s="395"/>
      <c r="BV1255" s="395"/>
      <c r="BZ1255" s="395"/>
      <c r="CA1255" s="395"/>
      <c r="CE1255" s="548"/>
      <c r="CF1255" s="548"/>
      <c r="CG1255" s="548"/>
      <c r="CH1255" s="548"/>
      <c r="FB1255" s="24">
        <v>26.89</v>
      </c>
      <c r="FC1255" s="24">
        <v>0.2</v>
      </c>
      <c r="FF1255" s="24" t="s">
        <v>893</v>
      </c>
    </row>
    <row r="1256" spans="1:162" s="24" customFormat="1" x14ac:dyDescent="0.25">
      <c r="A1256" s="24">
        <v>59</v>
      </c>
      <c r="B1256" s="42" t="s">
        <v>4027</v>
      </c>
      <c r="C1256" s="24" t="s">
        <v>861</v>
      </c>
      <c r="D1256" s="24" t="s">
        <v>862</v>
      </c>
      <c r="E1256" s="24">
        <v>1997</v>
      </c>
      <c r="F1256" s="24">
        <v>1991</v>
      </c>
      <c r="G1256" s="24" t="s">
        <v>863</v>
      </c>
      <c r="H1256" s="24" t="s">
        <v>889</v>
      </c>
      <c r="I1256" s="32" t="s">
        <v>2815</v>
      </c>
      <c r="J1256" s="24">
        <v>38.92</v>
      </c>
      <c r="K1256" s="24">
        <v>-76.150000000000006</v>
      </c>
      <c r="L1256" s="24">
        <v>5</v>
      </c>
      <c r="O1256" s="24">
        <v>997</v>
      </c>
      <c r="R1256" s="42">
        <v>5</v>
      </c>
      <c r="S1256" s="42" t="s">
        <v>1860</v>
      </c>
      <c r="T1256" s="42" t="s">
        <v>864</v>
      </c>
      <c r="U1256" s="42" t="s">
        <v>1983</v>
      </c>
      <c r="V1256" s="42" t="s">
        <v>1389</v>
      </c>
      <c r="W1256" s="42" t="s">
        <v>1720</v>
      </c>
      <c r="X1256" s="42" t="s">
        <v>1389</v>
      </c>
      <c r="Y1256" s="42" t="s">
        <v>1417</v>
      </c>
      <c r="Z1256" s="24">
        <v>1.5</v>
      </c>
      <c r="AA1256" s="321"/>
      <c r="AB1256" s="321"/>
      <c r="AC1256" s="24" t="s">
        <v>450</v>
      </c>
      <c r="AG1256" s="24" t="s">
        <v>1347</v>
      </c>
      <c r="AH1256" s="24" t="s">
        <v>131</v>
      </c>
      <c r="AI1256" s="138" t="s">
        <v>131</v>
      </c>
      <c r="AJ1256" s="24" t="s">
        <v>132</v>
      </c>
      <c r="AK1256" s="140" t="s">
        <v>132</v>
      </c>
      <c r="AO1256" s="24" t="s">
        <v>156</v>
      </c>
      <c r="AP1256" s="24" t="s">
        <v>156</v>
      </c>
      <c r="AQ1256" s="24" t="s">
        <v>2126</v>
      </c>
      <c r="AR1256" s="24" t="s">
        <v>2126</v>
      </c>
      <c r="AS1256" s="24" t="s">
        <v>177</v>
      </c>
      <c r="AT1256" s="24" t="s">
        <v>891</v>
      </c>
      <c r="AU1256" s="24" t="s">
        <v>891</v>
      </c>
      <c r="AV1256" s="24" t="s">
        <v>177</v>
      </c>
      <c r="AW1256" s="24" t="s">
        <v>119</v>
      </c>
      <c r="AX1256" s="24">
        <v>4</v>
      </c>
      <c r="AZ1256" s="24" t="s">
        <v>335</v>
      </c>
      <c r="BB1256" s="24">
        <v>1793</v>
      </c>
      <c r="BC1256" s="24">
        <v>69.227799227799238</v>
      </c>
      <c r="BP1256" s="395"/>
      <c r="BQ1256" s="395"/>
      <c r="BU1256" s="395"/>
      <c r="BV1256" s="395"/>
      <c r="BZ1256" s="395"/>
      <c r="CA1256" s="395"/>
      <c r="CE1256" s="548"/>
      <c r="CF1256" s="548"/>
      <c r="CG1256" s="548"/>
      <c r="CH1256" s="548"/>
      <c r="FB1256" s="24">
        <v>27.33</v>
      </c>
      <c r="FC1256" s="24">
        <v>1.7000000000000001E-2</v>
      </c>
      <c r="FF1256" s="24" t="s">
        <v>893</v>
      </c>
    </row>
    <row r="1257" spans="1:162" s="24" customFormat="1" x14ac:dyDescent="0.25">
      <c r="A1257" s="24">
        <v>59</v>
      </c>
      <c r="B1257" s="42" t="s">
        <v>4027</v>
      </c>
      <c r="C1257" s="24" t="s">
        <v>861</v>
      </c>
      <c r="D1257" s="24" t="s">
        <v>862</v>
      </c>
      <c r="E1257" s="24">
        <v>1997</v>
      </c>
      <c r="F1257" s="24">
        <v>1991</v>
      </c>
      <c r="G1257" s="24" t="s">
        <v>863</v>
      </c>
      <c r="H1257" s="24" t="s">
        <v>889</v>
      </c>
      <c r="I1257" s="32" t="s">
        <v>2815</v>
      </c>
      <c r="J1257" s="24">
        <v>38.92</v>
      </c>
      <c r="K1257" s="24">
        <v>-76.150000000000006</v>
      </c>
      <c r="L1257" s="24">
        <v>5</v>
      </c>
      <c r="O1257" s="24">
        <v>997</v>
      </c>
      <c r="R1257" s="42">
        <v>5</v>
      </c>
      <c r="S1257" s="42" t="s">
        <v>1860</v>
      </c>
      <c r="T1257" s="42" t="s">
        <v>864</v>
      </c>
      <c r="U1257" s="42" t="s">
        <v>1983</v>
      </c>
      <c r="V1257" s="42" t="s">
        <v>1389</v>
      </c>
      <c r="W1257" s="42" t="s">
        <v>1720</v>
      </c>
      <c r="X1257" s="42" t="s">
        <v>1389</v>
      </c>
      <c r="Y1257" s="42" t="s">
        <v>1417</v>
      </c>
      <c r="Z1257" s="24">
        <v>1.5</v>
      </c>
      <c r="AA1257" s="321"/>
      <c r="AB1257" s="321"/>
      <c r="AC1257" s="24" t="s">
        <v>450</v>
      </c>
      <c r="AG1257" s="24" t="s">
        <v>1347</v>
      </c>
      <c r="AH1257" s="24" t="s">
        <v>131</v>
      </c>
      <c r="AI1257" s="138" t="s">
        <v>131</v>
      </c>
      <c r="AJ1257" s="24" t="s">
        <v>132</v>
      </c>
      <c r="AK1257" s="140" t="s">
        <v>132</v>
      </c>
      <c r="AO1257" s="24" t="s">
        <v>156</v>
      </c>
      <c r="AP1257" s="24" t="s">
        <v>156</v>
      </c>
      <c r="AQ1257" s="24" t="s">
        <v>2126</v>
      </c>
      <c r="AR1257" s="24" t="s">
        <v>2126</v>
      </c>
      <c r="AS1257" s="24" t="s">
        <v>177</v>
      </c>
      <c r="AT1257" s="24" t="s">
        <v>891</v>
      </c>
      <c r="AU1257" s="24" t="s">
        <v>891</v>
      </c>
      <c r="AV1257" s="24" t="s">
        <v>177</v>
      </c>
      <c r="AW1257" s="24" t="s">
        <v>119</v>
      </c>
      <c r="AX1257" s="24">
        <v>4</v>
      </c>
      <c r="AZ1257" s="24" t="s">
        <v>335</v>
      </c>
      <c r="BB1257" s="24">
        <v>1793</v>
      </c>
      <c r="BC1257" s="24">
        <v>69.227799227799238</v>
      </c>
      <c r="BP1257" s="395"/>
      <c r="BQ1257" s="395"/>
      <c r="BU1257" s="395"/>
      <c r="BV1257" s="395"/>
      <c r="BZ1257" s="395"/>
      <c r="CA1257" s="395"/>
      <c r="CE1257" s="548"/>
      <c r="CF1257" s="548"/>
      <c r="CG1257" s="548"/>
      <c r="CH1257" s="548"/>
      <c r="FB1257" s="24">
        <v>25.1</v>
      </c>
      <c r="FC1257" s="24">
        <v>1.7000000000000001E-2</v>
      </c>
      <c r="FF1257" s="24" t="s">
        <v>893</v>
      </c>
    </row>
    <row r="1258" spans="1:162" s="24" customFormat="1" x14ac:dyDescent="0.25">
      <c r="A1258" s="24">
        <v>59</v>
      </c>
      <c r="B1258" s="42" t="s">
        <v>4027</v>
      </c>
      <c r="C1258" s="24" t="s">
        <v>861</v>
      </c>
      <c r="D1258" s="24" t="s">
        <v>862</v>
      </c>
      <c r="E1258" s="24">
        <v>1997</v>
      </c>
      <c r="F1258" s="24">
        <v>1991</v>
      </c>
      <c r="G1258" s="24" t="s">
        <v>863</v>
      </c>
      <c r="H1258" s="24" t="s">
        <v>889</v>
      </c>
      <c r="I1258" s="32" t="s">
        <v>2815</v>
      </c>
      <c r="J1258" s="24">
        <v>38.92</v>
      </c>
      <c r="K1258" s="24">
        <v>-76.150000000000006</v>
      </c>
      <c r="L1258" s="24">
        <v>5</v>
      </c>
      <c r="O1258" s="24">
        <v>997</v>
      </c>
      <c r="R1258" s="42">
        <v>5</v>
      </c>
      <c r="S1258" s="42" t="s">
        <v>1860</v>
      </c>
      <c r="T1258" s="42" t="s">
        <v>864</v>
      </c>
      <c r="U1258" s="42" t="s">
        <v>1983</v>
      </c>
      <c r="V1258" s="42" t="s">
        <v>1389</v>
      </c>
      <c r="W1258" s="42" t="s">
        <v>1720</v>
      </c>
      <c r="X1258" s="42" t="s">
        <v>1389</v>
      </c>
      <c r="Y1258" s="42" t="s">
        <v>1417</v>
      </c>
      <c r="Z1258" s="24">
        <v>1.5</v>
      </c>
      <c r="AA1258" s="321"/>
      <c r="AB1258" s="321"/>
      <c r="AC1258" s="24" t="s">
        <v>450</v>
      </c>
      <c r="AG1258" s="24" t="s">
        <v>1347</v>
      </c>
      <c r="AH1258" s="24" t="s">
        <v>131</v>
      </c>
      <c r="AI1258" s="138" t="s">
        <v>131</v>
      </c>
      <c r="AJ1258" s="24" t="s">
        <v>132</v>
      </c>
      <c r="AK1258" s="140" t="s">
        <v>132</v>
      </c>
      <c r="AO1258" s="24" t="s">
        <v>156</v>
      </c>
      <c r="AP1258" s="24" t="s">
        <v>156</v>
      </c>
      <c r="AQ1258" s="24" t="s">
        <v>2126</v>
      </c>
      <c r="AR1258" s="24" t="s">
        <v>2126</v>
      </c>
      <c r="AS1258" s="24" t="s">
        <v>177</v>
      </c>
      <c r="AT1258" s="24" t="s">
        <v>891</v>
      </c>
      <c r="AU1258" s="24" t="s">
        <v>891</v>
      </c>
      <c r="AV1258" s="24" t="s">
        <v>177</v>
      </c>
      <c r="AW1258" s="24" t="s">
        <v>119</v>
      </c>
      <c r="AX1258" s="24">
        <v>4</v>
      </c>
      <c r="AZ1258" s="24" t="s">
        <v>335</v>
      </c>
      <c r="BB1258" s="24">
        <v>1793</v>
      </c>
      <c r="BC1258" s="24">
        <v>69.227799227799238</v>
      </c>
      <c r="BP1258" s="395"/>
      <c r="BQ1258" s="395"/>
      <c r="BU1258" s="395"/>
      <c r="BV1258" s="395"/>
      <c r="BZ1258" s="395"/>
      <c r="CA1258" s="395"/>
      <c r="CE1258" s="548"/>
      <c r="CF1258" s="548"/>
      <c r="CG1258" s="548"/>
      <c r="CH1258" s="548"/>
      <c r="FB1258" s="24">
        <v>25.78</v>
      </c>
      <c r="FC1258" s="24">
        <v>1.4999999999999999E-2</v>
      </c>
      <c r="FF1258" s="24" t="s">
        <v>893</v>
      </c>
    </row>
    <row r="1259" spans="1:162" s="24" customFormat="1" x14ac:dyDescent="0.25">
      <c r="A1259" s="24">
        <v>59</v>
      </c>
      <c r="B1259" s="42" t="s">
        <v>4027</v>
      </c>
      <c r="C1259" s="24" t="s">
        <v>861</v>
      </c>
      <c r="D1259" s="24" t="s">
        <v>862</v>
      </c>
      <c r="E1259" s="24">
        <v>1997</v>
      </c>
      <c r="F1259" s="24">
        <v>1991</v>
      </c>
      <c r="G1259" s="24" t="s">
        <v>863</v>
      </c>
      <c r="H1259" s="24" t="s">
        <v>889</v>
      </c>
      <c r="I1259" s="32" t="s">
        <v>2815</v>
      </c>
      <c r="J1259" s="24">
        <v>38.92</v>
      </c>
      <c r="K1259" s="24">
        <v>-76.150000000000006</v>
      </c>
      <c r="L1259" s="24">
        <v>5</v>
      </c>
      <c r="O1259" s="24">
        <v>997</v>
      </c>
      <c r="R1259" s="42">
        <v>5</v>
      </c>
      <c r="S1259" s="42" t="s">
        <v>1860</v>
      </c>
      <c r="T1259" s="42" t="s">
        <v>864</v>
      </c>
      <c r="U1259" s="42" t="s">
        <v>1983</v>
      </c>
      <c r="V1259" s="42" t="s">
        <v>1389</v>
      </c>
      <c r="W1259" s="42" t="s">
        <v>1720</v>
      </c>
      <c r="X1259" s="42" t="s">
        <v>1389</v>
      </c>
      <c r="Y1259" s="42" t="s">
        <v>1417</v>
      </c>
      <c r="Z1259" s="24">
        <v>1.5</v>
      </c>
      <c r="AA1259" s="321"/>
      <c r="AB1259" s="321"/>
      <c r="AC1259" s="24" t="s">
        <v>450</v>
      </c>
      <c r="AG1259" s="24" t="s">
        <v>1347</v>
      </c>
      <c r="AH1259" s="24" t="s">
        <v>131</v>
      </c>
      <c r="AI1259" s="138" t="s">
        <v>131</v>
      </c>
      <c r="AJ1259" s="24" t="s">
        <v>132</v>
      </c>
      <c r="AK1259" s="140" t="s">
        <v>132</v>
      </c>
      <c r="AO1259" s="24" t="s">
        <v>156</v>
      </c>
      <c r="AP1259" s="24" t="s">
        <v>156</v>
      </c>
      <c r="AQ1259" s="24" t="s">
        <v>2126</v>
      </c>
      <c r="AR1259" s="24" t="s">
        <v>2126</v>
      </c>
      <c r="AS1259" s="24" t="s">
        <v>177</v>
      </c>
      <c r="AT1259" s="24" t="s">
        <v>891</v>
      </c>
      <c r="AU1259" s="24" t="s">
        <v>891</v>
      </c>
      <c r="AV1259" s="24" t="s">
        <v>177</v>
      </c>
      <c r="AW1259" s="24" t="s">
        <v>119</v>
      </c>
      <c r="AX1259" s="24">
        <v>4</v>
      </c>
      <c r="AZ1259" s="24" t="s">
        <v>335</v>
      </c>
      <c r="BB1259" s="24">
        <v>1793</v>
      </c>
      <c r="BC1259" s="24">
        <v>69.227799227799238</v>
      </c>
      <c r="BP1259" s="395"/>
      <c r="BQ1259" s="395"/>
      <c r="BU1259" s="395"/>
      <c r="BV1259" s="395"/>
      <c r="BZ1259" s="395"/>
      <c r="CA1259" s="395"/>
      <c r="CE1259" s="548"/>
      <c r="CF1259" s="548"/>
      <c r="CG1259" s="548"/>
      <c r="CH1259" s="548"/>
      <c r="FB1259" s="24">
        <v>26.7</v>
      </c>
      <c r="FC1259" s="24">
        <v>0.02</v>
      </c>
      <c r="FF1259" s="24" t="s">
        <v>893</v>
      </c>
    </row>
    <row r="1260" spans="1:162" s="24" customFormat="1" x14ac:dyDescent="0.25">
      <c r="A1260" s="24">
        <v>59</v>
      </c>
      <c r="B1260" s="42" t="s">
        <v>4027</v>
      </c>
      <c r="C1260" s="24" t="s">
        <v>861</v>
      </c>
      <c r="D1260" s="24" t="s">
        <v>862</v>
      </c>
      <c r="E1260" s="24">
        <v>1997</v>
      </c>
      <c r="F1260" s="24">
        <v>1991</v>
      </c>
      <c r="G1260" s="24" t="s">
        <v>863</v>
      </c>
      <c r="H1260" s="24" t="s">
        <v>889</v>
      </c>
      <c r="I1260" s="32" t="s">
        <v>2815</v>
      </c>
      <c r="J1260" s="24">
        <v>38.92</v>
      </c>
      <c r="K1260" s="24">
        <v>-76.150000000000006</v>
      </c>
      <c r="L1260" s="24">
        <v>5</v>
      </c>
      <c r="O1260" s="24">
        <v>997</v>
      </c>
      <c r="R1260" s="42">
        <v>5</v>
      </c>
      <c r="S1260" s="42" t="s">
        <v>1860</v>
      </c>
      <c r="T1260" s="42" t="s">
        <v>864</v>
      </c>
      <c r="U1260" s="42" t="s">
        <v>1983</v>
      </c>
      <c r="V1260" s="42" t="s">
        <v>1389</v>
      </c>
      <c r="W1260" s="42" t="s">
        <v>1720</v>
      </c>
      <c r="X1260" s="42" t="s">
        <v>1389</v>
      </c>
      <c r="Y1260" s="42" t="s">
        <v>1417</v>
      </c>
      <c r="Z1260" s="24">
        <v>1.5</v>
      </c>
      <c r="AA1260" s="321"/>
      <c r="AB1260" s="321"/>
      <c r="AC1260" s="24" t="s">
        <v>450</v>
      </c>
      <c r="AG1260" s="24" t="s">
        <v>1347</v>
      </c>
      <c r="AH1260" s="24" t="s">
        <v>131</v>
      </c>
      <c r="AI1260" s="138" t="s">
        <v>131</v>
      </c>
      <c r="AJ1260" s="24" t="s">
        <v>132</v>
      </c>
      <c r="AK1260" s="140" t="s">
        <v>132</v>
      </c>
      <c r="AO1260" s="24" t="s">
        <v>156</v>
      </c>
      <c r="AP1260" s="24" t="s">
        <v>156</v>
      </c>
      <c r="AQ1260" s="24" t="s">
        <v>2126</v>
      </c>
      <c r="AR1260" s="24" t="s">
        <v>2126</v>
      </c>
      <c r="AS1260" s="24" t="s">
        <v>177</v>
      </c>
      <c r="AT1260" s="24" t="s">
        <v>891</v>
      </c>
      <c r="AU1260" s="24" t="s">
        <v>891</v>
      </c>
      <c r="AV1260" s="24" t="s">
        <v>177</v>
      </c>
      <c r="AW1260" s="24" t="s">
        <v>119</v>
      </c>
      <c r="AX1260" s="24">
        <v>4</v>
      </c>
      <c r="AZ1260" s="24" t="s">
        <v>335</v>
      </c>
      <c r="BB1260" s="24">
        <v>1793</v>
      </c>
      <c r="BC1260" s="24">
        <v>69.227799227799238</v>
      </c>
      <c r="BP1260" s="395"/>
      <c r="BQ1260" s="395"/>
      <c r="BU1260" s="395"/>
      <c r="BV1260" s="395"/>
      <c r="BZ1260" s="395"/>
      <c r="CA1260" s="395"/>
      <c r="CE1260" s="548"/>
      <c r="CF1260" s="548"/>
      <c r="CG1260" s="548"/>
      <c r="CH1260" s="548"/>
      <c r="FB1260" s="24">
        <v>20.8</v>
      </c>
      <c r="FC1260" s="24">
        <v>1.33</v>
      </c>
      <c r="FF1260" s="24" t="s">
        <v>893</v>
      </c>
    </row>
    <row r="1261" spans="1:162" s="87" customFormat="1" x14ac:dyDescent="0.25">
      <c r="A1261" s="87">
        <v>59</v>
      </c>
      <c r="B1261" s="88" t="s">
        <v>4027</v>
      </c>
      <c r="C1261" s="87" t="s">
        <v>861</v>
      </c>
      <c r="D1261" s="87" t="s">
        <v>862</v>
      </c>
      <c r="E1261" s="87">
        <v>1997</v>
      </c>
      <c r="F1261" s="87">
        <v>1992</v>
      </c>
      <c r="G1261" s="87" t="s">
        <v>863</v>
      </c>
      <c r="H1261" s="87" t="s">
        <v>889</v>
      </c>
      <c r="I1261" s="32" t="s">
        <v>2815</v>
      </c>
      <c r="J1261" s="87">
        <v>38.92</v>
      </c>
      <c r="K1261" s="87">
        <v>-76.150000000000006</v>
      </c>
      <c r="L1261" s="87">
        <v>5</v>
      </c>
      <c r="O1261" s="87">
        <v>866</v>
      </c>
      <c r="R1261" s="88">
        <v>6</v>
      </c>
      <c r="S1261" s="88" t="s">
        <v>1860</v>
      </c>
      <c r="T1261" s="88" t="s">
        <v>864</v>
      </c>
      <c r="U1261" s="88" t="s">
        <v>1983</v>
      </c>
      <c r="V1261" s="88" t="s">
        <v>1389</v>
      </c>
      <c r="W1261" s="88" t="s">
        <v>1720</v>
      </c>
      <c r="X1261" s="88" t="s">
        <v>1389</v>
      </c>
      <c r="Y1261" s="88" t="s">
        <v>1417</v>
      </c>
      <c r="Z1261" s="87">
        <v>1.5</v>
      </c>
      <c r="AA1261" s="345"/>
      <c r="AB1261" s="345"/>
      <c r="AC1261" s="87" t="s">
        <v>450</v>
      </c>
      <c r="AG1261" s="87" t="s">
        <v>1347</v>
      </c>
      <c r="AH1261" s="87" t="s">
        <v>131</v>
      </c>
      <c r="AI1261" s="138" t="s">
        <v>131</v>
      </c>
      <c r="AJ1261" s="87" t="s">
        <v>132</v>
      </c>
      <c r="AK1261" s="140" t="s">
        <v>132</v>
      </c>
      <c r="AO1261" s="87" t="s">
        <v>156</v>
      </c>
      <c r="AP1261" s="87" t="s">
        <v>156</v>
      </c>
      <c r="AQ1261" s="87" t="s">
        <v>2126</v>
      </c>
      <c r="AR1261" s="87" t="s">
        <v>2126</v>
      </c>
      <c r="AS1261" s="87" t="s">
        <v>177</v>
      </c>
      <c r="AT1261" s="87" t="s">
        <v>891</v>
      </c>
      <c r="AU1261" s="87" t="s">
        <v>891</v>
      </c>
      <c r="AV1261" s="87" t="s">
        <v>177</v>
      </c>
      <c r="AW1261" s="87" t="s">
        <v>119</v>
      </c>
      <c r="AX1261" s="87">
        <v>4</v>
      </c>
      <c r="AZ1261" s="87" t="s">
        <v>335</v>
      </c>
      <c r="BB1261" s="87">
        <v>2053</v>
      </c>
      <c r="BC1261" s="87">
        <v>50.691358024691361</v>
      </c>
      <c r="BP1261" s="420"/>
      <c r="BQ1261" s="420"/>
      <c r="BU1261" s="420"/>
      <c r="BV1261" s="420"/>
      <c r="BZ1261" s="420"/>
      <c r="CA1261" s="420"/>
      <c r="CE1261" s="573"/>
      <c r="CF1261" s="573"/>
      <c r="CG1261" s="573"/>
      <c r="CH1261" s="573"/>
      <c r="FB1261" s="87">
        <v>5.91</v>
      </c>
      <c r="FC1261" s="87">
        <v>3.68</v>
      </c>
      <c r="FF1261" s="87" t="s">
        <v>893</v>
      </c>
    </row>
    <row r="1262" spans="1:162" s="87" customFormat="1" x14ac:dyDescent="0.25">
      <c r="A1262" s="87">
        <v>59</v>
      </c>
      <c r="B1262" s="88" t="s">
        <v>4027</v>
      </c>
      <c r="C1262" s="87" t="s">
        <v>861</v>
      </c>
      <c r="D1262" s="87" t="s">
        <v>862</v>
      </c>
      <c r="E1262" s="87">
        <v>1997</v>
      </c>
      <c r="F1262" s="87">
        <v>1992</v>
      </c>
      <c r="G1262" s="87" t="s">
        <v>863</v>
      </c>
      <c r="H1262" s="87" t="s">
        <v>889</v>
      </c>
      <c r="I1262" s="32" t="s">
        <v>2815</v>
      </c>
      <c r="J1262" s="87">
        <v>38.92</v>
      </c>
      <c r="K1262" s="87">
        <v>-76.150000000000006</v>
      </c>
      <c r="L1262" s="87">
        <v>5</v>
      </c>
      <c r="O1262" s="87">
        <v>866</v>
      </c>
      <c r="R1262" s="88">
        <v>6</v>
      </c>
      <c r="S1262" s="88" t="s">
        <v>1860</v>
      </c>
      <c r="T1262" s="88" t="s">
        <v>864</v>
      </c>
      <c r="U1262" s="88" t="s">
        <v>1983</v>
      </c>
      <c r="V1262" s="88" t="s">
        <v>1389</v>
      </c>
      <c r="W1262" s="88" t="s">
        <v>1720</v>
      </c>
      <c r="X1262" s="88" t="s">
        <v>1389</v>
      </c>
      <c r="Y1262" s="88" t="s">
        <v>1417</v>
      </c>
      <c r="Z1262" s="87">
        <v>1.5</v>
      </c>
      <c r="AA1262" s="345"/>
      <c r="AB1262" s="345"/>
      <c r="AC1262" s="87" t="s">
        <v>450</v>
      </c>
      <c r="AG1262" s="87" t="s">
        <v>1347</v>
      </c>
      <c r="AH1262" s="87" t="s">
        <v>131</v>
      </c>
      <c r="AI1262" s="138" t="s">
        <v>131</v>
      </c>
      <c r="AJ1262" s="87" t="s">
        <v>132</v>
      </c>
      <c r="AK1262" s="140" t="s">
        <v>132</v>
      </c>
      <c r="AO1262" s="87" t="s">
        <v>156</v>
      </c>
      <c r="AP1262" s="87" t="s">
        <v>156</v>
      </c>
      <c r="AQ1262" s="87" t="s">
        <v>2126</v>
      </c>
      <c r="AR1262" s="87" t="s">
        <v>2126</v>
      </c>
      <c r="AS1262" s="87" t="s">
        <v>177</v>
      </c>
      <c r="AT1262" s="87" t="s">
        <v>891</v>
      </c>
      <c r="AU1262" s="87" t="s">
        <v>891</v>
      </c>
      <c r="AV1262" s="87" t="s">
        <v>177</v>
      </c>
      <c r="AW1262" s="87" t="s">
        <v>119</v>
      </c>
      <c r="AX1262" s="87">
        <v>4</v>
      </c>
      <c r="AZ1262" s="87" t="s">
        <v>335</v>
      </c>
      <c r="BB1262" s="87">
        <v>2053</v>
      </c>
      <c r="BC1262" s="87">
        <v>50.691358024691361</v>
      </c>
      <c r="BP1262" s="420"/>
      <c r="BQ1262" s="420"/>
      <c r="BU1262" s="420"/>
      <c r="BV1262" s="420"/>
      <c r="BZ1262" s="420"/>
      <c r="CA1262" s="420"/>
      <c r="CE1262" s="573"/>
      <c r="CF1262" s="573"/>
      <c r="CG1262" s="573"/>
      <c r="CH1262" s="573"/>
      <c r="FB1262" s="87">
        <v>16.62</v>
      </c>
      <c r="FC1262" s="87">
        <v>0.35</v>
      </c>
      <c r="FF1262" s="87" t="s">
        <v>893</v>
      </c>
    </row>
    <row r="1263" spans="1:162" s="87" customFormat="1" x14ac:dyDescent="0.25">
      <c r="A1263" s="87">
        <v>59</v>
      </c>
      <c r="B1263" s="88" t="s">
        <v>4027</v>
      </c>
      <c r="C1263" s="87" t="s">
        <v>861</v>
      </c>
      <c r="D1263" s="87" t="s">
        <v>862</v>
      </c>
      <c r="E1263" s="87">
        <v>1997</v>
      </c>
      <c r="F1263" s="87">
        <v>1992</v>
      </c>
      <c r="G1263" s="87" t="s">
        <v>863</v>
      </c>
      <c r="H1263" s="87" t="s">
        <v>889</v>
      </c>
      <c r="I1263" s="32" t="s">
        <v>2815</v>
      </c>
      <c r="J1263" s="87">
        <v>38.92</v>
      </c>
      <c r="K1263" s="87">
        <v>-76.150000000000006</v>
      </c>
      <c r="L1263" s="87">
        <v>5</v>
      </c>
      <c r="O1263" s="87">
        <v>866</v>
      </c>
      <c r="R1263" s="88">
        <v>6</v>
      </c>
      <c r="S1263" s="88" t="s">
        <v>1860</v>
      </c>
      <c r="T1263" s="88" t="s">
        <v>864</v>
      </c>
      <c r="U1263" s="88" t="s">
        <v>1983</v>
      </c>
      <c r="V1263" s="88" t="s">
        <v>1389</v>
      </c>
      <c r="W1263" s="88" t="s">
        <v>1720</v>
      </c>
      <c r="X1263" s="88" t="s">
        <v>1389</v>
      </c>
      <c r="Y1263" s="88" t="s">
        <v>1417</v>
      </c>
      <c r="Z1263" s="87">
        <v>1.5</v>
      </c>
      <c r="AA1263" s="345"/>
      <c r="AB1263" s="345"/>
      <c r="AC1263" s="87" t="s">
        <v>450</v>
      </c>
      <c r="AG1263" s="87" t="s">
        <v>1347</v>
      </c>
      <c r="AH1263" s="87" t="s">
        <v>131</v>
      </c>
      <c r="AI1263" s="138" t="s">
        <v>131</v>
      </c>
      <c r="AJ1263" s="87" t="s">
        <v>132</v>
      </c>
      <c r="AK1263" s="140" t="s">
        <v>132</v>
      </c>
      <c r="AO1263" s="87" t="s">
        <v>156</v>
      </c>
      <c r="AP1263" s="87" t="s">
        <v>156</v>
      </c>
      <c r="AQ1263" s="87" t="s">
        <v>2126</v>
      </c>
      <c r="AR1263" s="87" t="s">
        <v>2126</v>
      </c>
      <c r="AS1263" s="87" t="s">
        <v>177</v>
      </c>
      <c r="AT1263" s="87" t="s">
        <v>891</v>
      </c>
      <c r="AU1263" s="87" t="s">
        <v>891</v>
      </c>
      <c r="AV1263" s="87" t="s">
        <v>177</v>
      </c>
      <c r="AW1263" s="87" t="s">
        <v>119</v>
      </c>
      <c r="AX1263" s="87">
        <v>4</v>
      </c>
      <c r="AZ1263" s="87" t="s">
        <v>335</v>
      </c>
      <c r="BB1263" s="87">
        <v>2053</v>
      </c>
      <c r="BC1263" s="87">
        <v>50.691358024691361</v>
      </c>
      <c r="BP1263" s="420"/>
      <c r="BQ1263" s="420"/>
      <c r="BU1263" s="420"/>
      <c r="BV1263" s="420"/>
      <c r="BZ1263" s="420"/>
      <c r="CA1263" s="420"/>
      <c r="CE1263" s="573"/>
      <c r="CF1263" s="573"/>
      <c r="CG1263" s="573"/>
      <c r="CH1263" s="573"/>
      <c r="FB1263" s="87">
        <v>15.7</v>
      </c>
      <c r="FC1263" s="87">
        <v>0.1</v>
      </c>
      <c r="FF1263" s="87" t="s">
        <v>893</v>
      </c>
    </row>
    <row r="1264" spans="1:162" s="87" customFormat="1" x14ac:dyDescent="0.25">
      <c r="A1264" s="87">
        <v>59</v>
      </c>
      <c r="B1264" s="88" t="s">
        <v>4027</v>
      </c>
      <c r="C1264" s="87" t="s">
        <v>861</v>
      </c>
      <c r="D1264" s="87" t="s">
        <v>862</v>
      </c>
      <c r="E1264" s="87">
        <v>1997</v>
      </c>
      <c r="F1264" s="87">
        <v>1992</v>
      </c>
      <c r="G1264" s="87" t="s">
        <v>863</v>
      </c>
      <c r="H1264" s="87" t="s">
        <v>889</v>
      </c>
      <c r="I1264" s="32" t="s">
        <v>2815</v>
      </c>
      <c r="J1264" s="87">
        <v>38.92</v>
      </c>
      <c r="K1264" s="87">
        <v>-76.150000000000006</v>
      </c>
      <c r="L1264" s="87">
        <v>5</v>
      </c>
      <c r="O1264" s="87">
        <v>866</v>
      </c>
      <c r="R1264" s="88">
        <v>6</v>
      </c>
      <c r="S1264" s="88" t="s">
        <v>1860</v>
      </c>
      <c r="T1264" s="88" t="s">
        <v>864</v>
      </c>
      <c r="U1264" s="88" t="s">
        <v>1983</v>
      </c>
      <c r="V1264" s="88" t="s">
        <v>1389</v>
      </c>
      <c r="W1264" s="88" t="s">
        <v>1720</v>
      </c>
      <c r="X1264" s="88" t="s">
        <v>1389</v>
      </c>
      <c r="Y1264" s="88" t="s">
        <v>1417</v>
      </c>
      <c r="Z1264" s="87">
        <v>1.5</v>
      </c>
      <c r="AA1264" s="345"/>
      <c r="AB1264" s="345"/>
      <c r="AC1264" s="87" t="s">
        <v>450</v>
      </c>
      <c r="AG1264" s="87" t="s">
        <v>1347</v>
      </c>
      <c r="AH1264" s="87" t="s">
        <v>131</v>
      </c>
      <c r="AI1264" s="138" t="s">
        <v>131</v>
      </c>
      <c r="AJ1264" s="87" t="s">
        <v>132</v>
      </c>
      <c r="AK1264" s="140" t="s">
        <v>132</v>
      </c>
      <c r="AO1264" s="87" t="s">
        <v>156</v>
      </c>
      <c r="AP1264" s="87" t="s">
        <v>156</v>
      </c>
      <c r="AQ1264" s="87" t="s">
        <v>2126</v>
      </c>
      <c r="AR1264" s="87" t="s">
        <v>2126</v>
      </c>
      <c r="AS1264" s="87" t="s">
        <v>177</v>
      </c>
      <c r="AT1264" s="87" t="s">
        <v>891</v>
      </c>
      <c r="AU1264" s="87" t="s">
        <v>891</v>
      </c>
      <c r="AV1264" s="87" t="s">
        <v>177</v>
      </c>
      <c r="AW1264" s="87" t="s">
        <v>119</v>
      </c>
      <c r="AX1264" s="87">
        <v>4</v>
      </c>
      <c r="AZ1264" s="87" t="s">
        <v>335</v>
      </c>
      <c r="BB1264" s="87">
        <v>2053</v>
      </c>
      <c r="BC1264" s="87">
        <v>50.691358024691361</v>
      </c>
      <c r="BP1264" s="420"/>
      <c r="BQ1264" s="420"/>
      <c r="BU1264" s="420"/>
      <c r="BV1264" s="420"/>
      <c r="BZ1264" s="420"/>
      <c r="CA1264" s="420"/>
      <c r="CE1264" s="573"/>
      <c r="CF1264" s="573"/>
      <c r="CG1264" s="573"/>
      <c r="CH1264" s="573"/>
      <c r="FB1264" s="87">
        <v>20.350000000000001</v>
      </c>
      <c r="FC1264" s="87">
        <v>0.3</v>
      </c>
      <c r="FF1264" s="87" t="s">
        <v>893</v>
      </c>
    </row>
    <row r="1265" spans="1:162" s="87" customFormat="1" x14ac:dyDescent="0.25">
      <c r="A1265" s="87">
        <v>59</v>
      </c>
      <c r="B1265" s="88" t="s">
        <v>4027</v>
      </c>
      <c r="C1265" s="87" t="s">
        <v>861</v>
      </c>
      <c r="D1265" s="87" t="s">
        <v>862</v>
      </c>
      <c r="E1265" s="87">
        <v>1997</v>
      </c>
      <c r="F1265" s="87">
        <v>1992</v>
      </c>
      <c r="G1265" s="87" t="s">
        <v>863</v>
      </c>
      <c r="H1265" s="87" t="s">
        <v>889</v>
      </c>
      <c r="I1265" s="32" t="s">
        <v>2815</v>
      </c>
      <c r="J1265" s="87">
        <v>38.92</v>
      </c>
      <c r="K1265" s="87">
        <v>-76.150000000000006</v>
      </c>
      <c r="L1265" s="87">
        <v>5</v>
      </c>
      <c r="O1265" s="87">
        <v>866</v>
      </c>
      <c r="R1265" s="88">
        <v>6</v>
      </c>
      <c r="S1265" s="88" t="s">
        <v>1860</v>
      </c>
      <c r="T1265" s="88" t="s">
        <v>864</v>
      </c>
      <c r="U1265" s="88" t="s">
        <v>1983</v>
      </c>
      <c r="V1265" s="88" t="s">
        <v>1389</v>
      </c>
      <c r="W1265" s="88" t="s">
        <v>1720</v>
      </c>
      <c r="X1265" s="88" t="s">
        <v>1389</v>
      </c>
      <c r="Y1265" s="88" t="s">
        <v>1417</v>
      </c>
      <c r="Z1265" s="87">
        <v>1.5</v>
      </c>
      <c r="AA1265" s="345"/>
      <c r="AB1265" s="345"/>
      <c r="AC1265" s="87" t="s">
        <v>450</v>
      </c>
      <c r="AG1265" s="87" t="s">
        <v>1347</v>
      </c>
      <c r="AH1265" s="87" t="s">
        <v>131</v>
      </c>
      <c r="AI1265" s="138" t="s">
        <v>131</v>
      </c>
      <c r="AJ1265" s="87" t="s">
        <v>132</v>
      </c>
      <c r="AK1265" s="140" t="s">
        <v>132</v>
      </c>
      <c r="AO1265" s="87" t="s">
        <v>156</v>
      </c>
      <c r="AP1265" s="87" t="s">
        <v>156</v>
      </c>
      <c r="AQ1265" s="87" t="s">
        <v>2126</v>
      </c>
      <c r="AR1265" s="87" t="s">
        <v>2126</v>
      </c>
      <c r="AS1265" s="87" t="s">
        <v>177</v>
      </c>
      <c r="AT1265" s="87" t="s">
        <v>891</v>
      </c>
      <c r="AU1265" s="87" t="s">
        <v>891</v>
      </c>
      <c r="AV1265" s="87" t="s">
        <v>177</v>
      </c>
      <c r="AW1265" s="87" t="s">
        <v>119</v>
      </c>
      <c r="AX1265" s="87">
        <v>4</v>
      </c>
      <c r="AZ1265" s="87" t="s">
        <v>335</v>
      </c>
      <c r="BB1265" s="87">
        <v>2053</v>
      </c>
      <c r="BC1265" s="87">
        <v>50.691358024691361</v>
      </c>
      <c r="BP1265" s="420"/>
      <c r="BQ1265" s="420"/>
      <c r="BU1265" s="420"/>
      <c r="BV1265" s="420"/>
      <c r="BZ1265" s="420"/>
      <c r="CA1265" s="420"/>
      <c r="CE1265" s="573"/>
      <c r="CF1265" s="573"/>
      <c r="CG1265" s="573"/>
      <c r="CH1265" s="573"/>
      <c r="FB1265" s="87">
        <v>14.3</v>
      </c>
      <c r="FC1265" s="87">
        <v>0.16</v>
      </c>
      <c r="FF1265" s="87" t="s">
        <v>893</v>
      </c>
    </row>
    <row r="1266" spans="1:162" s="87" customFormat="1" x14ac:dyDescent="0.25">
      <c r="A1266" s="87">
        <v>59</v>
      </c>
      <c r="B1266" s="88" t="s">
        <v>4027</v>
      </c>
      <c r="C1266" s="87" t="s">
        <v>861</v>
      </c>
      <c r="D1266" s="87" t="s">
        <v>862</v>
      </c>
      <c r="E1266" s="87">
        <v>1997</v>
      </c>
      <c r="F1266" s="87">
        <v>1992</v>
      </c>
      <c r="G1266" s="87" t="s">
        <v>863</v>
      </c>
      <c r="H1266" s="87" t="s">
        <v>889</v>
      </c>
      <c r="I1266" s="32" t="s">
        <v>2815</v>
      </c>
      <c r="J1266" s="87">
        <v>38.92</v>
      </c>
      <c r="K1266" s="87">
        <v>-76.150000000000006</v>
      </c>
      <c r="L1266" s="87">
        <v>5</v>
      </c>
      <c r="O1266" s="87">
        <v>866</v>
      </c>
      <c r="R1266" s="88">
        <v>6</v>
      </c>
      <c r="S1266" s="88" t="s">
        <v>1860</v>
      </c>
      <c r="T1266" s="88" t="s">
        <v>864</v>
      </c>
      <c r="U1266" s="88" t="s">
        <v>1983</v>
      </c>
      <c r="V1266" s="88" t="s">
        <v>1389</v>
      </c>
      <c r="W1266" s="88" t="s">
        <v>1720</v>
      </c>
      <c r="X1266" s="88" t="s">
        <v>1389</v>
      </c>
      <c r="Y1266" s="88" t="s">
        <v>1417</v>
      </c>
      <c r="Z1266" s="87">
        <v>1.5</v>
      </c>
      <c r="AA1266" s="345"/>
      <c r="AB1266" s="345"/>
      <c r="AC1266" s="87" t="s">
        <v>450</v>
      </c>
      <c r="AG1266" s="87" t="s">
        <v>1347</v>
      </c>
      <c r="AH1266" s="87" t="s">
        <v>131</v>
      </c>
      <c r="AI1266" s="138" t="s">
        <v>131</v>
      </c>
      <c r="AJ1266" s="87" t="s">
        <v>132</v>
      </c>
      <c r="AK1266" s="140" t="s">
        <v>132</v>
      </c>
      <c r="AO1266" s="87" t="s">
        <v>156</v>
      </c>
      <c r="AP1266" s="87" t="s">
        <v>156</v>
      </c>
      <c r="AQ1266" s="87" t="s">
        <v>2126</v>
      </c>
      <c r="AR1266" s="87" t="s">
        <v>2126</v>
      </c>
      <c r="AS1266" s="87" t="s">
        <v>177</v>
      </c>
      <c r="AT1266" s="87" t="s">
        <v>891</v>
      </c>
      <c r="AU1266" s="87" t="s">
        <v>891</v>
      </c>
      <c r="AV1266" s="87" t="s">
        <v>177</v>
      </c>
      <c r="AW1266" s="87" t="s">
        <v>119</v>
      </c>
      <c r="AX1266" s="87">
        <v>4</v>
      </c>
      <c r="AZ1266" s="87" t="s">
        <v>335</v>
      </c>
      <c r="BB1266" s="87">
        <v>2053</v>
      </c>
      <c r="BC1266" s="87">
        <v>50.691358024691361</v>
      </c>
      <c r="BP1266" s="420"/>
      <c r="BQ1266" s="420"/>
      <c r="BU1266" s="420"/>
      <c r="BV1266" s="420"/>
      <c r="BZ1266" s="420"/>
      <c r="CA1266" s="420"/>
      <c r="CE1266" s="573"/>
      <c r="CF1266" s="573"/>
      <c r="CG1266" s="573"/>
      <c r="CH1266" s="573"/>
      <c r="FB1266" s="87">
        <v>9.17</v>
      </c>
      <c r="FC1266" s="87">
        <v>0.1</v>
      </c>
      <c r="FF1266" s="87" t="s">
        <v>893</v>
      </c>
    </row>
    <row r="1267" spans="1:162" s="87" customFormat="1" x14ac:dyDescent="0.25">
      <c r="A1267" s="87">
        <v>59</v>
      </c>
      <c r="B1267" s="88" t="s">
        <v>4027</v>
      </c>
      <c r="C1267" s="87" t="s">
        <v>861</v>
      </c>
      <c r="D1267" s="87" t="s">
        <v>862</v>
      </c>
      <c r="E1267" s="87">
        <v>1997</v>
      </c>
      <c r="F1267" s="87">
        <v>1992</v>
      </c>
      <c r="G1267" s="87" t="s">
        <v>863</v>
      </c>
      <c r="H1267" s="87" t="s">
        <v>889</v>
      </c>
      <c r="I1267" s="32" t="s">
        <v>2815</v>
      </c>
      <c r="J1267" s="87">
        <v>38.92</v>
      </c>
      <c r="K1267" s="87">
        <v>-76.150000000000006</v>
      </c>
      <c r="L1267" s="87">
        <v>5</v>
      </c>
      <c r="O1267" s="87">
        <v>866</v>
      </c>
      <c r="R1267" s="88">
        <v>6</v>
      </c>
      <c r="S1267" s="88" t="s">
        <v>1860</v>
      </c>
      <c r="T1267" s="88" t="s">
        <v>864</v>
      </c>
      <c r="U1267" s="88" t="s">
        <v>1983</v>
      </c>
      <c r="V1267" s="88" t="s">
        <v>1389</v>
      </c>
      <c r="W1267" s="88" t="s">
        <v>1720</v>
      </c>
      <c r="X1267" s="88" t="s">
        <v>1389</v>
      </c>
      <c r="Y1267" s="88" t="s">
        <v>1417</v>
      </c>
      <c r="Z1267" s="87">
        <v>1.5</v>
      </c>
      <c r="AA1267" s="345"/>
      <c r="AB1267" s="345"/>
      <c r="AC1267" s="87" t="s">
        <v>450</v>
      </c>
      <c r="AG1267" s="87" t="s">
        <v>1347</v>
      </c>
      <c r="AH1267" s="87" t="s">
        <v>131</v>
      </c>
      <c r="AI1267" s="138" t="s">
        <v>131</v>
      </c>
      <c r="AJ1267" s="87" t="s">
        <v>132</v>
      </c>
      <c r="AK1267" s="140" t="s">
        <v>132</v>
      </c>
      <c r="AO1267" s="87" t="s">
        <v>156</v>
      </c>
      <c r="AP1267" s="87" t="s">
        <v>156</v>
      </c>
      <c r="AQ1267" s="87" t="s">
        <v>2126</v>
      </c>
      <c r="AR1267" s="87" t="s">
        <v>2126</v>
      </c>
      <c r="AS1267" s="87" t="s">
        <v>177</v>
      </c>
      <c r="AT1267" s="87" t="s">
        <v>891</v>
      </c>
      <c r="AU1267" s="87" t="s">
        <v>891</v>
      </c>
      <c r="AV1267" s="87" t="s">
        <v>177</v>
      </c>
      <c r="AW1267" s="87" t="s">
        <v>119</v>
      </c>
      <c r="AX1267" s="87">
        <v>4</v>
      </c>
      <c r="AZ1267" s="87" t="s">
        <v>335</v>
      </c>
      <c r="BB1267" s="87">
        <v>2053</v>
      </c>
      <c r="BC1267" s="87">
        <v>50.691358024691361</v>
      </c>
      <c r="BP1267" s="420"/>
      <c r="BQ1267" s="420"/>
      <c r="BU1267" s="420"/>
      <c r="BV1267" s="420"/>
      <c r="BZ1267" s="420"/>
      <c r="CA1267" s="420"/>
      <c r="CE1267" s="573"/>
      <c r="CF1267" s="573"/>
      <c r="CG1267" s="573"/>
      <c r="CH1267" s="573"/>
      <c r="FB1267" s="87">
        <v>5.12</v>
      </c>
      <c r="FC1267" s="87">
        <v>0.55000000000000004</v>
      </c>
      <c r="FF1267" s="87" t="s">
        <v>893</v>
      </c>
    </row>
    <row r="1268" spans="1:162" s="87" customFormat="1" x14ac:dyDescent="0.25">
      <c r="A1268" s="87">
        <v>59</v>
      </c>
      <c r="B1268" s="88" t="s">
        <v>4027</v>
      </c>
      <c r="C1268" s="87" t="s">
        <v>861</v>
      </c>
      <c r="D1268" s="87" t="s">
        <v>862</v>
      </c>
      <c r="E1268" s="87">
        <v>1997</v>
      </c>
      <c r="F1268" s="87">
        <v>1992</v>
      </c>
      <c r="G1268" s="87" t="s">
        <v>863</v>
      </c>
      <c r="H1268" s="87" t="s">
        <v>889</v>
      </c>
      <c r="I1268" s="32" t="s">
        <v>2815</v>
      </c>
      <c r="J1268" s="87">
        <v>38.92</v>
      </c>
      <c r="K1268" s="87">
        <v>-76.150000000000006</v>
      </c>
      <c r="L1268" s="87">
        <v>5</v>
      </c>
      <c r="O1268" s="87">
        <v>866</v>
      </c>
      <c r="R1268" s="88">
        <v>6</v>
      </c>
      <c r="S1268" s="88" t="s">
        <v>1860</v>
      </c>
      <c r="T1268" s="88" t="s">
        <v>864</v>
      </c>
      <c r="U1268" s="88" t="s">
        <v>1983</v>
      </c>
      <c r="V1268" s="88" t="s">
        <v>1389</v>
      </c>
      <c r="W1268" s="88" t="s">
        <v>1720</v>
      </c>
      <c r="X1268" s="88" t="s">
        <v>1389</v>
      </c>
      <c r="Y1268" s="88" t="s">
        <v>1417</v>
      </c>
      <c r="Z1268" s="87">
        <v>1.5</v>
      </c>
      <c r="AA1268" s="345"/>
      <c r="AB1268" s="345"/>
      <c r="AC1268" s="87" t="s">
        <v>450</v>
      </c>
      <c r="AG1268" s="87" t="s">
        <v>1347</v>
      </c>
      <c r="AH1268" s="87" t="s">
        <v>131</v>
      </c>
      <c r="AI1268" s="138" t="s">
        <v>131</v>
      </c>
      <c r="AJ1268" s="87" t="s">
        <v>132</v>
      </c>
      <c r="AK1268" s="140" t="s">
        <v>132</v>
      </c>
      <c r="AO1268" s="87" t="s">
        <v>156</v>
      </c>
      <c r="AP1268" s="87" t="s">
        <v>156</v>
      </c>
      <c r="AQ1268" s="87" t="s">
        <v>2126</v>
      </c>
      <c r="AR1268" s="87" t="s">
        <v>2126</v>
      </c>
      <c r="AS1268" s="87" t="s">
        <v>177</v>
      </c>
      <c r="AT1268" s="87" t="s">
        <v>891</v>
      </c>
      <c r="AU1268" s="87" t="s">
        <v>891</v>
      </c>
      <c r="AV1268" s="87" t="s">
        <v>177</v>
      </c>
      <c r="AW1268" s="87" t="s">
        <v>119</v>
      </c>
      <c r="AX1268" s="87">
        <v>4</v>
      </c>
      <c r="AZ1268" s="87" t="s">
        <v>335</v>
      </c>
      <c r="BB1268" s="87">
        <v>2053</v>
      </c>
      <c r="BC1268" s="87">
        <v>50.691358024691361</v>
      </c>
      <c r="BP1268" s="420"/>
      <c r="BQ1268" s="420"/>
      <c r="BU1268" s="420"/>
      <c r="BV1268" s="420"/>
      <c r="BZ1268" s="420"/>
      <c r="CA1268" s="420"/>
      <c r="CE1268" s="573"/>
      <c r="CF1268" s="573"/>
      <c r="CG1268" s="573"/>
      <c r="CH1268" s="573"/>
      <c r="FB1268" s="87">
        <v>12.96</v>
      </c>
      <c r="FC1268" s="87">
        <v>1.23</v>
      </c>
      <c r="FF1268" s="87" t="s">
        <v>893</v>
      </c>
    </row>
    <row r="1269" spans="1:162" s="24" customFormat="1" x14ac:dyDescent="0.25">
      <c r="A1269" s="24">
        <v>59</v>
      </c>
      <c r="B1269" s="42" t="s">
        <v>4027</v>
      </c>
      <c r="C1269" s="24" t="s">
        <v>861</v>
      </c>
      <c r="D1269" s="24" t="s">
        <v>862</v>
      </c>
      <c r="E1269" s="24">
        <v>1997</v>
      </c>
      <c r="F1269" s="24">
        <v>1993</v>
      </c>
      <c r="G1269" s="24" t="s">
        <v>863</v>
      </c>
      <c r="H1269" s="24" t="s">
        <v>889</v>
      </c>
      <c r="I1269" s="32" t="s">
        <v>2815</v>
      </c>
      <c r="J1269" s="24">
        <v>38.92</v>
      </c>
      <c r="K1269" s="24">
        <v>-76.150000000000006</v>
      </c>
      <c r="L1269" s="24">
        <v>5</v>
      </c>
      <c r="O1269" s="24">
        <v>972</v>
      </c>
      <c r="R1269" s="42">
        <v>7</v>
      </c>
      <c r="S1269" s="42" t="s">
        <v>1860</v>
      </c>
      <c r="T1269" s="42" t="s">
        <v>864</v>
      </c>
      <c r="U1269" s="42" t="s">
        <v>1983</v>
      </c>
      <c r="V1269" s="42" t="s">
        <v>1389</v>
      </c>
      <c r="W1269" s="42" t="s">
        <v>1720</v>
      </c>
      <c r="X1269" s="42" t="s">
        <v>1389</v>
      </c>
      <c r="Y1269" s="42" t="s">
        <v>1417</v>
      </c>
      <c r="Z1269" s="24">
        <v>1.5</v>
      </c>
      <c r="AA1269" s="321"/>
      <c r="AB1269" s="321"/>
      <c r="AC1269" s="24" t="s">
        <v>450</v>
      </c>
      <c r="AG1269" s="24" t="s">
        <v>1347</v>
      </c>
      <c r="AH1269" s="24" t="s">
        <v>131</v>
      </c>
      <c r="AI1269" s="138" t="s">
        <v>131</v>
      </c>
      <c r="AJ1269" s="24" t="s">
        <v>132</v>
      </c>
      <c r="AK1269" s="140" t="s">
        <v>132</v>
      </c>
      <c r="AO1269" s="24" t="s">
        <v>156</v>
      </c>
      <c r="AP1269" s="24" t="s">
        <v>156</v>
      </c>
      <c r="AQ1269" s="24" t="s">
        <v>2126</v>
      </c>
      <c r="AR1269" s="24" t="s">
        <v>2126</v>
      </c>
      <c r="AS1269" s="24" t="s">
        <v>177</v>
      </c>
      <c r="AT1269" s="24" t="s">
        <v>891</v>
      </c>
      <c r="AU1269" s="24" t="s">
        <v>891</v>
      </c>
      <c r="AV1269" s="24" t="s">
        <v>177</v>
      </c>
      <c r="AW1269" s="24" t="s">
        <v>119</v>
      </c>
      <c r="AX1269" s="24">
        <v>4</v>
      </c>
      <c r="AZ1269" s="24" t="s">
        <v>335</v>
      </c>
      <c r="BB1269" s="24">
        <v>1873</v>
      </c>
      <c r="BC1269" s="24">
        <v>50.21447721179625</v>
      </c>
      <c r="BP1269" s="395"/>
      <c r="BQ1269" s="395"/>
      <c r="BU1269" s="395"/>
      <c r="BV1269" s="395"/>
      <c r="BZ1269" s="395"/>
      <c r="CA1269" s="395"/>
      <c r="CE1269" s="548"/>
      <c r="CF1269" s="548"/>
      <c r="CG1269" s="548"/>
      <c r="CH1269" s="548"/>
      <c r="FB1269" s="24">
        <v>8.82</v>
      </c>
      <c r="FC1269" s="24">
        <v>3.97</v>
      </c>
      <c r="FF1269" s="24" t="s">
        <v>893</v>
      </c>
    </row>
    <row r="1270" spans="1:162" s="24" customFormat="1" x14ac:dyDescent="0.25">
      <c r="A1270" s="24">
        <v>59</v>
      </c>
      <c r="B1270" s="42" t="s">
        <v>4027</v>
      </c>
      <c r="C1270" s="24" t="s">
        <v>861</v>
      </c>
      <c r="D1270" s="24" t="s">
        <v>862</v>
      </c>
      <c r="E1270" s="24">
        <v>1997</v>
      </c>
      <c r="F1270" s="24">
        <v>1993</v>
      </c>
      <c r="G1270" s="24" t="s">
        <v>863</v>
      </c>
      <c r="H1270" s="24" t="s">
        <v>889</v>
      </c>
      <c r="I1270" s="32" t="s">
        <v>2815</v>
      </c>
      <c r="J1270" s="24">
        <v>38.92</v>
      </c>
      <c r="K1270" s="24">
        <v>-76.150000000000006</v>
      </c>
      <c r="L1270" s="24">
        <v>5</v>
      </c>
      <c r="O1270" s="24">
        <v>972</v>
      </c>
      <c r="R1270" s="42">
        <v>7</v>
      </c>
      <c r="S1270" s="42" t="s">
        <v>1860</v>
      </c>
      <c r="T1270" s="42" t="s">
        <v>864</v>
      </c>
      <c r="U1270" s="42" t="s">
        <v>1983</v>
      </c>
      <c r="V1270" s="42" t="s">
        <v>1389</v>
      </c>
      <c r="W1270" s="42" t="s">
        <v>1720</v>
      </c>
      <c r="X1270" s="42" t="s">
        <v>1389</v>
      </c>
      <c r="Y1270" s="42" t="s">
        <v>1417</v>
      </c>
      <c r="Z1270" s="24">
        <v>1.5</v>
      </c>
      <c r="AA1270" s="321"/>
      <c r="AB1270" s="321"/>
      <c r="AC1270" s="24" t="s">
        <v>450</v>
      </c>
      <c r="AG1270" s="24" t="s">
        <v>1347</v>
      </c>
      <c r="AH1270" s="24" t="s">
        <v>131</v>
      </c>
      <c r="AI1270" s="138" t="s">
        <v>131</v>
      </c>
      <c r="AJ1270" s="24" t="s">
        <v>132</v>
      </c>
      <c r="AK1270" s="140" t="s">
        <v>132</v>
      </c>
      <c r="AO1270" s="24" t="s">
        <v>156</v>
      </c>
      <c r="AP1270" s="24" t="s">
        <v>156</v>
      </c>
      <c r="AQ1270" s="24" t="s">
        <v>2126</v>
      </c>
      <c r="AR1270" s="24" t="s">
        <v>2126</v>
      </c>
      <c r="AS1270" s="24" t="s">
        <v>177</v>
      </c>
      <c r="AT1270" s="24" t="s">
        <v>891</v>
      </c>
      <c r="AU1270" s="24" t="s">
        <v>891</v>
      </c>
      <c r="AV1270" s="24" t="s">
        <v>177</v>
      </c>
      <c r="AW1270" s="24" t="s">
        <v>119</v>
      </c>
      <c r="AX1270" s="24">
        <v>4</v>
      </c>
      <c r="AZ1270" s="24" t="s">
        <v>335</v>
      </c>
      <c r="BB1270" s="24">
        <v>1873</v>
      </c>
      <c r="BC1270" s="24">
        <v>50.21447721179625</v>
      </c>
      <c r="BP1270" s="395"/>
      <c r="BQ1270" s="395"/>
      <c r="BU1270" s="395"/>
      <c r="BV1270" s="395"/>
      <c r="BZ1270" s="395"/>
      <c r="CA1270" s="395"/>
      <c r="CE1270" s="548"/>
      <c r="CF1270" s="548"/>
      <c r="CG1270" s="548"/>
      <c r="CH1270" s="548"/>
      <c r="FB1270" s="24">
        <v>6.88</v>
      </c>
      <c r="FC1270" s="24">
        <v>5.72</v>
      </c>
      <c r="FF1270" s="24" t="s">
        <v>893</v>
      </c>
    </row>
    <row r="1271" spans="1:162" s="24" customFormat="1" x14ac:dyDescent="0.25">
      <c r="A1271" s="24">
        <v>59</v>
      </c>
      <c r="B1271" s="42" t="s">
        <v>4027</v>
      </c>
      <c r="C1271" s="24" t="s">
        <v>861</v>
      </c>
      <c r="D1271" s="24" t="s">
        <v>862</v>
      </c>
      <c r="E1271" s="24">
        <v>1997</v>
      </c>
      <c r="F1271" s="24">
        <v>1993</v>
      </c>
      <c r="G1271" s="24" t="s">
        <v>863</v>
      </c>
      <c r="H1271" s="24" t="s">
        <v>889</v>
      </c>
      <c r="I1271" s="32" t="s">
        <v>2815</v>
      </c>
      <c r="J1271" s="24">
        <v>38.92</v>
      </c>
      <c r="K1271" s="24">
        <v>-76.150000000000006</v>
      </c>
      <c r="L1271" s="24">
        <v>5</v>
      </c>
      <c r="O1271" s="24">
        <v>972</v>
      </c>
      <c r="R1271" s="42">
        <v>7</v>
      </c>
      <c r="S1271" s="42" t="s">
        <v>1860</v>
      </c>
      <c r="T1271" s="42" t="s">
        <v>864</v>
      </c>
      <c r="U1271" s="42" t="s">
        <v>1983</v>
      </c>
      <c r="V1271" s="42" t="s">
        <v>1389</v>
      </c>
      <c r="W1271" s="42" t="s">
        <v>1720</v>
      </c>
      <c r="X1271" s="42" t="s">
        <v>1389</v>
      </c>
      <c r="Y1271" s="42" t="s">
        <v>1417</v>
      </c>
      <c r="Z1271" s="24">
        <v>1.5</v>
      </c>
      <c r="AA1271" s="321"/>
      <c r="AB1271" s="321"/>
      <c r="AC1271" s="24" t="s">
        <v>450</v>
      </c>
      <c r="AG1271" s="24" t="s">
        <v>1347</v>
      </c>
      <c r="AH1271" s="24" t="s">
        <v>131</v>
      </c>
      <c r="AI1271" s="138" t="s">
        <v>131</v>
      </c>
      <c r="AJ1271" s="24" t="s">
        <v>132</v>
      </c>
      <c r="AK1271" s="140" t="s">
        <v>132</v>
      </c>
      <c r="AO1271" s="24" t="s">
        <v>156</v>
      </c>
      <c r="AP1271" s="24" t="s">
        <v>156</v>
      </c>
      <c r="AQ1271" s="24" t="s">
        <v>2126</v>
      </c>
      <c r="AR1271" s="24" t="s">
        <v>2126</v>
      </c>
      <c r="AS1271" s="24" t="s">
        <v>177</v>
      </c>
      <c r="AT1271" s="24" t="s">
        <v>891</v>
      </c>
      <c r="AU1271" s="24" t="s">
        <v>891</v>
      </c>
      <c r="AV1271" s="24" t="s">
        <v>177</v>
      </c>
      <c r="AW1271" s="24" t="s">
        <v>119</v>
      </c>
      <c r="AX1271" s="24">
        <v>4</v>
      </c>
      <c r="AZ1271" s="24" t="s">
        <v>335</v>
      </c>
      <c r="BB1271" s="24">
        <v>1873</v>
      </c>
      <c r="BC1271" s="24">
        <v>50.21447721179625</v>
      </c>
      <c r="BP1271" s="395"/>
      <c r="BQ1271" s="395"/>
      <c r="BU1271" s="395"/>
      <c r="BV1271" s="395"/>
      <c r="BZ1271" s="395"/>
      <c r="CA1271" s="395"/>
      <c r="CE1271" s="548"/>
      <c r="CF1271" s="548"/>
      <c r="CG1271" s="548"/>
      <c r="CH1271" s="548"/>
      <c r="FB1271" s="24">
        <v>10.47</v>
      </c>
      <c r="FC1271" s="24">
        <v>2.72</v>
      </c>
      <c r="FF1271" s="24" t="s">
        <v>893</v>
      </c>
    </row>
    <row r="1272" spans="1:162" s="24" customFormat="1" x14ac:dyDescent="0.25">
      <c r="A1272" s="24">
        <v>59</v>
      </c>
      <c r="B1272" s="42" t="s">
        <v>4027</v>
      </c>
      <c r="C1272" s="24" t="s">
        <v>861</v>
      </c>
      <c r="D1272" s="24" t="s">
        <v>862</v>
      </c>
      <c r="E1272" s="24">
        <v>1997</v>
      </c>
      <c r="F1272" s="24">
        <v>1993</v>
      </c>
      <c r="G1272" s="24" t="s">
        <v>863</v>
      </c>
      <c r="H1272" s="24" t="s">
        <v>889</v>
      </c>
      <c r="I1272" s="32" t="s">
        <v>2815</v>
      </c>
      <c r="J1272" s="24">
        <v>38.92</v>
      </c>
      <c r="K1272" s="24">
        <v>-76.150000000000006</v>
      </c>
      <c r="L1272" s="24">
        <v>5</v>
      </c>
      <c r="O1272" s="24">
        <v>972</v>
      </c>
      <c r="R1272" s="42">
        <v>7</v>
      </c>
      <c r="S1272" s="42" t="s">
        <v>1860</v>
      </c>
      <c r="T1272" s="42" t="s">
        <v>864</v>
      </c>
      <c r="U1272" s="42" t="s">
        <v>1983</v>
      </c>
      <c r="V1272" s="42" t="s">
        <v>1389</v>
      </c>
      <c r="W1272" s="42" t="s">
        <v>1720</v>
      </c>
      <c r="X1272" s="42" t="s">
        <v>1389</v>
      </c>
      <c r="Y1272" s="42" t="s">
        <v>1417</v>
      </c>
      <c r="Z1272" s="24">
        <v>1.5</v>
      </c>
      <c r="AA1272" s="321"/>
      <c r="AB1272" s="321"/>
      <c r="AC1272" s="24" t="s">
        <v>450</v>
      </c>
      <c r="AG1272" s="24" t="s">
        <v>1347</v>
      </c>
      <c r="AH1272" s="24" t="s">
        <v>131</v>
      </c>
      <c r="AI1272" s="138" t="s">
        <v>131</v>
      </c>
      <c r="AJ1272" s="24" t="s">
        <v>132</v>
      </c>
      <c r="AK1272" s="140" t="s">
        <v>132</v>
      </c>
      <c r="AO1272" s="24" t="s">
        <v>156</v>
      </c>
      <c r="AP1272" s="24" t="s">
        <v>156</v>
      </c>
      <c r="AQ1272" s="24" t="s">
        <v>2126</v>
      </c>
      <c r="AR1272" s="24" t="s">
        <v>2126</v>
      </c>
      <c r="AS1272" s="24" t="s">
        <v>177</v>
      </c>
      <c r="AT1272" s="24" t="s">
        <v>891</v>
      </c>
      <c r="AU1272" s="24" t="s">
        <v>891</v>
      </c>
      <c r="AV1272" s="24" t="s">
        <v>177</v>
      </c>
      <c r="AW1272" s="24" t="s">
        <v>119</v>
      </c>
      <c r="AX1272" s="24">
        <v>4</v>
      </c>
      <c r="AZ1272" s="24" t="s">
        <v>335</v>
      </c>
      <c r="BB1272" s="24">
        <v>1873</v>
      </c>
      <c r="BC1272" s="24">
        <v>50.21447721179625</v>
      </c>
      <c r="BP1272" s="395"/>
      <c r="BQ1272" s="395"/>
      <c r="BU1272" s="395"/>
      <c r="BV1272" s="395"/>
      <c r="BZ1272" s="395"/>
      <c r="CA1272" s="395"/>
      <c r="CE1272" s="548"/>
      <c r="CF1272" s="548"/>
      <c r="CG1272" s="548"/>
      <c r="CH1272" s="548"/>
      <c r="FB1272" s="24">
        <v>7.95</v>
      </c>
      <c r="FC1272" s="24">
        <v>1.72</v>
      </c>
      <c r="FF1272" s="24" t="s">
        <v>893</v>
      </c>
    </row>
    <row r="1273" spans="1:162" s="24" customFormat="1" x14ac:dyDescent="0.25">
      <c r="A1273" s="24">
        <v>59</v>
      </c>
      <c r="B1273" s="42" t="s">
        <v>4027</v>
      </c>
      <c r="C1273" s="24" t="s">
        <v>861</v>
      </c>
      <c r="D1273" s="24" t="s">
        <v>862</v>
      </c>
      <c r="E1273" s="24">
        <v>1997</v>
      </c>
      <c r="F1273" s="24">
        <v>1993</v>
      </c>
      <c r="G1273" s="24" t="s">
        <v>863</v>
      </c>
      <c r="H1273" s="24" t="s">
        <v>889</v>
      </c>
      <c r="I1273" s="32" t="s">
        <v>2815</v>
      </c>
      <c r="J1273" s="24">
        <v>38.92</v>
      </c>
      <c r="K1273" s="24">
        <v>-76.150000000000006</v>
      </c>
      <c r="L1273" s="24">
        <v>5</v>
      </c>
      <c r="O1273" s="24">
        <v>972</v>
      </c>
      <c r="R1273" s="42">
        <v>7</v>
      </c>
      <c r="S1273" s="42" t="s">
        <v>1860</v>
      </c>
      <c r="T1273" s="42" t="s">
        <v>864</v>
      </c>
      <c r="U1273" s="42" t="s">
        <v>1983</v>
      </c>
      <c r="V1273" s="42" t="s">
        <v>1389</v>
      </c>
      <c r="W1273" s="42" t="s">
        <v>1720</v>
      </c>
      <c r="X1273" s="42" t="s">
        <v>1389</v>
      </c>
      <c r="Y1273" s="42" t="s">
        <v>1417</v>
      </c>
      <c r="Z1273" s="24">
        <v>1.5</v>
      </c>
      <c r="AA1273" s="321"/>
      <c r="AB1273" s="321"/>
      <c r="AC1273" s="24" t="s">
        <v>450</v>
      </c>
      <c r="AG1273" s="24" t="s">
        <v>1347</v>
      </c>
      <c r="AH1273" s="24" t="s">
        <v>131</v>
      </c>
      <c r="AI1273" s="138" t="s">
        <v>131</v>
      </c>
      <c r="AJ1273" s="24" t="s">
        <v>132</v>
      </c>
      <c r="AK1273" s="140" t="s">
        <v>132</v>
      </c>
      <c r="AO1273" s="24" t="s">
        <v>156</v>
      </c>
      <c r="AP1273" s="24" t="s">
        <v>156</v>
      </c>
      <c r="AQ1273" s="24" t="s">
        <v>2126</v>
      </c>
      <c r="AR1273" s="24" t="s">
        <v>2126</v>
      </c>
      <c r="AS1273" s="24" t="s">
        <v>177</v>
      </c>
      <c r="AT1273" s="24" t="s">
        <v>891</v>
      </c>
      <c r="AU1273" s="24" t="s">
        <v>891</v>
      </c>
      <c r="AV1273" s="24" t="s">
        <v>177</v>
      </c>
      <c r="AW1273" s="24" t="s">
        <v>119</v>
      </c>
      <c r="AX1273" s="24">
        <v>4</v>
      </c>
      <c r="AZ1273" s="24" t="s">
        <v>335</v>
      </c>
      <c r="BB1273" s="24">
        <v>1873</v>
      </c>
      <c r="BC1273" s="24">
        <v>50.21447721179625</v>
      </c>
      <c r="BP1273" s="395"/>
      <c r="BQ1273" s="395"/>
      <c r="BU1273" s="395"/>
      <c r="BV1273" s="395"/>
      <c r="BZ1273" s="395"/>
      <c r="CA1273" s="395"/>
      <c r="CE1273" s="548"/>
      <c r="CF1273" s="548"/>
      <c r="CG1273" s="548"/>
      <c r="CH1273" s="548"/>
      <c r="FB1273" s="24">
        <v>10.62</v>
      </c>
      <c r="FC1273" s="24">
        <v>0.45</v>
      </c>
      <c r="FF1273" s="24" t="s">
        <v>893</v>
      </c>
    </row>
    <row r="1274" spans="1:162" s="24" customFormat="1" x14ac:dyDescent="0.25">
      <c r="A1274" s="24">
        <v>59</v>
      </c>
      <c r="B1274" s="42" t="s">
        <v>4027</v>
      </c>
      <c r="C1274" s="24" t="s">
        <v>861</v>
      </c>
      <c r="D1274" s="24" t="s">
        <v>862</v>
      </c>
      <c r="E1274" s="24">
        <v>1997</v>
      </c>
      <c r="F1274" s="24">
        <v>1993</v>
      </c>
      <c r="G1274" s="24" t="s">
        <v>863</v>
      </c>
      <c r="H1274" s="24" t="s">
        <v>889</v>
      </c>
      <c r="I1274" s="32" t="s">
        <v>2815</v>
      </c>
      <c r="J1274" s="24">
        <v>38.92</v>
      </c>
      <c r="K1274" s="24">
        <v>-76.150000000000006</v>
      </c>
      <c r="L1274" s="24">
        <v>5</v>
      </c>
      <c r="O1274" s="24">
        <v>972</v>
      </c>
      <c r="R1274" s="42">
        <v>7</v>
      </c>
      <c r="S1274" s="42" t="s">
        <v>1860</v>
      </c>
      <c r="T1274" s="42" t="s">
        <v>864</v>
      </c>
      <c r="U1274" s="42" t="s">
        <v>1983</v>
      </c>
      <c r="V1274" s="42" t="s">
        <v>1389</v>
      </c>
      <c r="W1274" s="42" t="s">
        <v>1720</v>
      </c>
      <c r="X1274" s="42" t="s">
        <v>1389</v>
      </c>
      <c r="Y1274" s="42" t="s">
        <v>1417</v>
      </c>
      <c r="Z1274" s="24">
        <v>1.5</v>
      </c>
      <c r="AA1274" s="321"/>
      <c r="AB1274" s="321"/>
      <c r="AC1274" s="24" t="s">
        <v>450</v>
      </c>
      <c r="AG1274" s="24" t="s">
        <v>1347</v>
      </c>
      <c r="AH1274" s="24" t="s">
        <v>131</v>
      </c>
      <c r="AI1274" s="138" t="s">
        <v>131</v>
      </c>
      <c r="AJ1274" s="24" t="s">
        <v>132</v>
      </c>
      <c r="AK1274" s="140" t="s">
        <v>132</v>
      </c>
      <c r="AO1274" s="24" t="s">
        <v>156</v>
      </c>
      <c r="AP1274" s="24" t="s">
        <v>156</v>
      </c>
      <c r="AQ1274" s="24" t="s">
        <v>2126</v>
      </c>
      <c r="AR1274" s="24" t="s">
        <v>2126</v>
      </c>
      <c r="AS1274" s="24" t="s">
        <v>177</v>
      </c>
      <c r="AT1274" s="24" t="s">
        <v>891</v>
      </c>
      <c r="AU1274" s="24" t="s">
        <v>891</v>
      </c>
      <c r="AV1274" s="24" t="s">
        <v>177</v>
      </c>
      <c r="AW1274" s="24" t="s">
        <v>119</v>
      </c>
      <c r="AX1274" s="24">
        <v>4</v>
      </c>
      <c r="AZ1274" s="24" t="s">
        <v>335</v>
      </c>
      <c r="BB1274" s="24">
        <v>1873</v>
      </c>
      <c r="BC1274" s="24">
        <v>50.21447721179625</v>
      </c>
      <c r="BP1274" s="395"/>
      <c r="BQ1274" s="395"/>
      <c r="BU1274" s="395"/>
      <c r="BV1274" s="395"/>
      <c r="BZ1274" s="395"/>
      <c r="CA1274" s="395"/>
      <c r="CE1274" s="548"/>
      <c r="CF1274" s="548"/>
      <c r="CG1274" s="548"/>
      <c r="CH1274" s="548"/>
      <c r="FB1274" s="24">
        <v>7.33</v>
      </c>
      <c r="FC1274" s="24">
        <v>0.26</v>
      </c>
      <c r="FF1274" s="24" t="s">
        <v>893</v>
      </c>
    </row>
    <row r="1275" spans="1:162" s="24" customFormat="1" x14ac:dyDescent="0.25">
      <c r="A1275" s="24">
        <v>59</v>
      </c>
      <c r="B1275" s="42" t="s">
        <v>4027</v>
      </c>
      <c r="C1275" s="24" t="s">
        <v>861</v>
      </c>
      <c r="D1275" s="24" t="s">
        <v>862</v>
      </c>
      <c r="E1275" s="24">
        <v>1997</v>
      </c>
      <c r="F1275" s="24">
        <v>1993</v>
      </c>
      <c r="G1275" s="24" t="s">
        <v>863</v>
      </c>
      <c r="H1275" s="24" t="s">
        <v>889</v>
      </c>
      <c r="I1275" s="32" t="s">
        <v>2815</v>
      </c>
      <c r="J1275" s="24">
        <v>38.92</v>
      </c>
      <c r="K1275" s="24">
        <v>-76.150000000000006</v>
      </c>
      <c r="L1275" s="24">
        <v>5</v>
      </c>
      <c r="O1275" s="24">
        <v>972</v>
      </c>
      <c r="R1275" s="42">
        <v>7</v>
      </c>
      <c r="S1275" s="42" t="s">
        <v>1860</v>
      </c>
      <c r="T1275" s="42" t="s">
        <v>864</v>
      </c>
      <c r="U1275" s="42" t="s">
        <v>1983</v>
      </c>
      <c r="V1275" s="42" t="s">
        <v>1389</v>
      </c>
      <c r="W1275" s="42" t="s">
        <v>1720</v>
      </c>
      <c r="X1275" s="42" t="s">
        <v>1389</v>
      </c>
      <c r="Y1275" s="42" t="s">
        <v>1417</v>
      </c>
      <c r="Z1275" s="24">
        <v>1.5</v>
      </c>
      <c r="AA1275" s="321"/>
      <c r="AB1275" s="321"/>
      <c r="AC1275" s="24" t="s">
        <v>450</v>
      </c>
      <c r="AG1275" s="24" t="s">
        <v>1347</v>
      </c>
      <c r="AH1275" s="24" t="s">
        <v>131</v>
      </c>
      <c r="AI1275" s="138" t="s">
        <v>131</v>
      </c>
      <c r="AJ1275" s="24" t="s">
        <v>132</v>
      </c>
      <c r="AK1275" s="140" t="s">
        <v>132</v>
      </c>
      <c r="AO1275" s="24" t="s">
        <v>156</v>
      </c>
      <c r="AP1275" s="24" t="s">
        <v>156</v>
      </c>
      <c r="AQ1275" s="24" t="s">
        <v>2126</v>
      </c>
      <c r="AR1275" s="24" t="s">
        <v>2126</v>
      </c>
      <c r="AS1275" s="24" t="s">
        <v>177</v>
      </c>
      <c r="AT1275" s="24" t="s">
        <v>891</v>
      </c>
      <c r="AU1275" s="24" t="s">
        <v>891</v>
      </c>
      <c r="AV1275" s="24" t="s">
        <v>177</v>
      </c>
      <c r="AW1275" s="24" t="s">
        <v>119</v>
      </c>
      <c r="AX1275" s="24">
        <v>4</v>
      </c>
      <c r="AZ1275" s="24" t="s">
        <v>335</v>
      </c>
      <c r="BB1275" s="24">
        <v>1873</v>
      </c>
      <c r="BC1275" s="24">
        <v>50.21447721179625</v>
      </c>
      <c r="BP1275" s="395"/>
      <c r="BQ1275" s="395"/>
      <c r="BU1275" s="395"/>
      <c r="BV1275" s="395"/>
      <c r="BZ1275" s="395"/>
      <c r="CA1275" s="395"/>
      <c r="CE1275" s="548"/>
      <c r="CF1275" s="548"/>
      <c r="CG1275" s="548"/>
      <c r="CH1275" s="548"/>
      <c r="FB1275" s="24">
        <v>8.69</v>
      </c>
      <c r="FC1275" s="24">
        <v>0.46</v>
      </c>
      <c r="FF1275" s="24" t="s">
        <v>893</v>
      </c>
    </row>
    <row r="1276" spans="1:162" s="24" customFormat="1" x14ac:dyDescent="0.25">
      <c r="A1276" s="24">
        <v>59</v>
      </c>
      <c r="B1276" s="42" t="s">
        <v>4027</v>
      </c>
      <c r="C1276" s="24" t="s">
        <v>861</v>
      </c>
      <c r="D1276" s="24" t="s">
        <v>862</v>
      </c>
      <c r="E1276" s="24">
        <v>1997</v>
      </c>
      <c r="F1276" s="24">
        <v>1993</v>
      </c>
      <c r="G1276" s="24" t="s">
        <v>863</v>
      </c>
      <c r="H1276" s="24" t="s">
        <v>889</v>
      </c>
      <c r="I1276" s="32" t="s">
        <v>2815</v>
      </c>
      <c r="J1276" s="24">
        <v>38.92</v>
      </c>
      <c r="K1276" s="24">
        <v>-76.150000000000006</v>
      </c>
      <c r="L1276" s="24">
        <v>5</v>
      </c>
      <c r="O1276" s="24">
        <v>972</v>
      </c>
      <c r="R1276" s="42">
        <v>7</v>
      </c>
      <c r="S1276" s="42" t="s">
        <v>1860</v>
      </c>
      <c r="T1276" s="42" t="s">
        <v>864</v>
      </c>
      <c r="U1276" s="42" t="s">
        <v>1983</v>
      </c>
      <c r="V1276" s="42" t="s">
        <v>1389</v>
      </c>
      <c r="W1276" s="42" t="s">
        <v>1720</v>
      </c>
      <c r="X1276" s="42" t="s">
        <v>1389</v>
      </c>
      <c r="Y1276" s="42" t="s">
        <v>1417</v>
      </c>
      <c r="Z1276" s="24">
        <v>1.5</v>
      </c>
      <c r="AA1276" s="321"/>
      <c r="AB1276" s="321"/>
      <c r="AC1276" s="24" t="s">
        <v>450</v>
      </c>
      <c r="AG1276" s="24" t="s">
        <v>1347</v>
      </c>
      <c r="AH1276" s="24" t="s">
        <v>131</v>
      </c>
      <c r="AI1276" s="138" t="s">
        <v>131</v>
      </c>
      <c r="AJ1276" s="24" t="s">
        <v>132</v>
      </c>
      <c r="AK1276" s="140" t="s">
        <v>132</v>
      </c>
      <c r="AO1276" s="24" t="s">
        <v>156</v>
      </c>
      <c r="AP1276" s="24" t="s">
        <v>156</v>
      </c>
      <c r="AQ1276" s="24" t="s">
        <v>2126</v>
      </c>
      <c r="AR1276" s="24" t="s">
        <v>2126</v>
      </c>
      <c r="AS1276" s="24" t="s">
        <v>177</v>
      </c>
      <c r="AT1276" s="24" t="s">
        <v>891</v>
      </c>
      <c r="AU1276" s="24" t="s">
        <v>891</v>
      </c>
      <c r="AV1276" s="24" t="s">
        <v>177</v>
      </c>
      <c r="AW1276" s="24" t="s">
        <v>119</v>
      </c>
      <c r="AX1276" s="24">
        <v>4</v>
      </c>
      <c r="AZ1276" s="24" t="s">
        <v>335</v>
      </c>
      <c r="BB1276" s="24">
        <v>1873</v>
      </c>
      <c r="BC1276" s="24">
        <v>50.21447721179625</v>
      </c>
      <c r="BP1276" s="395"/>
      <c r="BQ1276" s="395"/>
      <c r="BU1276" s="395"/>
      <c r="BV1276" s="395"/>
      <c r="BZ1276" s="395"/>
      <c r="CA1276" s="395"/>
      <c r="CE1276" s="548"/>
      <c r="CF1276" s="548"/>
      <c r="CG1276" s="548"/>
      <c r="CH1276" s="548"/>
      <c r="FB1276" s="24">
        <v>12.95</v>
      </c>
      <c r="FC1276" s="24">
        <v>2.98</v>
      </c>
      <c r="FF1276" s="24" t="s">
        <v>893</v>
      </c>
    </row>
    <row r="1277" spans="1:162" s="87" customFormat="1" x14ac:dyDescent="0.25">
      <c r="A1277" s="87">
        <v>59</v>
      </c>
      <c r="B1277" s="88" t="s">
        <v>4027</v>
      </c>
      <c r="C1277" s="87" t="s">
        <v>861</v>
      </c>
      <c r="D1277" s="87" t="s">
        <v>862</v>
      </c>
      <c r="E1277" s="87">
        <v>1997</v>
      </c>
      <c r="F1277" s="87">
        <v>1994</v>
      </c>
      <c r="G1277" s="87" t="s">
        <v>863</v>
      </c>
      <c r="H1277" s="87" t="s">
        <v>889</v>
      </c>
      <c r="I1277" s="32" t="s">
        <v>2815</v>
      </c>
      <c r="J1277" s="87">
        <v>38.92</v>
      </c>
      <c r="K1277" s="87">
        <v>-76.150000000000006</v>
      </c>
      <c r="L1277" s="87">
        <v>5</v>
      </c>
      <c r="O1277" s="87">
        <v>1275</v>
      </c>
      <c r="R1277" s="88">
        <v>8</v>
      </c>
      <c r="S1277" s="88" t="s">
        <v>1860</v>
      </c>
      <c r="T1277" s="88" t="s">
        <v>864</v>
      </c>
      <c r="U1277" s="88" t="s">
        <v>1983</v>
      </c>
      <c r="V1277" s="88" t="s">
        <v>1389</v>
      </c>
      <c r="W1277" s="88" t="s">
        <v>1720</v>
      </c>
      <c r="X1277" s="88" t="s">
        <v>1389</v>
      </c>
      <c r="Y1277" s="88" t="s">
        <v>1417</v>
      </c>
      <c r="Z1277" s="87">
        <v>1.5</v>
      </c>
      <c r="AA1277" s="345"/>
      <c r="AB1277" s="345"/>
      <c r="AC1277" s="87" t="s">
        <v>450</v>
      </c>
      <c r="AG1277" s="87" t="s">
        <v>1347</v>
      </c>
      <c r="AH1277" s="87" t="s">
        <v>131</v>
      </c>
      <c r="AI1277" s="138" t="s">
        <v>131</v>
      </c>
      <c r="AJ1277" s="87" t="s">
        <v>132</v>
      </c>
      <c r="AK1277" s="140" t="s">
        <v>132</v>
      </c>
      <c r="AO1277" s="87" t="s">
        <v>156</v>
      </c>
      <c r="AP1277" s="87" t="s">
        <v>156</v>
      </c>
      <c r="AQ1277" s="87" t="s">
        <v>2126</v>
      </c>
      <c r="AR1277" s="87" t="s">
        <v>2126</v>
      </c>
      <c r="AS1277" s="87" t="s">
        <v>177</v>
      </c>
      <c r="AT1277" s="87" t="s">
        <v>891</v>
      </c>
      <c r="AU1277" s="87" t="s">
        <v>891</v>
      </c>
      <c r="AV1277" s="87" t="s">
        <v>177</v>
      </c>
      <c r="AW1277" s="87" t="s">
        <v>119</v>
      </c>
      <c r="AX1277" s="87">
        <v>4</v>
      </c>
      <c r="AZ1277" s="87" t="s">
        <v>335</v>
      </c>
      <c r="BB1277" s="87">
        <v>3645</v>
      </c>
      <c r="BC1277" s="87">
        <v>61.570945945945944</v>
      </c>
      <c r="BP1277" s="420"/>
      <c r="BQ1277" s="420"/>
      <c r="BU1277" s="420"/>
      <c r="BV1277" s="420"/>
      <c r="BZ1277" s="420"/>
      <c r="CA1277" s="420"/>
      <c r="CE1277" s="573"/>
      <c r="CF1277" s="573"/>
      <c r="CG1277" s="573"/>
      <c r="CH1277" s="573"/>
      <c r="FB1277" s="87">
        <v>16.27</v>
      </c>
      <c r="FC1277" s="87">
        <v>6</v>
      </c>
      <c r="FF1277" s="87" t="s">
        <v>893</v>
      </c>
    </row>
    <row r="1278" spans="1:162" s="87" customFormat="1" x14ac:dyDescent="0.25">
      <c r="A1278" s="87">
        <v>59</v>
      </c>
      <c r="B1278" s="88" t="s">
        <v>4027</v>
      </c>
      <c r="C1278" s="87" t="s">
        <v>861</v>
      </c>
      <c r="D1278" s="87" t="s">
        <v>862</v>
      </c>
      <c r="E1278" s="87">
        <v>1997</v>
      </c>
      <c r="F1278" s="87">
        <v>1994</v>
      </c>
      <c r="G1278" s="87" t="s">
        <v>863</v>
      </c>
      <c r="H1278" s="87" t="s">
        <v>889</v>
      </c>
      <c r="I1278" s="32" t="s">
        <v>2815</v>
      </c>
      <c r="J1278" s="87">
        <v>38.92</v>
      </c>
      <c r="K1278" s="87">
        <v>-76.150000000000006</v>
      </c>
      <c r="L1278" s="87">
        <v>5</v>
      </c>
      <c r="O1278" s="87">
        <v>1275</v>
      </c>
      <c r="R1278" s="88">
        <v>8</v>
      </c>
      <c r="S1278" s="88" t="s">
        <v>1860</v>
      </c>
      <c r="T1278" s="88" t="s">
        <v>864</v>
      </c>
      <c r="U1278" s="88" t="s">
        <v>1983</v>
      </c>
      <c r="V1278" s="88" t="s">
        <v>1389</v>
      </c>
      <c r="W1278" s="88" t="s">
        <v>1720</v>
      </c>
      <c r="X1278" s="88" t="s">
        <v>1389</v>
      </c>
      <c r="Y1278" s="88" t="s">
        <v>1417</v>
      </c>
      <c r="Z1278" s="87">
        <v>1.5</v>
      </c>
      <c r="AA1278" s="345"/>
      <c r="AB1278" s="345"/>
      <c r="AC1278" s="87" t="s">
        <v>450</v>
      </c>
      <c r="AG1278" s="87" t="s">
        <v>1347</v>
      </c>
      <c r="AH1278" s="87" t="s">
        <v>131</v>
      </c>
      <c r="AI1278" s="138" t="s">
        <v>131</v>
      </c>
      <c r="AJ1278" s="87" t="s">
        <v>132</v>
      </c>
      <c r="AK1278" s="140" t="s">
        <v>132</v>
      </c>
      <c r="AO1278" s="87" t="s">
        <v>156</v>
      </c>
      <c r="AP1278" s="87" t="s">
        <v>156</v>
      </c>
      <c r="AQ1278" s="87" t="s">
        <v>2126</v>
      </c>
      <c r="AR1278" s="87" t="s">
        <v>2126</v>
      </c>
      <c r="AS1278" s="87" t="s">
        <v>177</v>
      </c>
      <c r="AT1278" s="87" t="s">
        <v>891</v>
      </c>
      <c r="AU1278" s="87" t="s">
        <v>891</v>
      </c>
      <c r="AV1278" s="87" t="s">
        <v>177</v>
      </c>
      <c r="AW1278" s="87" t="s">
        <v>119</v>
      </c>
      <c r="AX1278" s="87">
        <v>4</v>
      </c>
      <c r="AZ1278" s="87" t="s">
        <v>335</v>
      </c>
      <c r="BB1278" s="87">
        <v>3645</v>
      </c>
      <c r="BC1278" s="87">
        <v>61.570945945945944</v>
      </c>
      <c r="BP1278" s="420"/>
      <c r="BQ1278" s="420"/>
      <c r="BU1278" s="420"/>
      <c r="BV1278" s="420"/>
      <c r="BZ1278" s="420"/>
      <c r="CA1278" s="420"/>
      <c r="CE1278" s="573"/>
      <c r="CF1278" s="573"/>
      <c r="CG1278" s="573"/>
      <c r="CH1278" s="573"/>
      <c r="FB1278" s="87">
        <v>15.46</v>
      </c>
      <c r="FC1278" s="87">
        <v>2.19</v>
      </c>
      <c r="FF1278" s="87" t="s">
        <v>893</v>
      </c>
    </row>
    <row r="1279" spans="1:162" s="87" customFormat="1" x14ac:dyDescent="0.25">
      <c r="A1279" s="87">
        <v>59</v>
      </c>
      <c r="B1279" s="88" t="s">
        <v>4027</v>
      </c>
      <c r="C1279" s="87" t="s">
        <v>861</v>
      </c>
      <c r="D1279" s="87" t="s">
        <v>862</v>
      </c>
      <c r="E1279" s="87">
        <v>1997</v>
      </c>
      <c r="F1279" s="87">
        <v>1994</v>
      </c>
      <c r="G1279" s="87" t="s">
        <v>863</v>
      </c>
      <c r="H1279" s="87" t="s">
        <v>889</v>
      </c>
      <c r="I1279" s="32" t="s">
        <v>2815</v>
      </c>
      <c r="J1279" s="87">
        <v>38.92</v>
      </c>
      <c r="K1279" s="87">
        <v>-76.150000000000006</v>
      </c>
      <c r="L1279" s="87">
        <v>5</v>
      </c>
      <c r="O1279" s="87">
        <v>1275</v>
      </c>
      <c r="R1279" s="88">
        <v>8</v>
      </c>
      <c r="S1279" s="88" t="s">
        <v>1860</v>
      </c>
      <c r="T1279" s="88" t="s">
        <v>864</v>
      </c>
      <c r="U1279" s="88" t="s">
        <v>1983</v>
      </c>
      <c r="V1279" s="88" t="s">
        <v>1389</v>
      </c>
      <c r="W1279" s="88" t="s">
        <v>1720</v>
      </c>
      <c r="X1279" s="88" t="s">
        <v>1389</v>
      </c>
      <c r="Y1279" s="88" t="s">
        <v>1417</v>
      </c>
      <c r="Z1279" s="87">
        <v>1.5</v>
      </c>
      <c r="AA1279" s="345"/>
      <c r="AB1279" s="345"/>
      <c r="AC1279" s="87" t="s">
        <v>450</v>
      </c>
      <c r="AG1279" s="87" t="s">
        <v>1347</v>
      </c>
      <c r="AH1279" s="87" t="s">
        <v>131</v>
      </c>
      <c r="AI1279" s="138" t="s">
        <v>131</v>
      </c>
      <c r="AJ1279" s="87" t="s">
        <v>132</v>
      </c>
      <c r="AK1279" s="140" t="s">
        <v>132</v>
      </c>
      <c r="AO1279" s="87" t="s">
        <v>156</v>
      </c>
      <c r="AP1279" s="87" t="s">
        <v>156</v>
      </c>
      <c r="AQ1279" s="87" t="s">
        <v>2126</v>
      </c>
      <c r="AR1279" s="87" t="s">
        <v>2126</v>
      </c>
      <c r="AS1279" s="87" t="s">
        <v>177</v>
      </c>
      <c r="AT1279" s="87" t="s">
        <v>891</v>
      </c>
      <c r="AU1279" s="87" t="s">
        <v>891</v>
      </c>
      <c r="AV1279" s="87" t="s">
        <v>177</v>
      </c>
      <c r="AW1279" s="87" t="s">
        <v>119</v>
      </c>
      <c r="AX1279" s="87">
        <v>4</v>
      </c>
      <c r="AZ1279" s="87" t="s">
        <v>335</v>
      </c>
      <c r="BB1279" s="87">
        <v>3645</v>
      </c>
      <c r="BC1279" s="87">
        <v>61.570945945945944</v>
      </c>
      <c r="BP1279" s="420"/>
      <c r="BQ1279" s="420"/>
      <c r="BU1279" s="420"/>
      <c r="BV1279" s="420"/>
      <c r="BZ1279" s="420"/>
      <c r="CA1279" s="420"/>
      <c r="CE1279" s="573"/>
      <c r="CF1279" s="573"/>
      <c r="CG1279" s="573"/>
      <c r="CH1279" s="573"/>
      <c r="FB1279" s="87">
        <v>23.55</v>
      </c>
      <c r="FC1279" s="87">
        <v>1.56</v>
      </c>
      <c r="FF1279" s="87" t="s">
        <v>893</v>
      </c>
    </row>
    <row r="1280" spans="1:162" s="87" customFormat="1" x14ac:dyDescent="0.25">
      <c r="A1280" s="87">
        <v>59</v>
      </c>
      <c r="B1280" s="88" t="s">
        <v>4027</v>
      </c>
      <c r="C1280" s="87" t="s">
        <v>861</v>
      </c>
      <c r="D1280" s="87" t="s">
        <v>862</v>
      </c>
      <c r="E1280" s="87">
        <v>1997</v>
      </c>
      <c r="F1280" s="87">
        <v>1994</v>
      </c>
      <c r="G1280" s="87" t="s">
        <v>863</v>
      </c>
      <c r="H1280" s="87" t="s">
        <v>889</v>
      </c>
      <c r="I1280" s="32" t="s">
        <v>2815</v>
      </c>
      <c r="J1280" s="87">
        <v>38.92</v>
      </c>
      <c r="K1280" s="87">
        <v>-76.150000000000006</v>
      </c>
      <c r="L1280" s="87">
        <v>5</v>
      </c>
      <c r="O1280" s="87">
        <v>1275</v>
      </c>
      <c r="R1280" s="88">
        <v>8</v>
      </c>
      <c r="S1280" s="88" t="s">
        <v>1860</v>
      </c>
      <c r="T1280" s="88" t="s">
        <v>864</v>
      </c>
      <c r="U1280" s="88" t="s">
        <v>1983</v>
      </c>
      <c r="V1280" s="88" t="s">
        <v>1389</v>
      </c>
      <c r="W1280" s="88" t="s">
        <v>1720</v>
      </c>
      <c r="X1280" s="88" t="s">
        <v>1389</v>
      </c>
      <c r="Y1280" s="88" t="s">
        <v>1417</v>
      </c>
      <c r="Z1280" s="87">
        <v>1.5</v>
      </c>
      <c r="AA1280" s="345"/>
      <c r="AB1280" s="345"/>
      <c r="AC1280" s="87" t="s">
        <v>450</v>
      </c>
      <c r="AG1280" s="87" t="s">
        <v>1347</v>
      </c>
      <c r="AH1280" s="87" t="s">
        <v>131</v>
      </c>
      <c r="AI1280" s="138" t="s">
        <v>131</v>
      </c>
      <c r="AJ1280" s="87" t="s">
        <v>132</v>
      </c>
      <c r="AK1280" s="140" t="s">
        <v>132</v>
      </c>
      <c r="AO1280" s="87" t="s">
        <v>156</v>
      </c>
      <c r="AP1280" s="87" t="s">
        <v>156</v>
      </c>
      <c r="AQ1280" s="87" t="s">
        <v>2126</v>
      </c>
      <c r="AR1280" s="87" t="s">
        <v>2126</v>
      </c>
      <c r="AS1280" s="87" t="s">
        <v>177</v>
      </c>
      <c r="AT1280" s="87" t="s">
        <v>891</v>
      </c>
      <c r="AU1280" s="87" t="s">
        <v>891</v>
      </c>
      <c r="AV1280" s="87" t="s">
        <v>177</v>
      </c>
      <c r="AW1280" s="87" t="s">
        <v>119</v>
      </c>
      <c r="AX1280" s="87">
        <v>4</v>
      </c>
      <c r="AZ1280" s="87" t="s">
        <v>335</v>
      </c>
      <c r="BB1280" s="87">
        <v>3645</v>
      </c>
      <c r="BC1280" s="87">
        <v>61.570945945945944</v>
      </c>
      <c r="BP1280" s="420"/>
      <c r="BQ1280" s="420"/>
      <c r="BU1280" s="420"/>
      <c r="BV1280" s="420"/>
      <c r="BZ1280" s="420"/>
      <c r="CA1280" s="420"/>
      <c r="CE1280" s="573"/>
      <c r="CF1280" s="573"/>
      <c r="CG1280" s="573"/>
      <c r="CH1280" s="573"/>
      <c r="FB1280" s="87">
        <v>7.28</v>
      </c>
      <c r="FC1280" s="87">
        <v>0.3</v>
      </c>
      <c r="FF1280" s="87" t="s">
        <v>893</v>
      </c>
    </row>
    <row r="1281" spans="1:162" s="87" customFormat="1" x14ac:dyDescent="0.25">
      <c r="A1281" s="87">
        <v>59</v>
      </c>
      <c r="B1281" s="88" t="s">
        <v>4027</v>
      </c>
      <c r="C1281" s="87" t="s">
        <v>861</v>
      </c>
      <c r="D1281" s="87" t="s">
        <v>862</v>
      </c>
      <c r="E1281" s="87">
        <v>1997</v>
      </c>
      <c r="F1281" s="87">
        <v>1994</v>
      </c>
      <c r="G1281" s="87" t="s">
        <v>863</v>
      </c>
      <c r="H1281" s="87" t="s">
        <v>889</v>
      </c>
      <c r="I1281" s="32" t="s">
        <v>2815</v>
      </c>
      <c r="J1281" s="87">
        <v>38.92</v>
      </c>
      <c r="K1281" s="87">
        <v>-76.150000000000006</v>
      </c>
      <c r="L1281" s="87">
        <v>5</v>
      </c>
      <c r="O1281" s="87">
        <v>1275</v>
      </c>
      <c r="R1281" s="88">
        <v>8</v>
      </c>
      <c r="S1281" s="88" t="s">
        <v>1860</v>
      </c>
      <c r="T1281" s="88" t="s">
        <v>864</v>
      </c>
      <c r="U1281" s="88" t="s">
        <v>1983</v>
      </c>
      <c r="V1281" s="88" t="s">
        <v>1389</v>
      </c>
      <c r="W1281" s="88" t="s">
        <v>1720</v>
      </c>
      <c r="X1281" s="88" t="s">
        <v>1389</v>
      </c>
      <c r="Y1281" s="88" t="s">
        <v>1417</v>
      </c>
      <c r="Z1281" s="87">
        <v>1.5</v>
      </c>
      <c r="AA1281" s="345"/>
      <c r="AB1281" s="345"/>
      <c r="AC1281" s="87" t="s">
        <v>450</v>
      </c>
      <c r="AG1281" s="87" t="s">
        <v>1347</v>
      </c>
      <c r="AH1281" s="87" t="s">
        <v>131</v>
      </c>
      <c r="AI1281" s="138" t="s">
        <v>131</v>
      </c>
      <c r="AJ1281" s="87" t="s">
        <v>132</v>
      </c>
      <c r="AK1281" s="140" t="s">
        <v>132</v>
      </c>
      <c r="AO1281" s="87" t="s">
        <v>156</v>
      </c>
      <c r="AP1281" s="87" t="s">
        <v>156</v>
      </c>
      <c r="AQ1281" s="87" t="s">
        <v>2126</v>
      </c>
      <c r="AR1281" s="87" t="s">
        <v>2126</v>
      </c>
      <c r="AS1281" s="87" t="s">
        <v>177</v>
      </c>
      <c r="AT1281" s="87" t="s">
        <v>891</v>
      </c>
      <c r="AU1281" s="87" t="s">
        <v>891</v>
      </c>
      <c r="AV1281" s="87" t="s">
        <v>177</v>
      </c>
      <c r="AW1281" s="87" t="s">
        <v>119</v>
      </c>
      <c r="AX1281" s="87">
        <v>4</v>
      </c>
      <c r="AZ1281" s="87" t="s">
        <v>335</v>
      </c>
      <c r="BB1281" s="87">
        <v>3645</v>
      </c>
      <c r="BC1281" s="87">
        <v>61.570945945945944</v>
      </c>
      <c r="BP1281" s="420"/>
      <c r="BQ1281" s="420"/>
      <c r="BU1281" s="420"/>
      <c r="BV1281" s="420"/>
      <c r="BZ1281" s="420"/>
      <c r="CA1281" s="420"/>
      <c r="CE1281" s="573"/>
      <c r="CF1281" s="573"/>
      <c r="CG1281" s="573"/>
      <c r="CH1281" s="573"/>
      <c r="FB1281" s="87">
        <v>7.38</v>
      </c>
      <c r="FC1281" s="87">
        <v>0.21</v>
      </c>
      <c r="FF1281" s="87" t="s">
        <v>893</v>
      </c>
    </row>
    <row r="1282" spans="1:162" s="87" customFormat="1" x14ac:dyDescent="0.25">
      <c r="A1282" s="87">
        <v>59</v>
      </c>
      <c r="B1282" s="88" t="s">
        <v>4027</v>
      </c>
      <c r="C1282" s="87" t="s">
        <v>861</v>
      </c>
      <c r="D1282" s="87" t="s">
        <v>862</v>
      </c>
      <c r="E1282" s="87">
        <v>1997</v>
      </c>
      <c r="F1282" s="87">
        <v>1994</v>
      </c>
      <c r="G1282" s="87" t="s">
        <v>863</v>
      </c>
      <c r="H1282" s="87" t="s">
        <v>889</v>
      </c>
      <c r="I1282" s="32" t="s">
        <v>2815</v>
      </c>
      <c r="J1282" s="87">
        <v>38.92</v>
      </c>
      <c r="K1282" s="87">
        <v>-76.150000000000006</v>
      </c>
      <c r="L1282" s="87">
        <v>5</v>
      </c>
      <c r="O1282" s="87">
        <v>1275</v>
      </c>
      <c r="R1282" s="88">
        <v>8</v>
      </c>
      <c r="S1282" s="88" t="s">
        <v>1860</v>
      </c>
      <c r="T1282" s="88" t="s">
        <v>864</v>
      </c>
      <c r="U1282" s="88" t="s">
        <v>1983</v>
      </c>
      <c r="V1282" s="88" t="s">
        <v>1389</v>
      </c>
      <c r="W1282" s="88" t="s">
        <v>1720</v>
      </c>
      <c r="X1282" s="88" t="s">
        <v>1389</v>
      </c>
      <c r="Y1282" s="88" t="s">
        <v>1417</v>
      </c>
      <c r="Z1282" s="87">
        <v>1.5</v>
      </c>
      <c r="AA1282" s="345"/>
      <c r="AB1282" s="345"/>
      <c r="AC1282" s="87" t="s">
        <v>450</v>
      </c>
      <c r="AG1282" s="87" t="s">
        <v>1347</v>
      </c>
      <c r="AH1282" s="87" t="s">
        <v>131</v>
      </c>
      <c r="AI1282" s="138" t="s">
        <v>131</v>
      </c>
      <c r="AJ1282" s="87" t="s">
        <v>132</v>
      </c>
      <c r="AK1282" s="140" t="s">
        <v>132</v>
      </c>
      <c r="AO1282" s="87" t="s">
        <v>156</v>
      </c>
      <c r="AP1282" s="87" t="s">
        <v>156</v>
      </c>
      <c r="AQ1282" s="87" t="s">
        <v>2126</v>
      </c>
      <c r="AR1282" s="87" t="s">
        <v>2126</v>
      </c>
      <c r="AS1282" s="87" t="s">
        <v>177</v>
      </c>
      <c r="AT1282" s="87" t="s">
        <v>891</v>
      </c>
      <c r="AU1282" s="87" t="s">
        <v>891</v>
      </c>
      <c r="AV1282" s="87" t="s">
        <v>177</v>
      </c>
      <c r="AW1282" s="87" t="s">
        <v>119</v>
      </c>
      <c r="AX1282" s="87">
        <v>4</v>
      </c>
      <c r="AZ1282" s="87" t="s">
        <v>335</v>
      </c>
      <c r="BB1282" s="87">
        <v>3645</v>
      </c>
      <c r="BC1282" s="87">
        <v>61.570945945945944</v>
      </c>
      <c r="BP1282" s="420"/>
      <c r="BQ1282" s="420"/>
      <c r="BU1282" s="420"/>
      <c r="BV1282" s="420"/>
      <c r="BZ1282" s="420"/>
      <c r="CA1282" s="420"/>
      <c r="CE1282" s="573"/>
      <c r="CF1282" s="573"/>
      <c r="CG1282" s="573"/>
      <c r="CH1282" s="573"/>
      <c r="FB1282" s="87">
        <v>12.85</v>
      </c>
      <c r="FC1282" s="87">
        <v>0.16</v>
      </c>
      <c r="FF1282" s="87" t="s">
        <v>893</v>
      </c>
    </row>
    <row r="1283" spans="1:162" s="87" customFormat="1" x14ac:dyDescent="0.25">
      <c r="A1283" s="87">
        <v>59</v>
      </c>
      <c r="B1283" s="88" t="s">
        <v>4027</v>
      </c>
      <c r="C1283" s="87" t="s">
        <v>861</v>
      </c>
      <c r="D1283" s="87" t="s">
        <v>862</v>
      </c>
      <c r="E1283" s="87">
        <v>1997</v>
      </c>
      <c r="F1283" s="87">
        <v>1994</v>
      </c>
      <c r="G1283" s="87" t="s">
        <v>863</v>
      </c>
      <c r="H1283" s="87" t="s">
        <v>889</v>
      </c>
      <c r="I1283" s="32" t="s">
        <v>2815</v>
      </c>
      <c r="J1283" s="87">
        <v>38.92</v>
      </c>
      <c r="K1283" s="87">
        <v>-76.150000000000006</v>
      </c>
      <c r="L1283" s="87">
        <v>5</v>
      </c>
      <c r="O1283" s="87">
        <v>1275</v>
      </c>
      <c r="R1283" s="88">
        <v>8</v>
      </c>
      <c r="S1283" s="88" t="s">
        <v>1860</v>
      </c>
      <c r="T1283" s="88" t="s">
        <v>864</v>
      </c>
      <c r="U1283" s="88" t="s">
        <v>1983</v>
      </c>
      <c r="V1283" s="88" t="s">
        <v>1389</v>
      </c>
      <c r="W1283" s="88" t="s">
        <v>1720</v>
      </c>
      <c r="X1283" s="88" t="s">
        <v>1389</v>
      </c>
      <c r="Y1283" s="88" t="s">
        <v>1417</v>
      </c>
      <c r="Z1283" s="87">
        <v>1.5</v>
      </c>
      <c r="AA1283" s="345"/>
      <c r="AB1283" s="345"/>
      <c r="AC1283" s="87" t="s">
        <v>450</v>
      </c>
      <c r="AG1283" s="87" t="s">
        <v>1347</v>
      </c>
      <c r="AH1283" s="87" t="s">
        <v>131</v>
      </c>
      <c r="AI1283" s="138" t="s">
        <v>131</v>
      </c>
      <c r="AJ1283" s="87" t="s">
        <v>132</v>
      </c>
      <c r="AK1283" s="140" t="s">
        <v>132</v>
      </c>
      <c r="AO1283" s="87" t="s">
        <v>156</v>
      </c>
      <c r="AP1283" s="87" t="s">
        <v>156</v>
      </c>
      <c r="AQ1283" s="87" t="s">
        <v>2126</v>
      </c>
      <c r="AR1283" s="87" t="s">
        <v>2126</v>
      </c>
      <c r="AS1283" s="87" t="s">
        <v>177</v>
      </c>
      <c r="AT1283" s="87" t="s">
        <v>891</v>
      </c>
      <c r="AU1283" s="87" t="s">
        <v>891</v>
      </c>
      <c r="AV1283" s="87" t="s">
        <v>177</v>
      </c>
      <c r="AW1283" s="87" t="s">
        <v>119</v>
      </c>
      <c r="AX1283" s="87">
        <v>4</v>
      </c>
      <c r="AZ1283" s="87" t="s">
        <v>335</v>
      </c>
      <c r="BB1283" s="87">
        <v>3645</v>
      </c>
      <c r="BC1283" s="87">
        <v>61.570945945945944</v>
      </c>
      <c r="BP1283" s="420"/>
      <c r="BQ1283" s="420"/>
      <c r="BU1283" s="420"/>
      <c r="BV1283" s="420"/>
      <c r="BZ1283" s="420"/>
      <c r="CA1283" s="420"/>
      <c r="CE1283" s="573"/>
      <c r="CF1283" s="573"/>
      <c r="CG1283" s="573"/>
      <c r="CH1283" s="573"/>
      <c r="FB1283" s="87">
        <v>5</v>
      </c>
      <c r="FC1283" s="87">
        <v>0.16</v>
      </c>
      <c r="FF1283" s="87" t="s">
        <v>893</v>
      </c>
    </row>
    <row r="1284" spans="1:162" s="87" customFormat="1" x14ac:dyDescent="0.25">
      <c r="A1284" s="87">
        <v>59</v>
      </c>
      <c r="B1284" s="88" t="s">
        <v>4027</v>
      </c>
      <c r="C1284" s="87" t="s">
        <v>861</v>
      </c>
      <c r="D1284" s="87" t="s">
        <v>862</v>
      </c>
      <c r="E1284" s="87">
        <v>1997</v>
      </c>
      <c r="F1284" s="87">
        <v>1994</v>
      </c>
      <c r="G1284" s="87" t="s">
        <v>863</v>
      </c>
      <c r="H1284" s="87" t="s">
        <v>889</v>
      </c>
      <c r="I1284" s="32" t="s">
        <v>2815</v>
      </c>
      <c r="J1284" s="87">
        <v>38.92</v>
      </c>
      <c r="K1284" s="87">
        <v>-76.150000000000006</v>
      </c>
      <c r="L1284" s="87">
        <v>5</v>
      </c>
      <c r="O1284" s="87">
        <v>1275</v>
      </c>
      <c r="R1284" s="88">
        <v>8</v>
      </c>
      <c r="S1284" s="88" t="s">
        <v>1860</v>
      </c>
      <c r="T1284" s="88" t="s">
        <v>864</v>
      </c>
      <c r="U1284" s="88" t="s">
        <v>1983</v>
      </c>
      <c r="V1284" s="88" t="s">
        <v>1389</v>
      </c>
      <c r="W1284" s="88" t="s">
        <v>1720</v>
      </c>
      <c r="X1284" s="88" t="s">
        <v>1389</v>
      </c>
      <c r="Y1284" s="88" t="s">
        <v>1417</v>
      </c>
      <c r="Z1284" s="87">
        <v>1.5</v>
      </c>
      <c r="AA1284" s="345"/>
      <c r="AB1284" s="345"/>
      <c r="AC1284" s="87" t="s">
        <v>450</v>
      </c>
      <c r="AG1284" s="87" t="s">
        <v>1347</v>
      </c>
      <c r="AH1284" s="87" t="s">
        <v>131</v>
      </c>
      <c r="AI1284" s="138" t="s">
        <v>131</v>
      </c>
      <c r="AJ1284" s="87" t="s">
        <v>132</v>
      </c>
      <c r="AK1284" s="140" t="s">
        <v>132</v>
      </c>
      <c r="AO1284" s="87" t="s">
        <v>156</v>
      </c>
      <c r="AP1284" s="87" t="s">
        <v>156</v>
      </c>
      <c r="AQ1284" s="87" t="s">
        <v>2126</v>
      </c>
      <c r="AR1284" s="87" t="s">
        <v>2126</v>
      </c>
      <c r="AS1284" s="87" t="s">
        <v>177</v>
      </c>
      <c r="AT1284" s="87" t="s">
        <v>891</v>
      </c>
      <c r="AU1284" s="87" t="s">
        <v>891</v>
      </c>
      <c r="AV1284" s="87" t="s">
        <v>177</v>
      </c>
      <c r="AW1284" s="87" t="s">
        <v>119</v>
      </c>
      <c r="AX1284" s="87">
        <v>4</v>
      </c>
      <c r="AZ1284" s="87" t="s">
        <v>335</v>
      </c>
      <c r="BB1284" s="87">
        <v>3645</v>
      </c>
      <c r="BC1284" s="87">
        <v>61.570945945945944</v>
      </c>
      <c r="BP1284" s="420"/>
      <c r="BQ1284" s="420"/>
      <c r="BU1284" s="420"/>
      <c r="BV1284" s="420"/>
      <c r="BZ1284" s="420"/>
      <c r="CA1284" s="420"/>
      <c r="CE1284" s="573"/>
      <c r="CF1284" s="573"/>
      <c r="CG1284" s="573"/>
      <c r="CH1284" s="573"/>
      <c r="FB1284" s="87">
        <v>0.55000000000000004</v>
      </c>
      <c r="FC1284" s="87">
        <v>0.36</v>
      </c>
      <c r="FF1284" s="87" t="s">
        <v>893</v>
      </c>
    </row>
    <row r="1285" spans="1:162" s="24" customFormat="1" x14ac:dyDescent="0.25">
      <c r="A1285" s="24">
        <v>59</v>
      </c>
      <c r="B1285" s="42" t="s">
        <v>4027</v>
      </c>
      <c r="C1285" s="24" t="s">
        <v>861</v>
      </c>
      <c r="D1285" s="24" t="s">
        <v>862</v>
      </c>
      <c r="E1285" s="24">
        <v>1997</v>
      </c>
      <c r="F1285" s="24">
        <v>1995</v>
      </c>
      <c r="G1285" s="24" t="s">
        <v>863</v>
      </c>
      <c r="H1285" s="24" t="s">
        <v>889</v>
      </c>
      <c r="I1285" s="32" t="s">
        <v>2815</v>
      </c>
      <c r="J1285" s="24">
        <v>38.92</v>
      </c>
      <c r="K1285" s="24">
        <v>-76.150000000000006</v>
      </c>
      <c r="L1285" s="24">
        <v>5</v>
      </c>
      <c r="O1285" s="24">
        <v>755</v>
      </c>
      <c r="R1285" s="42">
        <v>9</v>
      </c>
      <c r="S1285" s="42" t="s">
        <v>1860</v>
      </c>
      <c r="T1285" s="42" t="s">
        <v>864</v>
      </c>
      <c r="U1285" s="42" t="s">
        <v>1983</v>
      </c>
      <c r="V1285" s="42" t="s">
        <v>1389</v>
      </c>
      <c r="W1285" s="42" t="s">
        <v>1720</v>
      </c>
      <c r="X1285" s="42" t="s">
        <v>1389</v>
      </c>
      <c r="Y1285" s="42" t="s">
        <v>1417</v>
      </c>
      <c r="Z1285" s="24">
        <v>1.5</v>
      </c>
      <c r="AA1285" s="321"/>
      <c r="AB1285" s="321"/>
      <c r="AC1285" s="24" t="s">
        <v>450</v>
      </c>
      <c r="AG1285" s="24" t="s">
        <v>1347</v>
      </c>
      <c r="AH1285" s="24" t="s">
        <v>131</v>
      </c>
      <c r="AI1285" s="138" t="s">
        <v>131</v>
      </c>
      <c r="AJ1285" s="24" t="s">
        <v>132</v>
      </c>
      <c r="AK1285" s="140" t="s">
        <v>132</v>
      </c>
      <c r="AO1285" s="24" t="s">
        <v>156</v>
      </c>
      <c r="AP1285" s="24" t="s">
        <v>156</v>
      </c>
      <c r="AQ1285" s="24" t="s">
        <v>2126</v>
      </c>
      <c r="AR1285" s="24" t="s">
        <v>2126</v>
      </c>
      <c r="AS1285" s="24" t="s">
        <v>177</v>
      </c>
      <c r="AT1285" s="24" t="s">
        <v>891</v>
      </c>
      <c r="AU1285" s="24" t="s">
        <v>891</v>
      </c>
      <c r="AV1285" s="24" t="s">
        <v>177</v>
      </c>
      <c r="AW1285" s="24" t="s">
        <v>119</v>
      </c>
      <c r="AX1285" s="24">
        <v>4</v>
      </c>
      <c r="AZ1285" s="24" t="s">
        <v>335</v>
      </c>
      <c r="BB1285" s="24">
        <v>3645</v>
      </c>
      <c r="BC1285" s="24">
        <v>61.570945945945944</v>
      </c>
      <c r="BP1285" s="395"/>
      <c r="BQ1285" s="395"/>
      <c r="BU1285" s="395"/>
      <c r="BV1285" s="395"/>
      <c r="BZ1285" s="395"/>
      <c r="CA1285" s="395"/>
      <c r="CE1285" s="548"/>
      <c r="CF1285" s="548"/>
      <c r="CG1285" s="548"/>
      <c r="CH1285" s="548"/>
      <c r="FB1285" s="24">
        <v>5.81</v>
      </c>
      <c r="FC1285" s="24">
        <v>3.78</v>
      </c>
      <c r="FF1285" s="24" t="s">
        <v>893</v>
      </c>
    </row>
    <row r="1286" spans="1:162" s="24" customFormat="1" x14ac:dyDescent="0.25">
      <c r="A1286" s="24">
        <v>59</v>
      </c>
      <c r="B1286" s="42" t="s">
        <v>4027</v>
      </c>
      <c r="C1286" s="24" t="s">
        <v>861</v>
      </c>
      <c r="D1286" s="24" t="s">
        <v>862</v>
      </c>
      <c r="E1286" s="24">
        <v>1997</v>
      </c>
      <c r="F1286" s="24">
        <v>1995</v>
      </c>
      <c r="G1286" s="24" t="s">
        <v>863</v>
      </c>
      <c r="H1286" s="24" t="s">
        <v>889</v>
      </c>
      <c r="I1286" s="32" t="s">
        <v>2815</v>
      </c>
      <c r="J1286" s="24">
        <v>38.92</v>
      </c>
      <c r="K1286" s="24">
        <v>-76.150000000000006</v>
      </c>
      <c r="L1286" s="24">
        <v>5</v>
      </c>
      <c r="O1286" s="24">
        <v>755</v>
      </c>
      <c r="R1286" s="42">
        <v>9</v>
      </c>
      <c r="S1286" s="42" t="s">
        <v>1860</v>
      </c>
      <c r="T1286" s="42" t="s">
        <v>864</v>
      </c>
      <c r="U1286" s="42" t="s">
        <v>1983</v>
      </c>
      <c r="V1286" s="42" t="s">
        <v>1389</v>
      </c>
      <c r="W1286" s="42" t="s">
        <v>1720</v>
      </c>
      <c r="X1286" s="42" t="s">
        <v>1389</v>
      </c>
      <c r="Y1286" s="42" t="s">
        <v>1417</v>
      </c>
      <c r="Z1286" s="24">
        <v>1.5</v>
      </c>
      <c r="AA1286" s="321"/>
      <c r="AB1286" s="321"/>
      <c r="AC1286" s="24" t="s">
        <v>450</v>
      </c>
      <c r="AG1286" s="24" t="s">
        <v>1347</v>
      </c>
      <c r="AH1286" s="24" t="s">
        <v>131</v>
      </c>
      <c r="AI1286" s="138" t="s">
        <v>131</v>
      </c>
      <c r="AJ1286" s="24" t="s">
        <v>132</v>
      </c>
      <c r="AK1286" s="140" t="s">
        <v>132</v>
      </c>
      <c r="AO1286" s="24" t="s">
        <v>156</v>
      </c>
      <c r="AP1286" s="24" t="s">
        <v>156</v>
      </c>
      <c r="AQ1286" s="24" t="s">
        <v>2126</v>
      </c>
      <c r="AR1286" s="24" t="s">
        <v>2126</v>
      </c>
      <c r="AS1286" s="24" t="s">
        <v>177</v>
      </c>
      <c r="AT1286" s="24" t="s">
        <v>891</v>
      </c>
      <c r="AU1286" s="24" t="s">
        <v>891</v>
      </c>
      <c r="AV1286" s="24" t="s">
        <v>177</v>
      </c>
      <c r="AW1286" s="24" t="s">
        <v>119</v>
      </c>
      <c r="AX1286" s="24">
        <v>4</v>
      </c>
      <c r="AZ1286" s="24" t="s">
        <v>335</v>
      </c>
      <c r="BB1286" s="24">
        <v>3645</v>
      </c>
      <c r="BC1286" s="24">
        <v>61.570945945945944</v>
      </c>
      <c r="BP1286" s="395"/>
      <c r="BQ1286" s="395"/>
      <c r="BU1286" s="395"/>
      <c r="BV1286" s="395"/>
      <c r="BZ1286" s="395"/>
      <c r="CA1286" s="395"/>
      <c r="CE1286" s="548"/>
      <c r="CF1286" s="548"/>
      <c r="CG1286" s="548"/>
      <c r="CH1286" s="548"/>
      <c r="FB1286" s="24">
        <v>16.760000000000002</v>
      </c>
      <c r="FC1286" s="24">
        <v>0.39</v>
      </c>
      <c r="FF1286" s="24" t="s">
        <v>893</v>
      </c>
    </row>
    <row r="1287" spans="1:162" s="24" customFormat="1" x14ac:dyDescent="0.25">
      <c r="A1287" s="24">
        <v>59</v>
      </c>
      <c r="B1287" s="42" t="s">
        <v>4027</v>
      </c>
      <c r="C1287" s="24" t="s">
        <v>861</v>
      </c>
      <c r="D1287" s="24" t="s">
        <v>862</v>
      </c>
      <c r="E1287" s="24">
        <v>1997</v>
      </c>
      <c r="F1287" s="24">
        <v>1995</v>
      </c>
      <c r="G1287" s="24" t="s">
        <v>863</v>
      </c>
      <c r="H1287" s="24" t="s">
        <v>889</v>
      </c>
      <c r="I1287" s="32" t="s">
        <v>2815</v>
      </c>
      <c r="J1287" s="24">
        <v>38.92</v>
      </c>
      <c r="K1287" s="24">
        <v>-76.150000000000006</v>
      </c>
      <c r="L1287" s="24">
        <v>5</v>
      </c>
      <c r="O1287" s="24">
        <v>755</v>
      </c>
      <c r="R1287" s="42">
        <v>9</v>
      </c>
      <c r="S1287" s="42" t="s">
        <v>1860</v>
      </c>
      <c r="T1287" s="42" t="s">
        <v>864</v>
      </c>
      <c r="U1287" s="42" t="s">
        <v>1983</v>
      </c>
      <c r="V1287" s="42" t="s">
        <v>1389</v>
      </c>
      <c r="W1287" s="42" t="s">
        <v>1720</v>
      </c>
      <c r="X1287" s="42" t="s">
        <v>1389</v>
      </c>
      <c r="Y1287" s="42" t="s">
        <v>1417</v>
      </c>
      <c r="Z1287" s="24">
        <v>1.5</v>
      </c>
      <c r="AA1287" s="321"/>
      <c r="AB1287" s="321"/>
      <c r="AC1287" s="24" t="s">
        <v>450</v>
      </c>
      <c r="AG1287" s="24" t="s">
        <v>1347</v>
      </c>
      <c r="AH1287" s="24" t="s">
        <v>131</v>
      </c>
      <c r="AI1287" s="138" t="s">
        <v>131</v>
      </c>
      <c r="AJ1287" s="24" t="s">
        <v>132</v>
      </c>
      <c r="AK1287" s="140" t="s">
        <v>132</v>
      </c>
      <c r="AO1287" s="24" t="s">
        <v>156</v>
      </c>
      <c r="AP1287" s="24" t="s">
        <v>156</v>
      </c>
      <c r="AQ1287" s="24" t="s">
        <v>2126</v>
      </c>
      <c r="AR1287" s="24" t="s">
        <v>2126</v>
      </c>
      <c r="AS1287" s="24" t="s">
        <v>177</v>
      </c>
      <c r="AT1287" s="24" t="s">
        <v>891</v>
      </c>
      <c r="AU1287" s="24" t="s">
        <v>891</v>
      </c>
      <c r="AV1287" s="24" t="s">
        <v>177</v>
      </c>
      <c r="AW1287" s="24" t="s">
        <v>119</v>
      </c>
      <c r="AX1287" s="24">
        <v>4</v>
      </c>
      <c r="AZ1287" s="24" t="s">
        <v>335</v>
      </c>
      <c r="BB1287" s="24">
        <v>3645</v>
      </c>
      <c r="BC1287" s="24">
        <v>61.570945945945944</v>
      </c>
      <c r="BP1287" s="395"/>
      <c r="BQ1287" s="395"/>
      <c r="BU1287" s="395"/>
      <c r="BV1287" s="395"/>
      <c r="BZ1287" s="395"/>
      <c r="CA1287" s="395"/>
      <c r="CE1287" s="548"/>
      <c r="CF1287" s="548"/>
      <c r="CG1287" s="548"/>
      <c r="CH1287" s="548"/>
      <c r="FB1287" s="24">
        <v>15.75</v>
      </c>
      <c r="FC1287" s="24">
        <v>0.44</v>
      </c>
      <c r="FF1287" s="24" t="s">
        <v>893</v>
      </c>
    </row>
    <row r="1288" spans="1:162" s="24" customFormat="1" x14ac:dyDescent="0.25">
      <c r="A1288" s="24">
        <v>59</v>
      </c>
      <c r="B1288" s="42" t="s">
        <v>4027</v>
      </c>
      <c r="C1288" s="24" t="s">
        <v>861</v>
      </c>
      <c r="D1288" s="24" t="s">
        <v>862</v>
      </c>
      <c r="E1288" s="24">
        <v>1997</v>
      </c>
      <c r="F1288" s="24">
        <v>1995</v>
      </c>
      <c r="G1288" s="24" t="s">
        <v>863</v>
      </c>
      <c r="H1288" s="24" t="s">
        <v>889</v>
      </c>
      <c r="I1288" s="32" t="s">
        <v>2815</v>
      </c>
      <c r="J1288" s="24">
        <v>38.92</v>
      </c>
      <c r="K1288" s="24">
        <v>-76.150000000000006</v>
      </c>
      <c r="L1288" s="24">
        <v>5</v>
      </c>
      <c r="O1288" s="24">
        <v>755</v>
      </c>
      <c r="R1288" s="42">
        <v>9</v>
      </c>
      <c r="S1288" s="42" t="s">
        <v>1860</v>
      </c>
      <c r="T1288" s="42" t="s">
        <v>864</v>
      </c>
      <c r="U1288" s="42" t="s">
        <v>1983</v>
      </c>
      <c r="V1288" s="42" t="s">
        <v>1389</v>
      </c>
      <c r="W1288" s="42" t="s">
        <v>1720</v>
      </c>
      <c r="X1288" s="42" t="s">
        <v>1389</v>
      </c>
      <c r="Y1288" s="42" t="s">
        <v>1417</v>
      </c>
      <c r="Z1288" s="24">
        <v>1.5</v>
      </c>
      <c r="AA1288" s="321"/>
      <c r="AB1288" s="321"/>
      <c r="AC1288" s="24" t="s">
        <v>450</v>
      </c>
      <c r="AG1288" s="24" t="s">
        <v>1347</v>
      </c>
      <c r="AH1288" s="24" t="s">
        <v>131</v>
      </c>
      <c r="AI1288" s="138" t="s">
        <v>131</v>
      </c>
      <c r="AJ1288" s="24" t="s">
        <v>132</v>
      </c>
      <c r="AK1288" s="140" t="s">
        <v>132</v>
      </c>
      <c r="AO1288" s="24" t="s">
        <v>156</v>
      </c>
      <c r="AP1288" s="24" t="s">
        <v>156</v>
      </c>
      <c r="AQ1288" s="24" t="s">
        <v>2126</v>
      </c>
      <c r="AR1288" s="24" t="s">
        <v>2126</v>
      </c>
      <c r="AS1288" s="24" t="s">
        <v>177</v>
      </c>
      <c r="AT1288" s="24" t="s">
        <v>891</v>
      </c>
      <c r="AU1288" s="24" t="s">
        <v>891</v>
      </c>
      <c r="AV1288" s="24" t="s">
        <v>177</v>
      </c>
      <c r="AW1288" s="24" t="s">
        <v>119</v>
      </c>
      <c r="AX1288" s="24">
        <v>4</v>
      </c>
      <c r="AZ1288" s="24" t="s">
        <v>335</v>
      </c>
      <c r="BB1288" s="24">
        <v>3645</v>
      </c>
      <c r="BC1288" s="24">
        <v>61.570945945945944</v>
      </c>
      <c r="BP1288" s="395"/>
      <c r="BQ1288" s="395"/>
      <c r="BU1288" s="395"/>
      <c r="BV1288" s="395"/>
      <c r="BZ1288" s="395"/>
      <c r="CA1288" s="395"/>
      <c r="CE1288" s="548"/>
      <c r="CF1288" s="548"/>
      <c r="CG1288" s="548"/>
      <c r="CH1288" s="548"/>
      <c r="FB1288" s="24">
        <v>20.45</v>
      </c>
      <c r="FC1288" s="24">
        <v>0.31</v>
      </c>
      <c r="FF1288" s="24" t="s">
        <v>893</v>
      </c>
    </row>
    <row r="1289" spans="1:162" s="24" customFormat="1" x14ac:dyDescent="0.25">
      <c r="A1289" s="24">
        <v>59</v>
      </c>
      <c r="B1289" s="42" t="s">
        <v>4027</v>
      </c>
      <c r="C1289" s="24" t="s">
        <v>861</v>
      </c>
      <c r="D1289" s="24" t="s">
        <v>862</v>
      </c>
      <c r="E1289" s="24">
        <v>1997</v>
      </c>
      <c r="F1289" s="24">
        <v>1995</v>
      </c>
      <c r="G1289" s="24" t="s">
        <v>863</v>
      </c>
      <c r="H1289" s="24" t="s">
        <v>889</v>
      </c>
      <c r="I1289" s="32" t="s">
        <v>2815</v>
      </c>
      <c r="J1289" s="24">
        <v>38.92</v>
      </c>
      <c r="K1289" s="24">
        <v>-76.150000000000006</v>
      </c>
      <c r="L1289" s="24">
        <v>5</v>
      </c>
      <c r="O1289" s="24">
        <v>755</v>
      </c>
      <c r="R1289" s="42">
        <v>9</v>
      </c>
      <c r="S1289" s="42" t="s">
        <v>1860</v>
      </c>
      <c r="T1289" s="42" t="s">
        <v>864</v>
      </c>
      <c r="U1289" s="42" t="s">
        <v>1983</v>
      </c>
      <c r="V1289" s="42" t="s">
        <v>1389</v>
      </c>
      <c r="W1289" s="42" t="s">
        <v>1720</v>
      </c>
      <c r="X1289" s="42" t="s">
        <v>1389</v>
      </c>
      <c r="Y1289" s="42" t="s">
        <v>1417</v>
      </c>
      <c r="Z1289" s="24">
        <v>1.5</v>
      </c>
      <c r="AA1289" s="321"/>
      <c r="AB1289" s="321"/>
      <c r="AC1289" s="24" t="s">
        <v>450</v>
      </c>
      <c r="AG1289" s="24" t="s">
        <v>1347</v>
      </c>
      <c r="AH1289" s="24" t="s">
        <v>131</v>
      </c>
      <c r="AI1289" s="138" t="s">
        <v>131</v>
      </c>
      <c r="AJ1289" s="24" t="s">
        <v>132</v>
      </c>
      <c r="AK1289" s="140" t="s">
        <v>132</v>
      </c>
      <c r="AO1289" s="24" t="s">
        <v>156</v>
      </c>
      <c r="AP1289" s="24" t="s">
        <v>156</v>
      </c>
      <c r="AQ1289" s="24" t="s">
        <v>2126</v>
      </c>
      <c r="AR1289" s="24" t="s">
        <v>2126</v>
      </c>
      <c r="AS1289" s="24" t="s">
        <v>177</v>
      </c>
      <c r="AT1289" s="24" t="s">
        <v>891</v>
      </c>
      <c r="AU1289" s="24" t="s">
        <v>891</v>
      </c>
      <c r="AV1289" s="24" t="s">
        <v>177</v>
      </c>
      <c r="AW1289" s="24" t="s">
        <v>119</v>
      </c>
      <c r="AX1289" s="24">
        <v>4</v>
      </c>
      <c r="AZ1289" s="24" t="s">
        <v>335</v>
      </c>
      <c r="BB1289" s="24">
        <v>3645</v>
      </c>
      <c r="BC1289" s="24">
        <v>61.570945945945944</v>
      </c>
      <c r="BP1289" s="395"/>
      <c r="BQ1289" s="395"/>
      <c r="BU1289" s="395"/>
      <c r="BV1289" s="395"/>
      <c r="BZ1289" s="395"/>
      <c r="CA1289" s="395"/>
      <c r="CE1289" s="548"/>
      <c r="CF1289" s="548"/>
      <c r="CG1289" s="548"/>
      <c r="CH1289" s="548"/>
      <c r="FB1289" s="24">
        <v>14.45</v>
      </c>
      <c r="FC1289" s="24">
        <v>0.21</v>
      </c>
      <c r="FF1289" s="24" t="s">
        <v>893</v>
      </c>
    </row>
    <row r="1290" spans="1:162" s="24" customFormat="1" x14ac:dyDescent="0.25">
      <c r="A1290" s="24">
        <v>59</v>
      </c>
      <c r="B1290" s="42" t="s">
        <v>4027</v>
      </c>
      <c r="C1290" s="24" t="s">
        <v>861</v>
      </c>
      <c r="D1290" s="24" t="s">
        <v>862</v>
      </c>
      <c r="E1290" s="24">
        <v>1997</v>
      </c>
      <c r="F1290" s="24">
        <v>1995</v>
      </c>
      <c r="G1290" s="24" t="s">
        <v>863</v>
      </c>
      <c r="H1290" s="24" t="s">
        <v>889</v>
      </c>
      <c r="I1290" s="32" t="s">
        <v>2815</v>
      </c>
      <c r="J1290" s="24">
        <v>38.92</v>
      </c>
      <c r="K1290" s="24">
        <v>-76.150000000000006</v>
      </c>
      <c r="L1290" s="24">
        <v>5</v>
      </c>
      <c r="O1290" s="24">
        <v>755</v>
      </c>
      <c r="R1290" s="42">
        <v>9</v>
      </c>
      <c r="S1290" s="42" t="s">
        <v>1860</v>
      </c>
      <c r="T1290" s="42" t="s">
        <v>864</v>
      </c>
      <c r="U1290" s="42" t="s">
        <v>1983</v>
      </c>
      <c r="V1290" s="42" t="s">
        <v>1389</v>
      </c>
      <c r="W1290" s="42" t="s">
        <v>1720</v>
      </c>
      <c r="X1290" s="42" t="s">
        <v>1389</v>
      </c>
      <c r="Y1290" s="42" t="s">
        <v>1417</v>
      </c>
      <c r="Z1290" s="24">
        <v>1.5</v>
      </c>
      <c r="AA1290" s="321"/>
      <c r="AB1290" s="321"/>
      <c r="AC1290" s="24" t="s">
        <v>450</v>
      </c>
      <c r="AG1290" s="24" t="s">
        <v>1347</v>
      </c>
      <c r="AH1290" s="24" t="s">
        <v>131</v>
      </c>
      <c r="AI1290" s="138" t="s">
        <v>131</v>
      </c>
      <c r="AJ1290" s="24" t="s">
        <v>132</v>
      </c>
      <c r="AK1290" s="140" t="s">
        <v>132</v>
      </c>
      <c r="AO1290" s="24" t="s">
        <v>156</v>
      </c>
      <c r="AP1290" s="24" t="s">
        <v>156</v>
      </c>
      <c r="AQ1290" s="24" t="s">
        <v>2126</v>
      </c>
      <c r="AR1290" s="24" t="s">
        <v>2126</v>
      </c>
      <c r="AS1290" s="24" t="s">
        <v>177</v>
      </c>
      <c r="AT1290" s="24" t="s">
        <v>891</v>
      </c>
      <c r="AU1290" s="24" t="s">
        <v>891</v>
      </c>
      <c r="AV1290" s="24" t="s">
        <v>177</v>
      </c>
      <c r="AW1290" s="24" t="s">
        <v>119</v>
      </c>
      <c r="AX1290" s="24">
        <v>4</v>
      </c>
      <c r="AZ1290" s="24" t="s">
        <v>335</v>
      </c>
      <c r="BB1290" s="24">
        <v>3645</v>
      </c>
      <c r="BC1290" s="24">
        <v>61.570945945945944</v>
      </c>
      <c r="BP1290" s="395"/>
      <c r="BQ1290" s="395"/>
      <c r="BU1290" s="395"/>
      <c r="BV1290" s="395"/>
      <c r="BZ1290" s="395"/>
      <c r="CA1290" s="395"/>
      <c r="CE1290" s="548"/>
      <c r="CF1290" s="548"/>
      <c r="CG1290" s="548"/>
      <c r="CH1290" s="548"/>
      <c r="FB1290" s="24">
        <v>9.17</v>
      </c>
      <c r="FC1290" s="24">
        <v>0.1</v>
      </c>
      <c r="FF1290" s="24" t="s">
        <v>893</v>
      </c>
    </row>
    <row r="1291" spans="1:162" s="24" customFormat="1" x14ac:dyDescent="0.25">
      <c r="A1291" s="24">
        <v>59</v>
      </c>
      <c r="B1291" s="42" t="s">
        <v>4027</v>
      </c>
      <c r="C1291" s="24" t="s">
        <v>861</v>
      </c>
      <c r="D1291" s="24" t="s">
        <v>862</v>
      </c>
      <c r="E1291" s="24">
        <v>1997</v>
      </c>
      <c r="F1291" s="24">
        <v>1995</v>
      </c>
      <c r="G1291" s="24" t="s">
        <v>863</v>
      </c>
      <c r="H1291" s="24" t="s">
        <v>889</v>
      </c>
      <c r="I1291" s="32" t="s">
        <v>2815</v>
      </c>
      <c r="J1291" s="24">
        <v>38.92</v>
      </c>
      <c r="K1291" s="24">
        <v>-76.150000000000006</v>
      </c>
      <c r="L1291" s="24">
        <v>5</v>
      </c>
      <c r="O1291" s="24">
        <v>755</v>
      </c>
      <c r="R1291" s="42">
        <v>9</v>
      </c>
      <c r="S1291" s="42" t="s">
        <v>1860</v>
      </c>
      <c r="T1291" s="42" t="s">
        <v>864</v>
      </c>
      <c r="U1291" s="42" t="s">
        <v>1983</v>
      </c>
      <c r="V1291" s="42" t="s">
        <v>1389</v>
      </c>
      <c r="W1291" s="42" t="s">
        <v>1720</v>
      </c>
      <c r="X1291" s="42" t="s">
        <v>1389</v>
      </c>
      <c r="Y1291" s="42" t="s">
        <v>1417</v>
      </c>
      <c r="Z1291" s="24">
        <v>1.5</v>
      </c>
      <c r="AA1291" s="321"/>
      <c r="AB1291" s="321"/>
      <c r="AC1291" s="24" t="s">
        <v>450</v>
      </c>
      <c r="AG1291" s="24" t="s">
        <v>1347</v>
      </c>
      <c r="AH1291" s="24" t="s">
        <v>131</v>
      </c>
      <c r="AI1291" s="138" t="s">
        <v>131</v>
      </c>
      <c r="AJ1291" s="24" t="s">
        <v>132</v>
      </c>
      <c r="AK1291" s="140" t="s">
        <v>132</v>
      </c>
      <c r="AO1291" s="24" t="s">
        <v>156</v>
      </c>
      <c r="AP1291" s="24" t="s">
        <v>156</v>
      </c>
      <c r="AQ1291" s="24" t="s">
        <v>2126</v>
      </c>
      <c r="AR1291" s="24" t="s">
        <v>2126</v>
      </c>
      <c r="AS1291" s="24" t="s">
        <v>177</v>
      </c>
      <c r="AT1291" s="24" t="s">
        <v>891</v>
      </c>
      <c r="AU1291" s="24" t="s">
        <v>891</v>
      </c>
      <c r="AV1291" s="24" t="s">
        <v>177</v>
      </c>
      <c r="AW1291" s="24" t="s">
        <v>119</v>
      </c>
      <c r="AX1291" s="24">
        <v>4</v>
      </c>
      <c r="AZ1291" s="24" t="s">
        <v>335</v>
      </c>
      <c r="BB1291" s="24">
        <v>3645</v>
      </c>
      <c r="BC1291" s="24">
        <v>61.570945945945944</v>
      </c>
      <c r="BP1291" s="395"/>
      <c r="BQ1291" s="395"/>
      <c r="BU1291" s="395"/>
      <c r="BV1291" s="395"/>
      <c r="BZ1291" s="395"/>
      <c r="CA1291" s="395"/>
      <c r="CE1291" s="548"/>
      <c r="CF1291" s="548"/>
      <c r="CG1291" s="548"/>
      <c r="CH1291" s="548"/>
      <c r="FB1291" s="24">
        <v>12.47</v>
      </c>
      <c r="FC1291" s="24">
        <v>0.56000000000000005</v>
      </c>
      <c r="FF1291" s="24" t="s">
        <v>893</v>
      </c>
    </row>
    <row r="1292" spans="1:162" s="24" customFormat="1" x14ac:dyDescent="0.25">
      <c r="A1292" s="24">
        <v>59</v>
      </c>
      <c r="B1292" s="42" t="s">
        <v>4027</v>
      </c>
      <c r="C1292" s="24" t="s">
        <v>861</v>
      </c>
      <c r="D1292" s="24" t="s">
        <v>862</v>
      </c>
      <c r="E1292" s="24">
        <v>1997</v>
      </c>
      <c r="F1292" s="24">
        <v>1995</v>
      </c>
      <c r="G1292" s="24" t="s">
        <v>863</v>
      </c>
      <c r="H1292" s="24" t="s">
        <v>889</v>
      </c>
      <c r="I1292" s="32" t="s">
        <v>2815</v>
      </c>
      <c r="J1292" s="24">
        <v>38.92</v>
      </c>
      <c r="K1292" s="24">
        <v>-76.150000000000006</v>
      </c>
      <c r="L1292" s="24">
        <v>5</v>
      </c>
      <c r="O1292" s="24">
        <v>755</v>
      </c>
      <c r="R1292" s="42">
        <v>9</v>
      </c>
      <c r="S1292" s="42" t="s">
        <v>1860</v>
      </c>
      <c r="T1292" s="42" t="s">
        <v>864</v>
      </c>
      <c r="U1292" s="42" t="s">
        <v>1983</v>
      </c>
      <c r="V1292" s="42" t="s">
        <v>1389</v>
      </c>
      <c r="W1292" s="42" t="s">
        <v>1720</v>
      </c>
      <c r="X1292" s="42" t="s">
        <v>1389</v>
      </c>
      <c r="Y1292" s="42" t="s">
        <v>1417</v>
      </c>
      <c r="Z1292" s="24">
        <v>1.5</v>
      </c>
      <c r="AA1292" s="321"/>
      <c r="AB1292" s="321"/>
      <c r="AC1292" s="24" t="s">
        <v>450</v>
      </c>
      <c r="AG1292" s="24" t="s">
        <v>1347</v>
      </c>
      <c r="AH1292" s="24" t="s">
        <v>131</v>
      </c>
      <c r="AI1292" s="138" t="s">
        <v>131</v>
      </c>
      <c r="AJ1292" s="24" t="s">
        <v>132</v>
      </c>
      <c r="AK1292" s="140" t="s">
        <v>132</v>
      </c>
      <c r="AO1292" s="24" t="s">
        <v>156</v>
      </c>
      <c r="AP1292" s="24" t="s">
        <v>156</v>
      </c>
      <c r="AQ1292" s="24" t="s">
        <v>2126</v>
      </c>
      <c r="AR1292" s="24" t="s">
        <v>2126</v>
      </c>
      <c r="AS1292" s="24" t="s">
        <v>177</v>
      </c>
      <c r="AT1292" s="24" t="s">
        <v>891</v>
      </c>
      <c r="AU1292" s="24" t="s">
        <v>891</v>
      </c>
      <c r="AV1292" s="24" t="s">
        <v>177</v>
      </c>
      <c r="AW1292" s="24" t="s">
        <v>119</v>
      </c>
      <c r="AX1292" s="24">
        <v>4</v>
      </c>
      <c r="AZ1292" s="24" t="s">
        <v>335</v>
      </c>
      <c r="BB1292" s="24">
        <v>3645</v>
      </c>
      <c r="BC1292" s="24">
        <v>61.570945945945944</v>
      </c>
      <c r="BP1292" s="395"/>
      <c r="BQ1292" s="395"/>
      <c r="BU1292" s="395"/>
      <c r="BV1292" s="395"/>
      <c r="BZ1292" s="395"/>
      <c r="CA1292" s="395"/>
      <c r="CE1292" s="548"/>
      <c r="CF1292" s="548"/>
      <c r="CG1292" s="548"/>
      <c r="CH1292" s="548"/>
      <c r="FB1292" s="24">
        <v>12.86</v>
      </c>
      <c r="FC1292" s="24">
        <v>1.23</v>
      </c>
      <c r="FF1292" s="24" t="s">
        <v>893</v>
      </c>
    </row>
    <row r="1293" spans="1:162" s="23" customFormat="1" x14ac:dyDescent="0.25">
      <c r="A1293" s="23">
        <v>59</v>
      </c>
      <c r="B1293" s="89" t="s">
        <v>4028</v>
      </c>
      <c r="C1293" s="23" t="s">
        <v>861</v>
      </c>
      <c r="D1293" s="23" t="s">
        <v>862</v>
      </c>
      <c r="E1293" s="23">
        <v>1997</v>
      </c>
      <c r="F1293" s="23">
        <v>1988</v>
      </c>
      <c r="G1293" s="23" t="s">
        <v>863</v>
      </c>
      <c r="H1293" s="23" t="s">
        <v>889</v>
      </c>
      <c r="I1293" s="32" t="s">
        <v>2815</v>
      </c>
      <c r="J1293" s="23">
        <v>38.92</v>
      </c>
      <c r="K1293" s="23">
        <v>-76.150000000000006</v>
      </c>
      <c r="L1293" s="23">
        <v>5</v>
      </c>
      <c r="O1293" s="23">
        <v>866</v>
      </c>
      <c r="R1293" s="89">
        <v>2</v>
      </c>
      <c r="S1293" s="89" t="s">
        <v>1860</v>
      </c>
      <c r="T1293" s="89" t="s">
        <v>864</v>
      </c>
      <c r="U1293" s="89" t="s">
        <v>1984</v>
      </c>
      <c r="V1293" s="89" t="s">
        <v>1410</v>
      </c>
      <c r="W1293" s="89" t="s">
        <v>1724</v>
      </c>
      <c r="X1293" s="89" t="s">
        <v>1389</v>
      </c>
      <c r="Y1293" s="89" t="s">
        <v>1417</v>
      </c>
      <c r="Z1293" s="23">
        <v>1.5</v>
      </c>
      <c r="AA1293" s="346"/>
      <c r="AB1293" s="346"/>
      <c r="AC1293" s="23" t="s">
        <v>450</v>
      </c>
      <c r="AG1293" s="23" t="s">
        <v>1347</v>
      </c>
      <c r="AH1293" s="23" t="s">
        <v>131</v>
      </c>
      <c r="AI1293" s="138" t="s">
        <v>131</v>
      </c>
      <c r="AJ1293" s="23" t="s">
        <v>132</v>
      </c>
      <c r="AK1293" s="140" t="s">
        <v>132</v>
      </c>
      <c r="AO1293" s="23" t="s">
        <v>231</v>
      </c>
      <c r="AP1293" s="23" t="s">
        <v>231</v>
      </c>
      <c r="AQ1293" s="23" t="s">
        <v>2125</v>
      </c>
      <c r="AR1293" s="23" t="s">
        <v>2125</v>
      </c>
      <c r="AS1293" s="23" t="s">
        <v>177</v>
      </c>
      <c r="AT1293" s="23" t="s">
        <v>891</v>
      </c>
      <c r="AU1293" s="23" t="s">
        <v>891</v>
      </c>
      <c r="AV1293" s="23" t="s">
        <v>177</v>
      </c>
      <c r="AW1293" s="23" t="s">
        <v>119</v>
      </c>
      <c r="AX1293" s="23">
        <v>4</v>
      </c>
      <c r="AZ1293" s="23" t="s">
        <v>335</v>
      </c>
      <c r="BP1293" s="421"/>
      <c r="BQ1293" s="421"/>
      <c r="BU1293" s="421"/>
      <c r="BV1293" s="421"/>
      <c r="BZ1293" s="421"/>
      <c r="CA1293" s="421"/>
      <c r="CE1293" s="574"/>
      <c r="CF1293" s="574"/>
      <c r="CG1293" s="574"/>
      <c r="CH1293" s="574"/>
      <c r="CJ1293" s="23">
        <v>6.96</v>
      </c>
      <c r="CK1293" s="23">
        <v>6.96</v>
      </c>
      <c r="CN1293" s="23" t="s">
        <v>1676</v>
      </c>
    </row>
    <row r="1294" spans="1:162" s="23" customFormat="1" x14ac:dyDescent="0.25">
      <c r="A1294" s="23">
        <v>59</v>
      </c>
      <c r="B1294" s="89" t="s">
        <v>4028</v>
      </c>
      <c r="C1294" s="23" t="s">
        <v>861</v>
      </c>
      <c r="D1294" s="23" t="s">
        <v>862</v>
      </c>
      <c r="E1294" s="23">
        <v>1997</v>
      </c>
      <c r="F1294" s="23">
        <v>1989</v>
      </c>
      <c r="G1294" s="23" t="s">
        <v>863</v>
      </c>
      <c r="H1294" s="23" t="s">
        <v>889</v>
      </c>
      <c r="I1294" s="32" t="s">
        <v>2815</v>
      </c>
      <c r="J1294" s="23">
        <v>38.92</v>
      </c>
      <c r="K1294" s="23">
        <v>-76.150000000000006</v>
      </c>
      <c r="L1294" s="23">
        <v>5</v>
      </c>
      <c r="O1294" s="23">
        <v>1300</v>
      </c>
      <c r="R1294" s="89">
        <v>3</v>
      </c>
      <c r="S1294" s="89" t="s">
        <v>1860</v>
      </c>
      <c r="T1294" s="89" t="s">
        <v>864</v>
      </c>
      <c r="U1294" s="89" t="s">
        <v>1985</v>
      </c>
      <c r="V1294" s="89" t="s">
        <v>1410</v>
      </c>
      <c r="W1294" s="89" t="s">
        <v>1724</v>
      </c>
      <c r="X1294" s="89" t="s">
        <v>1389</v>
      </c>
      <c r="Y1294" s="89" t="s">
        <v>1417</v>
      </c>
      <c r="Z1294" s="23">
        <v>1.5</v>
      </c>
      <c r="AA1294" s="346"/>
      <c r="AB1294" s="346"/>
      <c r="AC1294" s="23" t="s">
        <v>450</v>
      </c>
      <c r="AG1294" s="23" t="s">
        <v>1347</v>
      </c>
      <c r="AH1294" s="23" t="s">
        <v>131</v>
      </c>
      <c r="AI1294" s="138" t="s">
        <v>131</v>
      </c>
      <c r="AJ1294" s="23" t="s">
        <v>132</v>
      </c>
      <c r="AK1294" s="140" t="s">
        <v>132</v>
      </c>
      <c r="AO1294" s="23" t="s">
        <v>231</v>
      </c>
      <c r="AP1294" s="23" t="s">
        <v>231</v>
      </c>
      <c r="AQ1294" s="23" t="s">
        <v>2125</v>
      </c>
      <c r="AR1294" s="23" t="s">
        <v>2125</v>
      </c>
      <c r="AS1294" s="23" t="s">
        <v>177</v>
      </c>
      <c r="AT1294" s="23" t="s">
        <v>891</v>
      </c>
      <c r="AU1294" s="23" t="s">
        <v>891</v>
      </c>
      <c r="AV1294" s="23" t="s">
        <v>177</v>
      </c>
      <c r="AW1294" s="23" t="s">
        <v>119</v>
      </c>
      <c r="AX1294" s="23">
        <v>4</v>
      </c>
      <c r="AZ1294" s="23" t="s">
        <v>335</v>
      </c>
      <c r="BP1294" s="421"/>
      <c r="BQ1294" s="421"/>
      <c r="BU1294" s="421"/>
      <c r="BV1294" s="421"/>
      <c r="BZ1294" s="421"/>
      <c r="CA1294" s="421"/>
      <c r="CE1294" s="574"/>
      <c r="CF1294" s="574"/>
      <c r="CG1294" s="574"/>
      <c r="CH1294" s="574"/>
      <c r="CJ1294" s="23">
        <v>4.62</v>
      </c>
      <c r="CK1294" s="23">
        <v>0.77</v>
      </c>
      <c r="CN1294" s="23" t="s">
        <v>1676</v>
      </c>
    </row>
    <row r="1295" spans="1:162" s="23" customFormat="1" x14ac:dyDescent="0.25">
      <c r="A1295" s="23">
        <v>59</v>
      </c>
      <c r="B1295" s="89" t="s">
        <v>4028</v>
      </c>
      <c r="C1295" s="23" t="s">
        <v>861</v>
      </c>
      <c r="D1295" s="23" t="s">
        <v>862</v>
      </c>
      <c r="E1295" s="23">
        <v>1997</v>
      </c>
      <c r="F1295" s="23">
        <v>1989</v>
      </c>
      <c r="G1295" s="23" t="s">
        <v>863</v>
      </c>
      <c r="H1295" s="23" t="s">
        <v>889</v>
      </c>
      <c r="I1295" s="32" t="s">
        <v>2815</v>
      </c>
      <c r="J1295" s="23">
        <v>38.92</v>
      </c>
      <c r="K1295" s="23">
        <v>-76.150000000000006</v>
      </c>
      <c r="L1295" s="23">
        <v>5</v>
      </c>
      <c r="O1295" s="23">
        <v>1300</v>
      </c>
      <c r="R1295" s="89">
        <v>3</v>
      </c>
      <c r="S1295" s="89" t="s">
        <v>1860</v>
      </c>
      <c r="T1295" s="89" t="s">
        <v>864</v>
      </c>
      <c r="U1295" s="89" t="s">
        <v>1984</v>
      </c>
      <c r="V1295" s="89" t="s">
        <v>1410</v>
      </c>
      <c r="W1295" s="89" t="s">
        <v>1724</v>
      </c>
      <c r="X1295" s="89" t="s">
        <v>1389</v>
      </c>
      <c r="Y1295" s="89" t="s">
        <v>1417</v>
      </c>
      <c r="Z1295" s="23">
        <v>1.5</v>
      </c>
      <c r="AA1295" s="346"/>
      <c r="AB1295" s="346"/>
      <c r="AC1295" s="23" t="s">
        <v>450</v>
      </c>
      <c r="AG1295" s="23" t="s">
        <v>1347</v>
      </c>
      <c r="AH1295" s="23" t="s">
        <v>131</v>
      </c>
      <c r="AI1295" s="138" t="s">
        <v>131</v>
      </c>
      <c r="AJ1295" s="23" t="s">
        <v>132</v>
      </c>
      <c r="AK1295" s="140" t="s">
        <v>132</v>
      </c>
      <c r="AO1295" s="23" t="s">
        <v>231</v>
      </c>
      <c r="AP1295" s="23" t="s">
        <v>231</v>
      </c>
      <c r="AQ1295" s="23" t="s">
        <v>2125</v>
      </c>
      <c r="AR1295" s="23" t="s">
        <v>2125</v>
      </c>
      <c r="AS1295" s="23" t="s">
        <v>177</v>
      </c>
      <c r="AT1295" s="23" t="s">
        <v>891</v>
      </c>
      <c r="AU1295" s="23" t="s">
        <v>891</v>
      </c>
      <c r="AV1295" s="23" t="s">
        <v>177</v>
      </c>
      <c r="AW1295" s="23" t="s">
        <v>119</v>
      </c>
      <c r="AX1295" s="23">
        <v>4</v>
      </c>
      <c r="AZ1295" s="23" t="s">
        <v>335</v>
      </c>
      <c r="BP1295" s="421"/>
      <c r="BQ1295" s="421"/>
      <c r="BU1295" s="421"/>
      <c r="BV1295" s="421"/>
      <c r="BZ1295" s="421"/>
      <c r="CA1295" s="421"/>
      <c r="CE1295" s="574"/>
      <c r="CF1295" s="574"/>
      <c r="CG1295" s="574"/>
      <c r="CH1295" s="574"/>
      <c r="CJ1295" s="23">
        <v>4.3</v>
      </c>
      <c r="CK1295" s="23">
        <v>1.06</v>
      </c>
      <c r="CN1295" s="23" t="s">
        <v>1676</v>
      </c>
    </row>
    <row r="1296" spans="1:162" s="23" customFormat="1" x14ac:dyDescent="0.25">
      <c r="A1296" s="23">
        <v>59</v>
      </c>
      <c r="B1296" s="89" t="s">
        <v>4028</v>
      </c>
      <c r="C1296" s="23" t="s">
        <v>861</v>
      </c>
      <c r="D1296" s="23" t="s">
        <v>862</v>
      </c>
      <c r="E1296" s="23">
        <v>1997</v>
      </c>
      <c r="F1296" s="23">
        <v>1990</v>
      </c>
      <c r="G1296" s="23" t="s">
        <v>863</v>
      </c>
      <c r="H1296" s="23" t="s">
        <v>889</v>
      </c>
      <c r="I1296" s="32" t="s">
        <v>2815</v>
      </c>
      <c r="J1296" s="23">
        <v>38.92</v>
      </c>
      <c r="K1296" s="23">
        <v>-76.150000000000006</v>
      </c>
      <c r="L1296" s="23">
        <v>5</v>
      </c>
      <c r="O1296" s="23">
        <v>1007</v>
      </c>
      <c r="R1296" s="89">
        <v>4</v>
      </c>
      <c r="S1296" s="89" t="s">
        <v>1860</v>
      </c>
      <c r="T1296" s="89" t="s">
        <v>864</v>
      </c>
      <c r="U1296" s="89" t="s">
        <v>1985</v>
      </c>
      <c r="V1296" s="89" t="s">
        <v>1410</v>
      </c>
      <c r="W1296" s="89" t="s">
        <v>1724</v>
      </c>
      <c r="X1296" s="89" t="s">
        <v>1389</v>
      </c>
      <c r="Y1296" s="89" t="s">
        <v>1417</v>
      </c>
      <c r="Z1296" s="23">
        <v>1.5</v>
      </c>
      <c r="AA1296" s="346"/>
      <c r="AB1296" s="346"/>
      <c r="AC1296" s="23" t="s">
        <v>450</v>
      </c>
      <c r="AG1296" s="23" t="s">
        <v>1347</v>
      </c>
      <c r="AH1296" s="23" t="s">
        <v>131</v>
      </c>
      <c r="AI1296" s="138" t="s">
        <v>131</v>
      </c>
      <c r="AJ1296" s="23" t="s">
        <v>132</v>
      </c>
      <c r="AK1296" s="140" t="s">
        <v>132</v>
      </c>
      <c r="AO1296" s="23" t="s">
        <v>231</v>
      </c>
      <c r="AP1296" s="23" t="s">
        <v>231</v>
      </c>
      <c r="AQ1296" s="23" t="s">
        <v>2125</v>
      </c>
      <c r="AR1296" s="23" t="s">
        <v>2125</v>
      </c>
      <c r="AS1296" s="23" t="s">
        <v>177</v>
      </c>
      <c r="AT1296" s="23" t="s">
        <v>891</v>
      </c>
      <c r="AU1296" s="23" t="s">
        <v>891</v>
      </c>
      <c r="AV1296" s="23" t="s">
        <v>177</v>
      </c>
      <c r="AW1296" s="23" t="s">
        <v>119</v>
      </c>
      <c r="AX1296" s="23">
        <v>4</v>
      </c>
      <c r="AZ1296" s="23" t="s">
        <v>335</v>
      </c>
      <c r="BB1296" s="23">
        <v>4048</v>
      </c>
      <c r="BC1296" s="23">
        <f>BB1296/85</f>
        <v>47.623529411764707</v>
      </c>
      <c r="BP1296" s="421"/>
      <c r="BQ1296" s="421"/>
      <c r="BU1296" s="421"/>
      <c r="BV1296" s="421"/>
      <c r="BZ1296" s="421"/>
      <c r="CA1296" s="421"/>
      <c r="CE1296" s="574"/>
      <c r="CF1296" s="574"/>
      <c r="CG1296" s="574"/>
      <c r="CH1296" s="574"/>
      <c r="CJ1296" s="23">
        <v>3.68</v>
      </c>
      <c r="CK1296" s="23">
        <v>0.9</v>
      </c>
      <c r="CN1296" s="23" t="s">
        <v>1676</v>
      </c>
    </row>
    <row r="1297" spans="1:92" s="23" customFormat="1" x14ac:dyDescent="0.25">
      <c r="A1297" s="23">
        <v>59</v>
      </c>
      <c r="B1297" s="89" t="s">
        <v>4028</v>
      </c>
      <c r="C1297" s="23" t="s">
        <v>861</v>
      </c>
      <c r="D1297" s="23" t="s">
        <v>862</v>
      </c>
      <c r="E1297" s="23">
        <v>1997</v>
      </c>
      <c r="F1297" s="23">
        <v>1990</v>
      </c>
      <c r="G1297" s="23" t="s">
        <v>863</v>
      </c>
      <c r="H1297" s="23" t="s">
        <v>889</v>
      </c>
      <c r="I1297" s="32" t="s">
        <v>2815</v>
      </c>
      <c r="J1297" s="23">
        <v>38.92</v>
      </c>
      <c r="K1297" s="23">
        <v>-76.150000000000006</v>
      </c>
      <c r="L1297" s="23">
        <v>5</v>
      </c>
      <c r="O1297" s="23">
        <v>1007</v>
      </c>
      <c r="R1297" s="89">
        <v>4</v>
      </c>
      <c r="S1297" s="89" t="s">
        <v>1860</v>
      </c>
      <c r="T1297" s="89" t="s">
        <v>864</v>
      </c>
      <c r="U1297" s="89" t="s">
        <v>1984</v>
      </c>
      <c r="V1297" s="89" t="s">
        <v>1410</v>
      </c>
      <c r="W1297" s="89" t="s">
        <v>1724</v>
      </c>
      <c r="X1297" s="89" t="s">
        <v>1389</v>
      </c>
      <c r="Y1297" s="89" t="s">
        <v>1417</v>
      </c>
      <c r="Z1297" s="23">
        <v>1.5</v>
      </c>
      <c r="AA1297" s="346"/>
      <c r="AB1297" s="346"/>
      <c r="AC1297" s="23" t="s">
        <v>450</v>
      </c>
      <c r="AG1297" s="23" t="s">
        <v>1347</v>
      </c>
      <c r="AH1297" s="23" t="s">
        <v>131</v>
      </c>
      <c r="AI1297" s="138" t="s">
        <v>131</v>
      </c>
      <c r="AJ1297" s="23" t="s">
        <v>132</v>
      </c>
      <c r="AK1297" s="140" t="s">
        <v>132</v>
      </c>
      <c r="AO1297" s="23" t="s">
        <v>231</v>
      </c>
      <c r="AP1297" s="23" t="s">
        <v>231</v>
      </c>
      <c r="AQ1297" s="23" t="s">
        <v>2125</v>
      </c>
      <c r="AR1297" s="23" t="s">
        <v>2125</v>
      </c>
      <c r="AS1297" s="23" t="s">
        <v>177</v>
      </c>
      <c r="AT1297" s="23" t="s">
        <v>891</v>
      </c>
      <c r="AU1297" s="23" t="s">
        <v>891</v>
      </c>
      <c r="AV1297" s="23" t="s">
        <v>177</v>
      </c>
      <c r="AW1297" s="23" t="s">
        <v>119</v>
      </c>
      <c r="AX1297" s="23">
        <v>4</v>
      </c>
      <c r="AZ1297" s="23" t="s">
        <v>335</v>
      </c>
      <c r="BB1297" s="23">
        <v>4048</v>
      </c>
      <c r="BC1297" s="23">
        <f>BB1297/85</f>
        <v>47.623529411764707</v>
      </c>
      <c r="BP1297" s="421"/>
      <c r="BQ1297" s="421"/>
      <c r="BU1297" s="421"/>
      <c r="BV1297" s="421"/>
      <c r="BZ1297" s="421"/>
      <c r="CA1297" s="421"/>
      <c r="CE1297" s="574"/>
      <c r="CF1297" s="574"/>
      <c r="CG1297" s="574"/>
      <c r="CH1297" s="574"/>
      <c r="CJ1297" s="23">
        <v>2.2799999999999998</v>
      </c>
      <c r="CK1297" s="23">
        <v>1.44</v>
      </c>
      <c r="CN1297" s="23" t="s">
        <v>1676</v>
      </c>
    </row>
    <row r="1298" spans="1:92" s="23" customFormat="1" x14ac:dyDescent="0.25">
      <c r="A1298" s="23">
        <v>59</v>
      </c>
      <c r="B1298" s="89" t="s">
        <v>4028</v>
      </c>
      <c r="C1298" s="23" t="s">
        <v>861</v>
      </c>
      <c r="D1298" s="23" t="s">
        <v>862</v>
      </c>
      <c r="E1298" s="23">
        <v>1997</v>
      </c>
      <c r="F1298" s="23">
        <v>1991</v>
      </c>
      <c r="G1298" s="23" t="s">
        <v>863</v>
      </c>
      <c r="H1298" s="23" t="s">
        <v>889</v>
      </c>
      <c r="I1298" s="32" t="s">
        <v>2815</v>
      </c>
      <c r="J1298" s="23">
        <v>38.92</v>
      </c>
      <c r="K1298" s="23">
        <v>-76.150000000000006</v>
      </c>
      <c r="L1298" s="23">
        <v>5</v>
      </c>
      <c r="O1298" s="23">
        <v>997</v>
      </c>
      <c r="R1298" s="89">
        <v>5</v>
      </c>
      <c r="S1298" s="89" t="s">
        <v>1860</v>
      </c>
      <c r="T1298" s="89" t="s">
        <v>864</v>
      </c>
      <c r="U1298" s="89" t="s">
        <v>1985</v>
      </c>
      <c r="V1298" s="89" t="s">
        <v>1410</v>
      </c>
      <c r="W1298" s="89" t="s">
        <v>1724</v>
      </c>
      <c r="X1298" s="89" t="s">
        <v>1389</v>
      </c>
      <c r="Y1298" s="89" t="s">
        <v>1417</v>
      </c>
      <c r="Z1298" s="23">
        <v>1.5</v>
      </c>
      <c r="AA1298" s="346"/>
      <c r="AB1298" s="346"/>
      <c r="AC1298" s="23" t="s">
        <v>450</v>
      </c>
      <c r="AG1298" s="23" t="s">
        <v>1347</v>
      </c>
      <c r="AH1298" s="23" t="s">
        <v>131</v>
      </c>
      <c r="AI1298" s="138" t="s">
        <v>131</v>
      </c>
      <c r="AJ1298" s="23" t="s">
        <v>132</v>
      </c>
      <c r="AK1298" s="140" t="s">
        <v>132</v>
      </c>
      <c r="AO1298" s="23" t="s">
        <v>231</v>
      </c>
      <c r="AP1298" s="23" t="s">
        <v>231</v>
      </c>
      <c r="AQ1298" s="23" t="s">
        <v>2125</v>
      </c>
      <c r="AR1298" s="23" t="s">
        <v>2125</v>
      </c>
      <c r="AS1298" s="23" t="s">
        <v>177</v>
      </c>
      <c r="AT1298" s="23" t="s">
        <v>891</v>
      </c>
      <c r="AU1298" s="23" t="s">
        <v>891</v>
      </c>
      <c r="AV1298" s="23" t="s">
        <v>177</v>
      </c>
      <c r="AW1298" s="23" t="s">
        <v>119</v>
      </c>
      <c r="AX1298" s="23">
        <v>4</v>
      </c>
      <c r="AZ1298" s="23" t="s">
        <v>335</v>
      </c>
      <c r="BB1298" s="23">
        <v>1793</v>
      </c>
      <c r="BC1298" s="23">
        <f>BB1298/25.9</f>
        <v>69.227799227799238</v>
      </c>
      <c r="BP1298" s="421"/>
      <c r="BQ1298" s="421"/>
      <c r="BU1298" s="421"/>
      <c r="BV1298" s="421"/>
      <c r="BZ1298" s="421"/>
      <c r="CA1298" s="421"/>
      <c r="CE1298" s="574"/>
      <c r="CF1298" s="574"/>
      <c r="CG1298" s="574"/>
      <c r="CH1298" s="574"/>
      <c r="CJ1298" s="23">
        <v>4.57</v>
      </c>
      <c r="CK1298" s="23">
        <v>0.32</v>
      </c>
      <c r="CN1298" s="23" t="s">
        <v>1676</v>
      </c>
    </row>
    <row r="1299" spans="1:92" s="23" customFormat="1" x14ac:dyDescent="0.25">
      <c r="A1299" s="23">
        <v>59</v>
      </c>
      <c r="B1299" s="89" t="s">
        <v>4028</v>
      </c>
      <c r="C1299" s="23" t="s">
        <v>861</v>
      </c>
      <c r="D1299" s="23" t="s">
        <v>862</v>
      </c>
      <c r="E1299" s="23">
        <v>1997</v>
      </c>
      <c r="F1299" s="23">
        <v>1991</v>
      </c>
      <c r="G1299" s="23" t="s">
        <v>863</v>
      </c>
      <c r="H1299" s="23" t="s">
        <v>889</v>
      </c>
      <c r="I1299" s="32" t="s">
        <v>2815</v>
      </c>
      <c r="J1299" s="23">
        <v>38.92</v>
      </c>
      <c r="K1299" s="23">
        <v>-76.150000000000006</v>
      </c>
      <c r="L1299" s="23">
        <v>5</v>
      </c>
      <c r="O1299" s="23">
        <v>997</v>
      </c>
      <c r="R1299" s="89">
        <v>5</v>
      </c>
      <c r="S1299" s="89" t="s">
        <v>1860</v>
      </c>
      <c r="T1299" s="89" t="s">
        <v>864</v>
      </c>
      <c r="U1299" s="89" t="s">
        <v>1984</v>
      </c>
      <c r="V1299" s="89" t="s">
        <v>1410</v>
      </c>
      <c r="W1299" s="89" t="s">
        <v>1724</v>
      </c>
      <c r="X1299" s="89" t="s">
        <v>1389</v>
      </c>
      <c r="Y1299" s="89" t="s">
        <v>1417</v>
      </c>
      <c r="Z1299" s="23">
        <v>1.5</v>
      </c>
      <c r="AA1299" s="346"/>
      <c r="AB1299" s="346"/>
      <c r="AC1299" s="23" t="s">
        <v>450</v>
      </c>
      <c r="AG1299" s="23" t="s">
        <v>1347</v>
      </c>
      <c r="AH1299" s="23" t="s">
        <v>131</v>
      </c>
      <c r="AI1299" s="138" t="s">
        <v>131</v>
      </c>
      <c r="AJ1299" s="23" t="s">
        <v>132</v>
      </c>
      <c r="AK1299" s="140" t="s">
        <v>132</v>
      </c>
      <c r="AO1299" s="23" t="s">
        <v>231</v>
      </c>
      <c r="AP1299" s="23" t="s">
        <v>231</v>
      </c>
      <c r="AQ1299" s="23" t="s">
        <v>2125</v>
      </c>
      <c r="AR1299" s="23" t="s">
        <v>2125</v>
      </c>
      <c r="AS1299" s="23" t="s">
        <v>177</v>
      </c>
      <c r="AT1299" s="23" t="s">
        <v>891</v>
      </c>
      <c r="AU1299" s="23" t="s">
        <v>891</v>
      </c>
      <c r="AV1299" s="23" t="s">
        <v>177</v>
      </c>
      <c r="AW1299" s="23" t="s">
        <v>119</v>
      </c>
      <c r="AX1299" s="23">
        <v>4</v>
      </c>
      <c r="AZ1299" s="23" t="s">
        <v>335</v>
      </c>
      <c r="BB1299" s="23">
        <v>1793</v>
      </c>
      <c r="BC1299" s="23">
        <f>BB1299/25.9</f>
        <v>69.227799227799238</v>
      </c>
      <c r="BP1299" s="421"/>
      <c r="BQ1299" s="421"/>
      <c r="BU1299" s="421"/>
      <c r="BV1299" s="421"/>
      <c r="BZ1299" s="421"/>
      <c r="CA1299" s="421"/>
      <c r="CE1299" s="574"/>
      <c r="CF1299" s="574"/>
      <c r="CG1299" s="574"/>
      <c r="CH1299" s="574"/>
      <c r="CJ1299" s="23">
        <v>2.2400000000000002</v>
      </c>
      <c r="CK1299" s="23">
        <v>1.68</v>
      </c>
      <c r="CN1299" s="23" t="s">
        <v>1676</v>
      </c>
    </row>
    <row r="1300" spans="1:92" s="23" customFormat="1" x14ac:dyDescent="0.25">
      <c r="A1300" s="23">
        <v>59</v>
      </c>
      <c r="B1300" s="89" t="s">
        <v>4028</v>
      </c>
      <c r="C1300" s="23" t="s">
        <v>861</v>
      </c>
      <c r="D1300" s="23" t="s">
        <v>862</v>
      </c>
      <c r="E1300" s="23">
        <v>1997</v>
      </c>
      <c r="F1300" s="23">
        <v>1992</v>
      </c>
      <c r="G1300" s="23" t="s">
        <v>863</v>
      </c>
      <c r="H1300" s="23" t="s">
        <v>889</v>
      </c>
      <c r="I1300" s="32" t="s">
        <v>2815</v>
      </c>
      <c r="J1300" s="23">
        <v>38.92</v>
      </c>
      <c r="K1300" s="23">
        <v>-76.150000000000006</v>
      </c>
      <c r="L1300" s="23">
        <v>5</v>
      </c>
      <c r="O1300" s="23">
        <v>866</v>
      </c>
      <c r="R1300" s="89">
        <v>6</v>
      </c>
      <c r="S1300" s="89" t="s">
        <v>1860</v>
      </c>
      <c r="T1300" s="89" t="s">
        <v>864</v>
      </c>
      <c r="U1300" s="89" t="s">
        <v>1985</v>
      </c>
      <c r="V1300" s="89" t="s">
        <v>1410</v>
      </c>
      <c r="W1300" s="89" t="s">
        <v>1724</v>
      </c>
      <c r="X1300" s="89" t="s">
        <v>1389</v>
      </c>
      <c r="Y1300" s="89" t="s">
        <v>1417</v>
      </c>
      <c r="Z1300" s="23">
        <v>1.5</v>
      </c>
      <c r="AA1300" s="346"/>
      <c r="AB1300" s="346"/>
      <c r="AC1300" s="23" t="s">
        <v>450</v>
      </c>
      <c r="AG1300" s="23" t="s">
        <v>1347</v>
      </c>
      <c r="AH1300" s="23" t="s">
        <v>131</v>
      </c>
      <c r="AI1300" s="138" t="s">
        <v>131</v>
      </c>
      <c r="AJ1300" s="23" t="s">
        <v>132</v>
      </c>
      <c r="AK1300" s="140" t="s">
        <v>132</v>
      </c>
      <c r="AO1300" s="23" t="s">
        <v>231</v>
      </c>
      <c r="AP1300" s="23" t="s">
        <v>231</v>
      </c>
      <c r="AQ1300" s="23" t="s">
        <v>2125</v>
      </c>
      <c r="AR1300" s="23" t="s">
        <v>2125</v>
      </c>
      <c r="AS1300" s="23" t="s">
        <v>177</v>
      </c>
      <c r="AT1300" s="23" t="s">
        <v>891</v>
      </c>
      <c r="AU1300" s="23" t="s">
        <v>891</v>
      </c>
      <c r="AV1300" s="23" t="s">
        <v>177</v>
      </c>
      <c r="AW1300" s="23" t="s">
        <v>119</v>
      </c>
      <c r="AX1300" s="23">
        <v>4</v>
      </c>
      <c r="AZ1300" s="23" t="s">
        <v>335</v>
      </c>
      <c r="BB1300" s="23">
        <v>2053</v>
      </c>
      <c r="BC1300" s="23">
        <f>BB1300/40.5</f>
        <v>50.691358024691361</v>
      </c>
      <c r="BP1300" s="421"/>
      <c r="BQ1300" s="421"/>
      <c r="BU1300" s="421"/>
      <c r="BV1300" s="421"/>
      <c r="BZ1300" s="421"/>
      <c r="CA1300" s="421"/>
      <c r="CE1300" s="574"/>
      <c r="CF1300" s="574"/>
      <c r="CG1300" s="574"/>
      <c r="CH1300" s="574"/>
      <c r="CJ1300" s="23">
        <v>4.51</v>
      </c>
      <c r="CK1300" s="23">
        <v>0.33</v>
      </c>
      <c r="CN1300" s="23" t="s">
        <v>1676</v>
      </c>
    </row>
    <row r="1301" spans="1:92" s="23" customFormat="1" x14ac:dyDescent="0.25">
      <c r="A1301" s="23">
        <v>59</v>
      </c>
      <c r="B1301" s="89" t="s">
        <v>4028</v>
      </c>
      <c r="C1301" s="23" t="s">
        <v>861</v>
      </c>
      <c r="D1301" s="23" t="s">
        <v>862</v>
      </c>
      <c r="E1301" s="23">
        <v>1997</v>
      </c>
      <c r="F1301" s="23">
        <v>1992</v>
      </c>
      <c r="G1301" s="23" t="s">
        <v>863</v>
      </c>
      <c r="H1301" s="23" t="s">
        <v>889</v>
      </c>
      <c r="I1301" s="32" t="s">
        <v>2815</v>
      </c>
      <c r="J1301" s="23">
        <v>38.92</v>
      </c>
      <c r="K1301" s="23">
        <v>-76.150000000000006</v>
      </c>
      <c r="L1301" s="23">
        <v>5</v>
      </c>
      <c r="O1301" s="23">
        <v>866</v>
      </c>
      <c r="R1301" s="89">
        <v>6</v>
      </c>
      <c r="S1301" s="89" t="s">
        <v>1860</v>
      </c>
      <c r="T1301" s="89" t="s">
        <v>864</v>
      </c>
      <c r="U1301" s="89" t="s">
        <v>1984</v>
      </c>
      <c r="V1301" s="89" t="s">
        <v>1410</v>
      </c>
      <c r="W1301" s="89" t="s">
        <v>1724</v>
      </c>
      <c r="X1301" s="89" t="s">
        <v>1389</v>
      </c>
      <c r="Y1301" s="89" t="s">
        <v>1417</v>
      </c>
      <c r="Z1301" s="23">
        <v>1.5</v>
      </c>
      <c r="AA1301" s="346"/>
      <c r="AB1301" s="346"/>
      <c r="AC1301" s="23" t="s">
        <v>450</v>
      </c>
      <c r="AG1301" s="23" t="s">
        <v>1347</v>
      </c>
      <c r="AH1301" s="23" t="s">
        <v>131</v>
      </c>
      <c r="AI1301" s="138" t="s">
        <v>131</v>
      </c>
      <c r="AJ1301" s="23" t="s">
        <v>132</v>
      </c>
      <c r="AK1301" s="140" t="s">
        <v>132</v>
      </c>
      <c r="AO1301" s="23" t="s">
        <v>231</v>
      </c>
      <c r="AP1301" s="23" t="s">
        <v>231</v>
      </c>
      <c r="AQ1301" s="23" t="s">
        <v>2125</v>
      </c>
      <c r="AR1301" s="23" t="s">
        <v>2125</v>
      </c>
      <c r="AS1301" s="23" t="s">
        <v>177</v>
      </c>
      <c r="AT1301" s="23" t="s">
        <v>891</v>
      </c>
      <c r="AU1301" s="23" t="s">
        <v>891</v>
      </c>
      <c r="AV1301" s="23" t="s">
        <v>177</v>
      </c>
      <c r="AW1301" s="23" t="s">
        <v>119</v>
      </c>
      <c r="AX1301" s="23">
        <v>4</v>
      </c>
      <c r="AZ1301" s="23" t="s">
        <v>335</v>
      </c>
      <c r="BB1301" s="23">
        <v>2053</v>
      </c>
      <c r="BC1301" s="23">
        <f>BB1301/40.5</f>
        <v>50.691358024691361</v>
      </c>
      <c r="BP1301" s="421"/>
      <c r="BQ1301" s="421"/>
      <c r="BU1301" s="421"/>
      <c r="BV1301" s="421"/>
      <c r="BZ1301" s="421"/>
      <c r="CA1301" s="421"/>
      <c r="CE1301" s="574"/>
      <c r="CF1301" s="574"/>
      <c r="CG1301" s="574"/>
      <c r="CH1301" s="574"/>
      <c r="CJ1301" s="23">
        <v>0.62</v>
      </c>
      <c r="CK1301" s="23">
        <v>0.48</v>
      </c>
      <c r="CN1301" s="23" t="s">
        <v>1676</v>
      </c>
    </row>
    <row r="1302" spans="1:92" s="23" customFormat="1" x14ac:dyDescent="0.25">
      <c r="A1302" s="23">
        <v>59</v>
      </c>
      <c r="B1302" s="89" t="s">
        <v>4028</v>
      </c>
      <c r="C1302" s="23" t="s">
        <v>861</v>
      </c>
      <c r="D1302" s="23" t="s">
        <v>862</v>
      </c>
      <c r="E1302" s="23">
        <v>1997</v>
      </c>
      <c r="F1302" s="23">
        <v>1993</v>
      </c>
      <c r="G1302" s="23" t="s">
        <v>863</v>
      </c>
      <c r="H1302" s="23" t="s">
        <v>889</v>
      </c>
      <c r="I1302" s="32" t="s">
        <v>2815</v>
      </c>
      <c r="J1302" s="23">
        <v>38.92</v>
      </c>
      <c r="K1302" s="23">
        <v>-76.150000000000006</v>
      </c>
      <c r="L1302" s="23">
        <v>5</v>
      </c>
      <c r="O1302" s="23">
        <v>972</v>
      </c>
      <c r="R1302" s="89">
        <v>7</v>
      </c>
      <c r="S1302" s="89" t="s">
        <v>1860</v>
      </c>
      <c r="T1302" s="89" t="s">
        <v>864</v>
      </c>
      <c r="U1302" s="89" t="s">
        <v>1985</v>
      </c>
      <c r="V1302" s="89" t="s">
        <v>1410</v>
      </c>
      <c r="W1302" s="89" t="s">
        <v>1724</v>
      </c>
      <c r="X1302" s="89" t="s">
        <v>1389</v>
      </c>
      <c r="Y1302" s="89" t="s">
        <v>1417</v>
      </c>
      <c r="Z1302" s="23">
        <v>1.5</v>
      </c>
      <c r="AA1302" s="346"/>
      <c r="AB1302" s="346"/>
      <c r="AC1302" s="23" t="s">
        <v>450</v>
      </c>
      <c r="AG1302" s="23" t="s">
        <v>1347</v>
      </c>
      <c r="AH1302" s="23" t="s">
        <v>131</v>
      </c>
      <c r="AI1302" s="138" t="s">
        <v>131</v>
      </c>
      <c r="AJ1302" s="23" t="s">
        <v>132</v>
      </c>
      <c r="AK1302" s="140" t="s">
        <v>132</v>
      </c>
      <c r="AO1302" s="23" t="s">
        <v>231</v>
      </c>
      <c r="AP1302" s="23" t="s">
        <v>231</v>
      </c>
      <c r="AQ1302" s="23" t="s">
        <v>2125</v>
      </c>
      <c r="AR1302" s="23" t="s">
        <v>2125</v>
      </c>
      <c r="AS1302" s="23" t="s">
        <v>177</v>
      </c>
      <c r="AT1302" s="23" t="s">
        <v>891</v>
      </c>
      <c r="AU1302" s="23" t="s">
        <v>891</v>
      </c>
      <c r="AV1302" s="23" t="s">
        <v>177</v>
      </c>
      <c r="AW1302" s="23" t="s">
        <v>119</v>
      </c>
      <c r="AX1302" s="23">
        <v>4</v>
      </c>
      <c r="AZ1302" s="23" t="s">
        <v>335</v>
      </c>
      <c r="BB1302" s="23">
        <v>1873</v>
      </c>
      <c r="BC1302" s="23">
        <f>BB1302/37.3</f>
        <v>50.21447721179625</v>
      </c>
      <c r="BP1302" s="421"/>
      <c r="BQ1302" s="421"/>
      <c r="BU1302" s="421"/>
      <c r="BV1302" s="421"/>
      <c r="BZ1302" s="421"/>
      <c r="CA1302" s="421"/>
      <c r="CE1302" s="574"/>
      <c r="CF1302" s="574"/>
      <c r="CG1302" s="574"/>
      <c r="CH1302" s="574"/>
      <c r="CJ1302" s="23">
        <v>0.9</v>
      </c>
      <c r="CK1302" s="23">
        <v>0.26</v>
      </c>
      <c r="CN1302" s="23" t="s">
        <v>1676</v>
      </c>
    </row>
    <row r="1303" spans="1:92" s="23" customFormat="1" x14ac:dyDescent="0.25">
      <c r="A1303" s="23">
        <v>59</v>
      </c>
      <c r="B1303" s="89" t="s">
        <v>4028</v>
      </c>
      <c r="C1303" s="23" t="s">
        <v>861</v>
      </c>
      <c r="D1303" s="23" t="s">
        <v>862</v>
      </c>
      <c r="E1303" s="23">
        <v>1997</v>
      </c>
      <c r="F1303" s="23">
        <v>1993</v>
      </c>
      <c r="G1303" s="23" t="s">
        <v>863</v>
      </c>
      <c r="H1303" s="23" t="s">
        <v>889</v>
      </c>
      <c r="I1303" s="32" t="s">
        <v>2815</v>
      </c>
      <c r="J1303" s="23">
        <v>38.92</v>
      </c>
      <c r="K1303" s="23">
        <v>-76.150000000000006</v>
      </c>
      <c r="L1303" s="23">
        <v>5</v>
      </c>
      <c r="O1303" s="23">
        <v>972</v>
      </c>
      <c r="R1303" s="89">
        <v>7</v>
      </c>
      <c r="S1303" s="89" t="s">
        <v>1860</v>
      </c>
      <c r="T1303" s="89" t="s">
        <v>864</v>
      </c>
      <c r="U1303" s="89" t="s">
        <v>1984</v>
      </c>
      <c r="V1303" s="89" t="s">
        <v>1410</v>
      </c>
      <c r="W1303" s="89" t="s">
        <v>1724</v>
      </c>
      <c r="X1303" s="89" t="s">
        <v>1389</v>
      </c>
      <c r="Y1303" s="89" t="s">
        <v>1417</v>
      </c>
      <c r="Z1303" s="23">
        <v>1.5</v>
      </c>
      <c r="AA1303" s="346"/>
      <c r="AB1303" s="346"/>
      <c r="AC1303" s="23" t="s">
        <v>450</v>
      </c>
      <c r="AG1303" s="23" t="s">
        <v>1347</v>
      </c>
      <c r="AH1303" s="23" t="s">
        <v>131</v>
      </c>
      <c r="AI1303" s="138" t="s">
        <v>131</v>
      </c>
      <c r="AJ1303" s="23" t="s">
        <v>132</v>
      </c>
      <c r="AK1303" s="140" t="s">
        <v>132</v>
      </c>
      <c r="AO1303" s="23" t="s">
        <v>231</v>
      </c>
      <c r="AP1303" s="23" t="s">
        <v>231</v>
      </c>
      <c r="AQ1303" s="23" t="s">
        <v>2125</v>
      </c>
      <c r="AR1303" s="23" t="s">
        <v>2125</v>
      </c>
      <c r="AS1303" s="23" t="s">
        <v>177</v>
      </c>
      <c r="AT1303" s="23" t="s">
        <v>891</v>
      </c>
      <c r="AU1303" s="23" t="s">
        <v>891</v>
      </c>
      <c r="AV1303" s="23" t="s">
        <v>177</v>
      </c>
      <c r="AW1303" s="23" t="s">
        <v>119</v>
      </c>
      <c r="AX1303" s="23">
        <v>4</v>
      </c>
      <c r="AZ1303" s="23" t="s">
        <v>335</v>
      </c>
      <c r="BB1303" s="23">
        <v>1873</v>
      </c>
      <c r="BC1303" s="23">
        <f>BB1303/37.3</f>
        <v>50.21447721179625</v>
      </c>
      <c r="BP1303" s="421"/>
      <c r="BQ1303" s="421"/>
      <c r="BU1303" s="421"/>
      <c r="BV1303" s="421"/>
      <c r="BZ1303" s="421"/>
      <c r="CA1303" s="421"/>
      <c r="CE1303" s="574"/>
      <c r="CF1303" s="574"/>
      <c r="CG1303" s="574"/>
      <c r="CH1303" s="574"/>
      <c r="CJ1303" s="23">
        <v>0.39</v>
      </c>
      <c r="CK1303" s="23">
        <v>0.28000000000000003</v>
      </c>
      <c r="CN1303" s="23" t="s">
        <v>1676</v>
      </c>
    </row>
    <row r="1304" spans="1:92" s="23" customFormat="1" x14ac:dyDescent="0.25">
      <c r="A1304" s="23">
        <v>59</v>
      </c>
      <c r="B1304" s="89" t="s">
        <v>4028</v>
      </c>
      <c r="C1304" s="23" t="s">
        <v>861</v>
      </c>
      <c r="D1304" s="23" t="s">
        <v>862</v>
      </c>
      <c r="E1304" s="23">
        <v>1997</v>
      </c>
      <c r="F1304" s="23">
        <v>1994</v>
      </c>
      <c r="G1304" s="23" t="s">
        <v>863</v>
      </c>
      <c r="H1304" s="23" t="s">
        <v>889</v>
      </c>
      <c r="I1304" s="32" t="s">
        <v>2815</v>
      </c>
      <c r="J1304" s="23">
        <v>38.92</v>
      </c>
      <c r="K1304" s="23">
        <v>-76.150000000000006</v>
      </c>
      <c r="L1304" s="23">
        <v>5</v>
      </c>
      <c r="O1304" s="23">
        <v>1275</v>
      </c>
      <c r="R1304" s="89">
        <v>8</v>
      </c>
      <c r="S1304" s="89" t="s">
        <v>1860</v>
      </c>
      <c r="T1304" s="89" t="s">
        <v>864</v>
      </c>
      <c r="U1304" s="89" t="s">
        <v>1985</v>
      </c>
      <c r="V1304" s="89" t="s">
        <v>1410</v>
      </c>
      <c r="W1304" s="89" t="s">
        <v>1724</v>
      </c>
      <c r="X1304" s="89" t="s">
        <v>1389</v>
      </c>
      <c r="Y1304" s="89" t="s">
        <v>1417</v>
      </c>
      <c r="Z1304" s="23">
        <v>1.5</v>
      </c>
      <c r="AA1304" s="346"/>
      <c r="AB1304" s="346"/>
      <c r="AC1304" s="23" t="s">
        <v>450</v>
      </c>
      <c r="AG1304" s="23" t="s">
        <v>1347</v>
      </c>
      <c r="AH1304" s="23" t="s">
        <v>131</v>
      </c>
      <c r="AI1304" s="138" t="s">
        <v>131</v>
      </c>
      <c r="AJ1304" s="23" t="s">
        <v>132</v>
      </c>
      <c r="AK1304" s="140" t="s">
        <v>132</v>
      </c>
      <c r="AO1304" s="23" t="s">
        <v>231</v>
      </c>
      <c r="AP1304" s="23" t="s">
        <v>231</v>
      </c>
      <c r="AQ1304" s="23" t="s">
        <v>2125</v>
      </c>
      <c r="AR1304" s="23" t="s">
        <v>2125</v>
      </c>
      <c r="AS1304" s="23" t="s">
        <v>177</v>
      </c>
      <c r="AT1304" s="23" t="s">
        <v>891</v>
      </c>
      <c r="AU1304" s="23" t="s">
        <v>891</v>
      </c>
      <c r="AV1304" s="23" t="s">
        <v>177</v>
      </c>
      <c r="AW1304" s="23" t="s">
        <v>119</v>
      </c>
      <c r="AX1304" s="23">
        <v>4</v>
      </c>
      <c r="AZ1304" s="23" t="s">
        <v>335</v>
      </c>
      <c r="BB1304" s="23">
        <v>3645</v>
      </c>
      <c r="BC1304" s="23">
        <f>BB1304/59.2</f>
        <v>61.570945945945944</v>
      </c>
      <c r="BP1304" s="421"/>
      <c r="BQ1304" s="421"/>
      <c r="BU1304" s="421"/>
      <c r="BV1304" s="421"/>
      <c r="BZ1304" s="421"/>
      <c r="CA1304" s="421"/>
      <c r="CE1304" s="574"/>
      <c r="CF1304" s="574"/>
      <c r="CG1304" s="574"/>
      <c r="CH1304" s="574"/>
      <c r="CJ1304" s="23">
        <v>1.77</v>
      </c>
      <c r="CK1304" s="23">
        <v>0.44</v>
      </c>
      <c r="CN1304" s="23" t="s">
        <v>1676</v>
      </c>
    </row>
    <row r="1305" spans="1:92" s="23" customFormat="1" x14ac:dyDescent="0.25">
      <c r="A1305" s="23">
        <v>59</v>
      </c>
      <c r="B1305" s="89" t="s">
        <v>4028</v>
      </c>
      <c r="C1305" s="23" t="s">
        <v>861</v>
      </c>
      <c r="D1305" s="23" t="s">
        <v>862</v>
      </c>
      <c r="E1305" s="23">
        <v>1997</v>
      </c>
      <c r="F1305" s="23">
        <v>1994</v>
      </c>
      <c r="G1305" s="23" t="s">
        <v>863</v>
      </c>
      <c r="H1305" s="23" t="s">
        <v>889</v>
      </c>
      <c r="I1305" s="32" t="s">
        <v>2815</v>
      </c>
      <c r="J1305" s="23">
        <v>38.92</v>
      </c>
      <c r="K1305" s="23">
        <v>-76.150000000000006</v>
      </c>
      <c r="L1305" s="23">
        <v>5</v>
      </c>
      <c r="O1305" s="23">
        <v>1275</v>
      </c>
      <c r="R1305" s="89">
        <v>8</v>
      </c>
      <c r="S1305" s="89" t="s">
        <v>1860</v>
      </c>
      <c r="T1305" s="89" t="s">
        <v>864</v>
      </c>
      <c r="U1305" s="89" t="s">
        <v>1984</v>
      </c>
      <c r="V1305" s="89" t="s">
        <v>1410</v>
      </c>
      <c r="W1305" s="89" t="s">
        <v>1724</v>
      </c>
      <c r="X1305" s="89" t="s">
        <v>1389</v>
      </c>
      <c r="Y1305" s="89" t="s">
        <v>1417</v>
      </c>
      <c r="Z1305" s="23">
        <v>1.5</v>
      </c>
      <c r="AA1305" s="346"/>
      <c r="AB1305" s="346"/>
      <c r="AC1305" s="23" t="s">
        <v>450</v>
      </c>
      <c r="AG1305" s="23" t="s">
        <v>1347</v>
      </c>
      <c r="AH1305" s="23" t="s">
        <v>131</v>
      </c>
      <c r="AI1305" s="138" t="s">
        <v>131</v>
      </c>
      <c r="AJ1305" s="23" t="s">
        <v>132</v>
      </c>
      <c r="AK1305" s="140" t="s">
        <v>132</v>
      </c>
      <c r="AO1305" s="23" t="s">
        <v>231</v>
      </c>
      <c r="AP1305" s="23" t="s">
        <v>231</v>
      </c>
      <c r="AQ1305" s="23" t="s">
        <v>2125</v>
      </c>
      <c r="AR1305" s="23" t="s">
        <v>2125</v>
      </c>
      <c r="AS1305" s="23" t="s">
        <v>177</v>
      </c>
      <c r="AT1305" s="23" t="s">
        <v>891</v>
      </c>
      <c r="AU1305" s="23" t="s">
        <v>891</v>
      </c>
      <c r="AV1305" s="23" t="s">
        <v>177</v>
      </c>
      <c r="AW1305" s="23" t="s">
        <v>119</v>
      </c>
      <c r="AX1305" s="23">
        <v>4</v>
      </c>
      <c r="AZ1305" s="23" t="s">
        <v>335</v>
      </c>
      <c r="BB1305" s="23">
        <v>3645</v>
      </c>
      <c r="BC1305" s="23">
        <f>BB1305/59.2</f>
        <v>61.570945945945944</v>
      </c>
      <c r="BP1305" s="421"/>
      <c r="BQ1305" s="421"/>
      <c r="BU1305" s="421"/>
      <c r="BV1305" s="421"/>
      <c r="BZ1305" s="421"/>
      <c r="CA1305" s="421"/>
      <c r="CE1305" s="574"/>
      <c r="CF1305" s="574"/>
      <c r="CG1305" s="574"/>
      <c r="CH1305" s="574"/>
      <c r="CJ1305" s="23">
        <v>0.84</v>
      </c>
      <c r="CK1305" s="23">
        <v>0.35</v>
      </c>
      <c r="CN1305" s="23" t="s">
        <v>1676</v>
      </c>
    </row>
    <row r="1306" spans="1:92" s="85" customFormat="1" x14ac:dyDescent="0.25">
      <c r="A1306" s="85">
        <v>59</v>
      </c>
      <c r="B1306" s="86" t="s">
        <v>4027</v>
      </c>
      <c r="C1306" s="85" t="s">
        <v>861</v>
      </c>
      <c r="D1306" s="85" t="s">
        <v>862</v>
      </c>
      <c r="E1306" s="85">
        <v>1997</v>
      </c>
      <c r="F1306" s="85">
        <v>1989</v>
      </c>
      <c r="G1306" s="85" t="s">
        <v>863</v>
      </c>
      <c r="H1306" s="85" t="s">
        <v>889</v>
      </c>
      <c r="I1306" s="32" t="s">
        <v>2815</v>
      </c>
      <c r="J1306" s="85">
        <v>38.92</v>
      </c>
      <c r="K1306" s="85">
        <v>-76.150000000000006</v>
      </c>
      <c r="L1306" s="85">
        <v>5</v>
      </c>
      <c r="O1306" s="85">
        <v>1300</v>
      </c>
      <c r="R1306" s="86">
        <v>3</v>
      </c>
      <c r="S1306" s="86" t="s">
        <v>1860</v>
      </c>
      <c r="T1306" s="86" t="s">
        <v>864</v>
      </c>
      <c r="U1306" s="86" t="s">
        <v>1985</v>
      </c>
      <c r="V1306" s="86" t="s">
        <v>1410</v>
      </c>
      <c r="W1306" s="86" t="s">
        <v>1724</v>
      </c>
      <c r="X1306" s="86" t="s">
        <v>1389</v>
      </c>
      <c r="Y1306" s="86" t="s">
        <v>1417</v>
      </c>
      <c r="Z1306" s="85">
        <v>1.5</v>
      </c>
      <c r="AA1306" s="347"/>
      <c r="AB1306" s="347"/>
      <c r="AC1306" s="85" t="s">
        <v>450</v>
      </c>
      <c r="AG1306" s="85" t="s">
        <v>1347</v>
      </c>
      <c r="AH1306" s="85" t="s">
        <v>131</v>
      </c>
      <c r="AI1306" s="138" t="s">
        <v>131</v>
      </c>
      <c r="AJ1306" s="85" t="s">
        <v>132</v>
      </c>
      <c r="AK1306" s="140" t="s">
        <v>132</v>
      </c>
      <c r="AO1306" s="85" t="s">
        <v>156</v>
      </c>
      <c r="AP1306" s="85" t="s">
        <v>156</v>
      </c>
      <c r="AQ1306" s="85" t="s">
        <v>2126</v>
      </c>
      <c r="AR1306" s="85" t="s">
        <v>2126</v>
      </c>
      <c r="AS1306" s="85" t="s">
        <v>177</v>
      </c>
      <c r="AT1306" s="85" t="s">
        <v>891</v>
      </c>
      <c r="AU1306" s="85" t="s">
        <v>891</v>
      </c>
      <c r="AV1306" s="85" t="s">
        <v>177</v>
      </c>
      <c r="AW1306" s="85" t="s">
        <v>119</v>
      </c>
      <c r="AX1306" s="85">
        <v>4</v>
      </c>
      <c r="AZ1306" s="85" t="s">
        <v>335</v>
      </c>
      <c r="BP1306" s="422"/>
      <c r="BQ1306" s="422"/>
      <c r="BU1306" s="422"/>
      <c r="BV1306" s="422"/>
      <c r="BZ1306" s="422"/>
      <c r="CA1306" s="422"/>
      <c r="CE1306" s="575"/>
      <c r="CF1306" s="575"/>
      <c r="CG1306" s="575"/>
      <c r="CH1306" s="575"/>
      <c r="CJ1306" s="85">
        <v>1.82</v>
      </c>
      <c r="CK1306" s="85">
        <v>0.37</v>
      </c>
      <c r="CN1306" s="85" t="s">
        <v>1676</v>
      </c>
    </row>
    <row r="1307" spans="1:92" s="85" customFormat="1" x14ac:dyDescent="0.25">
      <c r="A1307" s="85">
        <v>59</v>
      </c>
      <c r="B1307" s="86" t="s">
        <v>4027</v>
      </c>
      <c r="C1307" s="85" t="s">
        <v>861</v>
      </c>
      <c r="D1307" s="85" t="s">
        <v>862</v>
      </c>
      <c r="E1307" s="85">
        <v>1997</v>
      </c>
      <c r="F1307" s="85">
        <v>1989</v>
      </c>
      <c r="G1307" s="85" t="s">
        <v>863</v>
      </c>
      <c r="H1307" s="85" t="s">
        <v>889</v>
      </c>
      <c r="I1307" s="32" t="s">
        <v>2815</v>
      </c>
      <c r="J1307" s="85">
        <v>38.92</v>
      </c>
      <c r="K1307" s="85">
        <v>-76.150000000000006</v>
      </c>
      <c r="L1307" s="85">
        <v>5</v>
      </c>
      <c r="O1307" s="85">
        <v>1300</v>
      </c>
      <c r="R1307" s="86">
        <v>3</v>
      </c>
      <c r="S1307" s="86" t="s">
        <v>1860</v>
      </c>
      <c r="T1307" s="86" t="s">
        <v>864</v>
      </c>
      <c r="U1307" s="86" t="s">
        <v>1984</v>
      </c>
      <c r="V1307" s="86" t="s">
        <v>1410</v>
      </c>
      <c r="W1307" s="86" t="s">
        <v>1724</v>
      </c>
      <c r="X1307" s="86" t="s">
        <v>1389</v>
      </c>
      <c r="Y1307" s="86" t="s">
        <v>1417</v>
      </c>
      <c r="Z1307" s="85">
        <v>1.5</v>
      </c>
      <c r="AA1307" s="347"/>
      <c r="AB1307" s="347"/>
      <c r="AC1307" s="85" t="s">
        <v>450</v>
      </c>
      <c r="AG1307" s="85" t="s">
        <v>1347</v>
      </c>
      <c r="AH1307" s="85" t="s">
        <v>131</v>
      </c>
      <c r="AI1307" s="138" t="s">
        <v>131</v>
      </c>
      <c r="AJ1307" s="85" t="s">
        <v>132</v>
      </c>
      <c r="AK1307" s="140" t="s">
        <v>132</v>
      </c>
      <c r="AO1307" s="85" t="s">
        <v>156</v>
      </c>
      <c r="AP1307" s="85" t="s">
        <v>156</v>
      </c>
      <c r="AQ1307" s="85" t="s">
        <v>2126</v>
      </c>
      <c r="AR1307" s="85" t="s">
        <v>2126</v>
      </c>
      <c r="AS1307" s="85" t="s">
        <v>177</v>
      </c>
      <c r="AT1307" s="85" t="s">
        <v>891</v>
      </c>
      <c r="AU1307" s="85" t="s">
        <v>891</v>
      </c>
      <c r="AV1307" s="85" t="s">
        <v>177</v>
      </c>
      <c r="AW1307" s="85" t="s">
        <v>119</v>
      </c>
      <c r="AX1307" s="85">
        <v>4</v>
      </c>
      <c r="AZ1307" s="85" t="s">
        <v>335</v>
      </c>
      <c r="BP1307" s="422"/>
      <c r="BQ1307" s="422"/>
      <c r="BU1307" s="422"/>
      <c r="BV1307" s="422"/>
      <c r="BZ1307" s="422"/>
      <c r="CA1307" s="422"/>
      <c r="CE1307" s="575"/>
      <c r="CF1307" s="575"/>
      <c r="CG1307" s="575"/>
      <c r="CH1307" s="575"/>
      <c r="CJ1307" s="85">
        <v>2.92</v>
      </c>
      <c r="CK1307" s="85">
        <v>2.67</v>
      </c>
      <c r="CN1307" s="85" t="s">
        <v>1676</v>
      </c>
    </row>
    <row r="1308" spans="1:92" s="85" customFormat="1" x14ac:dyDescent="0.25">
      <c r="A1308" s="85">
        <v>59</v>
      </c>
      <c r="B1308" s="86" t="s">
        <v>4027</v>
      </c>
      <c r="C1308" s="85" t="s">
        <v>861</v>
      </c>
      <c r="D1308" s="85" t="s">
        <v>862</v>
      </c>
      <c r="E1308" s="85">
        <v>1997</v>
      </c>
      <c r="F1308" s="85">
        <v>1990</v>
      </c>
      <c r="G1308" s="85" t="s">
        <v>863</v>
      </c>
      <c r="H1308" s="85" t="s">
        <v>889</v>
      </c>
      <c r="I1308" s="32" t="s">
        <v>2815</v>
      </c>
      <c r="J1308" s="85">
        <v>38.92</v>
      </c>
      <c r="K1308" s="85">
        <v>-76.150000000000006</v>
      </c>
      <c r="L1308" s="85">
        <v>5</v>
      </c>
      <c r="O1308" s="85">
        <v>1007</v>
      </c>
      <c r="R1308" s="86">
        <v>4</v>
      </c>
      <c r="S1308" s="86" t="s">
        <v>1860</v>
      </c>
      <c r="T1308" s="86" t="s">
        <v>864</v>
      </c>
      <c r="U1308" s="86" t="s">
        <v>1985</v>
      </c>
      <c r="V1308" s="86" t="s">
        <v>1410</v>
      </c>
      <c r="W1308" s="86" t="s">
        <v>1724</v>
      </c>
      <c r="X1308" s="86" t="s">
        <v>1389</v>
      </c>
      <c r="Y1308" s="86" t="s">
        <v>1417</v>
      </c>
      <c r="Z1308" s="85">
        <v>1.5</v>
      </c>
      <c r="AA1308" s="347"/>
      <c r="AB1308" s="347"/>
      <c r="AC1308" s="85" t="s">
        <v>450</v>
      </c>
      <c r="AG1308" s="85" t="s">
        <v>1347</v>
      </c>
      <c r="AH1308" s="85" t="s">
        <v>131</v>
      </c>
      <c r="AI1308" s="138" t="s">
        <v>131</v>
      </c>
      <c r="AJ1308" s="85" t="s">
        <v>132</v>
      </c>
      <c r="AK1308" s="140" t="s">
        <v>132</v>
      </c>
      <c r="AO1308" s="85" t="s">
        <v>156</v>
      </c>
      <c r="AP1308" s="85" t="s">
        <v>156</v>
      </c>
      <c r="AQ1308" s="85" t="s">
        <v>2126</v>
      </c>
      <c r="AR1308" s="85" t="s">
        <v>2126</v>
      </c>
      <c r="AS1308" s="85" t="s">
        <v>177</v>
      </c>
      <c r="AT1308" s="85" t="s">
        <v>891</v>
      </c>
      <c r="AU1308" s="85" t="s">
        <v>891</v>
      </c>
      <c r="AV1308" s="85" t="s">
        <v>177</v>
      </c>
      <c r="AW1308" s="85" t="s">
        <v>119</v>
      </c>
      <c r="AX1308" s="85">
        <v>4</v>
      </c>
      <c r="AZ1308" s="85" t="s">
        <v>335</v>
      </c>
      <c r="BB1308" s="85">
        <v>4048</v>
      </c>
      <c r="BC1308" s="85">
        <f>BB1308/85</f>
        <v>47.623529411764707</v>
      </c>
      <c r="BP1308" s="422"/>
      <c r="BQ1308" s="422"/>
      <c r="BU1308" s="422"/>
      <c r="BV1308" s="422"/>
      <c r="BZ1308" s="422"/>
      <c r="CA1308" s="422"/>
      <c r="CE1308" s="575"/>
      <c r="CF1308" s="575"/>
      <c r="CG1308" s="575"/>
      <c r="CH1308" s="575"/>
      <c r="CJ1308" s="85">
        <v>3.03</v>
      </c>
      <c r="CK1308" s="85">
        <v>0.49</v>
      </c>
      <c r="CN1308" s="85" t="s">
        <v>1676</v>
      </c>
    </row>
    <row r="1309" spans="1:92" s="85" customFormat="1" x14ac:dyDescent="0.25">
      <c r="A1309" s="85">
        <v>59</v>
      </c>
      <c r="B1309" s="86" t="s">
        <v>4027</v>
      </c>
      <c r="C1309" s="85" t="s">
        <v>861</v>
      </c>
      <c r="D1309" s="85" t="s">
        <v>862</v>
      </c>
      <c r="E1309" s="85">
        <v>1997</v>
      </c>
      <c r="F1309" s="85">
        <v>1990</v>
      </c>
      <c r="G1309" s="85" t="s">
        <v>863</v>
      </c>
      <c r="H1309" s="85" t="s">
        <v>889</v>
      </c>
      <c r="I1309" s="32" t="s">
        <v>2815</v>
      </c>
      <c r="J1309" s="85">
        <v>38.92</v>
      </c>
      <c r="K1309" s="85">
        <v>-76.150000000000006</v>
      </c>
      <c r="L1309" s="85">
        <v>5</v>
      </c>
      <c r="O1309" s="85">
        <v>1007</v>
      </c>
      <c r="R1309" s="86">
        <v>4</v>
      </c>
      <c r="S1309" s="86" t="s">
        <v>1860</v>
      </c>
      <c r="T1309" s="86" t="s">
        <v>864</v>
      </c>
      <c r="U1309" s="86" t="s">
        <v>1984</v>
      </c>
      <c r="V1309" s="86" t="s">
        <v>1410</v>
      </c>
      <c r="W1309" s="86" t="s">
        <v>1724</v>
      </c>
      <c r="X1309" s="86" t="s">
        <v>1389</v>
      </c>
      <c r="Y1309" s="86" t="s">
        <v>1417</v>
      </c>
      <c r="Z1309" s="85">
        <v>1.5</v>
      </c>
      <c r="AA1309" s="347"/>
      <c r="AB1309" s="347"/>
      <c r="AC1309" s="85" t="s">
        <v>450</v>
      </c>
      <c r="AG1309" s="85" t="s">
        <v>1347</v>
      </c>
      <c r="AH1309" s="85" t="s">
        <v>131</v>
      </c>
      <c r="AI1309" s="138" t="s">
        <v>131</v>
      </c>
      <c r="AJ1309" s="85" t="s">
        <v>132</v>
      </c>
      <c r="AK1309" s="140" t="s">
        <v>132</v>
      </c>
      <c r="AO1309" s="85" t="s">
        <v>156</v>
      </c>
      <c r="AP1309" s="85" t="s">
        <v>156</v>
      </c>
      <c r="AQ1309" s="85" t="s">
        <v>2126</v>
      </c>
      <c r="AR1309" s="85" t="s">
        <v>2126</v>
      </c>
      <c r="AS1309" s="85" t="s">
        <v>177</v>
      </c>
      <c r="AT1309" s="85" t="s">
        <v>891</v>
      </c>
      <c r="AU1309" s="85" t="s">
        <v>891</v>
      </c>
      <c r="AV1309" s="85" t="s">
        <v>177</v>
      </c>
      <c r="AW1309" s="85" t="s">
        <v>119</v>
      </c>
      <c r="AX1309" s="85">
        <v>4</v>
      </c>
      <c r="AZ1309" s="85" t="s">
        <v>335</v>
      </c>
      <c r="BB1309" s="85">
        <v>4048</v>
      </c>
      <c r="BC1309" s="85">
        <f>BB1309/85</f>
        <v>47.623529411764707</v>
      </c>
      <c r="BP1309" s="422"/>
      <c r="BQ1309" s="422"/>
      <c r="BU1309" s="422"/>
      <c r="BV1309" s="422"/>
      <c r="BZ1309" s="422"/>
      <c r="CA1309" s="422"/>
      <c r="CE1309" s="575"/>
      <c r="CF1309" s="575"/>
      <c r="CG1309" s="575"/>
      <c r="CH1309" s="575"/>
      <c r="CJ1309" s="85">
        <v>1.54</v>
      </c>
      <c r="CK1309" s="85">
        <v>0.73</v>
      </c>
      <c r="CN1309" s="85" t="s">
        <v>1676</v>
      </c>
    </row>
    <row r="1310" spans="1:92" s="85" customFormat="1" x14ac:dyDescent="0.25">
      <c r="A1310" s="85">
        <v>59</v>
      </c>
      <c r="B1310" s="86" t="s">
        <v>4027</v>
      </c>
      <c r="C1310" s="85" t="s">
        <v>861</v>
      </c>
      <c r="D1310" s="85" t="s">
        <v>862</v>
      </c>
      <c r="E1310" s="85">
        <v>1997</v>
      </c>
      <c r="F1310" s="85">
        <v>1991</v>
      </c>
      <c r="G1310" s="85" t="s">
        <v>863</v>
      </c>
      <c r="H1310" s="85" t="s">
        <v>889</v>
      </c>
      <c r="I1310" s="32" t="s">
        <v>2815</v>
      </c>
      <c r="J1310" s="85">
        <v>38.92</v>
      </c>
      <c r="K1310" s="85">
        <v>-76.150000000000006</v>
      </c>
      <c r="L1310" s="85">
        <v>5</v>
      </c>
      <c r="O1310" s="85">
        <v>997</v>
      </c>
      <c r="R1310" s="86">
        <v>5</v>
      </c>
      <c r="S1310" s="86" t="s">
        <v>1860</v>
      </c>
      <c r="T1310" s="86" t="s">
        <v>864</v>
      </c>
      <c r="U1310" s="86" t="s">
        <v>1985</v>
      </c>
      <c r="V1310" s="86" t="s">
        <v>1410</v>
      </c>
      <c r="W1310" s="86" t="s">
        <v>1724</v>
      </c>
      <c r="X1310" s="86" t="s">
        <v>1389</v>
      </c>
      <c r="Y1310" s="86" t="s">
        <v>1417</v>
      </c>
      <c r="Z1310" s="85">
        <v>1.5</v>
      </c>
      <c r="AA1310" s="347"/>
      <c r="AB1310" s="347"/>
      <c r="AC1310" s="85" t="s">
        <v>450</v>
      </c>
      <c r="AG1310" s="85" t="s">
        <v>1347</v>
      </c>
      <c r="AH1310" s="85" t="s">
        <v>131</v>
      </c>
      <c r="AI1310" s="138" t="s">
        <v>131</v>
      </c>
      <c r="AJ1310" s="85" t="s">
        <v>132</v>
      </c>
      <c r="AK1310" s="140" t="s">
        <v>132</v>
      </c>
      <c r="AO1310" s="85" t="s">
        <v>156</v>
      </c>
      <c r="AP1310" s="85" t="s">
        <v>156</v>
      </c>
      <c r="AQ1310" s="85" t="s">
        <v>2126</v>
      </c>
      <c r="AR1310" s="85" t="s">
        <v>2126</v>
      </c>
      <c r="AS1310" s="85" t="s">
        <v>177</v>
      </c>
      <c r="AT1310" s="85" t="s">
        <v>891</v>
      </c>
      <c r="AU1310" s="85" t="s">
        <v>891</v>
      </c>
      <c r="AV1310" s="85" t="s">
        <v>177</v>
      </c>
      <c r="AW1310" s="85" t="s">
        <v>119</v>
      </c>
      <c r="AX1310" s="85">
        <v>4</v>
      </c>
      <c r="AZ1310" s="85" t="s">
        <v>335</v>
      </c>
      <c r="BB1310" s="85">
        <v>1793</v>
      </c>
      <c r="BC1310" s="85">
        <f>BB1310/25.9</f>
        <v>69.227799227799238</v>
      </c>
      <c r="BP1310" s="422"/>
      <c r="BQ1310" s="422"/>
      <c r="BU1310" s="422"/>
      <c r="BV1310" s="422"/>
      <c r="BZ1310" s="422"/>
      <c r="CA1310" s="422"/>
      <c r="CE1310" s="575"/>
      <c r="CF1310" s="575"/>
      <c r="CG1310" s="575"/>
      <c r="CH1310" s="575"/>
      <c r="CJ1310" s="85">
        <v>3.64</v>
      </c>
      <c r="CK1310" s="85">
        <v>0.22</v>
      </c>
      <c r="CN1310" s="85" t="s">
        <v>1676</v>
      </c>
    </row>
    <row r="1311" spans="1:92" s="85" customFormat="1" x14ac:dyDescent="0.25">
      <c r="A1311" s="85">
        <v>59</v>
      </c>
      <c r="B1311" s="86" t="s">
        <v>4027</v>
      </c>
      <c r="C1311" s="85" t="s">
        <v>861</v>
      </c>
      <c r="D1311" s="85" t="s">
        <v>862</v>
      </c>
      <c r="E1311" s="85">
        <v>1997</v>
      </c>
      <c r="F1311" s="85">
        <v>1991</v>
      </c>
      <c r="G1311" s="85" t="s">
        <v>863</v>
      </c>
      <c r="H1311" s="85" t="s">
        <v>889</v>
      </c>
      <c r="I1311" s="32" t="s">
        <v>2815</v>
      </c>
      <c r="J1311" s="85">
        <v>38.92</v>
      </c>
      <c r="K1311" s="85">
        <v>-76.150000000000006</v>
      </c>
      <c r="L1311" s="85">
        <v>5</v>
      </c>
      <c r="O1311" s="85">
        <v>997</v>
      </c>
      <c r="R1311" s="86">
        <v>5</v>
      </c>
      <c r="S1311" s="86" t="s">
        <v>1860</v>
      </c>
      <c r="T1311" s="86" t="s">
        <v>864</v>
      </c>
      <c r="U1311" s="86" t="s">
        <v>1984</v>
      </c>
      <c r="V1311" s="86" t="s">
        <v>1410</v>
      </c>
      <c r="W1311" s="86" t="s">
        <v>1724</v>
      </c>
      <c r="X1311" s="86" t="s">
        <v>1389</v>
      </c>
      <c r="Y1311" s="86" t="s">
        <v>1417</v>
      </c>
      <c r="Z1311" s="85">
        <v>1.5</v>
      </c>
      <c r="AA1311" s="347"/>
      <c r="AB1311" s="347"/>
      <c r="AC1311" s="85" t="s">
        <v>450</v>
      </c>
      <c r="AG1311" s="85" t="s">
        <v>1347</v>
      </c>
      <c r="AH1311" s="85" t="s">
        <v>131</v>
      </c>
      <c r="AI1311" s="138" t="s">
        <v>131</v>
      </c>
      <c r="AJ1311" s="85" t="s">
        <v>132</v>
      </c>
      <c r="AK1311" s="140" t="s">
        <v>132</v>
      </c>
      <c r="AO1311" s="85" t="s">
        <v>156</v>
      </c>
      <c r="AP1311" s="85" t="s">
        <v>156</v>
      </c>
      <c r="AQ1311" s="85" t="s">
        <v>2126</v>
      </c>
      <c r="AR1311" s="85" t="s">
        <v>2126</v>
      </c>
      <c r="AS1311" s="85" t="s">
        <v>177</v>
      </c>
      <c r="AT1311" s="85" t="s">
        <v>891</v>
      </c>
      <c r="AU1311" s="85" t="s">
        <v>891</v>
      </c>
      <c r="AV1311" s="85" t="s">
        <v>177</v>
      </c>
      <c r="AW1311" s="85" t="s">
        <v>119</v>
      </c>
      <c r="AX1311" s="85">
        <v>4</v>
      </c>
      <c r="AZ1311" s="85" t="s">
        <v>335</v>
      </c>
      <c r="BB1311" s="85">
        <v>1793</v>
      </c>
      <c r="BC1311" s="85">
        <f>BB1311/25.9</f>
        <v>69.227799227799238</v>
      </c>
      <c r="BP1311" s="422"/>
      <c r="BQ1311" s="422"/>
      <c r="BU1311" s="422"/>
      <c r="BV1311" s="422"/>
      <c r="BZ1311" s="422"/>
      <c r="CA1311" s="422"/>
      <c r="CE1311" s="575"/>
      <c r="CF1311" s="575"/>
      <c r="CG1311" s="575"/>
      <c r="CH1311" s="575"/>
      <c r="CJ1311" s="85">
        <v>2.57</v>
      </c>
      <c r="CK1311" s="85">
        <v>1.03</v>
      </c>
      <c r="CN1311" s="85" t="s">
        <v>1676</v>
      </c>
    </row>
    <row r="1312" spans="1:92" s="85" customFormat="1" x14ac:dyDescent="0.25">
      <c r="A1312" s="85">
        <v>59</v>
      </c>
      <c r="B1312" s="86" t="s">
        <v>4027</v>
      </c>
      <c r="C1312" s="85" t="s">
        <v>861</v>
      </c>
      <c r="D1312" s="85" t="s">
        <v>862</v>
      </c>
      <c r="E1312" s="85">
        <v>1997</v>
      </c>
      <c r="F1312" s="85">
        <v>1992</v>
      </c>
      <c r="G1312" s="85" t="s">
        <v>863</v>
      </c>
      <c r="H1312" s="85" t="s">
        <v>889</v>
      </c>
      <c r="I1312" s="32" t="s">
        <v>2815</v>
      </c>
      <c r="J1312" s="85">
        <v>38.92</v>
      </c>
      <c r="K1312" s="85">
        <v>-76.150000000000006</v>
      </c>
      <c r="L1312" s="85">
        <v>5</v>
      </c>
      <c r="O1312" s="85">
        <v>866</v>
      </c>
      <c r="R1312" s="86">
        <v>6</v>
      </c>
      <c r="S1312" s="86" t="s">
        <v>1860</v>
      </c>
      <c r="T1312" s="86" t="s">
        <v>864</v>
      </c>
      <c r="U1312" s="86" t="s">
        <v>1985</v>
      </c>
      <c r="V1312" s="86" t="s">
        <v>1410</v>
      </c>
      <c r="W1312" s="86" t="s">
        <v>1724</v>
      </c>
      <c r="X1312" s="86" t="s">
        <v>1389</v>
      </c>
      <c r="Y1312" s="86" t="s">
        <v>1417</v>
      </c>
      <c r="Z1312" s="85">
        <v>1.5</v>
      </c>
      <c r="AA1312" s="347"/>
      <c r="AB1312" s="347"/>
      <c r="AC1312" s="85" t="s">
        <v>450</v>
      </c>
      <c r="AG1312" s="85" t="s">
        <v>1347</v>
      </c>
      <c r="AH1312" s="85" t="s">
        <v>131</v>
      </c>
      <c r="AI1312" s="138" t="s">
        <v>131</v>
      </c>
      <c r="AJ1312" s="85" t="s">
        <v>132</v>
      </c>
      <c r="AK1312" s="140" t="s">
        <v>132</v>
      </c>
      <c r="AO1312" s="85" t="s">
        <v>156</v>
      </c>
      <c r="AP1312" s="85" t="s">
        <v>156</v>
      </c>
      <c r="AQ1312" s="85" t="s">
        <v>2126</v>
      </c>
      <c r="AR1312" s="85" t="s">
        <v>2126</v>
      </c>
      <c r="AS1312" s="85" t="s">
        <v>177</v>
      </c>
      <c r="AT1312" s="85" t="s">
        <v>891</v>
      </c>
      <c r="AU1312" s="85" t="s">
        <v>891</v>
      </c>
      <c r="AV1312" s="85" t="s">
        <v>177</v>
      </c>
      <c r="AW1312" s="85" t="s">
        <v>119</v>
      </c>
      <c r="AX1312" s="85">
        <v>4</v>
      </c>
      <c r="AZ1312" s="85" t="s">
        <v>335</v>
      </c>
      <c r="BB1312" s="85">
        <v>2053</v>
      </c>
      <c r="BC1312" s="85">
        <f>BB1312/40.5</f>
        <v>50.691358024691361</v>
      </c>
      <c r="BP1312" s="422"/>
      <c r="BQ1312" s="422"/>
      <c r="BU1312" s="422"/>
      <c r="BV1312" s="422"/>
      <c r="BZ1312" s="422"/>
      <c r="CA1312" s="422"/>
      <c r="CE1312" s="575"/>
      <c r="CF1312" s="575"/>
      <c r="CG1312" s="575"/>
      <c r="CH1312" s="575"/>
      <c r="CJ1312" s="85">
        <v>3.67</v>
      </c>
      <c r="CK1312" s="85">
        <v>0.14000000000000001</v>
      </c>
      <c r="CN1312" s="85" t="s">
        <v>1676</v>
      </c>
    </row>
    <row r="1313" spans="1:264" s="85" customFormat="1" x14ac:dyDescent="0.25">
      <c r="A1313" s="85">
        <v>59</v>
      </c>
      <c r="B1313" s="86" t="s">
        <v>4027</v>
      </c>
      <c r="C1313" s="85" t="s">
        <v>861</v>
      </c>
      <c r="D1313" s="85" t="s">
        <v>862</v>
      </c>
      <c r="E1313" s="85">
        <v>1997</v>
      </c>
      <c r="F1313" s="85">
        <v>1992</v>
      </c>
      <c r="G1313" s="85" t="s">
        <v>863</v>
      </c>
      <c r="H1313" s="85" t="s">
        <v>889</v>
      </c>
      <c r="I1313" s="32" t="s">
        <v>2815</v>
      </c>
      <c r="J1313" s="85">
        <v>38.92</v>
      </c>
      <c r="K1313" s="85">
        <v>-76.150000000000006</v>
      </c>
      <c r="L1313" s="85">
        <v>5</v>
      </c>
      <c r="O1313" s="85">
        <v>866</v>
      </c>
      <c r="R1313" s="86">
        <v>6</v>
      </c>
      <c r="S1313" s="86" t="s">
        <v>1860</v>
      </c>
      <c r="T1313" s="86" t="s">
        <v>864</v>
      </c>
      <c r="U1313" s="86" t="s">
        <v>1984</v>
      </c>
      <c r="V1313" s="86" t="s">
        <v>1410</v>
      </c>
      <c r="W1313" s="86" t="s">
        <v>1724</v>
      </c>
      <c r="X1313" s="86" t="s">
        <v>1389</v>
      </c>
      <c r="Y1313" s="86" t="s">
        <v>1417</v>
      </c>
      <c r="Z1313" s="85">
        <v>1.5</v>
      </c>
      <c r="AA1313" s="347"/>
      <c r="AB1313" s="347"/>
      <c r="AC1313" s="85" t="s">
        <v>450</v>
      </c>
      <c r="AG1313" s="85" t="s">
        <v>1347</v>
      </c>
      <c r="AH1313" s="85" t="s">
        <v>131</v>
      </c>
      <c r="AI1313" s="138" t="s">
        <v>131</v>
      </c>
      <c r="AJ1313" s="85" t="s">
        <v>132</v>
      </c>
      <c r="AK1313" s="140" t="s">
        <v>132</v>
      </c>
      <c r="AO1313" s="85" t="s">
        <v>156</v>
      </c>
      <c r="AP1313" s="85" t="s">
        <v>156</v>
      </c>
      <c r="AQ1313" s="85" t="s">
        <v>2126</v>
      </c>
      <c r="AR1313" s="85" t="s">
        <v>2126</v>
      </c>
      <c r="AS1313" s="85" t="s">
        <v>177</v>
      </c>
      <c r="AT1313" s="85" t="s">
        <v>891</v>
      </c>
      <c r="AU1313" s="85" t="s">
        <v>891</v>
      </c>
      <c r="AV1313" s="85" t="s">
        <v>177</v>
      </c>
      <c r="AW1313" s="85" t="s">
        <v>119</v>
      </c>
      <c r="AX1313" s="85">
        <v>4</v>
      </c>
      <c r="AZ1313" s="85" t="s">
        <v>335</v>
      </c>
      <c r="BB1313" s="85">
        <v>2053</v>
      </c>
      <c r="BC1313" s="85">
        <f>BB1313/40.5</f>
        <v>50.691358024691361</v>
      </c>
      <c r="BP1313" s="422"/>
      <c r="BQ1313" s="422"/>
      <c r="BU1313" s="422"/>
      <c r="BV1313" s="422"/>
      <c r="BZ1313" s="422"/>
      <c r="CA1313" s="422"/>
      <c r="CE1313" s="575"/>
      <c r="CF1313" s="575"/>
      <c r="CG1313" s="575"/>
      <c r="CH1313" s="575"/>
      <c r="CJ1313" s="85">
        <v>0.81</v>
      </c>
      <c r="CK1313" s="85">
        <v>0.34</v>
      </c>
      <c r="CN1313" s="85" t="s">
        <v>1676</v>
      </c>
    </row>
    <row r="1314" spans="1:264" s="85" customFormat="1" x14ac:dyDescent="0.25">
      <c r="A1314" s="85">
        <v>59</v>
      </c>
      <c r="B1314" s="86" t="s">
        <v>4027</v>
      </c>
      <c r="C1314" s="85" t="s">
        <v>861</v>
      </c>
      <c r="D1314" s="85" t="s">
        <v>862</v>
      </c>
      <c r="E1314" s="85">
        <v>1997</v>
      </c>
      <c r="F1314" s="85">
        <v>1993</v>
      </c>
      <c r="G1314" s="85" t="s">
        <v>863</v>
      </c>
      <c r="H1314" s="85" t="s">
        <v>889</v>
      </c>
      <c r="I1314" s="32" t="s">
        <v>2815</v>
      </c>
      <c r="J1314" s="85">
        <v>38.92</v>
      </c>
      <c r="K1314" s="85">
        <v>-76.150000000000006</v>
      </c>
      <c r="L1314" s="85">
        <v>5</v>
      </c>
      <c r="O1314" s="85">
        <v>972</v>
      </c>
      <c r="R1314" s="86">
        <v>7</v>
      </c>
      <c r="S1314" s="86" t="s">
        <v>1860</v>
      </c>
      <c r="T1314" s="86" t="s">
        <v>864</v>
      </c>
      <c r="U1314" s="86" t="s">
        <v>1985</v>
      </c>
      <c r="V1314" s="86" t="s">
        <v>1410</v>
      </c>
      <c r="W1314" s="86" t="s">
        <v>1724</v>
      </c>
      <c r="X1314" s="86" t="s">
        <v>1389</v>
      </c>
      <c r="Y1314" s="86" t="s">
        <v>1417</v>
      </c>
      <c r="Z1314" s="85">
        <v>1.5</v>
      </c>
      <c r="AA1314" s="347"/>
      <c r="AB1314" s="347"/>
      <c r="AC1314" s="85" t="s">
        <v>450</v>
      </c>
      <c r="AG1314" s="85" t="s">
        <v>1347</v>
      </c>
      <c r="AH1314" s="85" t="s">
        <v>131</v>
      </c>
      <c r="AI1314" s="138" t="s">
        <v>131</v>
      </c>
      <c r="AJ1314" s="85" t="s">
        <v>132</v>
      </c>
      <c r="AK1314" s="140" t="s">
        <v>132</v>
      </c>
      <c r="AO1314" s="85" t="s">
        <v>156</v>
      </c>
      <c r="AP1314" s="85" t="s">
        <v>156</v>
      </c>
      <c r="AQ1314" s="85" t="s">
        <v>2126</v>
      </c>
      <c r="AR1314" s="85" t="s">
        <v>2126</v>
      </c>
      <c r="AS1314" s="85" t="s">
        <v>177</v>
      </c>
      <c r="AT1314" s="85" t="s">
        <v>891</v>
      </c>
      <c r="AU1314" s="85" t="s">
        <v>891</v>
      </c>
      <c r="AV1314" s="85" t="s">
        <v>177</v>
      </c>
      <c r="AW1314" s="85" t="s">
        <v>119</v>
      </c>
      <c r="AX1314" s="85">
        <v>4</v>
      </c>
      <c r="AZ1314" s="85" t="s">
        <v>335</v>
      </c>
      <c r="BB1314" s="85">
        <v>1873</v>
      </c>
      <c r="BC1314" s="85">
        <f>BB1314/37.3</f>
        <v>50.21447721179625</v>
      </c>
      <c r="BP1314" s="422"/>
      <c r="BQ1314" s="422"/>
      <c r="BU1314" s="422"/>
      <c r="BV1314" s="422"/>
      <c r="BZ1314" s="422"/>
      <c r="CA1314" s="422"/>
      <c r="CE1314" s="575"/>
      <c r="CF1314" s="575"/>
      <c r="CG1314" s="575"/>
      <c r="CH1314" s="575"/>
      <c r="CJ1314" s="85">
        <v>2.04</v>
      </c>
      <c r="CK1314" s="85">
        <v>0.3</v>
      </c>
      <c r="CN1314" s="85" t="s">
        <v>1676</v>
      </c>
    </row>
    <row r="1315" spans="1:264" s="85" customFormat="1" x14ac:dyDescent="0.25">
      <c r="A1315" s="85">
        <v>59</v>
      </c>
      <c r="B1315" s="86" t="s">
        <v>4027</v>
      </c>
      <c r="C1315" s="85" t="s">
        <v>861</v>
      </c>
      <c r="D1315" s="85" t="s">
        <v>862</v>
      </c>
      <c r="E1315" s="85">
        <v>1997</v>
      </c>
      <c r="F1315" s="85">
        <v>1993</v>
      </c>
      <c r="G1315" s="85" t="s">
        <v>863</v>
      </c>
      <c r="H1315" s="85" t="s">
        <v>889</v>
      </c>
      <c r="I1315" s="32" t="s">
        <v>2815</v>
      </c>
      <c r="J1315" s="85">
        <v>38.92</v>
      </c>
      <c r="K1315" s="85">
        <v>-76.150000000000006</v>
      </c>
      <c r="L1315" s="85">
        <v>5</v>
      </c>
      <c r="O1315" s="85">
        <v>972</v>
      </c>
      <c r="R1315" s="86">
        <v>7</v>
      </c>
      <c r="S1315" s="86" t="s">
        <v>1860</v>
      </c>
      <c r="T1315" s="86" t="s">
        <v>864</v>
      </c>
      <c r="U1315" s="86" t="s">
        <v>1984</v>
      </c>
      <c r="V1315" s="86" t="s">
        <v>1410</v>
      </c>
      <c r="W1315" s="86" t="s">
        <v>1724</v>
      </c>
      <c r="X1315" s="86" t="s">
        <v>1389</v>
      </c>
      <c r="Y1315" s="86" t="s">
        <v>1417</v>
      </c>
      <c r="Z1315" s="85">
        <v>1.5</v>
      </c>
      <c r="AA1315" s="347"/>
      <c r="AB1315" s="347"/>
      <c r="AC1315" s="85" t="s">
        <v>450</v>
      </c>
      <c r="AG1315" s="85" t="s">
        <v>1347</v>
      </c>
      <c r="AH1315" s="85" t="s">
        <v>131</v>
      </c>
      <c r="AI1315" s="138" t="s">
        <v>131</v>
      </c>
      <c r="AJ1315" s="85" t="s">
        <v>132</v>
      </c>
      <c r="AK1315" s="140" t="s">
        <v>132</v>
      </c>
      <c r="AO1315" s="85" t="s">
        <v>156</v>
      </c>
      <c r="AP1315" s="85" t="s">
        <v>156</v>
      </c>
      <c r="AQ1315" s="85" t="s">
        <v>2126</v>
      </c>
      <c r="AR1315" s="85" t="s">
        <v>2126</v>
      </c>
      <c r="AS1315" s="85" t="s">
        <v>177</v>
      </c>
      <c r="AT1315" s="85" t="s">
        <v>891</v>
      </c>
      <c r="AU1315" s="85" t="s">
        <v>891</v>
      </c>
      <c r="AV1315" s="85" t="s">
        <v>177</v>
      </c>
      <c r="AW1315" s="85" t="s">
        <v>119</v>
      </c>
      <c r="AX1315" s="85">
        <v>4</v>
      </c>
      <c r="AZ1315" s="85" t="s">
        <v>335</v>
      </c>
      <c r="BB1315" s="85">
        <v>1873</v>
      </c>
      <c r="BC1315" s="85">
        <f>BB1315/37.3</f>
        <v>50.21447721179625</v>
      </c>
      <c r="BP1315" s="422"/>
      <c r="BQ1315" s="422"/>
      <c r="BU1315" s="422"/>
      <c r="BV1315" s="422"/>
      <c r="BZ1315" s="422"/>
      <c r="CA1315" s="422"/>
      <c r="CE1315" s="575"/>
      <c r="CF1315" s="575"/>
      <c r="CG1315" s="575"/>
      <c r="CH1315" s="575"/>
      <c r="CJ1315" s="85">
        <v>0.48</v>
      </c>
      <c r="CK1315" s="85">
        <v>0.19</v>
      </c>
      <c r="CN1315" s="85" t="s">
        <v>1676</v>
      </c>
    </row>
    <row r="1316" spans="1:264" s="85" customFormat="1" x14ac:dyDescent="0.25">
      <c r="A1316" s="85">
        <v>59</v>
      </c>
      <c r="B1316" s="86" t="s">
        <v>4027</v>
      </c>
      <c r="C1316" s="85" t="s">
        <v>861</v>
      </c>
      <c r="D1316" s="85" t="s">
        <v>862</v>
      </c>
      <c r="E1316" s="85">
        <v>1997</v>
      </c>
      <c r="F1316" s="85">
        <v>1994</v>
      </c>
      <c r="G1316" s="85" t="s">
        <v>863</v>
      </c>
      <c r="H1316" s="85" t="s">
        <v>889</v>
      </c>
      <c r="I1316" s="32" t="s">
        <v>2815</v>
      </c>
      <c r="J1316" s="85">
        <v>38.92</v>
      </c>
      <c r="K1316" s="85">
        <v>-76.150000000000006</v>
      </c>
      <c r="L1316" s="85">
        <v>5</v>
      </c>
      <c r="O1316" s="85">
        <v>1275</v>
      </c>
      <c r="R1316" s="86">
        <v>8</v>
      </c>
      <c r="S1316" s="86" t="s">
        <v>1860</v>
      </c>
      <c r="T1316" s="86" t="s">
        <v>864</v>
      </c>
      <c r="U1316" s="86" t="s">
        <v>1985</v>
      </c>
      <c r="V1316" s="86" t="s">
        <v>1410</v>
      </c>
      <c r="W1316" s="86" t="s">
        <v>1724</v>
      </c>
      <c r="X1316" s="86" t="s">
        <v>1389</v>
      </c>
      <c r="Y1316" s="86" t="s">
        <v>1417</v>
      </c>
      <c r="Z1316" s="85">
        <v>1.5</v>
      </c>
      <c r="AA1316" s="347"/>
      <c r="AB1316" s="347"/>
      <c r="AC1316" s="85" t="s">
        <v>450</v>
      </c>
      <c r="AG1316" s="85" t="s">
        <v>1347</v>
      </c>
      <c r="AH1316" s="85" t="s">
        <v>131</v>
      </c>
      <c r="AI1316" s="138" t="s">
        <v>131</v>
      </c>
      <c r="AJ1316" s="85" t="s">
        <v>132</v>
      </c>
      <c r="AK1316" s="140" t="s">
        <v>132</v>
      </c>
      <c r="AO1316" s="85" t="s">
        <v>156</v>
      </c>
      <c r="AP1316" s="85" t="s">
        <v>156</v>
      </c>
      <c r="AQ1316" s="85" t="s">
        <v>2126</v>
      </c>
      <c r="AR1316" s="85" t="s">
        <v>2126</v>
      </c>
      <c r="AS1316" s="85" t="s">
        <v>177</v>
      </c>
      <c r="AT1316" s="85" t="s">
        <v>891</v>
      </c>
      <c r="AU1316" s="85" t="s">
        <v>891</v>
      </c>
      <c r="AV1316" s="85" t="s">
        <v>177</v>
      </c>
      <c r="AW1316" s="85" t="s">
        <v>119</v>
      </c>
      <c r="AX1316" s="85">
        <v>4</v>
      </c>
      <c r="AZ1316" s="85" t="s">
        <v>335</v>
      </c>
      <c r="BB1316" s="85">
        <v>3645</v>
      </c>
      <c r="BC1316" s="85">
        <f>BB1316/59.2</f>
        <v>61.570945945945944</v>
      </c>
      <c r="BP1316" s="422"/>
      <c r="BQ1316" s="422"/>
      <c r="BU1316" s="422"/>
      <c r="BV1316" s="422"/>
      <c r="BZ1316" s="422"/>
      <c r="CA1316" s="422"/>
      <c r="CE1316" s="575"/>
      <c r="CF1316" s="575"/>
      <c r="CG1316" s="575"/>
      <c r="CH1316" s="575"/>
      <c r="CJ1316" s="85">
        <v>1.53</v>
      </c>
      <c r="CK1316" s="85">
        <v>0.19</v>
      </c>
      <c r="CN1316" s="85" t="s">
        <v>1676</v>
      </c>
    </row>
    <row r="1317" spans="1:264" s="85" customFormat="1" x14ac:dyDescent="0.25">
      <c r="A1317" s="85">
        <v>59</v>
      </c>
      <c r="B1317" s="86" t="s">
        <v>4027</v>
      </c>
      <c r="C1317" s="85" t="s">
        <v>861</v>
      </c>
      <c r="D1317" s="85" t="s">
        <v>862</v>
      </c>
      <c r="E1317" s="85">
        <v>1997</v>
      </c>
      <c r="F1317" s="85">
        <v>1994</v>
      </c>
      <c r="G1317" s="85" t="s">
        <v>863</v>
      </c>
      <c r="H1317" s="85" t="s">
        <v>889</v>
      </c>
      <c r="I1317" s="32" t="s">
        <v>2815</v>
      </c>
      <c r="J1317" s="85">
        <v>38.92</v>
      </c>
      <c r="K1317" s="85">
        <v>-76.150000000000006</v>
      </c>
      <c r="L1317" s="85">
        <v>5</v>
      </c>
      <c r="O1317" s="85">
        <v>1275</v>
      </c>
      <c r="R1317" s="86">
        <v>8</v>
      </c>
      <c r="S1317" s="86" t="s">
        <v>1860</v>
      </c>
      <c r="T1317" s="86" t="s">
        <v>864</v>
      </c>
      <c r="U1317" s="86" t="s">
        <v>1984</v>
      </c>
      <c r="V1317" s="86" t="s">
        <v>1410</v>
      </c>
      <c r="W1317" s="86" t="s">
        <v>1724</v>
      </c>
      <c r="X1317" s="86" t="s">
        <v>1389</v>
      </c>
      <c r="Y1317" s="86" t="s">
        <v>1417</v>
      </c>
      <c r="Z1317" s="85">
        <v>1.5</v>
      </c>
      <c r="AA1317" s="347"/>
      <c r="AB1317" s="347"/>
      <c r="AC1317" s="85" t="s">
        <v>450</v>
      </c>
      <c r="AG1317" s="85" t="s">
        <v>1347</v>
      </c>
      <c r="AH1317" s="85" t="s">
        <v>131</v>
      </c>
      <c r="AI1317" s="138" t="s">
        <v>131</v>
      </c>
      <c r="AJ1317" s="85" t="s">
        <v>132</v>
      </c>
      <c r="AK1317" s="140" t="s">
        <v>132</v>
      </c>
      <c r="AO1317" s="85" t="s">
        <v>156</v>
      </c>
      <c r="AP1317" s="85" t="s">
        <v>156</v>
      </c>
      <c r="AQ1317" s="85" t="s">
        <v>2126</v>
      </c>
      <c r="AR1317" s="85" t="s">
        <v>2126</v>
      </c>
      <c r="AS1317" s="85" t="s">
        <v>177</v>
      </c>
      <c r="AT1317" s="85" t="s">
        <v>891</v>
      </c>
      <c r="AU1317" s="85" t="s">
        <v>891</v>
      </c>
      <c r="AV1317" s="85" t="s">
        <v>177</v>
      </c>
      <c r="AW1317" s="85" t="s">
        <v>119</v>
      </c>
      <c r="AX1317" s="85">
        <v>4</v>
      </c>
      <c r="AZ1317" s="85" t="s">
        <v>335</v>
      </c>
      <c r="BB1317" s="85">
        <v>3645</v>
      </c>
      <c r="BC1317" s="85">
        <f>BB1317/59.2</f>
        <v>61.570945945945944</v>
      </c>
      <c r="BP1317" s="422"/>
      <c r="BQ1317" s="422"/>
      <c r="BU1317" s="422"/>
      <c r="BV1317" s="422"/>
      <c r="BZ1317" s="422"/>
      <c r="CA1317" s="422"/>
      <c r="CE1317" s="575"/>
      <c r="CF1317" s="575"/>
      <c r="CG1317" s="575"/>
      <c r="CH1317" s="575"/>
      <c r="CJ1317" s="85">
        <v>0.24</v>
      </c>
      <c r="CK1317" s="85">
        <v>0.24</v>
      </c>
      <c r="CN1317" s="85" t="s">
        <v>1676</v>
      </c>
    </row>
    <row r="1318" spans="1:264" s="39" customFormat="1" x14ac:dyDescent="0.25">
      <c r="A1318" s="39">
        <v>60</v>
      </c>
      <c r="B1318" s="70" t="s">
        <v>4029</v>
      </c>
      <c r="C1318" s="39" t="s">
        <v>894</v>
      </c>
      <c r="D1318" s="39" t="s">
        <v>895</v>
      </c>
      <c r="E1318" s="39">
        <v>2012</v>
      </c>
      <c r="F1318" s="39">
        <v>2005</v>
      </c>
      <c r="G1318" s="39" t="s">
        <v>151</v>
      </c>
      <c r="H1318" s="39" t="s">
        <v>896</v>
      </c>
      <c r="I1318" s="32" t="s">
        <v>2815</v>
      </c>
      <c r="J1318" s="39">
        <f t="shared" ref="J1318:J1325" si="247">38+37/60</f>
        <v>38.616666666666667</v>
      </c>
      <c r="K1318" s="39">
        <f t="shared" ref="K1318:K1325" si="248">-76-44/60</f>
        <v>-76.733333333333334</v>
      </c>
      <c r="L1318" s="39">
        <v>25.4</v>
      </c>
      <c r="R1318" s="70" t="s">
        <v>1931</v>
      </c>
      <c r="S1318" s="70" t="s">
        <v>1917</v>
      </c>
      <c r="T1318" s="70" t="s">
        <v>864</v>
      </c>
      <c r="U1318" s="70" t="s">
        <v>1986</v>
      </c>
      <c r="V1318" s="70" t="s">
        <v>1388</v>
      </c>
      <c r="W1318" s="70" t="s">
        <v>1719</v>
      </c>
      <c r="X1318" s="70" t="s">
        <v>1388</v>
      </c>
      <c r="Y1318" s="70" t="s">
        <v>1388</v>
      </c>
      <c r="Z1318" s="39">
        <v>1.37</v>
      </c>
      <c r="AA1318" s="340"/>
      <c r="AB1318" s="340"/>
      <c r="AC1318" s="39" t="s">
        <v>450</v>
      </c>
      <c r="AG1318" s="39" t="s">
        <v>1348</v>
      </c>
      <c r="AH1318" s="39" t="s">
        <v>131</v>
      </c>
      <c r="AI1318" s="138" t="s">
        <v>131</v>
      </c>
      <c r="AJ1318" s="39" t="s">
        <v>132</v>
      </c>
      <c r="AK1318" s="141" t="s">
        <v>132</v>
      </c>
      <c r="AO1318" s="39" t="s">
        <v>156</v>
      </c>
      <c r="AP1318" s="39" t="s">
        <v>156</v>
      </c>
      <c r="AQ1318" s="39" t="s">
        <v>2126</v>
      </c>
      <c r="AR1318" s="39" t="s">
        <v>2126</v>
      </c>
      <c r="AS1318" s="39" t="s">
        <v>177</v>
      </c>
      <c r="AT1318" s="39" t="s">
        <v>898</v>
      </c>
      <c r="AU1318" s="39">
        <v>0</v>
      </c>
      <c r="AV1318" s="39" t="s">
        <v>502</v>
      </c>
      <c r="AW1318" s="39" t="s">
        <v>160</v>
      </c>
      <c r="AX1318" s="39">
        <v>4</v>
      </c>
      <c r="AZ1318" s="39" t="s">
        <v>141</v>
      </c>
      <c r="BE1318" s="39" t="s">
        <v>899</v>
      </c>
      <c r="BK1318" s="39">
        <v>7997</v>
      </c>
      <c r="BL1318" s="39">
        <v>7827</v>
      </c>
      <c r="BP1318" s="415">
        <v>1.41</v>
      </c>
      <c r="BQ1318" s="415">
        <v>1.427</v>
      </c>
      <c r="BU1318" s="415">
        <v>2.5479452054794498</v>
      </c>
      <c r="BV1318" s="415">
        <v>2.8630136986301369</v>
      </c>
      <c r="BZ1318" s="39">
        <f t="shared" ref="BZ1318:CA1321" si="249">BU1318/0.073</f>
        <v>34.903358979170548</v>
      </c>
      <c r="CA1318" s="39">
        <f t="shared" si="249"/>
        <v>39.219365734659412</v>
      </c>
      <c r="CD1318" s="39" t="s">
        <v>905</v>
      </c>
      <c r="CE1318" s="415">
        <v>34.903358979170577</v>
      </c>
      <c r="CF1318" s="415">
        <v>39.219365734659412</v>
      </c>
      <c r="CG1318" s="568"/>
      <c r="CH1318" s="568"/>
      <c r="CI1318" s="39" t="s">
        <v>4548</v>
      </c>
      <c r="DS1318" s="39">
        <v>44.55</v>
      </c>
      <c r="DT1318" s="39">
        <v>59.59</v>
      </c>
      <c r="DW1318" s="39" t="s">
        <v>902</v>
      </c>
      <c r="DX1318" s="39">
        <v>5.94</v>
      </c>
      <c r="DY1318" s="39">
        <v>4.67</v>
      </c>
      <c r="EB1318" s="39" t="s">
        <v>913</v>
      </c>
      <c r="EH1318" s="39">
        <f>0.868*3600</f>
        <v>3124.8</v>
      </c>
      <c r="EI1318" s="39">
        <f>2.3*3600</f>
        <v>8280</v>
      </c>
      <c r="EL1318" s="39" t="s">
        <v>907</v>
      </c>
      <c r="EM1318" s="39">
        <f>0.013*360</f>
        <v>4.68</v>
      </c>
      <c r="EN1318" s="39">
        <f>0.013*360</f>
        <v>4.68</v>
      </c>
      <c r="EQ1318" s="39" t="s">
        <v>912</v>
      </c>
      <c r="JD1318"/>
    </row>
    <row r="1319" spans="1:264" s="39" customFormat="1" x14ac:dyDescent="0.25">
      <c r="A1319" s="39">
        <v>60</v>
      </c>
      <c r="B1319" s="70" t="s">
        <v>4029</v>
      </c>
      <c r="C1319" s="39" t="s">
        <v>894</v>
      </c>
      <c r="D1319" s="39" t="s">
        <v>895</v>
      </c>
      <c r="E1319" s="39">
        <v>2012</v>
      </c>
      <c r="F1319" s="39">
        <v>2005</v>
      </c>
      <c r="G1319" s="39" t="s">
        <v>151</v>
      </c>
      <c r="H1319" s="39" t="s">
        <v>896</v>
      </c>
      <c r="I1319" s="32" t="s">
        <v>2815</v>
      </c>
      <c r="J1319" s="39">
        <f t="shared" si="247"/>
        <v>38.616666666666667</v>
      </c>
      <c r="K1319" s="39">
        <f t="shared" si="248"/>
        <v>-76.733333333333334</v>
      </c>
      <c r="L1319" s="39">
        <v>25.4</v>
      </c>
      <c r="R1319" s="70" t="s">
        <v>1931</v>
      </c>
      <c r="S1319" s="70" t="s">
        <v>1917</v>
      </c>
      <c r="T1319" s="70" t="s">
        <v>864</v>
      </c>
      <c r="U1319" s="70" t="s">
        <v>1987</v>
      </c>
      <c r="V1319" s="70" t="s">
        <v>1388</v>
      </c>
      <c r="W1319" s="70" t="s">
        <v>1719</v>
      </c>
      <c r="X1319" s="70" t="s">
        <v>1388</v>
      </c>
      <c r="Y1319" s="70" t="s">
        <v>1388</v>
      </c>
      <c r="Z1319" s="39">
        <v>1.37</v>
      </c>
      <c r="AA1319" s="340"/>
      <c r="AB1319" s="340"/>
      <c r="AC1319" s="39" t="s">
        <v>450</v>
      </c>
      <c r="AG1319" s="39" t="s">
        <v>1348</v>
      </c>
      <c r="AH1319" s="39" t="s">
        <v>131</v>
      </c>
      <c r="AI1319" s="138" t="s">
        <v>131</v>
      </c>
      <c r="AJ1319" s="39" t="s">
        <v>132</v>
      </c>
      <c r="AK1319" s="141" t="s">
        <v>132</v>
      </c>
      <c r="AO1319" s="39" t="s">
        <v>156</v>
      </c>
      <c r="AP1319" s="39" t="s">
        <v>156</v>
      </c>
      <c r="AQ1319" s="39" t="s">
        <v>2126</v>
      </c>
      <c r="AR1319" s="39" t="s">
        <v>2126</v>
      </c>
      <c r="AS1319" s="39" t="s">
        <v>177</v>
      </c>
      <c r="AT1319" s="39" t="s">
        <v>898</v>
      </c>
      <c r="AU1319" s="39">
        <v>0</v>
      </c>
      <c r="AV1319" s="39" t="s">
        <v>502</v>
      </c>
      <c r="AW1319" s="39" t="s">
        <v>160</v>
      </c>
      <c r="AX1319" s="39">
        <v>4</v>
      </c>
      <c r="AZ1319" s="39" t="s">
        <v>141</v>
      </c>
      <c r="BE1319" s="39" t="s">
        <v>900</v>
      </c>
      <c r="BK1319" s="39">
        <v>7997</v>
      </c>
      <c r="BL1319" s="39">
        <v>7827</v>
      </c>
      <c r="BP1319" s="415">
        <v>1.41</v>
      </c>
      <c r="BQ1319" s="415">
        <v>1.427</v>
      </c>
      <c r="BU1319" s="415">
        <v>2.547945205479452</v>
      </c>
      <c r="BV1319" s="415">
        <v>2.6438356164383565</v>
      </c>
      <c r="BZ1319" s="39">
        <f t="shared" si="249"/>
        <v>34.903358979170577</v>
      </c>
      <c r="CA1319" s="39">
        <f t="shared" si="249"/>
        <v>36.21692625258023</v>
      </c>
      <c r="CD1319" s="39" t="s">
        <v>905</v>
      </c>
      <c r="CE1319" s="415">
        <v>34.903358979170577</v>
      </c>
      <c r="CF1319" s="415">
        <v>36.21692625258023</v>
      </c>
      <c r="CG1319" s="568"/>
      <c r="CH1319" s="568"/>
      <c r="CI1319" s="39" t="s">
        <v>4548</v>
      </c>
      <c r="DS1319" s="39">
        <v>24.64</v>
      </c>
      <c r="DT1319" s="39">
        <v>35.22</v>
      </c>
      <c r="DW1319" s="39" t="s">
        <v>902</v>
      </c>
      <c r="DX1319" s="39">
        <v>1.76</v>
      </c>
      <c r="DY1319" s="39">
        <v>10.68</v>
      </c>
      <c r="EB1319" s="39" t="s">
        <v>913</v>
      </c>
      <c r="EH1319" s="39">
        <f>0.3*3600</f>
        <v>1080</v>
      </c>
      <c r="EI1319" s="39">
        <f>0.307*3600</f>
        <v>1105.2</v>
      </c>
      <c r="EL1319" s="39" t="s">
        <v>907</v>
      </c>
      <c r="EM1319" s="39">
        <f>0.0084*360</f>
        <v>3.024</v>
      </c>
      <c r="EN1319" s="39">
        <f>0.0044*360</f>
        <v>1.5840000000000001</v>
      </c>
      <c r="EQ1319" s="39" t="s">
        <v>912</v>
      </c>
      <c r="JD1319"/>
    </row>
    <row r="1320" spans="1:264" s="39" customFormat="1" x14ac:dyDescent="0.25">
      <c r="A1320" s="39">
        <v>60</v>
      </c>
      <c r="B1320" s="70" t="s">
        <v>4029</v>
      </c>
      <c r="C1320" s="39" t="s">
        <v>894</v>
      </c>
      <c r="D1320" s="39" t="s">
        <v>895</v>
      </c>
      <c r="E1320" s="39">
        <v>2012</v>
      </c>
      <c r="F1320" s="39">
        <v>2006</v>
      </c>
      <c r="G1320" s="39" t="s">
        <v>151</v>
      </c>
      <c r="H1320" s="39" t="s">
        <v>896</v>
      </c>
      <c r="I1320" s="32" t="s">
        <v>2815</v>
      </c>
      <c r="J1320" s="39">
        <f t="shared" si="247"/>
        <v>38.616666666666667</v>
      </c>
      <c r="K1320" s="39">
        <f t="shared" si="248"/>
        <v>-76.733333333333334</v>
      </c>
      <c r="L1320" s="39">
        <v>25.4</v>
      </c>
      <c r="R1320" s="70" t="s">
        <v>1917</v>
      </c>
      <c r="S1320" s="70" t="s">
        <v>1917</v>
      </c>
      <c r="T1320" s="70" t="s">
        <v>864</v>
      </c>
      <c r="U1320" s="70" t="s">
        <v>1987</v>
      </c>
      <c r="V1320" s="70" t="s">
        <v>1388</v>
      </c>
      <c r="W1320" s="70" t="s">
        <v>1719</v>
      </c>
      <c r="X1320" s="70" t="s">
        <v>1388</v>
      </c>
      <c r="Y1320" s="70" t="s">
        <v>1388</v>
      </c>
      <c r="Z1320" s="39">
        <v>1.37</v>
      </c>
      <c r="AA1320" s="340"/>
      <c r="AB1320" s="340"/>
      <c r="AC1320" s="39" t="s">
        <v>450</v>
      </c>
      <c r="AG1320" s="39" t="s">
        <v>1348</v>
      </c>
      <c r="AH1320" s="39" t="s">
        <v>131</v>
      </c>
      <c r="AI1320" s="138" t="s">
        <v>131</v>
      </c>
      <c r="AJ1320" s="39" t="s">
        <v>132</v>
      </c>
      <c r="AK1320" s="141" t="s">
        <v>132</v>
      </c>
      <c r="AO1320" s="39" t="s">
        <v>156</v>
      </c>
      <c r="AP1320" s="39" t="s">
        <v>156</v>
      </c>
      <c r="AQ1320" s="39" t="s">
        <v>2126</v>
      </c>
      <c r="AR1320" s="39" t="s">
        <v>2126</v>
      </c>
      <c r="AS1320" s="39" t="s">
        <v>177</v>
      </c>
      <c r="AT1320" s="39" t="s">
        <v>898</v>
      </c>
      <c r="AU1320" s="39">
        <v>0</v>
      </c>
      <c r="AV1320" s="39" t="s">
        <v>502</v>
      </c>
      <c r="AW1320" s="39" t="s">
        <v>160</v>
      </c>
      <c r="AX1320" s="39">
        <v>4</v>
      </c>
      <c r="AZ1320" s="39" t="s">
        <v>141</v>
      </c>
      <c r="BE1320" s="39" t="s">
        <v>899</v>
      </c>
      <c r="BK1320" s="39">
        <v>7997</v>
      </c>
      <c r="BL1320" s="39">
        <v>7827</v>
      </c>
      <c r="BP1320" s="415">
        <v>1.4</v>
      </c>
      <c r="BQ1320" s="415">
        <v>1.258</v>
      </c>
      <c r="BU1320" s="415">
        <v>2.4109589041095889</v>
      </c>
      <c r="BV1320" s="415">
        <v>2.5342465753424657</v>
      </c>
      <c r="BZ1320" s="39">
        <f t="shared" si="249"/>
        <v>33.02683430287108</v>
      </c>
      <c r="CA1320" s="39">
        <f t="shared" si="249"/>
        <v>34.715706511540631</v>
      </c>
      <c r="CD1320" s="39" t="s">
        <v>905</v>
      </c>
      <c r="CE1320" s="415">
        <v>33.02683430287108</v>
      </c>
      <c r="CF1320" s="415">
        <v>34.715706511540631</v>
      </c>
      <c r="CG1320" s="568"/>
      <c r="CH1320" s="568"/>
      <c r="CI1320" s="39" t="s">
        <v>4548</v>
      </c>
      <c r="DS1320" s="39">
        <v>42.71</v>
      </c>
      <c r="DT1320" s="39">
        <v>60.16</v>
      </c>
      <c r="DW1320" s="39" t="s">
        <v>902</v>
      </c>
      <c r="DX1320" s="39">
        <v>2.87</v>
      </c>
      <c r="DY1320" s="39">
        <v>3.99</v>
      </c>
      <c r="EB1320" s="39" t="s">
        <v>913</v>
      </c>
      <c r="EH1320" s="39">
        <f>0.023*3600</f>
        <v>82.8</v>
      </c>
      <c r="EI1320" s="39">
        <f>0.0833*3600</f>
        <v>299.88</v>
      </c>
      <c r="EL1320" s="39" t="s">
        <v>907</v>
      </c>
      <c r="EM1320" s="39">
        <f>0.00037*360</f>
        <v>0.13319999999999999</v>
      </c>
      <c r="EN1320" s="39">
        <f>0.0023*360</f>
        <v>0.82799999999999996</v>
      </c>
      <c r="EQ1320" s="39" t="s">
        <v>912</v>
      </c>
      <c r="JD1320"/>
    </row>
    <row r="1321" spans="1:264" s="39" customFormat="1" x14ac:dyDescent="0.25">
      <c r="A1321" s="39">
        <v>60</v>
      </c>
      <c r="B1321" s="70" t="s">
        <v>4029</v>
      </c>
      <c r="C1321" s="39" t="s">
        <v>894</v>
      </c>
      <c r="D1321" s="39" t="s">
        <v>895</v>
      </c>
      <c r="E1321" s="39">
        <v>2012</v>
      </c>
      <c r="F1321" s="39">
        <v>2006</v>
      </c>
      <c r="G1321" s="39" t="s">
        <v>151</v>
      </c>
      <c r="H1321" s="39" t="s">
        <v>896</v>
      </c>
      <c r="I1321" s="32" t="s">
        <v>2815</v>
      </c>
      <c r="J1321" s="39">
        <f t="shared" si="247"/>
        <v>38.616666666666667</v>
      </c>
      <c r="K1321" s="39">
        <f t="shared" si="248"/>
        <v>-76.733333333333334</v>
      </c>
      <c r="L1321" s="39">
        <v>25.4</v>
      </c>
      <c r="R1321" s="70" t="s">
        <v>1917</v>
      </c>
      <c r="S1321" s="70" t="s">
        <v>1917</v>
      </c>
      <c r="T1321" s="70" t="s">
        <v>864</v>
      </c>
      <c r="U1321" s="70" t="s">
        <v>1987</v>
      </c>
      <c r="V1321" s="70" t="s">
        <v>1388</v>
      </c>
      <c r="W1321" s="70" t="s">
        <v>1719</v>
      </c>
      <c r="X1321" s="70" t="s">
        <v>1388</v>
      </c>
      <c r="Y1321" s="70" t="s">
        <v>1388</v>
      </c>
      <c r="Z1321" s="39">
        <v>1.37</v>
      </c>
      <c r="AA1321" s="340"/>
      <c r="AB1321" s="340"/>
      <c r="AC1321" s="39" t="s">
        <v>450</v>
      </c>
      <c r="AG1321" s="39" t="s">
        <v>1348</v>
      </c>
      <c r="AH1321" s="39" t="s">
        <v>131</v>
      </c>
      <c r="AI1321" s="138" t="s">
        <v>131</v>
      </c>
      <c r="AJ1321" s="39" t="s">
        <v>132</v>
      </c>
      <c r="AK1321" s="141" t="s">
        <v>132</v>
      </c>
      <c r="AO1321" s="39" t="s">
        <v>156</v>
      </c>
      <c r="AP1321" s="39" t="s">
        <v>156</v>
      </c>
      <c r="AQ1321" s="39" t="s">
        <v>2126</v>
      </c>
      <c r="AR1321" s="39" t="s">
        <v>2126</v>
      </c>
      <c r="AS1321" s="39" t="s">
        <v>177</v>
      </c>
      <c r="AT1321" s="39" t="s">
        <v>898</v>
      </c>
      <c r="AU1321" s="39">
        <v>0</v>
      </c>
      <c r="AV1321" s="39" t="s">
        <v>502</v>
      </c>
      <c r="AW1321" s="39" t="s">
        <v>160</v>
      </c>
      <c r="AX1321" s="39">
        <v>4</v>
      </c>
      <c r="AZ1321" s="39" t="s">
        <v>141</v>
      </c>
      <c r="BE1321" s="39" t="s">
        <v>900</v>
      </c>
      <c r="BK1321" s="39">
        <v>7997</v>
      </c>
      <c r="BL1321" s="39">
        <v>7827</v>
      </c>
      <c r="BP1321" s="415">
        <v>1.4</v>
      </c>
      <c r="BQ1321" s="415">
        <v>1.258</v>
      </c>
      <c r="BU1321" s="415">
        <v>2.5753424657534247</v>
      </c>
      <c r="BV1321" s="415">
        <v>2.5205479452054798</v>
      </c>
      <c r="BZ1321" s="39">
        <f t="shared" si="249"/>
        <v>35.278663914430481</v>
      </c>
      <c r="CA1321" s="39">
        <f t="shared" si="249"/>
        <v>34.528054043910686</v>
      </c>
      <c r="CD1321" s="39" t="s">
        <v>905</v>
      </c>
      <c r="CE1321" s="415">
        <v>35.278663914430481</v>
      </c>
      <c r="CF1321" s="415">
        <v>34.528054043910686</v>
      </c>
      <c r="CG1321" s="568"/>
      <c r="CH1321" s="568"/>
      <c r="CI1321" s="39" t="s">
        <v>4548</v>
      </c>
      <c r="DS1321" s="39">
        <v>33.700000000000003</v>
      </c>
      <c r="DT1321" s="39">
        <v>48.75</v>
      </c>
      <c r="DW1321" s="39" t="s">
        <v>902</v>
      </c>
      <c r="DX1321" s="39">
        <v>1.28</v>
      </c>
      <c r="DY1321" s="39">
        <v>4.7</v>
      </c>
      <c r="EB1321" s="39" t="s">
        <v>913</v>
      </c>
      <c r="JD1321"/>
    </row>
    <row r="1322" spans="1:264" s="90" customFormat="1" x14ac:dyDescent="0.25">
      <c r="A1322" s="90">
        <v>60</v>
      </c>
      <c r="B1322" s="70" t="s">
        <v>4030</v>
      </c>
      <c r="C1322" s="90" t="s">
        <v>894</v>
      </c>
      <c r="D1322" s="90" t="s">
        <v>895</v>
      </c>
      <c r="E1322" s="90">
        <v>2012</v>
      </c>
      <c r="F1322" s="90">
        <v>2005</v>
      </c>
      <c r="G1322" s="90" t="s">
        <v>151</v>
      </c>
      <c r="H1322" s="90" t="s">
        <v>896</v>
      </c>
      <c r="I1322" s="32" t="s">
        <v>2815</v>
      </c>
      <c r="J1322" s="90">
        <f t="shared" si="247"/>
        <v>38.616666666666667</v>
      </c>
      <c r="K1322" s="90">
        <f t="shared" si="248"/>
        <v>-76.733333333333334</v>
      </c>
      <c r="L1322" s="90">
        <v>25.4</v>
      </c>
      <c r="R1322" s="91" t="s">
        <v>1931</v>
      </c>
      <c r="S1322" s="91" t="s">
        <v>1917</v>
      </c>
      <c r="T1322" s="91" t="s">
        <v>864</v>
      </c>
      <c r="U1322" s="91" t="s">
        <v>1987</v>
      </c>
      <c r="V1322" s="91" t="s">
        <v>1388</v>
      </c>
      <c r="W1322" s="70" t="s">
        <v>1719</v>
      </c>
      <c r="X1322" s="91" t="s">
        <v>1388</v>
      </c>
      <c r="Y1322" s="91" t="s">
        <v>1388</v>
      </c>
      <c r="Z1322" s="90">
        <v>1.37</v>
      </c>
      <c r="AA1322" s="348"/>
      <c r="AB1322" s="348"/>
      <c r="AC1322" s="90" t="s">
        <v>450</v>
      </c>
      <c r="AG1322" s="39" t="s">
        <v>1348</v>
      </c>
      <c r="AH1322" s="90" t="s">
        <v>131</v>
      </c>
      <c r="AI1322" s="138" t="s">
        <v>131</v>
      </c>
      <c r="AJ1322" s="90" t="s">
        <v>132</v>
      </c>
      <c r="AK1322" s="144" t="s">
        <v>132</v>
      </c>
      <c r="AO1322" s="90" t="s">
        <v>156</v>
      </c>
      <c r="AP1322" s="90" t="s">
        <v>156</v>
      </c>
      <c r="AQ1322" s="39" t="s">
        <v>2126</v>
      </c>
      <c r="AR1322" s="39" t="s">
        <v>2126</v>
      </c>
      <c r="AS1322" s="90" t="s">
        <v>177</v>
      </c>
      <c r="AT1322" s="90" t="s">
        <v>898</v>
      </c>
      <c r="AU1322" s="90">
        <v>0</v>
      </c>
      <c r="AV1322" s="90" t="s">
        <v>502</v>
      </c>
      <c r="AW1322" s="90" t="s">
        <v>160</v>
      </c>
      <c r="AX1322" s="90">
        <v>4</v>
      </c>
      <c r="AZ1322" s="90" t="s">
        <v>141</v>
      </c>
      <c r="BE1322" s="90" t="s">
        <v>899</v>
      </c>
      <c r="BK1322" s="39">
        <v>7997</v>
      </c>
      <c r="BL1322" s="39">
        <v>7827</v>
      </c>
      <c r="BP1322" s="423">
        <v>1.41</v>
      </c>
      <c r="BQ1322" s="423">
        <v>1.381</v>
      </c>
      <c r="BU1322" s="423">
        <v>6.043835616438356</v>
      </c>
      <c r="BV1322" s="423">
        <v>6.6136986301369864</v>
      </c>
      <c r="CD1322" s="90" t="s">
        <v>1151</v>
      </c>
      <c r="CE1322" s="423">
        <v>6.043835616438356</v>
      </c>
      <c r="CF1322" s="423">
        <v>6.6136986301369864</v>
      </c>
      <c r="CG1322" s="576"/>
      <c r="CH1322" s="576"/>
      <c r="CI1322" s="90" t="s">
        <v>4549</v>
      </c>
      <c r="DS1322" s="90">
        <v>41.91</v>
      </c>
      <c r="DT1322" s="90">
        <v>60.18</v>
      </c>
      <c r="DW1322" s="90" t="s">
        <v>901</v>
      </c>
      <c r="EH1322" s="90">
        <v>5040</v>
      </c>
      <c r="EI1322" s="90">
        <f>4.02*3600</f>
        <v>14471.999999999998</v>
      </c>
      <c r="EL1322" s="90" t="s">
        <v>908</v>
      </c>
      <c r="EM1322" s="90">
        <f>0.064*360</f>
        <v>23.04</v>
      </c>
      <c r="EN1322" s="90">
        <f>0.175*360</f>
        <v>62.999999999999993</v>
      </c>
      <c r="EQ1322" s="90" t="s">
        <v>912</v>
      </c>
      <c r="JB1322" s="90" t="s">
        <v>906</v>
      </c>
    </row>
    <row r="1323" spans="1:264" s="90" customFormat="1" x14ac:dyDescent="0.25">
      <c r="A1323" s="90">
        <v>60</v>
      </c>
      <c r="B1323" s="70" t="s">
        <v>4030</v>
      </c>
      <c r="C1323" s="90" t="s">
        <v>894</v>
      </c>
      <c r="D1323" s="90" t="s">
        <v>895</v>
      </c>
      <c r="E1323" s="90">
        <v>2012</v>
      </c>
      <c r="F1323" s="90">
        <v>2005</v>
      </c>
      <c r="G1323" s="90" t="s">
        <v>151</v>
      </c>
      <c r="H1323" s="90" t="s">
        <v>896</v>
      </c>
      <c r="I1323" s="32" t="s">
        <v>2815</v>
      </c>
      <c r="J1323" s="90">
        <f t="shared" si="247"/>
        <v>38.616666666666667</v>
      </c>
      <c r="K1323" s="90">
        <f t="shared" si="248"/>
        <v>-76.733333333333334</v>
      </c>
      <c r="L1323" s="90">
        <v>25.4</v>
      </c>
      <c r="R1323" s="91" t="s">
        <v>1931</v>
      </c>
      <c r="S1323" s="91" t="s">
        <v>1917</v>
      </c>
      <c r="T1323" s="91" t="s">
        <v>864</v>
      </c>
      <c r="U1323" s="91" t="s">
        <v>1987</v>
      </c>
      <c r="V1323" s="91" t="s">
        <v>1388</v>
      </c>
      <c r="W1323" s="70" t="s">
        <v>1719</v>
      </c>
      <c r="X1323" s="91" t="s">
        <v>1388</v>
      </c>
      <c r="Y1323" s="91" t="s">
        <v>1388</v>
      </c>
      <c r="Z1323" s="90">
        <v>1.37</v>
      </c>
      <c r="AA1323" s="348"/>
      <c r="AB1323" s="348"/>
      <c r="AC1323" s="90" t="s">
        <v>450</v>
      </c>
      <c r="AG1323" s="39" t="s">
        <v>1348</v>
      </c>
      <c r="AH1323" s="90" t="s">
        <v>131</v>
      </c>
      <c r="AI1323" s="138" t="s">
        <v>131</v>
      </c>
      <c r="AJ1323" s="90" t="s">
        <v>132</v>
      </c>
      <c r="AK1323" s="144" t="s">
        <v>132</v>
      </c>
      <c r="AO1323" s="90" t="s">
        <v>156</v>
      </c>
      <c r="AP1323" s="90" t="s">
        <v>156</v>
      </c>
      <c r="AQ1323" s="39" t="s">
        <v>2126</v>
      </c>
      <c r="AR1323" s="39" t="s">
        <v>2126</v>
      </c>
      <c r="AS1323" s="90" t="s">
        <v>177</v>
      </c>
      <c r="AT1323" s="90" t="s">
        <v>898</v>
      </c>
      <c r="AU1323" s="90">
        <v>0</v>
      </c>
      <c r="AV1323" s="90" t="s">
        <v>502</v>
      </c>
      <c r="AW1323" s="90" t="s">
        <v>160</v>
      </c>
      <c r="AX1323" s="90">
        <v>4</v>
      </c>
      <c r="AZ1323" s="90" t="s">
        <v>141</v>
      </c>
      <c r="BE1323" s="90" t="s">
        <v>900</v>
      </c>
      <c r="BK1323" s="39">
        <v>7997</v>
      </c>
      <c r="BL1323" s="39">
        <v>7827</v>
      </c>
      <c r="BP1323" s="423">
        <v>1.41</v>
      </c>
      <c r="BQ1323" s="423">
        <v>1.381</v>
      </c>
      <c r="BU1323" s="423">
        <v>5.8712328767123285</v>
      </c>
      <c r="BV1323" s="423">
        <v>7.6506849315068495</v>
      </c>
      <c r="CD1323" s="90" t="s">
        <v>1151</v>
      </c>
      <c r="CE1323" s="423">
        <v>5.8712328767123285</v>
      </c>
      <c r="CF1323" s="423">
        <v>7.6506849315068495</v>
      </c>
      <c r="CG1323" s="576"/>
      <c r="CH1323" s="576"/>
      <c r="CI1323" s="90" t="s">
        <v>4549</v>
      </c>
      <c r="DS1323" s="90">
        <v>34.14</v>
      </c>
      <c r="DT1323" s="90">
        <v>47.17</v>
      </c>
      <c r="DW1323" s="90" t="s">
        <v>901</v>
      </c>
      <c r="EH1323" s="90">
        <f>0.185*3600</f>
        <v>666</v>
      </c>
      <c r="EI1323" s="90">
        <f>0.093*3600</f>
        <v>334.8</v>
      </c>
      <c r="EL1323" s="90" t="s">
        <v>908</v>
      </c>
      <c r="EM1323" s="90">
        <f>0.0067*360</f>
        <v>2.4119999999999999</v>
      </c>
      <c r="EN1323" s="90">
        <f>0.0031*360</f>
        <v>1.1159999999999999</v>
      </c>
      <c r="EQ1323" s="90" t="s">
        <v>912</v>
      </c>
      <c r="JB1323" s="90" t="s">
        <v>906</v>
      </c>
    </row>
    <row r="1324" spans="1:264" s="90" customFormat="1" x14ac:dyDescent="0.25">
      <c r="A1324" s="90">
        <v>60</v>
      </c>
      <c r="B1324" s="70" t="s">
        <v>4030</v>
      </c>
      <c r="C1324" s="90" t="s">
        <v>894</v>
      </c>
      <c r="D1324" s="90" t="s">
        <v>895</v>
      </c>
      <c r="E1324" s="90">
        <v>2012</v>
      </c>
      <c r="F1324" s="90">
        <v>2006</v>
      </c>
      <c r="G1324" s="90" t="s">
        <v>151</v>
      </c>
      <c r="H1324" s="90" t="s">
        <v>896</v>
      </c>
      <c r="I1324" s="32" t="s">
        <v>2815</v>
      </c>
      <c r="J1324" s="90">
        <f t="shared" si="247"/>
        <v>38.616666666666667</v>
      </c>
      <c r="K1324" s="90">
        <f t="shared" si="248"/>
        <v>-76.733333333333334</v>
      </c>
      <c r="L1324" s="90">
        <v>25.4</v>
      </c>
      <c r="R1324" s="91" t="s">
        <v>1917</v>
      </c>
      <c r="S1324" s="91" t="s">
        <v>1917</v>
      </c>
      <c r="T1324" s="91" t="s">
        <v>864</v>
      </c>
      <c r="U1324" s="91" t="s">
        <v>1987</v>
      </c>
      <c r="V1324" s="91" t="s">
        <v>1388</v>
      </c>
      <c r="W1324" s="70" t="s">
        <v>1719</v>
      </c>
      <c r="X1324" s="91" t="s">
        <v>1388</v>
      </c>
      <c r="Y1324" s="91" t="s">
        <v>1388</v>
      </c>
      <c r="Z1324" s="90">
        <v>1.37</v>
      </c>
      <c r="AA1324" s="348"/>
      <c r="AB1324" s="348"/>
      <c r="AC1324" s="90" t="s">
        <v>450</v>
      </c>
      <c r="AG1324" s="39" t="s">
        <v>1348</v>
      </c>
      <c r="AH1324" s="90" t="s">
        <v>131</v>
      </c>
      <c r="AI1324" s="138" t="s">
        <v>131</v>
      </c>
      <c r="AJ1324" s="90" t="s">
        <v>132</v>
      </c>
      <c r="AK1324" s="144" t="s">
        <v>132</v>
      </c>
      <c r="AO1324" s="90" t="s">
        <v>156</v>
      </c>
      <c r="AP1324" s="90" t="s">
        <v>156</v>
      </c>
      <c r="AQ1324" s="39" t="s">
        <v>2126</v>
      </c>
      <c r="AR1324" s="39" t="s">
        <v>2126</v>
      </c>
      <c r="AS1324" s="90" t="s">
        <v>177</v>
      </c>
      <c r="AT1324" s="90" t="s">
        <v>898</v>
      </c>
      <c r="AU1324" s="90">
        <v>0</v>
      </c>
      <c r="AV1324" s="90" t="s">
        <v>502</v>
      </c>
      <c r="AW1324" s="90" t="s">
        <v>160</v>
      </c>
      <c r="AX1324" s="90">
        <v>4</v>
      </c>
      <c r="AZ1324" s="90" t="s">
        <v>141</v>
      </c>
      <c r="BE1324" s="90" t="s">
        <v>899</v>
      </c>
      <c r="BK1324" s="39">
        <v>7997</v>
      </c>
      <c r="BL1324" s="39">
        <v>7827</v>
      </c>
      <c r="BP1324" s="423">
        <v>1.405</v>
      </c>
      <c r="BQ1324" s="423">
        <v>1.2649999999999999</v>
      </c>
      <c r="BU1324" s="423">
        <v>5.0958904109589049</v>
      </c>
      <c r="BV1324" s="423">
        <v>5.3630136986301364</v>
      </c>
      <c r="CD1324" s="90" t="s">
        <v>1151</v>
      </c>
      <c r="CE1324" s="423">
        <v>5.0958904109589049</v>
      </c>
      <c r="CF1324" s="423">
        <v>5.3630136986301364</v>
      </c>
      <c r="CG1324" s="576"/>
      <c r="CH1324" s="576"/>
      <c r="CI1324" s="90" t="s">
        <v>4549</v>
      </c>
      <c r="DS1324" s="90">
        <v>64.34</v>
      </c>
      <c r="DT1324" s="90">
        <v>78.959999999999994</v>
      </c>
      <c r="DW1324" s="90" t="s">
        <v>901</v>
      </c>
      <c r="EH1324" s="90">
        <f>0.317*3600</f>
        <v>1141.2</v>
      </c>
      <c r="EI1324" s="90">
        <f>1.78*3600</f>
        <v>6408</v>
      </c>
      <c r="EL1324" s="90" t="s">
        <v>908</v>
      </c>
      <c r="EM1324" s="90">
        <f>0.017*360</f>
        <v>6.12</v>
      </c>
      <c r="EN1324" s="90">
        <f>0.763*360</f>
        <v>274.68</v>
      </c>
      <c r="EQ1324" s="90" t="s">
        <v>912</v>
      </c>
      <c r="JB1324" s="90" t="s">
        <v>906</v>
      </c>
    </row>
    <row r="1325" spans="1:264" s="90" customFormat="1" x14ac:dyDescent="0.25">
      <c r="A1325" s="90">
        <v>60</v>
      </c>
      <c r="B1325" s="70" t="s">
        <v>4030</v>
      </c>
      <c r="C1325" s="90" t="s">
        <v>894</v>
      </c>
      <c r="D1325" s="90" t="s">
        <v>895</v>
      </c>
      <c r="E1325" s="90">
        <v>2012</v>
      </c>
      <c r="F1325" s="90">
        <v>2006</v>
      </c>
      <c r="G1325" s="90" t="s">
        <v>151</v>
      </c>
      <c r="H1325" s="90" t="s">
        <v>896</v>
      </c>
      <c r="I1325" s="32" t="s">
        <v>2815</v>
      </c>
      <c r="J1325" s="90">
        <f t="shared" si="247"/>
        <v>38.616666666666667</v>
      </c>
      <c r="K1325" s="90">
        <f t="shared" si="248"/>
        <v>-76.733333333333334</v>
      </c>
      <c r="L1325" s="90">
        <v>25.4</v>
      </c>
      <c r="R1325" s="91" t="s">
        <v>1917</v>
      </c>
      <c r="S1325" s="91" t="s">
        <v>1917</v>
      </c>
      <c r="T1325" s="91" t="s">
        <v>864</v>
      </c>
      <c r="U1325" s="91" t="s">
        <v>1987</v>
      </c>
      <c r="V1325" s="91" t="s">
        <v>1388</v>
      </c>
      <c r="W1325" s="70" t="s">
        <v>1719</v>
      </c>
      <c r="X1325" s="91" t="s">
        <v>1388</v>
      </c>
      <c r="Y1325" s="91" t="s">
        <v>1388</v>
      </c>
      <c r="Z1325" s="90">
        <v>1.37</v>
      </c>
      <c r="AA1325" s="348"/>
      <c r="AB1325" s="348"/>
      <c r="AC1325" s="90" t="s">
        <v>450</v>
      </c>
      <c r="AG1325" s="39" t="s">
        <v>1348</v>
      </c>
      <c r="AH1325" s="90" t="s">
        <v>131</v>
      </c>
      <c r="AI1325" s="138" t="s">
        <v>131</v>
      </c>
      <c r="AJ1325" s="90" t="s">
        <v>132</v>
      </c>
      <c r="AK1325" s="144" t="s">
        <v>132</v>
      </c>
      <c r="AO1325" s="90" t="s">
        <v>156</v>
      </c>
      <c r="AP1325" s="90" t="s">
        <v>156</v>
      </c>
      <c r="AQ1325" s="39" t="s">
        <v>2126</v>
      </c>
      <c r="AR1325" s="39" t="s">
        <v>2126</v>
      </c>
      <c r="AS1325" s="90" t="s">
        <v>177</v>
      </c>
      <c r="AT1325" s="90" t="s">
        <v>898</v>
      </c>
      <c r="AU1325" s="90">
        <v>0</v>
      </c>
      <c r="AV1325" s="90" t="s">
        <v>502</v>
      </c>
      <c r="AW1325" s="90" t="s">
        <v>160</v>
      </c>
      <c r="AX1325" s="90">
        <v>4</v>
      </c>
      <c r="AZ1325" s="90" t="s">
        <v>141</v>
      </c>
      <c r="BE1325" s="90" t="s">
        <v>900</v>
      </c>
      <c r="BK1325" s="39">
        <v>7997</v>
      </c>
      <c r="BL1325" s="39">
        <v>7827</v>
      </c>
      <c r="BP1325" s="423">
        <v>1.405</v>
      </c>
      <c r="BQ1325" s="423">
        <v>1.2649999999999999</v>
      </c>
      <c r="BU1325" s="423">
        <v>5.7972602739726034</v>
      </c>
      <c r="BV1325" s="423">
        <v>6.2315068493150694</v>
      </c>
      <c r="CD1325" s="90" t="s">
        <v>1151</v>
      </c>
      <c r="CE1325" s="423">
        <v>5.7972602739726034</v>
      </c>
      <c r="CF1325" s="423">
        <v>6.2315068493150694</v>
      </c>
      <c r="CG1325" s="576"/>
      <c r="CH1325" s="576"/>
      <c r="CI1325" s="90" t="s">
        <v>4549</v>
      </c>
      <c r="DS1325" s="90">
        <v>51.72</v>
      </c>
      <c r="DT1325" s="90">
        <v>63.54</v>
      </c>
      <c r="DW1325" s="90" t="s">
        <v>901</v>
      </c>
      <c r="JB1325" s="90" t="s">
        <v>906</v>
      </c>
    </row>
    <row r="1326" spans="1:264" s="28" customFormat="1" x14ac:dyDescent="0.25">
      <c r="A1326" s="28">
        <v>60</v>
      </c>
      <c r="B1326" s="46" t="s">
        <v>4423</v>
      </c>
      <c r="C1326" s="28" t="s">
        <v>894</v>
      </c>
      <c r="D1326" s="28" t="s">
        <v>895</v>
      </c>
      <c r="E1326" s="28">
        <v>2012</v>
      </c>
      <c r="F1326" s="28">
        <v>2005</v>
      </c>
      <c r="G1326" s="28" t="s">
        <v>151</v>
      </c>
      <c r="H1326" s="28" t="s">
        <v>897</v>
      </c>
      <c r="I1326" s="32" t="s">
        <v>2815</v>
      </c>
      <c r="J1326" s="28">
        <f t="shared" ref="J1326:J1331" si="250">39+14/60</f>
        <v>39.233333333333334</v>
      </c>
      <c r="K1326" s="28">
        <f t="shared" ref="K1326:K1331" si="251">-76-55/60</f>
        <v>-76.916666666666671</v>
      </c>
      <c r="L1326" s="28">
        <v>109.2</v>
      </c>
      <c r="R1326" s="46" t="s">
        <v>1931</v>
      </c>
      <c r="S1326" s="46" t="s">
        <v>1917</v>
      </c>
      <c r="T1326" s="46" t="s">
        <v>864</v>
      </c>
      <c r="U1326" s="46" t="s">
        <v>1988</v>
      </c>
      <c r="V1326" s="46" t="s">
        <v>1388</v>
      </c>
      <c r="W1326" s="46" t="s">
        <v>1719</v>
      </c>
      <c r="X1326" s="46" t="s">
        <v>1388</v>
      </c>
      <c r="Y1326" s="46" t="s">
        <v>1388</v>
      </c>
      <c r="Z1326" s="28">
        <v>1.21</v>
      </c>
      <c r="AA1326" s="326"/>
      <c r="AB1326" s="326"/>
      <c r="AC1326" s="28" t="s">
        <v>450</v>
      </c>
      <c r="AG1326" s="28" t="s">
        <v>1348</v>
      </c>
      <c r="AH1326" s="28" t="s">
        <v>131</v>
      </c>
      <c r="AI1326" s="138" t="s">
        <v>131</v>
      </c>
      <c r="AJ1326" s="28" t="s">
        <v>132</v>
      </c>
      <c r="AK1326" s="141" t="s">
        <v>132</v>
      </c>
      <c r="AO1326" s="28" t="s">
        <v>156</v>
      </c>
      <c r="AP1326" s="28" t="s">
        <v>156</v>
      </c>
      <c r="AQ1326" s="28" t="s">
        <v>2126</v>
      </c>
      <c r="AR1326" s="28" t="s">
        <v>2126</v>
      </c>
      <c r="AS1326" s="28" t="s">
        <v>177</v>
      </c>
      <c r="AT1326" s="28" t="s">
        <v>898</v>
      </c>
      <c r="AU1326" s="28">
        <v>0</v>
      </c>
      <c r="AV1326" s="28" t="s">
        <v>502</v>
      </c>
      <c r="AW1326" s="28" t="s">
        <v>160</v>
      </c>
      <c r="AX1326" s="28">
        <v>4</v>
      </c>
      <c r="AZ1326" s="28" t="s">
        <v>141</v>
      </c>
      <c r="BE1326" s="28" t="s">
        <v>899</v>
      </c>
      <c r="BK1326" s="28">
        <v>7997</v>
      </c>
      <c r="BL1326" s="28">
        <v>7827</v>
      </c>
      <c r="BP1326" s="401">
        <v>1.208</v>
      </c>
      <c r="BQ1326" s="401">
        <v>1.22</v>
      </c>
      <c r="BU1326" s="401">
        <v>3.2054794520547949</v>
      </c>
      <c r="BV1326" s="401">
        <v>3.4246575342465757</v>
      </c>
      <c r="BZ1326" s="28">
        <f t="shared" ref="BZ1326:CA1328" si="252">BU1326/0.073</f>
        <v>43.910677425408153</v>
      </c>
      <c r="CA1326" s="28">
        <f t="shared" si="252"/>
        <v>46.913116907487343</v>
      </c>
      <c r="CD1326" s="28" t="s">
        <v>905</v>
      </c>
      <c r="CE1326" s="401">
        <v>43.910677425408153</v>
      </c>
      <c r="CF1326" s="401">
        <v>46.913116907487343</v>
      </c>
      <c r="CG1326" s="554"/>
      <c r="CH1326" s="554"/>
      <c r="CI1326" s="28" t="s">
        <v>4548</v>
      </c>
      <c r="DS1326" s="28">
        <v>55.21</v>
      </c>
      <c r="DT1326" s="28">
        <v>66.87</v>
      </c>
      <c r="DW1326" s="28" t="s">
        <v>902</v>
      </c>
      <c r="DX1326" s="28">
        <v>7.05</v>
      </c>
      <c r="DY1326" s="28">
        <v>4.03</v>
      </c>
      <c r="EB1326" s="28" t="s">
        <v>913</v>
      </c>
      <c r="EH1326" s="28">
        <f>0.87*3600</f>
        <v>3132</v>
      </c>
      <c r="EI1326" s="28">
        <f>2.3*3600</f>
        <v>8280</v>
      </c>
      <c r="EL1326" s="28" t="s">
        <v>909</v>
      </c>
      <c r="EM1326" s="28">
        <f>0.083*360</f>
        <v>29.880000000000003</v>
      </c>
      <c r="EN1326" s="28">
        <f>0.0097*360</f>
        <v>3.492</v>
      </c>
      <c r="EQ1326" s="28" t="s">
        <v>912</v>
      </c>
    </row>
    <row r="1327" spans="1:264" s="28" customFormat="1" x14ac:dyDescent="0.25">
      <c r="A1327" s="28">
        <v>60</v>
      </c>
      <c r="B1327" s="46" t="s">
        <v>4423</v>
      </c>
      <c r="C1327" s="28" t="s">
        <v>894</v>
      </c>
      <c r="D1327" s="28" t="s">
        <v>895</v>
      </c>
      <c r="E1327" s="28">
        <v>2012</v>
      </c>
      <c r="F1327" s="28">
        <v>2005</v>
      </c>
      <c r="G1327" s="28" t="s">
        <v>151</v>
      </c>
      <c r="H1327" s="28" t="s">
        <v>897</v>
      </c>
      <c r="I1327" s="32" t="s">
        <v>2815</v>
      </c>
      <c r="J1327" s="28">
        <f t="shared" si="250"/>
        <v>39.233333333333334</v>
      </c>
      <c r="K1327" s="28">
        <f t="shared" si="251"/>
        <v>-76.916666666666671</v>
      </c>
      <c r="L1327" s="28">
        <v>109.2</v>
      </c>
      <c r="R1327" s="46" t="s">
        <v>1931</v>
      </c>
      <c r="S1327" s="46" t="s">
        <v>1917</v>
      </c>
      <c r="T1327" s="46" t="s">
        <v>864</v>
      </c>
      <c r="U1327" s="46" t="s">
        <v>1988</v>
      </c>
      <c r="V1327" s="46" t="s">
        <v>1388</v>
      </c>
      <c r="W1327" s="46" t="s">
        <v>1719</v>
      </c>
      <c r="X1327" s="46" t="s">
        <v>1388</v>
      </c>
      <c r="Y1327" s="46" t="s">
        <v>1388</v>
      </c>
      <c r="Z1327" s="28">
        <v>1.21</v>
      </c>
      <c r="AA1327" s="326"/>
      <c r="AB1327" s="326"/>
      <c r="AC1327" s="28" t="s">
        <v>450</v>
      </c>
      <c r="AG1327" s="28" t="s">
        <v>1348</v>
      </c>
      <c r="AH1327" s="28" t="s">
        <v>131</v>
      </c>
      <c r="AI1327" s="138" t="s">
        <v>131</v>
      </c>
      <c r="AJ1327" s="28" t="s">
        <v>132</v>
      </c>
      <c r="AK1327" s="141" t="s">
        <v>132</v>
      </c>
      <c r="AO1327" s="28" t="s">
        <v>156</v>
      </c>
      <c r="AP1327" s="28" t="s">
        <v>156</v>
      </c>
      <c r="AQ1327" s="28" t="s">
        <v>2126</v>
      </c>
      <c r="AR1327" s="28" t="s">
        <v>2126</v>
      </c>
      <c r="AS1327" s="28" t="s">
        <v>177</v>
      </c>
      <c r="AT1327" s="28" t="s">
        <v>898</v>
      </c>
      <c r="AU1327" s="28">
        <v>0</v>
      </c>
      <c r="AV1327" s="28" t="s">
        <v>502</v>
      </c>
      <c r="AW1327" s="28" t="s">
        <v>160</v>
      </c>
      <c r="AX1327" s="28">
        <v>4</v>
      </c>
      <c r="AZ1327" s="28" t="s">
        <v>141</v>
      </c>
      <c r="BE1327" s="28" t="s">
        <v>900</v>
      </c>
      <c r="BK1327" s="28">
        <v>7997</v>
      </c>
      <c r="BL1327" s="28">
        <v>7827</v>
      </c>
      <c r="BP1327" s="401">
        <v>1.208</v>
      </c>
      <c r="BQ1327" s="401">
        <v>1.22</v>
      </c>
      <c r="BU1327" s="401">
        <v>3.2602739726027399</v>
      </c>
      <c r="BV1327" s="401">
        <v>3.4246575342465757</v>
      </c>
      <c r="BZ1327" s="28">
        <f t="shared" si="252"/>
        <v>44.661287295927949</v>
      </c>
      <c r="CA1327" s="28">
        <f t="shared" si="252"/>
        <v>46.913116907487343</v>
      </c>
      <c r="CD1327" s="28" t="s">
        <v>905</v>
      </c>
      <c r="CE1327" s="401">
        <v>44.661287295927949</v>
      </c>
      <c r="CF1327" s="401">
        <v>46.913116907487343</v>
      </c>
      <c r="CG1327" s="554"/>
      <c r="CH1327" s="554"/>
      <c r="CI1327" s="28" t="s">
        <v>4548</v>
      </c>
      <c r="DS1327" s="28">
        <v>24.64</v>
      </c>
      <c r="DT1327" s="28">
        <v>33.200000000000003</v>
      </c>
      <c r="DW1327" s="28" t="s">
        <v>902</v>
      </c>
      <c r="DX1327" s="28">
        <v>2.64</v>
      </c>
      <c r="DY1327" s="28">
        <v>9.4600000000000009</v>
      </c>
      <c r="EB1327" s="28" t="s">
        <v>913</v>
      </c>
      <c r="EH1327" s="28">
        <f>2.32*3600</f>
        <v>8352</v>
      </c>
      <c r="EI1327" s="28">
        <f>4.5*3600</f>
        <v>16200</v>
      </c>
      <c r="EL1327" s="28" t="s">
        <v>909</v>
      </c>
      <c r="EM1327" s="28">
        <f>0.109*360</f>
        <v>39.24</v>
      </c>
      <c r="EN1327" s="28">
        <f>0.119*360</f>
        <v>42.839999999999996</v>
      </c>
      <c r="EQ1327" s="28" t="s">
        <v>912</v>
      </c>
    </row>
    <row r="1328" spans="1:264" s="28" customFormat="1" x14ac:dyDescent="0.25">
      <c r="A1328" s="28">
        <v>60</v>
      </c>
      <c r="B1328" s="46" t="s">
        <v>4423</v>
      </c>
      <c r="C1328" s="28" t="s">
        <v>894</v>
      </c>
      <c r="D1328" s="28" t="s">
        <v>895</v>
      </c>
      <c r="E1328" s="28">
        <v>2012</v>
      </c>
      <c r="F1328" s="28">
        <v>2006</v>
      </c>
      <c r="G1328" s="28" t="s">
        <v>151</v>
      </c>
      <c r="H1328" s="28" t="s">
        <v>897</v>
      </c>
      <c r="I1328" s="32" t="s">
        <v>2815</v>
      </c>
      <c r="J1328" s="28">
        <f t="shared" si="250"/>
        <v>39.233333333333334</v>
      </c>
      <c r="K1328" s="28">
        <f t="shared" si="251"/>
        <v>-76.916666666666671</v>
      </c>
      <c r="L1328" s="28">
        <v>109.2</v>
      </c>
      <c r="R1328" s="46" t="s">
        <v>1917</v>
      </c>
      <c r="S1328" s="46" t="s">
        <v>1917</v>
      </c>
      <c r="T1328" s="46" t="s">
        <v>864</v>
      </c>
      <c r="U1328" s="46" t="s">
        <v>1988</v>
      </c>
      <c r="V1328" s="46" t="s">
        <v>1388</v>
      </c>
      <c r="W1328" s="46" t="s">
        <v>1719</v>
      </c>
      <c r="X1328" s="46" t="s">
        <v>1388</v>
      </c>
      <c r="Y1328" s="46" t="s">
        <v>1388</v>
      </c>
      <c r="Z1328" s="28">
        <v>1.21</v>
      </c>
      <c r="AA1328" s="326"/>
      <c r="AB1328" s="326"/>
      <c r="AC1328" s="28" t="s">
        <v>450</v>
      </c>
      <c r="AG1328" s="28" t="s">
        <v>1348</v>
      </c>
      <c r="AH1328" s="28" t="s">
        <v>131</v>
      </c>
      <c r="AI1328" s="138" t="s">
        <v>131</v>
      </c>
      <c r="AJ1328" s="28" t="s">
        <v>132</v>
      </c>
      <c r="AK1328" s="141" t="s">
        <v>132</v>
      </c>
      <c r="AO1328" s="28" t="s">
        <v>156</v>
      </c>
      <c r="AP1328" s="28" t="s">
        <v>156</v>
      </c>
      <c r="AQ1328" s="28" t="s">
        <v>2126</v>
      </c>
      <c r="AR1328" s="28" t="s">
        <v>2126</v>
      </c>
      <c r="AS1328" s="28" t="s">
        <v>177</v>
      </c>
      <c r="AT1328" s="28" t="s">
        <v>898</v>
      </c>
      <c r="AU1328" s="28">
        <v>0</v>
      </c>
      <c r="AV1328" s="28" t="s">
        <v>502</v>
      </c>
      <c r="AW1328" s="28" t="s">
        <v>160</v>
      </c>
      <c r="AX1328" s="28">
        <v>4</v>
      </c>
      <c r="AZ1328" s="28" t="s">
        <v>141</v>
      </c>
      <c r="BE1328" s="28" t="s">
        <v>899</v>
      </c>
      <c r="BK1328" s="28">
        <v>7997</v>
      </c>
      <c r="BL1328" s="28">
        <v>7827</v>
      </c>
      <c r="BP1328" s="401">
        <v>1.206</v>
      </c>
      <c r="BQ1328" s="401">
        <v>1.1599999999999999</v>
      </c>
      <c r="BU1328" s="401">
        <v>3.2191780821917808</v>
      </c>
      <c r="BV1328" s="401">
        <v>3.2191780821917808</v>
      </c>
      <c r="BZ1328" s="28">
        <f t="shared" si="252"/>
        <v>44.098329893038098</v>
      </c>
      <c r="CA1328" s="28">
        <f t="shared" si="252"/>
        <v>44.098329893038098</v>
      </c>
      <c r="CD1328" s="28" t="s">
        <v>905</v>
      </c>
      <c r="CE1328" s="401">
        <v>44.098329893038098</v>
      </c>
      <c r="CF1328" s="401">
        <v>44.098329893038098</v>
      </c>
      <c r="CG1328" s="554"/>
      <c r="CH1328" s="554"/>
      <c r="CI1328" s="28" t="s">
        <v>4548</v>
      </c>
      <c r="DS1328" s="28">
        <v>39.31</v>
      </c>
      <c r="DT1328" s="28">
        <v>44.1</v>
      </c>
      <c r="DW1328" s="28" t="s">
        <v>902</v>
      </c>
      <c r="DX1328" s="28">
        <v>7.02</v>
      </c>
      <c r="DY1328" s="28">
        <v>3.42</v>
      </c>
      <c r="EB1328" s="28" t="s">
        <v>913</v>
      </c>
    </row>
    <row r="1329" spans="1:262" s="92" customFormat="1" x14ac:dyDescent="0.25">
      <c r="A1329" s="92">
        <v>60</v>
      </c>
      <c r="B1329" s="46" t="s">
        <v>4424</v>
      </c>
      <c r="C1329" s="92" t="s">
        <v>894</v>
      </c>
      <c r="D1329" s="92" t="s">
        <v>895</v>
      </c>
      <c r="E1329" s="92">
        <v>2012</v>
      </c>
      <c r="F1329" s="92">
        <v>2005</v>
      </c>
      <c r="G1329" s="92" t="s">
        <v>151</v>
      </c>
      <c r="H1329" s="92" t="s">
        <v>897</v>
      </c>
      <c r="I1329" s="32" t="s">
        <v>2815</v>
      </c>
      <c r="J1329" s="92">
        <f t="shared" si="250"/>
        <v>39.233333333333334</v>
      </c>
      <c r="K1329" s="92">
        <f t="shared" si="251"/>
        <v>-76.916666666666671</v>
      </c>
      <c r="L1329" s="92">
        <v>109.2</v>
      </c>
      <c r="R1329" s="93" t="s">
        <v>1931</v>
      </c>
      <c r="S1329" s="93" t="s">
        <v>1917</v>
      </c>
      <c r="T1329" s="93" t="s">
        <v>864</v>
      </c>
      <c r="U1329" s="93" t="s">
        <v>1988</v>
      </c>
      <c r="V1329" s="93" t="s">
        <v>1388</v>
      </c>
      <c r="W1329" s="46" t="s">
        <v>1719</v>
      </c>
      <c r="X1329" s="93" t="s">
        <v>1388</v>
      </c>
      <c r="Y1329" s="93" t="s">
        <v>1388</v>
      </c>
      <c r="Z1329" s="92">
        <v>1.21</v>
      </c>
      <c r="AA1329" s="349"/>
      <c r="AB1329" s="349"/>
      <c r="AC1329" s="92" t="s">
        <v>450</v>
      </c>
      <c r="AG1329" s="92" t="s">
        <v>1348</v>
      </c>
      <c r="AH1329" s="92" t="s">
        <v>131</v>
      </c>
      <c r="AI1329" s="138" t="s">
        <v>131</v>
      </c>
      <c r="AJ1329" s="92" t="s">
        <v>132</v>
      </c>
      <c r="AK1329" s="144" t="s">
        <v>132</v>
      </c>
      <c r="AO1329" s="92" t="s">
        <v>156</v>
      </c>
      <c r="AP1329" s="92" t="s">
        <v>156</v>
      </c>
      <c r="AQ1329" s="28" t="s">
        <v>2126</v>
      </c>
      <c r="AR1329" s="28" t="s">
        <v>2126</v>
      </c>
      <c r="AS1329" s="92" t="s">
        <v>177</v>
      </c>
      <c r="AT1329" s="92" t="s">
        <v>898</v>
      </c>
      <c r="AU1329" s="92">
        <v>0</v>
      </c>
      <c r="AV1329" s="92" t="s">
        <v>502</v>
      </c>
      <c r="AW1329" s="92" t="s">
        <v>160</v>
      </c>
      <c r="AX1329" s="92">
        <v>4</v>
      </c>
      <c r="AZ1329" s="92" t="s">
        <v>141</v>
      </c>
      <c r="BE1329" s="92" t="s">
        <v>899</v>
      </c>
      <c r="BK1329" s="92">
        <v>7997</v>
      </c>
      <c r="BL1329" s="92">
        <v>7827</v>
      </c>
      <c r="BP1329" s="424">
        <v>1.2050000000000001</v>
      </c>
      <c r="BQ1329" s="424">
        <v>1.22</v>
      </c>
      <c r="BU1329" s="424">
        <v>5.9164383561643836</v>
      </c>
      <c r="BV1329" s="424">
        <v>6.0958904109589049</v>
      </c>
      <c r="CD1329" s="92" t="s">
        <v>1151</v>
      </c>
      <c r="CE1329" s="424">
        <v>5.9164383561643836</v>
      </c>
      <c r="CF1329" s="424">
        <v>6.0958904109589049</v>
      </c>
      <c r="CG1329" s="577"/>
      <c r="CH1329" s="577"/>
      <c r="CI1329" s="92" t="s">
        <v>4549</v>
      </c>
      <c r="DS1329" s="92">
        <v>73.38</v>
      </c>
      <c r="DT1329" s="92">
        <v>80.430000000000007</v>
      </c>
      <c r="DW1329" s="92" t="s">
        <v>901</v>
      </c>
      <c r="JB1329" s="92" t="s">
        <v>906</v>
      </c>
    </row>
    <row r="1330" spans="1:262" s="92" customFormat="1" x14ac:dyDescent="0.25">
      <c r="A1330" s="92">
        <v>60</v>
      </c>
      <c r="B1330" s="46" t="s">
        <v>4424</v>
      </c>
      <c r="C1330" s="92" t="s">
        <v>894</v>
      </c>
      <c r="D1330" s="92" t="s">
        <v>895</v>
      </c>
      <c r="E1330" s="92">
        <v>2012</v>
      </c>
      <c r="F1330" s="92">
        <v>2005</v>
      </c>
      <c r="G1330" s="92" t="s">
        <v>151</v>
      </c>
      <c r="H1330" s="92" t="s">
        <v>897</v>
      </c>
      <c r="I1330" s="32" t="s">
        <v>2815</v>
      </c>
      <c r="J1330" s="92">
        <f t="shared" si="250"/>
        <v>39.233333333333334</v>
      </c>
      <c r="K1330" s="92">
        <f t="shared" si="251"/>
        <v>-76.916666666666671</v>
      </c>
      <c r="L1330" s="92">
        <v>109.2</v>
      </c>
      <c r="R1330" s="93" t="s">
        <v>1931</v>
      </c>
      <c r="S1330" s="93" t="s">
        <v>1917</v>
      </c>
      <c r="T1330" s="93" t="s">
        <v>864</v>
      </c>
      <c r="U1330" s="93" t="s">
        <v>1988</v>
      </c>
      <c r="V1330" s="93" t="s">
        <v>1388</v>
      </c>
      <c r="W1330" s="46" t="s">
        <v>1719</v>
      </c>
      <c r="X1330" s="93" t="s">
        <v>1388</v>
      </c>
      <c r="Y1330" s="93" t="s">
        <v>1388</v>
      </c>
      <c r="Z1330" s="92">
        <v>1.21</v>
      </c>
      <c r="AA1330" s="349"/>
      <c r="AB1330" s="349"/>
      <c r="AC1330" s="92" t="s">
        <v>450</v>
      </c>
      <c r="AG1330" s="92" t="s">
        <v>1348</v>
      </c>
      <c r="AH1330" s="92" t="s">
        <v>131</v>
      </c>
      <c r="AI1330" s="138" t="s">
        <v>131</v>
      </c>
      <c r="AJ1330" s="92" t="s">
        <v>132</v>
      </c>
      <c r="AK1330" s="144" t="s">
        <v>132</v>
      </c>
      <c r="AO1330" s="92" t="s">
        <v>156</v>
      </c>
      <c r="AP1330" s="92" t="s">
        <v>156</v>
      </c>
      <c r="AQ1330" s="28" t="s">
        <v>2126</v>
      </c>
      <c r="AR1330" s="28" t="s">
        <v>2126</v>
      </c>
      <c r="AS1330" s="92" t="s">
        <v>177</v>
      </c>
      <c r="AT1330" s="92" t="s">
        <v>898</v>
      </c>
      <c r="AU1330" s="92">
        <v>0</v>
      </c>
      <c r="AV1330" s="92" t="s">
        <v>502</v>
      </c>
      <c r="AW1330" s="92" t="s">
        <v>160</v>
      </c>
      <c r="AX1330" s="92">
        <v>4</v>
      </c>
      <c r="AZ1330" s="92" t="s">
        <v>141</v>
      </c>
      <c r="BE1330" s="92" t="s">
        <v>900</v>
      </c>
      <c r="BK1330" s="92">
        <v>7997</v>
      </c>
      <c r="BL1330" s="92">
        <v>7827</v>
      </c>
      <c r="BP1330" s="424">
        <v>1.2050000000000001</v>
      </c>
      <c r="BQ1330" s="424">
        <v>1.22</v>
      </c>
      <c r="BU1330" s="424">
        <v>6.6698630136986301</v>
      </c>
      <c r="BV1330" s="424">
        <v>7.0287671232876718</v>
      </c>
      <c r="CD1330" s="92" t="s">
        <v>1151</v>
      </c>
      <c r="CE1330" s="424">
        <v>6.6698630136986301</v>
      </c>
      <c r="CF1330" s="424">
        <v>7.0287671232876718</v>
      </c>
      <c r="CG1330" s="577"/>
      <c r="CH1330" s="577"/>
      <c r="CI1330" s="92" t="s">
        <v>4549</v>
      </c>
      <c r="DS1330" s="92">
        <v>51.65</v>
      </c>
      <c r="DT1330" s="92">
        <v>59.7</v>
      </c>
      <c r="DW1330" s="92" t="s">
        <v>901</v>
      </c>
      <c r="JB1330" s="92" t="s">
        <v>906</v>
      </c>
    </row>
    <row r="1331" spans="1:262" s="92" customFormat="1" x14ac:dyDescent="0.25">
      <c r="A1331" s="92">
        <v>60</v>
      </c>
      <c r="B1331" s="46" t="s">
        <v>4424</v>
      </c>
      <c r="C1331" s="92" t="s">
        <v>894</v>
      </c>
      <c r="D1331" s="92" t="s">
        <v>895</v>
      </c>
      <c r="E1331" s="92">
        <v>2012</v>
      </c>
      <c r="F1331" s="92">
        <v>2006</v>
      </c>
      <c r="G1331" s="92" t="s">
        <v>151</v>
      </c>
      <c r="H1331" s="92" t="s">
        <v>897</v>
      </c>
      <c r="I1331" s="32" t="s">
        <v>2815</v>
      </c>
      <c r="J1331" s="92">
        <f t="shared" si="250"/>
        <v>39.233333333333334</v>
      </c>
      <c r="K1331" s="92">
        <f t="shared" si="251"/>
        <v>-76.916666666666671</v>
      </c>
      <c r="L1331" s="92">
        <v>109.2</v>
      </c>
      <c r="R1331" s="93" t="s">
        <v>1917</v>
      </c>
      <c r="S1331" s="93" t="s">
        <v>1917</v>
      </c>
      <c r="T1331" s="93" t="s">
        <v>864</v>
      </c>
      <c r="U1331" s="93" t="s">
        <v>1988</v>
      </c>
      <c r="V1331" s="93" t="s">
        <v>1388</v>
      </c>
      <c r="W1331" s="46" t="s">
        <v>1719</v>
      </c>
      <c r="X1331" s="93" t="s">
        <v>1388</v>
      </c>
      <c r="Y1331" s="93" t="s">
        <v>1388</v>
      </c>
      <c r="Z1331" s="92">
        <v>1.21</v>
      </c>
      <c r="AA1331" s="349"/>
      <c r="AB1331" s="349"/>
      <c r="AC1331" s="92" t="s">
        <v>450</v>
      </c>
      <c r="AG1331" s="92" t="s">
        <v>1348</v>
      </c>
      <c r="AH1331" s="92" t="s">
        <v>131</v>
      </c>
      <c r="AI1331" s="138" t="s">
        <v>131</v>
      </c>
      <c r="AJ1331" s="92" t="s">
        <v>132</v>
      </c>
      <c r="AK1331" s="144" t="s">
        <v>132</v>
      </c>
      <c r="AO1331" s="92" t="s">
        <v>156</v>
      </c>
      <c r="AP1331" s="92" t="s">
        <v>156</v>
      </c>
      <c r="AQ1331" s="28" t="s">
        <v>2126</v>
      </c>
      <c r="AR1331" s="28" t="s">
        <v>2126</v>
      </c>
      <c r="AS1331" s="92" t="s">
        <v>177</v>
      </c>
      <c r="AT1331" s="92" t="s">
        <v>898</v>
      </c>
      <c r="AU1331" s="92">
        <v>0</v>
      </c>
      <c r="AV1331" s="92" t="s">
        <v>502</v>
      </c>
      <c r="AW1331" s="92" t="s">
        <v>160</v>
      </c>
      <c r="AX1331" s="92">
        <v>4</v>
      </c>
      <c r="AZ1331" s="92" t="s">
        <v>141</v>
      </c>
      <c r="BE1331" s="92" t="s">
        <v>899</v>
      </c>
      <c r="BK1331" s="92">
        <v>7997</v>
      </c>
      <c r="BL1331" s="92">
        <v>7827</v>
      </c>
      <c r="BP1331" s="424">
        <v>1.2050000000000001</v>
      </c>
      <c r="BQ1331" s="424">
        <v>1.22</v>
      </c>
      <c r="BU1331" s="424">
        <v>5.5712328767123296</v>
      </c>
      <c r="BV1331" s="424">
        <v>6.3589041095890417</v>
      </c>
      <c r="CD1331" s="92" t="s">
        <v>1151</v>
      </c>
      <c r="CE1331" s="424">
        <v>5.5712328767123296</v>
      </c>
      <c r="CF1331" s="424">
        <v>6.3589041095890417</v>
      </c>
      <c r="CG1331" s="577"/>
      <c r="CH1331" s="577"/>
      <c r="CI1331" s="92" t="s">
        <v>4549</v>
      </c>
      <c r="DS1331" s="92">
        <v>64.8</v>
      </c>
      <c r="DT1331" s="92">
        <v>68.16</v>
      </c>
      <c r="DW1331" s="92" t="s">
        <v>901</v>
      </c>
      <c r="JB1331" s="92" t="s">
        <v>906</v>
      </c>
    </row>
    <row r="1332" spans="1:262" s="40" customFormat="1" x14ac:dyDescent="0.25">
      <c r="A1332" s="40">
        <v>61</v>
      </c>
      <c r="B1332" s="71" t="s">
        <v>4031</v>
      </c>
      <c r="C1332" s="40" t="s">
        <v>919</v>
      </c>
      <c r="D1332" s="40" t="s">
        <v>920</v>
      </c>
      <c r="E1332" s="40">
        <v>2003</v>
      </c>
      <c r="F1332" s="40">
        <v>2000</v>
      </c>
      <c r="G1332" s="40" t="s">
        <v>921</v>
      </c>
      <c r="H1332" s="40" t="s">
        <v>922</v>
      </c>
      <c r="I1332" s="32" t="s">
        <v>2815</v>
      </c>
      <c r="J1332" s="40">
        <v>38.74</v>
      </c>
      <c r="K1332" s="40">
        <v>-87.49</v>
      </c>
      <c r="L1332" s="40">
        <v>130</v>
      </c>
      <c r="O1332" s="40">
        <v>143.9</v>
      </c>
      <c r="R1332" s="71">
        <v>1</v>
      </c>
      <c r="S1332" s="71" t="s">
        <v>1728</v>
      </c>
      <c r="T1332" s="71" t="s">
        <v>864</v>
      </c>
      <c r="U1332" s="71" t="s">
        <v>926</v>
      </c>
      <c r="V1332" s="71" t="s">
        <v>1382</v>
      </c>
      <c r="W1332" s="71" t="s">
        <v>1717</v>
      </c>
      <c r="X1332" s="71" t="s">
        <v>1382</v>
      </c>
      <c r="Y1332" s="71" t="s">
        <v>1382</v>
      </c>
      <c r="Z1332" s="40">
        <v>1.44</v>
      </c>
      <c r="AA1332" s="341"/>
      <c r="AB1332" s="341"/>
      <c r="AC1332" s="40" t="s">
        <v>450</v>
      </c>
      <c r="AG1332" s="40" t="s">
        <v>1324</v>
      </c>
      <c r="AH1332" s="40" t="s">
        <v>1527</v>
      </c>
      <c r="AI1332" s="138" t="s">
        <v>1581</v>
      </c>
      <c r="AJ1332" s="40" t="s">
        <v>158</v>
      </c>
      <c r="AK1332" s="140" t="s">
        <v>1611</v>
      </c>
      <c r="AL1332" s="40" t="s">
        <v>942</v>
      </c>
      <c r="AM1332" s="40" t="s">
        <v>942</v>
      </c>
      <c r="AN1332" s="40" t="s">
        <v>177</v>
      </c>
      <c r="AO1332" s="40" t="s">
        <v>231</v>
      </c>
      <c r="AP1332" s="40" t="s">
        <v>231</v>
      </c>
      <c r="AQ1332" s="40" t="s">
        <v>2125</v>
      </c>
      <c r="AR1332" s="40" t="s">
        <v>2125</v>
      </c>
      <c r="AS1332" s="40" t="s">
        <v>177</v>
      </c>
      <c r="AW1332" s="40" t="s">
        <v>160</v>
      </c>
      <c r="AX1332" s="40">
        <v>4</v>
      </c>
      <c r="AZ1332" s="40" t="s">
        <v>141</v>
      </c>
      <c r="BB1332" s="40">
        <v>1027</v>
      </c>
      <c r="BD1332" s="40" t="s">
        <v>924</v>
      </c>
      <c r="BP1332" s="416">
        <v>1.4</v>
      </c>
      <c r="BQ1332" s="416">
        <v>1.36</v>
      </c>
      <c r="BU1332" s="416"/>
      <c r="BV1332" s="416"/>
      <c r="CE1332" s="569"/>
      <c r="CF1332" s="569"/>
      <c r="CG1332" s="569"/>
      <c r="CH1332" s="569"/>
      <c r="DS1332" s="40">
        <v>1.65</v>
      </c>
      <c r="DT1332" s="40">
        <v>1.95</v>
      </c>
      <c r="DW1332" s="40" t="s">
        <v>930</v>
      </c>
      <c r="DX1332" s="40">
        <v>49.1</v>
      </c>
      <c r="DY1332" s="40">
        <v>51.25</v>
      </c>
      <c r="EB1332" s="40" t="s">
        <v>928</v>
      </c>
      <c r="EC1332" s="40">
        <v>4.931E-2</v>
      </c>
      <c r="ED1332" s="40">
        <v>4.897E-2</v>
      </c>
      <c r="EG1332" s="40" t="s">
        <v>943</v>
      </c>
      <c r="EH1332" s="40">
        <v>12.6</v>
      </c>
      <c r="EI1332" s="40">
        <v>17.399999999999999</v>
      </c>
      <c r="EL1332" s="40" t="s">
        <v>931</v>
      </c>
      <c r="EM1332" s="40">
        <v>75</v>
      </c>
      <c r="EN1332" s="40">
        <v>150.6</v>
      </c>
      <c r="FL1332" s="40">
        <f>30/1.44</f>
        <v>20.833333333333336</v>
      </c>
      <c r="FM1332" s="40">
        <f>33.4/1.44</f>
        <v>23.194444444444443</v>
      </c>
      <c r="FP1332" s="40" t="s">
        <v>933</v>
      </c>
      <c r="JB1332" s="40" t="s">
        <v>941</v>
      </c>
    </row>
    <row r="1333" spans="1:262" s="40" customFormat="1" x14ac:dyDescent="0.25">
      <c r="A1333" s="40">
        <v>61</v>
      </c>
      <c r="B1333" s="71" t="s">
        <v>4032</v>
      </c>
      <c r="C1333" s="40" t="s">
        <v>919</v>
      </c>
      <c r="D1333" s="40" t="s">
        <v>920</v>
      </c>
      <c r="E1333" s="40">
        <v>2003</v>
      </c>
      <c r="F1333" s="40">
        <v>2000</v>
      </c>
      <c r="G1333" s="40" t="s">
        <v>921</v>
      </c>
      <c r="H1333" s="40" t="s">
        <v>922</v>
      </c>
      <c r="I1333" s="32" t="s">
        <v>2815</v>
      </c>
      <c r="J1333" s="40">
        <v>38.74</v>
      </c>
      <c r="K1333" s="40">
        <v>-87.49</v>
      </c>
      <c r="L1333" s="40">
        <v>130</v>
      </c>
      <c r="O1333" s="40">
        <v>143.9</v>
      </c>
      <c r="R1333" s="71">
        <v>1</v>
      </c>
      <c r="S1333" s="71" t="s">
        <v>1728</v>
      </c>
      <c r="T1333" s="71" t="s">
        <v>864</v>
      </c>
      <c r="U1333" s="71" t="s">
        <v>926</v>
      </c>
      <c r="V1333" s="71" t="s">
        <v>1382</v>
      </c>
      <c r="W1333" s="71" t="s">
        <v>1717</v>
      </c>
      <c r="X1333" s="71" t="s">
        <v>1382</v>
      </c>
      <c r="Y1333" s="71" t="s">
        <v>1382</v>
      </c>
      <c r="Z1333" s="40">
        <v>1.44</v>
      </c>
      <c r="AA1333" s="341"/>
      <c r="AB1333" s="341"/>
      <c r="AC1333" s="40" t="s">
        <v>450</v>
      </c>
      <c r="AG1333" s="40" t="s">
        <v>1324</v>
      </c>
      <c r="AH1333" s="40" t="s">
        <v>1527</v>
      </c>
      <c r="AI1333" s="138" t="s">
        <v>1581</v>
      </c>
      <c r="AJ1333" s="40" t="s">
        <v>132</v>
      </c>
      <c r="AK1333" s="140" t="s">
        <v>1611</v>
      </c>
      <c r="AL1333" s="40" t="s">
        <v>942</v>
      </c>
      <c r="AM1333" s="40" t="s">
        <v>942</v>
      </c>
      <c r="AN1333" s="40" t="s">
        <v>177</v>
      </c>
      <c r="AO1333" s="40" t="s">
        <v>231</v>
      </c>
      <c r="AP1333" s="40" t="s">
        <v>231</v>
      </c>
      <c r="AQ1333" s="40" t="s">
        <v>2125</v>
      </c>
      <c r="AR1333" s="40" t="s">
        <v>2125</v>
      </c>
      <c r="AS1333" s="40" t="s">
        <v>177</v>
      </c>
      <c r="AW1333" s="40" t="s">
        <v>160</v>
      </c>
      <c r="AX1333" s="40">
        <v>4</v>
      </c>
      <c r="AZ1333" s="40" t="s">
        <v>141</v>
      </c>
      <c r="BB1333" s="40">
        <v>895</v>
      </c>
      <c r="BD1333" s="40" t="s">
        <v>925</v>
      </c>
      <c r="BP1333" s="416">
        <v>1.4</v>
      </c>
      <c r="BQ1333" s="416">
        <v>1.34</v>
      </c>
      <c r="BU1333" s="416"/>
      <c r="BV1333" s="416"/>
      <c r="CE1333" s="569"/>
      <c r="CF1333" s="569"/>
      <c r="CG1333" s="569"/>
      <c r="CH1333" s="569"/>
      <c r="DS1333" s="40">
        <v>1.65</v>
      </c>
      <c r="DT1333" s="40">
        <v>2.59</v>
      </c>
      <c r="DW1333" s="40" t="s">
        <v>930</v>
      </c>
      <c r="DX1333" s="40">
        <v>49.1</v>
      </c>
      <c r="DY1333" s="40">
        <v>50.33</v>
      </c>
      <c r="EB1333" s="40" t="s">
        <v>928</v>
      </c>
      <c r="EC1333" s="40">
        <v>4.623E-2</v>
      </c>
      <c r="ED1333" s="40">
        <v>4.3950000000000003E-2</v>
      </c>
      <c r="EG1333" s="40" t="s">
        <v>943</v>
      </c>
      <c r="EM1333" s="40">
        <v>75</v>
      </c>
      <c r="EN1333" s="40">
        <v>117</v>
      </c>
      <c r="FL1333" s="40">
        <f>30/1.44</f>
        <v>20.833333333333336</v>
      </c>
      <c r="FM1333" s="40">
        <f>34.1/1.44</f>
        <v>23.680555555555557</v>
      </c>
      <c r="FP1333" s="40" t="s">
        <v>933</v>
      </c>
      <c r="JB1333" s="40" t="s">
        <v>941</v>
      </c>
    </row>
    <row r="1334" spans="1:262" s="40" customFormat="1" x14ac:dyDescent="0.25">
      <c r="A1334" s="40">
        <v>61</v>
      </c>
      <c r="B1334" s="71" t="s">
        <v>4033</v>
      </c>
      <c r="C1334" s="40" t="s">
        <v>919</v>
      </c>
      <c r="D1334" s="40" t="s">
        <v>920</v>
      </c>
      <c r="E1334" s="40">
        <v>2003</v>
      </c>
      <c r="F1334" s="40">
        <v>2000</v>
      </c>
      <c r="G1334" s="40" t="s">
        <v>921</v>
      </c>
      <c r="H1334" s="40" t="s">
        <v>922</v>
      </c>
      <c r="I1334" s="32" t="s">
        <v>2815</v>
      </c>
      <c r="J1334" s="40">
        <v>38.74</v>
      </c>
      <c r="K1334" s="40">
        <v>-87.49</v>
      </c>
      <c r="L1334" s="40">
        <v>130</v>
      </c>
      <c r="O1334" s="40">
        <v>143.9</v>
      </c>
      <c r="R1334" s="71">
        <v>1</v>
      </c>
      <c r="S1334" s="71" t="s">
        <v>1728</v>
      </c>
      <c r="T1334" s="71" t="s">
        <v>864</v>
      </c>
      <c r="U1334" s="71" t="s">
        <v>926</v>
      </c>
      <c r="V1334" s="71" t="s">
        <v>1382</v>
      </c>
      <c r="W1334" s="71" t="s">
        <v>1717</v>
      </c>
      <c r="X1334" s="71" t="s">
        <v>1382</v>
      </c>
      <c r="Y1334" s="71" t="s">
        <v>1382</v>
      </c>
      <c r="Z1334" s="40">
        <v>1.44</v>
      </c>
      <c r="AA1334" s="341"/>
      <c r="AB1334" s="341"/>
      <c r="AC1334" s="40" t="s">
        <v>450</v>
      </c>
      <c r="AG1334" s="40" t="s">
        <v>1324</v>
      </c>
      <c r="AH1334" s="40" t="s">
        <v>1527</v>
      </c>
      <c r="AI1334" s="138" t="s">
        <v>1581</v>
      </c>
      <c r="AJ1334" s="40" t="s">
        <v>158</v>
      </c>
      <c r="AK1334" s="140" t="s">
        <v>1611</v>
      </c>
      <c r="AL1334" s="40" t="s">
        <v>942</v>
      </c>
      <c r="AM1334" s="40" t="s">
        <v>942</v>
      </c>
      <c r="AN1334" s="40" t="s">
        <v>177</v>
      </c>
      <c r="AO1334" s="40" t="s">
        <v>156</v>
      </c>
      <c r="AP1334" s="40" t="s">
        <v>156</v>
      </c>
      <c r="AQ1334" s="40" t="s">
        <v>2126</v>
      </c>
      <c r="AR1334" s="40" t="s">
        <v>2126</v>
      </c>
      <c r="AS1334" s="40" t="s">
        <v>177</v>
      </c>
      <c r="AW1334" s="40" t="s">
        <v>160</v>
      </c>
      <c r="AX1334" s="40">
        <v>4</v>
      </c>
      <c r="AZ1334" s="40" t="s">
        <v>141</v>
      </c>
      <c r="BB1334" s="40">
        <v>418</v>
      </c>
      <c r="BD1334" s="40" t="s">
        <v>924</v>
      </c>
      <c r="BP1334" s="416">
        <v>1.55</v>
      </c>
      <c r="BQ1334" s="416">
        <v>1.5</v>
      </c>
      <c r="BU1334" s="416"/>
      <c r="BV1334" s="416"/>
      <c r="CE1334" s="569"/>
      <c r="CF1334" s="569"/>
      <c r="CG1334" s="569"/>
      <c r="CH1334" s="569"/>
      <c r="DS1334" s="40">
        <v>1.48</v>
      </c>
      <c r="DT1334" s="40">
        <v>2.08</v>
      </c>
      <c r="DW1334" s="40" t="s">
        <v>930</v>
      </c>
      <c r="DX1334" s="40">
        <v>41.26</v>
      </c>
      <c r="DY1334" s="40">
        <v>42.24</v>
      </c>
      <c r="EB1334" s="40" t="s">
        <v>928</v>
      </c>
      <c r="EC1334" s="40">
        <v>4.931E-2</v>
      </c>
      <c r="ED1334" s="40">
        <v>6.1400000000000003E-2</v>
      </c>
      <c r="EG1334" s="40" t="s">
        <v>943</v>
      </c>
      <c r="EH1334" s="40">
        <v>18</v>
      </c>
      <c r="EI1334" s="40">
        <v>21.6</v>
      </c>
      <c r="EL1334" s="40" t="s">
        <v>931</v>
      </c>
      <c r="FL1334" s="40">
        <f>33.9/1.44</f>
        <v>23.541666666666668</v>
      </c>
      <c r="FM1334" s="40">
        <f>36/1.44</f>
        <v>25</v>
      </c>
      <c r="FP1334" s="40" t="s">
        <v>933</v>
      </c>
      <c r="JB1334" s="40" t="s">
        <v>941</v>
      </c>
    </row>
    <row r="1335" spans="1:262" s="40" customFormat="1" x14ac:dyDescent="0.25">
      <c r="A1335" s="40">
        <v>61</v>
      </c>
      <c r="B1335" s="71" t="s">
        <v>4034</v>
      </c>
      <c r="C1335" s="40" t="s">
        <v>919</v>
      </c>
      <c r="D1335" s="40" t="s">
        <v>920</v>
      </c>
      <c r="E1335" s="40">
        <v>2003</v>
      </c>
      <c r="F1335" s="40">
        <v>2000</v>
      </c>
      <c r="G1335" s="40" t="s">
        <v>921</v>
      </c>
      <c r="H1335" s="40" t="s">
        <v>922</v>
      </c>
      <c r="I1335" s="32" t="s">
        <v>2815</v>
      </c>
      <c r="J1335" s="40">
        <v>38.74</v>
      </c>
      <c r="K1335" s="40">
        <v>-87.49</v>
      </c>
      <c r="L1335" s="40">
        <v>130</v>
      </c>
      <c r="O1335" s="40">
        <v>143.9</v>
      </c>
      <c r="R1335" s="71">
        <v>1</v>
      </c>
      <c r="S1335" s="71" t="s">
        <v>1728</v>
      </c>
      <c r="T1335" s="71" t="s">
        <v>864</v>
      </c>
      <c r="U1335" s="71" t="s">
        <v>926</v>
      </c>
      <c r="V1335" s="71" t="s">
        <v>1382</v>
      </c>
      <c r="W1335" s="71" t="s">
        <v>1717</v>
      </c>
      <c r="X1335" s="71" t="s">
        <v>1382</v>
      </c>
      <c r="Y1335" s="71" t="s">
        <v>1382</v>
      </c>
      <c r="Z1335" s="40">
        <v>1.44</v>
      </c>
      <c r="AA1335" s="341"/>
      <c r="AB1335" s="341"/>
      <c r="AC1335" s="40" t="s">
        <v>450</v>
      </c>
      <c r="AG1335" s="40" t="s">
        <v>1324</v>
      </c>
      <c r="AH1335" s="40" t="s">
        <v>1527</v>
      </c>
      <c r="AI1335" s="138" t="s">
        <v>1581</v>
      </c>
      <c r="AJ1335" s="40" t="s">
        <v>132</v>
      </c>
      <c r="AK1335" s="140" t="s">
        <v>1611</v>
      </c>
      <c r="AL1335" s="40" t="s">
        <v>942</v>
      </c>
      <c r="AM1335" s="40" t="s">
        <v>942</v>
      </c>
      <c r="AN1335" s="40" t="s">
        <v>177</v>
      </c>
      <c r="AO1335" s="40" t="s">
        <v>156</v>
      </c>
      <c r="AP1335" s="40" t="s">
        <v>156</v>
      </c>
      <c r="AQ1335" s="40" t="s">
        <v>2126</v>
      </c>
      <c r="AR1335" s="40" t="s">
        <v>2126</v>
      </c>
      <c r="AS1335" s="40" t="s">
        <v>177</v>
      </c>
      <c r="AW1335" s="40" t="s">
        <v>160</v>
      </c>
      <c r="AX1335" s="40">
        <v>4</v>
      </c>
      <c r="AZ1335" s="40" t="s">
        <v>141</v>
      </c>
      <c r="BB1335" s="40">
        <v>743</v>
      </c>
      <c r="BD1335" s="40" t="s">
        <v>925</v>
      </c>
      <c r="BP1335" s="416">
        <v>1.55</v>
      </c>
      <c r="BQ1335" s="416">
        <v>1.48</v>
      </c>
      <c r="BU1335" s="416"/>
      <c r="BV1335" s="416"/>
      <c r="CE1335" s="569"/>
      <c r="CF1335" s="569"/>
      <c r="CG1335" s="569"/>
      <c r="CH1335" s="569"/>
      <c r="DS1335" s="40">
        <v>1.48</v>
      </c>
      <c r="DT1335" s="40">
        <v>2.7</v>
      </c>
      <c r="DW1335" s="40" t="s">
        <v>930</v>
      </c>
      <c r="DX1335" s="40">
        <v>41.26</v>
      </c>
      <c r="DY1335" s="40">
        <v>41.55</v>
      </c>
      <c r="EB1335" s="40" t="s">
        <v>928</v>
      </c>
      <c r="EC1335" s="40">
        <v>4.623E-2</v>
      </c>
      <c r="ED1335" s="40">
        <v>4.1669999999999999E-2</v>
      </c>
      <c r="EG1335" s="40" t="s">
        <v>943</v>
      </c>
      <c r="FL1335" s="40">
        <f>33.9/1.44</f>
        <v>23.541666666666668</v>
      </c>
      <c r="FM1335" s="40">
        <f>37.7/1.44</f>
        <v>26.180555555555557</v>
      </c>
      <c r="FP1335" s="40" t="s">
        <v>933</v>
      </c>
      <c r="JB1335" s="40" t="s">
        <v>941</v>
      </c>
    </row>
    <row r="1336" spans="1:262" s="40" customFormat="1" x14ac:dyDescent="0.25">
      <c r="A1336" s="40">
        <v>61</v>
      </c>
      <c r="B1336" s="71" t="s">
        <v>4031</v>
      </c>
      <c r="C1336" s="40" t="s">
        <v>919</v>
      </c>
      <c r="D1336" s="40" t="s">
        <v>920</v>
      </c>
      <c r="E1336" s="40">
        <v>2003</v>
      </c>
      <c r="F1336" s="40">
        <v>2000</v>
      </c>
      <c r="G1336" s="40" t="s">
        <v>921</v>
      </c>
      <c r="H1336" s="40" t="s">
        <v>922</v>
      </c>
      <c r="I1336" s="32" t="s">
        <v>2815</v>
      </c>
      <c r="J1336" s="40">
        <v>38.74</v>
      </c>
      <c r="K1336" s="40">
        <v>-87.49</v>
      </c>
      <c r="L1336" s="40">
        <v>130</v>
      </c>
      <c r="O1336" s="40">
        <v>143.9</v>
      </c>
      <c r="R1336" s="71">
        <v>1</v>
      </c>
      <c r="S1336" s="71" t="s">
        <v>1728</v>
      </c>
      <c r="T1336" s="71" t="s">
        <v>864</v>
      </c>
      <c r="U1336" s="71" t="s">
        <v>927</v>
      </c>
      <c r="V1336" s="71" t="s">
        <v>1382</v>
      </c>
      <c r="W1336" s="71" t="s">
        <v>1717</v>
      </c>
      <c r="X1336" s="71" t="s">
        <v>1382</v>
      </c>
      <c r="Y1336" s="71" t="s">
        <v>1382</v>
      </c>
      <c r="Z1336" s="40">
        <v>1.44</v>
      </c>
      <c r="AA1336" s="341"/>
      <c r="AB1336" s="341"/>
      <c r="AC1336" s="40" t="s">
        <v>450</v>
      </c>
      <c r="AG1336" s="40" t="s">
        <v>1324</v>
      </c>
      <c r="AH1336" s="40" t="s">
        <v>1527</v>
      </c>
      <c r="AI1336" s="138" t="s">
        <v>1581</v>
      </c>
      <c r="AJ1336" s="40" t="s">
        <v>158</v>
      </c>
      <c r="AK1336" s="140" t="s">
        <v>1611</v>
      </c>
      <c r="AL1336" s="40" t="s">
        <v>942</v>
      </c>
      <c r="AM1336" s="40" t="s">
        <v>942</v>
      </c>
      <c r="AN1336" s="40" t="s">
        <v>177</v>
      </c>
      <c r="AO1336" s="40" t="s">
        <v>231</v>
      </c>
      <c r="AP1336" s="40" t="s">
        <v>231</v>
      </c>
      <c r="AQ1336" s="40" t="s">
        <v>2125</v>
      </c>
      <c r="AR1336" s="40" t="s">
        <v>2125</v>
      </c>
      <c r="AS1336" s="40" t="s">
        <v>177</v>
      </c>
      <c r="AW1336" s="40" t="s">
        <v>160</v>
      </c>
      <c r="AX1336" s="40">
        <v>4</v>
      </c>
      <c r="AZ1336" s="40" t="s">
        <v>141</v>
      </c>
      <c r="BB1336" s="40">
        <v>3096</v>
      </c>
      <c r="BD1336" s="40" t="s">
        <v>924</v>
      </c>
      <c r="BP1336" s="416">
        <v>1.35</v>
      </c>
      <c r="BQ1336" s="416">
        <v>1.29</v>
      </c>
      <c r="BU1336" s="416"/>
      <c r="BV1336" s="416"/>
      <c r="CE1336" s="569"/>
      <c r="CF1336" s="569"/>
      <c r="CG1336" s="569"/>
      <c r="CH1336" s="569"/>
      <c r="DS1336" s="40">
        <v>2.38</v>
      </c>
      <c r="DT1336" s="40">
        <v>2.5</v>
      </c>
      <c r="DW1336" s="40" t="s">
        <v>930</v>
      </c>
      <c r="DX1336" s="40">
        <v>13.93</v>
      </c>
      <c r="DY1336" s="40">
        <v>15.24</v>
      </c>
      <c r="EB1336" s="40" t="s">
        <v>929</v>
      </c>
      <c r="EM1336" s="40">
        <v>58.2</v>
      </c>
      <c r="EN1336" s="40">
        <v>22.2</v>
      </c>
      <c r="FL1336" s="40">
        <f>26.5/1.44</f>
        <v>18.402777777777779</v>
      </c>
      <c r="FM1336" s="40">
        <f>29.1/1.44</f>
        <v>20.208333333333336</v>
      </c>
      <c r="FP1336" s="40" t="s">
        <v>934</v>
      </c>
      <c r="JB1336" s="40" t="s">
        <v>941</v>
      </c>
    </row>
    <row r="1337" spans="1:262" s="40" customFormat="1" x14ac:dyDescent="0.25">
      <c r="A1337" s="40">
        <v>61</v>
      </c>
      <c r="B1337" s="71" t="s">
        <v>4032</v>
      </c>
      <c r="C1337" s="40" t="s">
        <v>919</v>
      </c>
      <c r="D1337" s="40" t="s">
        <v>920</v>
      </c>
      <c r="E1337" s="40">
        <v>2003</v>
      </c>
      <c r="F1337" s="40">
        <v>2000</v>
      </c>
      <c r="G1337" s="40" t="s">
        <v>921</v>
      </c>
      <c r="H1337" s="40" t="s">
        <v>922</v>
      </c>
      <c r="I1337" s="32" t="s">
        <v>2815</v>
      </c>
      <c r="J1337" s="40">
        <v>38.74</v>
      </c>
      <c r="K1337" s="40">
        <v>-87.49</v>
      </c>
      <c r="L1337" s="40">
        <v>130</v>
      </c>
      <c r="O1337" s="40">
        <v>143.9</v>
      </c>
      <c r="R1337" s="71">
        <v>1</v>
      </c>
      <c r="S1337" s="71" t="s">
        <v>1728</v>
      </c>
      <c r="T1337" s="71" t="s">
        <v>864</v>
      </c>
      <c r="U1337" s="71" t="s">
        <v>927</v>
      </c>
      <c r="V1337" s="71" t="s">
        <v>1382</v>
      </c>
      <c r="W1337" s="71" t="s">
        <v>1717</v>
      </c>
      <c r="X1337" s="71" t="s">
        <v>1382</v>
      </c>
      <c r="Y1337" s="71" t="s">
        <v>1382</v>
      </c>
      <c r="Z1337" s="40">
        <v>1.44</v>
      </c>
      <c r="AA1337" s="341"/>
      <c r="AB1337" s="341"/>
      <c r="AC1337" s="40" t="s">
        <v>450</v>
      </c>
      <c r="AG1337" s="40" t="s">
        <v>1324</v>
      </c>
      <c r="AH1337" s="40" t="s">
        <v>1527</v>
      </c>
      <c r="AI1337" s="138" t="s">
        <v>1581</v>
      </c>
      <c r="AJ1337" s="40" t="s">
        <v>132</v>
      </c>
      <c r="AK1337" s="140" t="s">
        <v>1611</v>
      </c>
      <c r="AL1337" s="40" t="s">
        <v>942</v>
      </c>
      <c r="AM1337" s="40" t="s">
        <v>942</v>
      </c>
      <c r="AN1337" s="40" t="s">
        <v>177</v>
      </c>
      <c r="AO1337" s="40" t="s">
        <v>231</v>
      </c>
      <c r="AP1337" s="40" t="s">
        <v>231</v>
      </c>
      <c r="AQ1337" s="40" t="s">
        <v>2125</v>
      </c>
      <c r="AR1337" s="40" t="s">
        <v>2125</v>
      </c>
      <c r="AS1337" s="40" t="s">
        <v>177</v>
      </c>
      <c r="AW1337" s="40" t="s">
        <v>160</v>
      </c>
      <c r="AX1337" s="40">
        <v>4</v>
      </c>
      <c r="AZ1337" s="40" t="s">
        <v>141</v>
      </c>
      <c r="BB1337" s="40">
        <v>3047</v>
      </c>
      <c r="BD1337" s="40" t="s">
        <v>925</v>
      </c>
      <c r="BP1337" s="416">
        <v>1.35</v>
      </c>
      <c r="BQ1337" s="416">
        <v>1.32</v>
      </c>
      <c r="BU1337" s="416"/>
      <c r="BV1337" s="416"/>
      <c r="CE1337" s="569"/>
      <c r="CF1337" s="569"/>
      <c r="CG1337" s="569"/>
      <c r="CH1337" s="569"/>
      <c r="DS1337" s="40">
        <v>2.38</v>
      </c>
      <c r="DT1337" s="40">
        <v>3.24</v>
      </c>
      <c r="DW1337" s="40" t="s">
        <v>930</v>
      </c>
      <c r="DX1337" s="40">
        <v>13.93</v>
      </c>
      <c r="DY1337" s="40">
        <v>13</v>
      </c>
      <c r="EB1337" s="40" t="s">
        <v>929</v>
      </c>
      <c r="EM1337" s="40">
        <v>58.2</v>
      </c>
      <c r="EN1337" s="40">
        <v>40.799999999999997</v>
      </c>
      <c r="FL1337" s="40">
        <f>26.5/1.44</f>
        <v>18.402777777777779</v>
      </c>
      <c r="FM1337" s="40">
        <f>29.5/1.44</f>
        <v>20.486111111111111</v>
      </c>
      <c r="FP1337" s="40" t="s">
        <v>934</v>
      </c>
      <c r="JB1337" s="40" t="s">
        <v>941</v>
      </c>
    </row>
    <row r="1338" spans="1:262" s="40" customFormat="1" x14ac:dyDescent="0.25">
      <c r="A1338" s="40">
        <v>61</v>
      </c>
      <c r="B1338" s="71" t="s">
        <v>4033</v>
      </c>
      <c r="C1338" s="40" t="s">
        <v>919</v>
      </c>
      <c r="D1338" s="40" t="s">
        <v>920</v>
      </c>
      <c r="E1338" s="40">
        <v>2003</v>
      </c>
      <c r="F1338" s="40">
        <v>2000</v>
      </c>
      <c r="G1338" s="40" t="s">
        <v>921</v>
      </c>
      <c r="H1338" s="40" t="s">
        <v>922</v>
      </c>
      <c r="I1338" s="32" t="s">
        <v>2815</v>
      </c>
      <c r="J1338" s="40">
        <v>38.74</v>
      </c>
      <c r="K1338" s="40">
        <v>-87.49</v>
      </c>
      <c r="L1338" s="40">
        <v>130</v>
      </c>
      <c r="O1338" s="40">
        <v>143.9</v>
      </c>
      <c r="R1338" s="71">
        <v>1</v>
      </c>
      <c r="S1338" s="71" t="s">
        <v>1728</v>
      </c>
      <c r="T1338" s="71" t="s">
        <v>864</v>
      </c>
      <c r="U1338" s="71" t="s">
        <v>927</v>
      </c>
      <c r="V1338" s="71" t="s">
        <v>1382</v>
      </c>
      <c r="W1338" s="71" t="s">
        <v>1717</v>
      </c>
      <c r="X1338" s="71" t="s">
        <v>1382</v>
      </c>
      <c r="Y1338" s="71" t="s">
        <v>1382</v>
      </c>
      <c r="Z1338" s="40">
        <v>1.44</v>
      </c>
      <c r="AA1338" s="341"/>
      <c r="AB1338" s="341"/>
      <c r="AC1338" s="40" t="s">
        <v>450</v>
      </c>
      <c r="AG1338" s="40" t="s">
        <v>1324</v>
      </c>
      <c r="AH1338" s="40" t="s">
        <v>1527</v>
      </c>
      <c r="AI1338" s="138" t="s">
        <v>1581</v>
      </c>
      <c r="AJ1338" s="40" t="s">
        <v>158</v>
      </c>
      <c r="AK1338" s="140" t="s">
        <v>1611</v>
      </c>
      <c r="AL1338" s="40" t="s">
        <v>942</v>
      </c>
      <c r="AM1338" s="40" t="s">
        <v>942</v>
      </c>
      <c r="AN1338" s="40" t="s">
        <v>177</v>
      </c>
      <c r="AO1338" s="40" t="s">
        <v>156</v>
      </c>
      <c r="AP1338" s="40" t="s">
        <v>156</v>
      </c>
      <c r="AQ1338" s="40" t="s">
        <v>2126</v>
      </c>
      <c r="AR1338" s="40" t="s">
        <v>2126</v>
      </c>
      <c r="AS1338" s="40" t="s">
        <v>177</v>
      </c>
      <c r="AW1338" s="40" t="s">
        <v>160</v>
      </c>
      <c r="AX1338" s="40">
        <v>4</v>
      </c>
      <c r="AZ1338" s="40" t="s">
        <v>141</v>
      </c>
      <c r="BB1338" s="40">
        <v>1823</v>
      </c>
      <c r="BD1338" s="40" t="s">
        <v>924</v>
      </c>
      <c r="BP1338" s="416">
        <v>1.56</v>
      </c>
      <c r="BQ1338" s="416">
        <v>1.53</v>
      </c>
      <c r="BU1338" s="416"/>
      <c r="BV1338" s="416"/>
      <c r="CE1338" s="569"/>
      <c r="CF1338" s="569"/>
      <c r="CG1338" s="569"/>
      <c r="CH1338" s="569"/>
      <c r="DS1338" s="40">
        <v>2.4500000000000002</v>
      </c>
      <c r="DT1338" s="40">
        <v>2.63</v>
      </c>
      <c r="DW1338" s="40" t="s">
        <v>930</v>
      </c>
      <c r="DX1338" s="40">
        <v>5.62</v>
      </c>
      <c r="DY1338" s="40">
        <v>5.0599999999999996</v>
      </c>
      <c r="EB1338" s="40" t="s">
        <v>929</v>
      </c>
      <c r="FL1338" s="40">
        <f>38.2/1.44</f>
        <v>26.527777777777782</v>
      </c>
      <c r="FM1338" s="40">
        <f>35.2/1.44</f>
        <v>24.444444444444446</v>
      </c>
      <c r="FP1338" s="40" t="s">
        <v>934</v>
      </c>
      <c r="JB1338" s="40" t="s">
        <v>941</v>
      </c>
    </row>
    <row r="1339" spans="1:262" s="40" customFormat="1" x14ac:dyDescent="0.25">
      <c r="A1339" s="40">
        <v>61</v>
      </c>
      <c r="B1339" s="71" t="s">
        <v>4034</v>
      </c>
      <c r="C1339" s="40" t="s">
        <v>919</v>
      </c>
      <c r="D1339" s="40" t="s">
        <v>920</v>
      </c>
      <c r="E1339" s="40">
        <v>2003</v>
      </c>
      <c r="F1339" s="40">
        <v>2000</v>
      </c>
      <c r="G1339" s="40" t="s">
        <v>921</v>
      </c>
      <c r="H1339" s="40" t="s">
        <v>922</v>
      </c>
      <c r="I1339" s="32" t="s">
        <v>2815</v>
      </c>
      <c r="J1339" s="40">
        <v>38.74</v>
      </c>
      <c r="K1339" s="40">
        <v>-87.49</v>
      </c>
      <c r="L1339" s="40">
        <v>130</v>
      </c>
      <c r="O1339" s="40">
        <v>143.9</v>
      </c>
      <c r="R1339" s="71">
        <v>1</v>
      </c>
      <c r="S1339" s="71" t="s">
        <v>1728</v>
      </c>
      <c r="T1339" s="71" t="s">
        <v>864</v>
      </c>
      <c r="U1339" s="71" t="s">
        <v>927</v>
      </c>
      <c r="V1339" s="71" t="s">
        <v>1382</v>
      </c>
      <c r="W1339" s="71" t="s">
        <v>1717</v>
      </c>
      <c r="X1339" s="71" t="s">
        <v>1382</v>
      </c>
      <c r="Y1339" s="71" t="s">
        <v>1382</v>
      </c>
      <c r="Z1339" s="40">
        <v>1.44</v>
      </c>
      <c r="AA1339" s="341"/>
      <c r="AB1339" s="341"/>
      <c r="AC1339" s="40" t="s">
        <v>450</v>
      </c>
      <c r="AG1339" s="40" t="s">
        <v>1324</v>
      </c>
      <c r="AH1339" s="40" t="s">
        <v>1527</v>
      </c>
      <c r="AI1339" s="138" t="s">
        <v>1581</v>
      </c>
      <c r="AJ1339" s="40" t="s">
        <v>132</v>
      </c>
      <c r="AK1339" s="140" t="s">
        <v>1611</v>
      </c>
      <c r="AL1339" s="40" t="s">
        <v>942</v>
      </c>
      <c r="AM1339" s="40" t="s">
        <v>942</v>
      </c>
      <c r="AN1339" s="40" t="s">
        <v>177</v>
      </c>
      <c r="AO1339" s="40" t="s">
        <v>156</v>
      </c>
      <c r="AP1339" s="40" t="s">
        <v>156</v>
      </c>
      <c r="AQ1339" s="40" t="s">
        <v>2126</v>
      </c>
      <c r="AR1339" s="40" t="s">
        <v>2126</v>
      </c>
      <c r="AS1339" s="40" t="s">
        <v>177</v>
      </c>
      <c r="AW1339" s="40" t="s">
        <v>160</v>
      </c>
      <c r="AX1339" s="40">
        <v>4</v>
      </c>
      <c r="AZ1339" s="40" t="s">
        <v>141</v>
      </c>
      <c r="BB1339" s="40">
        <v>2494</v>
      </c>
      <c r="BD1339" s="40" t="s">
        <v>925</v>
      </c>
      <c r="BP1339" s="416">
        <v>1.56</v>
      </c>
      <c r="BQ1339" s="416">
        <v>1.55</v>
      </c>
      <c r="BU1339" s="416"/>
      <c r="BV1339" s="416"/>
      <c r="CE1339" s="569"/>
      <c r="CF1339" s="569"/>
      <c r="CG1339" s="569"/>
      <c r="CH1339" s="569"/>
      <c r="DS1339" s="40">
        <v>2.4500000000000002</v>
      </c>
      <c r="DT1339" s="40">
        <v>3.07</v>
      </c>
      <c r="DW1339" s="40" t="s">
        <v>930</v>
      </c>
      <c r="DX1339" s="40">
        <v>5.62</v>
      </c>
      <c r="DY1339" s="40">
        <v>4.72</v>
      </c>
      <c r="EB1339" s="40" t="s">
        <v>929</v>
      </c>
      <c r="FL1339" s="40">
        <f>38.2/1.44</f>
        <v>26.527777777777782</v>
      </c>
      <c r="FM1339" s="40">
        <f>36.7/1.44</f>
        <v>25.486111111111114</v>
      </c>
      <c r="FP1339" s="40" t="s">
        <v>934</v>
      </c>
      <c r="JB1339" s="40" t="s">
        <v>941</v>
      </c>
    </row>
    <row r="1340" spans="1:262" s="79" customFormat="1" x14ac:dyDescent="0.25">
      <c r="A1340" s="79">
        <v>61</v>
      </c>
      <c r="B1340" s="80" t="s">
        <v>4031</v>
      </c>
      <c r="C1340" s="79" t="s">
        <v>919</v>
      </c>
      <c r="D1340" s="79" t="s">
        <v>920</v>
      </c>
      <c r="E1340" s="79">
        <v>2003</v>
      </c>
      <c r="F1340" s="79">
        <v>2000</v>
      </c>
      <c r="G1340" s="79" t="s">
        <v>921</v>
      </c>
      <c r="H1340" s="79" t="s">
        <v>923</v>
      </c>
      <c r="I1340" s="32" t="s">
        <v>2815</v>
      </c>
      <c r="J1340" s="79">
        <v>40.299999999999997</v>
      </c>
      <c r="K1340" s="79">
        <v>-86.9</v>
      </c>
      <c r="L1340" s="79">
        <v>221</v>
      </c>
      <c r="O1340" s="40">
        <v>934</v>
      </c>
      <c r="R1340" s="80">
        <v>1</v>
      </c>
      <c r="S1340" s="80" t="s">
        <v>1728</v>
      </c>
      <c r="T1340" s="80" t="s">
        <v>864</v>
      </c>
      <c r="U1340" s="80" t="s">
        <v>926</v>
      </c>
      <c r="V1340" s="80" t="s">
        <v>1382</v>
      </c>
      <c r="W1340" s="71" t="s">
        <v>1717</v>
      </c>
      <c r="X1340" s="80" t="s">
        <v>1382</v>
      </c>
      <c r="Y1340" s="80" t="s">
        <v>1382</v>
      </c>
      <c r="Z1340" s="79">
        <v>1.42</v>
      </c>
      <c r="AA1340" s="342"/>
      <c r="AB1340" s="342"/>
      <c r="AC1340" s="40" t="s">
        <v>450</v>
      </c>
      <c r="AG1340" s="40" t="s">
        <v>1324</v>
      </c>
      <c r="AH1340" s="79" t="s">
        <v>1527</v>
      </c>
      <c r="AI1340" s="138" t="s">
        <v>1581</v>
      </c>
      <c r="AJ1340" s="79" t="s">
        <v>158</v>
      </c>
      <c r="AK1340" s="140" t="s">
        <v>1611</v>
      </c>
      <c r="AL1340" s="40" t="s">
        <v>942</v>
      </c>
      <c r="AM1340" s="40" t="s">
        <v>942</v>
      </c>
      <c r="AN1340" s="40" t="s">
        <v>177</v>
      </c>
      <c r="AO1340" s="79" t="s">
        <v>231</v>
      </c>
      <c r="AP1340" s="79" t="s">
        <v>231</v>
      </c>
      <c r="AQ1340" s="79" t="s">
        <v>2125</v>
      </c>
      <c r="AR1340" s="79" t="s">
        <v>2125</v>
      </c>
      <c r="AS1340" s="79" t="s">
        <v>177</v>
      </c>
      <c r="AW1340" s="79" t="s">
        <v>160</v>
      </c>
      <c r="AX1340" s="79">
        <v>4</v>
      </c>
      <c r="AZ1340" s="79" t="s">
        <v>141</v>
      </c>
      <c r="BB1340" s="79">
        <v>337</v>
      </c>
      <c r="BD1340" s="79" t="s">
        <v>924</v>
      </c>
      <c r="BH1340" s="40"/>
      <c r="BI1340" s="40"/>
      <c r="BJ1340" s="40"/>
      <c r="BP1340" s="417">
        <v>1.21</v>
      </c>
      <c r="BQ1340" s="417">
        <v>1.21</v>
      </c>
      <c r="BU1340" s="417"/>
      <c r="BV1340" s="417"/>
      <c r="CE1340" s="570"/>
      <c r="CF1340" s="570"/>
      <c r="CG1340" s="570"/>
      <c r="CH1340" s="570"/>
      <c r="DS1340" s="79">
        <v>0.88</v>
      </c>
      <c r="DT1340" s="79">
        <v>1.38</v>
      </c>
      <c r="DW1340" s="79" t="s">
        <v>930</v>
      </c>
      <c r="DX1340" s="79">
        <v>50.67</v>
      </c>
      <c r="DY1340" s="79">
        <v>52.25</v>
      </c>
      <c r="EB1340" s="79" t="s">
        <v>928</v>
      </c>
      <c r="EG1340" s="40"/>
      <c r="EH1340" s="79">
        <v>39</v>
      </c>
      <c r="EI1340" s="79">
        <v>50.4</v>
      </c>
      <c r="EL1340" s="40" t="s">
        <v>931</v>
      </c>
      <c r="EM1340" s="79">
        <v>15.2</v>
      </c>
      <c r="EN1340" s="79">
        <v>106</v>
      </c>
      <c r="FL1340" s="79">
        <f>22.3/1.42</f>
        <v>15.704225352112678</v>
      </c>
      <c r="FM1340" s="79">
        <f>22.4/1.42</f>
        <v>15.774647887323944</v>
      </c>
      <c r="FP1340" s="79" t="s">
        <v>933</v>
      </c>
      <c r="JB1340" s="40" t="s">
        <v>941</v>
      </c>
    </row>
    <row r="1341" spans="1:262" s="79" customFormat="1" x14ac:dyDescent="0.25">
      <c r="A1341" s="79">
        <v>61</v>
      </c>
      <c r="B1341" s="80" t="s">
        <v>4032</v>
      </c>
      <c r="C1341" s="79" t="s">
        <v>919</v>
      </c>
      <c r="D1341" s="79" t="s">
        <v>920</v>
      </c>
      <c r="E1341" s="79">
        <v>2003</v>
      </c>
      <c r="F1341" s="79">
        <v>2000</v>
      </c>
      <c r="G1341" s="79" t="s">
        <v>921</v>
      </c>
      <c r="H1341" s="79" t="s">
        <v>923</v>
      </c>
      <c r="I1341" s="32" t="s">
        <v>2815</v>
      </c>
      <c r="J1341" s="79">
        <v>40.299999999999997</v>
      </c>
      <c r="K1341" s="79">
        <v>-86.9</v>
      </c>
      <c r="L1341" s="79">
        <v>221</v>
      </c>
      <c r="O1341" s="40">
        <v>934</v>
      </c>
      <c r="R1341" s="80">
        <v>1</v>
      </c>
      <c r="S1341" s="80" t="s">
        <v>1728</v>
      </c>
      <c r="T1341" s="80" t="s">
        <v>864</v>
      </c>
      <c r="U1341" s="80" t="s">
        <v>926</v>
      </c>
      <c r="V1341" s="80" t="s">
        <v>1382</v>
      </c>
      <c r="W1341" s="71" t="s">
        <v>1717</v>
      </c>
      <c r="X1341" s="80" t="s">
        <v>1382</v>
      </c>
      <c r="Y1341" s="80" t="s">
        <v>1382</v>
      </c>
      <c r="Z1341" s="79">
        <v>1.42</v>
      </c>
      <c r="AA1341" s="342"/>
      <c r="AB1341" s="342"/>
      <c r="AC1341" s="40" t="s">
        <v>450</v>
      </c>
      <c r="AG1341" s="40" t="s">
        <v>1324</v>
      </c>
      <c r="AH1341" s="79" t="s">
        <v>1527</v>
      </c>
      <c r="AI1341" s="138" t="s">
        <v>1581</v>
      </c>
      <c r="AJ1341" s="79" t="s">
        <v>132</v>
      </c>
      <c r="AK1341" s="140" t="s">
        <v>1611</v>
      </c>
      <c r="AL1341" s="40" t="s">
        <v>942</v>
      </c>
      <c r="AM1341" s="40" t="s">
        <v>942</v>
      </c>
      <c r="AN1341" s="40" t="s">
        <v>177</v>
      </c>
      <c r="AO1341" s="79" t="s">
        <v>231</v>
      </c>
      <c r="AP1341" s="79" t="s">
        <v>231</v>
      </c>
      <c r="AQ1341" s="79" t="s">
        <v>2125</v>
      </c>
      <c r="AR1341" s="79" t="s">
        <v>2125</v>
      </c>
      <c r="AS1341" s="79" t="s">
        <v>177</v>
      </c>
      <c r="AW1341" s="79" t="s">
        <v>160</v>
      </c>
      <c r="AX1341" s="79">
        <v>4</v>
      </c>
      <c r="AZ1341" s="79" t="s">
        <v>141</v>
      </c>
      <c r="BB1341" s="79">
        <v>718</v>
      </c>
      <c r="BD1341" s="79" t="s">
        <v>925</v>
      </c>
      <c r="BH1341" s="40"/>
      <c r="BI1341" s="40"/>
      <c r="BJ1341" s="40"/>
      <c r="BP1341" s="417">
        <v>1.21</v>
      </c>
      <c r="BQ1341" s="417">
        <v>1.21</v>
      </c>
      <c r="BU1341" s="417"/>
      <c r="BV1341" s="417"/>
      <c r="CE1341" s="570"/>
      <c r="CF1341" s="570"/>
      <c r="CG1341" s="570"/>
      <c r="CH1341" s="570"/>
      <c r="DS1341" s="79">
        <v>0.88</v>
      </c>
      <c r="DT1341" s="79">
        <v>1.22</v>
      </c>
      <c r="DW1341" s="79" t="s">
        <v>930</v>
      </c>
      <c r="DX1341" s="79">
        <v>50.67</v>
      </c>
      <c r="DY1341" s="79">
        <v>50.97</v>
      </c>
      <c r="EB1341" s="79" t="s">
        <v>928</v>
      </c>
      <c r="EG1341" s="40"/>
      <c r="EL1341" s="40"/>
      <c r="EM1341" s="79">
        <v>15.2</v>
      </c>
      <c r="EN1341" s="79">
        <v>6.5</v>
      </c>
      <c r="FL1341" s="79">
        <f>22.3/1.42</f>
        <v>15.704225352112678</v>
      </c>
      <c r="FM1341" s="79">
        <f>24.2/1.42</f>
        <v>17.04225352112676</v>
      </c>
      <c r="FP1341" s="79" t="s">
        <v>933</v>
      </c>
      <c r="JB1341" s="40" t="s">
        <v>941</v>
      </c>
    </row>
    <row r="1342" spans="1:262" s="79" customFormat="1" x14ac:dyDescent="0.25">
      <c r="A1342" s="79">
        <v>61</v>
      </c>
      <c r="B1342" s="80" t="s">
        <v>4033</v>
      </c>
      <c r="C1342" s="79" t="s">
        <v>919</v>
      </c>
      <c r="D1342" s="79" t="s">
        <v>920</v>
      </c>
      <c r="E1342" s="79">
        <v>2003</v>
      </c>
      <c r="F1342" s="79">
        <v>2000</v>
      </c>
      <c r="G1342" s="79" t="s">
        <v>921</v>
      </c>
      <c r="H1342" s="79" t="s">
        <v>923</v>
      </c>
      <c r="I1342" s="32" t="s">
        <v>2815</v>
      </c>
      <c r="J1342" s="79">
        <v>40.299999999999997</v>
      </c>
      <c r="K1342" s="79">
        <v>-86.9</v>
      </c>
      <c r="L1342" s="79">
        <v>221</v>
      </c>
      <c r="O1342" s="40">
        <v>934</v>
      </c>
      <c r="R1342" s="80">
        <v>1</v>
      </c>
      <c r="S1342" s="80" t="s">
        <v>1728</v>
      </c>
      <c r="T1342" s="80" t="s">
        <v>864</v>
      </c>
      <c r="U1342" s="80" t="s">
        <v>926</v>
      </c>
      <c r="V1342" s="80" t="s">
        <v>1382</v>
      </c>
      <c r="W1342" s="71" t="s">
        <v>1717</v>
      </c>
      <c r="X1342" s="80" t="s">
        <v>1382</v>
      </c>
      <c r="Y1342" s="80" t="s">
        <v>1382</v>
      </c>
      <c r="Z1342" s="79">
        <v>1.42</v>
      </c>
      <c r="AA1342" s="342"/>
      <c r="AB1342" s="342"/>
      <c r="AC1342" s="40" t="s">
        <v>450</v>
      </c>
      <c r="AG1342" s="40" t="s">
        <v>1324</v>
      </c>
      <c r="AH1342" s="79" t="s">
        <v>1527</v>
      </c>
      <c r="AI1342" s="138" t="s">
        <v>1581</v>
      </c>
      <c r="AJ1342" s="79" t="s">
        <v>158</v>
      </c>
      <c r="AK1342" s="140" t="s">
        <v>1611</v>
      </c>
      <c r="AL1342" s="40" t="s">
        <v>942</v>
      </c>
      <c r="AM1342" s="40" t="s">
        <v>942</v>
      </c>
      <c r="AN1342" s="40" t="s">
        <v>177</v>
      </c>
      <c r="AO1342" s="79" t="s">
        <v>156</v>
      </c>
      <c r="AP1342" s="79" t="s">
        <v>156</v>
      </c>
      <c r="AQ1342" s="79" t="s">
        <v>2126</v>
      </c>
      <c r="AR1342" s="79" t="s">
        <v>2126</v>
      </c>
      <c r="AS1342" s="79" t="s">
        <v>177</v>
      </c>
      <c r="AW1342" s="79" t="s">
        <v>160</v>
      </c>
      <c r="AX1342" s="79">
        <v>4</v>
      </c>
      <c r="AZ1342" s="79" t="s">
        <v>141</v>
      </c>
      <c r="BB1342" s="79">
        <v>175</v>
      </c>
      <c r="BD1342" s="79" t="s">
        <v>924</v>
      </c>
      <c r="BH1342" s="40"/>
      <c r="BI1342" s="40"/>
      <c r="BJ1342" s="40"/>
      <c r="BP1342" s="417">
        <v>1.31</v>
      </c>
      <c r="BQ1342" s="417">
        <v>1.38</v>
      </c>
      <c r="BU1342" s="417"/>
      <c r="BV1342" s="417"/>
      <c r="CE1342" s="570"/>
      <c r="CF1342" s="570"/>
      <c r="CG1342" s="570"/>
      <c r="CH1342" s="570"/>
      <c r="DS1342" s="79">
        <v>1.0900000000000001</v>
      </c>
      <c r="DT1342" s="79">
        <v>1.25</v>
      </c>
      <c r="DW1342" s="79" t="s">
        <v>930</v>
      </c>
      <c r="DX1342" s="79">
        <v>43.68</v>
      </c>
      <c r="DY1342" s="79">
        <v>41.8</v>
      </c>
      <c r="EB1342" s="79" t="s">
        <v>928</v>
      </c>
      <c r="EG1342" s="40"/>
      <c r="EH1342" s="79">
        <v>62.400000000000006</v>
      </c>
      <c r="EI1342" s="79">
        <v>57</v>
      </c>
      <c r="EL1342" s="40" t="s">
        <v>931</v>
      </c>
      <c r="FL1342" s="79">
        <f>24.5/1.42</f>
        <v>17.253521126760564</v>
      </c>
      <c r="FM1342" s="79">
        <f>27.4/1.42</f>
        <v>19.295774647887324</v>
      </c>
      <c r="FP1342" s="79" t="s">
        <v>933</v>
      </c>
      <c r="JB1342" s="40" t="s">
        <v>941</v>
      </c>
    </row>
    <row r="1343" spans="1:262" s="79" customFormat="1" x14ac:dyDescent="0.25">
      <c r="A1343" s="79">
        <v>61</v>
      </c>
      <c r="B1343" s="80" t="s">
        <v>4034</v>
      </c>
      <c r="C1343" s="79" t="s">
        <v>919</v>
      </c>
      <c r="D1343" s="79" t="s">
        <v>920</v>
      </c>
      <c r="E1343" s="79">
        <v>2003</v>
      </c>
      <c r="F1343" s="79">
        <v>2000</v>
      </c>
      <c r="G1343" s="79" t="s">
        <v>921</v>
      </c>
      <c r="H1343" s="79" t="s">
        <v>923</v>
      </c>
      <c r="I1343" s="32" t="s">
        <v>2815</v>
      </c>
      <c r="J1343" s="79">
        <v>40.299999999999997</v>
      </c>
      <c r="K1343" s="79">
        <v>-86.9</v>
      </c>
      <c r="L1343" s="79">
        <v>221</v>
      </c>
      <c r="O1343" s="40">
        <v>934</v>
      </c>
      <c r="R1343" s="80">
        <v>1</v>
      </c>
      <c r="S1343" s="80" t="s">
        <v>1728</v>
      </c>
      <c r="T1343" s="80" t="s">
        <v>864</v>
      </c>
      <c r="U1343" s="80" t="s">
        <v>926</v>
      </c>
      <c r="V1343" s="80" t="s">
        <v>1382</v>
      </c>
      <c r="W1343" s="71" t="s">
        <v>1717</v>
      </c>
      <c r="X1343" s="80" t="s">
        <v>1382</v>
      </c>
      <c r="Y1343" s="80" t="s">
        <v>1382</v>
      </c>
      <c r="Z1343" s="79">
        <v>1.42</v>
      </c>
      <c r="AA1343" s="342"/>
      <c r="AB1343" s="342"/>
      <c r="AC1343" s="40" t="s">
        <v>450</v>
      </c>
      <c r="AG1343" s="40" t="s">
        <v>1324</v>
      </c>
      <c r="AH1343" s="79" t="s">
        <v>1527</v>
      </c>
      <c r="AI1343" s="138" t="s">
        <v>1581</v>
      </c>
      <c r="AJ1343" s="79" t="s">
        <v>132</v>
      </c>
      <c r="AK1343" s="140" t="s">
        <v>1611</v>
      </c>
      <c r="AL1343" s="40" t="s">
        <v>942</v>
      </c>
      <c r="AM1343" s="40" t="s">
        <v>942</v>
      </c>
      <c r="AN1343" s="40" t="s">
        <v>177</v>
      </c>
      <c r="AO1343" s="79" t="s">
        <v>156</v>
      </c>
      <c r="AP1343" s="79" t="s">
        <v>156</v>
      </c>
      <c r="AQ1343" s="79" t="s">
        <v>2126</v>
      </c>
      <c r="AR1343" s="79" t="s">
        <v>2126</v>
      </c>
      <c r="AS1343" s="79" t="s">
        <v>177</v>
      </c>
      <c r="AW1343" s="79" t="s">
        <v>160</v>
      </c>
      <c r="AX1343" s="79">
        <v>4</v>
      </c>
      <c r="AZ1343" s="79" t="s">
        <v>141</v>
      </c>
      <c r="BB1343" s="79">
        <v>411</v>
      </c>
      <c r="BD1343" s="79" t="s">
        <v>925</v>
      </c>
      <c r="BH1343" s="40"/>
      <c r="BI1343" s="40"/>
      <c r="BJ1343" s="40"/>
      <c r="BP1343" s="417">
        <v>1.31</v>
      </c>
      <c r="BQ1343" s="417">
        <v>1.34</v>
      </c>
      <c r="BU1343" s="417"/>
      <c r="BV1343" s="417"/>
      <c r="CE1343" s="570"/>
      <c r="CF1343" s="570"/>
      <c r="CG1343" s="570"/>
      <c r="CH1343" s="570"/>
      <c r="DS1343" s="79">
        <v>1.0900000000000001</v>
      </c>
      <c r="DT1343" s="79">
        <v>1.32</v>
      </c>
      <c r="DW1343" s="79" t="s">
        <v>930</v>
      </c>
      <c r="DX1343" s="79">
        <v>43.68</v>
      </c>
      <c r="DY1343" s="79">
        <v>41.93</v>
      </c>
      <c r="EB1343" s="79" t="s">
        <v>928</v>
      </c>
      <c r="FL1343" s="79">
        <f>24.5/1.42</f>
        <v>17.253521126760564</v>
      </c>
      <c r="FM1343" s="79">
        <f>29/1.42</f>
        <v>20.422535211267608</v>
      </c>
      <c r="FP1343" s="79" t="s">
        <v>933</v>
      </c>
      <c r="JB1343" s="40" t="s">
        <v>941</v>
      </c>
    </row>
    <row r="1344" spans="1:262" s="79" customFormat="1" x14ac:dyDescent="0.25">
      <c r="A1344" s="79">
        <v>61</v>
      </c>
      <c r="B1344" s="80" t="s">
        <v>4031</v>
      </c>
      <c r="C1344" s="79" t="s">
        <v>919</v>
      </c>
      <c r="D1344" s="79" t="s">
        <v>920</v>
      </c>
      <c r="E1344" s="79">
        <v>2003</v>
      </c>
      <c r="F1344" s="79">
        <v>2000</v>
      </c>
      <c r="G1344" s="79" t="s">
        <v>921</v>
      </c>
      <c r="H1344" s="79" t="s">
        <v>923</v>
      </c>
      <c r="I1344" s="32" t="s">
        <v>2815</v>
      </c>
      <c r="J1344" s="79">
        <v>40.299999999999997</v>
      </c>
      <c r="K1344" s="79">
        <v>-86.9</v>
      </c>
      <c r="L1344" s="79">
        <v>221</v>
      </c>
      <c r="O1344" s="40">
        <v>934</v>
      </c>
      <c r="R1344" s="80">
        <v>1</v>
      </c>
      <c r="S1344" s="80" t="s">
        <v>1728</v>
      </c>
      <c r="T1344" s="80" t="s">
        <v>864</v>
      </c>
      <c r="U1344" s="80" t="s">
        <v>927</v>
      </c>
      <c r="V1344" s="80" t="s">
        <v>1382</v>
      </c>
      <c r="W1344" s="71" t="s">
        <v>1717</v>
      </c>
      <c r="X1344" s="80" t="s">
        <v>1382</v>
      </c>
      <c r="Y1344" s="80" t="s">
        <v>1382</v>
      </c>
      <c r="Z1344" s="79">
        <v>1.42</v>
      </c>
      <c r="AA1344" s="342"/>
      <c r="AB1344" s="342"/>
      <c r="AC1344" s="40" t="s">
        <v>450</v>
      </c>
      <c r="AG1344" s="40" t="s">
        <v>1324</v>
      </c>
      <c r="AH1344" s="79" t="s">
        <v>1527</v>
      </c>
      <c r="AI1344" s="138" t="s">
        <v>1581</v>
      </c>
      <c r="AJ1344" s="79" t="s">
        <v>158</v>
      </c>
      <c r="AK1344" s="140" t="s">
        <v>1611</v>
      </c>
      <c r="AL1344" s="40" t="s">
        <v>942</v>
      </c>
      <c r="AM1344" s="40" t="s">
        <v>942</v>
      </c>
      <c r="AN1344" s="40" t="s">
        <v>177</v>
      </c>
      <c r="AO1344" s="79" t="s">
        <v>231</v>
      </c>
      <c r="AP1344" s="79" t="s">
        <v>231</v>
      </c>
      <c r="AQ1344" s="79" t="s">
        <v>2125</v>
      </c>
      <c r="AR1344" s="79" t="s">
        <v>2125</v>
      </c>
      <c r="AS1344" s="79" t="s">
        <v>177</v>
      </c>
      <c r="AW1344" s="79" t="s">
        <v>160</v>
      </c>
      <c r="AX1344" s="79">
        <v>4</v>
      </c>
      <c r="AZ1344" s="79" t="s">
        <v>141</v>
      </c>
      <c r="BB1344" s="79">
        <v>965</v>
      </c>
      <c r="BD1344" s="79" t="s">
        <v>924</v>
      </c>
      <c r="BH1344" s="40"/>
      <c r="BI1344" s="40"/>
      <c r="BJ1344" s="40"/>
      <c r="BP1344" s="417">
        <v>1.31</v>
      </c>
      <c r="BQ1344" s="417">
        <v>1.27</v>
      </c>
      <c r="BU1344" s="417"/>
      <c r="BV1344" s="417"/>
      <c r="CE1344" s="570"/>
      <c r="CF1344" s="570"/>
      <c r="CG1344" s="570"/>
      <c r="CH1344" s="570"/>
      <c r="DS1344" s="79">
        <v>1.88</v>
      </c>
      <c r="DT1344" s="79">
        <v>2.4</v>
      </c>
      <c r="DW1344" s="79" t="s">
        <v>930</v>
      </c>
      <c r="DX1344" s="79">
        <v>16.95</v>
      </c>
      <c r="DY1344" s="79">
        <v>20.34</v>
      </c>
      <c r="EB1344" s="79" t="s">
        <v>928</v>
      </c>
      <c r="EM1344" s="79">
        <v>14.1</v>
      </c>
      <c r="EN1344" s="79">
        <v>5.6</v>
      </c>
      <c r="FL1344" s="79">
        <f>24.1/1.42</f>
        <v>16.971830985915496</v>
      </c>
      <c r="FM1344" s="79">
        <f>24.1/1.42</f>
        <v>16.971830985915496</v>
      </c>
      <c r="FP1344" s="79" t="s">
        <v>934</v>
      </c>
      <c r="JB1344" s="40" t="s">
        <v>941</v>
      </c>
    </row>
    <row r="1345" spans="1:262" s="79" customFormat="1" x14ac:dyDescent="0.25">
      <c r="A1345" s="79">
        <v>61</v>
      </c>
      <c r="B1345" s="80" t="s">
        <v>4032</v>
      </c>
      <c r="C1345" s="79" t="s">
        <v>919</v>
      </c>
      <c r="D1345" s="79" t="s">
        <v>920</v>
      </c>
      <c r="E1345" s="79">
        <v>2003</v>
      </c>
      <c r="F1345" s="79">
        <v>2000</v>
      </c>
      <c r="G1345" s="79" t="s">
        <v>921</v>
      </c>
      <c r="H1345" s="79" t="s">
        <v>923</v>
      </c>
      <c r="I1345" s="32" t="s">
        <v>2815</v>
      </c>
      <c r="J1345" s="79">
        <v>40.299999999999997</v>
      </c>
      <c r="K1345" s="79">
        <v>-86.9</v>
      </c>
      <c r="L1345" s="79">
        <v>221</v>
      </c>
      <c r="O1345" s="40">
        <v>934</v>
      </c>
      <c r="R1345" s="80">
        <v>1</v>
      </c>
      <c r="S1345" s="80" t="s">
        <v>1728</v>
      </c>
      <c r="T1345" s="80" t="s">
        <v>864</v>
      </c>
      <c r="U1345" s="80" t="s">
        <v>927</v>
      </c>
      <c r="V1345" s="80" t="s">
        <v>1382</v>
      </c>
      <c r="W1345" s="71" t="s">
        <v>1717</v>
      </c>
      <c r="X1345" s="80" t="s">
        <v>1382</v>
      </c>
      <c r="Y1345" s="80" t="s">
        <v>1382</v>
      </c>
      <c r="Z1345" s="79">
        <v>1.42</v>
      </c>
      <c r="AA1345" s="342"/>
      <c r="AB1345" s="342"/>
      <c r="AC1345" s="40" t="s">
        <v>450</v>
      </c>
      <c r="AG1345" s="40" t="s">
        <v>1324</v>
      </c>
      <c r="AH1345" s="79" t="s">
        <v>1527</v>
      </c>
      <c r="AI1345" s="138" t="s">
        <v>1581</v>
      </c>
      <c r="AJ1345" s="79" t="s">
        <v>132</v>
      </c>
      <c r="AK1345" s="140" t="s">
        <v>1611</v>
      </c>
      <c r="AL1345" s="40" t="s">
        <v>942</v>
      </c>
      <c r="AM1345" s="40" t="s">
        <v>942</v>
      </c>
      <c r="AN1345" s="40" t="s">
        <v>177</v>
      </c>
      <c r="AO1345" s="79" t="s">
        <v>231</v>
      </c>
      <c r="AP1345" s="79" t="s">
        <v>231</v>
      </c>
      <c r="AQ1345" s="79" t="s">
        <v>2125</v>
      </c>
      <c r="AR1345" s="79" t="s">
        <v>2125</v>
      </c>
      <c r="AS1345" s="79" t="s">
        <v>177</v>
      </c>
      <c r="AW1345" s="79" t="s">
        <v>160</v>
      </c>
      <c r="AX1345" s="79">
        <v>4</v>
      </c>
      <c r="AZ1345" s="79" t="s">
        <v>141</v>
      </c>
      <c r="BB1345" s="79">
        <v>1672</v>
      </c>
      <c r="BD1345" s="79" t="s">
        <v>925</v>
      </c>
      <c r="BH1345" s="40"/>
      <c r="BI1345" s="40"/>
      <c r="BJ1345" s="40"/>
      <c r="BP1345" s="417">
        <v>1.31</v>
      </c>
      <c r="BQ1345" s="417">
        <v>1.3</v>
      </c>
      <c r="BU1345" s="417"/>
      <c r="BV1345" s="417"/>
      <c r="CE1345" s="570"/>
      <c r="CF1345" s="570"/>
      <c r="CG1345" s="570"/>
      <c r="CH1345" s="570"/>
      <c r="DS1345" s="79">
        <v>1.88</v>
      </c>
      <c r="DT1345" s="79">
        <v>2.2799999999999998</v>
      </c>
      <c r="DW1345" s="79" t="s">
        <v>930</v>
      </c>
      <c r="DX1345" s="79">
        <v>16.95</v>
      </c>
      <c r="DY1345" s="79">
        <v>17.91</v>
      </c>
      <c r="EB1345" s="79" t="s">
        <v>928</v>
      </c>
      <c r="EM1345" s="79">
        <v>14.1</v>
      </c>
      <c r="EN1345" s="79">
        <v>5.8</v>
      </c>
      <c r="FL1345" s="79">
        <f>24.1/1.42</f>
        <v>16.971830985915496</v>
      </c>
      <c r="FM1345" s="79">
        <f>27/1.42</f>
        <v>19.014084507042256</v>
      </c>
      <c r="FP1345" s="79" t="s">
        <v>934</v>
      </c>
      <c r="JB1345" s="40" t="s">
        <v>941</v>
      </c>
    </row>
    <row r="1346" spans="1:262" s="79" customFormat="1" x14ac:dyDescent="0.25">
      <c r="A1346" s="79">
        <v>61</v>
      </c>
      <c r="B1346" s="80" t="s">
        <v>4033</v>
      </c>
      <c r="C1346" s="79" t="s">
        <v>919</v>
      </c>
      <c r="D1346" s="79" t="s">
        <v>920</v>
      </c>
      <c r="E1346" s="79">
        <v>2003</v>
      </c>
      <c r="F1346" s="79">
        <v>2000</v>
      </c>
      <c r="G1346" s="79" t="s">
        <v>921</v>
      </c>
      <c r="H1346" s="79" t="s">
        <v>923</v>
      </c>
      <c r="I1346" s="32" t="s">
        <v>2815</v>
      </c>
      <c r="J1346" s="79">
        <v>40.299999999999997</v>
      </c>
      <c r="K1346" s="79">
        <v>-86.9</v>
      </c>
      <c r="L1346" s="79">
        <v>221</v>
      </c>
      <c r="O1346" s="40">
        <v>934</v>
      </c>
      <c r="R1346" s="80">
        <v>1</v>
      </c>
      <c r="S1346" s="80" t="s">
        <v>1728</v>
      </c>
      <c r="T1346" s="80" t="s">
        <v>864</v>
      </c>
      <c r="U1346" s="80" t="s">
        <v>927</v>
      </c>
      <c r="V1346" s="80" t="s">
        <v>1382</v>
      </c>
      <c r="W1346" s="71" t="s">
        <v>1717</v>
      </c>
      <c r="X1346" s="80" t="s">
        <v>1382</v>
      </c>
      <c r="Y1346" s="80" t="s">
        <v>1382</v>
      </c>
      <c r="Z1346" s="79">
        <v>1.42</v>
      </c>
      <c r="AA1346" s="342"/>
      <c r="AB1346" s="342"/>
      <c r="AC1346" s="40" t="s">
        <v>450</v>
      </c>
      <c r="AG1346" s="40" t="s">
        <v>1324</v>
      </c>
      <c r="AH1346" s="79" t="s">
        <v>1527</v>
      </c>
      <c r="AI1346" s="138" t="s">
        <v>1581</v>
      </c>
      <c r="AJ1346" s="79" t="s">
        <v>158</v>
      </c>
      <c r="AK1346" s="140" t="s">
        <v>1611</v>
      </c>
      <c r="AL1346" s="40" t="s">
        <v>942</v>
      </c>
      <c r="AM1346" s="40" t="s">
        <v>942</v>
      </c>
      <c r="AN1346" s="40" t="s">
        <v>177</v>
      </c>
      <c r="AO1346" s="79" t="s">
        <v>156</v>
      </c>
      <c r="AP1346" s="79" t="s">
        <v>156</v>
      </c>
      <c r="AQ1346" s="79" t="s">
        <v>2126</v>
      </c>
      <c r="AR1346" s="79" t="s">
        <v>2126</v>
      </c>
      <c r="AS1346" s="79" t="s">
        <v>177</v>
      </c>
      <c r="AW1346" s="79" t="s">
        <v>160</v>
      </c>
      <c r="AX1346" s="79">
        <v>4</v>
      </c>
      <c r="AZ1346" s="79" t="s">
        <v>141</v>
      </c>
      <c r="BB1346" s="79">
        <v>568</v>
      </c>
      <c r="BD1346" s="79" t="s">
        <v>924</v>
      </c>
      <c r="BH1346" s="40"/>
      <c r="BI1346" s="40"/>
      <c r="BJ1346" s="40"/>
      <c r="BP1346" s="417">
        <v>1.49</v>
      </c>
      <c r="BQ1346" s="417">
        <v>1.54</v>
      </c>
      <c r="BU1346" s="417"/>
      <c r="BV1346" s="417"/>
      <c r="CE1346" s="570"/>
      <c r="CF1346" s="570"/>
      <c r="CG1346" s="570"/>
      <c r="CH1346" s="570"/>
      <c r="DS1346" s="79">
        <v>1.73</v>
      </c>
      <c r="DT1346" s="79">
        <v>2.11</v>
      </c>
      <c r="DW1346" s="79" t="s">
        <v>930</v>
      </c>
      <c r="DX1346" s="79">
        <v>10.64</v>
      </c>
      <c r="DY1346" s="79">
        <v>7.78</v>
      </c>
      <c r="EB1346" s="79" t="s">
        <v>928</v>
      </c>
      <c r="FL1346" s="79">
        <f>26.6/1.42</f>
        <v>18.732394366197184</v>
      </c>
      <c r="FM1346" s="79">
        <f>28.1/1.42</f>
        <v>19.7887323943662</v>
      </c>
      <c r="FP1346" s="79" t="s">
        <v>934</v>
      </c>
      <c r="JB1346" s="40" t="s">
        <v>941</v>
      </c>
    </row>
    <row r="1347" spans="1:262" s="79" customFormat="1" x14ac:dyDescent="0.25">
      <c r="A1347" s="79">
        <v>61</v>
      </c>
      <c r="B1347" s="80" t="s">
        <v>4034</v>
      </c>
      <c r="C1347" s="79" t="s">
        <v>919</v>
      </c>
      <c r="D1347" s="79" t="s">
        <v>920</v>
      </c>
      <c r="E1347" s="79">
        <v>2003</v>
      </c>
      <c r="F1347" s="79">
        <v>2000</v>
      </c>
      <c r="G1347" s="79" t="s">
        <v>921</v>
      </c>
      <c r="H1347" s="79" t="s">
        <v>923</v>
      </c>
      <c r="I1347" s="32" t="s">
        <v>2815</v>
      </c>
      <c r="J1347" s="79">
        <v>40.299999999999997</v>
      </c>
      <c r="K1347" s="79">
        <v>-86.9</v>
      </c>
      <c r="L1347" s="79">
        <v>221</v>
      </c>
      <c r="O1347" s="40">
        <v>934</v>
      </c>
      <c r="R1347" s="80">
        <v>1</v>
      </c>
      <c r="S1347" s="80" t="s">
        <v>1728</v>
      </c>
      <c r="T1347" s="80" t="s">
        <v>864</v>
      </c>
      <c r="U1347" s="80" t="s">
        <v>927</v>
      </c>
      <c r="V1347" s="80" t="s">
        <v>1382</v>
      </c>
      <c r="W1347" s="71" t="s">
        <v>1717</v>
      </c>
      <c r="X1347" s="80" t="s">
        <v>1382</v>
      </c>
      <c r="Y1347" s="80" t="s">
        <v>1382</v>
      </c>
      <c r="Z1347" s="79">
        <v>1.42</v>
      </c>
      <c r="AA1347" s="342"/>
      <c r="AB1347" s="342"/>
      <c r="AC1347" s="40" t="s">
        <v>450</v>
      </c>
      <c r="AG1347" s="40" t="s">
        <v>1324</v>
      </c>
      <c r="AH1347" s="79" t="s">
        <v>1527</v>
      </c>
      <c r="AI1347" s="138" t="s">
        <v>1581</v>
      </c>
      <c r="AJ1347" s="79" t="s">
        <v>132</v>
      </c>
      <c r="AK1347" s="140" t="s">
        <v>1611</v>
      </c>
      <c r="AL1347" s="40" t="s">
        <v>942</v>
      </c>
      <c r="AM1347" s="40" t="s">
        <v>942</v>
      </c>
      <c r="AN1347" s="40" t="s">
        <v>177</v>
      </c>
      <c r="AO1347" s="79" t="s">
        <v>156</v>
      </c>
      <c r="AP1347" s="79" t="s">
        <v>156</v>
      </c>
      <c r="AQ1347" s="79" t="s">
        <v>2126</v>
      </c>
      <c r="AR1347" s="79" t="s">
        <v>2126</v>
      </c>
      <c r="AS1347" s="79" t="s">
        <v>177</v>
      </c>
      <c r="AW1347" s="79" t="s">
        <v>160</v>
      </c>
      <c r="AX1347" s="79">
        <v>4</v>
      </c>
      <c r="AZ1347" s="79" t="s">
        <v>141</v>
      </c>
      <c r="BB1347" s="79">
        <v>1160</v>
      </c>
      <c r="BD1347" s="79" t="s">
        <v>925</v>
      </c>
      <c r="BH1347" s="40"/>
      <c r="BI1347" s="40"/>
      <c r="BJ1347" s="40"/>
      <c r="BP1347" s="417">
        <v>1.49</v>
      </c>
      <c r="BQ1347" s="417">
        <v>1.54</v>
      </c>
      <c r="BU1347" s="417"/>
      <c r="BV1347" s="417"/>
      <c r="CE1347" s="570"/>
      <c r="CF1347" s="570"/>
      <c r="CG1347" s="570"/>
      <c r="CH1347" s="570"/>
      <c r="DS1347" s="79">
        <v>1.73</v>
      </c>
      <c r="DT1347" s="79">
        <v>1.93</v>
      </c>
      <c r="DW1347" s="79" t="s">
        <v>930</v>
      </c>
      <c r="DX1347" s="79">
        <v>10.64</v>
      </c>
      <c r="DY1347" s="79">
        <v>7</v>
      </c>
      <c r="EB1347" s="79" t="s">
        <v>928</v>
      </c>
      <c r="FL1347" s="79">
        <f>26.6/1.42</f>
        <v>18.732394366197184</v>
      </c>
      <c r="FM1347" s="79">
        <f>29.3/1.42</f>
        <v>20.633802816901412</v>
      </c>
      <c r="FP1347" s="79" t="s">
        <v>934</v>
      </c>
      <c r="JB1347" s="40" t="s">
        <v>941</v>
      </c>
    </row>
    <row r="1348" spans="1:262" s="24" customFormat="1" x14ac:dyDescent="0.25">
      <c r="A1348" s="24">
        <v>61</v>
      </c>
      <c r="B1348" s="42" t="s">
        <v>4035</v>
      </c>
      <c r="C1348" s="24" t="s">
        <v>919</v>
      </c>
      <c r="D1348" s="24" t="s">
        <v>920</v>
      </c>
      <c r="E1348" s="24">
        <v>2003</v>
      </c>
      <c r="F1348" s="24">
        <v>2001</v>
      </c>
      <c r="G1348" s="24" t="s">
        <v>921</v>
      </c>
      <c r="H1348" s="24" t="s">
        <v>922</v>
      </c>
      <c r="I1348" s="32" t="s">
        <v>2815</v>
      </c>
      <c r="J1348" s="24">
        <v>38.74</v>
      </c>
      <c r="K1348" s="24">
        <v>-87.49</v>
      </c>
      <c r="L1348" s="24">
        <v>130</v>
      </c>
      <c r="O1348" s="24">
        <v>1272</v>
      </c>
      <c r="R1348" s="42">
        <v>2</v>
      </c>
      <c r="S1348" s="42" t="s">
        <v>1728</v>
      </c>
      <c r="T1348" s="42" t="s">
        <v>864</v>
      </c>
      <c r="U1348" s="42" t="s">
        <v>926</v>
      </c>
      <c r="V1348" s="42" t="s">
        <v>1382</v>
      </c>
      <c r="W1348" s="42" t="s">
        <v>1717</v>
      </c>
      <c r="X1348" s="42" t="s">
        <v>1382</v>
      </c>
      <c r="Y1348" s="42" t="s">
        <v>1382</v>
      </c>
      <c r="Z1348" s="24">
        <v>1.44</v>
      </c>
      <c r="AA1348" s="321"/>
      <c r="AB1348" s="321"/>
      <c r="AC1348" s="24" t="s">
        <v>450</v>
      </c>
      <c r="AG1348" s="24" t="s">
        <v>1324</v>
      </c>
      <c r="AH1348" s="24" t="s">
        <v>1527</v>
      </c>
      <c r="AI1348" s="138" t="s">
        <v>1581</v>
      </c>
      <c r="AJ1348" s="24" t="s">
        <v>158</v>
      </c>
      <c r="AK1348" s="140" t="s">
        <v>1611</v>
      </c>
      <c r="AL1348" s="24" t="s">
        <v>942</v>
      </c>
      <c r="AM1348" s="24" t="s">
        <v>942</v>
      </c>
      <c r="AN1348" s="24" t="s">
        <v>177</v>
      </c>
      <c r="AO1348" s="24" t="s">
        <v>231</v>
      </c>
      <c r="AP1348" s="24" t="s">
        <v>231</v>
      </c>
      <c r="AQ1348" s="24" t="s">
        <v>2125</v>
      </c>
      <c r="AR1348" s="24" t="s">
        <v>2125</v>
      </c>
      <c r="AS1348" s="24" t="s">
        <v>177</v>
      </c>
      <c r="AW1348" s="24" t="s">
        <v>160</v>
      </c>
      <c r="AX1348" s="24">
        <v>4</v>
      </c>
      <c r="AZ1348" s="24" t="s">
        <v>141</v>
      </c>
      <c r="BD1348" s="24" t="s">
        <v>924</v>
      </c>
      <c r="BP1348" s="395">
        <v>1.41</v>
      </c>
      <c r="BQ1348" s="395">
        <v>1.39</v>
      </c>
      <c r="BU1348" s="395"/>
      <c r="BV1348" s="395"/>
      <c r="CE1348" s="548"/>
      <c r="CF1348" s="548"/>
      <c r="CG1348" s="548"/>
      <c r="CH1348" s="548"/>
      <c r="DS1348" s="24">
        <v>2.2400000000000002</v>
      </c>
      <c r="DT1348" s="24">
        <v>2.97</v>
      </c>
      <c r="DW1348" s="24" t="s">
        <v>930</v>
      </c>
      <c r="DX1348" s="24">
        <v>46.87</v>
      </c>
      <c r="DY1348" s="24">
        <v>50.08</v>
      </c>
      <c r="EB1348" s="24" t="s">
        <v>928</v>
      </c>
      <c r="EC1348" s="24">
        <v>1.32</v>
      </c>
      <c r="ED1348" s="24">
        <v>1.2</v>
      </c>
      <c r="EG1348" s="24" t="s">
        <v>943</v>
      </c>
      <c r="FG1348" s="24">
        <v>19.5</v>
      </c>
      <c r="FH1348" s="24">
        <v>18.7</v>
      </c>
      <c r="JB1348" s="24" t="s">
        <v>941</v>
      </c>
    </row>
    <row r="1349" spans="1:262" s="24" customFormat="1" x14ac:dyDescent="0.25">
      <c r="A1349" s="24">
        <v>61</v>
      </c>
      <c r="B1349" s="42" t="s">
        <v>4036</v>
      </c>
      <c r="C1349" s="24" t="s">
        <v>919</v>
      </c>
      <c r="D1349" s="24" t="s">
        <v>920</v>
      </c>
      <c r="E1349" s="24">
        <v>2003</v>
      </c>
      <c r="F1349" s="24">
        <v>2001</v>
      </c>
      <c r="G1349" s="24" t="s">
        <v>921</v>
      </c>
      <c r="H1349" s="24" t="s">
        <v>922</v>
      </c>
      <c r="I1349" s="32" t="s">
        <v>2815</v>
      </c>
      <c r="J1349" s="24">
        <v>38.74</v>
      </c>
      <c r="K1349" s="24">
        <v>-87.49</v>
      </c>
      <c r="L1349" s="24">
        <v>130</v>
      </c>
      <c r="O1349" s="24">
        <v>1272</v>
      </c>
      <c r="R1349" s="42">
        <v>2</v>
      </c>
      <c r="S1349" s="42" t="s">
        <v>1728</v>
      </c>
      <c r="T1349" s="42" t="s">
        <v>864</v>
      </c>
      <c r="U1349" s="42" t="s">
        <v>926</v>
      </c>
      <c r="V1349" s="42" t="s">
        <v>1382</v>
      </c>
      <c r="W1349" s="42" t="s">
        <v>1717</v>
      </c>
      <c r="X1349" s="42" t="s">
        <v>1382</v>
      </c>
      <c r="Y1349" s="42" t="s">
        <v>1382</v>
      </c>
      <c r="Z1349" s="24">
        <v>1.44</v>
      </c>
      <c r="AA1349" s="321"/>
      <c r="AB1349" s="321"/>
      <c r="AC1349" s="24" t="s">
        <v>450</v>
      </c>
      <c r="AG1349" s="24" t="s">
        <v>1324</v>
      </c>
      <c r="AH1349" s="24" t="s">
        <v>1527</v>
      </c>
      <c r="AI1349" s="138" t="s">
        <v>1581</v>
      </c>
      <c r="AJ1349" s="24" t="s">
        <v>132</v>
      </c>
      <c r="AK1349" s="140" t="s">
        <v>1611</v>
      </c>
      <c r="AL1349" s="24" t="s">
        <v>942</v>
      </c>
      <c r="AM1349" s="24" t="s">
        <v>942</v>
      </c>
      <c r="AN1349" s="24" t="s">
        <v>177</v>
      </c>
      <c r="AO1349" s="24" t="s">
        <v>231</v>
      </c>
      <c r="AP1349" s="24" t="s">
        <v>231</v>
      </c>
      <c r="AQ1349" s="24" t="s">
        <v>2125</v>
      </c>
      <c r="AR1349" s="24" t="s">
        <v>2125</v>
      </c>
      <c r="AS1349" s="24" t="s">
        <v>177</v>
      </c>
      <c r="AW1349" s="24" t="s">
        <v>160</v>
      </c>
      <c r="AX1349" s="24">
        <v>4</v>
      </c>
      <c r="AZ1349" s="24" t="s">
        <v>141</v>
      </c>
      <c r="BD1349" s="24" t="s">
        <v>925</v>
      </c>
      <c r="BP1349" s="395">
        <v>1.41</v>
      </c>
      <c r="BQ1349" s="395">
        <v>1.37</v>
      </c>
      <c r="BU1349" s="395"/>
      <c r="BV1349" s="395"/>
      <c r="CE1349" s="548"/>
      <c r="CF1349" s="548"/>
      <c r="CG1349" s="548"/>
      <c r="CH1349" s="548"/>
      <c r="DS1349" s="24">
        <v>2.2400000000000002</v>
      </c>
      <c r="DT1349" s="24">
        <v>3.53</v>
      </c>
      <c r="DW1349" s="24" t="s">
        <v>930</v>
      </c>
      <c r="DX1349" s="24">
        <v>46.87</v>
      </c>
      <c r="DY1349" s="24">
        <v>50.6</v>
      </c>
      <c r="EB1349" s="24" t="s">
        <v>928</v>
      </c>
      <c r="EC1349" s="24">
        <v>1.32</v>
      </c>
      <c r="ED1349" s="24">
        <v>1.41</v>
      </c>
      <c r="EG1349" s="24" t="s">
        <v>943</v>
      </c>
      <c r="FG1349" s="24">
        <v>19.5</v>
      </c>
      <c r="FH1349" s="24">
        <v>17.600000000000001</v>
      </c>
      <c r="JB1349" s="24" t="s">
        <v>941</v>
      </c>
    </row>
    <row r="1350" spans="1:262" s="24" customFormat="1" x14ac:dyDescent="0.25">
      <c r="A1350" s="24">
        <v>61</v>
      </c>
      <c r="B1350" s="42" t="s">
        <v>4037</v>
      </c>
      <c r="C1350" s="24" t="s">
        <v>919</v>
      </c>
      <c r="D1350" s="24" t="s">
        <v>920</v>
      </c>
      <c r="E1350" s="24">
        <v>2003</v>
      </c>
      <c r="F1350" s="24">
        <v>2001</v>
      </c>
      <c r="G1350" s="24" t="s">
        <v>921</v>
      </c>
      <c r="H1350" s="24" t="s">
        <v>922</v>
      </c>
      <c r="I1350" s="32" t="s">
        <v>2815</v>
      </c>
      <c r="J1350" s="24">
        <v>38.74</v>
      </c>
      <c r="K1350" s="24">
        <v>-87.49</v>
      </c>
      <c r="L1350" s="24">
        <v>130</v>
      </c>
      <c r="O1350" s="24">
        <v>1272</v>
      </c>
      <c r="R1350" s="42">
        <v>2</v>
      </c>
      <c r="S1350" s="42" t="s">
        <v>1728</v>
      </c>
      <c r="T1350" s="42" t="s">
        <v>864</v>
      </c>
      <c r="U1350" s="42" t="s">
        <v>926</v>
      </c>
      <c r="V1350" s="42" t="s">
        <v>1382</v>
      </c>
      <c r="W1350" s="42" t="s">
        <v>1717</v>
      </c>
      <c r="X1350" s="42" t="s">
        <v>1382</v>
      </c>
      <c r="Y1350" s="42" t="s">
        <v>1382</v>
      </c>
      <c r="Z1350" s="24">
        <v>1.44</v>
      </c>
      <c r="AA1350" s="321"/>
      <c r="AB1350" s="321"/>
      <c r="AC1350" s="24" t="s">
        <v>450</v>
      </c>
      <c r="AG1350" s="24" t="s">
        <v>1324</v>
      </c>
      <c r="AH1350" s="24" t="s">
        <v>1527</v>
      </c>
      <c r="AI1350" s="138" t="s">
        <v>1581</v>
      </c>
      <c r="AJ1350" s="24" t="s">
        <v>158</v>
      </c>
      <c r="AK1350" s="140" t="s">
        <v>1611</v>
      </c>
      <c r="AL1350" s="24" t="s">
        <v>942</v>
      </c>
      <c r="AM1350" s="24" t="s">
        <v>942</v>
      </c>
      <c r="AN1350" s="24" t="s">
        <v>177</v>
      </c>
      <c r="AO1350" s="24" t="s">
        <v>156</v>
      </c>
      <c r="AP1350" s="24" t="s">
        <v>156</v>
      </c>
      <c r="AQ1350" s="24" t="s">
        <v>2126</v>
      </c>
      <c r="AR1350" s="24" t="s">
        <v>2126</v>
      </c>
      <c r="AS1350" s="24" t="s">
        <v>177</v>
      </c>
      <c r="AW1350" s="24" t="s">
        <v>160</v>
      </c>
      <c r="AX1350" s="24">
        <v>4</v>
      </c>
      <c r="AZ1350" s="24" t="s">
        <v>141</v>
      </c>
      <c r="BD1350" s="24" t="s">
        <v>924</v>
      </c>
      <c r="BP1350" s="395">
        <v>1.49</v>
      </c>
      <c r="BQ1350" s="395">
        <v>1.49</v>
      </c>
      <c r="BU1350" s="395"/>
      <c r="BV1350" s="395"/>
      <c r="CE1350" s="548"/>
      <c r="CF1350" s="548"/>
      <c r="CG1350" s="548"/>
      <c r="CH1350" s="548"/>
      <c r="DS1350" s="24">
        <v>2.21</v>
      </c>
      <c r="DT1350" s="24">
        <v>2.87</v>
      </c>
      <c r="DW1350" s="24" t="s">
        <v>930</v>
      </c>
      <c r="DX1350" s="24">
        <v>42.81</v>
      </c>
      <c r="DY1350" s="24">
        <v>41.5</v>
      </c>
      <c r="EB1350" s="24" t="s">
        <v>928</v>
      </c>
      <c r="EC1350" s="24">
        <v>1.23</v>
      </c>
      <c r="ED1350" s="24">
        <v>1.1000000000000001</v>
      </c>
      <c r="EG1350" s="24" t="s">
        <v>943</v>
      </c>
      <c r="FG1350" s="24">
        <v>17.899999999999999</v>
      </c>
      <c r="FH1350" s="24">
        <v>16.3</v>
      </c>
      <c r="JB1350" s="24" t="s">
        <v>941</v>
      </c>
    </row>
    <row r="1351" spans="1:262" s="24" customFormat="1" x14ac:dyDescent="0.25">
      <c r="A1351" s="24">
        <v>61</v>
      </c>
      <c r="B1351" s="42" t="s">
        <v>4038</v>
      </c>
      <c r="C1351" s="24" t="s">
        <v>919</v>
      </c>
      <c r="D1351" s="24" t="s">
        <v>920</v>
      </c>
      <c r="E1351" s="24">
        <v>2003</v>
      </c>
      <c r="F1351" s="24">
        <v>2001</v>
      </c>
      <c r="G1351" s="24" t="s">
        <v>921</v>
      </c>
      <c r="H1351" s="24" t="s">
        <v>922</v>
      </c>
      <c r="I1351" s="32" t="s">
        <v>2815</v>
      </c>
      <c r="J1351" s="24">
        <v>38.74</v>
      </c>
      <c r="K1351" s="24">
        <v>-87.49</v>
      </c>
      <c r="L1351" s="24">
        <v>130</v>
      </c>
      <c r="O1351" s="24">
        <v>1272</v>
      </c>
      <c r="R1351" s="42">
        <v>2</v>
      </c>
      <c r="S1351" s="42" t="s">
        <v>1728</v>
      </c>
      <c r="T1351" s="42" t="s">
        <v>864</v>
      </c>
      <c r="U1351" s="42" t="s">
        <v>926</v>
      </c>
      <c r="V1351" s="42" t="s">
        <v>1382</v>
      </c>
      <c r="W1351" s="42" t="s">
        <v>1717</v>
      </c>
      <c r="X1351" s="42" t="s">
        <v>1382</v>
      </c>
      <c r="Y1351" s="42" t="s">
        <v>1382</v>
      </c>
      <c r="Z1351" s="24">
        <v>1.44</v>
      </c>
      <c r="AA1351" s="321"/>
      <c r="AB1351" s="321"/>
      <c r="AC1351" s="24" t="s">
        <v>450</v>
      </c>
      <c r="AG1351" s="24" t="s">
        <v>1324</v>
      </c>
      <c r="AH1351" s="24" t="s">
        <v>1527</v>
      </c>
      <c r="AI1351" s="138" t="s">
        <v>1581</v>
      </c>
      <c r="AJ1351" s="24" t="s">
        <v>132</v>
      </c>
      <c r="AK1351" s="140" t="s">
        <v>1611</v>
      </c>
      <c r="AL1351" s="24" t="s">
        <v>942</v>
      </c>
      <c r="AM1351" s="24" t="s">
        <v>942</v>
      </c>
      <c r="AN1351" s="24" t="s">
        <v>177</v>
      </c>
      <c r="AO1351" s="24" t="s">
        <v>156</v>
      </c>
      <c r="AP1351" s="24" t="s">
        <v>156</v>
      </c>
      <c r="AQ1351" s="24" t="s">
        <v>2126</v>
      </c>
      <c r="AR1351" s="24" t="s">
        <v>2126</v>
      </c>
      <c r="AS1351" s="24" t="s">
        <v>177</v>
      </c>
      <c r="AW1351" s="24" t="s">
        <v>160</v>
      </c>
      <c r="AX1351" s="24">
        <v>4</v>
      </c>
      <c r="AZ1351" s="24" t="s">
        <v>141</v>
      </c>
      <c r="BD1351" s="24" t="s">
        <v>925</v>
      </c>
      <c r="BP1351" s="395">
        <v>1.49</v>
      </c>
      <c r="BQ1351" s="395">
        <v>1.46</v>
      </c>
      <c r="BU1351" s="395"/>
      <c r="BV1351" s="395"/>
      <c r="CE1351" s="548"/>
      <c r="CF1351" s="548"/>
      <c r="CG1351" s="548"/>
      <c r="CH1351" s="548"/>
      <c r="DS1351" s="24">
        <v>2.21</v>
      </c>
      <c r="DT1351" s="24">
        <v>3.17</v>
      </c>
      <c r="DW1351" s="24" t="s">
        <v>930</v>
      </c>
      <c r="DX1351" s="24">
        <v>42.81</v>
      </c>
      <c r="DY1351" s="24">
        <v>40.31</v>
      </c>
      <c r="EB1351" s="24" t="s">
        <v>928</v>
      </c>
      <c r="EC1351" s="24">
        <v>1.23</v>
      </c>
      <c r="ED1351" s="24">
        <v>1.1299999999999999</v>
      </c>
      <c r="EG1351" s="24" t="s">
        <v>943</v>
      </c>
      <c r="FG1351" s="24">
        <v>17.899999999999999</v>
      </c>
      <c r="FH1351" s="24">
        <v>15.5</v>
      </c>
      <c r="JB1351" s="24" t="s">
        <v>941</v>
      </c>
    </row>
    <row r="1352" spans="1:262" s="24" customFormat="1" x14ac:dyDescent="0.25">
      <c r="A1352" s="24">
        <v>61</v>
      </c>
      <c r="B1352" s="42" t="s">
        <v>4035</v>
      </c>
      <c r="C1352" s="24" t="s">
        <v>919</v>
      </c>
      <c r="D1352" s="24" t="s">
        <v>920</v>
      </c>
      <c r="E1352" s="24">
        <v>2003</v>
      </c>
      <c r="F1352" s="24">
        <v>2001</v>
      </c>
      <c r="G1352" s="24" t="s">
        <v>921</v>
      </c>
      <c r="H1352" s="24" t="s">
        <v>922</v>
      </c>
      <c r="I1352" s="32" t="s">
        <v>2815</v>
      </c>
      <c r="J1352" s="24">
        <v>38.74</v>
      </c>
      <c r="K1352" s="24">
        <v>-87.49</v>
      </c>
      <c r="L1352" s="24">
        <v>130</v>
      </c>
      <c r="O1352" s="24">
        <v>1272</v>
      </c>
      <c r="R1352" s="42">
        <v>2</v>
      </c>
      <c r="S1352" s="42" t="s">
        <v>1728</v>
      </c>
      <c r="T1352" s="42" t="s">
        <v>864</v>
      </c>
      <c r="U1352" s="42" t="s">
        <v>927</v>
      </c>
      <c r="V1352" s="42" t="s">
        <v>1382</v>
      </c>
      <c r="W1352" s="42" t="s">
        <v>1717</v>
      </c>
      <c r="X1352" s="42" t="s">
        <v>1382</v>
      </c>
      <c r="Y1352" s="42" t="s">
        <v>1382</v>
      </c>
      <c r="Z1352" s="24">
        <v>1.44</v>
      </c>
      <c r="AA1352" s="321"/>
      <c r="AB1352" s="321"/>
      <c r="AC1352" s="24" t="s">
        <v>450</v>
      </c>
      <c r="AG1352" s="24" t="s">
        <v>1324</v>
      </c>
      <c r="AH1352" s="24" t="s">
        <v>1527</v>
      </c>
      <c r="AI1352" s="138" t="s">
        <v>1581</v>
      </c>
      <c r="AJ1352" s="24" t="s">
        <v>158</v>
      </c>
      <c r="AK1352" s="140" t="s">
        <v>1611</v>
      </c>
      <c r="AL1352" s="24" t="s">
        <v>942</v>
      </c>
      <c r="AM1352" s="24" t="s">
        <v>942</v>
      </c>
      <c r="AN1352" s="24" t="s">
        <v>177</v>
      </c>
      <c r="AO1352" s="24" t="s">
        <v>231</v>
      </c>
      <c r="AP1352" s="24" t="s">
        <v>231</v>
      </c>
      <c r="AQ1352" s="24" t="s">
        <v>2125</v>
      </c>
      <c r="AR1352" s="24" t="s">
        <v>2125</v>
      </c>
      <c r="AS1352" s="24" t="s">
        <v>177</v>
      </c>
      <c r="AW1352" s="24" t="s">
        <v>160</v>
      </c>
      <c r="AX1352" s="24">
        <v>4</v>
      </c>
      <c r="AZ1352" s="24" t="s">
        <v>141</v>
      </c>
      <c r="BB1352" s="24">
        <v>679</v>
      </c>
      <c r="BD1352" s="24" t="s">
        <v>924</v>
      </c>
      <c r="BP1352" s="395">
        <v>1.41</v>
      </c>
      <c r="BQ1352" s="395">
        <v>1.32</v>
      </c>
      <c r="BU1352" s="395"/>
      <c r="BV1352" s="395"/>
      <c r="CE1352" s="548"/>
      <c r="CF1352" s="548"/>
      <c r="CG1352" s="548"/>
      <c r="CH1352" s="548"/>
      <c r="DS1352" s="24">
        <v>3.03</v>
      </c>
      <c r="DT1352" s="24">
        <v>3.29</v>
      </c>
      <c r="DW1352" s="24" t="s">
        <v>930</v>
      </c>
      <c r="DX1352" s="24">
        <v>11.49</v>
      </c>
      <c r="DY1352" s="24">
        <v>15.23</v>
      </c>
      <c r="EB1352" s="24" t="s">
        <v>928</v>
      </c>
      <c r="EC1352" s="24">
        <v>1.43</v>
      </c>
      <c r="ED1352" s="24">
        <v>1.31</v>
      </c>
      <c r="EG1352" s="24" t="s">
        <v>943</v>
      </c>
      <c r="EM1352" s="24">
        <v>42</v>
      </c>
      <c r="EN1352" s="24">
        <v>119.4</v>
      </c>
      <c r="FL1352" s="24">
        <f>21.2/1.42</f>
        <v>14.929577464788732</v>
      </c>
      <c r="FM1352" s="24">
        <f>23.9/1.42</f>
        <v>16.830985915492956</v>
      </c>
      <c r="FP1352" s="95" t="s">
        <v>935</v>
      </c>
      <c r="JB1352" s="24" t="s">
        <v>941</v>
      </c>
    </row>
    <row r="1353" spans="1:262" s="24" customFormat="1" x14ac:dyDescent="0.25">
      <c r="A1353" s="24">
        <v>61</v>
      </c>
      <c r="B1353" s="42" t="s">
        <v>4036</v>
      </c>
      <c r="C1353" s="24" t="s">
        <v>919</v>
      </c>
      <c r="D1353" s="24" t="s">
        <v>920</v>
      </c>
      <c r="E1353" s="24">
        <v>2003</v>
      </c>
      <c r="F1353" s="24">
        <v>2001</v>
      </c>
      <c r="G1353" s="24" t="s">
        <v>921</v>
      </c>
      <c r="H1353" s="24" t="s">
        <v>922</v>
      </c>
      <c r="I1353" s="32" t="s">
        <v>2815</v>
      </c>
      <c r="J1353" s="24">
        <v>38.74</v>
      </c>
      <c r="K1353" s="24">
        <v>-87.49</v>
      </c>
      <c r="L1353" s="24">
        <v>130</v>
      </c>
      <c r="O1353" s="24">
        <v>1272</v>
      </c>
      <c r="R1353" s="42">
        <v>2</v>
      </c>
      <c r="S1353" s="42" t="s">
        <v>1728</v>
      </c>
      <c r="T1353" s="42" t="s">
        <v>864</v>
      </c>
      <c r="U1353" s="42" t="s">
        <v>927</v>
      </c>
      <c r="V1353" s="42" t="s">
        <v>1382</v>
      </c>
      <c r="W1353" s="42" t="s">
        <v>1717</v>
      </c>
      <c r="X1353" s="42" t="s">
        <v>1382</v>
      </c>
      <c r="Y1353" s="42" t="s">
        <v>1382</v>
      </c>
      <c r="Z1353" s="24">
        <v>1.44</v>
      </c>
      <c r="AA1353" s="321"/>
      <c r="AB1353" s="321"/>
      <c r="AC1353" s="24" t="s">
        <v>450</v>
      </c>
      <c r="AG1353" s="24" t="s">
        <v>1324</v>
      </c>
      <c r="AH1353" s="24" t="s">
        <v>1527</v>
      </c>
      <c r="AI1353" s="138" t="s">
        <v>1581</v>
      </c>
      <c r="AJ1353" s="24" t="s">
        <v>132</v>
      </c>
      <c r="AK1353" s="140" t="s">
        <v>1611</v>
      </c>
      <c r="AL1353" s="24" t="s">
        <v>942</v>
      </c>
      <c r="AM1353" s="24" t="s">
        <v>942</v>
      </c>
      <c r="AN1353" s="24" t="s">
        <v>177</v>
      </c>
      <c r="AO1353" s="24" t="s">
        <v>231</v>
      </c>
      <c r="AP1353" s="24" t="s">
        <v>231</v>
      </c>
      <c r="AQ1353" s="24" t="s">
        <v>2125</v>
      </c>
      <c r="AR1353" s="24" t="s">
        <v>2125</v>
      </c>
      <c r="AS1353" s="24" t="s">
        <v>177</v>
      </c>
      <c r="AW1353" s="24" t="s">
        <v>160</v>
      </c>
      <c r="AX1353" s="24">
        <v>4</v>
      </c>
      <c r="AZ1353" s="24" t="s">
        <v>141</v>
      </c>
      <c r="BB1353" s="24">
        <v>1426</v>
      </c>
      <c r="BD1353" s="24" t="s">
        <v>925</v>
      </c>
      <c r="BP1353" s="395">
        <v>1.41</v>
      </c>
      <c r="BQ1353" s="395">
        <v>1.31</v>
      </c>
      <c r="BU1353" s="395"/>
      <c r="BV1353" s="395"/>
      <c r="CE1353" s="548"/>
      <c r="CF1353" s="548"/>
      <c r="CG1353" s="548"/>
      <c r="CH1353" s="548"/>
      <c r="DS1353" s="24">
        <v>3.02</v>
      </c>
      <c r="DT1353" s="24">
        <v>3.41</v>
      </c>
      <c r="DW1353" s="24" t="s">
        <v>930</v>
      </c>
      <c r="DX1353" s="24">
        <v>11.49</v>
      </c>
      <c r="DY1353" s="24">
        <v>14.61</v>
      </c>
      <c r="EB1353" s="24" t="s">
        <v>928</v>
      </c>
      <c r="EC1353" s="24">
        <v>1.43</v>
      </c>
      <c r="ED1353" s="24">
        <v>1.47</v>
      </c>
      <c r="EG1353" s="24" t="s">
        <v>943</v>
      </c>
      <c r="EM1353" s="24">
        <v>42</v>
      </c>
      <c r="EN1353" s="24">
        <v>37.200000000000003</v>
      </c>
      <c r="FL1353" s="24">
        <f>21.2/1.42</f>
        <v>14.929577464788732</v>
      </c>
      <c r="FM1353" s="24">
        <f>22.3/1.42</f>
        <v>15.704225352112678</v>
      </c>
      <c r="FP1353" s="95" t="s">
        <v>935</v>
      </c>
      <c r="JB1353" s="24" t="s">
        <v>941</v>
      </c>
    </row>
    <row r="1354" spans="1:262" s="24" customFormat="1" x14ac:dyDescent="0.25">
      <c r="A1354" s="24">
        <v>61</v>
      </c>
      <c r="B1354" s="42" t="s">
        <v>4037</v>
      </c>
      <c r="C1354" s="24" t="s">
        <v>919</v>
      </c>
      <c r="D1354" s="24" t="s">
        <v>920</v>
      </c>
      <c r="E1354" s="24">
        <v>2003</v>
      </c>
      <c r="F1354" s="24">
        <v>2001</v>
      </c>
      <c r="G1354" s="24" t="s">
        <v>921</v>
      </c>
      <c r="H1354" s="24" t="s">
        <v>922</v>
      </c>
      <c r="I1354" s="32" t="s">
        <v>2815</v>
      </c>
      <c r="J1354" s="24">
        <v>38.74</v>
      </c>
      <c r="K1354" s="24">
        <v>-87.49</v>
      </c>
      <c r="L1354" s="24">
        <v>130</v>
      </c>
      <c r="O1354" s="24">
        <v>1272</v>
      </c>
      <c r="R1354" s="42">
        <v>2</v>
      </c>
      <c r="S1354" s="42" t="s">
        <v>1728</v>
      </c>
      <c r="T1354" s="42" t="s">
        <v>864</v>
      </c>
      <c r="U1354" s="42" t="s">
        <v>927</v>
      </c>
      <c r="V1354" s="42" t="s">
        <v>1382</v>
      </c>
      <c r="W1354" s="42" t="s">
        <v>1717</v>
      </c>
      <c r="X1354" s="42" t="s">
        <v>1382</v>
      </c>
      <c r="Y1354" s="42" t="s">
        <v>1382</v>
      </c>
      <c r="Z1354" s="24">
        <v>1.44</v>
      </c>
      <c r="AA1354" s="321"/>
      <c r="AB1354" s="321"/>
      <c r="AC1354" s="24" t="s">
        <v>450</v>
      </c>
      <c r="AG1354" s="24" t="s">
        <v>1324</v>
      </c>
      <c r="AH1354" s="24" t="s">
        <v>1527</v>
      </c>
      <c r="AI1354" s="138" t="s">
        <v>1581</v>
      </c>
      <c r="AJ1354" s="24" t="s">
        <v>158</v>
      </c>
      <c r="AK1354" s="140" t="s">
        <v>1611</v>
      </c>
      <c r="AL1354" s="24" t="s">
        <v>942</v>
      </c>
      <c r="AM1354" s="24" t="s">
        <v>942</v>
      </c>
      <c r="AN1354" s="24" t="s">
        <v>177</v>
      </c>
      <c r="AO1354" s="24" t="s">
        <v>156</v>
      </c>
      <c r="AP1354" s="24" t="s">
        <v>156</v>
      </c>
      <c r="AQ1354" s="24" t="s">
        <v>2126</v>
      </c>
      <c r="AR1354" s="24" t="s">
        <v>2126</v>
      </c>
      <c r="AS1354" s="24" t="s">
        <v>177</v>
      </c>
      <c r="AW1354" s="24" t="s">
        <v>160</v>
      </c>
      <c r="AX1354" s="24">
        <v>4</v>
      </c>
      <c r="AZ1354" s="24" t="s">
        <v>141</v>
      </c>
      <c r="BB1354" s="24">
        <v>418</v>
      </c>
      <c r="BD1354" s="24" t="s">
        <v>924</v>
      </c>
      <c r="BP1354" s="395">
        <v>1.52</v>
      </c>
      <c r="BQ1354" s="395">
        <v>1.55</v>
      </c>
      <c r="BU1354" s="395"/>
      <c r="BV1354" s="395"/>
      <c r="CE1354" s="548"/>
      <c r="CF1354" s="548"/>
      <c r="CG1354" s="548"/>
      <c r="CH1354" s="548"/>
      <c r="DS1354" s="24">
        <v>2.57</v>
      </c>
      <c r="DT1354" s="24">
        <v>3.14</v>
      </c>
      <c r="DW1354" s="24" t="s">
        <v>930</v>
      </c>
      <c r="DX1354" s="24">
        <v>7.79</v>
      </c>
      <c r="DY1354" s="24">
        <v>5.93</v>
      </c>
      <c r="EB1354" s="24" t="s">
        <v>928</v>
      </c>
      <c r="EC1354" s="24">
        <v>1.4</v>
      </c>
      <c r="ED1354" s="24">
        <v>1.34</v>
      </c>
      <c r="EG1354" s="24" t="s">
        <v>943</v>
      </c>
      <c r="FL1354" s="24">
        <f>27.2/1.42</f>
        <v>19.154929577464788</v>
      </c>
      <c r="FM1354" s="24">
        <f>32.8/1.42</f>
        <v>23.098591549295772</v>
      </c>
      <c r="FP1354" s="95" t="s">
        <v>935</v>
      </c>
      <c r="JB1354" s="24" t="s">
        <v>941</v>
      </c>
    </row>
    <row r="1355" spans="1:262" s="24" customFormat="1" x14ac:dyDescent="0.25">
      <c r="A1355" s="24">
        <v>61</v>
      </c>
      <c r="B1355" s="42" t="s">
        <v>4038</v>
      </c>
      <c r="C1355" s="24" t="s">
        <v>919</v>
      </c>
      <c r="D1355" s="24" t="s">
        <v>920</v>
      </c>
      <c r="E1355" s="24">
        <v>2003</v>
      </c>
      <c r="F1355" s="24">
        <v>2001</v>
      </c>
      <c r="G1355" s="24" t="s">
        <v>921</v>
      </c>
      <c r="H1355" s="24" t="s">
        <v>922</v>
      </c>
      <c r="I1355" s="32" t="s">
        <v>2815</v>
      </c>
      <c r="J1355" s="24">
        <v>38.74</v>
      </c>
      <c r="K1355" s="24">
        <v>-87.49</v>
      </c>
      <c r="L1355" s="24">
        <v>130</v>
      </c>
      <c r="O1355" s="24">
        <v>1272</v>
      </c>
      <c r="R1355" s="42">
        <v>2</v>
      </c>
      <c r="S1355" s="42" t="s">
        <v>1728</v>
      </c>
      <c r="T1355" s="42" t="s">
        <v>864</v>
      </c>
      <c r="U1355" s="42" t="s">
        <v>927</v>
      </c>
      <c r="V1355" s="42" t="s">
        <v>1382</v>
      </c>
      <c r="W1355" s="42" t="s">
        <v>1717</v>
      </c>
      <c r="X1355" s="42" t="s">
        <v>1382</v>
      </c>
      <c r="Y1355" s="42" t="s">
        <v>1382</v>
      </c>
      <c r="Z1355" s="24">
        <v>1.44</v>
      </c>
      <c r="AA1355" s="321"/>
      <c r="AB1355" s="321"/>
      <c r="AC1355" s="24" t="s">
        <v>450</v>
      </c>
      <c r="AG1355" s="24" t="s">
        <v>1324</v>
      </c>
      <c r="AH1355" s="24" t="s">
        <v>1527</v>
      </c>
      <c r="AI1355" s="138" t="s">
        <v>1581</v>
      </c>
      <c r="AJ1355" s="24" t="s">
        <v>132</v>
      </c>
      <c r="AK1355" s="140" t="s">
        <v>1611</v>
      </c>
      <c r="AL1355" s="24" t="s">
        <v>942</v>
      </c>
      <c r="AM1355" s="24" t="s">
        <v>942</v>
      </c>
      <c r="AN1355" s="24" t="s">
        <v>177</v>
      </c>
      <c r="AO1355" s="24" t="s">
        <v>156</v>
      </c>
      <c r="AP1355" s="24" t="s">
        <v>156</v>
      </c>
      <c r="AQ1355" s="24" t="s">
        <v>2126</v>
      </c>
      <c r="AR1355" s="24" t="s">
        <v>2126</v>
      </c>
      <c r="AS1355" s="24" t="s">
        <v>177</v>
      </c>
      <c r="AW1355" s="24" t="s">
        <v>160</v>
      </c>
      <c r="AX1355" s="24">
        <v>4</v>
      </c>
      <c r="AZ1355" s="24" t="s">
        <v>141</v>
      </c>
      <c r="BB1355" s="24">
        <v>1048</v>
      </c>
      <c r="BD1355" s="24" t="s">
        <v>925</v>
      </c>
      <c r="BP1355" s="395">
        <v>1.52</v>
      </c>
      <c r="BQ1355" s="395">
        <v>1.58</v>
      </c>
      <c r="BU1355" s="395"/>
      <c r="BV1355" s="395"/>
      <c r="CE1355" s="548"/>
      <c r="CF1355" s="548"/>
      <c r="CG1355" s="548"/>
      <c r="CH1355" s="548"/>
      <c r="DS1355" s="24">
        <v>2.57</v>
      </c>
      <c r="DT1355" s="24">
        <v>3.51</v>
      </c>
      <c r="DW1355" s="24" t="s">
        <v>930</v>
      </c>
      <c r="DX1355" s="24">
        <v>7.79</v>
      </c>
      <c r="DY1355" s="24">
        <v>4.62</v>
      </c>
      <c r="EB1355" s="24" t="s">
        <v>928</v>
      </c>
      <c r="EC1355" s="24">
        <v>1.4</v>
      </c>
      <c r="ED1355" s="24">
        <v>1.4</v>
      </c>
      <c r="EG1355" s="24" t="s">
        <v>943</v>
      </c>
      <c r="FL1355" s="24">
        <f>27.2/1.42</f>
        <v>19.154929577464788</v>
      </c>
      <c r="FM1355" s="24">
        <f>28.5/1.42</f>
        <v>20.070422535211268</v>
      </c>
      <c r="FP1355" s="95" t="s">
        <v>935</v>
      </c>
      <c r="JB1355" s="24" t="s">
        <v>941</v>
      </c>
    </row>
    <row r="1356" spans="1:262" s="72" customFormat="1" x14ac:dyDescent="0.25">
      <c r="A1356" s="72">
        <v>61</v>
      </c>
      <c r="B1356" s="73" t="s">
        <v>4035</v>
      </c>
      <c r="C1356" s="72" t="s">
        <v>919</v>
      </c>
      <c r="D1356" s="72" t="s">
        <v>920</v>
      </c>
      <c r="E1356" s="72">
        <v>2003</v>
      </c>
      <c r="F1356" s="72">
        <v>2001</v>
      </c>
      <c r="G1356" s="72" t="s">
        <v>921</v>
      </c>
      <c r="H1356" s="72" t="s">
        <v>923</v>
      </c>
      <c r="I1356" s="32" t="s">
        <v>2815</v>
      </c>
      <c r="J1356" s="72">
        <v>40.299999999999997</v>
      </c>
      <c r="K1356" s="72">
        <v>-86.9</v>
      </c>
      <c r="L1356" s="72">
        <v>221</v>
      </c>
      <c r="O1356" s="24">
        <v>910</v>
      </c>
      <c r="R1356" s="73">
        <v>2</v>
      </c>
      <c r="S1356" s="42" t="s">
        <v>1728</v>
      </c>
      <c r="T1356" s="73" t="s">
        <v>864</v>
      </c>
      <c r="U1356" s="73" t="s">
        <v>926</v>
      </c>
      <c r="V1356" s="73" t="s">
        <v>1382</v>
      </c>
      <c r="W1356" s="42" t="s">
        <v>1717</v>
      </c>
      <c r="X1356" s="73" t="s">
        <v>1382</v>
      </c>
      <c r="Y1356" s="73" t="s">
        <v>1382</v>
      </c>
      <c r="Z1356" s="72">
        <v>1.42</v>
      </c>
      <c r="AA1356" s="338"/>
      <c r="AB1356" s="338"/>
      <c r="AC1356" s="72" t="s">
        <v>450</v>
      </c>
      <c r="AG1356" s="72" t="s">
        <v>1324</v>
      </c>
      <c r="AH1356" s="72" t="s">
        <v>1527</v>
      </c>
      <c r="AI1356" s="138" t="s">
        <v>1581</v>
      </c>
      <c r="AJ1356" s="72" t="s">
        <v>158</v>
      </c>
      <c r="AK1356" s="140" t="s">
        <v>1611</v>
      </c>
      <c r="AL1356" s="72" t="s">
        <v>942</v>
      </c>
      <c r="AM1356" s="72" t="s">
        <v>942</v>
      </c>
      <c r="AN1356" s="72" t="s">
        <v>177</v>
      </c>
      <c r="AO1356" s="72" t="s">
        <v>231</v>
      </c>
      <c r="AP1356" s="72" t="s">
        <v>231</v>
      </c>
      <c r="AQ1356" s="72" t="s">
        <v>2125</v>
      </c>
      <c r="AR1356" s="72" t="s">
        <v>2125</v>
      </c>
      <c r="AS1356" s="72" t="s">
        <v>177</v>
      </c>
      <c r="AW1356" s="72" t="s">
        <v>160</v>
      </c>
      <c r="AX1356" s="72">
        <v>4</v>
      </c>
      <c r="AZ1356" s="72" t="s">
        <v>141</v>
      </c>
      <c r="BD1356" s="72" t="s">
        <v>924</v>
      </c>
      <c r="BP1356" s="413"/>
      <c r="BQ1356" s="413"/>
      <c r="BU1356" s="413"/>
      <c r="BV1356" s="413"/>
      <c r="CE1356" s="566"/>
      <c r="CF1356" s="566"/>
      <c r="CG1356" s="566"/>
      <c r="CH1356" s="566"/>
      <c r="DX1356" s="72">
        <v>49.51</v>
      </c>
      <c r="DY1356" s="72">
        <v>49.51</v>
      </c>
      <c r="EB1356" s="72" t="s">
        <v>928</v>
      </c>
      <c r="EC1356" s="72">
        <v>1.43</v>
      </c>
      <c r="ED1356" s="72">
        <v>1.78</v>
      </c>
      <c r="EG1356" s="24" t="s">
        <v>943</v>
      </c>
      <c r="EM1356" s="72">
        <v>81.599999999999994</v>
      </c>
      <c r="EN1356" s="72">
        <v>84.6</v>
      </c>
      <c r="FG1356" s="72">
        <v>23</v>
      </c>
      <c r="FH1356" s="72">
        <v>22.1</v>
      </c>
      <c r="FL1356" s="72">
        <f>13.9/1.42</f>
        <v>9.7887323943661979</v>
      </c>
      <c r="FM1356" s="72">
        <f>19.6/1.42</f>
        <v>13.802816901408452</v>
      </c>
      <c r="FP1356" s="95" t="s">
        <v>936</v>
      </c>
      <c r="JB1356" s="72" t="s">
        <v>941</v>
      </c>
    </row>
    <row r="1357" spans="1:262" s="72" customFormat="1" x14ac:dyDescent="0.25">
      <c r="A1357" s="72">
        <v>61</v>
      </c>
      <c r="B1357" s="73" t="s">
        <v>4036</v>
      </c>
      <c r="C1357" s="72" t="s">
        <v>919</v>
      </c>
      <c r="D1357" s="72" t="s">
        <v>920</v>
      </c>
      <c r="E1357" s="72">
        <v>2003</v>
      </c>
      <c r="F1357" s="72">
        <v>2001</v>
      </c>
      <c r="G1357" s="72" t="s">
        <v>921</v>
      </c>
      <c r="H1357" s="72" t="s">
        <v>923</v>
      </c>
      <c r="I1357" s="32" t="s">
        <v>2815</v>
      </c>
      <c r="J1357" s="72">
        <v>40.299999999999997</v>
      </c>
      <c r="K1357" s="72">
        <v>-86.9</v>
      </c>
      <c r="L1357" s="72">
        <v>221</v>
      </c>
      <c r="O1357" s="24">
        <v>910</v>
      </c>
      <c r="R1357" s="73">
        <v>2</v>
      </c>
      <c r="S1357" s="42" t="s">
        <v>1728</v>
      </c>
      <c r="T1357" s="73" t="s">
        <v>864</v>
      </c>
      <c r="U1357" s="73" t="s">
        <v>926</v>
      </c>
      <c r="V1357" s="73" t="s">
        <v>1382</v>
      </c>
      <c r="W1357" s="42" t="s">
        <v>1717</v>
      </c>
      <c r="X1357" s="73" t="s">
        <v>1382</v>
      </c>
      <c r="Y1357" s="73" t="s">
        <v>1382</v>
      </c>
      <c r="Z1357" s="72">
        <v>1.42</v>
      </c>
      <c r="AA1357" s="338"/>
      <c r="AB1357" s="338"/>
      <c r="AC1357" s="72" t="s">
        <v>450</v>
      </c>
      <c r="AG1357" s="72" t="s">
        <v>1324</v>
      </c>
      <c r="AH1357" s="72" t="s">
        <v>1527</v>
      </c>
      <c r="AI1357" s="138" t="s">
        <v>1581</v>
      </c>
      <c r="AJ1357" s="72" t="s">
        <v>132</v>
      </c>
      <c r="AK1357" s="140" t="s">
        <v>1611</v>
      </c>
      <c r="AL1357" s="72" t="s">
        <v>942</v>
      </c>
      <c r="AM1357" s="72" t="s">
        <v>942</v>
      </c>
      <c r="AN1357" s="72" t="s">
        <v>177</v>
      </c>
      <c r="AO1357" s="72" t="s">
        <v>231</v>
      </c>
      <c r="AP1357" s="72" t="s">
        <v>231</v>
      </c>
      <c r="AQ1357" s="72" t="s">
        <v>2125</v>
      </c>
      <c r="AR1357" s="72" t="s">
        <v>2125</v>
      </c>
      <c r="AS1357" s="72" t="s">
        <v>177</v>
      </c>
      <c r="AW1357" s="72" t="s">
        <v>160</v>
      </c>
      <c r="AX1357" s="72">
        <v>4</v>
      </c>
      <c r="AZ1357" s="72" t="s">
        <v>141</v>
      </c>
      <c r="BD1357" s="72" t="s">
        <v>925</v>
      </c>
      <c r="BP1357" s="413"/>
      <c r="BQ1357" s="413"/>
      <c r="BU1357" s="413"/>
      <c r="BV1357" s="413"/>
      <c r="CE1357" s="566"/>
      <c r="CF1357" s="566"/>
      <c r="CG1357" s="566"/>
      <c r="CH1357" s="566"/>
      <c r="DX1357" s="72">
        <v>49.51</v>
      </c>
      <c r="DY1357" s="72">
        <v>50.2</v>
      </c>
      <c r="EB1357" s="72" t="s">
        <v>928</v>
      </c>
      <c r="EC1357" s="72">
        <v>1.43</v>
      </c>
      <c r="ED1357" s="72">
        <v>1.93</v>
      </c>
      <c r="EG1357" s="24" t="s">
        <v>943</v>
      </c>
      <c r="EM1357" s="72">
        <v>81.599999999999994</v>
      </c>
      <c r="EN1357" s="72">
        <v>98.4</v>
      </c>
      <c r="FG1357" s="72">
        <v>23</v>
      </c>
      <c r="FH1357" s="72">
        <v>21.7</v>
      </c>
      <c r="FL1357" s="72">
        <f>13.9/1.42</f>
        <v>9.7887323943661979</v>
      </c>
      <c r="FM1357" s="72">
        <f>12.8/1.42</f>
        <v>9.0140845070422539</v>
      </c>
      <c r="FP1357" s="95" t="s">
        <v>936</v>
      </c>
      <c r="JB1357" s="72" t="s">
        <v>941</v>
      </c>
    </row>
    <row r="1358" spans="1:262" s="72" customFormat="1" x14ac:dyDescent="0.25">
      <c r="A1358" s="72">
        <v>61</v>
      </c>
      <c r="B1358" s="73" t="s">
        <v>4037</v>
      </c>
      <c r="C1358" s="72" t="s">
        <v>919</v>
      </c>
      <c r="D1358" s="72" t="s">
        <v>920</v>
      </c>
      <c r="E1358" s="72">
        <v>2003</v>
      </c>
      <c r="F1358" s="72">
        <v>2001</v>
      </c>
      <c r="G1358" s="72" t="s">
        <v>921</v>
      </c>
      <c r="H1358" s="72" t="s">
        <v>923</v>
      </c>
      <c r="I1358" s="32" t="s">
        <v>2815</v>
      </c>
      <c r="J1358" s="72">
        <v>40.299999999999997</v>
      </c>
      <c r="K1358" s="72">
        <v>-86.9</v>
      </c>
      <c r="L1358" s="72">
        <v>221</v>
      </c>
      <c r="O1358" s="24">
        <v>910</v>
      </c>
      <c r="R1358" s="73">
        <v>2</v>
      </c>
      <c r="S1358" s="42" t="s">
        <v>1728</v>
      </c>
      <c r="T1358" s="73" t="s">
        <v>864</v>
      </c>
      <c r="U1358" s="73" t="s">
        <v>926</v>
      </c>
      <c r="V1358" s="73" t="s">
        <v>1382</v>
      </c>
      <c r="W1358" s="42" t="s">
        <v>1717</v>
      </c>
      <c r="X1358" s="73" t="s">
        <v>1382</v>
      </c>
      <c r="Y1358" s="73" t="s">
        <v>1382</v>
      </c>
      <c r="Z1358" s="72">
        <v>1.42</v>
      </c>
      <c r="AA1358" s="338"/>
      <c r="AB1358" s="338"/>
      <c r="AC1358" s="72" t="s">
        <v>450</v>
      </c>
      <c r="AG1358" s="72" t="s">
        <v>1324</v>
      </c>
      <c r="AH1358" s="72" t="s">
        <v>1527</v>
      </c>
      <c r="AI1358" s="138" t="s">
        <v>1581</v>
      </c>
      <c r="AJ1358" s="72" t="s">
        <v>158</v>
      </c>
      <c r="AK1358" s="140" t="s">
        <v>1611</v>
      </c>
      <c r="AL1358" s="72" t="s">
        <v>942</v>
      </c>
      <c r="AM1358" s="72" t="s">
        <v>942</v>
      </c>
      <c r="AN1358" s="72" t="s">
        <v>177</v>
      </c>
      <c r="AO1358" s="72" t="s">
        <v>156</v>
      </c>
      <c r="AP1358" s="72" t="s">
        <v>156</v>
      </c>
      <c r="AQ1358" s="72" t="s">
        <v>2126</v>
      </c>
      <c r="AR1358" s="72" t="s">
        <v>2126</v>
      </c>
      <c r="AS1358" s="72" t="s">
        <v>177</v>
      </c>
      <c r="AW1358" s="72" t="s">
        <v>160</v>
      </c>
      <c r="AX1358" s="72">
        <v>4</v>
      </c>
      <c r="AZ1358" s="72" t="s">
        <v>141</v>
      </c>
      <c r="BD1358" s="72" t="s">
        <v>924</v>
      </c>
      <c r="BP1358" s="413"/>
      <c r="BQ1358" s="413"/>
      <c r="BU1358" s="413"/>
      <c r="BV1358" s="413"/>
      <c r="CE1358" s="566"/>
      <c r="CF1358" s="566"/>
      <c r="CG1358" s="566"/>
      <c r="CH1358" s="566"/>
      <c r="DX1358" s="72">
        <v>40.6</v>
      </c>
      <c r="DY1358" s="72">
        <v>43.77</v>
      </c>
      <c r="EB1358" s="72" t="s">
        <v>928</v>
      </c>
      <c r="EC1358" s="72">
        <v>1.79</v>
      </c>
      <c r="ED1358" s="72">
        <v>2.14</v>
      </c>
      <c r="EG1358" s="24" t="s">
        <v>943</v>
      </c>
      <c r="FG1358" s="72">
        <v>22.1</v>
      </c>
      <c r="FH1358" s="72">
        <v>21</v>
      </c>
      <c r="FL1358" s="72">
        <f>17.2/1.42</f>
        <v>12.112676056338028</v>
      </c>
      <c r="FM1358" s="72">
        <f>28.9/1.42</f>
        <v>20.35211267605634</v>
      </c>
      <c r="FP1358" s="95" t="s">
        <v>936</v>
      </c>
      <c r="JB1358" s="72" t="s">
        <v>941</v>
      </c>
    </row>
    <row r="1359" spans="1:262" s="72" customFormat="1" x14ac:dyDescent="0.25">
      <c r="A1359" s="72">
        <v>61</v>
      </c>
      <c r="B1359" s="73" t="s">
        <v>4038</v>
      </c>
      <c r="C1359" s="72" t="s">
        <v>919</v>
      </c>
      <c r="D1359" s="72" t="s">
        <v>920</v>
      </c>
      <c r="E1359" s="72">
        <v>2003</v>
      </c>
      <c r="F1359" s="72">
        <v>2001</v>
      </c>
      <c r="G1359" s="72" t="s">
        <v>921</v>
      </c>
      <c r="H1359" s="72" t="s">
        <v>923</v>
      </c>
      <c r="I1359" s="32" t="s">
        <v>2815</v>
      </c>
      <c r="J1359" s="72">
        <v>40.299999999999997</v>
      </c>
      <c r="K1359" s="72">
        <v>-86.9</v>
      </c>
      <c r="L1359" s="72">
        <v>221</v>
      </c>
      <c r="O1359" s="24">
        <v>910</v>
      </c>
      <c r="R1359" s="73">
        <v>2</v>
      </c>
      <c r="S1359" s="42" t="s">
        <v>1728</v>
      </c>
      <c r="T1359" s="73" t="s">
        <v>864</v>
      </c>
      <c r="U1359" s="73" t="s">
        <v>926</v>
      </c>
      <c r="V1359" s="73" t="s">
        <v>1382</v>
      </c>
      <c r="W1359" s="42" t="s">
        <v>1717</v>
      </c>
      <c r="X1359" s="73" t="s">
        <v>1382</v>
      </c>
      <c r="Y1359" s="73" t="s">
        <v>1382</v>
      </c>
      <c r="Z1359" s="72">
        <v>1.42</v>
      </c>
      <c r="AA1359" s="338"/>
      <c r="AB1359" s="338"/>
      <c r="AC1359" s="72" t="s">
        <v>450</v>
      </c>
      <c r="AG1359" s="72" t="s">
        <v>1324</v>
      </c>
      <c r="AH1359" s="72" t="s">
        <v>1527</v>
      </c>
      <c r="AI1359" s="138" t="s">
        <v>1581</v>
      </c>
      <c r="AJ1359" s="72" t="s">
        <v>132</v>
      </c>
      <c r="AK1359" s="140" t="s">
        <v>1611</v>
      </c>
      <c r="AL1359" s="72" t="s">
        <v>942</v>
      </c>
      <c r="AM1359" s="72" t="s">
        <v>942</v>
      </c>
      <c r="AN1359" s="72" t="s">
        <v>177</v>
      </c>
      <c r="AO1359" s="72" t="s">
        <v>156</v>
      </c>
      <c r="AP1359" s="72" t="s">
        <v>156</v>
      </c>
      <c r="AQ1359" s="72" t="s">
        <v>2126</v>
      </c>
      <c r="AR1359" s="72" t="s">
        <v>2126</v>
      </c>
      <c r="AS1359" s="72" t="s">
        <v>177</v>
      </c>
      <c r="AW1359" s="72" t="s">
        <v>160</v>
      </c>
      <c r="AX1359" s="72">
        <v>4</v>
      </c>
      <c r="AZ1359" s="72" t="s">
        <v>141</v>
      </c>
      <c r="BD1359" s="72" t="s">
        <v>925</v>
      </c>
      <c r="BP1359" s="413"/>
      <c r="BQ1359" s="413"/>
      <c r="BU1359" s="413"/>
      <c r="BV1359" s="413"/>
      <c r="CE1359" s="566"/>
      <c r="CF1359" s="566"/>
      <c r="CG1359" s="566"/>
      <c r="CH1359" s="566"/>
      <c r="DX1359" s="72">
        <v>40.6</v>
      </c>
      <c r="DY1359" s="72">
        <v>42.64</v>
      </c>
      <c r="EB1359" s="72" t="s">
        <v>928</v>
      </c>
      <c r="EC1359" s="72">
        <v>1.79</v>
      </c>
      <c r="ED1359" s="72">
        <v>1.57</v>
      </c>
      <c r="EG1359" s="24" t="s">
        <v>943</v>
      </c>
      <c r="FG1359" s="72">
        <v>22.1</v>
      </c>
      <c r="FH1359" s="72">
        <v>21</v>
      </c>
      <c r="FL1359" s="72">
        <f>17.2/1.43</f>
        <v>12.027972027972028</v>
      </c>
      <c r="FM1359" s="72">
        <f>17.9/1.42</f>
        <v>12.6056338028169</v>
      </c>
      <c r="FP1359" s="95" t="s">
        <v>936</v>
      </c>
      <c r="JB1359" s="72" t="s">
        <v>941</v>
      </c>
    </row>
    <row r="1360" spans="1:262" s="72" customFormat="1" x14ac:dyDescent="0.25">
      <c r="A1360" s="72">
        <v>61</v>
      </c>
      <c r="B1360" s="73" t="s">
        <v>4035</v>
      </c>
      <c r="C1360" s="72" t="s">
        <v>919</v>
      </c>
      <c r="D1360" s="72" t="s">
        <v>920</v>
      </c>
      <c r="E1360" s="72">
        <v>2003</v>
      </c>
      <c r="F1360" s="72">
        <v>2001</v>
      </c>
      <c r="G1360" s="72" t="s">
        <v>921</v>
      </c>
      <c r="H1360" s="72" t="s">
        <v>923</v>
      </c>
      <c r="I1360" s="32" t="s">
        <v>2815</v>
      </c>
      <c r="J1360" s="72">
        <v>40.299999999999997</v>
      </c>
      <c r="K1360" s="72">
        <v>-86.9</v>
      </c>
      <c r="L1360" s="72">
        <v>221</v>
      </c>
      <c r="O1360" s="24">
        <v>910</v>
      </c>
      <c r="R1360" s="73">
        <v>2</v>
      </c>
      <c r="S1360" s="42" t="s">
        <v>1728</v>
      </c>
      <c r="T1360" s="73" t="s">
        <v>864</v>
      </c>
      <c r="U1360" s="73" t="s">
        <v>927</v>
      </c>
      <c r="V1360" s="73" t="s">
        <v>1382</v>
      </c>
      <c r="W1360" s="42" t="s">
        <v>1717</v>
      </c>
      <c r="X1360" s="73" t="s">
        <v>1382</v>
      </c>
      <c r="Y1360" s="73" t="s">
        <v>1382</v>
      </c>
      <c r="Z1360" s="72">
        <v>1.42</v>
      </c>
      <c r="AA1360" s="338"/>
      <c r="AB1360" s="338"/>
      <c r="AC1360" s="72" t="s">
        <v>450</v>
      </c>
      <c r="AG1360" s="72" t="s">
        <v>1324</v>
      </c>
      <c r="AH1360" s="72" t="s">
        <v>1527</v>
      </c>
      <c r="AI1360" s="138" t="s">
        <v>1581</v>
      </c>
      <c r="AJ1360" s="72" t="s">
        <v>158</v>
      </c>
      <c r="AK1360" s="140" t="s">
        <v>1611</v>
      </c>
      <c r="AL1360" s="72" t="s">
        <v>942</v>
      </c>
      <c r="AM1360" s="72" t="s">
        <v>942</v>
      </c>
      <c r="AN1360" s="72" t="s">
        <v>177</v>
      </c>
      <c r="AO1360" s="72" t="s">
        <v>231</v>
      </c>
      <c r="AP1360" s="72" t="s">
        <v>231</v>
      </c>
      <c r="AQ1360" s="72" t="s">
        <v>2125</v>
      </c>
      <c r="AR1360" s="72" t="s">
        <v>2125</v>
      </c>
      <c r="AS1360" s="72" t="s">
        <v>177</v>
      </c>
      <c r="AW1360" s="72" t="s">
        <v>160</v>
      </c>
      <c r="AX1360" s="72">
        <v>4</v>
      </c>
      <c r="AZ1360" s="72" t="s">
        <v>141</v>
      </c>
      <c r="BB1360" s="72">
        <v>740</v>
      </c>
      <c r="BD1360" s="72" t="s">
        <v>924</v>
      </c>
      <c r="BP1360" s="413">
        <v>1.34</v>
      </c>
      <c r="BQ1360" s="413">
        <v>1.34</v>
      </c>
      <c r="BU1360" s="413"/>
      <c r="BV1360" s="413"/>
      <c r="CE1360" s="566"/>
      <c r="CF1360" s="566"/>
      <c r="CG1360" s="566"/>
      <c r="CH1360" s="566"/>
      <c r="DX1360" s="72">
        <v>17.28</v>
      </c>
      <c r="DY1360" s="72">
        <v>14.66</v>
      </c>
      <c r="EB1360" s="72" t="s">
        <v>928</v>
      </c>
      <c r="EC1360" s="72">
        <v>1.83</v>
      </c>
      <c r="ED1360" s="72">
        <v>2.25</v>
      </c>
      <c r="EG1360" s="24" t="s">
        <v>943</v>
      </c>
      <c r="EM1360" s="72">
        <v>72.599999999999994</v>
      </c>
      <c r="EN1360" s="72">
        <v>61.8</v>
      </c>
      <c r="FG1360" s="72">
        <v>29.9</v>
      </c>
      <c r="FH1360" s="72">
        <v>28.2</v>
      </c>
      <c r="FL1360" s="72">
        <f>24/1.42</f>
        <v>16.901408450704228</v>
      </c>
      <c r="FM1360" s="72">
        <f>24.4/1.42</f>
        <v>17.183098591549296</v>
      </c>
      <c r="FP1360" s="95" t="s">
        <v>937</v>
      </c>
      <c r="JB1360" s="72" t="s">
        <v>941</v>
      </c>
    </row>
    <row r="1361" spans="1:262" s="72" customFormat="1" x14ac:dyDescent="0.25">
      <c r="A1361" s="72">
        <v>61</v>
      </c>
      <c r="B1361" s="73" t="s">
        <v>4036</v>
      </c>
      <c r="C1361" s="72" t="s">
        <v>919</v>
      </c>
      <c r="D1361" s="72" t="s">
        <v>920</v>
      </c>
      <c r="E1361" s="72">
        <v>2003</v>
      </c>
      <c r="F1361" s="72">
        <v>2001</v>
      </c>
      <c r="G1361" s="72" t="s">
        <v>921</v>
      </c>
      <c r="H1361" s="72" t="s">
        <v>923</v>
      </c>
      <c r="I1361" s="32" t="s">
        <v>2815</v>
      </c>
      <c r="J1361" s="72">
        <v>40.299999999999997</v>
      </c>
      <c r="K1361" s="72">
        <v>-86.9</v>
      </c>
      <c r="L1361" s="72">
        <v>221</v>
      </c>
      <c r="O1361" s="24">
        <v>910</v>
      </c>
      <c r="R1361" s="73">
        <v>2</v>
      </c>
      <c r="S1361" s="42" t="s">
        <v>1728</v>
      </c>
      <c r="T1361" s="73" t="s">
        <v>864</v>
      </c>
      <c r="U1361" s="73" t="s">
        <v>927</v>
      </c>
      <c r="V1361" s="73" t="s">
        <v>1382</v>
      </c>
      <c r="W1361" s="42" t="s">
        <v>1717</v>
      </c>
      <c r="X1361" s="73" t="s">
        <v>1382</v>
      </c>
      <c r="Y1361" s="73" t="s">
        <v>1382</v>
      </c>
      <c r="Z1361" s="72">
        <v>1.42</v>
      </c>
      <c r="AA1361" s="338"/>
      <c r="AB1361" s="338"/>
      <c r="AC1361" s="72" t="s">
        <v>450</v>
      </c>
      <c r="AG1361" s="72" t="s">
        <v>1324</v>
      </c>
      <c r="AH1361" s="72" t="s">
        <v>1527</v>
      </c>
      <c r="AI1361" s="138" t="s">
        <v>1581</v>
      </c>
      <c r="AJ1361" s="72" t="s">
        <v>132</v>
      </c>
      <c r="AK1361" s="140" t="s">
        <v>1611</v>
      </c>
      <c r="AL1361" s="72" t="s">
        <v>942</v>
      </c>
      <c r="AM1361" s="72" t="s">
        <v>942</v>
      </c>
      <c r="AN1361" s="72" t="s">
        <v>177</v>
      </c>
      <c r="AO1361" s="72" t="s">
        <v>231</v>
      </c>
      <c r="AP1361" s="72" t="s">
        <v>231</v>
      </c>
      <c r="AQ1361" s="72" t="s">
        <v>2125</v>
      </c>
      <c r="AR1361" s="72" t="s">
        <v>2125</v>
      </c>
      <c r="AS1361" s="72" t="s">
        <v>177</v>
      </c>
      <c r="AW1361" s="72" t="s">
        <v>160</v>
      </c>
      <c r="AX1361" s="72">
        <v>4</v>
      </c>
      <c r="AZ1361" s="72" t="s">
        <v>141</v>
      </c>
      <c r="BB1361" s="72">
        <v>1624</v>
      </c>
      <c r="BD1361" s="72" t="s">
        <v>925</v>
      </c>
      <c r="BP1361" s="413">
        <v>1.34</v>
      </c>
      <c r="BQ1361" s="413">
        <v>1.32</v>
      </c>
      <c r="BU1361" s="413"/>
      <c r="BV1361" s="413"/>
      <c r="CE1361" s="566"/>
      <c r="CF1361" s="566"/>
      <c r="CG1361" s="566"/>
      <c r="CH1361" s="566"/>
      <c r="DX1361" s="72">
        <v>17.28</v>
      </c>
      <c r="DY1361" s="72">
        <v>12.91</v>
      </c>
      <c r="EB1361" s="72" t="s">
        <v>928</v>
      </c>
      <c r="EC1361" s="72">
        <v>1.83</v>
      </c>
      <c r="ED1361" s="72">
        <v>2.8</v>
      </c>
      <c r="EG1361" s="24" t="s">
        <v>943</v>
      </c>
      <c r="EM1361" s="72">
        <v>72.599999999999994</v>
      </c>
      <c r="EN1361" s="72">
        <v>71.400000000000006</v>
      </c>
      <c r="FG1361" s="72">
        <v>29.6</v>
      </c>
      <c r="FH1361" s="72">
        <v>28.2</v>
      </c>
      <c r="FL1361" s="72">
        <f>24/1.42</f>
        <v>16.901408450704228</v>
      </c>
      <c r="FM1361" s="72">
        <f>24/1.42</f>
        <v>16.901408450704228</v>
      </c>
      <c r="FP1361" s="95" t="s">
        <v>937</v>
      </c>
      <c r="JB1361" s="72" t="s">
        <v>941</v>
      </c>
    </row>
    <row r="1362" spans="1:262" s="72" customFormat="1" x14ac:dyDescent="0.25">
      <c r="A1362" s="72">
        <v>61</v>
      </c>
      <c r="B1362" s="73" t="s">
        <v>4037</v>
      </c>
      <c r="C1362" s="72" t="s">
        <v>919</v>
      </c>
      <c r="D1362" s="72" t="s">
        <v>920</v>
      </c>
      <c r="E1362" s="72">
        <v>2003</v>
      </c>
      <c r="F1362" s="72">
        <v>2001</v>
      </c>
      <c r="G1362" s="72" t="s">
        <v>921</v>
      </c>
      <c r="H1362" s="72" t="s">
        <v>923</v>
      </c>
      <c r="I1362" s="32" t="s">
        <v>2815</v>
      </c>
      <c r="J1362" s="72">
        <v>40.299999999999997</v>
      </c>
      <c r="K1362" s="72">
        <v>-86.9</v>
      </c>
      <c r="L1362" s="72">
        <v>221</v>
      </c>
      <c r="O1362" s="24">
        <v>910</v>
      </c>
      <c r="R1362" s="73">
        <v>2</v>
      </c>
      <c r="S1362" s="42" t="s">
        <v>1728</v>
      </c>
      <c r="T1362" s="73" t="s">
        <v>864</v>
      </c>
      <c r="U1362" s="73" t="s">
        <v>927</v>
      </c>
      <c r="V1362" s="73" t="s">
        <v>1382</v>
      </c>
      <c r="W1362" s="42" t="s">
        <v>1717</v>
      </c>
      <c r="X1362" s="73" t="s">
        <v>1382</v>
      </c>
      <c r="Y1362" s="73" t="s">
        <v>1382</v>
      </c>
      <c r="Z1362" s="72">
        <v>1.42</v>
      </c>
      <c r="AA1362" s="338"/>
      <c r="AB1362" s="338"/>
      <c r="AC1362" s="72" t="s">
        <v>450</v>
      </c>
      <c r="AG1362" s="72" t="s">
        <v>1324</v>
      </c>
      <c r="AH1362" s="72" t="s">
        <v>1527</v>
      </c>
      <c r="AI1362" s="138" t="s">
        <v>1581</v>
      </c>
      <c r="AJ1362" s="72" t="s">
        <v>158</v>
      </c>
      <c r="AK1362" s="140" t="s">
        <v>1611</v>
      </c>
      <c r="AL1362" s="72" t="s">
        <v>942</v>
      </c>
      <c r="AM1362" s="72" t="s">
        <v>942</v>
      </c>
      <c r="AN1362" s="72" t="s">
        <v>177</v>
      </c>
      <c r="AO1362" s="72" t="s">
        <v>156</v>
      </c>
      <c r="AP1362" s="72" t="s">
        <v>156</v>
      </c>
      <c r="AQ1362" s="72" t="s">
        <v>2126</v>
      </c>
      <c r="AR1362" s="72" t="s">
        <v>2126</v>
      </c>
      <c r="AS1362" s="72" t="s">
        <v>177</v>
      </c>
      <c r="AW1362" s="72" t="s">
        <v>160</v>
      </c>
      <c r="AX1362" s="72">
        <v>4</v>
      </c>
      <c r="AZ1362" s="72" t="s">
        <v>141</v>
      </c>
      <c r="BB1362" s="72">
        <v>413</v>
      </c>
      <c r="BD1362" s="72" t="s">
        <v>924</v>
      </c>
      <c r="BP1362" s="413">
        <v>1.57</v>
      </c>
      <c r="BQ1362" s="413">
        <v>1.49</v>
      </c>
      <c r="BU1362" s="413"/>
      <c r="BV1362" s="413"/>
      <c r="CE1362" s="566"/>
      <c r="CF1362" s="566"/>
      <c r="CG1362" s="566"/>
      <c r="CH1362" s="566"/>
      <c r="DX1362" s="72">
        <v>5.5</v>
      </c>
      <c r="DY1362" s="72">
        <v>6.06</v>
      </c>
      <c r="EB1362" s="72" t="s">
        <v>928</v>
      </c>
      <c r="EC1362" s="72">
        <v>2</v>
      </c>
      <c r="ED1362" s="72">
        <v>2.2200000000000002</v>
      </c>
      <c r="EG1362" s="24" t="s">
        <v>943</v>
      </c>
      <c r="FG1362" s="72">
        <v>28.6</v>
      </c>
      <c r="FH1362" s="72">
        <v>27.8</v>
      </c>
      <c r="FL1362" s="72">
        <f>29.9/1.42</f>
        <v>21.056338028169016</v>
      </c>
      <c r="FM1362" s="72">
        <f>30.7/1.42</f>
        <v>21.619718309859156</v>
      </c>
      <c r="FP1362" s="95" t="s">
        <v>937</v>
      </c>
      <c r="JB1362" s="72" t="s">
        <v>941</v>
      </c>
    </row>
    <row r="1363" spans="1:262" s="72" customFormat="1" x14ac:dyDescent="0.25">
      <c r="A1363" s="72">
        <v>61</v>
      </c>
      <c r="B1363" s="73" t="s">
        <v>4038</v>
      </c>
      <c r="C1363" s="72" t="s">
        <v>919</v>
      </c>
      <c r="D1363" s="72" t="s">
        <v>920</v>
      </c>
      <c r="E1363" s="72">
        <v>2003</v>
      </c>
      <c r="F1363" s="72">
        <v>2001</v>
      </c>
      <c r="G1363" s="72" t="s">
        <v>921</v>
      </c>
      <c r="H1363" s="72" t="s">
        <v>923</v>
      </c>
      <c r="I1363" s="32" t="s">
        <v>2815</v>
      </c>
      <c r="J1363" s="72">
        <v>40.299999999999997</v>
      </c>
      <c r="K1363" s="72">
        <v>-86.9</v>
      </c>
      <c r="L1363" s="72">
        <v>221</v>
      </c>
      <c r="O1363" s="24">
        <v>910</v>
      </c>
      <c r="R1363" s="73">
        <v>2</v>
      </c>
      <c r="S1363" s="42" t="s">
        <v>1728</v>
      </c>
      <c r="T1363" s="73" t="s">
        <v>864</v>
      </c>
      <c r="U1363" s="73" t="s">
        <v>927</v>
      </c>
      <c r="V1363" s="73" t="s">
        <v>1382</v>
      </c>
      <c r="W1363" s="42" t="s">
        <v>1717</v>
      </c>
      <c r="X1363" s="73" t="s">
        <v>1382</v>
      </c>
      <c r="Y1363" s="73" t="s">
        <v>1382</v>
      </c>
      <c r="Z1363" s="72">
        <v>1.42</v>
      </c>
      <c r="AA1363" s="338"/>
      <c r="AB1363" s="338"/>
      <c r="AC1363" s="72" t="s">
        <v>450</v>
      </c>
      <c r="AG1363" s="72" t="s">
        <v>1324</v>
      </c>
      <c r="AH1363" s="72" t="s">
        <v>1527</v>
      </c>
      <c r="AI1363" s="138" t="s">
        <v>1581</v>
      </c>
      <c r="AJ1363" s="72" t="s">
        <v>132</v>
      </c>
      <c r="AK1363" s="140" t="s">
        <v>1611</v>
      </c>
      <c r="AL1363" s="72" t="s">
        <v>942</v>
      </c>
      <c r="AM1363" s="72" t="s">
        <v>942</v>
      </c>
      <c r="AN1363" s="72" t="s">
        <v>177</v>
      </c>
      <c r="AO1363" s="72" t="s">
        <v>156</v>
      </c>
      <c r="AP1363" s="72" t="s">
        <v>156</v>
      </c>
      <c r="AQ1363" s="72" t="s">
        <v>2126</v>
      </c>
      <c r="AR1363" s="72" t="s">
        <v>2126</v>
      </c>
      <c r="AS1363" s="72" t="s">
        <v>177</v>
      </c>
      <c r="AW1363" s="72" t="s">
        <v>160</v>
      </c>
      <c r="AX1363" s="72">
        <v>4</v>
      </c>
      <c r="AZ1363" s="72" t="s">
        <v>141</v>
      </c>
      <c r="BB1363" s="72">
        <v>1509</v>
      </c>
      <c r="BD1363" s="72" t="s">
        <v>925</v>
      </c>
      <c r="BP1363" s="413">
        <v>1.57</v>
      </c>
      <c r="BQ1363" s="413">
        <v>1.52</v>
      </c>
      <c r="BU1363" s="413"/>
      <c r="BV1363" s="413"/>
      <c r="CE1363" s="566"/>
      <c r="CF1363" s="566"/>
      <c r="CG1363" s="566"/>
      <c r="CH1363" s="566"/>
      <c r="DX1363" s="72">
        <v>5.5</v>
      </c>
      <c r="DY1363" s="72">
        <v>5.55</v>
      </c>
      <c r="EB1363" s="72" t="s">
        <v>928</v>
      </c>
      <c r="EC1363" s="72">
        <v>2</v>
      </c>
      <c r="ED1363" s="72">
        <v>1.72</v>
      </c>
      <c r="EG1363" s="24" t="s">
        <v>943</v>
      </c>
      <c r="FG1363" s="72">
        <v>28.6</v>
      </c>
      <c r="FH1363" s="72">
        <v>28</v>
      </c>
      <c r="FL1363" s="72">
        <f>29.9/1.42</f>
        <v>21.056338028169016</v>
      </c>
      <c r="FM1363" s="72">
        <f>34.4/1.42</f>
        <v>24.225352112676056</v>
      </c>
      <c r="FP1363" s="95" t="s">
        <v>937</v>
      </c>
      <c r="JB1363" s="72" t="s">
        <v>941</v>
      </c>
    </row>
    <row r="1364" spans="1:262" s="32" customFormat="1" x14ac:dyDescent="0.25">
      <c r="A1364" s="32">
        <v>61</v>
      </c>
      <c r="B1364" s="44" t="s">
        <v>4035</v>
      </c>
      <c r="C1364" s="32" t="s">
        <v>919</v>
      </c>
      <c r="D1364" s="32" t="s">
        <v>920</v>
      </c>
      <c r="E1364" s="32">
        <v>2003</v>
      </c>
      <c r="F1364" s="32">
        <v>2002</v>
      </c>
      <c r="G1364" s="32" t="s">
        <v>921</v>
      </c>
      <c r="H1364" s="32" t="s">
        <v>922</v>
      </c>
      <c r="I1364" s="32" t="s">
        <v>2815</v>
      </c>
      <c r="J1364" s="32">
        <v>38.74</v>
      </c>
      <c r="K1364" s="32">
        <v>-87.49</v>
      </c>
      <c r="L1364" s="32">
        <v>130</v>
      </c>
      <c r="O1364" s="32">
        <v>1420</v>
      </c>
      <c r="R1364" s="44">
        <v>3</v>
      </c>
      <c r="S1364" s="44" t="s">
        <v>1728</v>
      </c>
      <c r="T1364" s="44" t="s">
        <v>864</v>
      </c>
      <c r="U1364" s="44" t="s">
        <v>926</v>
      </c>
      <c r="V1364" s="44" t="s">
        <v>1382</v>
      </c>
      <c r="W1364" s="44" t="s">
        <v>1717</v>
      </c>
      <c r="X1364" s="44" t="s">
        <v>1382</v>
      </c>
      <c r="Y1364" s="44" t="s">
        <v>1382</v>
      </c>
      <c r="Z1364" s="32">
        <v>1.44</v>
      </c>
      <c r="AA1364" s="323"/>
      <c r="AB1364" s="323"/>
      <c r="AC1364" s="32" t="s">
        <v>450</v>
      </c>
      <c r="AG1364" s="32" t="s">
        <v>1324</v>
      </c>
      <c r="AH1364" s="32" t="s">
        <v>1527</v>
      </c>
      <c r="AI1364" s="138" t="s">
        <v>1581</v>
      </c>
      <c r="AJ1364" s="32" t="s">
        <v>158</v>
      </c>
      <c r="AK1364" s="140" t="s">
        <v>1611</v>
      </c>
      <c r="AL1364" s="32" t="s">
        <v>942</v>
      </c>
      <c r="AM1364" s="32" t="s">
        <v>942</v>
      </c>
      <c r="AN1364" s="32" t="s">
        <v>177</v>
      </c>
      <c r="AO1364" s="32" t="s">
        <v>231</v>
      </c>
      <c r="AP1364" s="32" t="s">
        <v>231</v>
      </c>
      <c r="AQ1364" s="32" t="s">
        <v>2125</v>
      </c>
      <c r="AR1364" s="32" t="s">
        <v>2125</v>
      </c>
      <c r="AS1364" s="32" t="s">
        <v>177</v>
      </c>
      <c r="AW1364" s="32" t="s">
        <v>160</v>
      </c>
      <c r="AX1364" s="32">
        <v>4</v>
      </c>
      <c r="AZ1364" s="32" t="s">
        <v>141</v>
      </c>
      <c r="BD1364" s="32" t="s">
        <v>924</v>
      </c>
      <c r="BP1364" s="397">
        <v>1.42</v>
      </c>
      <c r="BQ1364" s="397">
        <v>1.37</v>
      </c>
      <c r="BU1364" s="397"/>
      <c r="BV1364" s="397"/>
      <c r="CE1364" s="550"/>
      <c r="CF1364" s="550"/>
      <c r="CG1364" s="550"/>
      <c r="CH1364" s="550"/>
      <c r="DS1364" s="32">
        <v>2.8</v>
      </c>
      <c r="DT1364" s="32">
        <v>2.98</v>
      </c>
      <c r="DW1364" s="32" t="s">
        <v>930</v>
      </c>
      <c r="EC1364" s="32">
        <v>1.36</v>
      </c>
      <c r="ED1364" s="32">
        <v>1.04</v>
      </c>
      <c r="EG1364" s="32" t="s">
        <v>943</v>
      </c>
      <c r="FG1364" s="32">
        <v>13.1</v>
      </c>
      <c r="FH1364" s="32">
        <v>12.4</v>
      </c>
      <c r="FL1364" s="32">
        <f>32.9/1.42</f>
        <v>23.169014084507044</v>
      </c>
      <c r="FM1364" s="32">
        <f>33.6/1.42</f>
        <v>23.661971830985916</v>
      </c>
      <c r="FP1364" s="32" t="s">
        <v>935</v>
      </c>
      <c r="JB1364" s="32" t="s">
        <v>941</v>
      </c>
    </row>
    <row r="1365" spans="1:262" s="32" customFormat="1" x14ac:dyDescent="0.25">
      <c r="A1365" s="32">
        <v>61</v>
      </c>
      <c r="B1365" s="44" t="s">
        <v>4036</v>
      </c>
      <c r="C1365" s="32" t="s">
        <v>919</v>
      </c>
      <c r="D1365" s="32" t="s">
        <v>920</v>
      </c>
      <c r="E1365" s="32">
        <v>2003</v>
      </c>
      <c r="F1365" s="32">
        <v>2002</v>
      </c>
      <c r="G1365" s="32" t="s">
        <v>921</v>
      </c>
      <c r="H1365" s="32" t="s">
        <v>922</v>
      </c>
      <c r="I1365" s="32" t="s">
        <v>2815</v>
      </c>
      <c r="J1365" s="32">
        <v>38.74</v>
      </c>
      <c r="K1365" s="32">
        <v>-87.49</v>
      </c>
      <c r="L1365" s="32">
        <v>130</v>
      </c>
      <c r="O1365" s="32">
        <v>1420</v>
      </c>
      <c r="R1365" s="44">
        <v>3</v>
      </c>
      <c r="S1365" s="44" t="s">
        <v>1728</v>
      </c>
      <c r="T1365" s="44" t="s">
        <v>864</v>
      </c>
      <c r="U1365" s="44" t="s">
        <v>926</v>
      </c>
      <c r="V1365" s="44" t="s">
        <v>1382</v>
      </c>
      <c r="W1365" s="44" t="s">
        <v>1717</v>
      </c>
      <c r="X1365" s="44" t="s">
        <v>1382</v>
      </c>
      <c r="Y1365" s="44" t="s">
        <v>1382</v>
      </c>
      <c r="Z1365" s="32">
        <v>1.44</v>
      </c>
      <c r="AA1365" s="323"/>
      <c r="AB1365" s="323"/>
      <c r="AC1365" s="32" t="s">
        <v>450</v>
      </c>
      <c r="AG1365" s="32" t="s">
        <v>1324</v>
      </c>
      <c r="AH1365" s="32" t="s">
        <v>1527</v>
      </c>
      <c r="AI1365" s="138" t="s">
        <v>1581</v>
      </c>
      <c r="AJ1365" s="32" t="s">
        <v>132</v>
      </c>
      <c r="AK1365" s="140" t="s">
        <v>1611</v>
      </c>
      <c r="AL1365" s="32" t="s">
        <v>942</v>
      </c>
      <c r="AM1365" s="32" t="s">
        <v>942</v>
      </c>
      <c r="AN1365" s="32" t="s">
        <v>177</v>
      </c>
      <c r="AO1365" s="32" t="s">
        <v>231</v>
      </c>
      <c r="AP1365" s="32" t="s">
        <v>231</v>
      </c>
      <c r="AQ1365" s="32" t="s">
        <v>2125</v>
      </c>
      <c r="AR1365" s="32" t="s">
        <v>2125</v>
      </c>
      <c r="AS1365" s="32" t="s">
        <v>177</v>
      </c>
      <c r="AW1365" s="32" t="s">
        <v>160</v>
      </c>
      <c r="AX1365" s="32">
        <v>4</v>
      </c>
      <c r="AZ1365" s="32" t="s">
        <v>141</v>
      </c>
      <c r="BD1365" s="32" t="s">
        <v>925</v>
      </c>
      <c r="BP1365" s="397">
        <v>1.42</v>
      </c>
      <c r="BQ1365" s="397">
        <v>1.35</v>
      </c>
      <c r="BU1365" s="397"/>
      <c r="BV1365" s="397"/>
      <c r="CE1365" s="550"/>
      <c r="CF1365" s="550"/>
      <c r="CG1365" s="550"/>
      <c r="CH1365" s="550"/>
      <c r="DS1365" s="32">
        <v>2.8</v>
      </c>
      <c r="DT1365" s="32">
        <v>3.41</v>
      </c>
      <c r="DW1365" s="32" t="s">
        <v>930</v>
      </c>
      <c r="EC1365" s="32">
        <v>1.36</v>
      </c>
      <c r="ED1365" s="32">
        <v>1.31</v>
      </c>
      <c r="EG1365" s="32" t="s">
        <v>943</v>
      </c>
      <c r="FG1365" s="32">
        <v>13.1</v>
      </c>
      <c r="FH1365" s="32">
        <v>12.2</v>
      </c>
      <c r="FL1365" s="32">
        <f>32.9/1.42</f>
        <v>23.169014084507044</v>
      </c>
      <c r="FM1365" s="32">
        <f>36.3/1.42</f>
        <v>25.56338028169014</v>
      </c>
      <c r="FP1365" s="32" t="s">
        <v>935</v>
      </c>
      <c r="JB1365" s="32" t="s">
        <v>941</v>
      </c>
    </row>
    <row r="1366" spans="1:262" s="32" customFormat="1" x14ac:dyDescent="0.25">
      <c r="A1366" s="32">
        <v>61</v>
      </c>
      <c r="B1366" s="44" t="s">
        <v>4037</v>
      </c>
      <c r="C1366" s="32" t="s">
        <v>919</v>
      </c>
      <c r="D1366" s="32" t="s">
        <v>920</v>
      </c>
      <c r="E1366" s="32">
        <v>2003</v>
      </c>
      <c r="F1366" s="32">
        <v>2002</v>
      </c>
      <c r="G1366" s="32" t="s">
        <v>921</v>
      </c>
      <c r="H1366" s="32" t="s">
        <v>922</v>
      </c>
      <c r="I1366" s="32" t="s">
        <v>2815</v>
      </c>
      <c r="J1366" s="32">
        <v>38.74</v>
      </c>
      <c r="K1366" s="32">
        <v>-87.49</v>
      </c>
      <c r="L1366" s="32">
        <v>130</v>
      </c>
      <c r="O1366" s="32">
        <v>1420</v>
      </c>
      <c r="R1366" s="44">
        <v>3</v>
      </c>
      <c r="S1366" s="44" t="s">
        <v>1728</v>
      </c>
      <c r="T1366" s="44" t="s">
        <v>864</v>
      </c>
      <c r="U1366" s="44" t="s">
        <v>926</v>
      </c>
      <c r="V1366" s="44" t="s">
        <v>1382</v>
      </c>
      <c r="W1366" s="44" t="s">
        <v>1717</v>
      </c>
      <c r="X1366" s="44" t="s">
        <v>1382</v>
      </c>
      <c r="Y1366" s="44" t="s">
        <v>1382</v>
      </c>
      <c r="Z1366" s="32">
        <v>1.44</v>
      </c>
      <c r="AA1366" s="323"/>
      <c r="AB1366" s="323"/>
      <c r="AC1366" s="32" t="s">
        <v>450</v>
      </c>
      <c r="AG1366" s="32" t="s">
        <v>1324</v>
      </c>
      <c r="AH1366" s="32" t="s">
        <v>1527</v>
      </c>
      <c r="AI1366" s="138" t="s">
        <v>1581</v>
      </c>
      <c r="AJ1366" s="32" t="s">
        <v>158</v>
      </c>
      <c r="AK1366" s="140" t="s">
        <v>1611</v>
      </c>
      <c r="AL1366" s="32" t="s">
        <v>942</v>
      </c>
      <c r="AM1366" s="32" t="s">
        <v>942</v>
      </c>
      <c r="AN1366" s="32" t="s">
        <v>177</v>
      </c>
      <c r="AO1366" s="32" t="s">
        <v>156</v>
      </c>
      <c r="AP1366" s="32" t="s">
        <v>156</v>
      </c>
      <c r="AQ1366" s="32" t="s">
        <v>2126</v>
      </c>
      <c r="AR1366" s="32" t="s">
        <v>2126</v>
      </c>
      <c r="AS1366" s="32" t="s">
        <v>177</v>
      </c>
      <c r="AW1366" s="32" t="s">
        <v>160</v>
      </c>
      <c r="AX1366" s="32">
        <v>4</v>
      </c>
      <c r="AZ1366" s="32" t="s">
        <v>141</v>
      </c>
      <c r="BD1366" s="32" t="s">
        <v>924</v>
      </c>
      <c r="BP1366" s="397">
        <v>1.51</v>
      </c>
      <c r="BQ1366" s="397">
        <v>1.49</v>
      </c>
      <c r="BU1366" s="397"/>
      <c r="BV1366" s="397"/>
      <c r="CE1366" s="550"/>
      <c r="CF1366" s="550"/>
      <c r="CG1366" s="550"/>
      <c r="CH1366" s="550"/>
      <c r="DS1366" s="32">
        <v>3</v>
      </c>
      <c r="DT1366" s="32">
        <v>2.86</v>
      </c>
      <c r="DW1366" s="32" t="s">
        <v>930</v>
      </c>
      <c r="DX1366" s="32">
        <v>39.57</v>
      </c>
      <c r="DY1366" s="32">
        <v>41.08</v>
      </c>
      <c r="EB1366" s="32" t="s">
        <v>928</v>
      </c>
      <c r="EC1366" s="32">
        <v>2.5099999999999998</v>
      </c>
      <c r="ED1366" s="32">
        <v>2.69</v>
      </c>
      <c r="EG1366" s="32" t="s">
        <v>943</v>
      </c>
      <c r="FG1366" s="32">
        <v>12.9</v>
      </c>
      <c r="FH1366" s="32">
        <v>12.3</v>
      </c>
      <c r="FL1366" s="32">
        <f>32.2/1.42</f>
        <v>22.676056338028172</v>
      </c>
      <c r="FM1366" s="32">
        <f>33.3/1.42</f>
        <v>23.450704225352112</v>
      </c>
      <c r="FP1366" s="32" t="s">
        <v>935</v>
      </c>
      <c r="JB1366" s="32" t="s">
        <v>941</v>
      </c>
    </row>
    <row r="1367" spans="1:262" s="32" customFormat="1" x14ac:dyDescent="0.25">
      <c r="A1367" s="32">
        <v>61</v>
      </c>
      <c r="B1367" s="44" t="s">
        <v>4038</v>
      </c>
      <c r="C1367" s="32" t="s">
        <v>919</v>
      </c>
      <c r="D1367" s="32" t="s">
        <v>920</v>
      </c>
      <c r="E1367" s="32">
        <v>2003</v>
      </c>
      <c r="F1367" s="32">
        <v>2002</v>
      </c>
      <c r="G1367" s="32" t="s">
        <v>921</v>
      </c>
      <c r="H1367" s="32" t="s">
        <v>922</v>
      </c>
      <c r="I1367" s="32" t="s">
        <v>2815</v>
      </c>
      <c r="J1367" s="32">
        <v>38.74</v>
      </c>
      <c r="K1367" s="32">
        <v>-87.49</v>
      </c>
      <c r="L1367" s="32">
        <v>130</v>
      </c>
      <c r="O1367" s="32">
        <v>1420</v>
      </c>
      <c r="R1367" s="44">
        <v>3</v>
      </c>
      <c r="S1367" s="44" t="s">
        <v>1728</v>
      </c>
      <c r="T1367" s="44" t="s">
        <v>864</v>
      </c>
      <c r="U1367" s="44" t="s">
        <v>926</v>
      </c>
      <c r="V1367" s="44" t="s">
        <v>1382</v>
      </c>
      <c r="W1367" s="44" t="s">
        <v>1717</v>
      </c>
      <c r="X1367" s="44" t="s">
        <v>1382</v>
      </c>
      <c r="Y1367" s="44" t="s">
        <v>1382</v>
      </c>
      <c r="Z1367" s="32">
        <v>1.44</v>
      </c>
      <c r="AA1367" s="323"/>
      <c r="AB1367" s="323"/>
      <c r="AC1367" s="32" t="s">
        <v>450</v>
      </c>
      <c r="AG1367" s="32" t="s">
        <v>1324</v>
      </c>
      <c r="AH1367" s="32" t="s">
        <v>1527</v>
      </c>
      <c r="AI1367" s="138" t="s">
        <v>1581</v>
      </c>
      <c r="AJ1367" s="32" t="s">
        <v>132</v>
      </c>
      <c r="AK1367" s="140" t="s">
        <v>1611</v>
      </c>
      <c r="AL1367" s="32" t="s">
        <v>942</v>
      </c>
      <c r="AM1367" s="32" t="s">
        <v>942</v>
      </c>
      <c r="AN1367" s="32" t="s">
        <v>177</v>
      </c>
      <c r="AO1367" s="32" t="s">
        <v>156</v>
      </c>
      <c r="AP1367" s="32" t="s">
        <v>156</v>
      </c>
      <c r="AQ1367" s="32" t="s">
        <v>2126</v>
      </c>
      <c r="AR1367" s="32" t="s">
        <v>2126</v>
      </c>
      <c r="AS1367" s="32" t="s">
        <v>177</v>
      </c>
      <c r="AW1367" s="32" t="s">
        <v>160</v>
      </c>
      <c r="AX1367" s="32">
        <v>4</v>
      </c>
      <c r="AZ1367" s="32" t="s">
        <v>141</v>
      </c>
      <c r="BD1367" s="32" t="s">
        <v>925</v>
      </c>
      <c r="BP1367" s="397">
        <v>1.51</v>
      </c>
      <c r="BQ1367" s="397">
        <v>1.46</v>
      </c>
      <c r="BU1367" s="397"/>
      <c r="BV1367" s="397"/>
      <c r="CE1367" s="550"/>
      <c r="CF1367" s="550"/>
      <c r="CG1367" s="550"/>
      <c r="CH1367" s="550"/>
      <c r="DS1367" s="32">
        <v>3</v>
      </c>
      <c r="DT1367" s="32">
        <v>3.22</v>
      </c>
      <c r="DW1367" s="32" t="s">
        <v>930</v>
      </c>
      <c r="DX1367" s="32">
        <v>39.57</v>
      </c>
      <c r="DY1367" s="32">
        <v>39.049999999999997</v>
      </c>
      <c r="EB1367" s="32" t="s">
        <v>928</v>
      </c>
      <c r="EC1367" s="32">
        <v>2.5099999999999998</v>
      </c>
      <c r="ED1367" s="32">
        <v>2.4</v>
      </c>
      <c r="EG1367" s="32" t="s">
        <v>943</v>
      </c>
      <c r="FG1367" s="32">
        <v>12.9</v>
      </c>
      <c r="FH1367" s="32">
        <v>12.3</v>
      </c>
      <c r="FL1367" s="32">
        <f>32.2/1.42</f>
        <v>22.676056338028172</v>
      </c>
      <c r="FM1367" s="32">
        <f>34.8/1.42</f>
        <v>24.507042253521124</v>
      </c>
      <c r="FP1367" s="32" t="s">
        <v>935</v>
      </c>
      <c r="JB1367" s="32" t="s">
        <v>941</v>
      </c>
    </row>
    <row r="1368" spans="1:262" s="32" customFormat="1" x14ac:dyDescent="0.25">
      <c r="A1368" s="32">
        <v>61</v>
      </c>
      <c r="B1368" s="44" t="s">
        <v>4035</v>
      </c>
      <c r="C1368" s="32" t="s">
        <v>919</v>
      </c>
      <c r="D1368" s="32" t="s">
        <v>920</v>
      </c>
      <c r="E1368" s="32">
        <v>2003</v>
      </c>
      <c r="F1368" s="32">
        <v>2002</v>
      </c>
      <c r="G1368" s="32" t="s">
        <v>921</v>
      </c>
      <c r="H1368" s="32" t="s">
        <v>922</v>
      </c>
      <c r="I1368" s="32" t="s">
        <v>2815</v>
      </c>
      <c r="J1368" s="32">
        <v>38.74</v>
      </c>
      <c r="K1368" s="32">
        <v>-87.49</v>
      </c>
      <c r="L1368" s="32">
        <v>130</v>
      </c>
      <c r="O1368" s="32">
        <v>1420</v>
      </c>
      <c r="R1368" s="44">
        <v>3</v>
      </c>
      <c r="S1368" s="44" t="s">
        <v>1728</v>
      </c>
      <c r="T1368" s="44" t="s">
        <v>864</v>
      </c>
      <c r="U1368" s="44" t="s">
        <v>927</v>
      </c>
      <c r="V1368" s="44" t="s">
        <v>1382</v>
      </c>
      <c r="W1368" s="44" t="s">
        <v>1717</v>
      </c>
      <c r="X1368" s="44" t="s">
        <v>1382</v>
      </c>
      <c r="Y1368" s="44" t="s">
        <v>1382</v>
      </c>
      <c r="Z1368" s="32">
        <v>1.44</v>
      </c>
      <c r="AA1368" s="323"/>
      <c r="AB1368" s="323"/>
      <c r="AC1368" s="32" t="s">
        <v>450</v>
      </c>
      <c r="AG1368" s="32" t="s">
        <v>1324</v>
      </c>
      <c r="AH1368" s="32" t="s">
        <v>1527</v>
      </c>
      <c r="AI1368" s="138" t="s">
        <v>1581</v>
      </c>
      <c r="AJ1368" s="32" t="s">
        <v>158</v>
      </c>
      <c r="AK1368" s="140" t="s">
        <v>1611</v>
      </c>
      <c r="AL1368" s="32" t="s">
        <v>942</v>
      </c>
      <c r="AM1368" s="32" t="s">
        <v>942</v>
      </c>
      <c r="AN1368" s="32" t="s">
        <v>177</v>
      </c>
      <c r="AO1368" s="32" t="s">
        <v>231</v>
      </c>
      <c r="AP1368" s="32" t="s">
        <v>231</v>
      </c>
      <c r="AQ1368" s="32" t="s">
        <v>2125</v>
      </c>
      <c r="AR1368" s="32" t="s">
        <v>2125</v>
      </c>
      <c r="AS1368" s="32" t="s">
        <v>177</v>
      </c>
      <c r="AW1368" s="32" t="s">
        <v>160</v>
      </c>
      <c r="AX1368" s="32">
        <v>4</v>
      </c>
      <c r="AZ1368" s="32" t="s">
        <v>141</v>
      </c>
      <c r="BB1368" s="32">
        <v>927</v>
      </c>
      <c r="BD1368" s="32" t="s">
        <v>924</v>
      </c>
      <c r="BP1368" s="397"/>
      <c r="BQ1368" s="397"/>
      <c r="BU1368" s="397"/>
      <c r="BV1368" s="397"/>
      <c r="CE1368" s="550"/>
      <c r="CF1368" s="550"/>
      <c r="CG1368" s="550"/>
      <c r="CH1368" s="550"/>
      <c r="DS1368" s="32">
        <v>3.37</v>
      </c>
      <c r="DT1368" s="32">
        <v>3.21</v>
      </c>
      <c r="DW1368" s="32" t="s">
        <v>930</v>
      </c>
      <c r="EC1368" s="32">
        <v>2.1</v>
      </c>
      <c r="ED1368" s="32">
        <v>1.95</v>
      </c>
      <c r="EG1368" s="32" t="s">
        <v>943</v>
      </c>
      <c r="FG1368" s="32">
        <v>18.100000000000001</v>
      </c>
      <c r="FH1368" s="32">
        <v>17.2</v>
      </c>
      <c r="FL1368" s="32">
        <f>32.7/1.42</f>
        <v>23.028169014084511</v>
      </c>
      <c r="FM1368" s="32">
        <f>34.2/1.42</f>
        <v>24.084507042253524</v>
      </c>
      <c r="FP1368" s="32" t="s">
        <v>938</v>
      </c>
      <c r="JB1368" s="32" t="s">
        <v>941</v>
      </c>
    </row>
    <row r="1369" spans="1:262" s="32" customFormat="1" x14ac:dyDescent="0.25">
      <c r="A1369" s="32">
        <v>61</v>
      </c>
      <c r="B1369" s="44" t="s">
        <v>4036</v>
      </c>
      <c r="C1369" s="32" t="s">
        <v>919</v>
      </c>
      <c r="D1369" s="32" t="s">
        <v>920</v>
      </c>
      <c r="E1369" s="32">
        <v>2003</v>
      </c>
      <c r="F1369" s="32">
        <v>2002</v>
      </c>
      <c r="G1369" s="32" t="s">
        <v>921</v>
      </c>
      <c r="H1369" s="32" t="s">
        <v>922</v>
      </c>
      <c r="I1369" s="32" t="s">
        <v>2815</v>
      </c>
      <c r="J1369" s="32">
        <v>38.74</v>
      </c>
      <c r="K1369" s="32">
        <v>-87.49</v>
      </c>
      <c r="L1369" s="32">
        <v>130</v>
      </c>
      <c r="O1369" s="32">
        <v>1420</v>
      </c>
      <c r="R1369" s="44">
        <v>3</v>
      </c>
      <c r="S1369" s="44" t="s">
        <v>1728</v>
      </c>
      <c r="T1369" s="44" t="s">
        <v>864</v>
      </c>
      <c r="U1369" s="44" t="s">
        <v>927</v>
      </c>
      <c r="V1369" s="44" t="s">
        <v>1382</v>
      </c>
      <c r="W1369" s="44" t="s">
        <v>1717</v>
      </c>
      <c r="X1369" s="44" t="s">
        <v>1382</v>
      </c>
      <c r="Y1369" s="44" t="s">
        <v>1382</v>
      </c>
      <c r="Z1369" s="32">
        <v>1.44</v>
      </c>
      <c r="AA1369" s="323"/>
      <c r="AB1369" s="323"/>
      <c r="AC1369" s="32" t="s">
        <v>450</v>
      </c>
      <c r="AG1369" s="32" t="s">
        <v>1324</v>
      </c>
      <c r="AH1369" s="32" t="s">
        <v>1527</v>
      </c>
      <c r="AI1369" s="138" t="s">
        <v>1581</v>
      </c>
      <c r="AJ1369" s="32" t="s">
        <v>132</v>
      </c>
      <c r="AK1369" s="140" t="s">
        <v>1611</v>
      </c>
      <c r="AL1369" s="32" t="s">
        <v>942</v>
      </c>
      <c r="AM1369" s="32" t="s">
        <v>942</v>
      </c>
      <c r="AN1369" s="32" t="s">
        <v>177</v>
      </c>
      <c r="AO1369" s="32" t="s">
        <v>231</v>
      </c>
      <c r="AP1369" s="32" t="s">
        <v>231</v>
      </c>
      <c r="AQ1369" s="32" t="s">
        <v>2125</v>
      </c>
      <c r="AR1369" s="32" t="s">
        <v>2125</v>
      </c>
      <c r="AS1369" s="32" t="s">
        <v>177</v>
      </c>
      <c r="AW1369" s="32" t="s">
        <v>160</v>
      </c>
      <c r="AX1369" s="32">
        <v>4</v>
      </c>
      <c r="AZ1369" s="32" t="s">
        <v>141</v>
      </c>
      <c r="BB1369" s="32">
        <v>1515</v>
      </c>
      <c r="BD1369" s="32" t="s">
        <v>925</v>
      </c>
      <c r="BP1369" s="397"/>
      <c r="BQ1369" s="397"/>
      <c r="BU1369" s="397"/>
      <c r="BV1369" s="397"/>
      <c r="CE1369" s="550"/>
      <c r="CF1369" s="550"/>
      <c r="CG1369" s="550"/>
      <c r="CH1369" s="550"/>
      <c r="DS1369" s="32">
        <v>3.37</v>
      </c>
      <c r="DT1369" s="32">
        <v>3.61</v>
      </c>
      <c r="DW1369" s="32" t="s">
        <v>930</v>
      </c>
      <c r="EC1369" s="32">
        <v>2.1</v>
      </c>
      <c r="ED1369" s="32">
        <v>2.27</v>
      </c>
      <c r="EG1369" s="32" t="s">
        <v>943</v>
      </c>
      <c r="FG1369" s="32">
        <v>18.100000000000001</v>
      </c>
      <c r="FH1369" s="32">
        <v>16</v>
      </c>
      <c r="FL1369" s="32">
        <f>32.7/1.42</f>
        <v>23.028169014084511</v>
      </c>
      <c r="FM1369" s="32">
        <f>36.6/1.42</f>
        <v>25.774647887323948</v>
      </c>
      <c r="FP1369" s="32" t="s">
        <v>938</v>
      </c>
      <c r="JB1369" s="32" t="s">
        <v>941</v>
      </c>
    </row>
    <row r="1370" spans="1:262" s="32" customFormat="1" x14ac:dyDescent="0.25">
      <c r="A1370" s="32">
        <v>61</v>
      </c>
      <c r="B1370" s="44" t="s">
        <v>4037</v>
      </c>
      <c r="C1370" s="32" t="s">
        <v>919</v>
      </c>
      <c r="D1370" s="32" t="s">
        <v>920</v>
      </c>
      <c r="E1370" s="32">
        <v>2003</v>
      </c>
      <c r="F1370" s="32">
        <v>2002</v>
      </c>
      <c r="G1370" s="32" t="s">
        <v>921</v>
      </c>
      <c r="H1370" s="32" t="s">
        <v>922</v>
      </c>
      <c r="I1370" s="32" t="s">
        <v>2815</v>
      </c>
      <c r="J1370" s="32">
        <v>38.74</v>
      </c>
      <c r="K1370" s="32">
        <v>-87.49</v>
      </c>
      <c r="L1370" s="32">
        <v>130</v>
      </c>
      <c r="O1370" s="32">
        <v>1420</v>
      </c>
      <c r="R1370" s="44">
        <v>3</v>
      </c>
      <c r="S1370" s="44" t="s">
        <v>1728</v>
      </c>
      <c r="T1370" s="44" t="s">
        <v>864</v>
      </c>
      <c r="U1370" s="44" t="s">
        <v>927</v>
      </c>
      <c r="V1370" s="44" t="s">
        <v>1382</v>
      </c>
      <c r="W1370" s="44" t="s">
        <v>1717</v>
      </c>
      <c r="X1370" s="44" t="s">
        <v>1382</v>
      </c>
      <c r="Y1370" s="44" t="s">
        <v>1382</v>
      </c>
      <c r="Z1370" s="32">
        <v>1.44</v>
      </c>
      <c r="AA1370" s="323"/>
      <c r="AB1370" s="323"/>
      <c r="AC1370" s="32" t="s">
        <v>450</v>
      </c>
      <c r="AG1370" s="32" t="s">
        <v>1324</v>
      </c>
      <c r="AH1370" s="32" t="s">
        <v>1527</v>
      </c>
      <c r="AI1370" s="138" t="s">
        <v>1581</v>
      </c>
      <c r="AJ1370" s="32" t="s">
        <v>158</v>
      </c>
      <c r="AK1370" s="140" t="s">
        <v>1611</v>
      </c>
      <c r="AL1370" s="32" t="s">
        <v>942</v>
      </c>
      <c r="AM1370" s="32" t="s">
        <v>942</v>
      </c>
      <c r="AN1370" s="32" t="s">
        <v>177</v>
      </c>
      <c r="AO1370" s="32" t="s">
        <v>156</v>
      </c>
      <c r="AP1370" s="32" t="s">
        <v>156</v>
      </c>
      <c r="AQ1370" s="32" t="s">
        <v>2126</v>
      </c>
      <c r="AR1370" s="32" t="s">
        <v>2126</v>
      </c>
      <c r="AS1370" s="32" t="s">
        <v>177</v>
      </c>
      <c r="AW1370" s="32" t="s">
        <v>160</v>
      </c>
      <c r="AX1370" s="32">
        <v>4</v>
      </c>
      <c r="AZ1370" s="32" t="s">
        <v>141</v>
      </c>
      <c r="BB1370" s="32">
        <v>1233</v>
      </c>
      <c r="BD1370" s="32" t="s">
        <v>924</v>
      </c>
      <c r="BP1370" s="397">
        <v>1.6</v>
      </c>
      <c r="BQ1370" s="397">
        <v>1.56</v>
      </c>
      <c r="BU1370" s="397"/>
      <c r="BV1370" s="397"/>
      <c r="CE1370" s="550"/>
      <c r="CF1370" s="550"/>
      <c r="CG1370" s="550"/>
      <c r="CH1370" s="550"/>
      <c r="DS1370" s="32">
        <v>3.17</v>
      </c>
      <c r="DT1370" s="32">
        <v>3.15</v>
      </c>
      <c r="DW1370" s="32" t="s">
        <v>930</v>
      </c>
      <c r="DX1370" s="32">
        <v>7.22</v>
      </c>
      <c r="DY1370" s="32">
        <v>8.42</v>
      </c>
      <c r="EB1370" s="32" t="s">
        <v>928</v>
      </c>
      <c r="EC1370" s="32">
        <v>2.66</v>
      </c>
      <c r="ED1370" s="32">
        <v>2.76</v>
      </c>
      <c r="EG1370" s="32" t="s">
        <v>943</v>
      </c>
      <c r="FG1370" s="32">
        <v>18.100000000000001</v>
      </c>
      <c r="FH1370" s="32">
        <v>17</v>
      </c>
      <c r="FL1370" s="32">
        <f>30.3/1.42</f>
        <v>21.338028169014088</v>
      </c>
      <c r="FM1370" s="32">
        <f>32.1/1.42</f>
        <v>22.605633802816904</v>
      </c>
      <c r="FP1370" s="32" t="s">
        <v>938</v>
      </c>
      <c r="JB1370" s="32" t="s">
        <v>941</v>
      </c>
    </row>
    <row r="1371" spans="1:262" s="32" customFormat="1" x14ac:dyDescent="0.25">
      <c r="A1371" s="32">
        <v>61</v>
      </c>
      <c r="B1371" s="44" t="s">
        <v>4038</v>
      </c>
      <c r="C1371" s="32" t="s">
        <v>919</v>
      </c>
      <c r="D1371" s="32" t="s">
        <v>920</v>
      </c>
      <c r="E1371" s="32">
        <v>2003</v>
      </c>
      <c r="F1371" s="32">
        <v>2002</v>
      </c>
      <c r="G1371" s="32" t="s">
        <v>921</v>
      </c>
      <c r="H1371" s="32" t="s">
        <v>922</v>
      </c>
      <c r="I1371" s="32" t="s">
        <v>2815</v>
      </c>
      <c r="J1371" s="32">
        <v>38.74</v>
      </c>
      <c r="K1371" s="32">
        <v>-87.49</v>
      </c>
      <c r="L1371" s="32">
        <v>130</v>
      </c>
      <c r="O1371" s="32">
        <v>1420</v>
      </c>
      <c r="R1371" s="44">
        <v>3</v>
      </c>
      <c r="S1371" s="44" t="s">
        <v>1728</v>
      </c>
      <c r="T1371" s="44" t="s">
        <v>864</v>
      </c>
      <c r="U1371" s="44" t="s">
        <v>927</v>
      </c>
      <c r="V1371" s="44" t="s">
        <v>1382</v>
      </c>
      <c r="W1371" s="44" t="s">
        <v>1717</v>
      </c>
      <c r="X1371" s="44" t="s">
        <v>1382</v>
      </c>
      <c r="Y1371" s="44" t="s">
        <v>1382</v>
      </c>
      <c r="Z1371" s="32">
        <v>1.44</v>
      </c>
      <c r="AA1371" s="323"/>
      <c r="AB1371" s="323"/>
      <c r="AC1371" s="32" t="s">
        <v>450</v>
      </c>
      <c r="AG1371" s="32" t="s">
        <v>1324</v>
      </c>
      <c r="AH1371" s="32" t="s">
        <v>1527</v>
      </c>
      <c r="AI1371" s="138" t="s">
        <v>1581</v>
      </c>
      <c r="AJ1371" s="32" t="s">
        <v>132</v>
      </c>
      <c r="AK1371" s="140" t="s">
        <v>1611</v>
      </c>
      <c r="AL1371" s="32" t="s">
        <v>942</v>
      </c>
      <c r="AM1371" s="32" t="s">
        <v>942</v>
      </c>
      <c r="AN1371" s="32" t="s">
        <v>177</v>
      </c>
      <c r="AO1371" s="32" t="s">
        <v>156</v>
      </c>
      <c r="AP1371" s="32" t="s">
        <v>156</v>
      </c>
      <c r="AQ1371" s="32" t="s">
        <v>2126</v>
      </c>
      <c r="AR1371" s="32" t="s">
        <v>2126</v>
      </c>
      <c r="AS1371" s="32" t="s">
        <v>177</v>
      </c>
      <c r="AW1371" s="32" t="s">
        <v>160</v>
      </c>
      <c r="AX1371" s="32">
        <v>4</v>
      </c>
      <c r="AZ1371" s="32" t="s">
        <v>141</v>
      </c>
      <c r="BB1371" s="32">
        <v>1381</v>
      </c>
      <c r="BD1371" s="32" t="s">
        <v>925</v>
      </c>
      <c r="BP1371" s="397">
        <v>1.6</v>
      </c>
      <c r="BQ1371" s="397">
        <v>1.6</v>
      </c>
      <c r="BU1371" s="397"/>
      <c r="BV1371" s="397"/>
      <c r="CE1371" s="550"/>
      <c r="CF1371" s="550"/>
      <c r="CG1371" s="550"/>
      <c r="CH1371" s="550"/>
      <c r="DS1371" s="32">
        <v>3.17</v>
      </c>
      <c r="DT1371" s="32">
        <v>3.29</v>
      </c>
      <c r="DW1371" s="32" t="s">
        <v>930</v>
      </c>
      <c r="DX1371" s="32">
        <v>7.22</v>
      </c>
      <c r="DY1371" s="32">
        <v>6.85</v>
      </c>
      <c r="EB1371" s="32" t="s">
        <v>928</v>
      </c>
      <c r="EC1371" s="32">
        <v>2.66</v>
      </c>
      <c r="ED1371" s="32">
        <v>2.5499999999999998</v>
      </c>
      <c r="EG1371" s="32" t="s">
        <v>943</v>
      </c>
      <c r="FG1371" s="32">
        <v>18.100000000000001</v>
      </c>
      <c r="FH1371" s="32">
        <v>16.2</v>
      </c>
      <c r="FL1371" s="32">
        <f>30.3/1.42</f>
        <v>21.338028169014088</v>
      </c>
      <c r="FM1371" s="32">
        <f>34.5/1.42</f>
        <v>24.295774647887324</v>
      </c>
      <c r="FP1371" s="32" t="s">
        <v>938</v>
      </c>
      <c r="JB1371" s="32" t="s">
        <v>941</v>
      </c>
    </row>
    <row r="1372" spans="1:262" s="81" customFormat="1" x14ac:dyDescent="0.25">
      <c r="A1372" s="81">
        <v>61</v>
      </c>
      <c r="B1372" s="82" t="s">
        <v>4035</v>
      </c>
      <c r="C1372" s="81" t="s">
        <v>919</v>
      </c>
      <c r="D1372" s="81" t="s">
        <v>920</v>
      </c>
      <c r="E1372" s="81">
        <v>2003</v>
      </c>
      <c r="F1372" s="81">
        <v>2002</v>
      </c>
      <c r="G1372" s="81" t="s">
        <v>921</v>
      </c>
      <c r="H1372" s="81" t="s">
        <v>923</v>
      </c>
      <c r="I1372" s="32" t="s">
        <v>2815</v>
      </c>
      <c r="J1372" s="81">
        <v>40.299999999999997</v>
      </c>
      <c r="K1372" s="81">
        <v>-86.9</v>
      </c>
      <c r="L1372" s="81">
        <v>221</v>
      </c>
      <c r="O1372" s="32">
        <v>1118</v>
      </c>
      <c r="R1372" s="82">
        <v>3</v>
      </c>
      <c r="S1372" s="82" t="s">
        <v>1728</v>
      </c>
      <c r="T1372" s="82" t="s">
        <v>864</v>
      </c>
      <c r="U1372" s="82" t="s">
        <v>926</v>
      </c>
      <c r="V1372" s="82" t="s">
        <v>1382</v>
      </c>
      <c r="W1372" s="44" t="s">
        <v>1717</v>
      </c>
      <c r="X1372" s="82" t="s">
        <v>1382</v>
      </c>
      <c r="Y1372" s="82" t="s">
        <v>1382</v>
      </c>
      <c r="Z1372" s="81">
        <v>1.42</v>
      </c>
      <c r="AA1372" s="344"/>
      <c r="AB1372" s="344"/>
      <c r="AC1372" s="81" t="s">
        <v>450</v>
      </c>
      <c r="AG1372" s="81" t="s">
        <v>1324</v>
      </c>
      <c r="AH1372" s="81" t="s">
        <v>1527</v>
      </c>
      <c r="AI1372" s="138" t="s">
        <v>1581</v>
      </c>
      <c r="AJ1372" s="81" t="s">
        <v>158</v>
      </c>
      <c r="AK1372" s="140" t="s">
        <v>1611</v>
      </c>
      <c r="AL1372" s="81" t="s">
        <v>942</v>
      </c>
      <c r="AM1372" s="81" t="s">
        <v>942</v>
      </c>
      <c r="AN1372" s="81" t="s">
        <v>177</v>
      </c>
      <c r="AO1372" s="81" t="s">
        <v>231</v>
      </c>
      <c r="AP1372" s="81" t="s">
        <v>231</v>
      </c>
      <c r="AQ1372" s="81" t="s">
        <v>2125</v>
      </c>
      <c r="AR1372" s="81" t="s">
        <v>2125</v>
      </c>
      <c r="AS1372" s="81" t="s">
        <v>177</v>
      </c>
      <c r="AW1372" s="81" t="s">
        <v>160</v>
      </c>
      <c r="AX1372" s="81">
        <v>4</v>
      </c>
      <c r="AZ1372" s="81" t="s">
        <v>141</v>
      </c>
      <c r="BD1372" s="81" t="s">
        <v>924</v>
      </c>
      <c r="BP1372" s="419">
        <v>1.38</v>
      </c>
      <c r="BQ1372" s="419">
        <v>1.35</v>
      </c>
      <c r="BU1372" s="419"/>
      <c r="BV1372" s="419"/>
      <c r="CE1372" s="572"/>
      <c r="CF1372" s="572"/>
      <c r="CG1372" s="572"/>
      <c r="CH1372" s="572"/>
      <c r="DS1372" s="81">
        <v>1.9</v>
      </c>
      <c r="DT1372" s="81">
        <v>2.12</v>
      </c>
      <c r="DW1372" s="81" t="s">
        <v>930</v>
      </c>
      <c r="DX1372" s="81">
        <v>43.26</v>
      </c>
      <c r="DY1372" s="81">
        <v>43.03</v>
      </c>
      <c r="EB1372" s="81" t="s">
        <v>928</v>
      </c>
      <c r="EC1372" s="81">
        <v>1.52</v>
      </c>
      <c r="ED1372" s="81">
        <v>1.52</v>
      </c>
      <c r="EG1372" s="81" t="s">
        <v>943</v>
      </c>
      <c r="FG1372" s="81">
        <v>17.5</v>
      </c>
      <c r="FH1372" s="81">
        <v>17.600000000000001</v>
      </c>
      <c r="FL1372" s="81">
        <f>35.4/1.42</f>
        <v>24.929577464788732</v>
      </c>
      <c r="FM1372" s="81">
        <f>33/1.42</f>
        <v>23.239436619718312</v>
      </c>
      <c r="FP1372" s="81" t="s">
        <v>939</v>
      </c>
      <c r="JB1372" s="81" t="s">
        <v>941</v>
      </c>
    </row>
    <row r="1373" spans="1:262" s="81" customFormat="1" x14ac:dyDescent="0.25">
      <c r="A1373" s="81">
        <v>61</v>
      </c>
      <c r="B1373" s="82" t="s">
        <v>4036</v>
      </c>
      <c r="C1373" s="81" t="s">
        <v>919</v>
      </c>
      <c r="D1373" s="81" t="s">
        <v>920</v>
      </c>
      <c r="E1373" s="81">
        <v>2003</v>
      </c>
      <c r="F1373" s="81">
        <v>2002</v>
      </c>
      <c r="G1373" s="81" t="s">
        <v>921</v>
      </c>
      <c r="H1373" s="81" t="s">
        <v>923</v>
      </c>
      <c r="I1373" s="32" t="s">
        <v>2815</v>
      </c>
      <c r="J1373" s="81">
        <v>40.299999999999997</v>
      </c>
      <c r="K1373" s="81">
        <v>-86.9</v>
      </c>
      <c r="L1373" s="81">
        <v>221</v>
      </c>
      <c r="O1373" s="32">
        <v>1118</v>
      </c>
      <c r="R1373" s="82">
        <v>3</v>
      </c>
      <c r="S1373" s="82" t="s">
        <v>1728</v>
      </c>
      <c r="T1373" s="82" t="s">
        <v>864</v>
      </c>
      <c r="U1373" s="82" t="s">
        <v>926</v>
      </c>
      <c r="V1373" s="82" t="s">
        <v>1382</v>
      </c>
      <c r="W1373" s="44" t="s">
        <v>1717</v>
      </c>
      <c r="X1373" s="82" t="s">
        <v>1382</v>
      </c>
      <c r="Y1373" s="82" t="s">
        <v>1382</v>
      </c>
      <c r="Z1373" s="81">
        <v>1.42</v>
      </c>
      <c r="AA1373" s="344"/>
      <c r="AB1373" s="344"/>
      <c r="AC1373" s="81" t="s">
        <v>450</v>
      </c>
      <c r="AG1373" s="81" t="s">
        <v>1324</v>
      </c>
      <c r="AH1373" s="81" t="s">
        <v>1527</v>
      </c>
      <c r="AI1373" s="138" t="s">
        <v>1581</v>
      </c>
      <c r="AJ1373" s="81" t="s">
        <v>132</v>
      </c>
      <c r="AK1373" s="140" t="s">
        <v>1611</v>
      </c>
      <c r="AL1373" s="81" t="s">
        <v>942</v>
      </c>
      <c r="AM1373" s="81" t="s">
        <v>942</v>
      </c>
      <c r="AN1373" s="81" t="s">
        <v>177</v>
      </c>
      <c r="AO1373" s="81" t="s">
        <v>231</v>
      </c>
      <c r="AP1373" s="81" t="s">
        <v>231</v>
      </c>
      <c r="AQ1373" s="81" t="s">
        <v>2125</v>
      </c>
      <c r="AR1373" s="81" t="s">
        <v>2125</v>
      </c>
      <c r="AS1373" s="81" t="s">
        <v>177</v>
      </c>
      <c r="AW1373" s="81" t="s">
        <v>160</v>
      </c>
      <c r="AX1373" s="81">
        <v>4</v>
      </c>
      <c r="AZ1373" s="81" t="s">
        <v>141</v>
      </c>
      <c r="BD1373" s="81" t="s">
        <v>925</v>
      </c>
      <c r="BP1373" s="419">
        <v>1.38</v>
      </c>
      <c r="BQ1373" s="419">
        <v>1.39</v>
      </c>
      <c r="BU1373" s="419"/>
      <c r="BV1373" s="419"/>
      <c r="CE1373" s="572"/>
      <c r="CF1373" s="572"/>
      <c r="CG1373" s="572"/>
      <c r="CH1373" s="572"/>
      <c r="DS1373" s="81">
        <v>1.9</v>
      </c>
      <c r="DT1373" s="81">
        <v>2.39</v>
      </c>
      <c r="DW1373" s="81" t="s">
        <v>930</v>
      </c>
      <c r="DX1373" s="81">
        <v>43.26</v>
      </c>
      <c r="DY1373" s="81">
        <v>46.55</v>
      </c>
      <c r="EB1373" s="81" t="s">
        <v>928</v>
      </c>
      <c r="EC1373" s="81">
        <v>1.52</v>
      </c>
      <c r="ED1373" s="81">
        <v>1.29</v>
      </c>
      <c r="EG1373" s="81" t="s">
        <v>943</v>
      </c>
      <c r="FG1373" s="81">
        <v>17.5</v>
      </c>
      <c r="FH1373" s="81">
        <v>17.100000000000001</v>
      </c>
      <c r="FL1373" s="81">
        <f>35.4/1.42</f>
        <v>24.929577464788732</v>
      </c>
      <c r="FM1373" s="81">
        <f>36.9/1.42</f>
        <v>25.985915492957748</v>
      </c>
      <c r="FP1373" s="81" t="s">
        <v>939</v>
      </c>
      <c r="JB1373" s="81" t="s">
        <v>941</v>
      </c>
    </row>
    <row r="1374" spans="1:262" s="81" customFormat="1" x14ac:dyDescent="0.25">
      <c r="A1374" s="81">
        <v>61</v>
      </c>
      <c r="B1374" s="82" t="s">
        <v>4037</v>
      </c>
      <c r="C1374" s="81" t="s">
        <v>919</v>
      </c>
      <c r="D1374" s="81" t="s">
        <v>920</v>
      </c>
      <c r="E1374" s="81">
        <v>2003</v>
      </c>
      <c r="F1374" s="81">
        <v>2002</v>
      </c>
      <c r="G1374" s="81" t="s">
        <v>921</v>
      </c>
      <c r="H1374" s="81" t="s">
        <v>923</v>
      </c>
      <c r="I1374" s="32" t="s">
        <v>2815</v>
      </c>
      <c r="J1374" s="81">
        <v>40.299999999999997</v>
      </c>
      <c r="K1374" s="81">
        <v>-86.9</v>
      </c>
      <c r="L1374" s="81">
        <v>221</v>
      </c>
      <c r="O1374" s="32">
        <v>1118</v>
      </c>
      <c r="R1374" s="82">
        <v>3</v>
      </c>
      <c r="S1374" s="82" t="s">
        <v>1728</v>
      </c>
      <c r="T1374" s="82" t="s">
        <v>864</v>
      </c>
      <c r="U1374" s="82" t="s">
        <v>926</v>
      </c>
      <c r="V1374" s="82" t="s">
        <v>1382</v>
      </c>
      <c r="W1374" s="44" t="s">
        <v>1717</v>
      </c>
      <c r="X1374" s="82" t="s">
        <v>1382</v>
      </c>
      <c r="Y1374" s="82" t="s">
        <v>1382</v>
      </c>
      <c r="Z1374" s="81">
        <v>1.42</v>
      </c>
      <c r="AA1374" s="344"/>
      <c r="AB1374" s="344"/>
      <c r="AC1374" s="81" t="s">
        <v>450</v>
      </c>
      <c r="AG1374" s="81" t="s">
        <v>1324</v>
      </c>
      <c r="AH1374" s="81" t="s">
        <v>1527</v>
      </c>
      <c r="AI1374" s="138" t="s">
        <v>1581</v>
      </c>
      <c r="AJ1374" s="81" t="s">
        <v>158</v>
      </c>
      <c r="AK1374" s="140" t="s">
        <v>1611</v>
      </c>
      <c r="AL1374" s="81" t="s">
        <v>942</v>
      </c>
      <c r="AM1374" s="81" t="s">
        <v>942</v>
      </c>
      <c r="AN1374" s="81" t="s">
        <v>177</v>
      </c>
      <c r="AO1374" s="81" t="s">
        <v>156</v>
      </c>
      <c r="AP1374" s="81" t="s">
        <v>156</v>
      </c>
      <c r="AQ1374" s="81" t="s">
        <v>2126</v>
      </c>
      <c r="AR1374" s="81" t="s">
        <v>2126</v>
      </c>
      <c r="AS1374" s="81" t="s">
        <v>177</v>
      </c>
      <c r="AW1374" s="81" t="s">
        <v>160</v>
      </c>
      <c r="AX1374" s="81">
        <v>4</v>
      </c>
      <c r="AZ1374" s="81" t="s">
        <v>141</v>
      </c>
      <c r="BD1374" s="81" t="s">
        <v>924</v>
      </c>
      <c r="BP1374" s="419">
        <v>1.52</v>
      </c>
      <c r="BQ1374" s="419">
        <v>1.49</v>
      </c>
      <c r="BU1374" s="419"/>
      <c r="BV1374" s="419"/>
      <c r="CE1374" s="572"/>
      <c r="CF1374" s="572"/>
      <c r="CG1374" s="572"/>
      <c r="CH1374" s="572"/>
      <c r="DS1374" s="81">
        <v>1.63</v>
      </c>
      <c r="DT1374" s="81">
        <v>1.72</v>
      </c>
      <c r="DW1374" s="81" t="s">
        <v>930</v>
      </c>
      <c r="DX1374" s="81">
        <v>38.43</v>
      </c>
      <c r="DY1374" s="81">
        <v>39.76</v>
      </c>
      <c r="EB1374" s="81" t="s">
        <v>928</v>
      </c>
      <c r="EC1374" s="81">
        <v>3.12</v>
      </c>
      <c r="ED1374" s="81">
        <v>2.86</v>
      </c>
      <c r="EG1374" s="81" t="s">
        <v>943</v>
      </c>
      <c r="FG1374" s="81">
        <v>17.600000000000001</v>
      </c>
      <c r="FH1374" s="81">
        <v>16.600000000000001</v>
      </c>
      <c r="FL1374" s="81">
        <f>34.3/1.42</f>
        <v>24.154929577464788</v>
      </c>
      <c r="FM1374" s="81">
        <f>34.4/1.42</f>
        <v>24.225352112676056</v>
      </c>
      <c r="FP1374" s="81" t="s">
        <v>939</v>
      </c>
      <c r="JB1374" s="81" t="s">
        <v>941</v>
      </c>
    </row>
    <row r="1375" spans="1:262" s="81" customFormat="1" x14ac:dyDescent="0.25">
      <c r="A1375" s="81">
        <v>61</v>
      </c>
      <c r="B1375" s="82" t="s">
        <v>4038</v>
      </c>
      <c r="C1375" s="81" t="s">
        <v>919</v>
      </c>
      <c r="D1375" s="81" t="s">
        <v>920</v>
      </c>
      <c r="E1375" s="81">
        <v>2003</v>
      </c>
      <c r="F1375" s="81">
        <v>2002</v>
      </c>
      <c r="G1375" s="81" t="s">
        <v>921</v>
      </c>
      <c r="H1375" s="81" t="s">
        <v>923</v>
      </c>
      <c r="I1375" s="32" t="s">
        <v>2815</v>
      </c>
      <c r="J1375" s="81">
        <v>40.299999999999997</v>
      </c>
      <c r="K1375" s="81">
        <v>-86.9</v>
      </c>
      <c r="L1375" s="81">
        <v>221</v>
      </c>
      <c r="O1375" s="32">
        <v>1118</v>
      </c>
      <c r="R1375" s="82">
        <v>3</v>
      </c>
      <c r="S1375" s="82" t="s">
        <v>1728</v>
      </c>
      <c r="T1375" s="82" t="s">
        <v>864</v>
      </c>
      <c r="U1375" s="82" t="s">
        <v>926</v>
      </c>
      <c r="V1375" s="82" t="s">
        <v>1382</v>
      </c>
      <c r="W1375" s="44" t="s">
        <v>1717</v>
      </c>
      <c r="X1375" s="82" t="s">
        <v>1382</v>
      </c>
      <c r="Y1375" s="82" t="s">
        <v>1382</v>
      </c>
      <c r="Z1375" s="81">
        <v>1.42</v>
      </c>
      <c r="AA1375" s="344"/>
      <c r="AB1375" s="344"/>
      <c r="AC1375" s="81" t="s">
        <v>450</v>
      </c>
      <c r="AG1375" s="81" t="s">
        <v>1324</v>
      </c>
      <c r="AH1375" s="81" t="s">
        <v>1527</v>
      </c>
      <c r="AI1375" s="138" t="s">
        <v>1581</v>
      </c>
      <c r="AJ1375" s="81" t="s">
        <v>132</v>
      </c>
      <c r="AK1375" s="140" t="s">
        <v>1611</v>
      </c>
      <c r="AL1375" s="81" t="s">
        <v>942</v>
      </c>
      <c r="AM1375" s="81" t="s">
        <v>942</v>
      </c>
      <c r="AN1375" s="81" t="s">
        <v>177</v>
      </c>
      <c r="AO1375" s="81" t="s">
        <v>156</v>
      </c>
      <c r="AP1375" s="81" t="s">
        <v>156</v>
      </c>
      <c r="AQ1375" s="81" t="s">
        <v>2126</v>
      </c>
      <c r="AR1375" s="81" t="s">
        <v>2126</v>
      </c>
      <c r="AS1375" s="81" t="s">
        <v>177</v>
      </c>
      <c r="AW1375" s="81" t="s">
        <v>160</v>
      </c>
      <c r="AX1375" s="81">
        <v>4</v>
      </c>
      <c r="AZ1375" s="81" t="s">
        <v>141</v>
      </c>
      <c r="BD1375" s="81" t="s">
        <v>925</v>
      </c>
      <c r="BP1375" s="419">
        <v>1.52</v>
      </c>
      <c r="BQ1375" s="419">
        <v>1.56</v>
      </c>
      <c r="BU1375" s="419"/>
      <c r="BV1375" s="419"/>
      <c r="CE1375" s="572"/>
      <c r="CF1375" s="572"/>
      <c r="CG1375" s="572"/>
      <c r="CH1375" s="572"/>
      <c r="DS1375" s="81">
        <v>1.63</v>
      </c>
      <c r="DT1375" s="81">
        <v>2.61</v>
      </c>
      <c r="DW1375" s="81" t="s">
        <v>930</v>
      </c>
      <c r="DX1375" s="81">
        <v>38.43</v>
      </c>
      <c r="DY1375" s="81">
        <v>39.090000000000003</v>
      </c>
      <c r="EB1375" s="81" t="s">
        <v>928</v>
      </c>
      <c r="EC1375" s="81">
        <v>3.12</v>
      </c>
      <c r="ED1375" s="81">
        <v>2.36</v>
      </c>
      <c r="EG1375" s="81" t="s">
        <v>943</v>
      </c>
      <c r="FG1375" s="81">
        <v>17.600000000000001</v>
      </c>
      <c r="FH1375" s="81">
        <v>15.7</v>
      </c>
      <c r="FL1375" s="81">
        <f>34.3/1.42</f>
        <v>24.154929577464788</v>
      </c>
      <c r="FM1375" s="81">
        <f>35.9/1.42</f>
        <v>25.281690140845072</v>
      </c>
      <c r="FP1375" s="81" t="s">
        <v>939</v>
      </c>
      <c r="JB1375" s="81" t="s">
        <v>941</v>
      </c>
    </row>
    <row r="1376" spans="1:262" s="81" customFormat="1" x14ac:dyDescent="0.25">
      <c r="A1376" s="81">
        <v>61</v>
      </c>
      <c r="B1376" s="82" t="s">
        <v>4035</v>
      </c>
      <c r="C1376" s="81" t="s">
        <v>919</v>
      </c>
      <c r="D1376" s="81" t="s">
        <v>920</v>
      </c>
      <c r="E1376" s="81">
        <v>2003</v>
      </c>
      <c r="F1376" s="81">
        <v>2002</v>
      </c>
      <c r="G1376" s="81" t="s">
        <v>921</v>
      </c>
      <c r="H1376" s="81" t="s">
        <v>923</v>
      </c>
      <c r="I1376" s="32" t="s">
        <v>2815</v>
      </c>
      <c r="J1376" s="81">
        <v>40.299999999999997</v>
      </c>
      <c r="K1376" s="81">
        <v>-86.9</v>
      </c>
      <c r="L1376" s="81">
        <v>221</v>
      </c>
      <c r="O1376" s="32">
        <v>1118</v>
      </c>
      <c r="R1376" s="82">
        <v>3</v>
      </c>
      <c r="S1376" s="82" t="s">
        <v>1728</v>
      </c>
      <c r="T1376" s="82" t="s">
        <v>864</v>
      </c>
      <c r="U1376" s="82" t="s">
        <v>927</v>
      </c>
      <c r="V1376" s="82" t="s">
        <v>1382</v>
      </c>
      <c r="W1376" s="44" t="s">
        <v>1717</v>
      </c>
      <c r="X1376" s="82" t="s">
        <v>1382</v>
      </c>
      <c r="Y1376" s="82" t="s">
        <v>1382</v>
      </c>
      <c r="Z1376" s="81">
        <v>1.42</v>
      </c>
      <c r="AA1376" s="344"/>
      <c r="AB1376" s="344"/>
      <c r="AC1376" s="81" t="s">
        <v>450</v>
      </c>
      <c r="AG1376" s="81" t="s">
        <v>1324</v>
      </c>
      <c r="AH1376" s="81" t="s">
        <v>1527</v>
      </c>
      <c r="AI1376" s="138" t="s">
        <v>1581</v>
      </c>
      <c r="AJ1376" s="81" t="s">
        <v>158</v>
      </c>
      <c r="AK1376" s="140" t="s">
        <v>1611</v>
      </c>
      <c r="AL1376" s="81" t="s">
        <v>942</v>
      </c>
      <c r="AM1376" s="81" t="s">
        <v>942</v>
      </c>
      <c r="AN1376" s="81" t="s">
        <v>177</v>
      </c>
      <c r="AO1376" s="81" t="s">
        <v>231</v>
      </c>
      <c r="AP1376" s="81" t="s">
        <v>231</v>
      </c>
      <c r="AQ1376" s="81" t="s">
        <v>2125</v>
      </c>
      <c r="AR1376" s="81" t="s">
        <v>2125</v>
      </c>
      <c r="AS1376" s="81" t="s">
        <v>177</v>
      </c>
      <c r="AW1376" s="81" t="s">
        <v>160</v>
      </c>
      <c r="AX1376" s="81">
        <v>4</v>
      </c>
      <c r="AZ1376" s="81" t="s">
        <v>141</v>
      </c>
      <c r="BB1376" s="81">
        <v>1543</v>
      </c>
      <c r="BD1376" s="81" t="s">
        <v>924</v>
      </c>
      <c r="BP1376" s="419">
        <v>1.5</v>
      </c>
      <c r="BQ1376" s="419">
        <v>1.51</v>
      </c>
      <c r="BU1376" s="419"/>
      <c r="BV1376" s="419"/>
      <c r="CE1376" s="572"/>
      <c r="CF1376" s="572"/>
      <c r="CG1376" s="572"/>
      <c r="CH1376" s="572"/>
      <c r="DS1376" s="81">
        <v>2.74</v>
      </c>
      <c r="DT1376" s="81">
        <v>2.83</v>
      </c>
      <c r="DW1376" s="81" t="s">
        <v>930</v>
      </c>
      <c r="DX1376" s="81">
        <v>13.76</v>
      </c>
      <c r="DY1376" s="81">
        <v>14.1</v>
      </c>
      <c r="EB1376" s="81" t="s">
        <v>928</v>
      </c>
      <c r="EC1376" s="81">
        <v>2.08</v>
      </c>
      <c r="ED1376" s="81">
        <v>2.19</v>
      </c>
      <c r="EG1376" s="81" t="s">
        <v>943</v>
      </c>
      <c r="FG1376" s="81">
        <v>22.1</v>
      </c>
      <c r="FH1376" s="81">
        <v>21.3</v>
      </c>
      <c r="FL1376" s="81">
        <f>24.8/1.42</f>
        <v>17.464788732394368</v>
      </c>
      <c r="FM1376" s="81">
        <f>26.3/1.42</f>
        <v>18.52112676056338</v>
      </c>
      <c r="FP1376" s="81" t="s">
        <v>940</v>
      </c>
      <c r="JB1376" s="81" t="s">
        <v>941</v>
      </c>
    </row>
    <row r="1377" spans="1:264" s="81" customFormat="1" x14ac:dyDescent="0.25">
      <c r="A1377" s="81">
        <v>61</v>
      </c>
      <c r="B1377" s="82" t="s">
        <v>4036</v>
      </c>
      <c r="C1377" s="81" t="s">
        <v>919</v>
      </c>
      <c r="D1377" s="81" t="s">
        <v>920</v>
      </c>
      <c r="E1377" s="81">
        <v>2003</v>
      </c>
      <c r="F1377" s="81">
        <v>2002</v>
      </c>
      <c r="G1377" s="81" t="s">
        <v>921</v>
      </c>
      <c r="H1377" s="81" t="s">
        <v>923</v>
      </c>
      <c r="I1377" s="32" t="s">
        <v>2815</v>
      </c>
      <c r="J1377" s="81">
        <v>40.299999999999997</v>
      </c>
      <c r="K1377" s="81">
        <v>-86.9</v>
      </c>
      <c r="L1377" s="81">
        <v>221</v>
      </c>
      <c r="O1377" s="32">
        <v>1118</v>
      </c>
      <c r="R1377" s="82">
        <v>3</v>
      </c>
      <c r="S1377" s="82" t="s">
        <v>1728</v>
      </c>
      <c r="T1377" s="82" t="s">
        <v>864</v>
      </c>
      <c r="U1377" s="82" t="s">
        <v>927</v>
      </c>
      <c r="V1377" s="82" t="s">
        <v>1382</v>
      </c>
      <c r="W1377" s="44" t="s">
        <v>1717</v>
      </c>
      <c r="X1377" s="82" t="s">
        <v>1382</v>
      </c>
      <c r="Y1377" s="82" t="s">
        <v>1382</v>
      </c>
      <c r="Z1377" s="81">
        <v>1.42</v>
      </c>
      <c r="AA1377" s="344"/>
      <c r="AB1377" s="344"/>
      <c r="AC1377" s="81" t="s">
        <v>450</v>
      </c>
      <c r="AG1377" s="81" t="s">
        <v>1324</v>
      </c>
      <c r="AH1377" s="81" t="s">
        <v>1527</v>
      </c>
      <c r="AI1377" s="138" t="s">
        <v>1581</v>
      </c>
      <c r="AJ1377" s="81" t="s">
        <v>132</v>
      </c>
      <c r="AK1377" s="140" t="s">
        <v>1611</v>
      </c>
      <c r="AL1377" s="81" t="s">
        <v>942</v>
      </c>
      <c r="AM1377" s="81" t="s">
        <v>942</v>
      </c>
      <c r="AN1377" s="81" t="s">
        <v>177</v>
      </c>
      <c r="AO1377" s="81" t="s">
        <v>231</v>
      </c>
      <c r="AP1377" s="81" t="s">
        <v>231</v>
      </c>
      <c r="AQ1377" s="81" t="s">
        <v>2125</v>
      </c>
      <c r="AR1377" s="81" t="s">
        <v>2125</v>
      </c>
      <c r="AS1377" s="81" t="s">
        <v>177</v>
      </c>
      <c r="AW1377" s="81" t="s">
        <v>160</v>
      </c>
      <c r="AX1377" s="81">
        <v>4</v>
      </c>
      <c r="AZ1377" s="81" t="s">
        <v>141</v>
      </c>
      <c r="BB1377" s="81">
        <v>2513</v>
      </c>
      <c r="BD1377" s="81" t="s">
        <v>925</v>
      </c>
      <c r="BP1377" s="419">
        <v>1.5</v>
      </c>
      <c r="BQ1377" s="419">
        <v>1.42</v>
      </c>
      <c r="BU1377" s="419"/>
      <c r="BV1377" s="419"/>
      <c r="CE1377" s="572"/>
      <c r="CF1377" s="572"/>
      <c r="CG1377" s="572"/>
      <c r="CH1377" s="572"/>
      <c r="DS1377" s="81">
        <v>2.74</v>
      </c>
      <c r="DT1377" s="81">
        <v>3.14</v>
      </c>
      <c r="DW1377" s="81" t="s">
        <v>930</v>
      </c>
      <c r="DX1377" s="81">
        <v>13.76</v>
      </c>
      <c r="DY1377" s="81">
        <v>17.18</v>
      </c>
      <c r="EB1377" s="81" t="s">
        <v>928</v>
      </c>
      <c r="EC1377" s="81">
        <v>2.08</v>
      </c>
      <c r="ED1377" s="81">
        <v>2</v>
      </c>
      <c r="EG1377" s="81" t="s">
        <v>943</v>
      </c>
      <c r="FG1377" s="81">
        <v>22.1</v>
      </c>
      <c r="FH1377" s="81">
        <v>18.899999999999999</v>
      </c>
      <c r="FL1377" s="81">
        <f>24.8/1.42</f>
        <v>17.464788732394368</v>
      </c>
      <c r="FM1377" s="81">
        <f>29/1.42</f>
        <v>20.422535211267608</v>
      </c>
      <c r="FP1377" s="81" t="s">
        <v>940</v>
      </c>
      <c r="JB1377" s="81" t="s">
        <v>941</v>
      </c>
    </row>
    <row r="1378" spans="1:264" s="81" customFormat="1" x14ac:dyDescent="0.25">
      <c r="A1378" s="81">
        <v>61</v>
      </c>
      <c r="B1378" s="82" t="s">
        <v>4037</v>
      </c>
      <c r="C1378" s="81" t="s">
        <v>919</v>
      </c>
      <c r="D1378" s="81" t="s">
        <v>920</v>
      </c>
      <c r="E1378" s="81">
        <v>2003</v>
      </c>
      <c r="F1378" s="81">
        <v>2002</v>
      </c>
      <c r="G1378" s="81" t="s">
        <v>921</v>
      </c>
      <c r="H1378" s="81" t="s">
        <v>923</v>
      </c>
      <c r="I1378" s="32" t="s">
        <v>2815</v>
      </c>
      <c r="J1378" s="81">
        <v>40.299999999999997</v>
      </c>
      <c r="K1378" s="81">
        <v>-86.9</v>
      </c>
      <c r="L1378" s="81">
        <v>221</v>
      </c>
      <c r="O1378" s="32">
        <v>1118</v>
      </c>
      <c r="R1378" s="82">
        <v>3</v>
      </c>
      <c r="S1378" s="82" t="s">
        <v>1728</v>
      </c>
      <c r="T1378" s="82" t="s">
        <v>864</v>
      </c>
      <c r="U1378" s="82" t="s">
        <v>927</v>
      </c>
      <c r="V1378" s="82" t="s">
        <v>1382</v>
      </c>
      <c r="W1378" s="44" t="s">
        <v>1717</v>
      </c>
      <c r="X1378" s="82" t="s">
        <v>1382</v>
      </c>
      <c r="Y1378" s="82" t="s">
        <v>1382</v>
      </c>
      <c r="Z1378" s="81">
        <v>1.42</v>
      </c>
      <c r="AA1378" s="344"/>
      <c r="AB1378" s="344"/>
      <c r="AC1378" s="81" t="s">
        <v>450</v>
      </c>
      <c r="AG1378" s="81" t="s">
        <v>1324</v>
      </c>
      <c r="AH1378" s="81" t="s">
        <v>1527</v>
      </c>
      <c r="AI1378" s="138" t="s">
        <v>1581</v>
      </c>
      <c r="AJ1378" s="81" t="s">
        <v>158</v>
      </c>
      <c r="AK1378" s="140" t="s">
        <v>1611</v>
      </c>
      <c r="AL1378" s="81" t="s">
        <v>942</v>
      </c>
      <c r="AM1378" s="81" t="s">
        <v>942</v>
      </c>
      <c r="AN1378" s="81" t="s">
        <v>177</v>
      </c>
      <c r="AO1378" s="81" t="s">
        <v>156</v>
      </c>
      <c r="AP1378" s="81" t="s">
        <v>156</v>
      </c>
      <c r="AQ1378" s="81" t="s">
        <v>2126</v>
      </c>
      <c r="AR1378" s="81" t="s">
        <v>2126</v>
      </c>
      <c r="AS1378" s="81" t="s">
        <v>177</v>
      </c>
      <c r="AW1378" s="81" t="s">
        <v>160</v>
      </c>
      <c r="AX1378" s="81">
        <v>4</v>
      </c>
      <c r="AZ1378" s="81" t="s">
        <v>141</v>
      </c>
      <c r="BB1378" s="81">
        <v>2096</v>
      </c>
      <c r="BD1378" s="81" t="s">
        <v>924</v>
      </c>
      <c r="BP1378" s="419">
        <v>1.63</v>
      </c>
      <c r="BQ1378" s="419">
        <v>1.6</v>
      </c>
      <c r="BU1378" s="419"/>
      <c r="BV1378" s="419"/>
      <c r="CE1378" s="572"/>
      <c r="CF1378" s="572"/>
      <c r="CG1378" s="572"/>
      <c r="CH1378" s="572"/>
      <c r="DS1378" s="81">
        <v>3.15</v>
      </c>
      <c r="DT1378" s="81">
        <v>2.79</v>
      </c>
      <c r="DW1378" s="81" t="s">
        <v>930</v>
      </c>
      <c r="DX1378" s="81">
        <v>9.2899999999999991</v>
      </c>
      <c r="DY1378" s="81">
        <v>10.32</v>
      </c>
      <c r="EB1378" s="81" t="s">
        <v>928</v>
      </c>
      <c r="EC1378" s="81">
        <v>2.91</v>
      </c>
      <c r="ED1378" s="81">
        <v>2.64</v>
      </c>
      <c r="EG1378" s="81" t="s">
        <v>943</v>
      </c>
      <c r="FG1378" s="81">
        <v>22.1</v>
      </c>
      <c r="FH1378" s="81">
        <v>20.6</v>
      </c>
      <c r="FL1378" s="81">
        <f>23.5/1.42</f>
        <v>16.549295774647888</v>
      </c>
      <c r="FM1378" s="81">
        <f>24.5/1.42</f>
        <v>17.253521126760564</v>
      </c>
      <c r="FP1378" s="81" t="s">
        <v>940</v>
      </c>
      <c r="JB1378" s="81" t="s">
        <v>941</v>
      </c>
    </row>
    <row r="1379" spans="1:264" s="81" customFormat="1" x14ac:dyDescent="0.25">
      <c r="A1379" s="81">
        <v>61</v>
      </c>
      <c r="B1379" s="82" t="s">
        <v>4038</v>
      </c>
      <c r="C1379" s="81" t="s">
        <v>919</v>
      </c>
      <c r="D1379" s="81" t="s">
        <v>920</v>
      </c>
      <c r="E1379" s="81">
        <v>2003</v>
      </c>
      <c r="F1379" s="81">
        <v>2002</v>
      </c>
      <c r="G1379" s="81" t="s">
        <v>921</v>
      </c>
      <c r="H1379" s="81" t="s">
        <v>923</v>
      </c>
      <c r="I1379" s="32" t="s">
        <v>2815</v>
      </c>
      <c r="J1379" s="81">
        <v>40.299999999999997</v>
      </c>
      <c r="K1379" s="81">
        <v>-86.9</v>
      </c>
      <c r="L1379" s="81">
        <v>221</v>
      </c>
      <c r="O1379" s="32">
        <v>1118</v>
      </c>
      <c r="R1379" s="82">
        <v>3</v>
      </c>
      <c r="S1379" s="82" t="s">
        <v>1728</v>
      </c>
      <c r="T1379" s="82" t="s">
        <v>864</v>
      </c>
      <c r="U1379" s="82" t="s">
        <v>927</v>
      </c>
      <c r="V1379" s="82" t="s">
        <v>1382</v>
      </c>
      <c r="W1379" s="44" t="s">
        <v>1717</v>
      </c>
      <c r="X1379" s="82" t="s">
        <v>1382</v>
      </c>
      <c r="Y1379" s="82" t="s">
        <v>1382</v>
      </c>
      <c r="Z1379" s="81">
        <v>1.42</v>
      </c>
      <c r="AA1379" s="344"/>
      <c r="AB1379" s="344"/>
      <c r="AC1379" s="81" t="s">
        <v>450</v>
      </c>
      <c r="AG1379" s="81" t="s">
        <v>1324</v>
      </c>
      <c r="AH1379" s="81" t="s">
        <v>1527</v>
      </c>
      <c r="AI1379" s="138" t="s">
        <v>1581</v>
      </c>
      <c r="AJ1379" s="81" t="s">
        <v>132</v>
      </c>
      <c r="AK1379" s="140" t="s">
        <v>1611</v>
      </c>
      <c r="AL1379" s="81" t="s">
        <v>942</v>
      </c>
      <c r="AM1379" s="81" t="s">
        <v>942</v>
      </c>
      <c r="AN1379" s="81" t="s">
        <v>177</v>
      </c>
      <c r="AO1379" s="81" t="s">
        <v>156</v>
      </c>
      <c r="AP1379" s="81" t="s">
        <v>156</v>
      </c>
      <c r="AQ1379" s="81" t="s">
        <v>2126</v>
      </c>
      <c r="AR1379" s="81" t="s">
        <v>2126</v>
      </c>
      <c r="AS1379" s="81" t="s">
        <v>177</v>
      </c>
      <c r="AW1379" s="81" t="s">
        <v>160</v>
      </c>
      <c r="AX1379" s="81">
        <v>4</v>
      </c>
      <c r="AZ1379" s="81" t="s">
        <v>141</v>
      </c>
      <c r="BB1379" s="81">
        <v>2833</v>
      </c>
      <c r="BD1379" s="81" t="s">
        <v>925</v>
      </c>
      <c r="BP1379" s="419">
        <v>1.63</v>
      </c>
      <c r="BQ1379" s="419">
        <v>1.61</v>
      </c>
      <c r="BU1379" s="419"/>
      <c r="BV1379" s="419"/>
      <c r="CE1379" s="572"/>
      <c r="CF1379" s="572"/>
      <c r="CG1379" s="572"/>
      <c r="CH1379" s="572"/>
      <c r="DS1379" s="81">
        <v>3.15</v>
      </c>
      <c r="DT1379" s="81">
        <v>3.09</v>
      </c>
      <c r="DW1379" s="81" t="s">
        <v>930</v>
      </c>
      <c r="DX1379" s="81">
        <v>9.2899999999999991</v>
      </c>
      <c r="DY1379" s="81">
        <v>8.94</v>
      </c>
      <c r="EB1379" s="81" t="s">
        <v>928</v>
      </c>
      <c r="EC1379" s="81">
        <v>2.91</v>
      </c>
      <c r="ED1379" s="81">
        <v>2.36</v>
      </c>
      <c r="EG1379" s="81" t="s">
        <v>943</v>
      </c>
      <c r="FG1379" s="81">
        <v>22.1</v>
      </c>
      <c r="FH1379" s="81">
        <v>19.399999999999999</v>
      </c>
      <c r="FL1379" s="81">
        <f>23.5/1.42</f>
        <v>16.549295774647888</v>
      </c>
      <c r="FM1379" s="81">
        <f>26.7/1.42</f>
        <v>18.802816901408452</v>
      </c>
      <c r="FP1379" s="81" t="s">
        <v>940</v>
      </c>
      <c r="JB1379" s="81" t="s">
        <v>941</v>
      </c>
    </row>
    <row r="1380" spans="1:264" s="28" customFormat="1" x14ac:dyDescent="0.25">
      <c r="A1380" s="28">
        <v>62</v>
      </c>
      <c r="B1380" s="46" t="s">
        <v>4039</v>
      </c>
      <c r="C1380" s="28" t="s">
        <v>944</v>
      </c>
      <c r="D1380" s="28" t="s">
        <v>945</v>
      </c>
      <c r="E1380" s="28">
        <v>2004</v>
      </c>
      <c r="F1380" s="28">
        <v>1998</v>
      </c>
      <c r="G1380" s="28" t="s">
        <v>946</v>
      </c>
      <c r="H1380" s="28" t="s">
        <v>947</v>
      </c>
      <c r="I1380" s="32" t="s">
        <v>2815</v>
      </c>
      <c r="J1380" s="28">
        <v>44.24</v>
      </c>
      <c r="K1380" s="28">
        <v>-95.31</v>
      </c>
      <c r="L1380" s="28">
        <v>344.5</v>
      </c>
      <c r="P1380" s="28">
        <v>670</v>
      </c>
      <c r="R1380" s="46">
        <v>1</v>
      </c>
      <c r="S1380" s="28">
        <v>5</v>
      </c>
      <c r="T1380" s="46" t="s">
        <v>1990</v>
      </c>
      <c r="U1380" s="46" t="s">
        <v>1989</v>
      </c>
      <c r="V1380" s="46" t="s">
        <v>1411</v>
      </c>
      <c r="W1380" s="46" t="s">
        <v>1729</v>
      </c>
      <c r="X1380" s="46" t="s">
        <v>1411</v>
      </c>
      <c r="Y1380" s="46" t="s">
        <v>1417</v>
      </c>
      <c r="AA1380" s="326"/>
      <c r="AB1380" s="326"/>
      <c r="AC1380" s="28" t="s">
        <v>672</v>
      </c>
      <c r="AG1380" s="28" t="s">
        <v>1347</v>
      </c>
      <c r="AH1380" s="28" t="s">
        <v>1563</v>
      </c>
      <c r="AI1380" s="138" t="s">
        <v>131</v>
      </c>
      <c r="AJ1380" s="28" t="s">
        <v>158</v>
      </c>
      <c r="AK1380" s="141" t="s">
        <v>1611</v>
      </c>
      <c r="AO1380" s="28" t="s">
        <v>949</v>
      </c>
      <c r="AP1380" s="28" t="s">
        <v>949</v>
      </c>
      <c r="AQ1380" s="28" t="s">
        <v>2125</v>
      </c>
      <c r="AR1380" s="28" t="s">
        <v>2125</v>
      </c>
      <c r="AS1380" s="28" t="s">
        <v>177</v>
      </c>
      <c r="AT1380" s="28" t="s">
        <v>948</v>
      </c>
      <c r="AU1380" s="28" t="s">
        <v>948</v>
      </c>
      <c r="AV1380" s="28" t="s">
        <v>177</v>
      </c>
      <c r="AW1380" s="28" t="s">
        <v>119</v>
      </c>
      <c r="AX1380" s="28">
        <v>4</v>
      </c>
      <c r="AZ1380" s="28" t="s">
        <v>141</v>
      </c>
      <c r="BB1380" s="28">
        <v>1000</v>
      </c>
      <c r="BC1380" s="28">
        <f>100/2.7</f>
        <v>37.037037037037038</v>
      </c>
      <c r="BP1380" s="401"/>
      <c r="BQ1380" s="401"/>
      <c r="BU1380" s="401"/>
      <c r="BV1380" s="401"/>
      <c r="CE1380" s="554"/>
      <c r="CF1380" s="554"/>
      <c r="CG1380" s="554"/>
      <c r="CH1380" s="554"/>
      <c r="FB1380" s="28">
        <v>29.86</v>
      </c>
      <c r="FC1380" s="28">
        <v>23</v>
      </c>
      <c r="FD1380" s="28">
        <f>(44.9-29.864)</f>
        <v>15.035999999999998</v>
      </c>
      <c r="FE1380" s="28">
        <f>(30-23)</f>
        <v>7</v>
      </c>
      <c r="FF1380" s="28" t="s">
        <v>1685</v>
      </c>
    </row>
    <row r="1381" spans="1:264" s="28" customFormat="1" x14ac:dyDescent="0.25">
      <c r="A1381" s="28">
        <v>62</v>
      </c>
      <c r="B1381" s="46" t="s">
        <v>4040</v>
      </c>
      <c r="C1381" s="28" t="s">
        <v>944</v>
      </c>
      <c r="D1381" s="28" t="s">
        <v>945</v>
      </c>
      <c r="E1381" s="28">
        <v>2004</v>
      </c>
      <c r="F1381" s="28">
        <v>1998</v>
      </c>
      <c r="G1381" s="28" t="s">
        <v>946</v>
      </c>
      <c r="H1381" s="28" t="s">
        <v>947</v>
      </c>
      <c r="I1381" s="32" t="s">
        <v>2815</v>
      </c>
      <c r="J1381" s="28">
        <v>44.24</v>
      </c>
      <c r="K1381" s="28">
        <v>-95.31</v>
      </c>
      <c r="L1381" s="28">
        <v>344.5</v>
      </c>
      <c r="P1381" s="28">
        <v>670</v>
      </c>
      <c r="R1381" s="46">
        <v>1</v>
      </c>
      <c r="S1381" s="28">
        <v>5</v>
      </c>
      <c r="T1381" s="46" t="s">
        <v>1990</v>
      </c>
      <c r="U1381" s="46" t="s">
        <v>1989</v>
      </c>
      <c r="V1381" s="46" t="s">
        <v>1411</v>
      </c>
      <c r="W1381" s="46" t="s">
        <v>1729</v>
      </c>
      <c r="X1381" s="46" t="s">
        <v>1411</v>
      </c>
      <c r="Y1381" s="46" t="s">
        <v>1417</v>
      </c>
      <c r="AA1381" s="326"/>
      <c r="AB1381" s="326"/>
      <c r="AC1381" s="28" t="s">
        <v>672</v>
      </c>
      <c r="AG1381" s="28" t="s">
        <v>1347</v>
      </c>
      <c r="AH1381" s="28" t="s">
        <v>1563</v>
      </c>
      <c r="AI1381" s="138" t="s">
        <v>131</v>
      </c>
      <c r="AJ1381" s="28" t="s">
        <v>132</v>
      </c>
      <c r="AK1381" s="141" t="s">
        <v>1611</v>
      </c>
      <c r="AO1381" s="28" t="s">
        <v>949</v>
      </c>
      <c r="AP1381" s="28" t="s">
        <v>949</v>
      </c>
      <c r="AQ1381" s="28" t="s">
        <v>2125</v>
      </c>
      <c r="AR1381" s="28" t="s">
        <v>2125</v>
      </c>
      <c r="AS1381" s="28" t="s">
        <v>177</v>
      </c>
      <c r="AT1381" s="28" t="s">
        <v>948</v>
      </c>
      <c r="AU1381" s="28" t="s">
        <v>948</v>
      </c>
      <c r="AV1381" s="28" t="s">
        <v>177</v>
      </c>
      <c r="AW1381" s="28" t="s">
        <v>119</v>
      </c>
      <c r="AX1381" s="28">
        <v>4</v>
      </c>
      <c r="AZ1381" s="28" t="s">
        <v>141</v>
      </c>
      <c r="BB1381" s="28">
        <v>1000</v>
      </c>
      <c r="BC1381" s="28">
        <f>100/2.7</f>
        <v>37.037037037037038</v>
      </c>
      <c r="BP1381" s="401"/>
      <c r="BQ1381" s="401"/>
      <c r="BU1381" s="401"/>
      <c r="BV1381" s="401"/>
      <c r="CE1381" s="554"/>
      <c r="CF1381" s="554"/>
      <c r="CG1381" s="554"/>
      <c r="CH1381" s="554"/>
      <c r="FB1381" s="28">
        <v>24</v>
      </c>
      <c r="FC1381" s="28">
        <v>24</v>
      </c>
      <c r="FD1381" s="28">
        <f>(33.9-24)</f>
        <v>9.8999999999999986</v>
      </c>
      <c r="FE1381" s="28">
        <f>(31-24)</f>
        <v>7</v>
      </c>
      <c r="FF1381" s="28" t="s">
        <v>1685</v>
      </c>
    </row>
    <row r="1382" spans="1:264" s="39" customFormat="1" x14ac:dyDescent="0.25">
      <c r="A1382" s="39">
        <v>62</v>
      </c>
      <c r="B1382" s="70" t="s">
        <v>4039</v>
      </c>
      <c r="C1382" s="39" t="s">
        <v>944</v>
      </c>
      <c r="D1382" s="39" t="s">
        <v>945</v>
      </c>
      <c r="E1382" s="39">
        <v>2004</v>
      </c>
      <c r="F1382" s="39">
        <v>1999</v>
      </c>
      <c r="G1382" s="39" t="s">
        <v>946</v>
      </c>
      <c r="H1382" s="39" t="s">
        <v>947</v>
      </c>
      <c r="I1382" s="32" t="s">
        <v>2815</v>
      </c>
      <c r="J1382" s="39">
        <v>44.24</v>
      </c>
      <c r="K1382" s="39">
        <v>-95.31</v>
      </c>
      <c r="L1382" s="39">
        <v>344.5</v>
      </c>
      <c r="P1382" s="39">
        <v>670</v>
      </c>
      <c r="R1382" s="70">
        <v>2</v>
      </c>
      <c r="S1382" s="70" t="s">
        <v>1722</v>
      </c>
      <c r="T1382" s="70" t="s">
        <v>1990</v>
      </c>
      <c r="U1382" s="70" t="s">
        <v>1989</v>
      </c>
      <c r="V1382" s="70" t="s">
        <v>1411</v>
      </c>
      <c r="W1382" s="46" t="s">
        <v>1729</v>
      </c>
      <c r="X1382" s="46" t="s">
        <v>1411</v>
      </c>
      <c r="Y1382" s="46" t="s">
        <v>1417</v>
      </c>
      <c r="AA1382" s="340"/>
      <c r="AB1382" s="340"/>
      <c r="AC1382" s="39" t="s">
        <v>672</v>
      </c>
      <c r="AG1382" s="39" t="s">
        <v>1347</v>
      </c>
      <c r="AH1382" s="39" t="s">
        <v>1563</v>
      </c>
      <c r="AI1382" s="138" t="s">
        <v>131</v>
      </c>
      <c r="AJ1382" s="39" t="s">
        <v>158</v>
      </c>
      <c r="AK1382" s="141" t="s">
        <v>1611</v>
      </c>
      <c r="AO1382" s="39" t="s">
        <v>949</v>
      </c>
      <c r="AP1382" s="39" t="s">
        <v>949</v>
      </c>
      <c r="AQ1382" s="39" t="s">
        <v>2125</v>
      </c>
      <c r="AR1382" s="39" t="s">
        <v>2125</v>
      </c>
      <c r="AS1382" s="39" t="s">
        <v>177</v>
      </c>
      <c r="AT1382" s="39" t="s">
        <v>948</v>
      </c>
      <c r="AU1382" s="39" t="s">
        <v>948</v>
      </c>
      <c r="AV1382" s="39" t="s">
        <v>177</v>
      </c>
      <c r="AW1382" s="39" t="s">
        <v>119</v>
      </c>
      <c r="AX1382" s="39">
        <v>4</v>
      </c>
      <c r="AZ1382" s="39" t="s">
        <v>141</v>
      </c>
      <c r="BB1382" s="39">
        <v>2700</v>
      </c>
      <c r="BC1382" s="39">
        <f>100/2.5</f>
        <v>40</v>
      </c>
      <c r="BK1382" s="39">
        <v>2700</v>
      </c>
      <c r="BL1382" s="39">
        <v>2700</v>
      </c>
      <c r="BP1382" s="415"/>
      <c r="BQ1382" s="415"/>
      <c r="BU1382" s="415"/>
      <c r="BV1382" s="415"/>
      <c r="CE1382" s="568"/>
      <c r="CF1382" s="568"/>
      <c r="CG1382" s="568"/>
      <c r="CH1382" s="568"/>
      <c r="JD1382"/>
    </row>
    <row r="1383" spans="1:264" s="39" customFormat="1" x14ac:dyDescent="0.25">
      <c r="A1383" s="39">
        <v>62</v>
      </c>
      <c r="B1383" s="70" t="s">
        <v>4040</v>
      </c>
      <c r="C1383" s="39" t="s">
        <v>944</v>
      </c>
      <c r="D1383" s="39" t="s">
        <v>945</v>
      </c>
      <c r="E1383" s="39">
        <v>2004</v>
      </c>
      <c r="F1383" s="39">
        <v>1999</v>
      </c>
      <c r="G1383" s="39" t="s">
        <v>946</v>
      </c>
      <c r="H1383" s="39" t="s">
        <v>947</v>
      </c>
      <c r="I1383" s="32" t="s">
        <v>2815</v>
      </c>
      <c r="J1383" s="39">
        <v>44.24</v>
      </c>
      <c r="K1383" s="39">
        <v>-95.31</v>
      </c>
      <c r="L1383" s="39">
        <v>344.5</v>
      </c>
      <c r="P1383" s="39">
        <v>670</v>
      </c>
      <c r="R1383" s="70">
        <v>2</v>
      </c>
      <c r="S1383" s="70" t="s">
        <v>1722</v>
      </c>
      <c r="T1383" s="70" t="s">
        <v>1990</v>
      </c>
      <c r="U1383" s="70" t="s">
        <v>1989</v>
      </c>
      <c r="V1383" s="70" t="s">
        <v>1411</v>
      </c>
      <c r="W1383" s="46" t="s">
        <v>1729</v>
      </c>
      <c r="X1383" s="46" t="s">
        <v>1411</v>
      </c>
      <c r="Y1383" s="46" t="s">
        <v>1417</v>
      </c>
      <c r="AA1383" s="340"/>
      <c r="AB1383" s="340"/>
      <c r="AC1383" s="39" t="s">
        <v>672</v>
      </c>
      <c r="AG1383" s="39" t="s">
        <v>1347</v>
      </c>
      <c r="AH1383" s="39" t="s">
        <v>1563</v>
      </c>
      <c r="AI1383" s="138" t="s">
        <v>131</v>
      </c>
      <c r="AJ1383" s="39" t="s">
        <v>132</v>
      </c>
      <c r="AK1383" s="141" t="s">
        <v>1611</v>
      </c>
      <c r="AO1383" s="39" t="s">
        <v>949</v>
      </c>
      <c r="AP1383" s="39" t="s">
        <v>949</v>
      </c>
      <c r="AQ1383" s="39" t="s">
        <v>2125</v>
      </c>
      <c r="AR1383" s="39" t="s">
        <v>2125</v>
      </c>
      <c r="AS1383" s="39" t="s">
        <v>177</v>
      </c>
      <c r="AT1383" s="39" t="s">
        <v>948</v>
      </c>
      <c r="AU1383" s="39" t="s">
        <v>948</v>
      </c>
      <c r="AV1383" s="39" t="s">
        <v>177</v>
      </c>
      <c r="AW1383" s="39" t="s">
        <v>119</v>
      </c>
      <c r="AX1383" s="39">
        <v>4</v>
      </c>
      <c r="AZ1383" s="39" t="s">
        <v>141</v>
      </c>
      <c r="BB1383" s="39">
        <v>2700</v>
      </c>
      <c r="BC1383" s="39">
        <f>100/2.5</f>
        <v>40</v>
      </c>
      <c r="BK1383" s="39">
        <v>10000</v>
      </c>
      <c r="BL1383" s="39">
        <v>9600</v>
      </c>
      <c r="BP1383" s="415"/>
      <c r="BQ1383" s="415"/>
      <c r="BU1383" s="415"/>
      <c r="BV1383" s="415"/>
      <c r="CE1383" s="568"/>
      <c r="CF1383" s="568"/>
      <c r="CG1383" s="568"/>
      <c r="CH1383" s="568"/>
      <c r="JD1383"/>
    </row>
    <row r="1384" spans="1:264" s="28" customFormat="1" x14ac:dyDescent="0.25">
      <c r="A1384" s="28">
        <v>62</v>
      </c>
      <c r="B1384" s="46" t="s">
        <v>4039</v>
      </c>
      <c r="C1384" s="28" t="s">
        <v>944</v>
      </c>
      <c r="D1384" s="28" t="s">
        <v>945</v>
      </c>
      <c r="E1384" s="28">
        <v>2004</v>
      </c>
      <c r="F1384" s="28">
        <v>2000</v>
      </c>
      <c r="G1384" s="28" t="s">
        <v>946</v>
      </c>
      <c r="H1384" s="28" t="s">
        <v>947</v>
      </c>
      <c r="I1384" s="32" t="s">
        <v>2815</v>
      </c>
      <c r="J1384" s="28">
        <v>44.24</v>
      </c>
      <c r="K1384" s="28">
        <v>-95.31</v>
      </c>
      <c r="L1384" s="28">
        <v>344.5</v>
      </c>
      <c r="P1384" s="28">
        <v>670</v>
      </c>
      <c r="R1384" s="46">
        <v>3</v>
      </c>
      <c r="S1384" s="28">
        <v>5</v>
      </c>
      <c r="T1384" s="46" t="s">
        <v>1990</v>
      </c>
      <c r="U1384" s="46" t="s">
        <v>1989</v>
      </c>
      <c r="V1384" s="46" t="s">
        <v>1411</v>
      </c>
      <c r="W1384" s="46" t="s">
        <v>1729</v>
      </c>
      <c r="X1384" s="46" t="s">
        <v>1411</v>
      </c>
      <c r="Y1384" s="46" t="s">
        <v>1417</v>
      </c>
      <c r="AA1384" s="326"/>
      <c r="AB1384" s="326"/>
      <c r="AC1384" s="28" t="s">
        <v>672</v>
      </c>
      <c r="AG1384" s="28" t="s">
        <v>1347</v>
      </c>
      <c r="AH1384" s="28" t="s">
        <v>1563</v>
      </c>
      <c r="AI1384" s="138" t="s">
        <v>131</v>
      </c>
      <c r="AJ1384" s="28" t="s">
        <v>158</v>
      </c>
      <c r="AK1384" s="141" t="s">
        <v>1611</v>
      </c>
      <c r="AO1384" s="28" t="s">
        <v>949</v>
      </c>
      <c r="AP1384" s="28" t="s">
        <v>949</v>
      </c>
      <c r="AQ1384" s="28" t="s">
        <v>2125</v>
      </c>
      <c r="AR1384" s="28" t="s">
        <v>2125</v>
      </c>
      <c r="AS1384" s="28" t="s">
        <v>177</v>
      </c>
      <c r="AT1384" s="28" t="s">
        <v>948</v>
      </c>
      <c r="AU1384" s="28" t="s">
        <v>948</v>
      </c>
      <c r="AV1384" s="28" t="s">
        <v>177</v>
      </c>
      <c r="AW1384" s="28" t="s">
        <v>119</v>
      </c>
      <c r="AX1384" s="28">
        <v>4</v>
      </c>
      <c r="AZ1384" s="28" t="s">
        <v>141</v>
      </c>
      <c r="BB1384" s="28">
        <v>1000</v>
      </c>
      <c r="BC1384" s="28">
        <f>100/2.7</f>
        <v>37.037037037037038</v>
      </c>
      <c r="BK1384" s="28">
        <v>3500</v>
      </c>
      <c r="BL1384" s="28">
        <v>3400</v>
      </c>
      <c r="BP1384" s="401"/>
      <c r="BQ1384" s="401"/>
      <c r="BU1384" s="401"/>
      <c r="BV1384" s="401"/>
      <c r="CE1384" s="554"/>
      <c r="CF1384" s="554"/>
      <c r="CG1384" s="554"/>
      <c r="CH1384" s="554"/>
    </row>
    <row r="1385" spans="1:264" s="28" customFormat="1" x14ac:dyDescent="0.25">
      <c r="A1385" s="28">
        <v>62</v>
      </c>
      <c r="B1385" s="46" t="s">
        <v>4040</v>
      </c>
      <c r="C1385" s="28" t="s">
        <v>944</v>
      </c>
      <c r="D1385" s="28" t="s">
        <v>945</v>
      </c>
      <c r="E1385" s="28">
        <v>2004</v>
      </c>
      <c r="F1385" s="28">
        <v>2000</v>
      </c>
      <c r="G1385" s="28" t="s">
        <v>946</v>
      </c>
      <c r="H1385" s="28" t="s">
        <v>947</v>
      </c>
      <c r="I1385" s="32" t="s">
        <v>2815</v>
      </c>
      <c r="J1385" s="28">
        <v>44.24</v>
      </c>
      <c r="K1385" s="28">
        <v>-95.31</v>
      </c>
      <c r="L1385" s="28">
        <v>344.5</v>
      </c>
      <c r="P1385" s="28">
        <v>670</v>
      </c>
      <c r="R1385" s="46">
        <v>3</v>
      </c>
      <c r="S1385" s="28">
        <v>5</v>
      </c>
      <c r="T1385" s="46" t="s">
        <v>1990</v>
      </c>
      <c r="U1385" s="46" t="s">
        <v>1989</v>
      </c>
      <c r="V1385" s="46" t="s">
        <v>1411</v>
      </c>
      <c r="W1385" s="46" t="s">
        <v>1729</v>
      </c>
      <c r="X1385" s="46" t="s">
        <v>1411</v>
      </c>
      <c r="Y1385" s="46" t="s">
        <v>1417</v>
      </c>
      <c r="AA1385" s="326"/>
      <c r="AB1385" s="326"/>
      <c r="AC1385" s="28" t="s">
        <v>672</v>
      </c>
      <c r="AG1385" s="28" t="s">
        <v>1347</v>
      </c>
      <c r="AH1385" s="28" t="s">
        <v>1563</v>
      </c>
      <c r="AI1385" s="138" t="s">
        <v>131</v>
      </c>
      <c r="AJ1385" s="28" t="s">
        <v>132</v>
      </c>
      <c r="AK1385" s="141" t="s">
        <v>1611</v>
      </c>
      <c r="AO1385" s="28" t="s">
        <v>949</v>
      </c>
      <c r="AP1385" s="28" t="s">
        <v>949</v>
      </c>
      <c r="AQ1385" s="28" t="s">
        <v>2125</v>
      </c>
      <c r="AR1385" s="28" t="s">
        <v>2125</v>
      </c>
      <c r="AS1385" s="28" t="s">
        <v>177</v>
      </c>
      <c r="AT1385" s="28" t="s">
        <v>948</v>
      </c>
      <c r="AU1385" s="28" t="s">
        <v>948</v>
      </c>
      <c r="AV1385" s="28" t="s">
        <v>177</v>
      </c>
      <c r="AW1385" s="28" t="s">
        <v>119</v>
      </c>
      <c r="AX1385" s="28">
        <v>4</v>
      </c>
      <c r="AZ1385" s="28" t="s">
        <v>141</v>
      </c>
      <c r="BB1385" s="28">
        <v>1000</v>
      </c>
      <c r="BC1385" s="28">
        <f>100/2.7</f>
        <v>37.037037037037038</v>
      </c>
      <c r="BK1385" s="28">
        <v>9800</v>
      </c>
      <c r="BL1385" s="28">
        <v>9700</v>
      </c>
      <c r="BP1385" s="401"/>
      <c r="BQ1385" s="401"/>
      <c r="BU1385" s="401"/>
      <c r="BV1385" s="401"/>
      <c r="CE1385" s="554"/>
      <c r="CF1385" s="554"/>
      <c r="CG1385" s="554"/>
      <c r="CH1385" s="554"/>
    </row>
    <row r="1386" spans="1:264" s="39" customFormat="1" x14ac:dyDescent="0.25">
      <c r="A1386" s="39">
        <v>62</v>
      </c>
      <c r="B1386" s="70" t="s">
        <v>4039</v>
      </c>
      <c r="C1386" s="39" t="s">
        <v>944</v>
      </c>
      <c r="D1386" s="39" t="s">
        <v>945</v>
      </c>
      <c r="E1386" s="39">
        <v>2004</v>
      </c>
      <c r="F1386" s="39">
        <v>2001</v>
      </c>
      <c r="G1386" s="39" t="s">
        <v>946</v>
      </c>
      <c r="H1386" s="39" t="s">
        <v>947</v>
      </c>
      <c r="I1386" s="32" t="s">
        <v>2815</v>
      </c>
      <c r="J1386" s="39">
        <v>44.24</v>
      </c>
      <c r="K1386" s="39">
        <v>-95.31</v>
      </c>
      <c r="L1386" s="39">
        <v>344.5</v>
      </c>
      <c r="P1386" s="39">
        <v>670</v>
      </c>
      <c r="R1386" s="70">
        <v>4</v>
      </c>
      <c r="S1386" s="70" t="s">
        <v>1722</v>
      </c>
      <c r="T1386" s="70" t="s">
        <v>1990</v>
      </c>
      <c r="U1386" s="70" t="s">
        <v>1989</v>
      </c>
      <c r="V1386" s="70" t="s">
        <v>1411</v>
      </c>
      <c r="W1386" s="46" t="s">
        <v>1729</v>
      </c>
      <c r="X1386" s="46" t="s">
        <v>1411</v>
      </c>
      <c r="Y1386" s="46" t="s">
        <v>1417</v>
      </c>
      <c r="AA1386" s="340"/>
      <c r="AB1386" s="340"/>
      <c r="AC1386" s="39" t="s">
        <v>672</v>
      </c>
      <c r="AG1386" s="39" t="s">
        <v>1347</v>
      </c>
      <c r="AH1386" s="39" t="s">
        <v>1563</v>
      </c>
      <c r="AI1386" s="138" t="s">
        <v>131</v>
      </c>
      <c r="AJ1386" s="39" t="s">
        <v>158</v>
      </c>
      <c r="AK1386" s="141" t="s">
        <v>1611</v>
      </c>
      <c r="AO1386" s="39" t="s">
        <v>949</v>
      </c>
      <c r="AP1386" s="39" t="s">
        <v>949</v>
      </c>
      <c r="AQ1386" s="39" t="s">
        <v>2125</v>
      </c>
      <c r="AR1386" s="39" t="s">
        <v>2125</v>
      </c>
      <c r="AS1386" s="39" t="s">
        <v>177</v>
      </c>
      <c r="AT1386" s="39" t="s">
        <v>948</v>
      </c>
      <c r="AU1386" s="39" t="s">
        <v>948</v>
      </c>
      <c r="AV1386" s="39" t="s">
        <v>177</v>
      </c>
      <c r="AW1386" s="39" t="s">
        <v>119</v>
      </c>
      <c r="AX1386" s="39">
        <v>4</v>
      </c>
      <c r="AZ1386" s="39" t="s">
        <v>141</v>
      </c>
      <c r="BB1386" s="39">
        <v>500</v>
      </c>
      <c r="BC1386" s="39">
        <f>100/3.8</f>
        <v>26.315789473684212</v>
      </c>
      <c r="BK1386" s="39">
        <v>3100</v>
      </c>
      <c r="BL1386" s="39">
        <v>3100</v>
      </c>
      <c r="BP1386" s="415"/>
      <c r="BQ1386" s="415"/>
      <c r="BU1386" s="415"/>
      <c r="BV1386" s="415"/>
      <c r="CE1386" s="568"/>
      <c r="CF1386" s="568"/>
      <c r="CG1386" s="568"/>
      <c r="CH1386" s="568"/>
      <c r="JD1386"/>
    </row>
    <row r="1387" spans="1:264" s="39" customFormat="1" x14ac:dyDescent="0.25">
      <c r="A1387" s="39">
        <v>62</v>
      </c>
      <c r="B1387" s="70" t="s">
        <v>4040</v>
      </c>
      <c r="C1387" s="39" t="s">
        <v>944</v>
      </c>
      <c r="D1387" s="39" t="s">
        <v>945</v>
      </c>
      <c r="E1387" s="39">
        <v>2004</v>
      </c>
      <c r="F1387" s="39">
        <v>2001</v>
      </c>
      <c r="G1387" s="39" t="s">
        <v>946</v>
      </c>
      <c r="H1387" s="39" t="s">
        <v>947</v>
      </c>
      <c r="I1387" s="32" t="s">
        <v>2815</v>
      </c>
      <c r="J1387" s="39">
        <v>44.24</v>
      </c>
      <c r="K1387" s="39">
        <v>-95.31</v>
      </c>
      <c r="L1387" s="39">
        <v>344.5</v>
      </c>
      <c r="P1387" s="39">
        <v>670</v>
      </c>
      <c r="R1387" s="70">
        <v>4</v>
      </c>
      <c r="S1387" s="70" t="s">
        <v>1722</v>
      </c>
      <c r="T1387" s="70" t="s">
        <v>1990</v>
      </c>
      <c r="U1387" s="70" t="s">
        <v>1989</v>
      </c>
      <c r="V1387" s="70" t="s">
        <v>1411</v>
      </c>
      <c r="W1387" s="46" t="s">
        <v>1729</v>
      </c>
      <c r="X1387" s="46" t="s">
        <v>1411</v>
      </c>
      <c r="Y1387" s="46" t="s">
        <v>1417</v>
      </c>
      <c r="AA1387" s="340"/>
      <c r="AB1387" s="340"/>
      <c r="AC1387" s="39" t="s">
        <v>672</v>
      </c>
      <c r="AG1387" s="39" t="s">
        <v>1347</v>
      </c>
      <c r="AH1387" s="39" t="s">
        <v>1563</v>
      </c>
      <c r="AI1387" s="138" t="s">
        <v>131</v>
      </c>
      <c r="AJ1387" s="39" t="s">
        <v>132</v>
      </c>
      <c r="AK1387" s="141" t="s">
        <v>1611</v>
      </c>
      <c r="AO1387" s="39" t="s">
        <v>949</v>
      </c>
      <c r="AP1387" s="39" t="s">
        <v>949</v>
      </c>
      <c r="AQ1387" s="39" t="s">
        <v>2125</v>
      </c>
      <c r="AR1387" s="39" t="s">
        <v>2125</v>
      </c>
      <c r="AS1387" s="39" t="s">
        <v>177</v>
      </c>
      <c r="AT1387" s="39" t="s">
        <v>948</v>
      </c>
      <c r="AU1387" s="39" t="s">
        <v>948</v>
      </c>
      <c r="AV1387" s="39" t="s">
        <v>177</v>
      </c>
      <c r="AW1387" s="39" t="s">
        <v>119</v>
      </c>
      <c r="AX1387" s="39">
        <v>4</v>
      </c>
      <c r="AZ1387" s="39" t="s">
        <v>141</v>
      </c>
      <c r="BB1387" s="39">
        <v>500</v>
      </c>
      <c r="BC1387" s="39">
        <f>100/3.8</f>
        <v>26.315789473684212</v>
      </c>
      <c r="BK1387" s="39">
        <v>7400</v>
      </c>
      <c r="BL1387" s="39">
        <v>7600</v>
      </c>
      <c r="BP1387" s="415"/>
      <c r="BQ1387" s="415"/>
      <c r="BU1387" s="415"/>
      <c r="BV1387" s="415"/>
      <c r="CE1387" s="568"/>
      <c r="CF1387" s="568"/>
      <c r="CG1387" s="568"/>
      <c r="CH1387" s="568"/>
      <c r="JD1387"/>
    </row>
    <row r="1388" spans="1:264" s="32" customFormat="1" x14ac:dyDescent="0.25">
      <c r="A1388" s="32">
        <v>63</v>
      </c>
      <c r="B1388" s="44" t="s">
        <v>4041</v>
      </c>
      <c r="C1388" s="32" t="s">
        <v>950</v>
      </c>
      <c r="D1388" s="32" t="s">
        <v>951</v>
      </c>
      <c r="E1388" s="32">
        <v>1993</v>
      </c>
      <c r="F1388" s="32">
        <v>1989</v>
      </c>
      <c r="G1388" s="32" t="s">
        <v>302</v>
      </c>
      <c r="H1388" s="32" t="s">
        <v>952</v>
      </c>
      <c r="I1388" s="32" t="s">
        <v>2815</v>
      </c>
      <c r="J1388" s="32">
        <v>39.03</v>
      </c>
      <c r="K1388" s="32">
        <v>-76.91</v>
      </c>
      <c r="L1388" s="32">
        <v>34.6</v>
      </c>
      <c r="R1388" s="44" t="s">
        <v>1847</v>
      </c>
      <c r="S1388" s="32">
        <v>3</v>
      </c>
      <c r="T1388" s="44" t="s">
        <v>1992</v>
      </c>
      <c r="U1388" s="44" t="s">
        <v>1991</v>
      </c>
      <c r="V1388" s="44" t="s">
        <v>1394</v>
      </c>
      <c r="W1388" s="44" t="s">
        <v>1722</v>
      </c>
      <c r="X1388" s="44" t="s">
        <v>1394</v>
      </c>
      <c r="Y1388" s="44" t="s">
        <v>1394</v>
      </c>
      <c r="AA1388" s="323"/>
      <c r="AB1388" s="323"/>
      <c r="AC1388" s="32" t="s">
        <v>450</v>
      </c>
      <c r="AG1388" s="32" t="s">
        <v>1349</v>
      </c>
      <c r="AH1388" s="32" t="s">
        <v>243</v>
      </c>
      <c r="AI1388" s="138" t="s">
        <v>577</v>
      </c>
      <c r="AJ1388" s="32" t="s">
        <v>1601</v>
      </c>
      <c r="AK1388" s="140" t="s">
        <v>1601</v>
      </c>
      <c r="AW1388" s="32" t="s">
        <v>953</v>
      </c>
      <c r="AX1388" s="32">
        <v>4</v>
      </c>
      <c r="AZ1388" s="32" t="s">
        <v>141</v>
      </c>
      <c r="BB1388" s="32">
        <v>4620</v>
      </c>
      <c r="BD1388" s="32" t="s">
        <v>1158</v>
      </c>
      <c r="BP1388" s="397"/>
      <c r="BQ1388" s="397"/>
      <c r="BU1388" s="397"/>
      <c r="BV1388" s="397"/>
      <c r="CE1388" s="550"/>
      <c r="CF1388" s="550"/>
      <c r="CG1388" s="550"/>
      <c r="CH1388" s="550"/>
      <c r="FG1388" s="32">
        <f>(30.2+20.6)/2</f>
        <v>25.4</v>
      </c>
      <c r="FH1388" s="32">
        <f>(27.6+21.4)/2</f>
        <v>24.5</v>
      </c>
      <c r="JB1388" s="32" t="s">
        <v>965</v>
      </c>
    </row>
    <row r="1389" spans="1:264" s="32" customFormat="1" x14ac:dyDescent="0.25">
      <c r="A1389" s="32">
        <v>63</v>
      </c>
      <c r="B1389" s="44" t="s">
        <v>4041</v>
      </c>
      <c r="C1389" s="32" t="s">
        <v>950</v>
      </c>
      <c r="D1389" s="32" t="s">
        <v>951</v>
      </c>
      <c r="E1389" s="32">
        <v>1993</v>
      </c>
      <c r="F1389" s="32">
        <v>1989</v>
      </c>
      <c r="G1389" s="32" t="s">
        <v>302</v>
      </c>
      <c r="H1389" s="32" t="s">
        <v>952</v>
      </c>
      <c r="I1389" s="32" t="s">
        <v>2815</v>
      </c>
      <c r="J1389" s="32">
        <v>39.03</v>
      </c>
      <c r="K1389" s="32">
        <v>-76.91</v>
      </c>
      <c r="L1389" s="32">
        <v>34.6</v>
      </c>
      <c r="R1389" s="44" t="s">
        <v>1847</v>
      </c>
      <c r="S1389" s="32">
        <v>3</v>
      </c>
      <c r="T1389" s="44" t="s">
        <v>1992</v>
      </c>
      <c r="U1389" s="44" t="s">
        <v>1991</v>
      </c>
      <c r="V1389" s="44" t="s">
        <v>1394</v>
      </c>
      <c r="W1389" s="44" t="s">
        <v>1722</v>
      </c>
      <c r="X1389" s="44" t="s">
        <v>1394</v>
      </c>
      <c r="Y1389" s="44" t="s">
        <v>1394</v>
      </c>
      <c r="AA1389" s="323"/>
      <c r="AB1389" s="323"/>
      <c r="AC1389" s="32" t="s">
        <v>450</v>
      </c>
      <c r="AG1389" s="32" t="s">
        <v>1349</v>
      </c>
      <c r="AH1389" s="32" t="s">
        <v>243</v>
      </c>
      <c r="AI1389" s="138" t="s">
        <v>577</v>
      </c>
      <c r="AJ1389" s="32" t="s">
        <v>1601</v>
      </c>
      <c r="AK1389" s="140" t="s">
        <v>1601</v>
      </c>
      <c r="AW1389" s="32" t="s">
        <v>953</v>
      </c>
      <c r="AX1389" s="32">
        <v>4</v>
      </c>
      <c r="AZ1389" s="32" t="s">
        <v>141</v>
      </c>
      <c r="BB1389" s="32">
        <v>9240</v>
      </c>
      <c r="BD1389" s="32" t="s">
        <v>1158</v>
      </c>
      <c r="BP1389" s="397"/>
      <c r="BQ1389" s="397"/>
      <c r="BU1389" s="397"/>
      <c r="BV1389" s="397"/>
      <c r="CE1389" s="550"/>
      <c r="CF1389" s="550"/>
      <c r="CG1389" s="550"/>
      <c r="CH1389" s="550"/>
      <c r="FG1389" s="32">
        <f>(30.2+20.6)/2</f>
        <v>25.4</v>
      </c>
      <c r="FH1389" s="32">
        <f>(26.9+21.1)/2</f>
        <v>24</v>
      </c>
      <c r="JB1389" s="32" t="s">
        <v>965</v>
      </c>
    </row>
    <row r="1390" spans="1:264" s="32" customFormat="1" x14ac:dyDescent="0.25">
      <c r="A1390" s="32">
        <v>63</v>
      </c>
      <c r="B1390" s="44" t="s">
        <v>4041</v>
      </c>
      <c r="C1390" s="32" t="s">
        <v>950</v>
      </c>
      <c r="D1390" s="32" t="s">
        <v>951</v>
      </c>
      <c r="E1390" s="32">
        <v>1993</v>
      </c>
      <c r="F1390" s="32">
        <v>1990</v>
      </c>
      <c r="G1390" s="32" t="s">
        <v>302</v>
      </c>
      <c r="H1390" s="32" t="s">
        <v>952</v>
      </c>
      <c r="I1390" s="32" t="s">
        <v>2815</v>
      </c>
      <c r="J1390" s="32">
        <v>39.03</v>
      </c>
      <c r="K1390" s="32">
        <v>-76.91</v>
      </c>
      <c r="L1390" s="32">
        <v>34.6</v>
      </c>
      <c r="R1390" s="44" t="s">
        <v>1728</v>
      </c>
      <c r="S1390" s="32">
        <v>3</v>
      </c>
      <c r="T1390" s="44" t="s">
        <v>1992</v>
      </c>
      <c r="U1390" s="44" t="s">
        <v>1991</v>
      </c>
      <c r="V1390" s="44" t="s">
        <v>1394</v>
      </c>
      <c r="W1390" s="44" t="s">
        <v>1722</v>
      </c>
      <c r="X1390" s="44" t="s">
        <v>1394</v>
      </c>
      <c r="Y1390" s="44" t="s">
        <v>1394</v>
      </c>
      <c r="AA1390" s="323"/>
      <c r="AB1390" s="323"/>
      <c r="AC1390" s="32" t="s">
        <v>450</v>
      </c>
      <c r="AG1390" s="32" t="s">
        <v>1349</v>
      </c>
      <c r="AH1390" s="32" t="s">
        <v>243</v>
      </c>
      <c r="AI1390" s="138" t="s">
        <v>577</v>
      </c>
      <c r="AJ1390" s="32" t="s">
        <v>1601</v>
      </c>
      <c r="AK1390" s="140" t="s">
        <v>1601</v>
      </c>
      <c r="AW1390" s="32" t="s">
        <v>953</v>
      </c>
      <c r="AX1390" s="32">
        <v>4</v>
      </c>
      <c r="AZ1390" s="32" t="s">
        <v>141</v>
      </c>
      <c r="BB1390" s="32">
        <v>3190</v>
      </c>
      <c r="BD1390" s="32" t="s">
        <v>1158</v>
      </c>
      <c r="BP1390" s="397"/>
      <c r="BQ1390" s="397"/>
      <c r="BU1390" s="397"/>
      <c r="BV1390" s="397"/>
      <c r="CE1390" s="550"/>
      <c r="CF1390" s="550"/>
      <c r="CG1390" s="550"/>
      <c r="CH1390" s="550"/>
      <c r="FG1390" s="32">
        <f>(26.3+15.5)/2</f>
        <v>20.9</v>
      </c>
      <c r="FH1390" s="32">
        <f>(23.7+17)/2</f>
        <v>20.350000000000001</v>
      </c>
      <c r="JB1390" s="32" t="s">
        <v>965</v>
      </c>
    </row>
    <row r="1391" spans="1:264" s="32" customFormat="1" x14ac:dyDescent="0.25">
      <c r="A1391" s="32">
        <v>63</v>
      </c>
      <c r="B1391" s="44" t="s">
        <v>4041</v>
      </c>
      <c r="C1391" s="32" t="s">
        <v>950</v>
      </c>
      <c r="D1391" s="32" t="s">
        <v>951</v>
      </c>
      <c r="E1391" s="32">
        <v>1993</v>
      </c>
      <c r="F1391" s="32">
        <v>1990</v>
      </c>
      <c r="G1391" s="32" t="s">
        <v>302</v>
      </c>
      <c r="H1391" s="32" t="s">
        <v>952</v>
      </c>
      <c r="I1391" s="32" t="s">
        <v>2815</v>
      </c>
      <c r="J1391" s="32">
        <v>39.03</v>
      </c>
      <c r="K1391" s="32">
        <v>-76.91</v>
      </c>
      <c r="L1391" s="32">
        <v>34.6</v>
      </c>
      <c r="R1391" s="44" t="s">
        <v>1728</v>
      </c>
      <c r="S1391" s="32">
        <v>3</v>
      </c>
      <c r="T1391" s="44" t="s">
        <v>1992</v>
      </c>
      <c r="U1391" s="44" t="s">
        <v>1991</v>
      </c>
      <c r="V1391" s="44" t="s">
        <v>1394</v>
      </c>
      <c r="W1391" s="44" t="s">
        <v>1722</v>
      </c>
      <c r="X1391" s="44" t="s">
        <v>1394</v>
      </c>
      <c r="Y1391" s="44" t="s">
        <v>1394</v>
      </c>
      <c r="AA1391" s="323"/>
      <c r="AB1391" s="323"/>
      <c r="AC1391" s="32" t="s">
        <v>450</v>
      </c>
      <c r="AG1391" s="32" t="s">
        <v>1349</v>
      </c>
      <c r="AH1391" s="32" t="s">
        <v>243</v>
      </c>
      <c r="AI1391" s="138" t="s">
        <v>577</v>
      </c>
      <c r="AJ1391" s="32" t="s">
        <v>1601</v>
      </c>
      <c r="AK1391" s="140" t="s">
        <v>1601</v>
      </c>
      <c r="AW1391" s="32" t="s">
        <v>953</v>
      </c>
      <c r="AX1391" s="32">
        <v>4</v>
      </c>
      <c r="AZ1391" s="32" t="s">
        <v>141</v>
      </c>
      <c r="BB1391" s="32">
        <v>6380</v>
      </c>
      <c r="BD1391" s="32" t="s">
        <v>1158</v>
      </c>
      <c r="BP1391" s="397"/>
      <c r="BQ1391" s="397"/>
      <c r="BU1391" s="397"/>
      <c r="BV1391" s="397"/>
      <c r="CE1391" s="550"/>
      <c r="CF1391" s="550"/>
      <c r="CG1391" s="550"/>
      <c r="CH1391" s="550"/>
      <c r="FG1391" s="32">
        <f>(26.3+15.5)/2</f>
        <v>20.9</v>
      </c>
      <c r="FH1391" s="32">
        <f>(23.6+16.3)/2</f>
        <v>19.950000000000003</v>
      </c>
      <c r="JB1391" s="32" t="s">
        <v>965</v>
      </c>
    </row>
    <row r="1392" spans="1:264" s="24" customFormat="1" x14ac:dyDescent="0.25">
      <c r="A1392" s="24">
        <v>63</v>
      </c>
      <c r="B1392" s="42" t="s">
        <v>4042</v>
      </c>
      <c r="C1392" s="24" t="s">
        <v>950</v>
      </c>
      <c r="D1392" s="24" t="s">
        <v>951</v>
      </c>
      <c r="E1392" s="24">
        <v>1993</v>
      </c>
      <c r="F1392" s="24">
        <v>1989</v>
      </c>
      <c r="G1392" s="24" t="s">
        <v>302</v>
      </c>
      <c r="H1392" s="24" t="s">
        <v>968</v>
      </c>
      <c r="I1392" s="32" t="s">
        <v>2815</v>
      </c>
      <c r="J1392" s="24">
        <v>42.44</v>
      </c>
      <c r="K1392" s="24">
        <v>-76.52</v>
      </c>
      <c r="L1392" s="24">
        <v>188.1</v>
      </c>
      <c r="R1392" s="42" t="s">
        <v>1847</v>
      </c>
      <c r="S1392" s="24">
        <v>3</v>
      </c>
      <c r="T1392" s="42" t="s">
        <v>1993</v>
      </c>
      <c r="U1392" s="42" t="s">
        <v>1991</v>
      </c>
      <c r="V1392" s="42" t="s">
        <v>1394</v>
      </c>
      <c r="W1392" s="42" t="s">
        <v>1722</v>
      </c>
      <c r="X1392" s="42" t="s">
        <v>1394</v>
      </c>
      <c r="Y1392" s="42" t="s">
        <v>1394</v>
      </c>
      <c r="AA1392" s="321"/>
      <c r="AB1392" s="321"/>
      <c r="AC1392" s="24" t="s">
        <v>450</v>
      </c>
      <c r="AG1392" s="24" t="s">
        <v>1349</v>
      </c>
      <c r="AH1392" s="24" t="s">
        <v>243</v>
      </c>
      <c r="AI1392" s="138" t="s">
        <v>577</v>
      </c>
      <c r="AJ1392" s="24" t="s">
        <v>1601</v>
      </c>
      <c r="AK1392" s="140" t="s">
        <v>1601</v>
      </c>
      <c r="AW1392" s="24" t="s">
        <v>953</v>
      </c>
      <c r="AX1392" s="24">
        <v>6</v>
      </c>
      <c r="AZ1392" s="24" t="s">
        <v>141</v>
      </c>
      <c r="BD1392" s="24" t="s">
        <v>1157</v>
      </c>
      <c r="BE1392" s="24" t="s">
        <v>954</v>
      </c>
      <c r="BP1392" s="395"/>
      <c r="BQ1392" s="395"/>
      <c r="BU1392" s="395"/>
      <c r="BV1392" s="395"/>
      <c r="CE1392" s="548"/>
      <c r="CF1392" s="548"/>
      <c r="CG1392" s="548"/>
      <c r="CH1392" s="548"/>
      <c r="FL1392" s="24">
        <v>22.57</v>
      </c>
      <c r="FM1392" s="24">
        <v>25.324999999999999</v>
      </c>
      <c r="JB1392" s="24" t="s">
        <v>965</v>
      </c>
    </row>
    <row r="1393" spans="1:262" s="24" customFormat="1" x14ac:dyDescent="0.25">
      <c r="A1393" s="24">
        <v>63</v>
      </c>
      <c r="B1393" s="42" t="s">
        <v>4042</v>
      </c>
      <c r="C1393" s="24" t="s">
        <v>950</v>
      </c>
      <c r="D1393" s="24" t="s">
        <v>951</v>
      </c>
      <c r="E1393" s="24">
        <v>1993</v>
      </c>
      <c r="F1393" s="24">
        <v>1989</v>
      </c>
      <c r="G1393" s="24" t="s">
        <v>302</v>
      </c>
      <c r="H1393" s="24" t="s">
        <v>968</v>
      </c>
      <c r="I1393" s="32" t="s">
        <v>2815</v>
      </c>
      <c r="J1393" s="24">
        <v>42.44</v>
      </c>
      <c r="K1393" s="24">
        <v>-76.52</v>
      </c>
      <c r="L1393" s="24">
        <v>188.1</v>
      </c>
      <c r="R1393" s="42" t="s">
        <v>1847</v>
      </c>
      <c r="S1393" s="24">
        <v>3</v>
      </c>
      <c r="T1393" s="42" t="s">
        <v>1993</v>
      </c>
      <c r="U1393" s="42" t="s">
        <v>1991</v>
      </c>
      <c r="V1393" s="42" t="s">
        <v>1394</v>
      </c>
      <c r="W1393" s="42" t="s">
        <v>1722</v>
      </c>
      <c r="X1393" s="42" t="s">
        <v>1394</v>
      </c>
      <c r="Y1393" s="42" t="s">
        <v>1394</v>
      </c>
      <c r="AA1393" s="321"/>
      <c r="AB1393" s="321"/>
      <c r="AC1393" s="24" t="s">
        <v>450</v>
      </c>
      <c r="AG1393" s="24" t="s">
        <v>1349</v>
      </c>
      <c r="AH1393" s="24" t="s">
        <v>243</v>
      </c>
      <c r="AI1393" s="138" t="s">
        <v>577</v>
      </c>
      <c r="AJ1393" s="24" t="s">
        <v>1601</v>
      </c>
      <c r="AK1393" s="140" t="s">
        <v>1601</v>
      </c>
      <c r="AW1393" s="24" t="s">
        <v>953</v>
      </c>
      <c r="AX1393" s="24">
        <v>6</v>
      </c>
      <c r="AZ1393" s="24" t="s">
        <v>141</v>
      </c>
      <c r="BD1393" s="24" t="s">
        <v>1157</v>
      </c>
      <c r="BE1393" s="24" t="s">
        <v>955</v>
      </c>
      <c r="BP1393" s="395"/>
      <c r="BQ1393" s="395"/>
      <c r="BU1393" s="395"/>
      <c r="BV1393" s="395"/>
      <c r="CE1393" s="548"/>
      <c r="CF1393" s="548"/>
      <c r="CG1393" s="548"/>
      <c r="CH1393" s="548"/>
      <c r="FL1393" s="24">
        <v>24.65</v>
      </c>
      <c r="FM1393" s="24">
        <v>25.1</v>
      </c>
      <c r="JB1393" s="24" t="s">
        <v>965</v>
      </c>
    </row>
    <row r="1394" spans="1:262" s="24" customFormat="1" x14ac:dyDescent="0.25">
      <c r="A1394" s="24">
        <v>63</v>
      </c>
      <c r="B1394" s="42" t="s">
        <v>4042</v>
      </c>
      <c r="C1394" s="24" t="s">
        <v>950</v>
      </c>
      <c r="D1394" s="24" t="s">
        <v>951</v>
      </c>
      <c r="E1394" s="24">
        <v>1993</v>
      </c>
      <c r="F1394" s="24">
        <v>1989</v>
      </c>
      <c r="G1394" s="24" t="s">
        <v>302</v>
      </c>
      <c r="H1394" s="24" t="s">
        <v>968</v>
      </c>
      <c r="I1394" s="32" t="s">
        <v>2815</v>
      </c>
      <c r="J1394" s="24">
        <v>42.44</v>
      </c>
      <c r="K1394" s="24">
        <v>-76.52</v>
      </c>
      <c r="L1394" s="24">
        <v>188.1</v>
      </c>
      <c r="R1394" s="42" t="s">
        <v>1847</v>
      </c>
      <c r="S1394" s="24">
        <v>3</v>
      </c>
      <c r="T1394" s="42" t="s">
        <v>1993</v>
      </c>
      <c r="U1394" s="42" t="s">
        <v>1991</v>
      </c>
      <c r="V1394" s="42" t="s">
        <v>1394</v>
      </c>
      <c r="W1394" s="42" t="s">
        <v>1722</v>
      </c>
      <c r="X1394" s="42" t="s">
        <v>1394</v>
      </c>
      <c r="Y1394" s="42" t="s">
        <v>1394</v>
      </c>
      <c r="AA1394" s="321"/>
      <c r="AB1394" s="321"/>
      <c r="AC1394" s="24" t="s">
        <v>450</v>
      </c>
      <c r="AG1394" s="24" t="s">
        <v>1349</v>
      </c>
      <c r="AH1394" s="24" t="s">
        <v>243</v>
      </c>
      <c r="AI1394" s="138" t="s">
        <v>577</v>
      </c>
      <c r="AJ1394" s="24" t="s">
        <v>1601</v>
      </c>
      <c r="AK1394" s="140" t="s">
        <v>1601</v>
      </c>
      <c r="AW1394" s="24" t="s">
        <v>953</v>
      </c>
      <c r="AX1394" s="24">
        <v>6</v>
      </c>
      <c r="AZ1394" s="24" t="s">
        <v>141</v>
      </c>
      <c r="BD1394" s="24" t="s">
        <v>1157</v>
      </c>
      <c r="BE1394" s="24" t="s">
        <v>956</v>
      </c>
      <c r="BP1394" s="395"/>
      <c r="BQ1394" s="395"/>
      <c r="BU1394" s="395"/>
      <c r="BV1394" s="395"/>
      <c r="CE1394" s="548"/>
      <c r="CF1394" s="548"/>
      <c r="CG1394" s="548"/>
      <c r="CH1394" s="548"/>
      <c r="FL1394" s="24">
        <v>21.39</v>
      </c>
      <c r="FM1394" s="24">
        <v>25.1</v>
      </c>
      <c r="JB1394" s="24" t="s">
        <v>965</v>
      </c>
    </row>
    <row r="1395" spans="1:262" s="24" customFormat="1" x14ac:dyDescent="0.25">
      <c r="A1395" s="24">
        <v>63</v>
      </c>
      <c r="B1395" s="42" t="s">
        <v>4042</v>
      </c>
      <c r="C1395" s="24" t="s">
        <v>950</v>
      </c>
      <c r="D1395" s="24" t="s">
        <v>951</v>
      </c>
      <c r="E1395" s="24">
        <v>1993</v>
      </c>
      <c r="F1395" s="24">
        <v>1989</v>
      </c>
      <c r="G1395" s="24" t="s">
        <v>302</v>
      </c>
      <c r="H1395" s="24" t="s">
        <v>968</v>
      </c>
      <c r="I1395" s="32" t="s">
        <v>2815</v>
      </c>
      <c r="J1395" s="24">
        <v>42.44</v>
      </c>
      <c r="K1395" s="24">
        <v>-76.52</v>
      </c>
      <c r="L1395" s="24">
        <v>188.1</v>
      </c>
      <c r="R1395" s="42" t="s">
        <v>1847</v>
      </c>
      <c r="S1395" s="24">
        <v>3</v>
      </c>
      <c r="T1395" s="42" t="s">
        <v>1993</v>
      </c>
      <c r="U1395" s="42" t="s">
        <v>1991</v>
      </c>
      <c r="V1395" s="42" t="s">
        <v>1394</v>
      </c>
      <c r="W1395" s="42" t="s">
        <v>1722</v>
      </c>
      <c r="X1395" s="42" t="s">
        <v>1394</v>
      </c>
      <c r="Y1395" s="42" t="s">
        <v>1394</v>
      </c>
      <c r="AA1395" s="321"/>
      <c r="AB1395" s="321"/>
      <c r="AC1395" s="24" t="s">
        <v>450</v>
      </c>
      <c r="AG1395" s="24" t="s">
        <v>1349</v>
      </c>
      <c r="AH1395" s="24" t="s">
        <v>243</v>
      </c>
      <c r="AI1395" s="138" t="s">
        <v>577</v>
      </c>
      <c r="AJ1395" s="24" t="s">
        <v>1601</v>
      </c>
      <c r="AK1395" s="140" t="s">
        <v>1601</v>
      </c>
      <c r="AW1395" s="24" t="s">
        <v>953</v>
      </c>
      <c r="AX1395" s="24">
        <v>6</v>
      </c>
      <c r="AZ1395" s="24" t="s">
        <v>141</v>
      </c>
      <c r="BD1395" s="24" t="s">
        <v>1157</v>
      </c>
      <c r="BE1395" s="24" t="s">
        <v>957</v>
      </c>
      <c r="BP1395" s="395"/>
      <c r="BQ1395" s="395"/>
      <c r="BU1395" s="395"/>
      <c r="BV1395" s="395"/>
      <c r="CE1395" s="548"/>
      <c r="CF1395" s="548"/>
      <c r="CG1395" s="548"/>
      <c r="CH1395" s="548"/>
      <c r="FL1395" s="24">
        <v>16.59</v>
      </c>
      <c r="FM1395" s="24">
        <v>25.2</v>
      </c>
      <c r="JB1395" s="24" t="s">
        <v>965</v>
      </c>
    </row>
    <row r="1396" spans="1:262" s="24" customFormat="1" x14ac:dyDescent="0.25">
      <c r="A1396" s="24">
        <v>63</v>
      </c>
      <c r="B1396" s="42" t="s">
        <v>4042</v>
      </c>
      <c r="C1396" s="24" t="s">
        <v>950</v>
      </c>
      <c r="D1396" s="24" t="s">
        <v>951</v>
      </c>
      <c r="E1396" s="24">
        <v>1993</v>
      </c>
      <c r="F1396" s="24">
        <v>1989</v>
      </c>
      <c r="G1396" s="24" t="s">
        <v>302</v>
      </c>
      <c r="H1396" s="24" t="s">
        <v>968</v>
      </c>
      <c r="I1396" s="32" t="s">
        <v>2815</v>
      </c>
      <c r="J1396" s="24">
        <v>42.44</v>
      </c>
      <c r="K1396" s="24">
        <v>-76.52</v>
      </c>
      <c r="L1396" s="24">
        <v>188.1</v>
      </c>
      <c r="R1396" s="42" t="s">
        <v>1847</v>
      </c>
      <c r="S1396" s="24">
        <v>3</v>
      </c>
      <c r="T1396" s="42" t="s">
        <v>1993</v>
      </c>
      <c r="U1396" s="42" t="s">
        <v>1991</v>
      </c>
      <c r="V1396" s="42" t="s">
        <v>1394</v>
      </c>
      <c r="W1396" s="42" t="s">
        <v>1722</v>
      </c>
      <c r="X1396" s="42" t="s">
        <v>1394</v>
      </c>
      <c r="Y1396" s="42" t="s">
        <v>1394</v>
      </c>
      <c r="AA1396" s="321"/>
      <c r="AB1396" s="321"/>
      <c r="AC1396" s="24" t="s">
        <v>450</v>
      </c>
      <c r="AG1396" s="24" t="s">
        <v>1349</v>
      </c>
      <c r="AH1396" s="24" t="s">
        <v>243</v>
      </c>
      <c r="AI1396" s="138" t="s">
        <v>577</v>
      </c>
      <c r="AJ1396" s="24" t="s">
        <v>1601</v>
      </c>
      <c r="AK1396" s="140" t="s">
        <v>1601</v>
      </c>
      <c r="AW1396" s="24" t="s">
        <v>953</v>
      </c>
      <c r="AX1396" s="24">
        <v>6</v>
      </c>
      <c r="AZ1396" s="24" t="s">
        <v>141</v>
      </c>
      <c r="BD1396" s="24" t="s">
        <v>1157</v>
      </c>
      <c r="BE1396" s="24" t="s">
        <v>958</v>
      </c>
      <c r="BP1396" s="395"/>
      <c r="BQ1396" s="395"/>
      <c r="BU1396" s="395"/>
      <c r="BV1396" s="395"/>
      <c r="CE1396" s="548"/>
      <c r="CF1396" s="548"/>
      <c r="CG1396" s="548"/>
      <c r="CH1396" s="548"/>
      <c r="FL1396" s="24">
        <v>24.38</v>
      </c>
      <c r="FM1396" s="24">
        <v>25.3</v>
      </c>
      <c r="JB1396" s="24" t="s">
        <v>965</v>
      </c>
    </row>
    <row r="1397" spans="1:262" s="24" customFormat="1" x14ac:dyDescent="0.25">
      <c r="A1397" s="24">
        <v>63</v>
      </c>
      <c r="B1397" s="42" t="s">
        <v>4042</v>
      </c>
      <c r="C1397" s="24" t="s">
        <v>950</v>
      </c>
      <c r="D1397" s="24" t="s">
        <v>951</v>
      </c>
      <c r="E1397" s="24">
        <v>1993</v>
      </c>
      <c r="F1397" s="24">
        <v>1989</v>
      </c>
      <c r="G1397" s="24" t="s">
        <v>302</v>
      </c>
      <c r="H1397" s="24" t="s">
        <v>968</v>
      </c>
      <c r="I1397" s="32" t="s">
        <v>2815</v>
      </c>
      <c r="J1397" s="24">
        <v>42.44</v>
      </c>
      <c r="K1397" s="24">
        <v>-76.52</v>
      </c>
      <c r="L1397" s="24">
        <v>188.1</v>
      </c>
      <c r="R1397" s="42" t="s">
        <v>1847</v>
      </c>
      <c r="S1397" s="24">
        <v>3</v>
      </c>
      <c r="T1397" s="42" t="s">
        <v>1993</v>
      </c>
      <c r="U1397" s="42" t="s">
        <v>1991</v>
      </c>
      <c r="V1397" s="42" t="s">
        <v>1394</v>
      </c>
      <c r="W1397" s="42" t="s">
        <v>1722</v>
      </c>
      <c r="X1397" s="42" t="s">
        <v>1394</v>
      </c>
      <c r="Y1397" s="42" t="s">
        <v>1394</v>
      </c>
      <c r="AA1397" s="321"/>
      <c r="AB1397" s="321"/>
      <c r="AC1397" s="24" t="s">
        <v>450</v>
      </c>
      <c r="AG1397" s="24" t="s">
        <v>1349</v>
      </c>
      <c r="AH1397" s="24" t="s">
        <v>243</v>
      </c>
      <c r="AI1397" s="138" t="s">
        <v>577</v>
      </c>
      <c r="AJ1397" s="24" t="s">
        <v>1601</v>
      </c>
      <c r="AK1397" s="140" t="s">
        <v>1601</v>
      </c>
      <c r="AW1397" s="24" t="s">
        <v>953</v>
      </c>
      <c r="AX1397" s="24">
        <v>6</v>
      </c>
      <c r="AZ1397" s="24" t="s">
        <v>141</v>
      </c>
      <c r="BD1397" s="24" t="s">
        <v>1157</v>
      </c>
      <c r="BE1397" s="24" t="s">
        <v>959</v>
      </c>
      <c r="BP1397" s="395"/>
      <c r="BQ1397" s="395"/>
      <c r="BU1397" s="395"/>
      <c r="BV1397" s="395"/>
      <c r="CE1397" s="548"/>
      <c r="CF1397" s="548"/>
      <c r="CG1397" s="548"/>
      <c r="CH1397" s="548"/>
      <c r="FL1397" s="24">
        <v>20.39</v>
      </c>
      <c r="FM1397" s="24">
        <v>25.29</v>
      </c>
      <c r="JB1397" s="24" t="s">
        <v>965</v>
      </c>
    </row>
    <row r="1398" spans="1:262" s="24" customFormat="1" x14ac:dyDescent="0.25">
      <c r="A1398" s="24">
        <v>63</v>
      </c>
      <c r="B1398" s="42" t="s">
        <v>4042</v>
      </c>
      <c r="C1398" s="24" t="s">
        <v>950</v>
      </c>
      <c r="D1398" s="24" t="s">
        <v>951</v>
      </c>
      <c r="E1398" s="24">
        <v>1993</v>
      </c>
      <c r="F1398" s="24">
        <v>1989</v>
      </c>
      <c r="G1398" s="24" t="s">
        <v>302</v>
      </c>
      <c r="H1398" s="24" t="s">
        <v>968</v>
      </c>
      <c r="I1398" s="32" t="s">
        <v>2815</v>
      </c>
      <c r="J1398" s="24">
        <v>42.44</v>
      </c>
      <c r="K1398" s="24">
        <v>-76.52</v>
      </c>
      <c r="L1398" s="24">
        <v>188.1</v>
      </c>
      <c r="R1398" s="42" t="s">
        <v>1847</v>
      </c>
      <c r="S1398" s="24">
        <v>3</v>
      </c>
      <c r="T1398" s="42" t="s">
        <v>1993</v>
      </c>
      <c r="U1398" s="42" t="s">
        <v>1991</v>
      </c>
      <c r="V1398" s="42" t="s">
        <v>1394</v>
      </c>
      <c r="W1398" s="42" t="s">
        <v>1722</v>
      </c>
      <c r="X1398" s="42" t="s">
        <v>1394</v>
      </c>
      <c r="Y1398" s="42" t="s">
        <v>1394</v>
      </c>
      <c r="AA1398" s="321"/>
      <c r="AB1398" s="321"/>
      <c r="AC1398" s="24" t="s">
        <v>450</v>
      </c>
      <c r="AG1398" s="24" t="s">
        <v>1349</v>
      </c>
      <c r="AH1398" s="24" t="s">
        <v>243</v>
      </c>
      <c r="AI1398" s="138" t="s">
        <v>577</v>
      </c>
      <c r="AJ1398" s="24" t="s">
        <v>1601</v>
      </c>
      <c r="AK1398" s="140" t="s">
        <v>1601</v>
      </c>
      <c r="AW1398" s="24" t="s">
        <v>953</v>
      </c>
      <c r="AX1398" s="24">
        <v>6</v>
      </c>
      <c r="AZ1398" s="24" t="s">
        <v>141</v>
      </c>
      <c r="BD1398" s="24" t="s">
        <v>1157</v>
      </c>
      <c r="BE1398" s="24" t="s">
        <v>960</v>
      </c>
      <c r="BP1398" s="395"/>
      <c r="BQ1398" s="395"/>
      <c r="BU1398" s="395"/>
      <c r="BV1398" s="395"/>
      <c r="CE1398" s="548"/>
      <c r="CF1398" s="548"/>
      <c r="CG1398" s="548"/>
      <c r="CH1398" s="548"/>
      <c r="FL1398" s="24">
        <v>16.23</v>
      </c>
      <c r="FM1398" s="24">
        <v>25.29</v>
      </c>
      <c r="JB1398" s="24" t="s">
        <v>965</v>
      </c>
    </row>
    <row r="1399" spans="1:262" s="24" customFormat="1" x14ac:dyDescent="0.25">
      <c r="A1399" s="24">
        <v>63</v>
      </c>
      <c r="B1399" s="42" t="s">
        <v>4042</v>
      </c>
      <c r="C1399" s="24" t="s">
        <v>950</v>
      </c>
      <c r="D1399" s="24" t="s">
        <v>951</v>
      </c>
      <c r="E1399" s="24">
        <v>1993</v>
      </c>
      <c r="F1399" s="24">
        <v>1989</v>
      </c>
      <c r="G1399" s="24" t="s">
        <v>302</v>
      </c>
      <c r="H1399" s="24" t="s">
        <v>968</v>
      </c>
      <c r="I1399" s="32" t="s">
        <v>2815</v>
      </c>
      <c r="J1399" s="24">
        <v>42.44</v>
      </c>
      <c r="K1399" s="24">
        <v>-76.52</v>
      </c>
      <c r="L1399" s="24">
        <v>188.1</v>
      </c>
      <c r="R1399" s="42" t="s">
        <v>1847</v>
      </c>
      <c r="S1399" s="24">
        <v>3</v>
      </c>
      <c r="T1399" s="42" t="s">
        <v>1993</v>
      </c>
      <c r="U1399" s="42" t="s">
        <v>1991</v>
      </c>
      <c r="V1399" s="42" t="s">
        <v>1394</v>
      </c>
      <c r="W1399" s="42" t="s">
        <v>1722</v>
      </c>
      <c r="X1399" s="42" t="s">
        <v>1394</v>
      </c>
      <c r="Y1399" s="42" t="s">
        <v>1394</v>
      </c>
      <c r="AA1399" s="321"/>
      <c r="AB1399" s="321"/>
      <c r="AC1399" s="24" t="s">
        <v>450</v>
      </c>
      <c r="AG1399" s="24" t="s">
        <v>1349</v>
      </c>
      <c r="AH1399" s="24" t="s">
        <v>243</v>
      </c>
      <c r="AI1399" s="138" t="s">
        <v>577</v>
      </c>
      <c r="AJ1399" s="24" t="s">
        <v>1601</v>
      </c>
      <c r="AK1399" s="140" t="s">
        <v>1601</v>
      </c>
      <c r="AW1399" s="24" t="s">
        <v>953</v>
      </c>
      <c r="AX1399" s="24">
        <v>6</v>
      </c>
      <c r="AZ1399" s="24" t="s">
        <v>141</v>
      </c>
      <c r="BD1399" s="24" t="s">
        <v>1157</v>
      </c>
      <c r="BE1399" s="24" t="s">
        <v>961</v>
      </c>
      <c r="BP1399" s="395"/>
      <c r="BQ1399" s="395"/>
      <c r="BU1399" s="395"/>
      <c r="BV1399" s="395"/>
      <c r="CE1399" s="548"/>
      <c r="CF1399" s="548"/>
      <c r="CG1399" s="548"/>
      <c r="CH1399" s="548"/>
      <c r="FL1399" s="24">
        <v>25.65</v>
      </c>
      <c r="FM1399" s="24">
        <v>25.65</v>
      </c>
      <c r="JB1399" s="24" t="s">
        <v>965</v>
      </c>
    </row>
    <row r="1400" spans="1:262" s="24" customFormat="1" x14ac:dyDescent="0.25">
      <c r="A1400" s="24">
        <v>63</v>
      </c>
      <c r="B1400" s="42" t="s">
        <v>4042</v>
      </c>
      <c r="C1400" s="24" t="s">
        <v>950</v>
      </c>
      <c r="D1400" s="24" t="s">
        <v>951</v>
      </c>
      <c r="E1400" s="24">
        <v>1993</v>
      </c>
      <c r="F1400" s="24">
        <v>1989</v>
      </c>
      <c r="G1400" s="24" t="s">
        <v>302</v>
      </c>
      <c r="H1400" s="24" t="s">
        <v>968</v>
      </c>
      <c r="I1400" s="32" t="s">
        <v>2815</v>
      </c>
      <c r="J1400" s="24">
        <v>42.44</v>
      </c>
      <c r="K1400" s="24">
        <v>-76.52</v>
      </c>
      <c r="L1400" s="24">
        <v>188.1</v>
      </c>
      <c r="R1400" s="42" t="s">
        <v>1847</v>
      </c>
      <c r="S1400" s="24">
        <v>3</v>
      </c>
      <c r="T1400" s="42" t="s">
        <v>1993</v>
      </c>
      <c r="U1400" s="42" t="s">
        <v>1991</v>
      </c>
      <c r="V1400" s="42" t="s">
        <v>1394</v>
      </c>
      <c r="W1400" s="42" t="s">
        <v>1722</v>
      </c>
      <c r="X1400" s="42" t="s">
        <v>1394</v>
      </c>
      <c r="Y1400" s="42" t="s">
        <v>1394</v>
      </c>
      <c r="AA1400" s="321"/>
      <c r="AB1400" s="321"/>
      <c r="AC1400" s="24" t="s">
        <v>450</v>
      </c>
      <c r="AG1400" s="24" t="s">
        <v>1349</v>
      </c>
      <c r="AH1400" s="24" t="s">
        <v>243</v>
      </c>
      <c r="AI1400" s="138" t="s">
        <v>577</v>
      </c>
      <c r="AJ1400" s="24" t="s">
        <v>1601</v>
      </c>
      <c r="AK1400" s="140" t="s">
        <v>1601</v>
      </c>
      <c r="AW1400" s="24" t="s">
        <v>953</v>
      </c>
      <c r="AX1400" s="24">
        <v>6</v>
      </c>
      <c r="AZ1400" s="24" t="s">
        <v>141</v>
      </c>
      <c r="BD1400" s="24" t="s">
        <v>1157</v>
      </c>
      <c r="BE1400" s="24" t="s">
        <v>962</v>
      </c>
      <c r="BP1400" s="395"/>
      <c r="BQ1400" s="395"/>
      <c r="BU1400" s="395"/>
      <c r="BV1400" s="395"/>
      <c r="CE1400" s="548"/>
      <c r="CF1400" s="548"/>
      <c r="CG1400" s="548"/>
      <c r="CH1400" s="548"/>
      <c r="FL1400" s="24">
        <v>18.41</v>
      </c>
      <c r="FM1400" s="24">
        <v>25.11</v>
      </c>
      <c r="JB1400" s="24" t="s">
        <v>965</v>
      </c>
    </row>
    <row r="1401" spans="1:262" s="24" customFormat="1" x14ac:dyDescent="0.25">
      <c r="A1401" s="24">
        <v>63</v>
      </c>
      <c r="B1401" s="42" t="s">
        <v>4042</v>
      </c>
      <c r="C1401" s="24" t="s">
        <v>950</v>
      </c>
      <c r="D1401" s="24" t="s">
        <v>951</v>
      </c>
      <c r="E1401" s="24">
        <v>1993</v>
      </c>
      <c r="F1401" s="24">
        <v>1989</v>
      </c>
      <c r="G1401" s="24" t="s">
        <v>302</v>
      </c>
      <c r="H1401" s="24" t="s">
        <v>968</v>
      </c>
      <c r="I1401" s="32" t="s">
        <v>2815</v>
      </c>
      <c r="J1401" s="24">
        <v>42.44</v>
      </c>
      <c r="K1401" s="24">
        <v>-76.52</v>
      </c>
      <c r="L1401" s="24">
        <v>188.1</v>
      </c>
      <c r="R1401" s="42" t="s">
        <v>1847</v>
      </c>
      <c r="S1401" s="24">
        <v>3</v>
      </c>
      <c r="T1401" s="42" t="s">
        <v>1993</v>
      </c>
      <c r="U1401" s="42" t="s">
        <v>1991</v>
      </c>
      <c r="V1401" s="42" t="s">
        <v>1394</v>
      </c>
      <c r="W1401" s="42" t="s">
        <v>1722</v>
      </c>
      <c r="X1401" s="42" t="s">
        <v>1394</v>
      </c>
      <c r="Y1401" s="42" t="s">
        <v>1394</v>
      </c>
      <c r="AA1401" s="321"/>
      <c r="AB1401" s="321"/>
      <c r="AC1401" s="24" t="s">
        <v>450</v>
      </c>
      <c r="AG1401" s="24" t="s">
        <v>1349</v>
      </c>
      <c r="AH1401" s="24" t="s">
        <v>243</v>
      </c>
      <c r="AI1401" s="138" t="s">
        <v>577</v>
      </c>
      <c r="AJ1401" s="24" t="s">
        <v>1601</v>
      </c>
      <c r="AK1401" s="140" t="s">
        <v>1601</v>
      </c>
      <c r="AW1401" s="24" t="s">
        <v>953</v>
      </c>
      <c r="AX1401" s="24">
        <v>6</v>
      </c>
      <c r="AZ1401" s="24" t="s">
        <v>141</v>
      </c>
      <c r="BD1401" s="24" t="s">
        <v>1157</v>
      </c>
      <c r="BE1401" s="24" t="s">
        <v>963</v>
      </c>
      <c r="BP1401" s="395"/>
      <c r="BQ1401" s="395"/>
      <c r="BU1401" s="395"/>
      <c r="BV1401" s="395"/>
      <c r="CE1401" s="548"/>
      <c r="CF1401" s="548"/>
      <c r="CG1401" s="548"/>
      <c r="CH1401" s="548"/>
      <c r="FL1401" s="24">
        <v>16.059999999999999</v>
      </c>
      <c r="FM1401" s="24">
        <v>25.1</v>
      </c>
      <c r="JB1401" s="24" t="s">
        <v>965</v>
      </c>
    </row>
    <row r="1402" spans="1:262" s="24" customFormat="1" x14ac:dyDescent="0.25">
      <c r="A1402" s="24">
        <v>63</v>
      </c>
      <c r="B1402" s="42" t="s">
        <v>4042</v>
      </c>
      <c r="C1402" s="24" t="s">
        <v>950</v>
      </c>
      <c r="D1402" s="24" t="s">
        <v>951</v>
      </c>
      <c r="E1402" s="24">
        <v>1993</v>
      </c>
      <c r="F1402" s="24">
        <v>1989</v>
      </c>
      <c r="G1402" s="24" t="s">
        <v>302</v>
      </c>
      <c r="H1402" s="24" t="s">
        <v>968</v>
      </c>
      <c r="I1402" s="32" t="s">
        <v>2815</v>
      </c>
      <c r="J1402" s="24">
        <v>42.44</v>
      </c>
      <c r="K1402" s="24">
        <v>-76.52</v>
      </c>
      <c r="L1402" s="24">
        <v>188.1</v>
      </c>
      <c r="R1402" s="42" t="s">
        <v>1847</v>
      </c>
      <c r="S1402" s="24">
        <v>3</v>
      </c>
      <c r="T1402" s="42" t="s">
        <v>1993</v>
      </c>
      <c r="U1402" s="42" t="s">
        <v>1991</v>
      </c>
      <c r="V1402" s="42" t="s">
        <v>1394</v>
      </c>
      <c r="W1402" s="42" t="s">
        <v>1722</v>
      </c>
      <c r="X1402" s="42" t="s">
        <v>1394</v>
      </c>
      <c r="Y1402" s="42" t="s">
        <v>1394</v>
      </c>
      <c r="AA1402" s="321"/>
      <c r="AB1402" s="321"/>
      <c r="AC1402" s="24" t="s">
        <v>450</v>
      </c>
      <c r="AG1402" s="24" t="s">
        <v>1349</v>
      </c>
      <c r="AH1402" s="24" t="s">
        <v>243</v>
      </c>
      <c r="AI1402" s="138" t="s">
        <v>577</v>
      </c>
      <c r="AJ1402" s="24" t="s">
        <v>1601</v>
      </c>
      <c r="AK1402" s="140" t="s">
        <v>1601</v>
      </c>
      <c r="AW1402" s="24" t="s">
        <v>953</v>
      </c>
      <c r="AX1402" s="24">
        <v>6</v>
      </c>
      <c r="AZ1402" s="24" t="s">
        <v>141</v>
      </c>
      <c r="BD1402" s="24" t="s">
        <v>1157</v>
      </c>
      <c r="BE1402" s="24" t="s">
        <v>964</v>
      </c>
      <c r="BP1402" s="395"/>
      <c r="BQ1402" s="395"/>
      <c r="BU1402" s="395"/>
      <c r="BV1402" s="395"/>
      <c r="CE1402" s="548"/>
      <c r="CF1402" s="548"/>
      <c r="CG1402" s="548"/>
      <c r="CH1402" s="548"/>
      <c r="FL1402" s="24">
        <v>25.48</v>
      </c>
      <c r="FM1402" s="24">
        <v>25.48</v>
      </c>
      <c r="JB1402" s="24" t="s">
        <v>965</v>
      </c>
    </row>
    <row r="1403" spans="1:262" s="32" customFormat="1" x14ac:dyDescent="0.25">
      <c r="A1403" s="32">
        <v>63</v>
      </c>
      <c r="B1403" s="44" t="s">
        <v>4043</v>
      </c>
      <c r="C1403" s="32" t="s">
        <v>950</v>
      </c>
      <c r="D1403" s="32" t="s">
        <v>951</v>
      </c>
      <c r="E1403" s="32">
        <v>1993</v>
      </c>
      <c r="F1403" s="32">
        <v>1989</v>
      </c>
      <c r="G1403" s="32" t="s">
        <v>302</v>
      </c>
      <c r="H1403" s="32" t="s">
        <v>968</v>
      </c>
      <c r="I1403" s="32" t="s">
        <v>2815</v>
      </c>
      <c r="J1403" s="32">
        <v>42.44</v>
      </c>
      <c r="K1403" s="32">
        <v>-76.52</v>
      </c>
      <c r="L1403" s="32">
        <v>188.1</v>
      </c>
      <c r="R1403" s="44" t="s">
        <v>1847</v>
      </c>
      <c r="S1403" s="32">
        <v>3</v>
      </c>
      <c r="T1403" s="44" t="s">
        <v>1993</v>
      </c>
      <c r="U1403" s="44" t="s">
        <v>1991</v>
      </c>
      <c r="V1403" s="44" t="s">
        <v>1394</v>
      </c>
      <c r="W1403" s="44" t="s">
        <v>1722</v>
      </c>
      <c r="X1403" s="44" t="s">
        <v>1394</v>
      </c>
      <c r="Y1403" s="44" t="s">
        <v>1394</v>
      </c>
      <c r="AA1403" s="323"/>
      <c r="AB1403" s="323"/>
      <c r="AC1403" s="32" t="s">
        <v>450</v>
      </c>
      <c r="AG1403" s="32" t="s">
        <v>1349</v>
      </c>
      <c r="AH1403" s="32" t="s">
        <v>131</v>
      </c>
      <c r="AI1403" s="138" t="s">
        <v>131</v>
      </c>
      <c r="AJ1403" s="32" t="s">
        <v>1601</v>
      </c>
      <c r="AK1403" s="140" t="s">
        <v>1601</v>
      </c>
      <c r="AW1403" s="32" t="s">
        <v>953</v>
      </c>
      <c r="AX1403" s="32">
        <v>6</v>
      </c>
      <c r="AZ1403" s="32" t="s">
        <v>141</v>
      </c>
      <c r="BD1403" s="32" t="s">
        <v>1157</v>
      </c>
      <c r="BE1403" s="32" t="s">
        <v>954</v>
      </c>
      <c r="BP1403" s="397"/>
      <c r="BQ1403" s="397"/>
      <c r="BU1403" s="397"/>
      <c r="BV1403" s="397"/>
      <c r="CE1403" s="550"/>
      <c r="CF1403" s="550"/>
      <c r="CG1403" s="550"/>
      <c r="CH1403" s="550"/>
      <c r="FL1403" s="32">
        <v>21.14</v>
      </c>
      <c r="FM1403" s="32">
        <v>25.65</v>
      </c>
      <c r="JB1403" s="32" t="s">
        <v>965</v>
      </c>
    </row>
    <row r="1404" spans="1:262" s="32" customFormat="1" x14ac:dyDescent="0.25">
      <c r="A1404" s="32">
        <v>63</v>
      </c>
      <c r="B1404" s="44" t="s">
        <v>4043</v>
      </c>
      <c r="C1404" s="32" t="s">
        <v>950</v>
      </c>
      <c r="D1404" s="32" t="s">
        <v>951</v>
      </c>
      <c r="E1404" s="32">
        <v>1993</v>
      </c>
      <c r="F1404" s="32">
        <v>1989</v>
      </c>
      <c r="G1404" s="32" t="s">
        <v>302</v>
      </c>
      <c r="H1404" s="32" t="s">
        <v>968</v>
      </c>
      <c r="I1404" s="32" t="s">
        <v>2815</v>
      </c>
      <c r="J1404" s="32">
        <v>42.44</v>
      </c>
      <c r="K1404" s="32">
        <v>-76.52</v>
      </c>
      <c r="L1404" s="32">
        <v>188.1</v>
      </c>
      <c r="R1404" s="44" t="s">
        <v>1847</v>
      </c>
      <c r="S1404" s="32">
        <v>3</v>
      </c>
      <c r="T1404" s="44" t="s">
        <v>1993</v>
      </c>
      <c r="U1404" s="44" t="s">
        <v>1991</v>
      </c>
      <c r="V1404" s="44" t="s">
        <v>1394</v>
      </c>
      <c r="W1404" s="44" t="s">
        <v>1722</v>
      </c>
      <c r="X1404" s="44" t="s">
        <v>1394</v>
      </c>
      <c r="Y1404" s="44" t="s">
        <v>1394</v>
      </c>
      <c r="AA1404" s="323"/>
      <c r="AB1404" s="323"/>
      <c r="AC1404" s="32" t="s">
        <v>450</v>
      </c>
      <c r="AG1404" s="32" t="s">
        <v>1349</v>
      </c>
      <c r="AH1404" s="32" t="s">
        <v>131</v>
      </c>
      <c r="AI1404" s="138" t="s">
        <v>131</v>
      </c>
      <c r="AJ1404" s="32" t="s">
        <v>1601</v>
      </c>
      <c r="AK1404" s="140" t="s">
        <v>1601</v>
      </c>
      <c r="AW1404" s="32" t="s">
        <v>953</v>
      </c>
      <c r="AX1404" s="32">
        <v>6</v>
      </c>
      <c r="AZ1404" s="32" t="s">
        <v>141</v>
      </c>
      <c r="BD1404" s="32" t="s">
        <v>1157</v>
      </c>
      <c r="BE1404" s="32" t="s">
        <v>955</v>
      </c>
      <c r="BP1404" s="397"/>
      <c r="BQ1404" s="397"/>
      <c r="BU1404" s="397"/>
      <c r="BV1404" s="397"/>
      <c r="CE1404" s="550"/>
      <c r="CF1404" s="550"/>
      <c r="CG1404" s="550"/>
      <c r="CH1404" s="550"/>
      <c r="FL1404" s="32">
        <v>24.63</v>
      </c>
      <c r="FM1404" s="32">
        <v>25.6</v>
      </c>
      <c r="JB1404" s="32" t="s">
        <v>965</v>
      </c>
    </row>
    <row r="1405" spans="1:262" s="32" customFormat="1" x14ac:dyDescent="0.25">
      <c r="A1405" s="32">
        <v>63</v>
      </c>
      <c r="B1405" s="44" t="s">
        <v>4043</v>
      </c>
      <c r="C1405" s="32" t="s">
        <v>950</v>
      </c>
      <c r="D1405" s="32" t="s">
        <v>951</v>
      </c>
      <c r="E1405" s="32">
        <v>1993</v>
      </c>
      <c r="F1405" s="32">
        <v>1989</v>
      </c>
      <c r="G1405" s="32" t="s">
        <v>302</v>
      </c>
      <c r="H1405" s="32" t="s">
        <v>968</v>
      </c>
      <c r="I1405" s="32" t="s">
        <v>2815</v>
      </c>
      <c r="J1405" s="32">
        <v>42.44</v>
      </c>
      <c r="K1405" s="32">
        <v>-76.52</v>
      </c>
      <c r="L1405" s="32">
        <v>188.1</v>
      </c>
      <c r="R1405" s="44" t="s">
        <v>1847</v>
      </c>
      <c r="S1405" s="32">
        <v>3</v>
      </c>
      <c r="T1405" s="44" t="s">
        <v>1993</v>
      </c>
      <c r="U1405" s="44" t="s">
        <v>1991</v>
      </c>
      <c r="V1405" s="44" t="s">
        <v>1394</v>
      </c>
      <c r="W1405" s="44" t="s">
        <v>1722</v>
      </c>
      <c r="X1405" s="44" t="s">
        <v>1394</v>
      </c>
      <c r="Y1405" s="44" t="s">
        <v>1394</v>
      </c>
      <c r="AA1405" s="323"/>
      <c r="AB1405" s="323"/>
      <c r="AC1405" s="32" t="s">
        <v>450</v>
      </c>
      <c r="AG1405" s="32" t="s">
        <v>1349</v>
      </c>
      <c r="AH1405" s="32" t="s">
        <v>131</v>
      </c>
      <c r="AI1405" s="138" t="s">
        <v>131</v>
      </c>
      <c r="AJ1405" s="32" t="s">
        <v>1601</v>
      </c>
      <c r="AK1405" s="140" t="s">
        <v>1601</v>
      </c>
      <c r="AW1405" s="32" t="s">
        <v>953</v>
      </c>
      <c r="AX1405" s="32">
        <v>6</v>
      </c>
      <c r="AZ1405" s="32" t="s">
        <v>141</v>
      </c>
      <c r="BD1405" s="32" t="s">
        <v>1157</v>
      </c>
      <c r="BE1405" s="32" t="s">
        <v>956</v>
      </c>
      <c r="BP1405" s="397"/>
      <c r="BQ1405" s="397"/>
      <c r="BU1405" s="397"/>
      <c r="BV1405" s="397"/>
      <c r="CE1405" s="550"/>
      <c r="CF1405" s="550"/>
      <c r="CG1405" s="550"/>
      <c r="CH1405" s="550"/>
      <c r="FL1405" s="32">
        <v>23.83</v>
      </c>
      <c r="FM1405" s="32">
        <v>25.68</v>
      </c>
      <c r="JB1405" s="32" t="s">
        <v>965</v>
      </c>
    </row>
    <row r="1406" spans="1:262" s="32" customFormat="1" x14ac:dyDescent="0.25">
      <c r="A1406" s="32">
        <v>63</v>
      </c>
      <c r="B1406" s="44" t="s">
        <v>4043</v>
      </c>
      <c r="C1406" s="32" t="s">
        <v>950</v>
      </c>
      <c r="D1406" s="32" t="s">
        <v>951</v>
      </c>
      <c r="E1406" s="32">
        <v>1993</v>
      </c>
      <c r="F1406" s="32">
        <v>1989</v>
      </c>
      <c r="G1406" s="32" t="s">
        <v>302</v>
      </c>
      <c r="H1406" s="32" t="s">
        <v>968</v>
      </c>
      <c r="I1406" s="32" t="s">
        <v>2815</v>
      </c>
      <c r="J1406" s="32">
        <v>42.44</v>
      </c>
      <c r="K1406" s="32">
        <v>-76.52</v>
      </c>
      <c r="L1406" s="32">
        <v>188.1</v>
      </c>
      <c r="R1406" s="44" t="s">
        <v>1847</v>
      </c>
      <c r="S1406" s="32">
        <v>3</v>
      </c>
      <c r="T1406" s="44" t="s">
        <v>1993</v>
      </c>
      <c r="U1406" s="44" t="s">
        <v>1991</v>
      </c>
      <c r="V1406" s="44" t="s">
        <v>1394</v>
      </c>
      <c r="W1406" s="44" t="s">
        <v>1722</v>
      </c>
      <c r="X1406" s="44" t="s">
        <v>1394</v>
      </c>
      <c r="Y1406" s="44" t="s">
        <v>1394</v>
      </c>
      <c r="AA1406" s="323"/>
      <c r="AB1406" s="323"/>
      <c r="AC1406" s="32" t="s">
        <v>450</v>
      </c>
      <c r="AG1406" s="32" t="s">
        <v>1349</v>
      </c>
      <c r="AH1406" s="32" t="s">
        <v>131</v>
      </c>
      <c r="AI1406" s="138" t="s">
        <v>131</v>
      </c>
      <c r="AJ1406" s="32" t="s">
        <v>1601</v>
      </c>
      <c r="AK1406" s="140" t="s">
        <v>1601</v>
      </c>
      <c r="AW1406" s="32" t="s">
        <v>953</v>
      </c>
      <c r="AX1406" s="32">
        <v>6</v>
      </c>
      <c r="AZ1406" s="32" t="s">
        <v>141</v>
      </c>
      <c r="BD1406" s="32" t="s">
        <v>1157</v>
      </c>
      <c r="BE1406" s="32" t="s">
        <v>957</v>
      </c>
      <c r="BP1406" s="397"/>
      <c r="BQ1406" s="397"/>
      <c r="BU1406" s="397"/>
      <c r="BV1406" s="397"/>
      <c r="CE1406" s="550"/>
      <c r="CF1406" s="550"/>
      <c r="CG1406" s="550"/>
      <c r="CH1406" s="550"/>
      <c r="FL1406" s="32">
        <v>17.64</v>
      </c>
      <c r="FM1406" s="32">
        <v>25.77</v>
      </c>
      <c r="JB1406" s="32" t="s">
        <v>965</v>
      </c>
    </row>
    <row r="1407" spans="1:262" s="32" customFormat="1" x14ac:dyDescent="0.25">
      <c r="A1407" s="32">
        <v>63</v>
      </c>
      <c r="B1407" s="44" t="s">
        <v>4043</v>
      </c>
      <c r="C1407" s="32" t="s">
        <v>950</v>
      </c>
      <c r="D1407" s="32" t="s">
        <v>951</v>
      </c>
      <c r="E1407" s="32">
        <v>1993</v>
      </c>
      <c r="F1407" s="32">
        <v>1989</v>
      </c>
      <c r="G1407" s="32" t="s">
        <v>302</v>
      </c>
      <c r="H1407" s="32" t="s">
        <v>968</v>
      </c>
      <c r="I1407" s="32" t="s">
        <v>2815</v>
      </c>
      <c r="J1407" s="32">
        <v>42.44</v>
      </c>
      <c r="K1407" s="32">
        <v>-76.52</v>
      </c>
      <c r="L1407" s="32">
        <v>188.1</v>
      </c>
      <c r="R1407" s="44" t="s">
        <v>1847</v>
      </c>
      <c r="S1407" s="32">
        <v>3</v>
      </c>
      <c r="T1407" s="44" t="s">
        <v>1993</v>
      </c>
      <c r="U1407" s="44" t="s">
        <v>1991</v>
      </c>
      <c r="V1407" s="44" t="s">
        <v>1394</v>
      </c>
      <c r="W1407" s="44" t="s">
        <v>1722</v>
      </c>
      <c r="X1407" s="44" t="s">
        <v>1394</v>
      </c>
      <c r="Y1407" s="44" t="s">
        <v>1394</v>
      </c>
      <c r="AA1407" s="323"/>
      <c r="AB1407" s="323"/>
      <c r="AC1407" s="32" t="s">
        <v>450</v>
      </c>
      <c r="AG1407" s="32" t="s">
        <v>1349</v>
      </c>
      <c r="AH1407" s="32" t="s">
        <v>131</v>
      </c>
      <c r="AI1407" s="138" t="s">
        <v>131</v>
      </c>
      <c r="AJ1407" s="32" t="s">
        <v>1601</v>
      </c>
      <c r="AK1407" s="140" t="s">
        <v>1601</v>
      </c>
      <c r="AW1407" s="32" t="s">
        <v>953</v>
      </c>
      <c r="AX1407" s="32">
        <v>6</v>
      </c>
      <c r="AZ1407" s="32" t="s">
        <v>141</v>
      </c>
      <c r="BD1407" s="32" t="s">
        <v>1157</v>
      </c>
      <c r="BE1407" s="32" t="s">
        <v>958</v>
      </c>
      <c r="BP1407" s="397"/>
      <c r="BQ1407" s="397"/>
      <c r="BU1407" s="397"/>
      <c r="BV1407" s="397"/>
      <c r="CE1407" s="550"/>
      <c r="CF1407" s="550"/>
      <c r="CG1407" s="550"/>
      <c r="CH1407" s="550"/>
      <c r="FL1407" s="32">
        <v>25.5</v>
      </c>
      <c r="FM1407" s="32">
        <v>25.5</v>
      </c>
      <c r="JB1407" s="32" t="s">
        <v>965</v>
      </c>
    </row>
    <row r="1408" spans="1:262" s="32" customFormat="1" x14ac:dyDescent="0.25">
      <c r="A1408" s="32">
        <v>63</v>
      </c>
      <c r="B1408" s="44" t="s">
        <v>4043</v>
      </c>
      <c r="C1408" s="32" t="s">
        <v>950</v>
      </c>
      <c r="D1408" s="32" t="s">
        <v>951</v>
      </c>
      <c r="E1408" s="32">
        <v>1993</v>
      </c>
      <c r="F1408" s="32">
        <v>1989</v>
      </c>
      <c r="G1408" s="32" t="s">
        <v>302</v>
      </c>
      <c r="H1408" s="32" t="s">
        <v>968</v>
      </c>
      <c r="I1408" s="32" t="s">
        <v>2815</v>
      </c>
      <c r="J1408" s="32">
        <v>42.44</v>
      </c>
      <c r="K1408" s="32">
        <v>-76.52</v>
      </c>
      <c r="L1408" s="32">
        <v>188.1</v>
      </c>
      <c r="R1408" s="44" t="s">
        <v>1847</v>
      </c>
      <c r="S1408" s="32">
        <v>3</v>
      </c>
      <c r="T1408" s="44" t="s">
        <v>1993</v>
      </c>
      <c r="U1408" s="44" t="s">
        <v>1991</v>
      </c>
      <c r="V1408" s="44" t="s">
        <v>1394</v>
      </c>
      <c r="W1408" s="44" t="s">
        <v>1722</v>
      </c>
      <c r="X1408" s="44" t="s">
        <v>1394</v>
      </c>
      <c r="Y1408" s="44" t="s">
        <v>1394</v>
      </c>
      <c r="AA1408" s="323"/>
      <c r="AB1408" s="323"/>
      <c r="AC1408" s="32" t="s">
        <v>450</v>
      </c>
      <c r="AG1408" s="32" t="s">
        <v>1349</v>
      </c>
      <c r="AH1408" s="32" t="s">
        <v>131</v>
      </c>
      <c r="AI1408" s="138" t="s">
        <v>131</v>
      </c>
      <c r="AJ1408" s="32" t="s">
        <v>1601</v>
      </c>
      <c r="AK1408" s="140" t="s">
        <v>1601</v>
      </c>
      <c r="AW1408" s="32" t="s">
        <v>953</v>
      </c>
      <c r="AX1408" s="32">
        <v>6</v>
      </c>
      <c r="AZ1408" s="32" t="s">
        <v>141</v>
      </c>
      <c r="BD1408" s="32" t="s">
        <v>1157</v>
      </c>
      <c r="BE1408" s="32" t="s">
        <v>959</v>
      </c>
      <c r="BP1408" s="397"/>
      <c r="BQ1408" s="397"/>
      <c r="BU1408" s="397"/>
      <c r="BV1408" s="397"/>
      <c r="CE1408" s="550"/>
      <c r="CF1408" s="550"/>
      <c r="CG1408" s="550"/>
      <c r="CH1408" s="550"/>
      <c r="FL1408" s="32">
        <v>22.23</v>
      </c>
      <c r="FM1408" s="32">
        <v>25.5</v>
      </c>
      <c r="JB1408" s="32" t="s">
        <v>965</v>
      </c>
    </row>
    <row r="1409" spans="1:262" s="32" customFormat="1" x14ac:dyDescent="0.25">
      <c r="A1409" s="32">
        <v>63</v>
      </c>
      <c r="B1409" s="44" t="s">
        <v>4043</v>
      </c>
      <c r="C1409" s="32" t="s">
        <v>950</v>
      </c>
      <c r="D1409" s="32" t="s">
        <v>951</v>
      </c>
      <c r="E1409" s="32">
        <v>1993</v>
      </c>
      <c r="F1409" s="32">
        <v>1989</v>
      </c>
      <c r="G1409" s="32" t="s">
        <v>302</v>
      </c>
      <c r="H1409" s="32" t="s">
        <v>968</v>
      </c>
      <c r="I1409" s="32" t="s">
        <v>2815</v>
      </c>
      <c r="J1409" s="32">
        <v>42.44</v>
      </c>
      <c r="K1409" s="32">
        <v>-76.52</v>
      </c>
      <c r="L1409" s="32">
        <v>188.1</v>
      </c>
      <c r="R1409" s="44" t="s">
        <v>1847</v>
      </c>
      <c r="S1409" s="32">
        <v>3</v>
      </c>
      <c r="T1409" s="44" t="s">
        <v>1993</v>
      </c>
      <c r="U1409" s="44" t="s">
        <v>1991</v>
      </c>
      <c r="V1409" s="44" t="s">
        <v>1394</v>
      </c>
      <c r="W1409" s="44" t="s">
        <v>1722</v>
      </c>
      <c r="X1409" s="44" t="s">
        <v>1394</v>
      </c>
      <c r="Y1409" s="44" t="s">
        <v>1394</v>
      </c>
      <c r="AA1409" s="323"/>
      <c r="AB1409" s="323"/>
      <c r="AC1409" s="32" t="s">
        <v>450</v>
      </c>
      <c r="AG1409" s="32" t="s">
        <v>1349</v>
      </c>
      <c r="AH1409" s="32" t="s">
        <v>131</v>
      </c>
      <c r="AI1409" s="138" t="s">
        <v>131</v>
      </c>
      <c r="AJ1409" s="32" t="s">
        <v>1601</v>
      </c>
      <c r="AK1409" s="140" t="s">
        <v>1601</v>
      </c>
      <c r="AW1409" s="32" t="s">
        <v>953</v>
      </c>
      <c r="AX1409" s="32">
        <v>6</v>
      </c>
      <c r="AZ1409" s="32" t="s">
        <v>141</v>
      </c>
      <c r="BD1409" s="32" t="s">
        <v>1157</v>
      </c>
      <c r="BE1409" s="32" t="s">
        <v>960</v>
      </c>
      <c r="BP1409" s="397"/>
      <c r="BQ1409" s="397"/>
      <c r="BU1409" s="397"/>
      <c r="BV1409" s="397"/>
      <c r="CE1409" s="550"/>
      <c r="CF1409" s="550"/>
      <c r="CG1409" s="550"/>
      <c r="CH1409" s="550"/>
      <c r="FL1409" s="32">
        <v>17.45</v>
      </c>
      <c r="FM1409" s="32">
        <v>25.49</v>
      </c>
      <c r="JB1409" s="32" t="s">
        <v>965</v>
      </c>
    </row>
    <row r="1410" spans="1:262" s="32" customFormat="1" x14ac:dyDescent="0.25">
      <c r="A1410" s="32">
        <v>63</v>
      </c>
      <c r="B1410" s="44" t="s">
        <v>4043</v>
      </c>
      <c r="C1410" s="32" t="s">
        <v>950</v>
      </c>
      <c r="D1410" s="32" t="s">
        <v>951</v>
      </c>
      <c r="E1410" s="32">
        <v>1993</v>
      </c>
      <c r="F1410" s="32">
        <v>1989</v>
      </c>
      <c r="G1410" s="32" t="s">
        <v>302</v>
      </c>
      <c r="H1410" s="32" t="s">
        <v>968</v>
      </c>
      <c r="I1410" s="32" t="s">
        <v>2815</v>
      </c>
      <c r="J1410" s="32">
        <v>42.44</v>
      </c>
      <c r="K1410" s="32">
        <v>-76.52</v>
      </c>
      <c r="L1410" s="32">
        <v>188.1</v>
      </c>
      <c r="R1410" s="44" t="s">
        <v>1847</v>
      </c>
      <c r="S1410" s="32">
        <v>3</v>
      </c>
      <c r="T1410" s="44" t="s">
        <v>1993</v>
      </c>
      <c r="U1410" s="44" t="s">
        <v>1991</v>
      </c>
      <c r="V1410" s="44" t="s">
        <v>1394</v>
      </c>
      <c r="W1410" s="44" t="s">
        <v>1722</v>
      </c>
      <c r="X1410" s="44" t="s">
        <v>1394</v>
      </c>
      <c r="Y1410" s="44" t="s">
        <v>1394</v>
      </c>
      <c r="AA1410" s="323"/>
      <c r="AB1410" s="323"/>
      <c r="AC1410" s="32" t="s">
        <v>450</v>
      </c>
      <c r="AG1410" s="32" t="s">
        <v>1349</v>
      </c>
      <c r="AH1410" s="32" t="s">
        <v>131</v>
      </c>
      <c r="AI1410" s="138" t="s">
        <v>131</v>
      </c>
      <c r="AJ1410" s="32" t="s">
        <v>1601</v>
      </c>
      <c r="AK1410" s="140" t="s">
        <v>1601</v>
      </c>
      <c r="AW1410" s="32" t="s">
        <v>953</v>
      </c>
      <c r="AX1410" s="32">
        <v>6</v>
      </c>
      <c r="AZ1410" s="32" t="s">
        <v>141</v>
      </c>
      <c r="BD1410" s="32" t="s">
        <v>1157</v>
      </c>
      <c r="BE1410" s="32" t="s">
        <v>961</v>
      </c>
      <c r="BP1410" s="397"/>
      <c r="BQ1410" s="397"/>
      <c r="BU1410" s="397"/>
      <c r="BV1410" s="397"/>
      <c r="CE1410" s="550"/>
      <c r="CF1410" s="550"/>
      <c r="CG1410" s="550"/>
      <c r="CH1410" s="550"/>
      <c r="FL1410" s="32">
        <v>25.83</v>
      </c>
      <c r="FM1410" s="32">
        <v>25.83</v>
      </c>
      <c r="JB1410" s="32" t="s">
        <v>965</v>
      </c>
    </row>
    <row r="1411" spans="1:262" s="32" customFormat="1" x14ac:dyDescent="0.25">
      <c r="A1411" s="32">
        <v>63</v>
      </c>
      <c r="B1411" s="44" t="s">
        <v>4043</v>
      </c>
      <c r="C1411" s="32" t="s">
        <v>950</v>
      </c>
      <c r="D1411" s="32" t="s">
        <v>951</v>
      </c>
      <c r="E1411" s="32">
        <v>1993</v>
      </c>
      <c r="F1411" s="32">
        <v>1989</v>
      </c>
      <c r="G1411" s="32" t="s">
        <v>302</v>
      </c>
      <c r="H1411" s="32" t="s">
        <v>968</v>
      </c>
      <c r="I1411" s="32" t="s">
        <v>2815</v>
      </c>
      <c r="J1411" s="32">
        <v>42.44</v>
      </c>
      <c r="K1411" s="32">
        <v>-76.52</v>
      </c>
      <c r="L1411" s="32">
        <v>188.1</v>
      </c>
      <c r="R1411" s="44" t="s">
        <v>1847</v>
      </c>
      <c r="S1411" s="32">
        <v>3</v>
      </c>
      <c r="T1411" s="44" t="s">
        <v>1993</v>
      </c>
      <c r="U1411" s="44" t="s">
        <v>1991</v>
      </c>
      <c r="V1411" s="44" t="s">
        <v>1394</v>
      </c>
      <c r="W1411" s="44" t="s">
        <v>1722</v>
      </c>
      <c r="X1411" s="44" t="s">
        <v>1394</v>
      </c>
      <c r="Y1411" s="44" t="s">
        <v>1394</v>
      </c>
      <c r="AA1411" s="323"/>
      <c r="AB1411" s="323"/>
      <c r="AC1411" s="32" t="s">
        <v>450</v>
      </c>
      <c r="AG1411" s="32" t="s">
        <v>1349</v>
      </c>
      <c r="AH1411" s="32" t="s">
        <v>131</v>
      </c>
      <c r="AI1411" s="138" t="s">
        <v>131</v>
      </c>
      <c r="AJ1411" s="32" t="s">
        <v>1601</v>
      </c>
      <c r="AK1411" s="140" t="s">
        <v>1601</v>
      </c>
      <c r="AW1411" s="32" t="s">
        <v>953</v>
      </c>
      <c r="AX1411" s="32">
        <v>6</v>
      </c>
      <c r="AZ1411" s="32" t="s">
        <v>141</v>
      </c>
      <c r="BD1411" s="32" t="s">
        <v>1157</v>
      </c>
      <c r="BE1411" s="32" t="s">
        <v>962</v>
      </c>
      <c r="BP1411" s="397"/>
      <c r="BQ1411" s="397"/>
      <c r="BU1411" s="397"/>
      <c r="BV1411" s="397"/>
      <c r="CE1411" s="550"/>
      <c r="CF1411" s="550"/>
      <c r="CG1411" s="550"/>
      <c r="CH1411" s="550"/>
      <c r="FL1411" s="32">
        <v>19.38</v>
      </c>
      <c r="FM1411" s="32">
        <v>25.56</v>
      </c>
      <c r="JB1411" s="32" t="s">
        <v>965</v>
      </c>
    </row>
    <row r="1412" spans="1:262" s="32" customFormat="1" x14ac:dyDescent="0.25">
      <c r="A1412" s="32">
        <v>63</v>
      </c>
      <c r="B1412" s="44" t="s">
        <v>4043</v>
      </c>
      <c r="C1412" s="32" t="s">
        <v>950</v>
      </c>
      <c r="D1412" s="32" t="s">
        <v>951</v>
      </c>
      <c r="E1412" s="32">
        <v>1993</v>
      </c>
      <c r="F1412" s="32">
        <v>1989</v>
      </c>
      <c r="G1412" s="32" t="s">
        <v>302</v>
      </c>
      <c r="H1412" s="32" t="s">
        <v>968</v>
      </c>
      <c r="I1412" s="32" t="s">
        <v>2815</v>
      </c>
      <c r="J1412" s="32">
        <v>42.44</v>
      </c>
      <c r="K1412" s="32">
        <v>-76.52</v>
      </c>
      <c r="L1412" s="32">
        <v>188.1</v>
      </c>
      <c r="R1412" s="44" t="s">
        <v>1847</v>
      </c>
      <c r="S1412" s="32">
        <v>3</v>
      </c>
      <c r="T1412" s="44" t="s">
        <v>1993</v>
      </c>
      <c r="U1412" s="44" t="s">
        <v>1991</v>
      </c>
      <c r="V1412" s="44" t="s">
        <v>1394</v>
      </c>
      <c r="W1412" s="44" t="s">
        <v>1722</v>
      </c>
      <c r="X1412" s="44" t="s">
        <v>1394</v>
      </c>
      <c r="Y1412" s="44" t="s">
        <v>1394</v>
      </c>
      <c r="AA1412" s="323"/>
      <c r="AB1412" s="323"/>
      <c r="AC1412" s="32" t="s">
        <v>450</v>
      </c>
      <c r="AG1412" s="32" t="s">
        <v>1349</v>
      </c>
      <c r="AH1412" s="32" t="s">
        <v>131</v>
      </c>
      <c r="AI1412" s="138" t="s">
        <v>131</v>
      </c>
      <c r="AJ1412" s="32" t="s">
        <v>1601</v>
      </c>
      <c r="AK1412" s="140" t="s">
        <v>1601</v>
      </c>
      <c r="AW1412" s="32" t="s">
        <v>953</v>
      </c>
      <c r="AX1412" s="32">
        <v>6</v>
      </c>
      <c r="AZ1412" s="32" t="s">
        <v>141</v>
      </c>
      <c r="BD1412" s="32" t="s">
        <v>1157</v>
      </c>
      <c r="BE1412" s="32" t="s">
        <v>963</v>
      </c>
      <c r="BP1412" s="397"/>
      <c r="BQ1412" s="397"/>
      <c r="BU1412" s="397"/>
      <c r="BV1412" s="397"/>
      <c r="CE1412" s="550"/>
      <c r="CF1412" s="550"/>
      <c r="CG1412" s="550"/>
      <c r="CH1412" s="550"/>
      <c r="FL1412" s="32">
        <v>16.72</v>
      </c>
      <c r="FM1412" s="32">
        <v>24.76</v>
      </c>
      <c r="JB1412" s="32" t="s">
        <v>965</v>
      </c>
    </row>
    <row r="1413" spans="1:262" s="32" customFormat="1" x14ac:dyDescent="0.25">
      <c r="A1413" s="32">
        <v>63</v>
      </c>
      <c r="B1413" s="44" t="s">
        <v>4043</v>
      </c>
      <c r="C1413" s="32" t="s">
        <v>950</v>
      </c>
      <c r="D1413" s="32" t="s">
        <v>951</v>
      </c>
      <c r="E1413" s="32">
        <v>1993</v>
      </c>
      <c r="F1413" s="32">
        <v>1989</v>
      </c>
      <c r="G1413" s="32" t="s">
        <v>302</v>
      </c>
      <c r="H1413" s="32" t="s">
        <v>968</v>
      </c>
      <c r="I1413" s="32" t="s">
        <v>2815</v>
      </c>
      <c r="J1413" s="32">
        <v>42.44</v>
      </c>
      <c r="K1413" s="32">
        <v>-76.52</v>
      </c>
      <c r="L1413" s="32">
        <v>188.1</v>
      </c>
      <c r="R1413" s="44" t="s">
        <v>1847</v>
      </c>
      <c r="S1413" s="32">
        <v>3</v>
      </c>
      <c r="T1413" s="44" t="s">
        <v>1993</v>
      </c>
      <c r="U1413" s="44" t="s">
        <v>1991</v>
      </c>
      <c r="V1413" s="44" t="s">
        <v>1394</v>
      </c>
      <c r="W1413" s="44" t="s">
        <v>1722</v>
      </c>
      <c r="X1413" s="44" t="s">
        <v>1394</v>
      </c>
      <c r="Y1413" s="44" t="s">
        <v>1394</v>
      </c>
      <c r="AA1413" s="323"/>
      <c r="AB1413" s="323"/>
      <c r="AC1413" s="32" t="s">
        <v>450</v>
      </c>
      <c r="AG1413" s="32" t="s">
        <v>1349</v>
      </c>
      <c r="AH1413" s="32" t="s">
        <v>131</v>
      </c>
      <c r="AI1413" s="138" t="s">
        <v>131</v>
      </c>
      <c r="AJ1413" s="32" t="s">
        <v>1601</v>
      </c>
      <c r="AK1413" s="140" t="s">
        <v>1601</v>
      </c>
      <c r="AW1413" s="32" t="s">
        <v>953</v>
      </c>
      <c r="AX1413" s="32">
        <v>6</v>
      </c>
      <c r="AZ1413" s="32" t="s">
        <v>141</v>
      </c>
      <c r="BD1413" s="32" t="s">
        <v>1157</v>
      </c>
      <c r="BE1413" s="32" t="s">
        <v>964</v>
      </c>
      <c r="BP1413" s="397"/>
      <c r="BQ1413" s="397"/>
      <c r="BU1413" s="397"/>
      <c r="BV1413" s="397"/>
      <c r="CE1413" s="550"/>
      <c r="CF1413" s="550"/>
      <c r="CG1413" s="550"/>
      <c r="CH1413" s="550"/>
      <c r="FL1413" s="32">
        <v>25.65</v>
      </c>
      <c r="FM1413" s="32">
        <v>25.65</v>
      </c>
      <c r="JB1413" s="32" t="s">
        <v>965</v>
      </c>
    </row>
    <row r="1414" spans="1:262" s="28" customFormat="1" x14ac:dyDescent="0.25">
      <c r="A1414" s="28">
        <v>64</v>
      </c>
      <c r="B1414" s="46" t="s">
        <v>4044</v>
      </c>
      <c r="C1414" s="28" t="s">
        <v>966</v>
      </c>
      <c r="D1414" s="28" t="s">
        <v>967</v>
      </c>
      <c r="E1414" s="28">
        <v>2005</v>
      </c>
      <c r="F1414" s="28">
        <v>2001</v>
      </c>
      <c r="G1414" s="28" t="s">
        <v>329</v>
      </c>
      <c r="H1414" s="28" t="s">
        <v>969</v>
      </c>
      <c r="I1414" s="32" t="s">
        <v>2815</v>
      </c>
      <c r="J1414" s="28">
        <f t="shared" ref="J1414:J1423" si="253">32+25/60</f>
        <v>32.416666666666664</v>
      </c>
      <c r="K1414" s="28">
        <f t="shared" ref="K1414:K1423" si="254">-85-54/90</f>
        <v>-85.6</v>
      </c>
      <c r="L1414" s="28">
        <f>(69.8+70.1+68.5+69.4+69.6)/5</f>
        <v>69.47999999999999</v>
      </c>
      <c r="R1414" s="46" t="s">
        <v>1847</v>
      </c>
      <c r="S1414" s="46" t="s">
        <v>1858</v>
      </c>
      <c r="U1414" s="46" t="s">
        <v>1994</v>
      </c>
      <c r="V1414" s="46" t="s">
        <v>1389</v>
      </c>
      <c r="W1414" s="46" t="s">
        <v>1720</v>
      </c>
      <c r="X1414" s="46" t="s">
        <v>1394</v>
      </c>
      <c r="Y1414" s="46" t="s">
        <v>1389</v>
      </c>
      <c r="Z1414" s="28">
        <v>1.5</v>
      </c>
      <c r="AA1414" s="326">
        <f>(519+556+573+552+533)/5/1000*100</f>
        <v>54.66</v>
      </c>
      <c r="AB1414" s="326">
        <f>100-AA1414-(182+191+143+193+211)/5/1000*100</f>
        <v>26.940000000000005</v>
      </c>
      <c r="AC1414" s="28" t="s">
        <v>139</v>
      </c>
      <c r="AD1414" s="28">
        <v>6.5</v>
      </c>
      <c r="AE1414" s="28">
        <f>(26.4+23.85+24.1+20.38+24.08)/5*1/(100*100*0.3*1.5)*100</f>
        <v>0.52804444444444432</v>
      </c>
      <c r="AG1414" s="28" t="s">
        <v>1350</v>
      </c>
      <c r="AH1414" s="28" t="s">
        <v>635</v>
      </c>
      <c r="AI1414" s="138" t="s">
        <v>635</v>
      </c>
      <c r="AJ1414" s="28" t="s">
        <v>132</v>
      </c>
      <c r="AK1414" s="141" t="s">
        <v>1620</v>
      </c>
      <c r="AL1414" s="28" t="s">
        <v>974</v>
      </c>
      <c r="AM1414" s="28" t="s">
        <v>974</v>
      </c>
      <c r="AN1414" s="28" t="s">
        <v>177</v>
      </c>
      <c r="AO1414" s="28" t="s">
        <v>487</v>
      </c>
      <c r="AP1414" s="28" t="s">
        <v>971</v>
      </c>
      <c r="AQ1414" s="28" t="s">
        <v>2125</v>
      </c>
      <c r="AR1414" s="28" t="s">
        <v>2125</v>
      </c>
      <c r="AS1414" s="28" t="s">
        <v>502</v>
      </c>
      <c r="AT1414" s="28" t="s">
        <v>970</v>
      </c>
      <c r="AU1414" s="28" t="s">
        <v>970</v>
      </c>
      <c r="AV1414" s="28" t="s">
        <v>177</v>
      </c>
      <c r="AW1414" s="28" t="s">
        <v>160</v>
      </c>
      <c r="AX1414" s="28">
        <v>6</v>
      </c>
      <c r="AZ1414" s="28" t="s">
        <v>141</v>
      </c>
      <c r="BK1414" s="28">
        <v>9520</v>
      </c>
      <c r="BL1414" s="28">
        <v>9880</v>
      </c>
      <c r="BO1414" s="28" t="s">
        <v>132</v>
      </c>
      <c r="BP1414" s="401"/>
      <c r="BQ1414" s="401"/>
      <c r="BU1414" s="401"/>
      <c r="BV1414" s="401"/>
      <c r="CE1414" s="554"/>
      <c r="CF1414" s="554"/>
      <c r="CG1414" s="554"/>
      <c r="CH1414" s="554"/>
    </row>
    <row r="1415" spans="1:262" s="28" customFormat="1" x14ac:dyDescent="0.25">
      <c r="A1415" s="28">
        <v>64</v>
      </c>
      <c r="B1415" s="46" t="s">
        <v>4045</v>
      </c>
      <c r="C1415" s="28" t="s">
        <v>966</v>
      </c>
      <c r="D1415" s="28" t="s">
        <v>967</v>
      </c>
      <c r="E1415" s="28">
        <v>2005</v>
      </c>
      <c r="F1415" s="28">
        <v>2001</v>
      </c>
      <c r="G1415" s="28" t="s">
        <v>329</v>
      </c>
      <c r="H1415" s="28" t="s">
        <v>969</v>
      </c>
      <c r="I1415" s="32" t="s">
        <v>2815</v>
      </c>
      <c r="J1415" s="28">
        <f t="shared" si="253"/>
        <v>32.416666666666664</v>
      </c>
      <c r="K1415" s="28">
        <f t="shared" si="254"/>
        <v>-85.6</v>
      </c>
      <c r="L1415" s="28">
        <f t="shared" ref="L1415:L1418" si="255">(69.8+70.1+68.5+69.4+69.6)/5</f>
        <v>69.47999999999999</v>
      </c>
      <c r="R1415" s="46" t="s">
        <v>1847</v>
      </c>
      <c r="S1415" s="46" t="s">
        <v>1858</v>
      </c>
      <c r="U1415" s="46" t="s">
        <v>1994</v>
      </c>
      <c r="V1415" s="46" t="s">
        <v>1389</v>
      </c>
      <c r="W1415" s="46" t="s">
        <v>1720</v>
      </c>
      <c r="X1415" s="46" t="s">
        <v>1394</v>
      </c>
      <c r="Y1415" s="46" t="s">
        <v>1389</v>
      </c>
      <c r="Z1415" s="28">
        <v>1.5</v>
      </c>
      <c r="AA1415" s="326">
        <f t="shared" ref="AA1415:AA1418" si="256">(519+556+573+552+533)/5/1000*100</f>
        <v>54.66</v>
      </c>
      <c r="AB1415" s="326">
        <f t="shared" ref="AB1415:AB1418" si="257">100-AA1415-(182+191+143+193+211)/5/1000*100</f>
        <v>26.940000000000005</v>
      </c>
      <c r="AC1415" s="28" t="s">
        <v>139</v>
      </c>
      <c r="AD1415" s="28">
        <v>6.5</v>
      </c>
      <c r="AE1415" s="28">
        <f t="shared" ref="AE1415:AE1418" si="258">(26.4+23.85+24.1+20.38+24.08)/5*1/(100*100*0.3*1.5)*100</f>
        <v>0.52804444444444432</v>
      </c>
      <c r="AG1415" s="28" t="s">
        <v>1350</v>
      </c>
      <c r="AH1415" s="28" t="s">
        <v>635</v>
      </c>
      <c r="AI1415" s="138" t="s">
        <v>635</v>
      </c>
      <c r="AJ1415" s="28" t="s">
        <v>584</v>
      </c>
      <c r="AK1415" s="141" t="s">
        <v>1620</v>
      </c>
      <c r="AL1415" s="28" t="s">
        <v>974</v>
      </c>
      <c r="AM1415" s="28" t="s">
        <v>974</v>
      </c>
      <c r="AN1415" s="28" t="s">
        <v>177</v>
      </c>
      <c r="AO1415" s="28" t="s">
        <v>487</v>
      </c>
      <c r="AP1415" s="28" t="s">
        <v>971</v>
      </c>
      <c r="AQ1415" s="28" t="s">
        <v>2125</v>
      </c>
      <c r="AR1415" s="28" t="s">
        <v>2125</v>
      </c>
      <c r="AS1415" s="28" t="s">
        <v>502</v>
      </c>
      <c r="AT1415" s="28" t="s">
        <v>970</v>
      </c>
      <c r="AU1415" s="28" t="s">
        <v>970</v>
      </c>
      <c r="AV1415" s="28" t="s">
        <v>177</v>
      </c>
      <c r="AW1415" s="28" t="s">
        <v>160</v>
      </c>
      <c r="AX1415" s="28">
        <v>6</v>
      </c>
      <c r="AZ1415" s="28" t="s">
        <v>141</v>
      </c>
      <c r="BK1415" s="28">
        <v>2760</v>
      </c>
      <c r="BL1415" s="28">
        <v>3100</v>
      </c>
      <c r="BO1415" s="28" t="s">
        <v>976</v>
      </c>
      <c r="BP1415" s="401"/>
      <c r="BQ1415" s="401"/>
      <c r="BU1415" s="401"/>
      <c r="BV1415" s="401"/>
      <c r="CE1415" s="554"/>
      <c r="CF1415" s="554"/>
      <c r="CG1415" s="554"/>
      <c r="CH1415" s="554"/>
    </row>
    <row r="1416" spans="1:262" s="28" customFormat="1" x14ac:dyDescent="0.25">
      <c r="A1416" s="28">
        <v>64</v>
      </c>
      <c r="B1416" s="46" t="s">
        <v>4046</v>
      </c>
      <c r="C1416" s="28" t="s">
        <v>966</v>
      </c>
      <c r="D1416" s="28" t="s">
        <v>967</v>
      </c>
      <c r="E1416" s="28">
        <v>2005</v>
      </c>
      <c r="F1416" s="28">
        <v>2002</v>
      </c>
      <c r="G1416" s="28" t="s">
        <v>329</v>
      </c>
      <c r="H1416" s="28" t="s">
        <v>969</v>
      </c>
      <c r="I1416" s="32" t="s">
        <v>2815</v>
      </c>
      <c r="J1416" s="28">
        <f t="shared" si="253"/>
        <v>32.416666666666664</v>
      </c>
      <c r="K1416" s="28">
        <f t="shared" si="254"/>
        <v>-85.6</v>
      </c>
      <c r="L1416" s="28">
        <f t="shared" si="255"/>
        <v>69.47999999999999</v>
      </c>
      <c r="R1416" s="46" t="s">
        <v>1728</v>
      </c>
      <c r="S1416" s="46" t="s">
        <v>1858</v>
      </c>
      <c r="U1416" s="46" t="s">
        <v>1994</v>
      </c>
      <c r="V1416" s="46" t="s">
        <v>1394</v>
      </c>
      <c r="W1416" s="46" t="s">
        <v>1722</v>
      </c>
      <c r="X1416" s="46" t="s">
        <v>1394</v>
      </c>
      <c r="Y1416" s="46" t="s">
        <v>1389</v>
      </c>
      <c r="Z1416" s="28">
        <v>1.5</v>
      </c>
      <c r="AA1416" s="326">
        <f t="shared" si="256"/>
        <v>54.66</v>
      </c>
      <c r="AB1416" s="326">
        <f t="shared" si="257"/>
        <v>26.940000000000005</v>
      </c>
      <c r="AC1416" s="28" t="s">
        <v>139</v>
      </c>
      <c r="AD1416" s="28">
        <v>6.5</v>
      </c>
      <c r="AE1416" s="28">
        <f t="shared" si="258"/>
        <v>0.52804444444444432</v>
      </c>
      <c r="AG1416" s="28" t="s">
        <v>1350</v>
      </c>
      <c r="AH1416" s="28" t="s">
        <v>635</v>
      </c>
      <c r="AI1416" s="138" t="s">
        <v>635</v>
      </c>
      <c r="AJ1416" s="28" t="s">
        <v>584</v>
      </c>
      <c r="AK1416" s="141" t="s">
        <v>1620</v>
      </c>
      <c r="AL1416" s="28" t="s">
        <v>974</v>
      </c>
      <c r="AM1416" s="28" t="s">
        <v>974</v>
      </c>
      <c r="AN1416" s="28" t="s">
        <v>177</v>
      </c>
      <c r="AO1416" s="28" t="s">
        <v>487</v>
      </c>
      <c r="AP1416" s="28" t="s">
        <v>971</v>
      </c>
      <c r="AQ1416" s="28" t="s">
        <v>2125</v>
      </c>
      <c r="AR1416" s="28" t="s">
        <v>2125</v>
      </c>
      <c r="AS1416" s="28" t="s">
        <v>502</v>
      </c>
      <c r="AT1416" s="28" t="s">
        <v>970</v>
      </c>
      <c r="AU1416" s="28" t="s">
        <v>970</v>
      </c>
      <c r="AV1416" s="28" t="s">
        <v>177</v>
      </c>
      <c r="AW1416" s="28" t="s">
        <v>160</v>
      </c>
      <c r="AX1416" s="28">
        <v>6</v>
      </c>
      <c r="AZ1416" s="28" t="s">
        <v>141</v>
      </c>
      <c r="BK1416" s="28">
        <v>1260</v>
      </c>
      <c r="BL1416" s="28">
        <v>1610</v>
      </c>
      <c r="BO1416" s="28" t="s">
        <v>976</v>
      </c>
      <c r="BP1416" s="401">
        <v>1.35</v>
      </c>
      <c r="BQ1416" s="401">
        <v>1.39</v>
      </c>
      <c r="BU1416" s="401">
        <f>(BZ1416*1000000)/(100*100*BP1416*W1416/100*1000000)*100</f>
        <v>0.74370370370370376</v>
      </c>
      <c r="BV1416" s="401">
        <f>(CA1416*1000000)/(100*100*BQ1416*W1416/100*1000000)*100</f>
        <v>1.0964028776978421</v>
      </c>
      <c r="BZ1416" s="401">
        <f>5.02</f>
        <v>5.0199999999999996</v>
      </c>
      <c r="CA1416" s="401">
        <f>7.62</f>
        <v>7.62</v>
      </c>
      <c r="CD1416" s="28" t="s">
        <v>4425</v>
      </c>
      <c r="CE1416" s="401">
        <f>5.02</f>
        <v>5.0199999999999996</v>
      </c>
      <c r="CF1416" s="401">
        <f>7.62</f>
        <v>7.62</v>
      </c>
      <c r="CG1416" s="554"/>
      <c r="CH1416" s="554"/>
      <c r="CI1416" s="28" t="s">
        <v>4550</v>
      </c>
    </row>
    <row r="1417" spans="1:262" s="28" customFormat="1" x14ac:dyDescent="0.25">
      <c r="A1417" s="28">
        <v>64</v>
      </c>
      <c r="B1417" s="46" t="s">
        <v>4047</v>
      </c>
      <c r="C1417" s="28" t="s">
        <v>966</v>
      </c>
      <c r="D1417" s="28" t="s">
        <v>967</v>
      </c>
      <c r="E1417" s="28">
        <v>2005</v>
      </c>
      <c r="F1417" s="28">
        <v>2002</v>
      </c>
      <c r="G1417" s="28" t="s">
        <v>329</v>
      </c>
      <c r="H1417" s="28" t="s">
        <v>969</v>
      </c>
      <c r="I1417" s="32" t="s">
        <v>2815</v>
      </c>
      <c r="J1417" s="28">
        <f t="shared" si="253"/>
        <v>32.416666666666664</v>
      </c>
      <c r="K1417" s="28">
        <f t="shared" si="254"/>
        <v>-85.6</v>
      </c>
      <c r="L1417" s="28">
        <f t="shared" si="255"/>
        <v>69.47999999999999</v>
      </c>
      <c r="R1417" s="46" t="s">
        <v>1728</v>
      </c>
      <c r="S1417" s="46" t="s">
        <v>1858</v>
      </c>
      <c r="U1417" s="46" t="s">
        <v>1994</v>
      </c>
      <c r="V1417" s="46" t="s">
        <v>1412</v>
      </c>
      <c r="W1417" s="46" t="s">
        <v>1719</v>
      </c>
      <c r="X1417" s="46" t="s">
        <v>1394</v>
      </c>
      <c r="Y1417" s="46" t="s">
        <v>1389</v>
      </c>
      <c r="Z1417" s="28">
        <v>1.5</v>
      </c>
      <c r="AA1417" s="326">
        <f t="shared" si="256"/>
        <v>54.66</v>
      </c>
      <c r="AB1417" s="326">
        <f t="shared" si="257"/>
        <v>26.940000000000005</v>
      </c>
      <c r="AC1417" s="28" t="s">
        <v>139</v>
      </c>
      <c r="AD1417" s="28">
        <v>6.5</v>
      </c>
      <c r="AE1417" s="28">
        <f t="shared" si="258"/>
        <v>0.52804444444444432</v>
      </c>
      <c r="AG1417" s="28" t="s">
        <v>1350</v>
      </c>
      <c r="AH1417" s="28" t="s">
        <v>635</v>
      </c>
      <c r="AI1417" s="138" t="s">
        <v>635</v>
      </c>
      <c r="AJ1417" s="28" t="s">
        <v>132</v>
      </c>
      <c r="AK1417" s="141" t="s">
        <v>1620</v>
      </c>
      <c r="AL1417" s="28" t="s">
        <v>974</v>
      </c>
      <c r="AM1417" s="28" t="s">
        <v>974</v>
      </c>
      <c r="AN1417" s="28" t="s">
        <v>177</v>
      </c>
      <c r="AO1417" s="28" t="s">
        <v>487</v>
      </c>
      <c r="AP1417" s="28" t="s">
        <v>971</v>
      </c>
      <c r="AQ1417" s="28" t="s">
        <v>2125</v>
      </c>
      <c r="AR1417" s="28" t="s">
        <v>2125</v>
      </c>
      <c r="AS1417" s="28" t="s">
        <v>502</v>
      </c>
      <c r="AT1417" s="28" t="s">
        <v>970</v>
      </c>
      <c r="AU1417" s="28" t="s">
        <v>970</v>
      </c>
      <c r="AV1417" s="28" t="s">
        <v>177</v>
      </c>
      <c r="AW1417" s="28" t="s">
        <v>160</v>
      </c>
      <c r="AX1417" s="28">
        <v>6</v>
      </c>
      <c r="AZ1417" s="28" t="s">
        <v>141</v>
      </c>
      <c r="BK1417" s="28">
        <v>6770</v>
      </c>
      <c r="BL1417" s="28">
        <v>8720</v>
      </c>
      <c r="BO1417" s="28" t="s">
        <v>132</v>
      </c>
      <c r="BP1417" s="401">
        <v>1.57</v>
      </c>
      <c r="BQ1417" s="401">
        <v>1.62</v>
      </c>
      <c r="BU1417" s="401">
        <f>(BZ1417*1000000)/(100*100*BP1417*W1417/100*1000000)*100</f>
        <v>0.61210191082802545</v>
      </c>
      <c r="BV1417" s="401">
        <f>(CA1417*1000000)/(100*100*BQ1417*W1417/100*1000000)*100</f>
        <v>0.58148148148148149</v>
      </c>
      <c r="BZ1417" s="401">
        <f>9.61</f>
        <v>9.61</v>
      </c>
      <c r="CA1417" s="401">
        <f>9.42</f>
        <v>9.42</v>
      </c>
      <c r="CD1417" s="28" t="s">
        <v>4425</v>
      </c>
      <c r="CE1417" s="401">
        <f>9.61</f>
        <v>9.61</v>
      </c>
      <c r="CF1417" s="401">
        <f>9.42</f>
        <v>9.42</v>
      </c>
      <c r="CG1417" s="554"/>
      <c r="CH1417" s="554"/>
      <c r="CI1417" s="28" t="s">
        <v>4550</v>
      </c>
    </row>
    <row r="1418" spans="1:262" s="28" customFormat="1" x14ac:dyDescent="0.25">
      <c r="A1418" s="28">
        <v>64</v>
      </c>
      <c r="B1418" s="46" t="s">
        <v>4048</v>
      </c>
      <c r="C1418" s="28" t="s">
        <v>966</v>
      </c>
      <c r="D1418" s="28" t="s">
        <v>967</v>
      </c>
      <c r="E1418" s="28">
        <v>2005</v>
      </c>
      <c r="F1418" s="28">
        <v>2002</v>
      </c>
      <c r="G1418" s="28" t="s">
        <v>329</v>
      </c>
      <c r="H1418" s="28" t="s">
        <v>969</v>
      </c>
      <c r="I1418" s="32" t="s">
        <v>2815</v>
      </c>
      <c r="J1418" s="28">
        <f t="shared" si="253"/>
        <v>32.416666666666664</v>
      </c>
      <c r="K1418" s="28">
        <f t="shared" si="254"/>
        <v>-85.6</v>
      </c>
      <c r="L1418" s="28">
        <f t="shared" si="255"/>
        <v>69.47999999999999</v>
      </c>
      <c r="R1418" s="46" t="s">
        <v>1728</v>
      </c>
      <c r="S1418" s="46" t="s">
        <v>1858</v>
      </c>
      <c r="U1418" s="46" t="s">
        <v>1994</v>
      </c>
      <c r="V1418" s="46" t="s">
        <v>1390</v>
      </c>
      <c r="W1418" s="46" t="s">
        <v>1717</v>
      </c>
      <c r="X1418" s="46" t="s">
        <v>1394</v>
      </c>
      <c r="Y1418" s="46" t="s">
        <v>1389</v>
      </c>
      <c r="Z1418" s="28">
        <v>1.5</v>
      </c>
      <c r="AA1418" s="326">
        <f t="shared" si="256"/>
        <v>54.66</v>
      </c>
      <c r="AB1418" s="326">
        <f t="shared" si="257"/>
        <v>26.940000000000005</v>
      </c>
      <c r="AC1418" s="28" t="s">
        <v>139</v>
      </c>
      <c r="AD1418" s="28">
        <v>6.5</v>
      </c>
      <c r="AE1418" s="28">
        <f t="shared" si="258"/>
        <v>0.52804444444444432</v>
      </c>
      <c r="AG1418" s="28" t="s">
        <v>1350</v>
      </c>
      <c r="AH1418" s="28" t="s">
        <v>635</v>
      </c>
      <c r="AI1418" s="138" t="s">
        <v>635</v>
      </c>
      <c r="AJ1418" s="28" t="s">
        <v>584</v>
      </c>
      <c r="AK1418" s="141" t="s">
        <v>1620</v>
      </c>
      <c r="AL1418" s="28" t="s">
        <v>974</v>
      </c>
      <c r="AM1418" s="28" t="s">
        <v>974</v>
      </c>
      <c r="AN1418" s="28" t="s">
        <v>177</v>
      </c>
      <c r="AO1418" s="28" t="s">
        <v>487</v>
      </c>
      <c r="AP1418" s="28" t="s">
        <v>971</v>
      </c>
      <c r="AQ1418" s="28" t="s">
        <v>2125</v>
      </c>
      <c r="AR1418" s="28" t="s">
        <v>2125</v>
      </c>
      <c r="AS1418" s="28" t="s">
        <v>502</v>
      </c>
      <c r="AT1418" s="28" t="s">
        <v>970</v>
      </c>
      <c r="AU1418" s="28" t="s">
        <v>970</v>
      </c>
      <c r="AV1418" s="28" t="s">
        <v>177</v>
      </c>
      <c r="AW1418" s="28" t="s">
        <v>160</v>
      </c>
      <c r="AX1418" s="28">
        <v>6</v>
      </c>
      <c r="AZ1418" s="28" t="s">
        <v>141</v>
      </c>
      <c r="BP1418" s="401">
        <v>1.59</v>
      </c>
      <c r="BQ1418" s="401">
        <v>1.57</v>
      </c>
      <c r="BU1418" s="401">
        <f>(BZ1418*1000000)/(100*100*BP1418*W1418/100*1000000)*100</f>
        <v>0.36771488469601676</v>
      </c>
      <c r="BV1418" s="401">
        <f>(CA1418*1000000)/(100*100*BQ1418*W1418/100*1000000)*100</f>
        <v>0.38556263269639063</v>
      </c>
      <c r="BZ1418" s="401">
        <f>8.77</f>
        <v>8.77</v>
      </c>
      <c r="CA1418" s="401">
        <f>9.08</f>
        <v>9.08</v>
      </c>
      <c r="CD1418" s="28" t="s">
        <v>4425</v>
      </c>
      <c r="CE1418" s="401">
        <f>8.77</f>
        <v>8.77</v>
      </c>
      <c r="CF1418" s="401">
        <f>9.08</f>
        <v>9.08</v>
      </c>
      <c r="CG1418" s="554"/>
      <c r="CH1418" s="554"/>
      <c r="CI1418" s="28" t="s">
        <v>4550</v>
      </c>
    </row>
    <row r="1419" spans="1:262" s="21" customFormat="1" x14ac:dyDescent="0.25">
      <c r="A1419" s="21">
        <v>64</v>
      </c>
      <c r="B1419" s="43" t="s">
        <v>4044</v>
      </c>
      <c r="C1419" s="21" t="s">
        <v>966</v>
      </c>
      <c r="D1419" s="21" t="s">
        <v>967</v>
      </c>
      <c r="E1419" s="21">
        <v>2005</v>
      </c>
      <c r="F1419" s="21">
        <v>2001</v>
      </c>
      <c r="G1419" s="21" t="s">
        <v>329</v>
      </c>
      <c r="H1419" s="21" t="s">
        <v>969</v>
      </c>
      <c r="I1419" s="32" t="s">
        <v>2815</v>
      </c>
      <c r="J1419" s="21">
        <f t="shared" si="253"/>
        <v>32.416666666666664</v>
      </c>
      <c r="K1419" s="21">
        <f t="shared" si="254"/>
        <v>-85.6</v>
      </c>
      <c r="L1419" s="21">
        <v>69.47999999999999</v>
      </c>
      <c r="R1419" s="43" t="s">
        <v>1847</v>
      </c>
      <c r="S1419" s="43" t="s">
        <v>1858</v>
      </c>
      <c r="U1419" s="43" t="s">
        <v>1994</v>
      </c>
      <c r="V1419" s="43" t="s">
        <v>1389</v>
      </c>
      <c r="W1419" s="43" t="s">
        <v>1720</v>
      </c>
      <c r="X1419" s="43" t="s">
        <v>1394</v>
      </c>
      <c r="Y1419" s="43" t="s">
        <v>1389</v>
      </c>
      <c r="Z1419" s="21">
        <v>1.5</v>
      </c>
      <c r="AA1419" s="322">
        <v>54.66</v>
      </c>
      <c r="AB1419" s="322">
        <v>26.940000000000005</v>
      </c>
      <c r="AC1419" s="21" t="s">
        <v>139</v>
      </c>
      <c r="AD1419" s="21">
        <v>6.5</v>
      </c>
      <c r="AE1419" s="21">
        <v>0.52804444444444432</v>
      </c>
      <c r="AG1419" s="21" t="s">
        <v>1350</v>
      </c>
      <c r="AH1419" s="21" t="s">
        <v>635</v>
      </c>
      <c r="AI1419" s="138" t="s">
        <v>635</v>
      </c>
      <c r="AJ1419" s="21" t="s">
        <v>132</v>
      </c>
      <c r="AK1419" s="141" t="s">
        <v>1620</v>
      </c>
      <c r="AL1419" s="21" t="s">
        <v>974</v>
      </c>
      <c r="AM1419" s="21" t="s">
        <v>974</v>
      </c>
      <c r="AN1419" s="21" t="s">
        <v>177</v>
      </c>
      <c r="AO1419" s="21" t="s">
        <v>487</v>
      </c>
      <c r="AP1419" s="21" t="s">
        <v>971</v>
      </c>
      <c r="AQ1419" s="21" t="s">
        <v>2125</v>
      </c>
      <c r="AR1419" s="21" t="s">
        <v>2125</v>
      </c>
      <c r="AS1419" s="21" t="s">
        <v>502</v>
      </c>
      <c r="AT1419" s="21" t="s">
        <v>972</v>
      </c>
      <c r="AU1419" s="21" t="s">
        <v>975</v>
      </c>
      <c r="AV1419" s="21" t="s">
        <v>177</v>
      </c>
      <c r="AW1419" s="21" t="s">
        <v>160</v>
      </c>
      <c r="AX1419" s="21">
        <v>6</v>
      </c>
      <c r="AZ1419" s="21" t="s">
        <v>141</v>
      </c>
      <c r="BK1419" s="21">
        <v>9990</v>
      </c>
      <c r="BL1419" s="21">
        <v>10010</v>
      </c>
      <c r="BO1419" s="21" t="s">
        <v>132</v>
      </c>
      <c r="BP1419" s="396"/>
      <c r="BQ1419" s="396"/>
      <c r="BZ1419" s="396"/>
      <c r="CA1419" s="396"/>
      <c r="CE1419" s="396"/>
      <c r="CF1419" s="396"/>
      <c r="CG1419" s="549"/>
      <c r="CH1419" s="549"/>
    </row>
    <row r="1420" spans="1:262" s="21" customFormat="1" x14ac:dyDescent="0.25">
      <c r="A1420" s="21">
        <v>64</v>
      </c>
      <c r="B1420" s="43" t="s">
        <v>4045</v>
      </c>
      <c r="C1420" s="21" t="s">
        <v>966</v>
      </c>
      <c r="D1420" s="21" t="s">
        <v>967</v>
      </c>
      <c r="E1420" s="21">
        <v>2005</v>
      </c>
      <c r="F1420" s="21">
        <v>2001</v>
      </c>
      <c r="G1420" s="21" t="s">
        <v>329</v>
      </c>
      <c r="H1420" s="21" t="s">
        <v>969</v>
      </c>
      <c r="I1420" s="32" t="s">
        <v>2815</v>
      </c>
      <c r="J1420" s="21">
        <f t="shared" si="253"/>
        <v>32.416666666666664</v>
      </c>
      <c r="K1420" s="21">
        <f t="shared" si="254"/>
        <v>-85.6</v>
      </c>
      <c r="L1420" s="21">
        <v>69.47999999999999</v>
      </c>
      <c r="R1420" s="43" t="s">
        <v>1847</v>
      </c>
      <c r="S1420" s="43" t="s">
        <v>1858</v>
      </c>
      <c r="U1420" s="43" t="s">
        <v>1994</v>
      </c>
      <c r="V1420" s="43" t="s">
        <v>1389</v>
      </c>
      <c r="W1420" s="43" t="s">
        <v>1720</v>
      </c>
      <c r="X1420" s="43" t="s">
        <v>1394</v>
      </c>
      <c r="Y1420" s="43" t="s">
        <v>1389</v>
      </c>
      <c r="Z1420" s="21">
        <v>1.5</v>
      </c>
      <c r="AA1420" s="322">
        <v>54.66</v>
      </c>
      <c r="AB1420" s="322">
        <v>26.940000000000005</v>
      </c>
      <c r="AC1420" s="21" t="s">
        <v>139</v>
      </c>
      <c r="AD1420" s="21">
        <v>6.5</v>
      </c>
      <c r="AE1420" s="21">
        <v>0.52804444444444432</v>
      </c>
      <c r="AG1420" s="21" t="s">
        <v>1350</v>
      </c>
      <c r="AH1420" s="21" t="s">
        <v>635</v>
      </c>
      <c r="AI1420" s="138" t="s">
        <v>635</v>
      </c>
      <c r="AJ1420" s="21" t="s">
        <v>584</v>
      </c>
      <c r="AK1420" s="141" t="s">
        <v>1620</v>
      </c>
      <c r="AL1420" s="21" t="s">
        <v>974</v>
      </c>
      <c r="AM1420" s="21" t="s">
        <v>974</v>
      </c>
      <c r="AN1420" s="21" t="s">
        <v>177</v>
      </c>
      <c r="AO1420" s="21" t="s">
        <v>487</v>
      </c>
      <c r="AP1420" s="21" t="s">
        <v>971</v>
      </c>
      <c r="AQ1420" s="21" t="s">
        <v>2125</v>
      </c>
      <c r="AR1420" s="21" t="s">
        <v>2125</v>
      </c>
      <c r="AS1420" s="21" t="s">
        <v>502</v>
      </c>
      <c r="AT1420" s="21" t="s">
        <v>972</v>
      </c>
      <c r="AU1420" s="21" t="s">
        <v>975</v>
      </c>
      <c r="AV1420" s="21" t="s">
        <v>177</v>
      </c>
      <c r="AW1420" s="21" t="s">
        <v>160</v>
      </c>
      <c r="AX1420" s="21">
        <v>6</v>
      </c>
      <c r="AZ1420" s="21" t="s">
        <v>141</v>
      </c>
      <c r="BK1420" s="21">
        <v>2900</v>
      </c>
      <c r="BL1420" s="21">
        <v>3140</v>
      </c>
      <c r="BO1420" s="21" t="s">
        <v>584</v>
      </c>
      <c r="BP1420" s="396"/>
      <c r="BQ1420" s="396"/>
      <c r="BZ1420" s="396"/>
      <c r="CA1420" s="396"/>
      <c r="CE1420" s="396"/>
      <c r="CF1420" s="396"/>
      <c r="CG1420" s="549"/>
      <c r="CH1420" s="549"/>
    </row>
    <row r="1421" spans="1:262" s="21" customFormat="1" x14ac:dyDescent="0.25">
      <c r="A1421" s="21">
        <v>64</v>
      </c>
      <c r="B1421" s="43" t="s">
        <v>4046</v>
      </c>
      <c r="C1421" s="21" t="s">
        <v>966</v>
      </c>
      <c r="D1421" s="21" t="s">
        <v>967</v>
      </c>
      <c r="E1421" s="21">
        <v>2005</v>
      </c>
      <c r="F1421" s="21">
        <v>2002</v>
      </c>
      <c r="G1421" s="21" t="s">
        <v>329</v>
      </c>
      <c r="H1421" s="21" t="s">
        <v>969</v>
      </c>
      <c r="I1421" s="32" t="s">
        <v>2815</v>
      </c>
      <c r="J1421" s="21">
        <f t="shared" si="253"/>
        <v>32.416666666666664</v>
      </c>
      <c r="K1421" s="21">
        <f t="shared" si="254"/>
        <v>-85.6</v>
      </c>
      <c r="L1421" s="21">
        <v>69.47999999999999</v>
      </c>
      <c r="R1421" s="43" t="s">
        <v>1728</v>
      </c>
      <c r="S1421" s="43" t="s">
        <v>1858</v>
      </c>
      <c r="U1421" s="43" t="s">
        <v>1994</v>
      </c>
      <c r="V1421" s="43" t="s">
        <v>1394</v>
      </c>
      <c r="W1421" s="43" t="s">
        <v>1722</v>
      </c>
      <c r="X1421" s="43" t="s">
        <v>1394</v>
      </c>
      <c r="Y1421" s="43" t="s">
        <v>1389</v>
      </c>
      <c r="Z1421" s="21">
        <v>1.5</v>
      </c>
      <c r="AA1421" s="322">
        <v>54.66</v>
      </c>
      <c r="AB1421" s="322">
        <v>26.940000000000005</v>
      </c>
      <c r="AC1421" s="21" t="s">
        <v>139</v>
      </c>
      <c r="AD1421" s="21">
        <v>6.5</v>
      </c>
      <c r="AE1421" s="21">
        <v>0.52804444444444432</v>
      </c>
      <c r="AG1421" s="21" t="s">
        <v>1350</v>
      </c>
      <c r="AH1421" s="21" t="s">
        <v>635</v>
      </c>
      <c r="AI1421" s="138" t="s">
        <v>635</v>
      </c>
      <c r="AJ1421" s="21" t="s">
        <v>584</v>
      </c>
      <c r="AK1421" s="141" t="s">
        <v>1620</v>
      </c>
      <c r="AL1421" s="21" t="s">
        <v>974</v>
      </c>
      <c r="AM1421" s="21" t="s">
        <v>974</v>
      </c>
      <c r="AN1421" s="21" t="s">
        <v>177</v>
      </c>
      <c r="AO1421" s="21" t="s">
        <v>487</v>
      </c>
      <c r="AP1421" s="21" t="s">
        <v>971</v>
      </c>
      <c r="AQ1421" s="21" t="s">
        <v>2125</v>
      </c>
      <c r="AR1421" s="21" t="s">
        <v>2125</v>
      </c>
      <c r="AS1421" s="21" t="s">
        <v>502</v>
      </c>
      <c r="AT1421" s="21" t="s">
        <v>972</v>
      </c>
      <c r="AU1421" s="21" t="s">
        <v>975</v>
      </c>
      <c r="AV1421" s="21" t="s">
        <v>177</v>
      </c>
      <c r="AW1421" s="21" t="s">
        <v>160</v>
      </c>
      <c r="AX1421" s="21">
        <v>6</v>
      </c>
      <c r="AZ1421" s="21" t="s">
        <v>141</v>
      </c>
      <c r="BK1421" s="21">
        <v>1350</v>
      </c>
      <c r="BL1421" s="21">
        <v>1630</v>
      </c>
      <c r="BO1421" s="21" t="s">
        <v>584</v>
      </c>
      <c r="BP1421" s="396">
        <v>1.28</v>
      </c>
      <c r="BQ1421" s="396">
        <v>1.3</v>
      </c>
      <c r="BU1421" s="401">
        <f>(BZ1421*1000000)/(100*100*BP1421*W1421/100*1000000)*100</f>
        <v>1.14375</v>
      </c>
      <c r="BV1421" s="401">
        <f>(CA1421*1000000)/(100*100*BQ1421*W1421/100*1000000)*100</f>
        <v>1.9861538461538462</v>
      </c>
      <c r="BZ1421" s="396">
        <f>7.32</f>
        <v>7.32</v>
      </c>
      <c r="CA1421" s="396">
        <f>12.91</f>
        <v>12.91</v>
      </c>
      <c r="CD1421" s="21" t="s">
        <v>4425</v>
      </c>
      <c r="CE1421" s="396">
        <f>7.32</f>
        <v>7.32</v>
      </c>
      <c r="CF1421" s="396">
        <f>12.91</f>
        <v>12.91</v>
      </c>
      <c r="CG1421" s="549"/>
      <c r="CH1421" s="549"/>
      <c r="CI1421" s="21" t="s">
        <v>4550</v>
      </c>
    </row>
    <row r="1422" spans="1:262" s="21" customFormat="1" x14ac:dyDescent="0.25">
      <c r="A1422" s="21">
        <v>64</v>
      </c>
      <c r="B1422" s="43" t="s">
        <v>4047</v>
      </c>
      <c r="C1422" s="21" t="s">
        <v>966</v>
      </c>
      <c r="D1422" s="21" t="s">
        <v>967</v>
      </c>
      <c r="E1422" s="21">
        <v>2005</v>
      </c>
      <c r="F1422" s="21">
        <v>2002</v>
      </c>
      <c r="G1422" s="21" t="s">
        <v>329</v>
      </c>
      <c r="H1422" s="21" t="s">
        <v>969</v>
      </c>
      <c r="I1422" s="32" t="s">
        <v>2815</v>
      </c>
      <c r="J1422" s="21">
        <f t="shared" si="253"/>
        <v>32.416666666666664</v>
      </c>
      <c r="K1422" s="21">
        <f t="shared" si="254"/>
        <v>-85.6</v>
      </c>
      <c r="L1422" s="21">
        <v>69.47999999999999</v>
      </c>
      <c r="R1422" s="43" t="s">
        <v>1728</v>
      </c>
      <c r="S1422" s="43" t="s">
        <v>1858</v>
      </c>
      <c r="U1422" s="43" t="s">
        <v>1994</v>
      </c>
      <c r="V1422" s="43" t="s">
        <v>1412</v>
      </c>
      <c r="W1422" s="43" t="s">
        <v>1719</v>
      </c>
      <c r="X1422" s="43" t="s">
        <v>1394</v>
      </c>
      <c r="Y1422" s="43" t="s">
        <v>1389</v>
      </c>
      <c r="Z1422" s="21">
        <v>1.5</v>
      </c>
      <c r="AA1422" s="322">
        <v>54.66</v>
      </c>
      <c r="AB1422" s="322">
        <v>26.940000000000005</v>
      </c>
      <c r="AC1422" s="21" t="s">
        <v>139</v>
      </c>
      <c r="AD1422" s="21">
        <v>6.5</v>
      </c>
      <c r="AE1422" s="21">
        <v>0.52804444444444432</v>
      </c>
      <c r="AG1422" s="21" t="s">
        <v>1350</v>
      </c>
      <c r="AH1422" s="21" t="s">
        <v>635</v>
      </c>
      <c r="AI1422" s="138" t="s">
        <v>635</v>
      </c>
      <c r="AJ1422" s="21" t="s">
        <v>132</v>
      </c>
      <c r="AK1422" s="141" t="s">
        <v>1620</v>
      </c>
      <c r="AL1422" s="21" t="s">
        <v>974</v>
      </c>
      <c r="AM1422" s="21" t="s">
        <v>974</v>
      </c>
      <c r="AN1422" s="21" t="s">
        <v>177</v>
      </c>
      <c r="AO1422" s="21" t="s">
        <v>487</v>
      </c>
      <c r="AP1422" s="21" t="s">
        <v>971</v>
      </c>
      <c r="AQ1422" s="21" t="s">
        <v>2125</v>
      </c>
      <c r="AR1422" s="21" t="s">
        <v>2125</v>
      </c>
      <c r="AS1422" s="21" t="s">
        <v>502</v>
      </c>
      <c r="AT1422" s="21" t="s">
        <v>972</v>
      </c>
      <c r="AU1422" s="21" t="s">
        <v>975</v>
      </c>
      <c r="AV1422" s="21" t="s">
        <v>177</v>
      </c>
      <c r="AW1422" s="21" t="s">
        <v>160</v>
      </c>
      <c r="AX1422" s="21">
        <v>6</v>
      </c>
      <c r="AZ1422" s="21" t="s">
        <v>141</v>
      </c>
      <c r="BK1422" s="21">
        <v>6640</v>
      </c>
      <c r="BL1422" s="21">
        <v>9040</v>
      </c>
      <c r="BO1422" s="21" t="s">
        <v>132</v>
      </c>
      <c r="BP1422" s="396">
        <v>1.52</v>
      </c>
      <c r="BQ1422" s="396">
        <v>1.62</v>
      </c>
      <c r="BU1422" s="401">
        <f>(BZ1422*1000000)/(100*100*BP1422*W1422/100*1000000)*100</f>
        <v>0.77500000000000002</v>
      </c>
      <c r="BV1422" s="401">
        <f>(CA1422*1000000)/(100*100*BQ1422*W1422/100*1000000)*100</f>
        <v>0.60123456790123453</v>
      </c>
      <c r="BZ1422" s="396">
        <f>11.78</f>
        <v>11.78</v>
      </c>
      <c r="CA1422" s="396">
        <f>9.74</f>
        <v>9.74</v>
      </c>
      <c r="CD1422" s="21" t="s">
        <v>4425</v>
      </c>
      <c r="CE1422" s="396">
        <f>11.78</f>
        <v>11.78</v>
      </c>
      <c r="CF1422" s="396">
        <f>9.74</f>
        <v>9.74</v>
      </c>
      <c r="CG1422" s="549"/>
      <c r="CH1422" s="549"/>
      <c r="CI1422" s="21" t="s">
        <v>4550</v>
      </c>
    </row>
    <row r="1423" spans="1:262" s="21" customFormat="1" x14ac:dyDescent="0.25">
      <c r="A1423" s="21">
        <v>64</v>
      </c>
      <c r="B1423" s="43" t="s">
        <v>4048</v>
      </c>
      <c r="C1423" s="21" t="s">
        <v>966</v>
      </c>
      <c r="D1423" s="21" t="s">
        <v>967</v>
      </c>
      <c r="E1423" s="21">
        <v>2005</v>
      </c>
      <c r="F1423" s="21">
        <v>2002</v>
      </c>
      <c r="G1423" s="21" t="s">
        <v>329</v>
      </c>
      <c r="H1423" s="21" t="s">
        <v>969</v>
      </c>
      <c r="I1423" s="32" t="s">
        <v>2815</v>
      </c>
      <c r="J1423" s="21">
        <f t="shared" si="253"/>
        <v>32.416666666666664</v>
      </c>
      <c r="K1423" s="21">
        <f t="shared" si="254"/>
        <v>-85.6</v>
      </c>
      <c r="L1423" s="21">
        <v>69.47999999999999</v>
      </c>
      <c r="R1423" s="43" t="s">
        <v>1728</v>
      </c>
      <c r="S1423" s="43" t="s">
        <v>1858</v>
      </c>
      <c r="U1423" s="43" t="s">
        <v>1994</v>
      </c>
      <c r="V1423" s="43" t="s">
        <v>1390</v>
      </c>
      <c r="W1423" s="43" t="s">
        <v>1717</v>
      </c>
      <c r="X1423" s="43" t="s">
        <v>1394</v>
      </c>
      <c r="Y1423" s="43" t="s">
        <v>1389</v>
      </c>
      <c r="Z1423" s="21">
        <v>1.5</v>
      </c>
      <c r="AA1423" s="322">
        <v>54.66</v>
      </c>
      <c r="AB1423" s="322">
        <v>26.940000000000005</v>
      </c>
      <c r="AC1423" s="21" t="s">
        <v>139</v>
      </c>
      <c r="AD1423" s="21">
        <v>6.5</v>
      </c>
      <c r="AE1423" s="21">
        <v>0.52804444444444432</v>
      </c>
      <c r="AG1423" s="21" t="s">
        <v>1350</v>
      </c>
      <c r="AH1423" s="21" t="s">
        <v>635</v>
      </c>
      <c r="AI1423" s="138" t="s">
        <v>635</v>
      </c>
      <c r="AJ1423" s="21" t="s">
        <v>584</v>
      </c>
      <c r="AK1423" s="141" t="s">
        <v>1620</v>
      </c>
      <c r="AL1423" s="21" t="s">
        <v>974</v>
      </c>
      <c r="AM1423" s="21" t="s">
        <v>974</v>
      </c>
      <c r="AN1423" s="21" t="s">
        <v>177</v>
      </c>
      <c r="AO1423" s="21" t="s">
        <v>487</v>
      </c>
      <c r="AP1423" s="21" t="s">
        <v>971</v>
      </c>
      <c r="AQ1423" s="21" t="s">
        <v>2125</v>
      </c>
      <c r="AR1423" s="21" t="s">
        <v>2125</v>
      </c>
      <c r="AS1423" s="21" t="s">
        <v>502</v>
      </c>
      <c r="AT1423" s="21" t="s">
        <v>972</v>
      </c>
      <c r="AU1423" s="21" t="s">
        <v>975</v>
      </c>
      <c r="AV1423" s="21" t="s">
        <v>177</v>
      </c>
      <c r="AW1423" s="21" t="s">
        <v>160</v>
      </c>
      <c r="AX1423" s="21">
        <v>6</v>
      </c>
      <c r="AZ1423" s="21" t="s">
        <v>141</v>
      </c>
      <c r="BP1423" s="396">
        <v>1.6</v>
      </c>
      <c r="BQ1423" s="396">
        <v>1.59</v>
      </c>
      <c r="BU1423" s="401">
        <f>(BZ1423*1000000)/(100*100*BP1423*W1423/100*1000000)*100</f>
        <v>0.41250000000000003</v>
      </c>
      <c r="BV1423" s="401">
        <f>(CA1423*1000000)/(100*100*BQ1423*W1423/100*1000000)*100</f>
        <v>0.41635220125786165</v>
      </c>
      <c r="BZ1423" s="396">
        <f>9.9</f>
        <v>9.9</v>
      </c>
      <c r="CA1423" s="396">
        <f>9.93</f>
        <v>9.93</v>
      </c>
      <c r="CD1423" s="21" t="s">
        <v>4425</v>
      </c>
      <c r="CE1423" s="396">
        <f>9.9</f>
        <v>9.9</v>
      </c>
      <c r="CF1423" s="396">
        <f>9.93</f>
        <v>9.93</v>
      </c>
      <c r="CG1423" s="549"/>
      <c r="CH1423" s="549"/>
      <c r="CI1423" s="21" t="s">
        <v>4550</v>
      </c>
    </row>
    <row r="1424" spans="1:262" s="24" customFormat="1" x14ac:dyDescent="0.25">
      <c r="A1424" s="24">
        <v>65</v>
      </c>
      <c r="B1424" s="42" t="s">
        <v>4049</v>
      </c>
      <c r="C1424" s="24" t="s">
        <v>980</v>
      </c>
      <c r="D1424" s="24" t="s">
        <v>979</v>
      </c>
      <c r="E1424" s="24">
        <v>1998</v>
      </c>
      <c r="F1424" s="24">
        <v>1992</v>
      </c>
      <c r="G1424" s="24" t="s">
        <v>978</v>
      </c>
      <c r="H1424" s="24" t="s">
        <v>981</v>
      </c>
      <c r="I1424" s="32" t="s">
        <v>2815</v>
      </c>
      <c r="J1424" s="24">
        <v>45.28</v>
      </c>
      <c r="K1424" s="24">
        <v>-122.75</v>
      </c>
      <c r="L1424" s="24">
        <v>48</v>
      </c>
      <c r="R1424" s="42">
        <v>1</v>
      </c>
      <c r="S1424" s="42" t="s">
        <v>1728</v>
      </c>
      <c r="T1424" s="42" t="s">
        <v>864</v>
      </c>
      <c r="U1424" s="42" t="s">
        <v>881</v>
      </c>
      <c r="V1424" s="42" t="s">
        <v>1413</v>
      </c>
      <c r="W1424" s="42" t="s">
        <v>1730</v>
      </c>
      <c r="X1424" s="42" t="s">
        <v>1399</v>
      </c>
      <c r="Y1424" s="42" t="s">
        <v>1417</v>
      </c>
      <c r="AA1424" s="321"/>
      <c r="AB1424" s="321"/>
      <c r="AC1424" s="24" t="s">
        <v>1608</v>
      </c>
      <c r="AH1424" s="24" t="s">
        <v>131</v>
      </c>
      <c r="AI1424" s="138" t="s">
        <v>131</v>
      </c>
      <c r="AJ1424" s="24" t="s">
        <v>1601</v>
      </c>
      <c r="AK1424" s="140" t="s">
        <v>1601</v>
      </c>
      <c r="AW1424" s="24" t="s">
        <v>119</v>
      </c>
      <c r="BP1424" s="395"/>
      <c r="BQ1424" s="395"/>
      <c r="BU1424" s="395"/>
      <c r="BV1424" s="395"/>
      <c r="BZ1424" s="395"/>
      <c r="CA1424" s="395"/>
      <c r="CE1424" s="548"/>
      <c r="CF1424" s="548"/>
      <c r="CG1424" s="548"/>
      <c r="CH1424" s="548"/>
      <c r="FB1424" s="24">
        <v>16.93</v>
      </c>
      <c r="FC1424" s="24">
        <v>20.77</v>
      </c>
      <c r="FF1424" s="24" t="s">
        <v>1684</v>
      </c>
    </row>
    <row r="1425" spans="1:162" s="24" customFormat="1" x14ac:dyDescent="0.25">
      <c r="A1425" s="24">
        <v>65</v>
      </c>
      <c r="B1425" s="42" t="s">
        <v>4049</v>
      </c>
      <c r="C1425" s="24" t="s">
        <v>980</v>
      </c>
      <c r="D1425" s="24" t="s">
        <v>979</v>
      </c>
      <c r="E1425" s="24">
        <v>1998</v>
      </c>
      <c r="F1425" s="24">
        <v>1992</v>
      </c>
      <c r="G1425" s="24" t="s">
        <v>978</v>
      </c>
      <c r="H1425" s="24" t="s">
        <v>981</v>
      </c>
      <c r="I1425" s="32" t="s">
        <v>2815</v>
      </c>
      <c r="J1425" s="24">
        <v>45.28</v>
      </c>
      <c r="K1425" s="24">
        <v>-122.75</v>
      </c>
      <c r="L1425" s="24">
        <v>48</v>
      </c>
      <c r="R1425" s="42">
        <v>1</v>
      </c>
      <c r="S1425" s="42" t="s">
        <v>1728</v>
      </c>
      <c r="T1425" s="42" t="s">
        <v>864</v>
      </c>
      <c r="U1425" s="42" t="s">
        <v>982</v>
      </c>
      <c r="V1425" s="42" t="s">
        <v>1413</v>
      </c>
      <c r="W1425" s="42" t="s">
        <v>1730</v>
      </c>
      <c r="X1425" s="42" t="s">
        <v>1399</v>
      </c>
      <c r="Y1425" s="42" t="s">
        <v>1417</v>
      </c>
      <c r="AA1425" s="321"/>
      <c r="AB1425" s="321"/>
      <c r="AC1425" s="24" t="s">
        <v>1608</v>
      </c>
      <c r="AH1425" s="24" t="s">
        <v>131</v>
      </c>
      <c r="AI1425" s="138" t="s">
        <v>131</v>
      </c>
      <c r="AJ1425" s="24" t="s">
        <v>1601</v>
      </c>
      <c r="AK1425" s="140" t="s">
        <v>1601</v>
      </c>
      <c r="AW1425" s="24" t="s">
        <v>119</v>
      </c>
      <c r="BP1425" s="395"/>
      <c r="BQ1425" s="395"/>
      <c r="BU1425" s="395"/>
      <c r="BV1425" s="395"/>
      <c r="BZ1425" s="395"/>
      <c r="CA1425" s="395"/>
      <c r="CE1425" s="548"/>
      <c r="CF1425" s="548"/>
      <c r="CG1425" s="548"/>
      <c r="CH1425" s="548"/>
      <c r="FB1425" s="24">
        <v>12.72</v>
      </c>
      <c r="FC1425" s="24">
        <v>8.36</v>
      </c>
      <c r="FF1425" s="24" t="s">
        <v>1684</v>
      </c>
    </row>
    <row r="1426" spans="1:162" s="24" customFormat="1" x14ac:dyDescent="0.25">
      <c r="A1426" s="24">
        <v>65</v>
      </c>
      <c r="B1426" s="42" t="s">
        <v>4049</v>
      </c>
      <c r="C1426" s="24" t="s">
        <v>980</v>
      </c>
      <c r="D1426" s="24" t="s">
        <v>979</v>
      </c>
      <c r="E1426" s="24">
        <v>1998</v>
      </c>
      <c r="F1426" s="24">
        <v>1992</v>
      </c>
      <c r="G1426" s="24" t="s">
        <v>978</v>
      </c>
      <c r="H1426" s="24" t="s">
        <v>981</v>
      </c>
      <c r="I1426" s="32" t="s">
        <v>2815</v>
      </c>
      <c r="J1426" s="24">
        <v>45.28</v>
      </c>
      <c r="K1426" s="24">
        <v>-122.75</v>
      </c>
      <c r="L1426" s="24">
        <v>48</v>
      </c>
      <c r="R1426" s="42">
        <v>1</v>
      </c>
      <c r="S1426" s="42" t="s">
        <v>1728</v>
      </c>
      <c r="T1426" s="42" t="s">
        <v>864</v>
      </c>
      <c r="U1426" s="42" t="s">
        <v>882</v>
      </c>
      <c r="V1426" s="42" t="s">
        <v>1413</v>
      </c>
      <c r="W1426" s="42" t="s">
        <v>1730</v>
      </c>
      <c r="X1426" s="42" t="s">
        <v>1399</v>
      </c>
      <c r="Y1426" s="42" t="s">
        <v>1417</v>
      </c>
      <c r="AA1426" s="321"/>
      <c r="AB1426" s="321"/>
      <c r="AC1426" s="24" t="s">
        <v>1608</v>
      </c>
      <c r="AH1426" s="24" t="s">
        <v>131</v>
      </c>
      <c r="AI1426" s="138" t="s">
        <v>131</v>
      </c>
      <c r="AJ1426" s="24" t="s">
        <v>1601</v>
      </c>
      <c r="AK1426" s="140" t="s">
        <v>1601</v>
      </c>
      <c r="AW1426" s="24" t="s">
        <v>119</v>
      </c>
      <c r="BP1426" s="395"/>
      <c r="BQ1426" s="395"/>
      <c r="BU1426" s="395"/>
      <c r="BV1426" s="395"/>
      <c r="BZ1426" s="395"/>
      <c r="CA1426" s="395"/>
      <c r="CE1426" s="548"/>
      <c r="CF1426" s="548"/>
      <c r="CG1426" s="548"/>
      <c r="CH1426" s="548"/>
      <c r="FB1426" s="24">
        <v>12.5</v>
      </c>
      <c r="FC1426" s="24">
        <v>10.35</v>
      </c>
      <c r="FF1426" s="24" t="s">
        <v>1684</v>
      </c>
    </row>
    <row r="1427" spans="1:162" s="32" customFormat="1" x14ac:dyDescent="0.25">
      <c r="A1427" s="32">
        <v>65</v>
      </c>
      <c r="B1427" s="44" t="s">
        <v>4049</v>
      </c>
      <c r="C1427" s="32" t="s">
        <v>980</v>
      </c>
      <c r="D1427" s="32" t="s">
        <v>979</v>
      </c>
      <c r="E1427" s="32">
        <v>1998</v>
      </c>
      <c r="F1427" s="32">
        <v>1993</v>
      </c>
      <c r="G1427" s="32" t="s">
        <v>978</v>
      </c>
      <c r="H1427" s="32" t="s">
        <v>981</v>
      </c>
      <c r="I1427" s="32" t="s">
        <v>2815</v>
      </c>
      <c r="J1427" s="32">
        <v>45.28</v>
      </c>
      <c r="K1427" s="32">
        <v>-122.75</v>
      </c>
      <c r="L1427" s="32">
        <v>48</v>
      </c>
      <c r="R1427" s="44">
        <v>2</v>
      </c>
      <c r="S1427" s="44" t="s">
        <v>1728</v>
      </c>
      <c r="T1427" s="44" t="s">
        <v>864</v>
      </c>
      <c r="U1427" s="44" t="s">
        <v>883</v>
      </c>
      <c r="V1427" s="44" t="s">
        <v>1413</v>
      </c>
      <c r="W1427" s="44" t="s">
        <v>1730</v>
      </c>
      <c r="X1427" s="44" t="s">
        <v>1399</v>
      </c>
      <c r="Y1427" s="44" t="s">
        <v>1417</v>
      </c>
      <c r="AA1427" s="323"/>
      <c r="AB1427" s="323"/>
      <c r="AC1427" s="32" t="s">
        <v>1608</v>
      </c>
      <c r="AH1427" s="32" t="s">
        <v>131</v>
      </c>
      <c r="AI1427" s="138" t="s">
        <v>131</v>
      </c>
      <c r="AJ1427" s="32" t="s">
        <v>1601</v>
      </c>
      <c r="AK1427" s="140" t="s">
        <v>1601</v>
      </c>
      <c r="AW1427" s="32" t="s">
        <v>119</v>
      </c>
      <c r="BP1427" s="397"/>
      <c r="BQ1427" s="397"/>
      <c r="BU1427" s="397"/>
      <c r="BV1427" s="397"/>
      <c r="BZ1427" s="397"/>
      <c r="CA1427" s="397"/>
      <c r="CE1427" s="550"/>
      <c r="CF1427" s="550"/>
      <c r="CG1427" s="550"/>
      <c r="CH1427" s="550"/>
      <c r="FB1427" s="32">
        <v>13.26</v>
      </c>
      <c r="FC1427" s="32">
        <v>8.43</v>
      </c>
      <c r="FF1427" s="32" t="s">
        <v>1684</v>
      </c>
    </row>
    <row r="1428" spans="1:162" s="32" customFormat="1" x14ac:dyDescent="0.25">
      <c r="A1428" s="32">
        <v>65</v>
      </c>
      <c r="B1428" s="44" t="s">
        <v>4049</v>
      </c>
      <c r="C1428" s="32" t="s">
        <v>980</v>
      </c>
      <c r="D1428" s="32" t="s">
        <v>979</v>
      </c>
      <c r="E1428" s="32">
        <v>1998</v>
      </c>
      <c r="F1428" s="32">
        <v>1993</v>
      </c>
      <c r="G1428" s="32" t="s">
        <v>978</v>
      </c>
      <c r="H1428" s="32" t="s">
        <v>981</v>
      </c>
      <c r="I1428" s="32" t="s">
        <v>2815</v>
      </c>
      <c r="J1428" s="32">
        <v>45.28</v>
      </c>
      <c r="K1428" s="32">
        <v>-122.75</v>
      </c>
      <c r="L1428" s="32">
        <v>48</v>
      </c>
      <c r="R1428" s="44">
        <v>2</v>
      </c>
      <c r="S1428" s="44" t="s">
        <v>1728</v>
      </c>
      <c r="T1428" s="44" t="s">
        <v>864</v>
      </c>
      <c r="U1428" s="44" t="s">
        <v>983</v>
      </c>
      <c r="V1428" s="44" t="s">
        <v>1413</v>
      </c>
      <c r="W1428" s="44" t="s">
        <v>1730</v>
      </c>
      <c r="X1428" s="44" t="s">
        <v>1399</v>
      </c>
      <c r="Y1428" s="44" t="s">
        <v>1417</v>
      </c>
      <c r="AA1428" s="323"/>
      <c r="AB1428" s="323"/>
      <c r="AC1428" s="32" t="s">
        <v>1608</v>
      </c>
      <c r="AH1428" s="32" t="s">
        <v>131</v>
      </c>
      <c r="AI1428" s="138" t="s">
        <v>131</v>
      </c>
      <c r="AJ1428" s="32" t="s">
        <v>1601</v>
      </c>
      <c r="AK1428" s="140" t="s">
        <v>1601</v>
      </c>
      <c r="AW1428" s="32" t="s">
        <v>119</v>
      </c>
      <c r="BP1428" s="397"/>
      <c r="BQ1428" s="397"/>
      <c r="BU1428" s="397"/>
      <c r="BV1428" s="397"/>
      <c r="BZ1428" s="397"/>
      <c r="CA1428" s="397"/>
      <c r="CE1428" s="550"/>
      <c r="CF1428" s="550"/>
      <c r="CG1428" s="550"/>
      <c r="CH1428" s="550"/>
      <c r="FB1428" s="32">
        <v>15.18</v>
      </c>
      <c r="FC1428" s="32">
        <v>8.36</v>
      </c>
      <c r="FF1428" s="32" t="s">
        <v>1684</v>
      </c>
    </row>
    <row r="1429" spans="1:162" s="32" customFormat="1" x14ac:dyDescent="0.25">
      <c r="A1429" s="32">
        <v>65</v>
      </c>
      <c r="B1429" s="44" t="s">
        <v>4049</v>
      </c>
      <c r="C1429" s="32" t="s">
        <v>980</v>
      </c>
      <c r="D1429" s="32" t="s">
        <v>979</v>
      </c>
      <c r="E1429" s="32">
        <v>1998</v>
      </c>
      <c r="F1429" s="32">
        <v>1993</v>
      </c>
      <c r="G1429" s="32" t="s">
        <v>978</v>
      </c>
      <c r="H1429" s="32" t="s">
        <v>981</v>
      </c>
      <c r="I1429" s="32" t="s">
        <v>2815</v>
      </c>
      <c r="J1429" s="32">
        <v>45.28</v>
      </c>
      <c r="K1429" s="32">
        <v>-122.75</v>
      </c>
      <c r="L1429" s="32">
        <v>48</v>
      </c>
      <c r="R1429" s="44">
        <v>2</v>
      </c>
      <c r="S1429" s="44" t="s">
        <v>1728</v>
      </c>
      <c r="T1429" s="44" t="s">
        <v>864</v>
      </c>
      <c r="U1429" s="44" t="s">
        <v>984</v>
      </c>
      <c r="V1429" s="44" t="s">
        <v>1413</v>
      </c>
      <c r="W1429" s="44" t="s">
        <v>1730</v>
      </c>
      <c r="X1429" s="44" t="s">
        <v>1399</v>
      </c>
      <c r="Y1429" s="44" t="s">
        <v>1417</v>
      </c>
      <c r="AA1429" s="323"/>
      <c r="AB1429" s="323"/>
      <c r="AC1429" s="32" t="s">
        <v>1608</v>
      </c>
      <c r="AH1429" s="32" t="s">
        <v>131</v>
      </c>
      <c r="AI1429" s="138" t="s">
        <v>131</v>
      </c>
      <c r="AJ1429" s="32" t="s">
        <v>1601</v>
      </c>
      <c r="AK1429" s="140" t="s">
        <v>1601</v>
      </c>
      <c r="AW1429" s="32" t="s">
        <v>119</v>
      </c>
      <c r="BP1429" s="397"/>
      <c r="BQ1429" s="397"/>
      <c r="BU1429" s="397"/>
      <c r="BV1429" s="397"/>
      <c r="BZ1429" s="397"/>
      <c r="CA1429" s="397"/>
      <c r="CE1429" s="550"/>
      <c r="CF1429" s="550"/>
      <c r="CG1429" s="550"/>
      <c r="CH1429" s="550"/>
      <c r="FB1429" s="32">
        <v>12.88</v>
      </c>
      <c r="FC1429" s="32">
        <v>7.21</v>
      </c>
      <c r="FF1429" s="32" t="s">
        <v>1684</v>
      </c>
    </row>
    <row r="1430" spans="1:162" s="32" customFormat="1" x14ac:dyDescent="0.25">
      <c r="A1430" s="32">
        <v>65</v>
      </c>
      <c r="B1430" s="44" t="s">
        <v>4049</v>
      </c>
      <c r="C1430" s="32" t="s">
        <v>980</v>
      </c>
      <c r="D1430" s="32" t="s">
        <v>979</v>
      </c>
      <c r="E1430" s="32">
        <v>1998</v>
      </c>
      <c r="F1430" s="32">
        <v>1993</v>
      </c>
      <c r="G1430" s="32" t="s">
        <v>978</v>
      </c>
      <c r="H1430" s="32" t="s">
        <v>981</v>
      </c>
      <c r="I1430" s="32" t="s">
        <v>2815</v>
      </c>
      <c r="J1430" s="32">
        <v>45.28</v>
      </c>
      <c r="K1430" s="32">
        <v>-122.75</v>
      </c>
      <c r="L1430" s="32">
        <v>48</v>
      </c>
      <c r="R1430" s="44">
        <v>2</v>
      </c>
      <c r="S1430" s="44" t="s">
        <v>1728</v>
      </c>
      <c r="T1430" s="44" t="s">
        <v>864</v>
      </c>
      <c r="U1430" s="44" t="s">
        <v>780</v>
      </c>
      <c r="V1430" s="44" t="s">
        <v>1413</v>
      </c>
      <c r="W1430" s="44" t="s">
        <v>1730</v>
      </c>
      <c r="X1430" s="44" t="s">
        <v>1399</v>
      </c>
      <c r="Y1430" s="44" t="s">
        <v>1417</v>
      </c>
      <c r="AA1430" s="323"/>
      <c r="AB1430" s="323"/>
      <c r="AC1430" s="32" t="s">
        <v>1608</v>
      </c>
      <c r="AH1430" s="32" t="s">
        <v>131</v>
      </c>
      <c r="AI1430" s="138" t="s">
        <v>131</v>
      </c>
      <c r="AJ1430" s="32" t="s">
        <v>1601</v>
      </c>
      <c r="AK1430" s="140" t="s">
        <v>1601</v>
      </c>
      <c r="AW1430" s="32" t="s">
        <v>119</v>
      </c>
      <c r="BP1430" s="397"/>
      <c r="BQ1430" s="397"/>
      <c r="BU1430" s="397"/>
      <c r="BV1430" s="397"/>
      <c r="BZ1430" s="397"/>
      <c r="CA1430" s="397"/>
      <c r="CE1430" s="550"/>
      <c r="CF1430" s="550"/>
      <c r="CG1430" s="550"/>
      <c r="CH1430" s="550"/>
      <c r="FB1430" s="32">
        <v>12.19</v>
      </c>
      <c r="FC1430" s="32">
        <v>3.92</v>
      </c>
      <c r="FF1430" s="32" t="s">
        <v>1684</v>
      </c>
    </row>
    <row r="1431" spans="1:162" s="32" customFormat="1" x14ac:dyDescent="0.25">
      <c r="A1431" s="32">
        <v>65</v>
      </c>
      <c r="B1431" s="44" t="s">
        <v>4049</v>
      </c>
      <c r="C1431" s="32" t="s">
        <v>980</v>
      </c>
      <c r="D1431" s="32" t="s">
        <v>979</v>
      </c>
      <c r="E1431" s="32">
        <v>1998</v>
      </c>
      <c r="F1431" s="32">
        <v>1993</v>
      </c>
      <c r="G1431" s="32" t="s">
        <v>978</v>
      </c>
      <c r="H1431" s="32" t="s">
        <v>981</v>
      </c>
      <c r="I1431" s="32" t="s">
        <v>2815</v>
      </c>
      <c r="J1431" s="32">
        <v>45.28</v>
      </c>
      <c r="K1431" s="32">
        <v>-122.75</v>
      </c>
      <c r="L1431" s="32">
        <v>48</v>
      </c>
      <c r="R1431" s="44">
        <v>2</v>
      </c>
      <c r="S1431" s="44" t="s">
        <v>1728</v>
      </c>
      <c r="T1431" s="44" t="s">
        <v>864</v>
      </c>
      <c r="U1431" s="44" t="s">
        <v>201</v>
      </c>
      <c r="V1431" s="44" t="s">
        <v>1413</v>
      </c>
      <c r="W1431" s="44" t="s">
        <v>1730</v>
      </c>
      <c r="X1431" s="44" t="s">
        <v>1399</v>
      </c>
      <c r="Y1431" s="44" t="s">
        <v>1417</v>
      </c>
      <c r="AA1431" s="323"/>
      <c r="AB1431" s="323"/>
      <c r="AC1431" s="32" t="s">
        <v>1608</v>
      </c>
      <c r="AH1431" s="32" t="s">
        <v>131</v>
      </c>
      <c r="AI1431" s="138" t="s">
        <v>131</v>
      </c>
      <c r="AJ1431" s="32" t="s">
        <v>1601</v>
      </c>
      <c r="AK1431" s="140" t="s">
        <v>1601</v>
      </c>
      <c r="AW1431" s="32" t="s">
        <v>119</v>
      </c>
      <c r="BP1431" s="397"/>
      <c r="BQ1431" s="397"/>
      <c r="BU1431" s="397"/>
      <c r="BV1431" s="397"/>
      <c r="BZ1431" s="397"/>
      <c r="CA1431" s="397"/>
      <c r="CE1431" s="550"/>
      <c r="CF1431" s="550"/>
      <c r="CG1431" s="550"/>
      <c r="CH1431" s="550"/>
      <c r="FB1431" s="32">
        <v>14.42</v>
      </c>
      <c r="FC1431" s="32">
        <v>5.91</v>
      </c>
      <c r="FF1431" s="32" t="s">
        <v>1684</v>
      </c>
    </row>
    <row r="1432" spans="1:162" s="32" customFormat="1" x14ac:dyDescent="0.25">
      <c r="A1432" s="32">
        <v>65</v>
      </c>
      <c r="B1432" s="44" t="s">
        <v>4049</v>
      </c>
      <c r="C1432" s="32" t="s">
        <v>980</v>
      </c>
      <c r="D1432" s="32" t="s">
        <v>979</v>
      </c>
      <c r="E1432" s="32">
        <v>1998</v>
      </c>
      <c r="F1432" s="32">
        <v>1993</v>
      </c>
      <c r="G1432" s="32" t="s">
        <v>978</v>
      </c>
      <c r="H1432" s="32" t="s">
        <v>981</v>
      </c>
      <c r="I1432" s="32" t="s">
        <v>2815</v>
      </c>
      <c r="J1432" s="32">
        <v>45.28</v>
      </c>
      <c r="K1432" s="32">
        <v>-122.75</v>
      </c>
      <c r="L1432" s="32">
        <v>48</v>
      </c>
      <c r="R1432" s="44">
        <v>2</v>
      </c>
      <c r="S1432" s="44" t="s">
        <v>1728</v>
      </c>
      <c r="T1432" s="44" t="s">
        <v>864</v>
      </c>
      <c r="U1432" s="44" t="s">
        <v>596</v>
      </c>
      <c r="V1432" s="44" t="s">
        <v>1413</v>
      </c>
      <c r="W1432" s="44" t="s">
        <v>1730</v>
      </c>
      <c r="X1432" s="44" t="s">
        <v>1399</v>
      </c>
      <c r="Y1432" s="44" t="s">
        <v>1417</v>
      </c>
      <c r="AA1432" s="323"/>
      <c r="AB1432" s="323"/>
      <c r="AC1432" s="32" t="s">
        <v>1608</v>
      </c>
      <c r="AH1432" s="32" t="s">
        <v>131</v>
      </c>
      <c r="AI1432" s="138" t="s">
        <v>131</v>
      </c>
      <c r="AJ1432" s="32" t="s">
        <v>1601</v>
      </c>
      <c r="AK1432" s="140" t="s">
        <v>1601</v>
      </c>
      <c r="AW1432" s="32" t="s">
        <v>119</v>
      </c>
      <c r="BP1432" s="397"/>
      <c r="BQ1432" s="397"/>
      <c r="BU1432" s="397"/>
      <c r="BV1432" s="397"/>
      <c r="BZ1432" s="397"/>
      <c r="CA1432" s="397"/>
      <c r="CE1432" s="550"/>
      <c r="CF1432" s="550"/>
      <c r="CG1432" s="550"/>
      <c r="CH1432" s="550"/>
      <c r="FB1432" s="32">
        <v>15.18</v>
      </c>
      <c r="FC1432" s="32">
        <v>5.37</v>
      </c>
      <c r="FF1432" s="32" t="s">
        <v>1684</v>
      </c>
    </row>
    <row r="1433" spans="1:162" s="32" customFormat="1" x14ac:dyDescent="0.25">
      <c r="A1433" s="32">
        <v>65</v>
      </c>
      <c r="B1433" s="44" t="s">
        <v>4049</v>
      </c>
      <c r="C1433" s="32" t="s">
        <v>980</v>
      </c>
      <c r="D1433" s="32" t="s">
        <v>979</v>
      </c>
      <c r="E1433" s="32">
        <v>1998</v>
      </c>
      <c r="F1433" s="32">
        <v>1993</v>
      </c>
      <c r="G1433" s="32" t="s">
        <v>978</v>
      </c>
      <c r="H1433" s="32" t="s">
        <v>981</v>
      </c>
      <c r="I1433" s="32" t="s">
        <v>2815</v>
      </c>
      <c r="J1433" s="32">
        <v>45.28</v>
      </c>
      <c r="K1433" s="32">
        <v>-122.75</v>
      </c>
      <c r="L1433" s="32">
        <v>48</v>
      </c>
      <c r="R1433" s="44">
        <v>2</v>
      </c>
      <c r="S1433" s="44" t="s">
        <v>1728</v>
      </c>
      <c r="T1433" s="44" t="s">
        <v>864</v>
      </c>
      <c r="U1433" s="44" t="s">
        <v>226</v>
      </c>
      <c r="V1433" s="44" t="s">
        <v>1413</v>
      </c>
      <c r="W1433" s="44" t="s">
        <v>1730</v>
      </c>
      <c r="X1433" s="44" t="s">
        <v>1399</v>
      </c>
      <c r="Y1433" s="44" t="s">
        <v>1417</v>
      </c>
      <c r="AA1433" s="323"/>
      <c r="AB1433" s="323"/>
      <c r="AC1433" s="32" t="s">
        <v>1608</v>
      </c>
      <c r="AH1433" s="32" t="s">
        <v>131</v>
      </c>
      <c r="AI1433" s="138" t="s">
        <v>131</v>
      </c>
      <c r="AJ1433" s="32" t="s">
        <v>1601</v>
      </c>
      <c r="AK1433" s="140" t="s">
        <v>1601</v>
      </c>
      <c r="AW1433" s="32" t="s">
        <v>119</v>
      </c>
      <c r="BP1433" s="397"/>
      <c r="BQ1433" s="397"/>
      <c r="BU1433" s="397"/>
      <c r="BV1433" s="397"/>
      <c r="BZ1433" s="397"/>
      <c r="CA1433" s="397"/>
      <c r="CE1433" s="550"/>
      <c r="CF1433" s="550"/>
      <c r="CG1433" s="550"/>
      <c r="CH1433" s="550"/>
      <c r="FB1433" s="32">
        <v>15.26</v>
      </c>
      <c r="FC1433" s="32">
        <v>6.75</v>
      </c>
      <c r="FF1433" s="32" t="s">
        <v>1684</v>
      </c>
    </row>
    <row r="1434" spans="1:162" s="32" customFormat="1" x14ac:dyDescent="0.25">
      <c r="A1434" s="32">
        <v>65</v>
      </c>
      <c r="B1434" s="44" t="s">
        <v>4049</v>
      </c>
      <c r="C1434" s="32" t="s">
        <v>980</v>
      </c>
      <c r="D1434" s="32" t="s">
        <v>979</v>
      </c>
      <c r="E1434" s="32">
        <v>1998</v>
      </c>
      <c r="F1434" s="32">
        <v>1993</v>
      </c>
      <c r="G1434" s="32" t="s">
        <v>978</v>
      </c>
      <c r="H1434" s="32" t="s">
        <v>981</v>
      </c>
      <c r="I1434" s="32" t="s">
        <v>2815</v>
      </c>
      <c r="J1434" s="32">
        <v>45.28</v>
      </c>
      <c r="K1434" s="32">
        <v>-122.75</v>
      </c>
      <c r="L1434" s="32">
        <v>48</v>
      </c>
      <c r="R1434" s="44">
        <v>2</v>
      </c>
      <c r="S1434" s="44" t="s">
        <v>1728</v>
      </c>
      <c r="T1434" s="44" t="s">
        <v>864</v>
      </c>
      <c r="U1434" s="44" t="s">
        <v>887</v>
      </c>
      <c r="V1434" s="44" t="s">
        <v>1413</v>
      </c>
      <c r="W1434" s="44" t="s">
        <v>1730</v>
      </c>
      <c r="X1434" s="44" t="s">
        <v>1399</v>
      </c>
      <c r="Y1434" s="44" t="s">
        <v>1417</v>
      </c>
      <c r="AA1434" s="323"/>
      <c r="AB1434" s="323"/>
      <c r="AC1434" s="32" t="s">
        <v>1608</v>
      </c>
      <c r="AH1434" s="32" t="s">
        <v>131</v>
      </c>
      <c r="AI1434" s="138" t="s">
        <v>131</v>
      </c>
      <c r="AJ1434" s="32" t="s">
        <v>1601</v>
      </c>
      <c r="AK1434" s="140" t="s">
        <v>1601</v>
      </c>
      <c r="AW1434" s="32" t="s">
        <v>119</v>
      </c>
      <c r="BP1434" s="397"/>
      <c r="BQ1434" s="397"/>
      <c r="BU1434" s="397"/>
      <c r="BV1434" s="397"/>
      <c r="BZ1434" s="397"/>
      <c r="CA1434" s="397"/>
      <c r="CE1434" s="550"/>
      <c r="CF1434" s="550"/>
      <c r="CG1434" s="550"/>
      <c r="CH1434" s="550"/>
      <c r="FB1434" s="32">
        <v>13.35</v>
      </c>
      <c r="FC1434" s="32">
        <v>5.84</v>
      </c>
      <c r="FF1434" s="32" t="s">
        <v>1684</v>
      </c>
    </row>
    <row r="1435" spans="1:162" s="32" customFormat="1" x14ac:dyDescent="0.25">
      <c r="A1435" s="32">
        <v>65</v>
      </c>
      <c r="B1435" s="44" t="s">
        <v>4049</v>
      </c>
      <c r="C1435" s="32" t="s">
        <v>980</v>
      </c>
      <c r="D1435" s="32" t="s">
        <v>979</v>
      </c>
      <c r="E1435" s="32">
        <v>1998</v>
      </c>
      <c r="F1435" s="32">
        <v>1993</v>
      </c>
      <c r="G1435" s="32" t="s">
        <v>978</v>
      </c>
      <c r="H1435" s="32" t="s">
        <v>981</v>
      </c>
      <c r="I1435" s="32" t="s">
        <v>2815</v>
      </c>
      <c r="J1435" s="32">
        <v>45.28</v>
      </c>
      <c r="K1435" s="32">
        <v>-122.75</v>
      </c>
      <c r="L1435" s="32">
        <v>48</v>
      </c>
      <c r="R1435" s="44">
        <v>2</v>
      </c>
      <c r="S1435" s="44" t="s">
        <v>1728</v>
      </c>
      <c r="T1435" s="44" t="s">
        <v>864</v>
      </c>
      <c r="U1435" s="44" t="s">
        <v>885</v>
      </c>
      <c r="V1435" s="44" t="s">
        <v>1413</v>
      </c>
      <c r="W1435" s="44" t="s">
        <v>1730</v>
      </c>
      <c r="X1435" s="44" t="s">
        <v>1399</v>
      </c>
      <c r="Y1435" s="44" t="s">
        <v>1417</v>
      </c>
      <c r="AA1435" s="323"/>
      <c r="AB1435" s="323"/>
      <c r="AC1435" s="32" t="s">
        <v>1608</v>
      </c>
      <c r="AH1435" s="32" t="s">
        <v>131</v>
      </c>
      <c r="AI1435" s="138" t="s">
        <v>131</v>
      </c>
      <c r="AJ1435" s="32" t="s">
        <v>1601</v>
      </c>
      <c r="AK1435" s="140" t="s">
        <v>1601</v>
      </c>
      <c r="AW1435" s="32" t="s">
        <v>119</v>
      </c>
      <c r="BP1435" s="397"/>
      <c r="BQ1435" s="397"/>
      <c r="BU1435" s="397"/>
      <c r="BV1435" s="397"/>
      <c r="BZ1435" s="397"/>
      <c r="CA1435" s="397"/>
      <c r="CE1435" s="550"/>
      <c r="CF1435" s="550"/>
      <c r="CG1435" s="550"/>
      <c r="CH1435" s="550"/>
      <c r="FB1435" s="32">
        <v>18.100000000000001</v>
      </c>
      <c r="FC1435" s="32">
        <v>8.14</v>
      </c>
      <c r="FF1435" s="32" t="s">
        <v>1684</v>
      </c>
    </row>
    <row r="1436" spans="1:162" s="32" customFormat="1" x14ac:dyDescent="0.25">
      <c r="A1436" s="32">
        <v>65</v>
      </c>
      <c r="B1436" s="44" t="s">
        <v>4049</v>
      </c>
      <c r="C1436" s="32" t="s">
        <v>980</v>
      </c>
      <c r="D1436" s="32" t="s">
        <v>979</v>
      </c>
      <c r="E1436" s="32">
        <v>1998</v>
      </c>
      <c r="F1436" s="32">
        <v>1993</v>
      </c>
      <c r="G1436" s="32" t="s">
        <v>978</v>
      </c>
      <c r="H1436" s="32" t="s">
        <v>981</v>
      </c>
      <c r="I1436" s="32" t="s">
        <v>2815</v>
      </c>
      <c r="J1436" s="32">
        <v>45.28</v>
      </c>
      <c r="K1436" s="32">
        <v>-122.75</v>
      </c>
      <c r="L1436" s="32">
        <v>48</v>
      </c>
      <c r="R1436" s="44">
        <v>2</v>
      </c>
      <c r="S1436" s="44" t="s">
        <v>1728</v>
      </c>
      <c r="T1436" s="44" t="s">
        <v>864</v>
      </c>
      <c r="U1436" s="44" t="s">
        <v>886</v>
      </c>
      <c r="V1436" s="44" t="s">
        <v>1413</v>
      </c>
      <c r="W1436" s="44" t="s">
        <v>1730</v>
      </c>
      <c r="X1436" s="44" t="s">
        <v>1399</v>
      </c>
      <c r="Y1436" s="44" t="s">
        <v>1417</v>
      </c>
      <c r="AA1436" s="323"/>
      <c r="AB1436" s="323"/>
      <c r="AC1436" s="32" t="s">
        <v>1608</v>
      </c>
      <c r="AH1436" s="32" t="s">
        <v>131</v>
      </c>
      <c r="AI1436" s="138" t="s">
        <v>131</v>
      </c>
      <c r="AJ1436" s="32" t="s">
        <v>1601</v>
      </c>
      <c r="AK1436" s="140" t="s">
        <v>1601</v>
      </c>
      <c r="AW1436" s="32" t="s">
        <v>119</v>
      </c>
      <c r="BP1436" s="397"/>
      <c r="BQ1436" s="397"/>
      <c r="BU1436" s="397"/>
      <c r="BV1436" s="397"/>
      <c r="BZ1436" s="397"/>
      <c r="CA1436" s="397"/>
      <c r="CE1436" s="550"/>
      <c r="CF1436" s="550"/>
      <c r="CG1436" s="550"/>
      <c r="CH1436" s="550"/>
      <c r="FB1436" s="32">
        <v>10.9</v>
      </c>
      <c r="FC1436" s="32">
        <v>4.2300000000000004</v>
      </c>
      <c r="FF1436" s="32" t="s">
        <v>1684</v>
      </c>
    </row>
    <row r="1437" spans="1:162" s="32" customFormat="1" x14ac:dyDescent="0.25">
      <c r="A1437" s="32">
        <v>65</v>
      </c>
      <c r="B1437" s="44" t="s">
        <v>4049</v>
      </c>
      <c r="C1437" s="32" t="s">
        <v>980</v>
      </c>
      <c r="D1437" s="32" t="s">
        <v>979</v>
      </c>
      <c r="E1437" s="32">
        <v>1998</v>
      </c>
      <c r="F1437" s="32">
        <v>1993</v>
      </c>
      <c r="G1437" s="32" t="s">
        <v>978</v>
      </c>
      <c r="H1437" s="32" t="s">
        <v>981</v>
      </c>
      <c r="I1437" s="32" t="s">
        <v>2815</v>
      </c>
      <c r="J1437" s="32">
        <v>45.28</v>
      </c>
      <c r="K1437" s="32">
        <v>-122.75</v>
      </c>
      <c r="L1437" s="32">
        <v>48</v>
      </c>
      <c r="R1437" s="44">
        <v>2</v>
      </c>
      <c r="S1437" s="44" t="s">
        <v>1728</v>
      </c>
      <c r="T1437" s="44" t="s">
        <v>864</v>
      </c>
      <c r="U1437" s="44" t="s">
        <v>781</v>
      </c>
      <c r="V1437" s="44" t="s">
        <v>1413</v>
      </c>
      <c r="W1437" s="44" t="s">
        <v>1730</v>
      </c>
      <c r="X1437" s="44" t="s">
        <v>1399</v>
      </c>
      <c r="Y1437" s="44" t="s">
        <v>1417</v>
      </c>
      <c r="AA1437" s="323"/>
      <c r="AB1437" s="323"/>
      <c r="AC1437" s="32" t="s">
        <v>1608</v>
      </c>
      <c r="AH1437" s="32" t="s">
        <v>131</v>
      </c>
      <c r="AI1437" s="138" t="s">
        <v>131</v>
      </c>
      <c r="AJ1437" s="32" t="s">
        <v>1601</v>
      </c>
      <c r="AK1437" s="140" t="s">
        <v>1601</v>
      </c>
      <c r="AW1437" s="32" t="s">
        <v>119</v>
      </c>
      <c r="BP1437" s="397"/>
      <c r="BQ1437" s="397"/>
      <c r="BU1437" s="397"/>
      <c r="BV1437" s="397"/>
      <c r="BZ1437" s="397"/>
      <c r="CA1437" s="397"/>
      <c r="CE1437" s="550"/>
      <c r="CF1437" s="550"/>
      <c r="CG1437" s="550"/>
      <c r="CH1437" s="550"/>
      <c r="FB1437" s="32">
        <v>9.2899999999999991</v>
      </c>
      <c r="FC1437" s="32">
        <v>5.3</v>
      </c>
      <c r="FF1437" s="32" t="s">
        <v>1684</v>
      </c>
    </row>
    <row r="1438" spans="1:162" s="32" customFormat="1" x14ac:dyDescent="0.25">
      <c r="A1438" s="32">
        <v>65</v>
      </c>
      <c r="B1438" s="44" t="s">
        <v>4049</v>
      </c>
      <c r="C1438" s="32" t="s">
        <v>980</v>
      </c>
      <c r="D1438" s="32" t="s">
        <v>979</v>
      </c>
      <c r="E1438" s="32">
        <v>1998</v>
      </c>
      <c r="F1438" s="32">
        <v>1993</v>
      </c>
      <c r="G1438" s="32" t="s">
        <v>978</v>
      </c>
      <c r="H1438" s="32" t="s">
        <v>981</v>
      </c>
      <c r="I1438" s="32" t="s">
        <v>2815</v>
      </c>
      <c r="J1438" s="32">
        <v>45.28</v>
      </c>
      <c r="K1438" s="32">
        <v>-122.75</v>
      </c>
      <c r="L1438" s="32">
        <v>48</v>
      </c>
      <c r="R1438" s="44">
        <v>2</v>
      </c>
      <c r="S1438" s="44" t="s">
        <v>1728</v>
      </c>
      <c r="T1438" s="44" t="s">
        <v>864</v>
      </c>
      <c r="U1438" s="44" t="s">
        <v>985</v>
      </c>
      <c r="V1438" s="44" t="s">
        <v>1413</v>
      </c>
      <c r="W1438" s="44" t="s">
        <v>1730</v>
      </c>
      <c r="X1438" s="44" t="s">
        <v>1399</v>
      </c>
      <c r="Y1438" s="44" t="s">
        <v>1417</v>
      </c>
      <c r="AA1438" s="323"/>
      <c r="AB1438" s="323"/>
      <c r="AC1438" s="32" t="s">
        <v>1608</v>
      </c>
      <c r="AH1438" s="32" t="s">
        <v>131</v>
      </c>
      <c r="AI1438" s="138" t="s">
        <v>131</v>
      </c>
      <c r="AJ1438" s="32" t="s">
        <v>1601</v>
      </c>
      <c r="AK1438" s="140" t="s">
        <v>1601</v>
      </c>
      <c r="AW1438" s="32" t="s">
        <v>119</v>
      </c>
      <c r="BP1438" s="397"/>
      <c r="BQ1438" s="397"/>
      <c r="BU1438" s="397"/>
      <c r="BV1438" s="397"/>
      <c r="BZ1438" s="397"/>
      <c r="CA1438" s="397"/>
      <c r="CE1438" s="550"/>
      <c r="CF1438" s="550"/>
      <c r="CG1438" s="550"/>
      <c r="CH1438" s="550"/>
      <c r="FB1438" s="32">
        <v>6.69</v>
      </c>
      <c r="FC1438" s="32">
        <v>9.5</v>
      </c>
      <c r="FF1438" s="32" t="s">
        <v>1684</v>
      </c>
    </row>
    <row r="1439" spans="1:162" s="24" customFormat="1" x14ac:dyDescent="0.25">
      <c r="A1439" s="24">
        <v>65</v>
      </c>
      <c r="B1439" s="42" t="s">
        <v>4049</v>
      </c>
      <c r="C1439" s="24" t="s">
        <v>980</v>
      </c>
      <c r="D1439" s="24" t="s">
        <v>979</v>
      </c>
      <c r="E1439" s="24">
        <v>1998</v>
      </c>
      <c r="F1439" s="24">
        <v>1994</v>
      </c>
      <c r="G1439" s="24" t="s">
        <v>978</v>
      </c>
      <c r="H1439" s="24" t="s">
        <v>981</v>
      </c>
      <c r="I1439" s="32" t="s">
        <v>2815</v>
      </c>
      <c r="J1439" s="24">
        <v>45.28</v>
      </c>
      <c r="K1439" s="24">
        <v>-122.75</v>
      </c>
      <c r="L1439" s="24">
        <v>48</v>
      </c>
      <c r="R1439" s="42">
        <v>3</v>
      </c>
      <c r="S1439" s="42" t="s">
        <v>1728</v>
      </c>
      <c r="T1439" s="42" t="s">
        <v>864</v>
      </c>
      <c r="U1439" s="42" t="s">
        <v>883</v>
      </c>
      <c r="V1439" s="42" t="s">
        <v>1413</v>
      </c>
      <c r="W1439" s="42" t="s">
        <v>1730</v>
      </c>
      <c r="X1439" s="42" t="s">
        <v>1399</v>
      </c>
      <c r="Y1439" s="42" t="s">
        <v>1417</v>
      </c>
      <c r="AA1439" s="321"/>
      <c r="AB1439" s="321"/>
      <c r="AC1439" s="24" t="s">
        <v>1608</v>
      </c>
      <c r="AH1439" s="24" t="s">
        <v>131</v>
      </c>
      <c r="AI1439" s="138" t="s">
        <v>131</v>
      </c>
      <c r="AJ1439" s="24" t="s">
        <v>1601</v>
      </c>
      <c r="AK1439" s="140" t="s">
        <v>1601</v>
      </c>
      <c r="AW1439" s="24" t="s">
        <v>119</v>
      </c>
      <c r="BP1439" s="395"/>
      <c r="BQ1439" s="395"/>
      <c r="BU1439" s="395"/>
      <c r="BV1439" s="395"/>
      <c r="BZ1439" s="395"/>
      <c r="CA1439" s="395"/>
      <c r="CE1439" s="548"/>
      <c r="CF1439" s="548"/>
      <c r="CG1439" s="548"/>
      <c r="CH1439" s="548"/>
      <c r="FB1439" s="24">
        <v>23.24</v>
      </c>
      <c r="FC1439" s="24">
        <v>10.98</v>
      </c>
      <c r="FF1439" s="24" t="s">
        <v>1684</v>
      </c>
    </row>
    <row r="1440" spans="1:162" s="24" customFormat="1" x14ac:dyDescent="0.25">
      <c r="A1440" s="24">
        <v>65</v>
      </c>
      <c r="B1440" s="42" t="s">
        <v>4049</v>
      </c>
      <c r="C1440" s="24" t="s">
        <v>980</v>
      </c>
      <c r="D1440" s="24" t="s">
        <v>979</v>
      </c>
      <c r="E1440" s="24">
        <v>1998</v>
      </c>
      <c r="F1440" s="24">
        <v>1994</v>
      </c>
      <c r="G1440" s="24" t="s">
        <v>978</v>
      </c>
      <c r="H1440" s="24" t="s">
        <v>981</v>
      </c>
      <c r="I1440" s="32" t="s">
        <v>2815</v>
      </c>
      <c r="J1440" s="24">
        <v>45.28</v>
      </c>
      <c r="K1440" s="24">
        <v>-122.75</v>
      </c>
      <c r="L1440" s="24">
        <v>48</v>
      </c>
      <c r="R1440" s="42">
        <v>3</v>
      </c>
      <c r="S1440" s="42">
        <v>3</v>
      </c>
      <c r="T1440" s="42" t="s">
        <v>864</v>
      </c>
      <c r="U1440" s="42" t="s">
        <v>983</v>
      </c>
      <c r="V1440" s="42" t="s">
        <v>1413</v>
      </c>
      <c r="W1440" s="42" t="s">
        <v>1730</v>
      </c>
      <c r="X1440" s="42" t="s">
        <v>1399</v>
      </c>
      <c r="Y1440" s="42" t="s">
        <v>1417</v>
      </c>
      <c r="AA1440" s="321"/>
      <c r="AB1440" s="321"/>
      <c r="AC1440" s="24" t="s">
        <v>1608</v>
      </c>
      <c r="AH1440" s="24" t="s">
        <v>131</v>
      </c>
      <c r="AI1440" s="138" t="s">
        <v>131</v>
      </c>
      <c r="AJ1440" s="24" t="s">
        <v>1601</v>
      </c>
      <c r="AK1440" s="140" t="s">
        <v>1601</v>
      </c>
      <c r="AW1440" s="24" t="s">
        <v>119</v>
      </c>
      <c r="BP1440" s="395"/>
      <c r="BQ1440" s="395"/>
      <c r="BU1440" s="395"/>
      <c r="BV1440" s="395"/>
      <c r="BZ1440" s="395"/>
      <c r="CA1440" s="395"/>
      <c r="CE1440" s="548"/>
      <c r="CF1440" s="548"/>
      <c r="CG1440" s="548"/>
      <c r="CH1440" s="548"/>
      <c r="FB1440" s="24">
        <v>23</v>
      </c>
      <c r="FC1440" s="24">
        <v>8.2200000000000006</v>
      </c>
      <c r="FF1440" s="24" t="s">
        <v>1684</v>
      </c>
    </row>
    <row r="1441" spans="1:264" s="24" customFormat="1" x14ac:dyDescent="0.25">
      <c r="A1441" s="24">
        <v>65</v>
      </c>
      <c r="B1441" s="42" t="s">
        <v>4049</v>
      </c>
      <c r="C1441" s="24" t="s">
        <v>980</v>
      </c>
      <c r="D1441" s="24" t="s">
        <v>979</v>
      </c>
      <c r="E1441" s="24">
        <v>1998</v>
      </c>
      <c r="F1441" s="24">
        <v>1994</v>
      </c>
      <c r="G1441" s="24" t="s">
        <v>978</v>
      </c>
      <c r="H1441" s="24" t="s">
        <v>981</v>
      </c>
      <c r="I1441" s="32" t="s">
        <v>2815</v>
      </c>
      <c r="J1441" s="24">
        <v>45.28</v>
      </c>
      <c r="K1441" s="24">
        <v>-122.75</v>
      </c>
      <c r="L1441" s="24">
        <v>48</v>
      </c>
      <c r="R1441" s="42">
        <v>3</v>
      </c>
      <c r="S1441" s="42">
        <v>3</v>
      </c>
      <c r="T1441" s="42" t="s">
        <v>864</v>
      </c>
      <c r="U1441" s="42" t="s">
        <v>984</v>
      </c>
      <c r="V1441" s="42" t="s">
        <v>1413</v>
      </c>
      <c r="W1441" s="42" t="s">
        <v>1730</v>
      </c>
      <c r="X1441" s="42" t="s">
        <v>1399</v>
      </c>
      <c r="Y1441" s="42" t="s">
        <v>1417</v>
      </c>
      <c r="AA1441" s="321"/>
      <c r="AB1441" s="321"/>
      <c r="AC1441" s="24" t="s">
        <v>1608</v>
      </c>
      <c r="AH1441" s="24" t="s">
        <v>131</v>
      </c>
      <c r="AI1441" s="138" t="s">
        <v>131</v>
      </c>
      <c r="AJ1441" s="24" t="s">
        <v>1601</v>
      </c>
      <c r="AK1441" s="140" t="s">
        <v>1601</v>
      </c>
      <c r="AW1441" s="24" t="s">
        <v>119</v>
      </c>
      <c r="BP1441" s="395"/>
      <c r="BQ1441" s="395"/>
      <c r="BU1441" s="395"/>
      <c r="BV1441" s="395"/>
      <c r="BZ1441" s="395"/>
      <c r="CA1441" s="395"/>
      <c r="CE1441" s="548"/>
      <c r="CF1441" s="548"/>
      <c r="CG1441" s="548"/>
      <c r="CH1441" s="548"/>
      <c r="FB1441" s="24">
        <v>23.7</v>
      </c>
      <c r="FC1441" s="24">
        <v>8.76</v>
      </c>
      <c r="FF1441" s="24" t="s">
        <v>1684</v>
      </c>
    </row>
    <row r="1442" spans="1:264" s="24" customFormat="1" x14ac:dyDescent="0.25">
      <c r="A1442" s="24">
        <v>65</v>
      </c>
      <c r="B1442" s="42" t="s">
        <v>4049</v>
      </c>
      <c r="C1442" s="24" t="s">
        <v>980</v>
      </c>
      <c r="D1442" s="24" t="s">
        <v>979</v>
      </c>
      <c r="E1442" s="24">
        <v>1998</v>
      </c>
      <c r="F1442" s="24">
        <v>1994</v>
      </c>
      <c r="G1442" s="24" t="s">
        <v>978</v>
      </c>
      <c r="H1442" s="24" t="s">
        <v>981</v>
      </c>
      <c r="I1442" s="32" t="s">
        <v>2815</v>
      </c>
      <c r="J1442" s="24">
        <v>45.28</v>
      </c>
      <c r="K1442" s="24">
        <v>-122.75</v>
      </c>
      <c r="L1442" s="24">
        <v>48</v>
      </c>
      <c r="R1442" s="42">
        <v>3</v>
      </c>
      <c r="S1442" s="42">
        <v>3</v>
      </c>
      <c r="T1442" s="42" t="s">
        <v>864</v>
      </c>
      <c r="U1442" s="42" t="s">
        <v>780</v>
      </c>
      <c r="V1442" s="42" t="s">
        <v>1413</v>
      </c>
      <c r="W1442" s="42" t="s">
        <v>1730</v>
      </c>
      <c r="X1442" s="42" t="s">
        <v>1399</v>
      </c>
      <c r="Y1442" s="42" t="s">
        <v>1417</v>
      </c>
      <c r="AA1442" s="321"/>
      <c r="AB1442" s="321"/>
      <c r="AC1442" s="24" t="s">
        <v>1608</v>
      </c>
      <c r="AH1442" s="24" t="s">
        <v>131</v>
      </c>
      <c r="AI1442" s="138" t="s">
        <v>131</v>
      </c>
      <c r="AJ1442" s="24" t="s">
        <v>1601</v>
      </c>
      <c r="AK1442" s="140" t="s">
        <v>1601</v>
      </c>
      <c r="AW1442" s="24" t="s">
        <v>119</v>
      </c>
      <c r="BP1442" s="395"/>
      <c r="BQ1442" s="395"/>
      <c r="BU1442" s="395"/>
      <c r="BV1442" s="395"/>
      <c r="BZ1442" s="395"/>
      <c r="CA1442" s="395"/>
      <c r="CE1442" s="548"/>
      <c r="CF1442" s="548"/>
      <c r="CG1442" s="548"/>
      <c r="CH1442" s="548"/>
      <c r="FB1442" s="24">
        <v>19.41</v>
      </c>
      <c r="FC1442" s="24">
        <v>9.07</v>
      </c>
      <c r="FF1442" s="24" t="s">
        <v>1684</v>
      </c>
    </row>
    <row r="1443" spans="1:264" s="24" customFormat="1" x14ac:dyDescent="0.25">
      <c r="A1443" s="24">
        <v>65</v>
      </c>
      <c r="B1443" s="42" t="s">
        <v>4049</v>
      </c>
      <c r="C1443" s="24" t="s">
        <v>980</v>
      </c>
      <c r="D1443" s="24" t="s">
        <v>979</v>
      </c>
      <c r="E1443" s="24">
        <v>1998</v>
      </c>
      <c r="F1443" s="24">
        <v>1994</v>
      </c>
      <c r="G1443" s="24" t="s">
        <v>978</v>
      </c>
      <c r="H1443" s="24" t="s">
        <v>981</v>
      </c>
      <c r="I1443" s="32" t="s">
        <v>2815</v>
      </c>
      <c r="J1443" s="24">
        <v>45.28</v>
      </c>
      <c r="K1443" s="24">
        <v>-122.75</v>
      </c>
      <c r="L1443" s="24">
        <v>48</v>
      </c>
      <c r="R1443" s="42">
        <v>3</v>
      </c>
      <c r="S1443" s="42">
        <v>3</v>
      </c>
      <c r="T1443" s="42" t="s">
        <v>864</v>
      </c>
      <c r="U1443" s="42" t="s">
        <v>201</v>
      </c>
      <c r="V1443" s="42" t="s">
        <v>1413</v>
      </c>
      <c r="W1443" s="42" t="s">
        <v>1730</v>
      </c>
      <c r="X1443" s="42" t="s">
        <v>1399</v>
      </c>
      <c r="Y1443" s="42" t="s">
        <v>1417</v>
      </c>
      <c r="AA1443" s="321"/>
      <c r="AB1443" s="321"/>
      <c r="AC1443" s="24" t="s">
        <v>1608</v>
      </c>
      <c r="AH1443" s="24" t="s">
        <v>131</v>
      </c>
      <c r="AI1443" s="138" t="s">
        <v>131</v>
      </c>
      <c r="AJ1443" s="24" t="s">
        <v>1601</v>
      </c>
      <c r="AK1443" s="140" t="s">
        <v>1601</v>
      </c>
      <c r="AW1443" s="24" t="s">
        <v>119</v>
      </c>
      <c r="BP1443" s="395"/>
      <c r="BQ1443" s="395"/>
      <c r="BU1443" s="395"/>
      <c r="BV1443" s="395"/>
      <c r="BZ1443" s="395"/>
      <c r="CA1443" s="395"/>
      <c r="CE1443" s="548"/>
      <c r="CF1443" s="548"/>
      <c r="CG1443" s="548"/>
      <c r="CH1443" s="548"/>
      <c r="FB1443" s="24">
        <v>16.649999999999999</v>
      </c>
      <c r="FC1443" s="24">
        <v>9.68</v>
      </c>
      <c r="FF1443" s="24" t="s">
        <v>1684</v>
      </c>
    </row>
    <row r="1444" spans="1:264" s="24" customFormat="1" x14ac:dyDescent="0.25">
      <c r="A1444" s="24">
        <v>65</v>
      </c>
      <c r="B1444" s="42" t="s">
        <v>4049</v>
      </c>
      <c r="C1444" s="24" t="s">
        <v>980</v>
      </c>
      <c r="D1444" s="24" t="s">
        <v>979</v>
      </c>
      <c r="E1444" s="24">
        <v>1998</v>
      </c>
      <c r="F1444" s="24">
        <v>1994</v>
      </c>
      <c r="G1444" s="24" t="s">
        <v>978</v>
      </c>
      <c r="H1444" s="24" t="s">
        <v>981</v>
      </c>
      <c r="I1444" s="32" t="s">
        <v>2815</v>
      </c>
      <c r="J1444" s="24">
        <v>45.28</v>
      </c>
      <c r="K1444" s="24">
        <v>-122.75</v>
      </c>
      <c r="L1444" s="24">
        <v>48</v>
      </c>
      <c r="R1444" s="42">
        <v>3</v>
      </c>
      <c r="S1444" s="42">
        <v>3</v>
      </c>
      <c r="T1444" s="42" t="s">
        <v>864</v>
      </c>
      <c r="U1444" s="42" t="s">
        <v>596</v>
      </c>
      <c r="V1444" s="42" t="s">
        <v>1413</v>
      </c>
      <c r="W1444" s="42" t="s">
        <v>1730</v>
      </c>
      <c r="X1444" s="42" t="s">
        <v>1399</v>
      </c>
      <c r="Y1444" s="42" t="s">
        <v>1417</v>
      </c>
      <c r="AA1444" s="321"/>
      <c r="AB1444" s="321"/>
      <c r="AC1444" s="24" t="s">
        <v>1608</v>
      </c>
      <c r="AH1444" s="24" t="s">
        <v>131</v>
      </c>
      <c r="AI1444" s="138" t="s">
        <v>131</v>
      </c>
      <c r="AJ1444" s="24" t="s">
        <v>1601</v>
      </c>
      <c r="AK1444" s="140" t="s">
        <v>1601</v>
      </c>
      <c r="AW1444" s="24" t="s">
        <v>119</v>
      </c>
      <c r="BP1444" s="395"/>
      <c r="BQ1444" s="395"/>
      <c r="BU1444" s="395"/>
      <c r="BV1444" s="395"/>
      <c r="BZ1444" s="395"/>
      <c r="CA1444" s="395"/>
      <c r="CE1444" s="548"/>
      <c r="CF1444" s="548"/>
      <c r="CG1444" s="548"/>
      <c r="CH1444" s="548"/>
      <c r="FB1444" s="24">
        <v>18.11</v>
      </c>
      <c r="FC1444" s="24">
        <v>11.14</v>
      </c>
      <c r="FF1444" s="24" t="s">
        <v>1684</v>
      </c>
    </row>
    <row r="1445" spans="1:264" s="24" customFormat="1" x14ac:dyDescent="0.25">
      <c r="A1445" s="24">
        <v>65</v>
      </c>
      <c r="B1445" s="42" t="s">
        <v>4049</v>
      </c>
      <c r="C1445" s="24" t="s">
        <v>980</v>
      </c>
      <c r="D1445" s="24" t="s">
        <v>979</v>
      </c>
      <c r="E1445" s="24">
        <v>1998</v>
      </c>
      <c r="F1445" s="24">
        <v>1994</v>
      </c>
      <c r="G1445" s="24" t="s">
        <v>978</v>
      </c>
      <c r="H1445" s="24" t="s">
        <v>981</v>
      </c>
      <c r="I1445" s="32" t="s">
        <v>2815</v>
      </c>
      <c r="J1445" s="24">
        <v>45.28</v>
      </c>
      <c r="K1445" s="24">
        <v>-122.75</v>
      </c>
      <c r="L1445" s="24">
        <v>48</v>
      </c>
      <c r="R1445" s="42">
        <v>3</v>
      </c>
      <c r="S1445" s="42">
        <v>3</v>
      </c>
      <c r="T1445" s="42" t="s">
        <v>864</v>
      </c>
      <c r="U1445" s="42" t="s">
        <v>226</v>
      </c>
      <c r="V1445" s="42" t="s">
        <v>1413</v>
      </c>
      <c r="W1445" s="42" t="s">
        <v>1730</v>
      </c>
      <c r="X1445" s="42" t="s">
        <v>1399</v>
      </c>
      <c r="Y1445" s="42" t="s">
        <v>1417</v>
      </c>
      <c r="AA1445" s="321"/>
      <c r="AB1445" s="321"/>
      <c r="AC1445" s="24" t="s">
        <v>1608</v>
      </c>
      <c r="AH1445" s="24" t="s">
        <v>131</v>
      </c>
      <c r="AI1445" s="138" t="s">
        <v>131</v>
      </c>
      <c r="AJ1445" s="24" t="s">
        <v>1601</v>
      </c>
      <c r="AK1445" s="140" t="s">
        <v>1601</v>
      </c>
      <c r="AW1445" s="24" t="s">
        <v>119</v>
      </c>
      <c r="BP1445" s="395"/>
      <c r="BQ1445" s="395"/>
      <c r="BU1445" s="395"/>
      <c r="BV1445" s="395"/>
      <c r="BZ1445" s="395"/>
      <c r="CA1445" s="395"/>
      <c r="CE1445" s="548"/>
      <c r="CF1445" s="548"/>
      <c r="CG1445" s="548"/>
      <c r="CH1445" s="548"/>
      <c r="FB1445" s="24">
        <v>20.41</v>
      </c>
      <c r="FC1445" s="24">
        <v>10.6</v>
      </c>
      <c r="FF1445" s="24" t="s">
        <v>1684</v>
      </c>
    </row>
    <row r="1446" spans="1:264" s="24" customFormat="1" x14ac:dyDescent="0.25">
      <c r="A1446" s="24">
        <v>65</v>
      </c>
      <c r="B1446" s="42" t="s">
        <v>4049</v>
      </c>
      <c r="C1446" s="24" t="s">
        <v>980</v>
      </c>
      <c r="D1446" s="24" t="s">
        <v>979</v>
      </c>
      <c r="E1446" s="24">
        <v>1998</v>
      </c>
      <c r="F1446" s="24">
        <v>1994</v>
      </c>
      <c r="G1446" s="24" t="s">
        <v>978</v>
      </c>
      <c r="H1446" s="24" t="s">
        <v>981</v>
      </c>
      <c r="I1446" s="32" t="s">
        <v>2815</v>
      </c>
      <c r="J1446" s="24">
        <v>45.28</v>
      </c>
      <c r="K1446" s="24">
        <v>-122.75</v>
      </c>
      <c r="L1446" s="24">
        <v>48</v>
      </c>
      <c r="R1446" s="42">
        <v>3</v>
      </c>
      <c r="S1446" s="42">
        <v>3</v>
      </c>
      <c r="T1446" s="42" t="s">
        <v>864</v>
      </c>
      <c r="U1446" s="42" t="s">
        <v>887</v>
      </c>
      <c r="V1446" s="42" t="s">
        <v>1413</v>
      </c>
      <c r="W1446" s="42" t="s">
        <v>1730</v>
      </c>
      <c r="X1446" s="42" t="s">
        <v>1399</v>
      </c>
      <c r="Y1446" s="42" t="s">
        <v>1417</v>
      </c>
      <c r="AA1446" s="321"/>
      <c r="AB1446" s="321"/>
      <c r="AC1446" s="24" t="s">
        <v>1608</v>
      </c>
      <c r="AH1446" s="24" t="s">
        <v>131</v>
      </c>
      <c r="AI1446" s="138" t="s">
        <v>131</v>
      </c>
      <c r="AJ1446" s="24" t="s">
        <v>1601</v>
      </c>
      <c r="AK1446" s="140" t="s">
        <v>1601</v>
      </c>
      <c r="AW1446" s="24" t="s">
        <v>119</v>
      </c>
      <c r="BP1446" s="395"/>
      <c r="BQ1446" s="395"/>
      <c r="BU1446" s="395"/>
      <c r="BV1446" s="395"/>
      <c r="BZ1446" s="395"/>
      <c r="CA1446" s="395"/>
      <c r="CE1446" s="548"/>
      <c r="CF1446" s="548"/>
      <c r="CG1446" s="548"/>
      <c r="CH1446" s="548"/>
      <c r="FB1446" s="24">
        <v>20.95</v>
      </c>
      <c r="FC1446" s="24">
        <v>9.3000000000000007</v>
      </c>
      <c r="FF1446" s="24" t="s">
        <v>1684</v>
      </c>
    </row>
    <row r="1447" spans="1:264" s="24" customFormat="1" x14ac:dyDescent="0.25">
      <c r="A1447" s="24">
        <v>65</v>
      </c>
      <c r="B1447" s="42" t="s">
        <v>4049</v>
      </c>
      <c r="C1447" s="24" t="s">
        <v>980</v>
      </c>
      <c r="D1447" s="24" t="s">
        <v>979</v>
      </c>
      <c r="E1447" s="24">
        <v>1998</v>
      </c>
      <c r="F1447" s="24">
        <v>1994</v>
      </c>
      <c r="G1447" s="24" t="s">
        <v>978</v>
      </c>
      <c r="H1447" s="24" t="s">
        <v>981</v>
      </c>
      <c r="I1447" s="32" t="s">
        <v>2815</v>
      </c>
      <c r="J1447" s="24">
        <v>45.28</v>
      </c>
      <c r="K1447" s="24">
        <v>-122.75</v>
      </c>
      <c r="L1447" s="24">
        <v>48</v>
      </c>
      <c r="R1447" s="42">
        <v>3</v>
      </c>
      <c r="S1447" s="42">
        <v>3</v>
      </c>
      <c r="T1447" s="42" t="s">
        <v>864</v>
      </c>
      <c r="U1447" s="42" t="s">
        <v>885</v>
      </c>
      <c r="V1447" s="42" t="s">
        <v>1413</v>
      </c>
      <c r="W1447" s="42" t="s">
        <v>1730</v>
      </c>
      <c r="X1447" s="42" t="s">
        <v>1399</v>
      </c>
      <c r="Y1447" s="42" t="s">
        <v>1417</v>
      </c>
      <c r="AA1447" s="321"/>
      <c r="AB1447" s="321"/>
      <c r="AC1447" s="24" t="s">
        <v>1608</v>
      </c>
      <c r="AH1447" s="24" t="s">
        <v>131</v>
      </c>
      <c r="AI1447" s="138" t="s">
        <v>131</v>
      </c>
      <c r="AJ1447" s="24" t="s">
        <v>1601</v>
      </c>
      <c r="AK1447" s="140" t="s">
        <v>1601</v>
      </c>
      <c r="AW1447" s="24" t="s">
        <v>119</v>
      </c>
      <c r="BP1447" s="395"/>
      <c r="BQ1447" s="395"/>
      <c r="BU1447" s="395"/>
      <c r="BV1447" s="395"/>
      <c r="BZ1447" s="395"/>
      <c r="CA1447" s="395"/>
      <c r="CE1447" s="548"/>
      <c r="CF1447" s="548"/>
      <c r="CG1447" s="548"/>
      <c r="CH1447" s="548"/>
      <c r="FB1447" s="24">
        <v>21.95</v>
      </c>
      <c r="FC1447" s="24">
        <v>8.4600000000000009</v>
      </c>
      <c r="FF1447" s="24" t="s">
        <v>1684</v>
      </c>
    </row>
    <row r="1448" spans="1:264" s="24" customFormat="1" x14ac:dyDescent="0.25">
      <c r="A1448" s="24">
        <v>65</v>
      </c>
      <c r="B1448" s="42" t="s">
        <v>4049</v>
      </c>
      <c r="C1448" s="24" t="s">
        <v>980</v>
      </c>
      <c r="D1448" s="24" t="s">
        <v>979</v>
      </c>
      <c r="E1448" s="24">
        <v>1998</v>
      </c>
      <c r="F1448" s="24">
        <v>1994</v>
      </c>
      <c r="G1448" s="24" t="s">
        <v>978</v>
      </c>
      <c r="H1448" s="24" t="s">
        <v>981</v>
      </c>
      <c r="I1448" s="32" t="s">
        <v>2815</v>
      </c>
      <c r="J1448" s="24">
        <v>45.28</v>
      </c>
      <c r="K1448" s="24">
        <v>-122.75</v>
      </c>
      <c r="L1448" s="24">
        <v>48</v>
      </c>
      <c r="R1448" s="42">
        <v>3</v>
      </c>
      <c r="S1448" s="42">
        <v>3</v>
      </c>
      <c r="T1448" s="42" t="s">
        <v>864</v>
      </c>
      <c r="U1448" s="42" t="s">
        <v>886</v>
      </c>
      <c r="V1448" s="42" t="s">
        <v>1413</v>
      </c>
      <c r="W1448" s="42" t="s">
        <v>1730</v>
      </c>
      <c r="X1448" s="42" t="s">
        <v>1399</v>
      </c>
      <c r="Y1448" s="42" t="s">
        <v>1417</v>
      </c>
      <c r="AA1448" s="321"/>
      <c r="AB1448" s="321"/>
      <c r="AC1448" s="24" t="s">
        <v>1608</v>
      </c>
      <c r="AH1448" s="24" t="s">
        <v>131</v>
      </c>
      <c r="AI1448" s="138" t="s">
        <v>131</v>
      </c>
      <c r="AJ1448" s="24" t="s">
        <v>1601</v>
      </c>
      <c r="AK1448" s="140" t="s">
        <v>1601</v>
      </c>
      <c r="AW1448" s="24" t="s">
        <v>119</v>
      </c>
      <c r="BP1448" s="395"/>
      <c r="BQ1448" s="395"/>
      <c r="BU1448" s="395"/>
      <c r="BV1448" s="395"/>
      <c r="BZ1448" s="395"/>
      <c r="CA1448" s="395"/>
      <c r="CE1448" s="548"/>
      <c r="CF1448" s="548"/>
      <c r="CG1448" s="548"/>
      <c r="CH1448" s="548"/>
      <c r="FB1448" s="24">
        <v>13.29</v>
      </c>
      <c r="FC1448" s="24">
        <v>4.9400000000000004</v>
      </c>
      <c r="FF1448" s="24" t="s">
        <v>1684</v>
      </c>
    </row>
    <row r="1449" spans="1:264" s="24" customFormat="1" x14ac:dyDescent="0.25">
      <c r="A1449" s="24">
        <v>65</v>
      </c>
      <c r="B1449" s="42" t="s">
        <v>4049</v>
      </c>
      <c r="C1449" s="24" t="s">
        <v>980</v>
      </c>
      <c r="D1449" s="24" t="s">
        <v>979</v>
      </c>
      <c r="E1449" s="24">
        <v>1998</v>
      </c>
      <c r="F1449" s="24">
        <v>1994</v>
      </c>
      <c r="G1449" s="24" t="s">
        <v>978</v>
      </c>
      <c r="H1449" s="24" t="s">
        <v>981</v>
      </c>
      <c r="I1449" s="32" t="s">
        <v>2815</v>
      </c>
      <c r="J1449" s="24">
        <v>45.28</v>
      </c>
      <c r="K1449" s="24">
        <v>-122.75</v>
      </c>
      <c r="L1449" s="24">
        <v>48</v>
      </c>
      <c r="R1449" s="42">
        <v>3</v>
      </c>
      <c r="S1449" s="42">
        <v>3</v>
      </c>
      <c r="T1449" s="42" t="s">
        <v>864</v>
      </c>
      <c r="U1449" s="42" t="s">
        <v>781</v>
      </c>
      <c r="V1449" s="42" t="s">
        <v>1413</v>
      </c>
      <c r="W1449" s="42" t="s">
        <v>1730</v>
      </c>
      <c r="X1449" s="42" t="s">
        <v>1399</v>
      </c>
      <c r="Y1449" s="42" t="s">
        <v>1417</v>
      </c>
      <c r="AA1449" s="321"/>
      <c r="AB1449" s="321"/>
      <c r="AC1449" s="24" t="s">
        <v>1608</v>
      </c>
      <c r="AH1449" s="24" t="s">
        <v>131</v>
      </c>
      <c r="AI1449" s="138" t="s">
        <v>131</v>
      </c>
      <c r="AJ1449" s="24" t="s">
        <v>1601</v>
      </c>
      <c r="AK1449" s="140" t="s">
        <v>1601</v>
      </c>
      <c r="AW1449" s="24" t="s">
        <v>119</v>
      </c>
      <c r="BP1449" s="395"/>
      <c r="BQ1449" s="395"/>
      <c r="BU1449" s="395"/>
      <c r="BV1449" s="395"/>
      <c r="BZ1449" s="395"/>
      <c r="CA1449" s="395"/>
      <c r="CE1449" s="548"/>
      <c r="CF1449" s="548"/>
      <c r="CG1449" s="548"/>
      <c r="CH1449" s="548"/>
      <c r="FB1449" s="24">
        <v>20.190000000000001</v>
      </c>
      <c r="FC1449" s="24">
        <v>8</v>
      </c>
      <c r="FF1449" s="24" t="s">
        <v>1684</v>
      </c>
    </row>
    <row r="1450" spans="1:264" s="24" customFormat="1" x14ac:dyDescent="0.25">
      <c r="A1450" s="24">
        <v>65</v>
      </c>
      <c r="B1450" s="42" t="s">
        <v>4049</v>
      </c>
      <c r="C1450" s="24" t="s">
        <v>980</v>
      </c>
      <c r="D1450" s="24" t="s">
        <v>979</v>
      </c>
      <c r="E1450" s="24">
        <v>1998</v>
      </c>
      <c r="F1450" s="24">
        <v>1994</v>
      </c>
      <c r="G1450" s="24" t="s">
        <v>978</v>
      </c>
      <c r="H1450" s="24" t="s">
        <v>981</v>
      </c>
      <c r="I1450" s="32" t="s">
        <v>2815</v>
      </c>
      <c r="J1450" s="24">
        <v>45.28</v>
      </c>
      <c r="K1450" s="24">
        <v>-122.75</v>
      </c>
      <c r="L1450" s="24">
        <v>48</v>
      </c>
      <c r="R1450" s="42">
        <v>3</v>
      </c>
      <c r="S1450" s="42">
        <v>3</v>
      </c>
      <c r="T1450" s="42" t="s">
        <v>864</v>
      </c>
      <c r="U1450" s="42" t="s">
        <v>985</v>
      </c>
      <c r="V1450" s="42" t="s">
        <v>1413</v>
      </c>
      <c r="W1450" s="42" t="s">
        <v>1730</v>
      </c>
      <c r="X1450" s="42" t="s">
        <v>1399</v>
      </c>
      <c r="Y1450" s="42" t="s">
        <v>1417</v>
      </c>
      <c r="AA1450" s="321"/>
      <c r="AB1450" s="321"/>
      <c r="AC1450" s="24" t="s">
        <v>1608</v>
      </c>
      <c r="AH1450" s="24" t="s">
        <v>131</v>
      </c>
      <c r="AI1450" s="138" t="s">
        <v>131</v>
      </c>
      <c r="AJ1450" s="24" t="s">
        <v>1601</v>
      </c>
      <c r="AK1450" s="140" t="s">
        <v>1601</v>
      </c>
      <c r="AW1450" s="24" t="s">
        <v>119</v>
      </c>
      <c r="BP1450" s="395"/>
      <c r="BQ1450" s="395"/>
      <c r="BU1450" s="395"/>
      <c r="BV1450" s="395"/>
      <c r="BZ1450" s="395"/>
      <c r="CA1450" s="395"/>
      <c r="CE1450" s="548"/>
      <c r="CF1450" s="548"/>
      <c r="CG1450" s="548"/>
      <c r="CH1450" s="548"/>
      <c r="FB1450" s="24">
        <v>11.38</v>
      </c>
      <c r="FC1450" s="24">
        <v>4.4800000000000004</v>
      </c>
      <c r="FF1450" s="24" t="s">
        <v>1684</v>
      </c>
    </row>
    <row r="1451" spans="1:264" s="39" customFormat="1" x14ac:dyDescent="0.25">
      <c r="A1451" s="39">
        <v>66</v>
      </c>
      <c r="B1451" s="70" t="s">
        <v>4050</v>
      </c>
      <c r="C1451" s="39" t="s">
        <v>986</v>
      </c>
      <c r="D1451" s="39" t="s">
        <v>987</v>
      </c>
      <c r="E1451" s="39">
        <v>2015</v>
      </c>
      <c r="F1451" s="39">
        <v>2008</v>
      </c>
      <c r="G1451" s="39" t="s">
        <v>329</v>
      </c>
      <c r="H1451" s="39" t="s">
        <v>988</v>
      </c>
      <c r="I1451" s="32" t="s">
        <v>2815</v>
      </c>
      <c r="J1451" s="39">
        <v>39.54</v>
      </c>
      <c r="K1451" s="39">
        <v>-91.33</v>
      </c>
      <c r="L1451" s="39">
        <v>179.9</v>
      </c>
      <c r="R1451" s="70">
        <v>15</v>
      </c>
      <c r="S1451" s="70">
        <v>15</v>
      </c>
      <c r="T1451" s="70" t="s">
        <v>864</v>
      </c>
      <c r="U1451" s="70" t="s">
        <v>1995</v>
      </c>
      <c r="V1451" s="70" t="s">
        <v>1394</v>
      </c>
      <c r="W1451" s="70" t="s">
        <v>1722</v>
      </c>
      <c r="X1451" s="70" t="s">
        <v>1394</v>
      </c>
      <c r="Y1451" s="70" t="s">
        <v>1382</v>
      </c>
      <c r="Z1451" s="39">
        <v>1.37</v>
      </c>
      <c r="AA1451" s="340"/>
      <c r="AB1451" s="340"/>
      <c r="AC1451" s="39" t="s">
        <v>450</v>
      </c>
      <c r="AD1451" s="39">
        <v>6.98</v>
      </c>
      <c r="AG1451" s="39" t="s">
        <v>1351</v>
      </c>
      <c r="AH1451" s="39" t="s">
        <v>1531</v>
      </c>
      <c r="AI1451" s="138" t="s">
        <v>577</v>
      </c>
      <c r="AJ1451" s="39" t="s">
        <v>1589</v>
      </c>
      <c r="AK1451" s="141" t="s">
        <v>1611</v>
      </c>
      <c r="AL1451" s="39" t="s">
        <v>989</v>
      </c>
      <c r="AM1451" s="39" t="s">
        <v>990</v>
      </c>
      <c r="AN1451" s="39" t="s">
        <v>502</v>
      </c>
      <c r="AO1451" s="39" t="s">
        <v>156</v>
      </c>
      <c r="AP1451" s="39" t="s">
        <v>156</v>
      </c>
      <c r="AQ1451" s="39" t="s">
        <v>2126</v>
      </c>
      <c r="AR1451" s="39" t="s">
        <v>2126</v>
      </c>
      <c r="AS1451" s="39" t="s">
        <v>177</v>
      </c>
      <c r="AT1451" s="39" t="s">
        <v>423</v>
      </c>
      <c r="AU1451" s="39" t="s">
        <v>423</v>
      </c>
      <c r="AV1451" s="39" t="s">
        <v>177</v>
      </c>
      <c r="AW1451" s="39" t="s">
        <v>119</v>
      </c>
      <c r="AX1451" s="39">
        <v>3</v>
      </c>
      <c r="AZ1451" s="39" t="s">
        <v>141</v>
      </c>
      <c r="BE1451" s="39" t="s">
        <v>999</v>
      </c>
      <c r="BP1451" s="415">
        <v>1.37</v>
      </c>
      <c r="BQ1451" s="415">
        <v>1.36</v>
      </c>
      <c r="BU1451" s="415">
        <v>1.7</v>
      </c>
      <c r="BV1451" s="415">
        <v>2.2400000000000002</v>
      </c>
      <c r="BY1451" s="39" t="s">
        <v>992</v>
      </c>
      <c r="BZ1451" s="415"/>
      <c r="CA1451" s="415"/>
      <c r="CD1451" s="39" t="s">
        <v>3120</v>
      </c>
      <c r="CE1451" s="568">
        <v>1.7</v>
      </c>
      <c r="CF1451" s="568">
        <v>2.2400000000000002</v>
      </c>
      <c r="CG1451" s="568"/>
      <c r="CH1451" s="568"/>
      <c r="CI1451" s="39" t="s">
        <v>4546</v>
      </c>
      <c r="CJ1451" s="39">
        <f>1.72*1000</f>
        <v>1720</v>
      </c>
      <c r="CK1451" s="39">
        <f>2.14*1000</f>
        <v>2140</v>
      </c>
      <c r="CN1451" s="39" t="s">
        <v>234</v>
      </c>
      <c r="CO1451" s="39">
        <v>78</v>
      </c>
      <c r="CP1451" s="39">
        <v>39</v>
      </c>
      <c r="CS1451" s="39" t="s">
        <v>996</v>
      </c>
      <c r="CT1451" s="39">
        <v>150</v>
      </c>
      <c r="CU1451" s="39">
        <v>144</v>
      </c>
      <c r="CX1451" s="39" t="s">
        <v>997</v>
      </c>
      <c r="CY1451" s="39">
        <v>7.2</v>
      </c>
      <c r="CZ1451" s="39">
        <v>7.1</v>
      </c>
      <c r="DD1451" s="39">
        <f>3120+295</f>
        <v>3415</v>
      </c>
      <c r="DE1451" s="39">
        <f>3220+310</f>
        <v>3530</v>
      </c>
      <c r="DH1451" s="39" t="s">
        <v>1159</v>
      </c>
      <c r="DI1451" s="39">
        <v>0.21</v>
      </c>
      <c r="DJ1451" s="39">
        <v>0.27</v>
      </c>
      <c r="DM1451" s="39" t="s">
        <v>995</v>
      </c>
      <c r="DS1451" s="39">
        <v>85.8</v>
      </c>
      <c r="DT1451" s="39">
        <v>87.6</v>
      </c>
      <c r="DW1451" s="39" t="s">
        <v>991</v>
      </c>
      <c r="GZ1451" s="39">
        <v>167</v>
      </c>
      <c r="HA1451" s="39">
        <v>236</v>
      </c>
      <c r="HD1451" s="39" t="s">
        <v>993</v>
      </c>
      <c r="HE1451" s="39">
        <f>0.53*1000</f>
        <v>530</v>
      </c>
      <c r="HF1451" s="39">
        <f>0.77*1000</f>
        <v>770</v>
      </c>
      <c r="HJ1451" s="39">
        <v>46.4</v>
      </c>
      <c r="HK1451" s="39">
        <v>60.4</v>
      </c>
      <c r="HN1451" s="39" t="s">
        <v>994</v>
      </c>
      <c r="IN1451" s="39">
        <v>287</v>
      </c>
      <c r="IO1451" s="39">
        <v>297</v>
      </c>
      <c r="IR1451" s="39" t="s">
        <v>994</v>
      </c>
      <c r="IX1451" s="39">
        <v>99999</v>
      </c>
      <c r="IY1451" s="39">
        <v>99999</v>
      </c>
      <c r="JB1451" s="39" t="s">
        <v>998</v>
      </c>
      <c r="JD1451"/>
    </row>
    <row r="1452" spans="1:264" s="39" customFormat="1" x14ac:dyDescent="0.25">
      <c r="A1452" s="39">
        <v>66</v>
      </c>
      <c r="B1452" s="70" t="s">
        <v>4051</v>
      </c>
      <c r="C1452" s="39" t="s">
        <v>986</v>
      </c>
      <c r="D1452" s="39" t="s">
        <v>987</v>
      </c>
      <c r="E1452" s="39">
        <v>2015</v>
      </c>
      <c r="F1452" s="39">
        <v>2008</v>
      </c>
      <c r="G1452" s="39" t="s">
        <v>329</v>
      </c>
      <c r="H1452" s="39" t="s">
        <v>988</v>
      </c>
      <c r="I1452" s="32" t="s">
        <v>2815</v>
      </c>
      <c r="J1452" s="39">
        <v>39.54</v>
      </c>
      <c r="K1452" s="39">
        <v>-91.33</v>
      </c>
      <c r="L1452" s="39">
        <v>179.9</v>
      </c>
      <c r="R1452" s="70">
        <v>15</v>
      </c>
      <c r="S1452" s="70">
        <v>15</v>
      </c>
      <c r="T1452" s="70" t="s">
        <v>864</v>
      </c>
      <c r="U1452" s="70" t="s">
        <v>1995</v>
      </c>
      <c r="V1452" s="70" t="s">
        <v>1412</v>
      </c>
      <c r="W1452" s="70" t="s">
        <v>1719</v>
      </c>
      <c r="X1452" s="70" t="s">
        <v>1394</v>
      </c>
      <c r="Y1452" s="70" t="s">
        <v>1382</v>
      </c>
      <c r="Z1452" s="39">
        <v>1.37</v>
      </c>
      <c r="AA1452" s="340"/>
      <c r="AB1452" s="340"/>
      <c r="AC1452" s="39" t="s">
        <v>450</v>
      </c>
      <c r="AD1452" s="39">
        <v>6.98</v>
      </c>
      <c r="AG1452" s="39" t="s">
        <v>1351</v>
      </c>
      <c r="AH1452" s="39" t="s">
        <v>1531</v>
      </c>
      <c r="AI1452" s="138" t="s">
        <v>577</v>
      </c>
      <c r="AJ1452" s="39" t="s">
        <v>1589</v>
      </c>
      <c r="AK1452" s="141" t="s">
        <v>1611</v>
      </c>
      <c r="AL1452" s="39" t="s">
        <v>989</v>
      </c>
      <c r="AM1452" s="39" t="s">
        <v>990</v>
      </c>
      <c r="AN1452" s="39" t="s">
        <v>502</v>
      </c>
      <c r="AO1452" s="39" t="s">
        <v>156</v>
      </c>
      <c r="AP1452" s="39" t="s">
        <v>156</v>
      </c>
      <c r="AQ1452" s="39" t="s">
        <v>2126</v>
      </c>
      <c r="AR1452" s="39" t="s">
        <v>2126</v>
      </c>
      <c r="AS1452" s="39" t="s">
        <v>177</v>
      </c>
      <c r="AT1452" s="39" t="s">
        <v>423</v>
      </c>
      <c r="AU1452" s="39" t="s">
        <v>423</v>
      </c>
      <c r="AV1452" s="39" t="s">
        <v>177</v>
      </c>
      <c r="AW1452" s="39" t="s">
        <v>119</v>
      </c>
      <c r="AX1452" s="39">
        <v>3</v>
      </c>
      <c r="AZ1452" s="39" t="s">
        <v>141</v>
      </c>
      <c r="BE1452" s="39" t="s">
        <v>999</v>
      </c>
      <c r="BP1452" s="415">
        <v>1.38</v>
      </c>
      <c r="BQ1452" s="415">
        <v>1.4</v>
      </c>
      <c r="BU1452" s="415">
        <v>1.02</v>
      </c>
      <c r="BV1452" s="415">
        <v>1.01</v>
      </c>
      <c r="BY1452" s="39" t="s">
        <v>992</v>
      </c>
      <c r="BZ1452" s="415"/>
      <c r="CA1452" s="415"/>
      <c r="CD1452" s="39" t="s">
        <v>3120</v>
      </c>
      <c r="CE1452" s="568">
        <v>1.02</v>
      </c>
      <c r="CF1452" s="568">
        <v>1.01</v>
      </c>
      <c r="CG1452" s="568"/>
      <c r="CH1452" s="568"/>
      <c r="CI1452" s="39" t="s">
        <v>4546</v>
      </c>
      <c r="CJ1452" s="39">
        <v>1180</v>
      </c>
      <c r="CK1452" s="39">
        <v>1220</v>
      </c>
      <c r="CN1452" s="39" t="s">
        <v>234</v>
      </c>
      <c r="CO1452" s="39">
        <v>16.5</v>
      </c>
      <c r="CP1452" s="39">
        <v>12.2</v>
      </c>
      <c r="CS1452" s="39" t="s">
        <v>996</v>
      </c>
      <c r="CT1452" s="39">
        <v>107</v>
      </c>
      <c r="CU1452" s="39">
        <v>108</v>
      </c>
      <c r="CX1452" s="39" t="s">
        <v>997</v>
      </c>
      <c r="CY1452" s="39">
        <v>6.8</v>
      </c>
      <c r="CZ1452" s="39">
        <v>6.7</v>
      </c>
      <c r="DD1452" s="39">
        <f>2680+340</f>
        <v>3020</v>
      </c>
      <c r="DE1452" s="39">
        <f>2620+350</f>
        <v>2970</v>
      </c>
      <c r="DH1452" s="39" t="s">
        <v>1159</v>
      </c>
      <c r="DI1452" s="39">
        <v>0.16</v>
      </c>
      <c r="DJ1452" s="39">
        <v>0.17</v>
      </c>
      <c r="DM1452" s="39" t="s">
        <v>995</v>
      </c>
      <c r="DS1452" s="39">
        <v>87.1</v>
      </c>
      <c r="DT1452" s="39">
        <v>85</v>
      </c>
      <c r="DW1452" s="39" t="s">
        <v>991</v>
      </c>
      <c r="GZ1452" s="39">
        <v>36.1</v>
      </c>
      <c r="HA1452" s="39">
        <v>39.799999999999997</v>
      </c>
      <c r="HD1452" s="39" t="s">
        <v>993</v>
      </c>
      <c r="HE1452" s="39">
        <v>189</v>
      </c>
      <c r="HF1452" s="39">
        <v>214</v>
      </c>
      <c r="HJ1452" s="39">
        <v>14</v>
      </c>
      <c r="HK1452" s="39">
        <v>16.600000000000001</v>
      </c>
      <c r="HN1452" s="39" t="s">
        <v>994</v>
      </c>
      <c r="IN1452" s="39">
        <v>105</v>
      </c>
      <c r="IO1452" s="39">
        <v>131</v>
      </c>
      <c r="IR1452" s="39" t="s">
        <v>994</v>
      </c>
      <c r="IX1452" s="39">
        <v>99999</v>
      </c>
      <c r="IY1452" s="39">
        <v>99999</v>
      </c>
      <c r="JB1452" s="39" t="s">
        <v>998</v>
      </c>
      <c r="JD1452"/>
    </row>
    <row r="1453" spans="1:264" s="28" customFormat="1" x14ac:dyDescent="0.25">
      <c r="A1453" s="28">
        <v>66</v>
      </c>
      <c r="B1453" s="46" t="s">
        <v>4052</v>
      </c>
      <c r="C1453" s="28" t="s">
        <v>986</v>
      </c>
      <c r="D1453" s="28" t="s">
        <v>987</v>
      </c>
      <c r="E1453" s="28">
        <v>2015</v>
      </c>
      <c r="F1453" s="28">
        <v>2008</v>
      </c>
      <c r="G1453" s="28" t="s">
        <v>329</v>
      </c>
      <c r="H1453" s="28" t="s">
        <v>988</v>
      </c>
      <c r="I1453" s="32" t="s">
        <v>2815</v>
      </c>
      <c r="J1453" s="28">
        <v>39.54</v>
      </c>
      <c r="K1453" s="28">
        <v>-91.33</v>
      </c>
      <c r="L1453" s="28">
        <v>179.9</v>
      </c>
      <c r="R1453" s="46">
        <v>15</v>
      </c>
      <c r="S1453" s="46">
        <v>15</v>
      </c>
      <c r="T1453" s="46" t="s">
        <v>864</v>
      </c>
      <c r="U1453" s="46" t="s">
        <v>1995</v>
      </c>
      <c r="V1453" s="46" t="s">
        <v>1394</v>
      </c>
      <c r="W1453" s="46" t="s">
        <v>1722</v>
      </c>
      <c r="X1453" s="46" t="s">
        <v>1394</v>
      </c>
      <c r="Y1453" s="46" t="s">
        <v>1382</v>
      </c>
      <c r="Z1453" s="28">
        <f>(1.37+1.43)/2</f>
        <v>1.4</v>
      </c>
      <c r="AA1453" s="326"/>
      <c r="AB1453" s="326"/>
      <c r="AC1453" s="28" t="s">
        <v>450</v>
      </c>
      <c r="AD1453" s="28">
        <v>6.98</v>
      </c>
      <c r="AG1453" s="28" t="s">
        <v>1351</v>
      </c>
      <c r="AH1453" s="28" t="s">
        <v>1531</v>
      </c>
      <c r="AI1453" s="138" t="s">
        <v>577</v>
      </c>
      <c r="AJ1453" s="28" t="s">
        <v>1589</v>
      </c>
      <c r="AK1453" s="141" t="s">
        <v>1611</v>
      </c>
      <c r="AL1453" s="28" t="s">
        <v>989</v>
      </c>
      <c r="AM1453" s="28" t="s">
        <v>989</v>
      </c>
      <c r="AN1453" s="28" t="s">
        <v>177</v>
      </c>
      <c r="AO1453" s="28" t="s">
        <v>156</v>
      </c>
      <c r="AP1453" s="28" t="s">
        <v>1001</v>
      </c>
      <c r="AQ1453" s="28" t="s">
        <v>2126</v>
      </c>
      <c r="AR1453" s="28" t="s">
        <v>2125</v>
      </c>
      <c r="AS1453" s="28" t="s">
        <v>502</v>
      </c>
      <c r="AT1453" s="28" t="s">
        <v>423</v>
      </c>
      <c r="AU1453" s="28" t="s">
        <v>1002</v>
      </c>
      <c r="AV1453" s="28" t="s">
        <v>502</v>
      </c>
      <c r="AW1453" s="28" t="s">
        <v>119</v>
      </c>
      <c r="AX1453" s="28">
        <v>3</v>
      </c>
      <c r="AZ1453" s="28" t="s">
        <v>141</v>
      </c>
      <c r="BE1453" s="28" t="s">
        <v>1000</v>
      </c>
      <c r="BP1453" s="401">
        <v>1.43</v>
      </c>
      <c r="BQ1453" s="401">
        <v>1.37</v>
      </c>
      <c r="BU1453" s="401">
        <f>15.9/10</f>
        <v>1.59</v>
      </c>
      <c r="BV1453" s="401">
        <f>16.7/10</f>
        <v>1.67</v>
      </c>
      <c r="BY1453" s="28" t="s">
        <v>992</v>
      </c>
      <c r="BZ1453" s="401"/>
      <c r="CA1453" s="401"/>
      <c r="CD1453" s="28" t="s">
        <v>3120</v>
      </c>
      <c r="CE1453" s="554">
        <v>1.59</v>
      </c>
      <c r="CF1453" s="554">
        <v>1.67</v>
      </c>
      <c r="CG1453" s="554"/>
      <c r="CH1453" s="554"/>
      <c r="CI1453" s="28" t="s">
        <v>4546</v>
      </c>
      <c r="CJ1453" s="28">
        <v>1710</v>
      </c>
      <c r="CK1453" s="28">
        <v>2270</v>
      </c>
      <c r="CN1453" s="28" t="s">
        <v>234</v>
      </c>
      <c r="CO1453" s="28">
        <v>37</v>
      </c>
      <c r="CP1453" s="28">
        <v>96</v>
      </c>
      <c r="CS1453" s="28" t="s">
        <v>996</v>
      </c>
      <c r="CT1453" s="28">
        <v>163</v>
      </c>
      <c r="CU1453" s="28">
        <v>136</v>
      </c>
      <c r="CX1453" s="28" t="s">
        <v>997</v>
      </c>
      <c r="CY1453" s="28">
        <v>6.7</v>
      </c>
      <c r="CZ1453" s="28">
        <v>7.2</v>
      </c>
      <c r="DD1453" s="28">
        <f>3040+219</f>
        <v>3259</v>
      </c>
      <c r="DE1453" s="28">
        <f>2300+186</f>
        <v>2486</v>
      </c>
      <c r="DH1453" s="28" t="s">
        <v>1159</v>
      </c>
      <c r="DI1453" s="28">
        <v>0.41</v>
      </c>
      <c r="DJ1453" s="28">
        <v>0.33</v>
      </c>
      <c r="DM1453" s="28" t="s">
        <v>995</v>
      </c>
      <c r="DS1453" s="28">
        <v>88.6</v>
      </c>
      <c r="DT1453" s="28">
        <v>90.2</v>
      </c>
      <c r="DW1453" s="28" t="s">
        <v>991</v>
      </c>
      <c r="GZ1453" s="28">
        <v>222</v>
      </c>
      <c r="HA1453" s="28">
        <v>186</v>
      </c>
      <c r="HD1453" s="28" t="s">
        <v>993</v>
      </c>
      <c r="HE1453" s="28">
        <v>530</v>
      </c>
      <c r="HF1453" s="28">
        <v>810</v>
      </c>
      <c r="HJ1453" s="28">
        <v>47.9</v>
      </c>
      <c r="HK1453" s="28">
        <v>22.8</v>
      </c>
      <c r="HN1453" s="28" t="s">
        <v>994</v>
      </c>
      <c r="IN1453" s="28">
        <v>389</v>
      </c>
      <c r="IO1453" s="28">
        <v>731</v>
      </c>
      <c r="IR1453" s="28" t="s">
        <v>994</v>
      </c>
      <c r="IX1453" s="28">
        <v>99999</v>
      </c>
      <c r="IY1453" s="39">
        <v>99999</v>
      </c>
      <c r="JB1453" s="28" t="s">
        <v>998</v>
      </c>
    </row>
    <row r="1454" spans="1:264" s="28" customFormat="1" x14ac:dyDescent="0.25">
      <c r="A1454" s="28">
        <v>66</v>
      </c>
      <c r="B1454" s="46" t="s">
        <v>4053</v>
      </c>
      <c r="C1454" s="28" t="s">
        <v>986</v>
      </c>
      <c r="D1454" s="28" t="s">
        <v>987</v>
      </c>
      <c r="E1454" s="28">
        <v>2015</v>
      </c>
      <c r="F1454" s="28">
        <v>2008</v>
      </c>
      <c r="G1454" s="28" t="s">
        <v>329</v>
      </c>
      <c r="H1454" s="28" t="s">
        <v>988</v>
      </c>
      <c r="I1454" s="32" t="s">
        <v>2815</v>
      </c>
      <c r="J1454" s="28">
        <v>39.54</v>
      </c>
      <c r="K1454" s="28">
        <v>-91.33</v>
      </c>
      <c r="L1454" s="28">
        <v>179.9</v>
      </c>
      <c r="R1454" s="46">
        <v>15</v>
      </c>
      <c r="S1454" s="46">
        <v>15</v>
      </c>
      <c r="T1454" s="46" t="s">
        <v>864</v>
      </c>
      <c r="U1454" s="46" t="s">
        <v>1995</v>
      </c>
      <c r="V1454" s="46" t="s">
        <v>1412</v>
      </c>
      <c r="W1454" s="46" t="s">
        <v>1719</v>
      </c>
      <c r="X1454" s="46" t="s">
        <v>1394</v>
      </c>
      <c r="Y1454" s="46" t="s">
        <v>1382</v>
      </c>
      <c r="Z1454" s="28">
        <f>(1.37+1.43)/2</f>
        <v>1.4</v>
      </c>
      <c r="AA1454" s="326"/>
      <c r="AB1454" s="326"/>
      <c r="AC1454" s="28" t="s">
        <v>450</v>
      </c>
      <c r="AD1454" s="28">
        <v>6.98</v>
      </c>
      <c r="AG1454" s="28" t="s">
        <v>1351</v>
      </c>
      <c r="AH1454" s="28" t="s">
        <v>1531</v>
      </c>
      <c r="AI1454" s="138" t="s">
        <v>577</v>
      </c>
      <c r="AJ1454" s="28" t="s">
        <v>1589</v>
      </c>
      <c r="AK1454" s="141" t="s">
        <v>1611</v>
      </c>
      <c r="AL1454" s="28" t="s">
        <v>989</v>
      </c>
      <c r="AM1454" s="28" t="s">
        <v>989</v>
      </c>
      <c r="AN1454" s="28" t="s">
        <v>177</v>
      </c>
      <c r="AO1454" s="28" t="s">
        <v>156</v>
      </c>
      <c r="AP1454" s="28" t="s">
        <v>1001</v>
      </c>
      <c r="AQ1454" s="28" t="s">
        <v>2126</v>
      </c>
      <c r="AR1454" s="28" t="s">
        <v>2125</v>
      </c>
      <c r="AS1454" s="28" t="s">
        <v>502</v>
      </c>
      <c r="AT1454" s="28" t="s">
        <v>423</v>
      </c>
      <c r="AU1454" s="28" t="s">
        <v>1002</v>
      </c>
      <c r="AV1454" s="28" t="s">
        <v>502</v>
      </c>
      <c r="AW1454" s="28" t="s">
        <v>119</v>
      </c>
      <c r="AX1454" s="28">
        <v>3</v>
      </c>
      <c r="AZ1454" s="28" t="s">
        <v>141</v>
      </c>
      <c r="BE1454" s="28" t="s">
        <v>1000</v>
      </c>
      <c r="BP1454" s="401">
        <v>1.41</v>
      </c>
      <c r="BQ1454" s="401">
        <v>1.46</v>
      </c>
      <c r="BU1454" s="401">
        <v>1.04</v>
      </c>
      <c r="BV1454" s="401">
        <v>1.33</v>
      </c>
      <c r="BY1454" s="28" t="s">
        <v>992</v>
      </c>
      <c r="BZ1454" s="401"/>
      <c r="CA1454" s="401"/>
      <c r="CD1454" s="28" t="s">
        <v>3120</v>
      </c>
      <c r="CE1454" s="554">
        <v>1.04</v>
      </c>
      <c r="CF1454" s="554">
        <v>1.33</v>
      </c>
      <c r="CG1454" s="554"/>
      <c r="CH1454" s="554"/>
      <c r="CI1454" s="28" t="s">
        <v>4546</v>
      </c>
      <c r="CJ1454" s="28">
        <v>1160</v>
      </c>
      <c r="CK1454" s="28">
        <v>1600</v>
      </c>
      <c r="CN1454" s="28" t="s">
        <v>234</v>
      </c>
      <c r="CO1454" s="28">
        <v>12.6</v>
      </c>
      <c r="CP1454" s="28">
        <v>32.5</v>
      </c>
      <c r="CS1454" s="28" t="s">
        <v>996</v>
      </c>
      <c r="CT1454" s="28">
        <v>65.099999999999994</v>
      </c>
      <c r="CU1454" s="28">
        <v>67.8</v>
      </c>
      <c r="CX1454" s="28" t="s">
        <v>997</v>
      </c>
      <c r="CY1454" s="28">
        <v>6.9</v>
      </c>
      <c r="CZ1454" s="28">
        <v>7.2</v>
      </c>
      <c r="DD1454" s="28">
        <f>1890+158</f>
        <v>2048</v>
      </c>
      <c r="DE1454" s="28">
        <f>2560+150</f>
        <v>2710</v>
      </c>
      <c r="DH1454" s="28" t="s">
        <v>1159</v>
      </c>
      <c r="DI1454" s="28">
        <v>0.13</v>
      </c>
      <c r="DJ1454" s="28">
        <v>0.2</v>
      </c>
      <c r="DM1454" s="28" t="s">
        <v>995</v>
      </c>
      <c r="DS1454" s="28">
        <v>85.8</v>
      </c>
      <c r="DT1454" s="28">
        <v>91.2</v>
      </c>
      <c r="DW1454" s="28" t="s">
        <v>991</v>
      </c>
      <c r="GZ1454" s="28">
        <v>57.8</v>
      </c>
      <c r="HA1454" s="28">
        <v>77.599999999999994</v>
      </c>
      <c r="HD1454" s="28" t="s">
        <v>993</v>
      </c>
      <c r="HE1454" s="28">
        <v>202</v>
      </c>
      <c r="HF1454" s="28">
        <v>266</v>
      </c>
      <c r="HJ1454" s="28">
        <v>22.6</v>
      </c>
      <c r="HK1454" s="28">
        <v>14.3</v>
      </c>
      <c r="HN1454" s="28" t="s">
        <v>994</v>
      </c>
      <c r="IN1454" s="28">
        <v>109</v>
      </c>
      <c r="IO1454" s="28">
        <v>251</v>
      </c>
      <c r="IR1454" s="28" t="s">
        <v>994</v>
      </c>
      <c r="IX1454" s="28">
        <v>99999</v>
      </c>
      <c r="IY1454" s="39">
        <v>99999</v>
      </c>
      <c r="JB1454" s="28" t="s">
        <v>998</v>
      </c>
    </row>
    <row r="1455" spans="1:264" s="40" customFormat="1" x14ac:dyDescent="0.25">
      <c r="A1455" s="40">
        <v>67</v>
      </c>
      <c r="B1455" s="71" t="s">
        <v>4054</v>
      </c>
      <c r="C1455" s="40" t="s">
        <v>1003</v>
      </c>
      <c r="D1455" s="40" t="s">
        <v>1004</v>
      </c>
      <c r="E1455" s="40">
        <v>2006</v>
      </c>
      <c r="F1455" s="40">
        <v>2002</v>
      </c>
      <c r="G1455" s="40" t="s">
        <v>151</v>
      </c>
      <c r="H1455" s="40" t="s">
        <v>1005</v>
      </c>
      <c r="I1455" s="32" t="s">
        <v>2815</v>
      </c>
      <c r="J1455" s="40">
        <v>40.1</v>
      </c>
      <c r="K1455" s="40">
        <v>-88.25</v>
      </c>
      <c r="L1455" s="40">
        <v>235.6</v>
      </c>
      <c r="R1455" s="40">
        <v>2</v>
      </c>
      <c r="S1455" s="40">
        <v>2</v>
      </c>
      <c r="T1455" s="71" t="s">
        <v>1997</v>
      </c>
      <c r="U1455" s="71" t="s">
        <v>1996</v>
      </c>
      <c r="V1455" s="71" t="s">
        <v>1394</v>
      </c>
      <c r="W1455" s="71" t="s">
        <v>1722</v>
      </c>
      <c r="X1455" s="71" t="s">
        <v>1394</v>
      </c>
      <c r="Y1455" s="71" t="s">
        <v>1389</v>
      </c>
      <c r="Z1455" s="416">
        <v>1.32</v>
      </c>
      <c r="AA1455" s="341"/>
      <c r="AB1455" s="341"/>
      <c r="AC1455" s="40" t="s">
        <v>139</v>
      </c>
      <c r="AG1455" s="40" t="s">
        <v>1318</v>
      </c>
      <c r="AH1455" s="40" t="s">
        <v>131</v>
      </c>
      <c r="AI1455" s="138" t="s">
        <v>131</v>
      </c>
      <c r="AJ1455" s="40" t="s">
        <v>132</v>
      </c>
      <c r="AK1455" s="140" t="s">
        <v>1611</v>
      </c>
      <c r="AL1455" s="40" t="s">
        <v>989</v>
      </c>
      <c r="AM1455" s="40" t="s">
        <v>989</v>
      </c>
      <c r="AN1455" s="40" t="s">
        <v>177</v>
      </c>
      <c r="AO1455" s="40" t="s">
        <v>156</v>
      </c>
      <c r="AP1455" s="40" t="s">
        <v>156</v>
      </c>
      <c r="AQ1455" s="40" t="s">
        <v>2126</v>
      </c>
      <c r="AR1455" s="40" t="s">
        <v>2126</v>
      </c>
      <c r="AS1455" s="40" t="s">
        <v>177</v>
      </c>
      <c r="AT1455" s="40" t="s">
        <v>1006</v>
      </c>
      <c r="AU1455" s="40" t="s">
        <v>1006</v>
      </c>
      <c r="AV1455" s="40" t="s">
        <v>177</v>
      </c>
      <c r="AW1455" s="40" t="s">
        <v>119</v>
      </c>
      <c r="AX1455" s="40">
        <v>4</v>
      </c>
      <c r="AZ1455" s="40" t="s">
        <v>335</v>
      </c>
      <c r="BP1455" s="416">
        <v>1.32</v>
      </c>
      <c r="BQ1455" s="416">
        <v>1.24</v>
      </c>
      <c r="BU1455" s="416">
        <v>4.2</v>
      </c>
      <c r="BV1455" s="416">
        <v>4.4000000000000004</v>
      </c>
      <c r="BY1455" s="40" t="s">
        <v>1007</v>
      </c>
      <c r="BZ1455" s="416"/>
      <c r="CA1455" s="416"/>
      <c r="CD1455" s="40" t="s">
        <v>1670</v>
      </c>
      <c r="CE1455" s="569">
        <v>4.2</v>
      </c>
      <c r="CF1455" s="569">
        <v>4.4000000000000004</v>
      </c>
      <c r="CG1455" s="569"/>
      <c r="CH1455" s="569"/>
      <c r="CI1455" s="40" t="s">
        <v>4541</v>
      </c>
      <c r="CJ1455" s="40">
        <v>27.7</v>
      </c>
      <c r="CK1455" s="40">
        <v>23.1</v>
      </c>
      <c r="CN1455" s="40" t="s">
        <v>1009</v>
      </c>
      <c r="CO1455" s="40">
        <v>36.4</v>
      </c>
      <c r="CP1455" s="40">
        <v>29.6</v>
      </c>
      <c r="DS1455" s="40">
        <v>38</v>
      </c>
      <c r="DT1455" s="40">
        <v>41</v>
      </c>
      <c r="DW1455" s="40" t="s">
        <v>991</v>
      </c>
      <c r="DX1455" s="40">
        <v>39</v>
      </c>
      <c r="DY1455" s="40">
        <v>41</v>
      </c>
      <c r="EB1455" s="40" t="s">
        <v>1017</v>
      </c>
      <c r="EC1455" s="40">
        <v>1.4119999999999999</v>
      </c>
      <c r="ED1455" s="40">
        <v>1.032</v>
      </c>
      <c r="EG1455" s="40" t="s">
        <v>1010</v>
      </c>
      <c r="FQ1455" s="40">
        <v>24.3</v>
      </c>
      <c r="FR1455" s="40">
        <v>25.3</v>
      </c>
      <c r="FU1455" s="40" t="s">
        <v>1018</v>
      </c>
    </row>
    <row r="1456" spans="1:264" s="40" customFormat="1" x14ac:dyDescent="0.25">
      <c r="A1456" s="40">
        <v>67</v>
      </c>
      <c r="B1456" s="71" t="s">
        <v>4055</v>
      </c>
      <c r="C1456" s="40" t="s">
        <v>1003</v>
      </c>
      <c r="D1456" s="40" t="s">
        <v>1004</v>
      </c>
      <c r="E1456" s="40">
        <v>2006</v>
      </c>
      <c r="F1456" s="40">
        <v>2002</v>
      </c>
      <c r="G1456" s="40" t="s">
        <v>151</v>
      </c>
      <c r="H1456" s="40" t="s">
        <v>1005</v>
      </c>
      <c r="I1456" s="32" t="s">
        <v>2815</v>
      </c>
      <c r="J1456" s="40">
        <v>40.1</v>
      </c>
      <c r="K1456" s="40">
        <v>-88.25</v>
      </c>
      <c r="L1456" s="40">
        <v>235.6</v>
      </c>
      <c r="R1456" s="40">
        <v>2</v>
      </c>
      <c r="S1456" s="40">
        <v>2</v>
      </c>
      <c r="T1456" s="71" t="s">
        <v>1997</v>
      </c>
      <c r="U1456" s="71" t="s">
        <v>1996</v>
      </c>
      <c r="V1456" s="71" t="s">
        <v>1401</v>
      </c>
      <c r="W1456" s="71" t="s">
        <v>1722</v>
      </c>
      <c r="X1456" s="71" t="s">
        <v>1394</v>
      </c>
      <c r="Y1456" s="71" t="s">
        <v>1389</v>
      </c>
      <c r="Z1456" s="416">
        <v>1.4</v>
      </c>
      <c r="AA1456" s="341"/>
      <c r="AB1456" s="341"/>
      <c r="AC1456" s="40" t="s">
        <v>139</v>
      </c>
      <c r="AG1456" s="40" t="s">
        <v>1318</v>
      </c>
      <c r="AH1456" s="40" t="s">
        <v>131</v>
      </c>
      <c r="AI1456" s="138" t="s">
        <v>131</v>
      </c>
      <c r="AJ1456" s="40" t="s">
        <v>132</v>
      </c>
      <c r="AK1456" s="140" t="s">
        <v>1611</v>
      </c>
      <c r="AL1456" s="40" t="s">
        <v>989</v>
      </c>
      <c r="AM1456" s="40" t="s">
        <v>989</v>
      </c>
      <c r="AN1456" s="40" t="s">
        <v>177</v>
      </c>
      <c r="AO1456" s="40" t="s">
        <v>156</v>
      </c>
      <c r="AP1456" s="40" t="s">
        <v>156</v>
      </c>
      <c r="AQ1456" s="40" t="s">
        <v>2126</v>
      </c>
      <c r="AR1456" s="40" t="s">
        <v>2126</v>
      </c>
      <c r="AS1456" s="40" t="s">
        <v>177</v>
      </c>
      <c r="AT1456" s="40" t="s">
        <v>1006</v>
      </c>
      <c r="AU1456" s="40" t="s">
        <v>1006</v>
      </c>
      <c r="AV1456" s="40" t="s">
        <v>177</v>
      </c>
      <c r="AW1456" s="40" t="s">
        <v>119</v>
      </c>
      <c r="AX1456" s="40">
        <v>4</v>
      </c>
      <c r="AZ1456" s="40" t="s">
        <v>335</v>
      </c>
      <c r="BP1456" s="416">
        <v>1.4</v>
      </c>
      <c r="BQ1456" s="416">
        <v>1.38</v>
      </c>
      <c r="BU1456" s="416">
        <v>3.3</v>
      </c>
      <c r="BV1456" s="416">
        <v>3.5</v>
      </c>
      <c r="BY1456" s="40" t="s">
        <v>1007</v>
      </c>
      <c r="BZ1456" s="416"/>
      <c r="CA1456" s="416"/>
      <c r="CD1456" s="40" t="s">
        <v>1670</v>
      </c>
      <c r="CE1456" s="569">
        <v>3.3</v>
      </c>
      <c r="CF1456" s="569">
        <v>3.5</v>
      </c>
      <c r="CG1456" s="569"/>
      <c r="CH1456" s="569"/>
      <c r="CI1456" s="40" t="s">
        <v>4541</v>
      </c>
      <c r="CJ1456" s="40">
        <v>24.8</v>
      </c>
      <c r="CK1456" s="40">
        <v>29.1</v>
      </c>
      <c r="CN1456" s="40" t="s">
        <v>1009</v>
      </c>
      <c r="CO1456" s="40">
        <v>36.4</v>
      </c>
      <c r="CP1456" s="40">
        <v>34.4</v>
      </c>
      <c r="DS1456" s="40">
        <v>38</v>
      </c>
      <c r="DT1456" s="40">
        <v>43</v>
      </c>
      <c r="DW1456" s="40" t="s">
        <v>991</v>
      </c>
      <c r="DX1456" s="40">
        <v>39</v>
      </c>
      <c r="DY1456" s="40">
        <v>40.299999999999997</v>
      </c>
      <c r="EB1456" s="40" t="s">
        <v>1017</v>
      </c>
      <c r="EC1456" s="40">
        <v>1.84</v>
      </c>
      <c r="ED1456" s="40">
        <v>1.653</v>
      </c>
      <c r="EG1456" s="40" t="s">
        <v>1010</v>
      </c>
      <c r="FQ1456" s="40">
        <v>24.3</v>
      </c>
      <c r="FR1456" s="40">
        <v>25.6</v>
      </c>
      <c r="FU1456" s="40" t="s">
        <v>1018</v>
      </c>
    </row>
    <row r="1457" spans="1:177" s="40" customFormat="1" x14ac:dyDescent="0.25">
      <c r="A1457" s="40">
        <v>67</v>
      </c>
      <c r="B1457" s="71" t="s">
        <v>4056</v>
      </c>
      <c r="C1457" s="40" t="s">
        <v>1003</v>
      </c>
      <c r="D1457" s="40" t="s">
        <v>1004</v>
      </c>
      <c r="E1457" s="40">
        <v>2006</v>
      </c>
      <c r="F1457" s="40">
        <v>2002</v>
      </c>
      <c r="G1457" s="40" t="s">
        <v>151</v>
      </c>
      <c r="H1457" s="40" t="s">
        <v>1005</v>
      </c>
      <c r="I1457" s="32" t="s">
        <v>2815</v>
      </c>
      <c r="J1457" s="40">
        <v>40.1</v>
      </c>
      <c r="K1457" s="40">
        <v>-88.25</v>
      </c>
      <c r="L1457" s="40">
        <v>235.6</v>
      </c>
      <c r="R1457" s="40">
        <v>2</v>
      </c>
      <c r="S1457" s="40">
        <v>2</v>
      </c>
      <c r="T1457" s="71" t="s">
        <v>1997</v>
      </c>
      <c r="U1457" s="71" t="s">
        <v>1996</v>
      </c>
      <c r="V1457" s="71" t="s">
        <v>1409</v>
      </c>
      <c r="W1457" s="71" t="s">
        <v>1722</v>
      </c>
      <c r="X1457" s="71" t="s">
        <v>1394</v>
      </c>
      <c r="Y1457" s="71" t="s">
        <v>1389</v>
      </c>
      <c r="Z1457" s="416">
        <v>1.45</v>
      </c>
      <c r="AA1457" s="341"/>
      <c r="AB1457" s="341"/>
      <c r="AC1457" s="40" t="s">
        <v>139</v>
      </c>
      <c r="AG1457" s="40" t="s">
        <v>1318</v>
      </c>
      <c r="AH1457" s="40" t="s">
        <v>131</v>
      </c>
      <c r="AI1457" s="138" t="s">
        <v>131</v>
      </c>
      <c r="AJ1457" s="40" t="s">
        <v>132</v>
      </c>
      <c r="AK1457" s="140" t="s">
        <v>1611</v>
      </c>
      <c r="AL1457" s="40" t="s">
        <v>989</v>
      </c>
      <c r="AM1457" s="40" t="s">
        <v>989</v>
      </c>
      <c r="AN1457" s="40" t="s">
        <v>177</v>
      </c>
      <c r="AO1457" s="40" t="s">
        <v>156</v>
      </c>
      <c r="AP1457" s="40" t="s">
        <v>156</v>
      </c>
      <c r="AQ1457" s="40" t="s">
        <v>2126</v>
      </c>
      <c r="AR1457" s="40" t="s">
        <v>2126</v>
      </c>
      <c r="AS1457" s="40" t="s">
        <v>177</v>
      </c>
      <c r="AT1457" s="40" t="s">
        <v>1006</v>
      </c>
      <c r="AU1457" s="40" t="s">
        <v>1006</v>
      </c>
      <c r="AV1457" s="40" t="s">
        <v>177</v>
      </c>
      <c r="AW1457" s="40" t="s">
        <v>119</v>
      </c>
      <c r="AX1457" s="40">
        <v>4</v>
      </c>
      <c r="AZ1457" s="40" t="s">
        <v>335</v>
      </c>
      <c r="BP1457" s="416">
        <v>1.45</v>
      </c>
      <c r="BQ1457" s="416">
        <v>1.46</v>
      </c>
      <c r="BU1457" s="416">
        <v>3.1</v>
      </c>
      <c r="BV1457" s="416">
        <v>3.3</v>
      </c>
      <c r="BY1457" s="40" t="s">
        <v>1007</v>
      </c>
      <c r="BZ1457" s="416"/>
      <c r="CA1457" s="416"/>
      <c r="CD1457" s="40" t="s">
        <v>1670</v>
      </c>
      <c r="CE1457" s="569">
        <v>3.1</v>
      </c>
      <c r="CF1457" s="569">
        <v>3.3</v>
      </c>
      <c r="CG1457" s="569"/>
      <c r="CH1457" s="569"/>
      <c r="CI1457" s="40" t="s">
        <v>4541</v>
      </c>
      <c r="CJ1457" s="40">
        <v>32.700000000000003</v>
      </c>
      <c r="CK1457" s="40">
        <v>26.7</v>
      </c>
      <c r="CN1457" s="40" t="s">
        <v>1009</v>
      </c>
      <c r="CO1457" s="40">
        <v>36.4</v>
      </c>
      <c r="CP1457" s="40">
        <v>31.2</v>
      </c>
      <c r="DS1457" s="40">
        <v>38</v>
      </c>
      <c r="DT1457" s="40">
        <v>44</v>
      </c>
      <c r="DW1457" s="40" t="s">
        <v>991</v>
      </c>
      <c r="DX1457" s="40">
        <v>39</v>
      </c>
      <c r="DY1457" s="40">
        <v>41.3</v>
      </c>
      <c r="EB1457" s="40" t="s">
        <v>1017</v>
      </c>
      <c r="EC1457" s="40">
        <v>1.744</v>
      </c>
      <c r="ED1457" s="40">
        <v>1.746</v>
      </c>
      <c r="EG1457" s="40" t="s">
        <v>1010</v>
      </c>
      <c r="FQ1457" s="40">
        <v>24.3</v>
      </c>
      <c r="FR1457" s="40">
        <v>26.4</v>
      </c>
      <c r="FU1457" s="40" t="s">
        <v>1018</v>
      </c>
    </row>
    <row r="1458" spans="1:177" s="40" customFormat="1" x14ac:dyDescent="0.25">
      <c r="A1458" s="40">
        <v>67</v>
      </c>
      <c r="B1458" s="71" t="s">
        <v>4057</v>
      </c>
      <c r="C1458" s="40" t="s">
        <v>1003</v>
      </c>
      <c r="D1458" s="40" t="s">
        <v>1004</v>
      </c>
      <c r="E1458" s="40">
        <v>2006</v>
      </c>
      <c r="F1458" s="40">
        <v>2002</v>
      </c>
      <c r="G1458" s="40" t="s">
        <v>151</v>
      </c>
      <c r="H1458" s="40" t="s">
        <v>1005</v>
      </c>
      <c r="I1458" s="32" t="s">
        <v>2815</v>
      </c>
      <c r="J1458" s="40">
        <v>40.1</v>
      </c>
      <c r="K1458" s="40">
        <v>-88.25</v>
      </c>
      <c r="L1458" s="40">
        <v>235.6</v>
      </c>
      <c r="R1458" s="40">
        <v>2</v>
      </c>
      <c r="S1458" s="40">
        <v>2</v>
      </c>
      <c r="T1458" s="71" t="s">
        <v>1997</v>
      </c>
      <c r="U1458" s="71" t="s">
        <v>1996</v>
      </c>
      <c r="V1458" s="71" t="s">
        <v>1390</v>
      </c>
      <c r="W1458" s="71" t="s">
        <v>1722</v>
      </c>
      <c r="X1458" s="71" t="s">
        <v>1394</v>
      </c>
      <c r="Y1458" s="71" t="s">
        <v>1389</v>
      </c>
      <c r="Z1458" s="416">
        <v>1.45</v>
      </c>
      <c r="AA1458" s="341"/>
      <c r="AB1458" s="341"/>
      <c r="AC1458" s="40" t="s">
        <v>139</v>
      </c>
      <c r="AG1458" s="40" t="s">
        <v>1318</v>
      </c>
      <c r="AH1458" s="40" t="s">
        <v>131</v>
      </c>
      <c r="AI1458" s="138" t="s">
        <v>131</v>
      </c>
      <c r="AJ1458" s="40" t="s">
        <v>132</v>
      </c>
      <c r="AK1458" s="140" t="s">
        <v>1611</v>
      </c>
      <c r="AL1458" s="40" t="s">
        <v>989</v>
      </c>
      <c r="AM1458" s="40" t="s">
        <v>989</v>
      </c>
      <c r="AN1458" s="40" t="s">
        <v>177</v>
      </c>
      <c r="AO1458" s="40" t="s">
        <v>156</v>
      </c>
      <c r="AP1458" s="40" t="s">
        <v>156</v>
      </c>
      <c r="AQ1458" s="40" t="s">
        <v>2126</v>
      </c>
      <c r="AR1458" s="40" t="s">
        <v>2126</v>
      </c>
      <c r="AS1458" s="40" t="s">
        <v>177</v>
      </c>
      <c r="AT1458" s="40" t="s">
        <v>1006</v>
      </c>
      <c r="AU1458" s="40" t="s">
        <v>1006</v>
      </c>
      <c r="AV1458" s="40" t="s">
        <v>177</v>
      </c>
      <c r="AW1458" s="40" t="s">
        <v>119</v>
      </c>
      <c r="AX1458" s="40">
        <v>4</v>
      </c>
      <c r="AZ1458" s="40" t="s">
        <v>335</v>
      </c>
      <c r="BP1458" s="416">
        <v>1.45</v>
      </c>
      <c r="BQ1458" s="416">
        <v>1.44</v>
      </c>
      <c r="BU1458" s="416">
        <v>3.5</v>
      </c>
      <c r="BV1458" s="416">
        <v>3.6</v>
      </c>
      <c r="BY1458" s="40" t="s">
        <v>1007</v>
      </c>
      <c r="BZ1458" s="416"/>
      <c r="CA1458" s="416"/>
      <c r="CD1458" s="40" t="s">
        <v>1670</v>
      </c>
      <c r="CE1458" s="569">
        <v>3.5</v>
      </c>
      <c r="CF1458" s="569">
        <v>3.6</v>
      </c>
      <c r="CG1458" s="569"/>
      <c r="CH1458" s="569"/>
      <c r="CI1458" s="40" t="s">
        <v>4541</v>
      </c>
      <c r="CJ1458" s="40">
        <v>17.600000000000001</v>
      </c>
      <c r="CK1458" s="40">
        <v>26.7</v>
      </c>
      <c r="CN1458" s="40" t="s">
        <v>1009</v>
      </c>
      <c r="EC1458" s="40">
        <v>1.629</v>
      </c>
      <c r="ED1458" s="40">
        <v>1.744</v>
      </c>
      <c r="EG1458" s="40" t="s">
        <v>1010</v>
      </c>
    </row>
    <row r="1459" spans="1:177" s="24" customFormat="1" x14ac:dyDescent="0.25">
      <c r="A1459" s="24">
        <v>67</v>
      </c>
      <c r="B1459" s="42" t="s">
        <v>4058</v>
      </c>
      <c r="C1459" s="24" t="s">
        <v>1003</v>
      </c>
      <c r="D1459" s="24" t="s">
        <v>1004</v>
      </c>
      <c r="E1459" s="24">
        <v>2006</v>
      </c>
      <c r="F1459" s="24">
        <v>2002</v>
      </c>
      <c r="G1459" s="24" t="s">
        <v>151</v>
      </c>
      <c r="H1459" s="24" t="s">
        <v>1005</v>
      </c>
      <c r="I1459" s="32" t="s">
        <v>2815</v>
      </c>
      <c r="J1459" s="24">
        <v>40.1</v>
      </c>
      <c r="K1459" s="24">
        <v>-88.25</v>
      </c>
      <c r="L1459" s="24">
        <v>235.6</v>
      </c>
      <c r="R1459" s="24">
        <v>2</v>
      </c>
      <c r="S1459" s="24">
        <v>2</v>
      </c>
      <c r="T1459" s="42" t="s">
        <v>1997</v>
      </c>
      <c r="U1459" s="42" t="s">
        <v>1996</v>
      </c>
      <c r="V1459" s="42" t="s">
        <v>1394</v>
      </c>
      <c r="W1459" s="42" t="s">
        <v>1722</v>
      </c>
      <c r="X1459" s="42" t="s">
        <v>1394</v>
      </c>
      <c r="Y1459" s="42" t="s">
        <v>1389</v>
      </c>
      <c r="Z1459" s="395">
        <v>1.32</v>
      </c>
      <c r="AA1459" s="321"/>
      <c r="AB1459" s="321"/>
      <c r="AC1459" s="24" t="s">
        <v>139</v>
      </c>
      <c r="AG1459" s="24" t="s">
        <v>1318</v>
      </c>
      <c r="AH1459" s="24" t="s">
        <v>243</v>
      </c>
      <c r="AI1459" s="138" t="s">
        <v>577</v>
      </c>
      <c r="AJ1459" s="24" t="s">
        <v>132</v>
      </c>
      <c r="AK1459" s="140" t="s">
        <v>1611</v>
      </c>
      <c r="AL1459" s="24" t="s">
        <v>989</v>
      </c>
      <c r="AM1459" s="24" t="s">
        <v>989</v>
      </c>
      <c r="AN1459" s="24" t="s">
        <v>177</v>
      </c>
      <c r="AO1459" s="24" t="s">
        <v>156</v>
      </c>
      <c r="AP1459" s="24" t="s">
        <v>156</v>
      </c>
      <c r="AQ1459" s="24" t="s">
        <v>2126</v>
      </c>
      <c r="AR1459" s="24" t="s">
        <v>2126</v>
      </c>
      <c r="AS1459" s="24" t="s">
        <v>177</v>
      </c>
      <c r="AT1459" s="24" t="s">
        <v>1006</v>
      </c>
      <c r="AU1459" s="24" t="s">
        <v>1006</v>
      </c>
      <c r="AV1459" s="24" t="s">
        <v>177</v>
      </c>
      <c r="AW1459" s="24" t="s">
        <v>119</v>
      </c>
      <c r="AX1459" s="24">
        <v>4</v>
      </c>
      <c r="AZ1459" s="24" t="s">
        <v>335</v>
      </c>
      <c r="BP1459" s="395">
        <v>1.32</v>
      </c>
      <c r="BQ1459" s="395">
        <v>1.23</v>
      </c>
      <c r="BU1459" s="395">
        <v>4.2</v>
      </c>
      <c r="BV1459" s="395">
        <v>4.5</v>
      </c>
      <c r="BY1459" s="24" t="s">
        <v>1007</v>
      </c>
      <c r="BZ1459" s="395"/>
      <c r="CA1459" s="395"/>
      <c r="CD1459" s="24" t="s">
        <v>1670</v>
      </c>
      <c r="CE1459" s="548">
        <v>4.2</v>
      </c>
      <c r="CF1459" s="548">
        <v>4.5</v>
      </c>
      <c r="CG1459" s="548"/>
      <c r="CH1459" s="548"/>
      <c r="CI1459" s="24" t="s">
        <v>4541</v>
      </c>
      <c r="CJ1459" s="24">
        <v>27.7</v>
      </c>
      <c r="CK1459" s="24">
        <v>21.8</v>
      </c>
      <c r="CN1459" s="24" t="s">
        <v>1009</v>
      </c>
      <c r="EC1459" s="24">
        <v>1.4119999999999999</v>
      </c>
      <c r="ED1459" s="24">
        <v>1.006</v>
      </c>
      <c r="EG1459" s="24" t="s">
        <v>1010</v>
      </c>
    </row>
    <row r="1460" spans="1:177" s="24" customFormat="1" x14ac:dyDescent="0.25">
      <c r="A1460" s="24">
        <v>67</v>
      </c>
      <c r="B1460" s="42" t="s">
        <v>4059</v>
      </c>
      <c r="C1460" s="24" t="s">
        <v>1003</v>
      </c>
      <c r="D1460" s="24" t="s">
        <v>1004</v>
      </c>
      <c r="E1460" s="24">
        <v>2006</v>
      </c>
      <c r="F1460" s="24">
        <v>2002</v>
      </c>
      <c r="G1460" s="24" t="s">
        <v>151</v>
      </c>
      <c r="H1460" s="24" t="s">
        <v>1005</v>
      </c>
      <c r="I1460" s="32" t="s">
        <v>2815</v>
      </c>
      <c r="J1460" s="24">
        <v>40.1</v>
      </c>
      <c r="K1460" s="24">
        <v>-88.25</v>
      </c>
      <c r="L1460" s="24">
        <v>235.6</v>
      </c>
      <c r="R1460" s="24">
        <v>2</v>
      </c>
      <c r="S1460" s="24">
        <v>2</v>
      </c>
      <c r="T1460" s="42" t="s">
        <v>1997</v>
      </c>
      <c r="U1460" s="42" t="s">
        <v>1996</v>
      </c>
      <c r="V1460" s="42" t="s">
        <v>1401</v>
      </c>
      <c r="W1460" s="42" t="s">
        <v>1722</v>
      </c>
      <c r="X1460" s="42" t="s">
        <v>1394</v>
      </c>
      <c r="Y1460" s="42" t="s">
        <v>1389</v>
      </c>
      <c r="Z1460" s="395">
        <v>1.4</v>
      </c>
      <c r="AA1460" s="321"/>
      <c r="AB1460" s="321"/>
      <c r="AC1460" s="24" t="s">
        <v>139</v>
      </c>
      <c r="AG1460" s="24" t="s">
        <v>1318</v>
      </c>
      <c r="AH1460" s="24" t="s">
        <v>243</v>
      </c>
      <c r="AI1460" s="138" t="s">
        <v>577</v>
      </c>
      <c r="AJ1460" s="24" t="s">
        <v>132</v>
      </c>
      <c r="AK1460" s="140" t="s">
        <v>1611</v>
      </c>
      <c r="AL1460" s="24" t="s">
        <v>989</v>
      </c>
      <c r="AM1460" s="24" t="s">
        <v>989</v>
      </c>
      <c r="AN1460" s="24" t="s">
        <v>177</v>
      </c>
      <c r="AO1460" s="24" t="s">
        <v>156</v>
      </c>
      <c r="AP1460" s="24" t="s">
        <v>156</v>
      </c>
      <c r="AQ1460" s="24" t="s">
        <v>2126</v>
      </c>
      <c r="AR1460" s="24" t="s">
        <v>2126</v>
      </c>
      <c r="AS1460" s="24" t="s">
        <v>177</v>
      </c>
      <c r="AT1460" s="24" t="s">
        <v>1006</v>
      </c>
      <c r="AU1460" s="24" t="s">
        <v>1006</v>
      </c>
      <c r="AV1460" s="24" t="s">
        <v>177</v>
      </c>
      <c r="AW1460" s="24" t="s">
        <v>119</v>
      </c>
      <c r="AX1460" s="24">
        <v>4</v>
      </c>
      <c r="AZ1460" s="24" t="s">
        <v>335</v>
      </c>
      <c r="BP1460" s="395">
        <v>1.4</v>
      </c>
      <c r="BQ1460" s="395">
        <v>1.35</v>
      </c>
      <c r="BU1460" s="395">
        <v>3.3</v>
      </c>
      <c r="BV1460" s="395">
        <v>3.6</v>
      </c>
      <c r="BY1460" s="24" t="s">
        <v>1007</v>
      </c>
      <c r="BZ1460" s="395"/>
      <c r="CA1460" s="395"/>
      <c r="CD1460" s="24" t="s">
        <v>1670</v>
      </c>
      <c r="CE1460" s="548">
        <v>3.3</v>
      </c>
      <c r="CF1460" s="548">
        <v>3.6</v>
      </c>
      <c r="CG1460" s="548"/>
      <c r="CH1460" s="548"/>
      <c r="CI1460" s="24" t="s">
        <v>4541</v>
      </c>
      <c r="CJ1460" s="24">
        <v>24.8</v>
      </c>
      <c r="CK1460" s="24">
        <v>17.5</v>
      </c>
      <c r="CN1460" s="24" t="s">
        <v>1009</v>
      </c>
      <c r="EC1460" s="24">
        <v>1.84</v>
      </c>
      <c r="ED1460" s="24">
        <v>1.7410000000000001</v>
      </c>
      <c r="EG1460" s="24" t="s">
        <v>1010</v>
      </c>
    </row>
    <row r="1461" spans="1:177" s="24" customFormat="1" x14ac:dyDescent="0.25">
      <c r="A1461" s="24">
        <v>67</v>
      </c>
      <c r="B1461" s="42" t="s">
        <v>4060</v>
      </c>
      <c r="C1461" s="24" t="s">
        <v>1003</v>
      </c>
      <c r="D1461" s="24" t="s">
        <v>1004</v>
      </c>
      <c r="E1461" s="24">
        <v>2006</v>
      </c>
      <c r="F1461" s="24">
        <v>2002</v>
      </c>
      <c r="G1461" s="24" t="s">
        <v>151</v>
      </c>
      <c r="H1461" s="24" t="s">
        <v>1005</v>
      </c>
      <c r="I1461" s="32" t="s">
        <v>2815</v>
      </c>
      <c r="J1461" s="24">
        <v>40.1</v>
      </c>
      <c r="K1461" s="24">
        <v>-88.25</v>
      </c>
      <c r="L1461" s="24">
        <v>235.6</v>
      </c>
      <c r="R1461" s="24">
        <v>2</v>
      </c>
      <c r="S1461" s="24">
        <v>2</v>
      </c>
      <c r="T1461" s="42" t="s">
        <v>1997</v>
      </c>
      <c r="U1461" s="42" t="s">
        <v>1996</v>
      </c>
      <c r="V1461" s="42" t="s">
        <v>1409</v>
      </c>
      <c r="W1461" s="42" t="s">
        <v>1722</v>
      </c>
      <c r="X1461" s="42" t="s">
        <v>1394</v>
      </c>
      <c r="Y1461" s="42" t="s">
        <v>1389</v>
      </c>
      <c r="Z1461" s="395">
        <v>1.45</v>
      </c>
      <c r="AA1461" s="321"/>
      <c r="AB1461" s="321"/>
      <c r="AC1461" s="24" t="s">
        <v>139</v>
      </c>
      <c r="AG1461" s="24" t="s">
        <v>1318</v>
      </c>
      <c r="AH1461" s="24" t="s">
        <v>243</v>
      </c>
      <c r="AI1461" s="138" t="s">
        <v>577</v>
      </c>
      <c r="AJ1461" s="24" t="s">
        <v>132</v>
      </c>
      <c r="AK1461" s="140" t="s">
        <v>1611</v>
      </c>
      <c r="AL1461" s="24" t="s">
        <v>989</v>
      </c>
      <c r="AM1461" s="24" t="s">
        <v>989</v>
      </c>
      <c r="AN1461" s="24" t="s">
        <v>177</v>
      </c>
      <c r="AO1461" s="24" t="s">
        <v>156</v>
      </c>
      <c r="AP1461" s="24" t="s">
        <v>156</v>
      </c>
      <c r="AQ1461" s="24" t="s">
        <v>2126</v>
      </c>
      <c r="AR1461" s="24" t="s">
        <v>2126</v>
      </c>
      <c r="AS1461" s="24" t="s">
        <v>177</v>
      </c>
      <c r="AT1461" s="24" t="s">
        <v>1006</v>
      </c>
      <c r="AU1461" s="24" t="s">
        <v>1006</v>
      </c>
      <c r="AV1461" s="24" t="s">
        <v>177</v>
      </c>
      <c r="AW1461" s="24" t="s">
        <v>119</v>
      </c>
      <c r="AX1461" s="24">
        <v>4</v>
      </c>
      <c r="AZ1461" s="24" t="s">
        <v>335</v>
      </c>
      <c r="BP1461" s="395">
        <v>1.45</v>
      </c>
      <c r="BQ1461" s="395">
        <v>1.5</v>
      </c>
      <c r="BU1461" s="395">
        <v>3.1</v>
      </c>
      <c r="BV1461" s="395">
        <v>3.4</v>
      </c>
      <c r="BY1461" s="24" t="s">
        <v>1007</v>
      </c>
      <c r="BZ1461" s="395"/>
      <c r="CA1461" s="395"/>
      <c r="CD1461" s="24" t="s">
        <v>1670</v>
      </c>
      <c r="CE1461" s="548">
        <v>3.1</v>
      </c>
      <c r="CF1461" s="548">
        <v>3.4</v>
      </c>
      <c r="CG1461" s="548"/>
      <c r="CH1461" s="548"/>
      <c r="CI1461" s="24" t="s">
        <v>4541</v>
      </c>
      <c r="CJ1461" s="24">
        <v>32.700000000000003</v>
      </c>
      <c r="CK1461" s="24">
        <v>15.9</v>
      </c>
      <c r="CN1461" s="24" t="s">
        <v>1009</v>
      </c>
      <c r="EC1461" s="24">
        <v>1.744</v>
      </c>
      <c r="ED1461" s="24">
        <v>1.859</v>
      </c>
      <c r="EG1461" s="24" t="s">
        <v>1010</v>
      </c>
    </row>
    <row r="1462" spans="1:177" s="24" customFormat="1" x14ac:dyDescent="0.25">
      <c r="A1462" s="24">
        <v>67</v>
      </c>
      <c r="B1462" s="42" t="s">
        <v>4061</v>
      </c>
      <c r="C1462" s="24" t="s">
        <v>1003</v>
      </c>
      <c r="D1462" s="24" t="s">
        <v>1004</v>
      </c>
      <c r="E1462" s="24">
        <v>2006</v>
      </c>
      <c r="F1462" s="24">
        <v>2002</v>
      </c>
      <c r="G1462" s="24" t="s">
        <v>151</v>
      </c>
      <c r="H1462" s="24" t="s">
        <v>1005</v>
      </c>
      <c r="I1462" s="32" t="s">
        <v>2815</v>
      </c>
      <c r="J1462" s="24">
        <v>40.1</v>
      </c>
      <c r="K1462" s="24">
        <v>-88.25</v>
      </c>
      <c r="L1462" s="24">
        <v>235.6</v>
      </c>
      <c r="R1462" s="24">
        <v>2</v>
      </c>
      <c r="S1462" s="24">
        <v>2</v>
      </c>
      <c r="T1462" s="42" t="s">
        <v>1997</v>
      </c>
      <c r="U1462" s="42" t="s">
        <v>1996</v>
      </c>
      <c r="V1462" s="42" t="s">
        <v>1390</v>
      </c>
      <c r="W1462" s="42" t="s">
        <v>1717</v>
      </c>
      <c r="X1462" s="42" t="s">
        <v>1394</v>
      </c>
      <c r="Y1462" s="42" t="s">
        <v>1389</v>
      </c>
      <c r="Z1462" s="395">
        <v>1.45</v>
      </c>
      <c r="AA1462" s="321"/>
      <c r="AB1462" s="321"/>
      <c r="AC1462" s="24" t="s">
        <v>139</v>
      </c>
      <c r="AG1462" s="24" t="s">
        <v>1318</v>
      </c>
      <c r="AH1462" s="24" t="s">
        <v>243</v>
      </c>
      <c r="AI1462" s="138" t="s">
        <v>577</v>
      </c>
      <c r="AJ1462" s="24" t="s">
        <v>132</v>
      </c>
      <c r="AK1462" s="140" t="s">
        <v>1611</v>
      </c>
      <c r="AL1462" s="24" t="s">
        <v>989</v>
      </c>
      <c r="AM1462" s="24" t="s">
        <v>989</v>
      </c>
      <c r="AN1462" s="24" t="s">
        <v>177</v>
      </c>
      <c r="AO1462" s="24" t="s">
        <v>156</v>
      </c>
      <c r="AP1462" s="24" t="s">
        <v>156</v>
      </c>
      <c r="AQ1462" s="24" t="s">
        <v>2126</v>
      </c>
      <c r="AR1462" s="24" t="s">
        <v>2126</v>
      </c>
      <c r="AS1462" s="24" t="s">
        <v>177</v>
      </c>
      <c r="AT1462" s="24" t="s">
        <v>1006</v>
      </c>
      <c r="AU1462" s="24" t="s">
        <v>1006</v>
      </c>
      <c r="AV1462" s="24" t="s">
        <v>177</v>
      </c>
      <c r="AW1462" s="24" t="s">
        <v>119</v>
      </c>
      <c r="AX1462" s="24">
        <v>4</v>
      </c>
      <c r="AZ1462" s="24" t="s">
        <v>335</v>
      </c>
      <c r="BP1462" s="395">
        <v>1.45</v>
      </c>
      <c r="BQ1462" s="395">
        <v>1.42</v>
      </c>
      <c r="BU1462" s="395">
        <v>3.5</v>
      </c>
      <c r="BV1462" s="395">
        <v>3.7</v>
      </c>
      <c r="BY1462" s="24" t="s">
        <v>1007</v>
      </c>
      <c r="BZ1462" s="395"/>
      <c r="CA1462" s="395"/>
      <c r="CD1462" s="24" t="s">
        <v>1670</v>
      </c>
      <c r="CE1462" s="548">
        <v>3.5</v>
      </c>
      <c r="CF1462" s="548">
        <v>3.7</v>
      </c>
      <c r="CG1462" s="548"/>
      <c r="CH1462" s="548"/>
      <c r="CI1462" s="24" t="s">
        <v>4541</v>
      </c>
      <c r="CJ1462" s="24">
        <v>17.600000000000001</v>
      </c>
      <c r="CK1462" s="24">
        <v>17.399999999999999</v>
      </c>
      <c r="CN1462" s="24" t="s">
        <v>1009</v>
      </c>
      <c r="EC1462" s="24">
        <v>1.629</v>
      </c>
      <c r="ED1462" s="24">
        <v>1.756</v>
      </c>
      <c r="EG1462" s="24" t="s">
        <v>1010</v>
      </c>
    </row>
    <row r="1463" spans="1:177" s="40" customFormat="1" x14ac:dyDescent="0.25">
      <c r="A1463" s="40">
        <v>67</v>
      </c>
      <c r="B1463" s="71" t="s">
        <v>4062</v>
      </c>
      <c r="C1463" s="40" t="s">
        <v>1003</v>
      </c>
      <c r="D1463" s="40" t="s">
        <v>1004</v>
      </c>
      <c r="E1463" s="40">
        <v>2006</v>
      </c>
      <c r="F1463" s="40">
        <v>2002</v>
      </c>
      <c r="G1463" s="40" t="s">
        <v>151</v>
      </c>
      <c r="H1463" s="40" t="s">
        <v>1005</v>
      </c>
      <c r="I1463" s="32" t="s">
        <v>2815</v>
      </c>
      <c r="J1463" s="40">
        <v>40.1</v>
      </c>
      <c r="K1463" s="40">
        <v>-88.25</v>
      </c>
      <c r="L1463" s="40">
        <v>235.6</v>
      </c>
      <c r="R1463" s="40">
        <v>2</v>
      </c>
      <c r="S1463" s="40">
        <v>2</v>
      </c>
      <c r="T1463" s="71" t="s">
        <v>1997</v>
      </c>
      <c r="U1463" s="71" t="s">
        <v>1996</v>
      </c>
      <c r="V1463" s="71" t="s">
        <v>1394</v>
      </c>
      <c r="W1463" s="71" t="s">
        <v>1722</v>
      </c>
      <c r="X1463" s="71" t="s">
        <v>1394</v>
      </c>
      <c r="Y1463" s="71" t="s">
        <v>1389</v>
      </c>
      <c r="Z1463" s="416">
        <v>1.32</v>
      </c>
      <c r="AA1463" s="341"/>
      <c r="AB1463" s="341"/>
      <c r="AC1463" s="40" t="s">
        <v>139</v>
      </c>
      <c r="AG1463" s="40" t="s">
        <v>1318</v>
      </c>
      <c r="AH1463" s="40" t="s">
        <v>1518</v>
      </c>
      <c r="AI1463" s="138" t="s">
        <v>1582</v>
      </c>
      <c r="AJ1463" s="40" t="s">
        <v>132</v>
      </c>
      <c r="AK1463" s="140" t="s">
        <v>1611</v>
      </c>
      <c r="AL1463" s="40" t="s">
        <v>989</v>
      </c>
      <c r="AM1463" s="40" t="s">
        <v>989</v>
      </c>
      <c r="AN1463" s="40" t="s">
        <v>177</v>
      </c>
      <c r="AO1463" s="40" t="s">
        <v>156</v>
      </c>
      <c r="AP1463" s="40" t="s">
        <v>156</v>
      </c>
      <c r="AQ1463" s="40" t="s">
        <v>2126</v>
      </c>
      <c r="AR1463" s="40" t="s">
        <v>2126</v>
      </c>
      <c r="AS1463" s="40" t="s">
        <v>177</v>
      </c>
      <c r="AT1463" s="40" t="s">
        <v>1006</v>
      </c>
      <c r="AU1463" s="40" t="s">
        <v>1006</v>
      </c>
      <c r="AV1463" s="40" t="s">
        <v>177</v>
      </c>
      <c r="AW1463" s="40" t="s">
        <v>119</v>
      </c>
      <c r="AX1463" s="40">
        <v>4</v>
      </c>
      <c r="AZ1463" s="40" t="s">
        <v>335</v>
      </c>
      <c r="BP1463" s="416">
        <v>1.32</v>
      </c>
      <c r="BQ1463" s="416">
        <v>1.23</v>
      </c>
      <c r="BU1463" s="416">
        <v>4.2</v>
      </c>
      <c r="BV1463" s="416">
        <v>4.7</v>
      </c>
      <c r="BY1463" s="40" t="s">
        <v>1007</v>
      </c>
      <c r="BZ1463" s="416"/>
      <c r="CA1463" s="416"/>
      <c r="CD1463" s="40" t="s">
        <v>1670</v>
      </c>
      <c r="CE1463" s="569">
        <v>4.2</v>
      </c>
      <c r="CF1463" s="569">
        <v>4.7</v>
      </c>
      <c r="CG1463" s="569"/>
      <c r="CH1463" s="569"/>
      <c r="CI1463" s="40" t="s">
        <v>4541</v>
      </c>
      <c r="CJ1463" s="40">
        <v>27.7</v>
      </c>
      <c r="CK1463" s="40">
        <v>21.5</v>
      </c>
      <c r="CN1463" s="40" t="s">
        <v>1009</v>
      </c>
      <c r="EC1463" s="40">
        <v>1.4119999999999999</v>
      </c>
      <c r="ED1463" s="40">
        <v>1.2030000000000001</v>
      </c>
      <c r="EG1463" s="40" t="s">
        <v>1010</v>
      </c>
    </row>
    <row r="1464" spans="1:177" s="40" customFormat="1" x14ac:dyDescent="0.25">
      <c r="A1464" s="40">
        <v>67</v>
      </c>
      <c r="B1464" s="71" t="s">
        <v>4063</v>
      </c>
      <c r="C1464" s="40" t="s">
        <v>1003</v>
      </c>
      <c r="D1464" s="40" t="s">
        <v>1004</v>
      </c>
      <c r="E1464" s="40">
        <v>2006</v>
      </c>
      <c r="F1464" s="40">
        <v>2002</v>
      </c>
      <c r="G1464" s="40" t="s">
        <v>151</v>
      </c>
      <c r="H1464" s="40" t="s">
        <v>1005</v>
      </c>
      <c r="I1464" s="32" t="s">
        <v>2815</v>
      </c>
      <c r="J1464" s="40">
        <v>40.1</v>
      </c>
      <c r="K1464" s="40">
        <v>-88.25</v>
      </c>
      <c r="L1464" s="40">
        <v>235.6</v>
      </c>
      <c r="R1464" s="40">
        <v>2</v>
      </c>
      <c r="S1464" s="40">
        <v>2</v>
      </c>
      <c r="T1464" s="71" t="s">
        <v>1997</v>
      </c>
      <c r="U1464" s="71" t="s">
        <v>1996</v>
      </c>
      <c r="V1464" s="71" t="s">
        <v>1401</v>
      </c>
      <c r="W1464" s="71" t="s">
        <v>1722</v>
      </c>
      <c r="X1464" s="71" t="s">
        <v>1394</v>
      </c>
      <c r="Y1464" s="71" t="s">
        <v>1389</v>
      </c>
      <c r="Z1464" s="416">
        <v>1.4</v>
      </c>
      <c r="AA1464" s="341"/>
      <c r="AB1464" s="341"/>
      <c r="AC1464" s="40" t="s">
        <v>139</v>
      </c>
      <c r="AG1464" s="40" t="s">
        <v>1318</v>
      </c>
      <c r="AH1464" s="40" t="s">
        <v>1518</v>
      </c>
      <c r="AI1464" s="138" t="s">
        <v>1582</v>
      </c>
      <c r="AJ1464" s="40" t="s">
        <v>132</v>
      </c>
      <c r="AK1464" s="140" t="s">
        <v>1611</v>
      </c>
      <c r="AL1464" s="40" t="s">
        <v>989</v>
      </c>
      <c r="AM1464" s="40" t="s">
        <v>989</v>
      </c>
      <c r="AN1464" s="40" t="s">
        <v>177</v>
      </c>
      <c r="AO1464" s="40" t="s">
        <v>156</v>
      </c>
      <c r="AP1464" s="40" t="s">
        <v>156</v>
      </c>
      <c r="AQ1464" s="40" t="s">
        <v>2126</v>
      </c>
      <c r="AR1464" s="40" t="s">
        <v>2126</v>
      </c>
      <c r="AS1464" s="40" t="s">
        <v>177</v>
      </c>
      <c r="AT1464" s="40" t="s">
        <v>1006</v>
      </c>
      <c r="AU1464" s="40" t="s">
        <v>1006</v>
      </c>
      <c r="AV1464" s="40" t="s">
        <v>177</v>
      </c>
      <c r="AW1464" s="40" t="s">
        <v>119</v>
      </c>
      <c r="AX1464" s="40">
        <v>4</v>
      </c>
      <c r="AZ1464" s="40" t="s">
        <v>335</v>
      </c>
      <c r="BP1464" s="416">
        <v>1.4</v>
      </c>
      <c r="BQ1464" s="416">
        <v>1.36</v>
      </c>
      <c r="BU1464" s="416">
        <v>3.3</v>
      </c>
      <c r="BV1464" s="416">
        <v>3.8</v>
      </c>
      <c r="BY1464" s="40" t="s">
        <v>1007</v>
      </c>
      <c r="BZ1464" s="416"/>
      <c r="CA1464" s="416"/>
      <c r="CD1464" s="40" t="s">
        <v>1670</v>
      </c>
      <c r="CE1464" s="569">
        <v>3.3</v>
      </c>
      <c r="CF1464" s="569">
        <v>3.8</v>
      </c>
      <c r="CG1464" s="569"/>
      <c r="CH1464" s="569"/>
      <c r="CI1464" s="40" t="s">
        <v>4541</v>
      </c>
      <c r="CJ1464" s="40">
        <v>24.8</v>
      </c>
      <c r="CK1464" s="40">
        <v>28.6</v>
      </c>
      <c r="CN1464" s="40" t="s">
        <v>1009</v>
      </c>
      <c r="EC1464" s="40">
        <v>1.84</v>
      </c>
      <c r="ED1464" s="40">
        <v>1.7809999999999999</v>
      </c>
      <c r="EG1464" s="40" t="s">
        <v>1010</v>
      </c>
    </row>
    <row r="1465" spans="1:177" s="40" customFormat="1" x14ac:dyDescent="0.25">
      <c r="A1465" s="40">
        <v>67</v>
      </c>
      <c r="B1465" s="71" t="s">
        <v>4064</v>
      </c>
      <c r="C1465" s="40" t="s">
        <v>1003</v>
      </c>
      <c r="D1465" s="40" t="s">
        <v>1004</v>
      </c>
      <c r="E1465" s="40">
        <v>2006</v>
      </c>
      <c r="F1465" s="40">
        <v>2002</v>
      </c>
      <c r="G1465" s="40" t="s">
        <v>151</v>
      </c>
      <c r="H1465" s="40" t="s">
        <v>1005</v>
      </c>
      <c r="I1465" s="32" t="s">
        <v>2815</v>
      </c>
      <c r="J1465" s="40">
        <v>40.1</v>
      </c>
      <c r="K1465" s="40">
        <v>-88.25</v>
      </c>
      <c r="L1465" s="40">
        <v>235.6</v>
      </c>
      <c r="R1465" s="40">
        <v>2</v>
      </c>
      <c r="S1465" s="40">
        <v>2</v>
      </c>
      <c r="T1465" s="71" t="s">
        <v>1997</v>
      </c>
      <c r="U1465" s="71" t="s">
        <v>1996</v>
      </c>
      <c r="V1465" s="71" t="s">
        <v>1409</v>
      </c>
      <c r="W1465" s="71" t="s">
        <v>1722</v>
      </c>
      <c r="X1465" s="71" t="s">
        <v>1394</v>
      </c>
      <c r="Y1465" s="71" t="s">
        <v>1389</v>
      </c>
      <c r="Z1465" s="416">
        <v>1.45</v>
      </c>
      <c r="AA1465" s="341"/>
      <c r="AB1465" s="341"/>
      <c r="AC1465" s="40" t="s">
        <v>139</v>
      </c>
      <c r="AG1465" s="40" t="s">
        <v>1318</v>
      </c>
      <c r="AH1465" s="40" t="s">
        <v>1518</v>
      </c>
      <c r="AI1465" s="138" t="s">
        <v>1582</v>
      </c>
      <c r="AJ1465" s="40" t="s">
        <v>132</v>
      </c>
      <c r="AK1465" s="140" t="s">
        <v>1611</v>
      </c>
      <c r="AL1465" s="40" t="s">
        <v>989</v>
      </c>
      <c r="AM1465" s="40" t="s">
        <v>989</v>
      </c>
      <c r="AN1465" s="40" t="s">
        <v>177</v>
      </c>
      <c r="AO1465" s="40" t="s">
        <v>156</v>
      </c>
      <c r="AP1465" s="40" t="s">
        <v>156</v>
      </c>
      <c r="AQ1465" s="40" t="s">
        <v>2126</v>
      </c>
      <c r="AR1465" s="40" t="s">
        <v>2126</v>
      </c>
      <c r="AS1465" s="40" t="s">
        <v>177</v>
      </c>
      <c r="AT1465" s="40" t="s">
        <v>1006</v>
      </c>
      <c r="AU1465" s="40" t="s">
        <v>1006</v>
      </c>
      <c r="AV1465" s="40" t="s">
        <v>177</v>
      </c>
      <c r="AW1465" s="40" t="s">
        <v>119</v>
      </c>
      <c r="AX1465" s="40">
        <v>4</v>
      </c>
      <c r="AZ1465" s="40" t="s">
        <v>335</v>
      </c>
      <c r="BP1465" s="416">
        <v>1.45</v>
      </c>
      <c r="BQ1465" s="416">
        <v>1.43</v>
      </c>
      <c r="BU1465" s="416">
        <v>3.1</v>
      </c>
      <c r="BV1465" s="416">
        <v>3.6</v>
      </c>
      <c r="BY1465" s="40" t="s">
        <v>1007</v>
      </c>
      <c r="BZ1465" s="416"/>
      <c r="CA1465" s="416"/>
      <c r="CD1465" s="40" t="s">
        <v>1670</v>
      </c>
      <c r="CE1465" s="569">
        <v>3.1</v>
      </c>
      <c r="CF1465" s="569">
        <v>3.6</v>
      </c>
      <c r="CG1465" s="569"/>
      <c r="CH1465" s="569"/>
      <c r="CI1465" s="40" t="s">
        <v>4541</v>
      </c>
      <c r="CJ1465" s="40">
        <v>32.700000000000003</v>
      </c>
      <c r="CK1465" s="40">
        <v>29.9</v>
      </c>
      <c r="CN1465" s="40" t="s">
        <v>1009</v>
      </c>
      <c r="EC1465" s="40">
        <v>1.744</v>
      </c>
      <c r="ED1465" s="40">
        <v>1.867</v>
      </c>
      <c r="EG1465" s="40" t="s">
        <v>1010</v>
      </c>
    </row>
    <row r="1466" spans="1:177" s="40" customFormat="1" x14ac:dyDescent="0.25">
      <c r="A1466" s="40">
        <v>67</v>
      </c>
      <c r="B1466" s="71" t="s">
        <v>4065</v>
      </c>
      <c r="C1466" s="40" t="s">
        <v>1003</v>
      </c>
      <c r="D1466" s="40" t="s">
        <v>1004</v>
      </c>
      <c r="E1466" s="40">
        <v>2006</v>
      </c>
      <c r="F1466" s="40">
        <v>2002</v>
      </c>
      <c r="G1466" s="40" t="s">
        <v>151</v>
      </c>
      <c r="H1466" s="40" t="s">
        <v>1005</v>
      </c>
      <c r="I1466" s="32" t="s">
        <v>2815</v>
      </c>
      <c r="J1466" s="40">
        <v>40.1</v>
      </c>
      <c r="K1466" s="40">
        <v>-88.25</v>
      </c>
      <c r="L1466" s="40">
        <v>235.6</v>
      </c>
      <c r="R1466" s="40">
        <v>2</v>
      </c>
      <c r="S1466" s="40">
        <v>2</v>
      </c>
      <c r="T1466" s="71" t="s">
        <v>1997</v>
      </c>
      <c r="U1466" s="71" t="s">
        <v>1996</v>
      </c>
      <c r="V1466" s="71" t="s">
        <v>1390</v>
      </c>
      <c r="W1466" s="71" t="s">
        <v>1717</v>
      </c>
      <c r="X1466" s="71" t="s">
        <v>1394</v>
      </c>
      <c r="Y1466" s="71" t="s">
        <v>1389</v>
      </c>
      <c r="Z1466" s="416">
        <v>1.45</v>
      </c>
      <c r="AA1466" s="341"/>
      <c r="AB1466" s="341"/>
      <c r="AC1466" s="40" t="s">
        <v>139</v>
      </c>
      <c r="AG1466" s="40" t="s">
        <v>1318</v>
      </c>
      <c r="AH1466" s="40" t="s">
        <v>1518</v>
      </c>
      <c r="AI1466" s="138" t="s">
        <v>1582</v>
      </c>
      <c r="AJ1466" s="40" t="s">
        <v>132</v>
      </c>
      <c r="AK1466" s="140" t="s">
        <v>1611</v>
      </c>
      <c r="AL1466" s="40" t="s">
        <v>989</v>
      </c>
      <c r="AM1466" s="40" t="s">
        <v>989</v>
      </c>
      <c r="AN1466" s="40" t="s">
        <v>177</v>
      </c>
      <c r="AO1466" s="40" t="s">
        <v>156</v>
      </c>
      <c r="AP1466" s="40" t="s">
        <v>156</v>
      </c>
      <c r="AQ1466" s="40" t="s">
        <v>2126</v>
      </c>
      <c r="AR1466" s="40" t="s">
        <v>2126</v>
      </c>
      <c r="AS1466" s="40" t="s">
        <v>177</v>
      </c>
      <c r="AT1466" s="40" t="s">
        <v>1006</v>
      </c>
      <c r="AU1466" s="40" t="s">
        <v>1006</v>
      </c>
      <c r="AV1466" s="40" t="s">
        <v>177</v>
      </c>
      <c r="AW1466" s="40" t="s">
        <v>119</v>
      </c>
      <c r="AX1466" s="40">
        <v>4</v>
      </c>
      <c r="AZ1466" s="40" t="s">
        <v>335</v>
      </c>
      <c r="BP1466" s="416">
        <v>1.45</v>
      </c>
      <c r="BQ1466" s="416">
        <v>1.39</v>
      </c>
      <c r="BU1466" s="416">
        <v>3.5</v>
      </c>
      <c r="BV1466" s="416">
        <v>3.7</v>
      </c>
      <c r="BY1466" s="40" t="s">
        <v>1007</v>
      </c>
      <c r="BZ1466" s="416"/>
      <c r="CA1466" s="416"/>
      <c r="CD1466" s="40" t="s">
        <v>1670</v>
      </c>
      <c r="CE1466" s="569">
        <v>3.5</v>
      </c>
      <c r="CF1466" s="569">
        <v>3.7</v>
      </c>
      <c r="CG1466" s="569"/>
      <c r="CH1466" s="569"/>
      <c r="CI1466" s="40" t="s">
        <v>4541</v>
      </c>
      <c r="CJ1466" s="40">
        <v>17.600000000000001</v>
      </c>
      <c r="CK1466" s="40">
        <v>20.100000000000001</v>
      </c>
      <c r="CN1466" s="40" t="s">
        <v>1009</v>
      </c>
      <c r="EC1466" s="40">
        <v>1.629</v>
      </c>
      <c r="ED1466" s="40">
        <v>1.821</v>
      </c>
      <c r="EG1466" s="40" t="s">
        <v>1010</v>
      </c>
    </row>
    <row r="1467" spans="1:177" s="32" customFormat="1" x14ac:dyDescent="0.25">
      <c r="A1467" s="32">
        <v>67</v>
      </c>
      <c r="B1467" s="44" t="s">
        <v>4066</v>
      </c>
      <c r="C1467" s="32" t="s">
        <v>1003</v>
      </c>
      <c r="D1467" s="32" t="s">
        <v>1004</v>
      </c>
      <c r="E1467" s="32">
        <v>2006</v>
      </c>
      <c r="F1467" s="32">
        <v>2002</v>
      </c>
      <c r="G1467" s="32" t="s">
        <v>151</v>
      </c>
      <c r="H1467" s="32" t="s">
        <v>1005</v>
      </c>
      <c r="I1467" s="32" t="s">
        <v>2815</v>
      </c>
      <c r="J1467" s="32">
        <v>40.1</v>
      </c>
      <c r="K1467" s="32">
        <v>-88.25</v>
      </c>
      <c r="L1467" s="32">
        <v>235.6</v>
      </c>
      <c r="R1467" s="32">
        <v>2</v>
      </c>
      <c r="S1467" s="32">
        <v>2</v>
      </c>
      <c r="T1467" s="44" t="s">
        <v>1998</v>
      </c>
      <c r="U1467" s="44" t="s">
        <v>1996</v>
      </c>
      <c r="V1467" s="44" t="s">
        <v>1394</v>
      </c>
      <c r="W1467" s="42" t="s">
        <v>1722</v>
      </c>
      <c r="X1467" s="42" t="s">
        <v>1394</v>
      </c>
      <c r="Y1467" s="42" t="s">
        <v>1389</v>
      </c>
      <c r="Z1467" s="397">
        <v>1.32</v>
      </c>
      <c r="AA1467" s="323"/>
      <c r="AB1467" s="323"/>
      <c r="AC1467" s="32" t="s">
        <v>139</v>
      </c>
      <c r="AG1467" s="32" t="s">
        <v>1318</v>
      </c>
      <c r="AH1467" s="32" t="s">
        <v>131</v>
      </c>
      <c r="AI1467" s="138" t="s">
        <v>131</v>
      </c>
      <c r="AJ1467" s="32" t="s">
        <v>158</v>
      </c>
      <c r="AK1467" s="140" t="s">
        <v>1611</v>
      </c>
      <c r="AL1467" s="32" t="s">
        <v>989</v>
      </c>
      <c r="AM1467" s="32" t="s">
        <v>989</v>
      </c>
      <c r="AN1467" s="32" t="s">
        <v>177</v>
      </c>
      <c r="AO1467" s="32" t="s">
        <v>156</v>
      </c>
      <c r="AP1467" s="32" t="s">
        <v>156</v>
      </c>
      <c r="AQ1467" s="32" t="s">
        <v>2126</v>
      </c>
      <c r="AR1467" s="32" t="s">
        <v>2126</v>
      </c>
      <c r="AS1467" s="32" t="s">
        <v>177</v>
      </c>
      <c r="AT1467" s="32" t="s">
        <v>1006</v>
      </c>
      <c r="AU1467" s="32" t="s">
        <v>1006</v>
      </c>
      <c r="AV1467" s="32" t="s">
        <v>177</v>
      </c>
      <c r="AW1467" s="32" t="s">
        <v>119</v>
      </c>
      <c r="AX1467" s="32">
        <v>4</v>
      </c>
      <c r="AZ1467" s="32" t="s">
        <v>335</v>
      </c>
      <c r="BP1467" s="397">
        <v>1.32</v>
      </c>
      <c r="BQ1467" s="397">
        <v>1.24</v>
      </c>
      <c r="BU1467" s="397">
        <v>4</v>
      </c>
      <c r="BV1467" s="397">
        <v>4.4000000000000004</v>
      </c>
      <c r="BY1467" s="32" t="s">
        <v>1007</v>
      </c>
      <c r="BZ1467" s="397"/>
      <c r="CA1467" s="397"/>
      <c r="CD1467" s="32" t="s">
        <v>1670</v>
      </c>
      <c r="CE1467" s="550">
        <v>4</v>
      </c>
      <c r="CF1467" s="550">
        <v>4.4000000000000004</v>
      </c>
      <c r="CG1467" s="550"/>
      <c r="CH1467" s="550"/>
      <c r="CI1467" s="32" t="s">
        <v>4541</v>
      </c>
      <c r="CJ1467" s="32">
        <v>13.3</v>
      </c>
      <c r="CK1467" s="32">
        <v>9.1999999999999993</v>
      </c>
      <c r="CN1467" s="32" t="s">
        <v>1009</v>
      </c>
      <c r="EC1467" s="32">
        <v>1.337</v>
      </c>
      <c r="ED1467" s="32">
        <v>1.198</v>
      </c>
      <c r="EG1467" s="32" t="s">
        <v>1010</v>
      </c>
    </row>
    <row r="1468" spans="1:177" s="32" customFormat="1" x14ac:dyDescent="0.25">
      <c r="A1468" s="32">
        <v>67</v>
      </c>
      <c r="B1468" s="44" t="s">
        <v>4067</v>
      </c>
      <c r="C1468" s="32" t="s">
        <v>1003</v>
      </c>
      <c r="D1468" s="32" t="s">
        <v>1004</v>
      </c>
      <c r="E1468" s="32">
        <v>2006</v>
      </c>
      <c r="F1468" s="32">
        <v>2002</v>
      </c>
      <c r="G1468" s="32" t="s">
        <v>151</v>
      </c>
      <c r="H1468" s="32" t="s">
        <v>1005</v>
      </c>
      <c r="I1468" s="32" t="s">
        <v>2815</v>
      </c>
      <c r="J1468" s="32">
        <v>40.1</v>
      </c>
      <c r="K1468" s="32">
        <v>-88.25</v>
      </c>
      <c r="L1468" s="32">
        <v>235.6</v>
      </c>
      <c r="R1468" s="32">
        <v>2</v>
      </c>
      <c r="S1468" s="32">
        <v>2</v>
      </c>
      <c r="T1468" s="44" t="s">
        <v>1998</v>
      </c>
      <c r="U1468" s="44" t="s">
        <v>1996</v>
      </c>
      <c r="V1468" s="44" t="s">
        <v>1401</v>
      </c>
      <c r="W1468" s="42" t="s">
        <v>1722</v>
      </c>
      <c r="X1468" s="42" t="s">
        <v>1394</v>
      </c>
      <c r="Y1468" s="42" t="s">
        <v>1389</v>
      </c>
      <c r="Z1468" s="397">
        <v>1.4</v>
      </c>
      <c r="AA1468" s="323"/>
      <c r="AB1468" s="323"/>
      <c r="AC1468" s="32" t="s">
        <v>139</v>
      </c>
      <c r="AG1468" s="32" t="s">
        <v>1318</v>
      </c>
      <c r="AH1468" s="32" t="s">
        <v>131</v>
      </c>
      <c r="AI1468" s="138" t="s">
        <v>131</v>
      </c>
      <c r="AJ1468" s="32" t="s">
        <v>158</v>
      </c>
      <c r="AK1468" s="140" t="s">
        <v>1611</v>
      </c>
      <c r="AL1468" s="32" t="s">
        <v>989</v>
      </c>
      <c r="AM1468" s="32" t="s">
        <v>989</v>
      </c>
      <c r="AN1468" s="32" t="s">
        <v>177</v>
      </c>
      <c r="AO1468" s="32" t="s">
        <v>156</v>
      </c>
      <c r="AP1468" s="32" t="s">
        <v>156</v>
      </c>
      <c r="AQ1468" s="32" t="s">
        <v>2126</v>
      </c>
      <c r="AR1468" s="32" t="s">
        <v>2126</v>
      </c>
      <c r="AS1468" s="32" t="s">
        <v>177</v>
      </c>
      <c r="AT1468" s="32" t="s">
        <v>1006</v>
      </c>
      <c r="AU1468" s="32" t="s">
        <v>1006</v>
      </c>
      <c r="AV1468" s="32" t="s">
        <v>177</v>
      </c>
      <c r="AW1468" s="32" t="s">
        <v>119</v>
      </c>
      <c r="AX1468" s="32">
        <v>4</v>
      </c>
      <c r="AZ1468" s="32" t="s">
        <v>335</v>
      </c>
      <c r="BP1468" s="397">
        <v>1.4</v>
      </c>
      <c r="BQ1468" s="397">
        <v>1.38</v>
      </c>
      <c r="BU1468" s="397">
        <v>3.2</v>
      </c>
      <c r="BV1468" s="397">
        <v>3.4</v>
      </c>
      <c r="BY1468" s="32" t="s">
        <v>1007</v>
      </c>
      <c r="BZ1468" s="397"/>
      <c r="CA1468" s="397"/>
      <c r="CD1468" s="32" t="s">
        <v>1670</v>
      </c>
      <c r="CE1468" s="550">
        <v>3.2</v>
      </c>
      <c r="CF1468" s="550">
        <v>3.4</v>
      </c>
      <c r="CG1468" s="550"/>
      <c r="CH1468" s="550"/>
      <c r="CI1468" s="32" t="s">
        <v>4541</v>
      </c>
      <c r="CJ1468" s="32">
        <v>11.1</v>
      </c>
      <c r="CK1468" s="32">
        <v>14.6</v>
      </c>
      <c r="CN1468" s="32" t="s">
        <v>1009</v>
      </c>
      <c r="EC1468" s="32">
        <v>1.835</v>
      </c>
      <c r="ED1468" s="32">
        <v>1.784</v>
      </c>
      <c r="EG1468" s="32" t="s">
        <v>1010</v>
      </c>
    </row>
    <row r="1469" spans="1:177" s="32" customFormat="1" x14ac:dyDescent="0.25">
      <c r="A1469" s="32">
        <v>67</v>
      </c>
      <c r="B1469" s="44" t="s">
        <v>4068</v>
      </c>
      <c r="C1469" s="32" t="s">
        <v>1003</v>
      </c>
      <c r="D1469" s="32" t="s">
        <v>1004</v>
      </c>
      <c r="E1469" s="32">
        <v>2006</v>
      </c>
      <c r="F1469" s="32">
        <v>2002</v>
      </c>
      <c r="G1469" s="32" t="s">
        <v>151</v>
      </c>
      <c r="H1469" s="32" t="s">
        <v>1005</v>
      </c>
      <c r="I1469" s="32" t="s">
        <v>2815</v>
      </c>
      <c r="J1469" s="32">
        <v>40.1</v>
      </c>
      <c r="K1469" s="32">
        <v>-88.25</v>
      </c>
      <c r="L1469" s="32">
        <v>235.6</v>
      </c>
      <c r="R1469" s="32">
        <v>2</v>
      </c>
      <c r="S1469" s="32">
        <v>2</v>
      </c>
      <c r="T1469" s="44" t="s">
        <v>1998</v>
      </c>
      <c r="U1469" s="44" t="s">
        <v>1996</v>
      </c>
      <c r="V1469" s="44" t="s">
        <v>1409</v>
      </c>
      <c r="W1469" s="42" t="s">
        <v>1722</v>
      </c>
      <c r="X1469" s="42" t="s">
        <v>1394</v>
      </c>
      <c r="Y1469" s="42" t="s">
        <v>1389</v>
      </c>
      <c r="Z1469" s="397">
        <v>1.45</v>
      </c>
      <c r="AA1469" s="323"/>
      <c r="AB1469" s="323"/>
      <c r="AC1469" s="32" t="s">
        <v>139</v>
      </c>
      <c r="AG1469" s="32" t="s">
        <v>1318</v>
      </c>
      <c r="AH1469" s="32" t="s">
        <v>131</v>
      </c>
      <c r="AI1469" s="138" t="s">
        <v>131</v>
      </c>
      <c r="AJ1469" s="32" t="s">
        <v>158</v>
      </c>
      <c r="AK1469" s="140" t="s">
        <v>1611</v>
      </c>
      <c r="AL1469" s="32" t="s">
        <v>989</v>
      </c>
      <c r="AM1469" s="32" t="s">
        <v>989</v>
      </c>
      <c r="AN1469" s="32" t="s">
        <v>177</v>
      </c>
      <c r="AO1469" s="32" t="s">
        <v>156</v>
      </c>
      <c r="AP1469" s="32" t="s">
        <v>156</v>
      </c>
      <c r="AQ1469" s="32" t="s">
        <v>2126</v>
      </c>
      <c r="AR1469" s="32" t="s">
        <v>2126</v>
      </c>
      <c r="AS1469" s="32" t="s">
        <v>177</v>
      </c>
      <c r="AT1469" s="32" t="s">
        <v>1006</v>
      </c>
      <c r="AU1469" s="32" t="s">
        <v>1006</v>
      </c>
      <c r="AV1469" s="32" t="s">
        <v>177</v>
      </c>
      <c r="AW1469" s="32" t="s">
        <v>119</v>
      </c>
      <c r="AX1469" s="32">
        <v>4</v>
      </c>
      <c r="AZ1469" s="32" t="s">
        <v>335</v>
      </c>
      <c r="BP1469" s="397">
        <v>1.45</v>
      </c>
      <c r="BQ1469" s="397">
        <v>1.46</v>
      </c>
      <c r="BU1469" s="397">
        <v>3.3</v>
      </c>
      <c r="BV1469" s="397">
        <v>3.3</v>
      </c>
      <c r="BY1469" s="32" t="s">
        <v>1007</v>
      </c>
      <c r="BZ1469" s="397"/>
      <c r="CA1469" s="397"/>
      <c r="CD1469" s="32" t="s">
        <v>1670</v>
      </c>
      <c r="CE1469" s="550">
        <v>3.3</v>
      </c>
      <c r="CF1469" s="550">
        <v>3.3</v>
      </c>
      <c r="CG1469" s="550"/>
      <c r="CH1469" s="550"/>
      <c r="CI1469" s="32" t="s">
        <v>4541</v>
      </c>
      <c r="CJ1469" s="32">
        <v>4.0999999999999996</v>
      </c>
      <c r="CK1469" s="32">
        <v>15.4</v>
      </c>
      <c r="CN1469" s="32" t="s">
        <v>1009</v>
      </c>
      <c r="EC1469" s="32">
        <v>1.7390000000000001</v>
      </c>
      <c r="ED1469" s="32">
        <v>1.8380000000000001</v>
      </c>
      <c r="EG1469" s="32" t="s">
        <v>1010</v>
      </c>
    </row>
    <row r="1470" spans="1:177" s="32" customFormat="1" x14ac:dyDescent="0.25">
      <c r="A1470" s="32">
        <v>67</v>
      </c>
      <c r="B1470" s="44" t="s">
        <v>4069</v>
      </c>
      <c r="C1470" s="32" t="s">
        <v>1003</v>
      </c>
      <c r="D1470" s="32" t="s">
        <v>1004</v>
      </c>
      <c r="E1470" s="32">
        <v>2006</v>
      </c>
      <c r="F1470" s="32">
        <v>2002</v>
      </c>
      <c r="G1470" s="32" t="s">
        <v>151</v>
      </c>
      <c r="H1470" s="32" t="s">
        <v>1005</v>
      </c>
      <c r="I1470" s="32" t="s">
        <v>2815</v>
      </c>
      <c r="J1470" s="32">
        <v>40.1</v>
      </c>
      <c r="K1470" s="32">
        <v>-88.25</v>
      </c>
      <c r="L1470" s="32">
        <v>235.6</v>
      </c>
      <c r="R1470" s="32">
        <v>2</v>
      </c>
      <c r="S1470" s="32">
        <v>2</v>
      </c>
      <c r="T1470" s="44" t="s">
        <v>1998</v>
      </c>
      <c r="U1470" s="44" t="s">
        <v>1996</v>
      </c>
      <c r="V1470" s="44" t="s">
        <v>1390</v>
      </c>
      <c r="W1470" s="42" t="s">
        <v>1717</v>
      </c>
      <c r="X1470" s="42" t="s">
        <v>1394</v>
      </c>
      <c r="Y1470" s="42" t="s">
        <v>1389</v>
      </c>
      <c r="Z1470" s="397">
        <v>1.45</v>
      </c>
      <c r="AA1470" s="323"/>
      <c r="AB1470" s="323"/>
      <c r="AC1470" s="32" t="s">
        <v>139</v>
      </c>
      <c r="AG1470" s="32" t="s">
        <v>1318</v>
      </c>
      <c r="AH1470" s="32" t="s">
        <v>131</v>
      </c>
      <c r="AI1470" s="138" t="s">
        <v>131</v>
      </c>
      <c r="AJ1470" s="32" t="s">
        <v>158</v>
      </c>
      <c r="AK1470" s="140" t="s">
        <v>1611</v>
      </c>
      <c r="AL1470" s="32" t="s">
        <v>989</v>
      </c>
      <c r="AM1470" s="32" t="s">
        <v>989</v>
      </c>
      <c r="AN1470" s="32" t="s">
        <v>177</v>
      </c>
      <c r="AO1470" s="32" t="s">
        <v>156</v>
      </c>
      <c r="AP1470" s="32" t="s">
        <v>156</v>
      </c>
      <c r="AQ1470" s="32" t="s">
        <v>2126</v>
      </c>
      <c r="AR1470" s="32" t="s">
        <v>2126</v>
      </c>
      <c r="AS1470" s="32" t="s">
        <v>177</v>
      </c>
      <c r="AT1470" s="32" t="s">
        <v>1006</v>
      </c>
      <c r="AU1470" s="32" t="s">
        <v>1006</v>
      </c>
      <c r="AV1470" s="32" t="s">
        <v>177</v>
      </c>
      <c r="AW1470" s="32" t="s">
        <v>119</v>
      </c>
      <c r="AX1470" s="32">
        <v>4</v>
      </c>
      <c r="AZ1470" s="32" t="s">
        <v>335</v>
      </c>
      <c r="BP1470" s="397">
        <v>1.45</v>
      </c>
      <c r="BQ1470" s="397">
        <v>1.44</v>
      </c>
      <c r="BU1470" s="397">
        <v>3.7</v>
      </c>
      <c r="BV1470" s="397">
        <v>3.8</v>
      </c>
      <c r="BY1470" s="32" t="s">
        <v>1007</v>
      </c>
      <c r="BZ1470" s="397"/>
      <c r="CA1470" s="397"/>
      <c r="CD1470" s="32" t="s">
        <v>1670</v>
      </c>
      <c r="CE1470" s="550">
        <v>3.7</v>
      </c>
      <c r="CF1470" s="550">
        <v>3.8</v>
      </c>
      <c r="CG1470" s="550"/>
      <c r="CH1470" s="550"/>
      <c r="CI1470" s="32" t="s">
        <v>4541</v>
      </c>
      <c r="CJ1470" s="32">
        <v>12.2</v>
      </c>
      <c r="CK1470" s="32">
        <v>13</v>
      </c>
      <c r="CN1470" s="32" t="s">
        <v>1009</v>
      </c>
      <c r="EC1470" s="32">
        <v>1.6240000000000001</v>
      </c>
      <c r="ED1470" s="32">
        <v>1.845</v>
      </c>
      <c r="EG1470" s="32" t="s">
        <v>1010</v>
      </c>
    </row>
    <row r="1471" spans="1:177" s="24" customFormat="1" x14ac:dyDescent="0.25">
      <c r="A1471" s="24">
        <v>67</v>
      </c>
      <c r="B1471" s="42" t="s">
        <v>4070</v>
      </c>
      <c r="C1471" s="24" t="s">
        <v>1003</v>
      </c>
      <c r="D1471" s="24" t="s">
        <v>1004</v>
      </c>
      <c r="E1471" s="24">
        <v>2006</v>
      </c>
      <c r="F1471" s="24">
        <v>2002</v>
      </c>
      <c r="G1471" s="24" t="s">
        <v>151</v>
      </c>
      <c r="H1471" s="24" t="s">
        <v>1005</v>
      </c>
      <c r="I1471" s="32" t="s">
        <v>2815</v>
      </c>
      <c r="J1471" s="24">
        <v>40.1</v>
      </c>
      <c r="K1471" s="24">
        <v>-88.25</v>
      </c>
      <c r="L1471" s="24">
        <v>235.6</v>
      </c>
      <c r="R1471" s="24">
        <v>2</v>
      </c>
      <c r="S1471" s="24">
        <v>2</v>
      </c>
      <c r="T1471" s="42" t="s">
        <v>1998</v>
      </c>
      <c r="U1471" s="42" t="s">
        <v>1996</v>
      </c>
      <c r="V1471" s="42" t="s">
        <v>1394</v>
      </c>
      <c r="W1471" s="42" t="s">
        <v>1722</v>
      </c>
      <c r="X1471" s="42" t="s">
        <v>1394</v>
      </c>
      <c r="Y1471" s="42" t="s">
        <v>1389</v>
      </c>
      <c r="Z1471" s="395">
        <v>1.32</v>
      </c>
      <c r="AA1471" s="321"/>
      <c r="AB1471" s="321"/>
      <c r="AC1471" s="24" t="s">
        <v>139</v>
      </c>
      <c r="AG1471" s="24" t="s">
        <v>1318</v>
      </c>
      <c r="AH1471" s="24" t="s">
        <v>243</v>
      </c>
      <c r="AI1471" s="138" t="s">
        <v>577</v>
      </c>
      <c r="AJ1471" s="24" t="s">
        <v>158</v>
      </c>
      <c r="AK1471" s="140" t="s">
        <v>1611</v>
      </c>
      <c r="AL1471" s="24" t="s">
        <v>989</v>
      </c>
      <c r="AM1471" s="24" t="s">
        <v>989</v>
      </c>
      <c r="AN1471" s="24" t="s">
        <v>177</v>
      </c>
      <c r="AO1471" s="24" t="s">
        <v>156</v>
      </c>
      <c r="AP1471" s="24" t="s">
        <v>156</v>
      </c>
      <c r="AQ1471" s="24" t="s">
        <v>2126</v>
      </c>
      <c r="AR1471" s="24" t="s">
        <v>2126</v>
      </c>
      <c r="AS1471" s="24" t="s">
        <v>177</v>
      </c>
      <c r="AT1471" s="24" t="s">
        <v>1006</v>
      </c>
      <c r="AU1471" s="24" t="s">
        <v>1006</v>
      </c>
      <c r="AV1471" s="24" t="s">
        <v>177</v>
      </c>
      <c r="AW1471" s="24" t="s">
        <v>119</v>
      </c>
      <c r="AX1471" s="24">
        <v>4</v>
      </c>
      <c r="AZ1471" s="24" t="s">
        <v>335</v>
      </c>
      <c r="BP1471" s="395">
        <v>1.32</v>
      </c>
      <c r="BQ1471" s="395">
        <v>1.23</v>
      </c>
      <c r="BU1471" s="395">
        <v>4</v>
      </c>
      <c r="BV1471" s="395">
        <v>4.5999999999999996</v>
      </c>
      <c r="BY1471" s="24" t="s">
        <v>1007</v>
      </c>
      <c r="BZ1471" s="395"/>
      <c r="CA1471" s="395"/>
      <c r="CD1471" s="24" t="s">
        <v>1670</v>
      </c>
      <c r="CE1471" s="548">
        <v>4</v>
      </c>
      <c r="CF1471" s="548">
        <v>4.5999999999999996</v>
      </c>
      <c r="CG1471" s="548"/>
      <c r="CH1471" s="548"/>
      <c r="CI1471" s="24" t="s">
        <v>4541</v>
      </c>
      <c r="CJ1471" s="24">
        <v>13.3</v>
      </c>
      <c r="CK1471" s="24">
        <v>9.3000000000000007</v>
      </c>
      <c r="CN1471" s="24" t="s">
        <v>1009</v>
      </c>
      <c r="EC1471" s="24">
        <v>1.337</v>
      </c>
      <c r="ED1471" s="24">
        <v>1.51</v>
      </c>
      <c r="EG1471" s="24" t="s">
        <v>1010</v>
      </c>
    </row>
    <row r="1472" spans="1:177" s="24" customFormat="1" x14ac:dyDescent="0.25">
      <c r="A1472" s="24">
        <v>67</v>
      </c>
      <c r="B1472" s="42" t="s">
        <v>4071</v>
      </c>
      <c r="C1472" s="24" t="s">
        <v>1003</v>
      </c>
      <c r="D1472" s="24" t="s">
        <v>1004</v>
      </c>
      <c r="E1472" s="24">
        <v>2006</v>
      </c>
      <c r="F1472" s="24">
        <v>2002</v>
      </c>
      <c r="G1472" s="24" t="s">
        <v>151</v>
      </c>
      <c r="H1472" s="24" t="s">
        <v>1005</v>
      </c>
      <c r="I1472" s="32" t="s">
        <v>2815</v>
      </c>
      <c r="J1472" s="24">
        <v>40.1</v>
      </c>
      <c r="K1472" s="24">
        <v>-88.25</v>
      </c>
      <c r="L1472" s="24">
        <v>235.6</v>
      </c>
      <c r="R1472" s="24">
        <v>2</v>
      </c>
      <c r="S1472" s="24">
        <v>2</v>
      </c>
      <c r="T1472" s="42" t="s">
        <v>1998</v>
      </c>
      <c r="U1472" s="42" t="s">
        <v>1996</v>
      </c>
      <c r="V1472" s="42" t="s">
        <v>1401</v>
      </c>
      <c r="W1472" s="42" t="s">
        <v>1722</v>
      </c>
      <c r="X1472" s="42" t="s">
        <v>1394</v>
      </c>
      <c r="Y1472" s="42" t="s">
        <v>1389</v>
      </c>
      <c r="Z1472" s="395">
        <v>1.4</v>
      </c>
      <c r="AA1472" s="321"/>
      <c r="AB1472" s="321"/>
      <c r="AC1472" s="24" t="s">
        <v>139</v>
      </c>
      <c r="AG1472" s="24" t="s">
        <v>1318</v>
      </c>
      <c r="AH1472" s="24" t="s">
        <v>243</v>
      </c>
      <c r="AI1472" s="138" t="s">
        <v>577</v>
      </c>
      <c r="AJ1472" s="24" t="s">
        <v>158</v>
      </c>
      <c r="AK1472" s="140" t="s">
        <v>1611</v>
      </c>
      <c r="AL1472" s="24" t="s">
        <v>989</v>
      </c>
      <c r="AM1472" s="24" t="s">
        <v>989</v>
      </c>
      <c r="AN1472" s="24" t="s">
        <v>177</v>
      </c>
      <c r="AO1472" s="24" t="s">
        <v>156</v>
      </c>
      <c r="AP1472" s="24" t="s">
        <v>156</v>
      </c>
      <c r="AQ1472" s="24" t="s">
        <v>2126</v>
      </c>
      <c r="AR1472" s="24" t="s">
        <v>2126</v>
      </c>
      <c r="AS1472" s="24" t="s">
        <v>177</v>
      </c>
      <c r="AT1472" s="24" t="s">
        <v>1006</v>
      </c>
      <c r="AU1472" s="24" t="s">
        <v>1006</v>
      </c>
      <c r="AV1472" s="24" t="s">
        <v>177</v>
      </c>
      <c r="AW1472" s="24" t="s">
        <v>119</v>
      </c>
      <c r="AX1472" s="24">
        <v>4</v>
      </c>
      <c r="AZ1472" s="24" t="s">
        <v>335</v>
      </c>
      <c r="BP1472" s="395">
        <v>1.4</v>
      </c>
      <c r="BQ1472" s="395">
        <v>1.35</v>
      </c>
      <c r="BU1472" s="395">
        <v>3.2</v>
      </c>
      <c r="BV1472" s="395">
        <v>3.5</v>
      </c>
      <c r="BY1472" s="24" t="s">
        <v>1007</v>
      </c>
      <c r="BZ1472" s="395"/>
      <c r="CA1472" s="395"/>
      <c r="CD1472" s="24" t="s">
        <v>1670</v>
      </c>
      <c r="CE1472" s="548">
        <v>3.2</v>
      </c>
      <c r="CF1472" s="548">
        <v>3.5</v>
      </c>
      <c r="CG1472" s="548"/>
      <c r="CH1472" s="548"/>
      <c r="CI1472" s="24" t="s">
        <v>4541</v>
      </c>
      <c r="CJ1472" s="24">
        <v>11.1</v>
      </c>
      <c r="CK1472" s="24">
        <v>12.9</v>
      </c>
      <c r="CN1472" s="24" t="s">
        <v>1009</v>
      </c>
      <c r="EC1472" s="24">
        <v>1.835</v>
      </c>
      <c r="ED1472" s="24">
        <v>2.1019999999999999</v>
      </c>
      <c r="EG1472" s="24" t="s">
        <v>1010</v>
      </c>
    </row>
    <row r="1473" spans="1:262" s="24" customFormat="1" x14ac:dyDescent="0.25">
      <c r="A1473" s="24">
        <v>67</v>
      </c>
      <c r="B1473" s="42" t="s">
        <v>4072</v>
      </c>
      <c r="C1473" s="24" t="s">
        <v>1003</v>
      </c>
      <c r="D1473" s="24" t="s">
        <v>1004</v>
      </c>
      <c r="E1473" s="24">
        <v>2006</v>
      </c>
      <c r="F1473" s="24">
        <v>2002</v>
      </c>
      <c r="G1473" s="24" t="s">
        <v>151</v>
      </c>
      <c r="H1473" s="24" t="s">
        <v>1005</v>
      </c>
      <c r="I1473" s="32" t="s">
        <v>2815</v>
      </c>
      <c r="J1473" s="24">
        <v>40.1</v>
      </c>
      <c r="K1473" s="24">
        <v>-88.25</v>
      </c>
      <c r="L1473" s="24">
        <v>235.6</v>
      </c>
      <c r="R1473" s="24">
        <v>2</v>
      </c>
      <c r="S1473" s="24">
        <v>2</v>
      </c>
      <c r="T1473" s="42" t="s">
        <v>1998</v>
      </c>
      <c r="U1473" s="42" t="s">
        <v>1996</v>
      </c>
      <c r="V1473" s="42" t="s">
        <v>1409</v>
      </c>
      <c r="W1473" s="42" t="s">
        <v>1722</v>
      </c>
      <c r="X1473" s="42" t="s">
        <v>1394</v>
      </c>
      <c r="Y1473" s="42" t="s">
        <v>1389</v>
      </c>
      <c r="Z1473" s="395">
        <v>1.45</v>
      </c>
      <c r="AA1473" s="321"/>
      <c r="AB1473" s="321"/>
      <c r="AC1473" s="24" t="s">
        <v>139</v>
      </c>
      <c r="AG1473" s="24" t="s">
        <v>1318</v>
      </c>
      <c r="AH1473" s="24" t="s">
        <v>243</v>
      </c>
      <c r="AI1473" s="138" t="s">
        <v>577</v>
      </c>
      <c r="AJ1473" s="24" t="s">
        <v>158</v>
      </c>
      <c r="AK1473" s="140" t="s">
        <v>1611</v>
      </c>
      <c r="AL1473" s="24" t="s">
        <v>989</v>
      </c>
      <c r="AM1473" s="24" t="s">
        <v>989</v>
      </c>
      <c r="AN1473" s="24" t="s">
        <v>177</v>
      </c>
      <c r="AO1473" s="24" t="s">
        <v>156</v>
      </c>
      <c r="AP1473" s="24" t="s">
        <v>156</v>
      </c>
      <c r="AQ1473" s="24" t="s">
        <v>2126</v>
      </c>
      <c r="AR1473" s="24" t="s">
        <v>2126</v>
      </c>
      <c r="AS1473" s="24" t="s">
        <v>177</v>
      </c>
      <c r="AT1473" s="24" t="s">
        <v>1006</v>
      </c>
      <c r="AU1473" s="24" t="s">
        <v>1006</v>
      </c>
      <c r="AV1473" s="24" t="s">
        <v>177</v>
      </c>
      <c r="AW1473" s="24" t="s">
        <v>119</v>
      </c>
      <c r="AX1473" s="24">
        <v>4</v>
      </c>
      <c r="AZ1473" s="24" t="s">
        <v>335</v>
      </c>
      <c r="BP1473" s="395">
        <v>1.45</v>
      </c>
      <c r="BQ1473" s="395">
        <v>1.5</v>
      </c>
      <c r="BU1473" s="395">
        <v>3.3</v>
      </c>
      <c r="BV1473" s="395">
        <v>3.3</v>
      </c>
      <c r="BY1473" s="24" t="s">
        <v>1007</v>
      </c>
      <c r="BZ1473" s="395"/>
      <c r="CA1473" s="395"/>
      <c r="CD1473" s="24" t="s">
        <v>1670</v>
      </c>
      <c r="CE1473" s="548">
        <v>3.3</v>
      </c>
      <c r="CF1473" s="548">
        <v>3.3</v>
      </c>
      <c r="CG1473" s="548"/>
      <c r="CH1473" s="548"/>
      <c r="CI1473" s="24" t="s">
        <v>4541</v>
      </c>
      <c r="CJ1473" s="24">
        <v>4.0999999999999996</v>
      </c>
      <c r="CK1473" s="24">
        <v>11.2</v>
      </c>
      <c r="CN1473" s="24" t="s">
        <v>1009</v>
      </c>
      <c r="EC1473" s="24">
        <v>1.7390000000000001</v>
      </c>
      <c r="ED1473" s="24">
        <v>2.016</v>
      </c>
      <c r="EG1473" s="24" t="s">
        <v>1010</v>
      </c>
    </row>
    <row r="1474" spans="1:262" s="24" customFormat="1" x14ac:dyDescent="0.25">
      <c r="A1474" s="24">
        <v>67</v>
      </c>
      <c r="B1474" s="42" t="s">
        <v>4073</v>
      </c>
      <c r="C1474" s="24" t="s">
        <v>1003</v>
      </c>
      <c r="D1474" s="24" t="s">
        <v>1004</v>
      </c>
      <c r="E1474" s="24">
        <v>2006</v>
      </c>
      <c r="F1474" s="24">
        <v>2002</v>
      </c>
      <c r="G1474" s="24" t="s">
        <v>151</v>
      </c>
      <c r="H1474" s="24" t="s">
        <v>1005</v>
      </c>
      <c r="I1474" s="32" t="s">
        <v>2815</v>
      </c>
      <c r="J1474" s="24">
        <v>40.1</v>
      </c>
      <c r="K1474" s="24">
        <v>-88.25</v>
      </c>
      <c r="L1474" s="24">
        <v>235.6</v>
      </c>
      <c r="R1474" s="24">
        <v>2</v>
      </c>
      <c r="S1474" s="24">
        <v>2</v>
      </c>
      <c r="T1474" s="42" t="s">
        <v>1998</v>
      </c>
      <c r="U1474" s="42" t="s">
        <v>1996</v>
      </c>
      <c r="V1474" s="42" t="s">
        <v>1390</v>
      </c>
      <c r="W1474" s="42" t="s">
        <v>1717</v>
      </c>
      <c r="X1474" s="42" t="s">
        <v>1394</v>
      </c>
      <c r="Y1474" s="42" t="s">
        <v>1389</v>
      </c>
      <c r="Z1474" s="395">
        <v>1.45</v>
      </c>
      <c r="AA1474" s="321"/>
      <c r="AB1474" s="321"/>
      <c r="AC1474" s="24" t="s">
        <v>139</v>
      </c>
      <c r="AG1474" s="24" t="s">
        <v>1318</v>
      </c>
      <c r="AH1474" s="24" t="s">
        <v>243</v>
      </c>
      <c r="AI1474" s="138" t="s">
        <v>577</v>
      </c>
      <c r="AJ1474" s="24" t="s">
        <v>158</v>
      </c>
      <c r="AK1474" s="140" t="s">
        <v>1611</v>
      </c>
      <c r="AL1474" s="24" t="s">
        <v>989</v>
      </c>
      <c r="AM1474" s="24" t="s">
        <v>989</v>
      </c>
      <c r="AN1474" s="24" t="s">
        <v>177</v>
      </c>
      <c r="AO1474" s="24" t="s">
        <v>156</v>
      </c>
      <c r="AP1474" s="24" t="s">
        <v>156</v>
      </c>
      <c r="AQ1474" s="24" t="s">
        <v>2126</v>
      </c>
      <c r="AR1474" s="24" t="s">
        <v>2126</v>
      </c>
      <c r="AS1474" s="24" t="s">
        <v>177</v>
      </c>
      <c r="AT1474" s="24" t="s">
        <v>1006</v>
      </c>
      <c r="AU1474" s="24" t="s">
        <v>1006</v>
      </c>
      <c r="AV1474" s="24" t="s">
        <v>177</v>
      </c>
      <c r="AW1474" s="24" t="s">
        <v>119</v>
      </c>
      <c r="AX1474" s="24">
        <v>4</v>
      </c>
      <c r="AZ1474" s="24" t="s">
        <v>335</v>
      </c>
      <c r="BP1474" s="395">
        <v>1.45</v>
      </c>
      <c r="BQ1474" s="395">
        <v>1.42</v>
      </c>
      <c r="BU1474" s="395">
        <v>3.7</v>
      </c>
      <c r="BV1474" s="395">
        <v>3.7</v>
      </c>
      <c r="BY1474" s="24" t="s">
        <v>1007</v>
      </c>
      <c r="BZ1474" s="395"/>
      <c r="CA1474" s="395"/>
      <c r="CD1474" s="24" t="s">
        <v>1670</v>
      </c>
      <c r="CE1474" s="548">
        <v>3.7</v>
      </c>
      <c r="CF1474" s="548">
        <v>3.7</v>
      </c>
      <c r="CG1474" s="548"/>
      <c r="CH1474" s="548"/>
      <c r="CI1474" s="24" t="s">
        <v>4541</v>
      </c>
      <c r="CJ1474" s="24">
        <v>12.2</v>
      </c>
      <c r="CK1474" s="24">
        <v>9.8000000000000007</v>
      </c>
      <c r="CN1474" s="24" t="s">
        <v>1009</v>
      </c>
      <c r="EC1474" s="24">
        <v>1.6240000000000001</v>
      </c>
      <c r="ED1474" s="24">
        <v>2.06</v>
      </c>
      <c r="EG1474" s="24" t="s">
        <v>1010</v>
      </c>
    </row>
    <row r="1475" spans="1:262" s="40" customFormat="1" x14ac:dyDescent="0.25">
      <c r="A1475" s="40">
        <v>67</v>
      </c>
      <c r="B1475" s="71" t="s">
        <v>4074</v>
      </c>
      <c r="C1475" s="40" t="s">
        <v>1003</v>
      </c>
      <c r="D1475" s="40" t="s">
        <v>1004</v>
      </c>
      <c r="E1475" s="40">
        <v>2006</v>
      </c>
      <c r="F1475" s="40">
        <v>2002</v>
      </c>
      <c r="G1475" s="40" t="s">
        <v>151</v>
      </c>
      <c r="H1475" s="40" t="s">
        <v>1005</v>
      </c>
      <c r="I1475" s="32" t="s">
        <v>2815</v>
      </c>
      <c r="J1475" s="40">
        <v>40.1</v>
      </c>
      <c r="K1475" s="40">
        <v>-88.25</v>
      </c>
      <c r="L1475" s="40">
        <v>235.6</v>
      </c>
      <c r="R1475" s="40">
        <v>2</v>
      </c>
      <c r="S1475" s="40">
        <v>2</v>
      </c>
      <c r="T1475" s="71" t="s">
        <v>1998</v>
      </c>
      <c r="U1475" s="71" t="s">
        <v>1996</v>
      </c>
      <c r="V1475" s="71" t="s">
        <v>1394</v>
      </c>
      <c r="W1475" s="71" t="s">
        <v>1722</v>
      </c>
      <c r="X1475" s="71" t="s">
        <v>1394</v>
      </c>
      <c r="Y1475" s="71" t="s">
        <v>1389</v>
      </c>
      <c r="Z1475" s="416">
        <v>1.32</v>
      </c>
      <c r="AA1475" s="341"/>
      <c r="AB1475" s="341"/>
      <c r="AC1475" s="40" t="s">
        <v>139</v>
      </c>
      <c r="AG1475" s="40" t="s">
        <v>1318</v>
      </c>
      <c r="AH1475" s="40" t="s">
        <v>1518</v>
      </c>
      <c r="AI1475" s="138" t="s">
        <v>1582</v>
      </c>
      <c r="AJ1475" s="40" t="s">
        <v>158</v>
      </c>
      <c r="AK1475" s="140" t="s">
        <v>1611</v>
      </c>
      <c r="AL1475" s="40" t="s">
        <v>989</v>
      </c>
      <c r="AM1475" s="40" t="s">
        <v>989</v>
      </c>
      <c r="AN1475" s="40" t="s">
        <v>177</v>
      </c>
      <c r="AO1475" s="40" t="s">
        <v>156</v>
      </c>
      <c r="AP1475" s="40" t="s">
        <v>156</v>
      </c>
      <c r="AQ1475" s="40" t="s">
        <v>2126</v>
      </c>
      <c r="AR1475" s="40" t="s">
        <v>2126</v>
      </c>
      <c r="AS1475" s="40" t="s">
        <v>177</v>
      </c>
      <c r="AT1475" s="40" t="s">
        <v>1006</v>
      </c>
      <c r="AU1475" s="40" t="s">
        <v>1006</v>
      </c>
      <c r="AV1475" s="40" t="s">
        <v>177</v>
      </c>
      <c r="AW1475" s="40" t="s">
        <v>119</v>
      </c>
      <c r="AX1475" s="40">
        <v>4</v>
      </c>
      <c r="AZ1475" s="40" t="s">
        <v>335</v>
      </c>
      <c r="BP1475" s="416">
        <v>1.32</v>
      </c>
      <c r="BQ1475" s="416">
        <v>1.23</v>
      </c>
      <c r="BU1475" s="416">
        <v>4</v>
      </c>
      <c r="BV1475" s="416">
        <v>4.7</v>
      </c>
      <c r="BY1475" s="40" t="s">
        <v>1007</v>
      </c>
      <c r="BZ1475" s="416"/>
      <c r="CA1475" s="416"/>
      <c r="CD1475" s="40" t="s">
        <v>1670</v>
      </c>
      <c r="CE1475" s="569">
        <v>4</v>
      </c>
      <c r="CF1475" s="569">
        <v>4.7</v>
      </c>
      <c r="CG1475" s="569"/>
      <c r="CH1475" s="569"/>
      <c r="CI1475" s="40" t="s">
        <v>4541</v>
      </c>
      <c r="CJ1475" s="40">
        <v>13.3</v>
      </c>
      <c r="CK1475" s="40">
        <v>9.5</v>
      </c>
      <c r="CN1475" s="40" t="s">
        <v>1009</v>
      </c>
      <c r="EC1475" s="40">
        <v>1.337</v>
      </c>
      <c r="ED1475" s="40">
        <v>1.0940000000000001</v>
      </c>
      <c r="EG1475" s="40" t="s">
        <v>1010</v>
      </c>
    </row>
    <row r="1476" spans="1:262" s="40" customFormat="1" x14ac:dyDescent="0.25">
      <c r="A1476" s="40">
        <v>67</v>
      </c>
      <c r="B1476" s="71" t="s">
        <v>4075</v>
      </c>
      <c r="C1476" s="40" t="s">
        <v>1003</v>
      </c>
      <c r="D1476" s="40" t="s">
        <v>1004</v>
      </c>
      <c r="E1476" s="40">
        <v>2006</v>
      </c>
      <c r="F1476" s="40">
        <v>2002</v>
      </c>
      <c r="G1476" s="40" t="s">
        <v>151</v>
      </c>
      <c r="H1476" s="40" t="s">
        <v>1005</v>
      </c>
      <c r="I1476" s="32" t="s">
        <v>2815</v>
      </c>
      <c r="J1476" s="40">
        <v>40.1</v>
      </c>
      <c r="K1476" s="40">
        <v>-88.25</v>
      </c>
      <c r="L1476" s="40">
        <v>235.6</v>
      </c>
      <c r="R1476" s="40">
        <v>2</v>
      </c>
      <c r="S1476" s="40">
        <v>2</v>
      </c>
      <c r="T1476" s="71" t="s">
        <v>1998</v>
      </c>
      <c r="U1476" s="71" t="s">
        <v>1996</v>
      </c>
      <c r="V1476" s="71" t="s">
        <v>1401</v>
      </c>
      <c r="W1476" s="71" t="s">
        <v>1722</v>
      </c>
      <c r="X1476" s="71" t="s">
        <v>1394</v>
      </c>
      <c r="Y1476" s="71" t="s">
        <v>1389</v>
      </c>
      <c r="Z1476" s="416">
        <v>1.4</v>
      </c>
      <c r="AA1476" s="341"/>
      <c r="AB1476" s="341"/>
      <c r="AC1476" s="40" t="s">
        <v>139</v>
      </c>
      <c r="AG1476" s="40" t="s">
        <v>1318</v>
      </c>
      <c r="AH1476" s="40" t="s">
        <v>1518</v>
      </c>
      <c r="AI1476" s="138" t="s">
        <v>1582</v>
      </c>
      <c r="AJ1476" s="40" t="s">
        <v>158</v>
      </c>
      <c r="AK1476" s="140" t="s">
        <v>1611</v>
      </c>
      <c r="AL1476" s="40" t="s">
        <v>989</v>
      </c>
      <c r="AM1476" s="40" t="s">
        <v>989</v>
      </c>
      <c r="AN1476" s="40" t="s">
        <v>177</v>
      </c>
      <c r="AO1476" s="40" t="s">
        <v>156</v>
      </c>
      <c r="AP1476" s="40" t="s">
        <v>156</v>
      </c>
      <c r="AQ1476" s="40" t="s">
        <v>2126</v>
      </c>
      <c r="AR1476" s="40" t="s">
        <v>2126</v>
      </c>
      <c r="AS1476" s="40" t="s">
        <v>177</v>
      </c>
      <c r="AT1476" s="40" t="s">
        <v>1006</v>
      </c>
      <c r="AU1476" s="40" t="s">
        <v>1006</v>
      </c>
      <c r="AV1476" s="40" t="s">
        <v>177</v>
      </c>
      <c r="AW1476" s="40" t="s">
        <v>119</v>
      </c>
      <c r="AX1476" s="40">
        <v>4</v>
      </c>
      <c r="AZ1476" s="40" t="s">
        <v>335</v>
      </c>
      <c r="BP1476" s="416">
        <v>1.4</v>
      </c>
      <c r="BQ1476" s="416">
        <v>1.36</v>
      </c>
      <c r="BU1476" s="416">
        <v>3.2</v>
      </c>
      <c r="BV1476" s="416">
        <v>3.5</v>
      </c>
      <c r="BY1476" s="40" t="s">
        <v>1007</v>
      </c>
      <c r="BZ1476" s="416"/>
      <c r="CA1476" s="416"/>
      <c r="CD1476" s="40" t="s">
        <v>1670</v>
      </c>
      <c r="CE1476" s="569">
        <v>3.2</v>
      </c>
      <c r="CF1476" s="569">
        <v>3.5</v>
      </c>
      <c r="CG1476" s="569"/>
      <c r="CH1476" s="569"/>
      <c r="CI1476" s="40" t="s">
        <v>4541</v>
      </c>
      <c r="CJ1476" s="40">
        <v>11.1</v>
      </c>
      <c r="CK1476" s="40">
        <v>8.5</v>
      </c>
      <c r="CN1476" s="40" t="s">
        <v>1009</v>
      </c>
      <c r="EC1476" s="40">
        <v>1.835</v>
      </c>
      <c r="ED1476" s="40">
        <v>1.9970000000000001</v>
      </c>
      <c r="EG1476" s="40" t="s">
        <v>1010</v>
      </c>
    </row>
    <row r="1477" spans="1:262" s="40" customFormat="1" x14ac:dyDescent="0.25">
      <c r="A1477" s="40">
        <v>67</v>
      </c>
      <c r="B1477" s="71" t="s">
        <v>4076</v>
      </c>
      <c r="C1477" s="40" t="s">
        <v>1003</v>
      </c>
      <c r="D1477" s="40" t="s">
        <v>1004</v>
      </c>
      <c r="E1477" s="40">
        <v>2006</v>
      </c>
      <c r="F1477" s="40">
        <v>2002</v>
      </c>
      <c r="G1477" s="40" t="s">
        <v>151</v>
      </c>
      <c r="H1477" s="40" t="s">
        <v>1005</v>
      </c>
      <c r="I1477" s="32" t="s">
        <v>2815</v>
      </c>
      <c r="J1477" s="40">
        <v>40.1</v>
      </c>
      <c r="K1477" s="40">
        <v>-88.25</v>
      </c>
      <c r="L1477" s="40">
        <v>235.6</v>
      </c>
      <c r="R1477" s="40">
        <v>2</v>
      </c>
      <c r="S1477" s="40">
        <v>2</v>
      </c>
      <c r="T1477" s="71" t="s">
        <v>1998</v>
      </c>
      <c r="U1477" s="71" t="s">
        <v>1996</v>
      </c>
      <c r="V1477" s="71" t="s">
        <v>1409</v>
      </c>
      <c r="W1477" s="71" t="s">
        <v>1722</v>
      </c>
      <c r="X1477" s="71" t="s">
        <v>1394</v>
      </c>
      <c r="Y1477" s="71" t="s">
        <v>1389</v>
      </c>
      <c r="Z1477" s="416">
        <v>1.45</v>
      </c>
      <c r="AA1477" s="341"/>
      <c r="AB1477" s="341"/>
      <c r="AC1477" s="40" t="s">
        <v>139</v>
      </c>
      <c r="AG1477" s="40" t="s">
        <v>1318</v>
      </c>
      <c r="AH1477" s="40" t="s">
        <v>1518</v>
      </c>
      <c r="AI1477" s="138" t="s">
        <v>1582</v>
      </c>
      <c r="AJ1477" s="40" t="s">
        <v>158</v>
      </c>
      <c r="AK1477" s="140" t="s">
        <v>1611</v>
      </c>
      <c r="AL1477" s="40" t="s">
        <v>989</v>
      </c>
      <c r="AM1477" s="40" t="s">
        <v>989</v>
      </c>
      <c r="AN1477" s="40" t="s">
        <v>177</v>
      </c>
      <c r="AO1477" s="40" t="s">
        <v>156</v>
      </c>
      <c r="AP1477" s="40" t="s">
        <v>156</v>
      </c>
      <c r="AQ1477" s="40" t="s">
        <v>2126</v>
      </c>
      <c r="AR1477" s="40" t="s">
        <v>2126</v>
      </c>
      <c r="AS1477" s="40" t="s">
        <v>177</v>
      </c>
      <c r="AT1477" s="40" t="s">
        <v>1006</v>
      </c>
      <c r="AU1477" s="40" t="s">
        <v>1006</v>
      </c>
      <c r="AV1477" s="40" t="s">
        <v>177</v>
      </c>
      <c r="AW1477" s="40" t="s">
        <v>119</v>
      </c>
      <c r="AX1477" s="40">
        <v>4</v>
      </c>
      <c r="AZ1477" s="40" t="s">
        <v>335</v>
      </c>
      <c r="BP1477" s="416">
        <v>1.45</v>
      </c>
      <c r="BQ1477" s="416">
        <v>1.43</v>
      </c>
      <c r="BU1477" s="416">
        <v>3.3</v>
      </c>
      <c r="BV1477" s="416">
        <v>3.3</v>
      </c>
      <c r="BY1477" s="40" t="s">
        <v>1007</v>
      </c>
      <c r="BZ1477" s="416"/>
      <c r="CA1477" s="416"/>
      <c r="CD1477" s="40" t="s">
        <v>1670</v>
      </c>
      <c r="CE1477" s="569">
        <v>3.3</v>
      </c>
      <c r="CF1477" s="569">
        <v>3.3</v>
      </c>
      <c r="CG1477" s="569"/>
      <c r="CH1477" s="569"/>
      <c r="CI1477" s="40" t="s">
        <v>4541</v>
      </c>
      <c r="CJ1477" s="40">
        <v>4.0999999999999996</v>
      </c>
      <c r="CK1477" s="40">
        <v>15.6</v>
      </c>
      <c r="CN1477" s="40" t="s">
        <v>1009</v>
      </c>
      <c r="EC1477" s="40">
        <v>1.7390000000000001</v>
      </c>
      <c r="ED1477" s="40">
        <v>2.1440000000000001</v>
      </c>
      <c r="EG1477" s="40" t="s">
        <v>1010</v>
      </c>
    </row>
    <row r="1478" spans="1:262" s="40" customFormat="1" x14ac:dyDescent="0.25">
      <c r="A1478" s="40">
        <v>67</v>
      </c>
      <c r="B1478" s="71" t="s">
        <v>4077</v>
      </c>
      <c r="C1478" s="40" t="s">
        <v>1003</v>
      </c>
      <c r="D1478" s="40" t="s">
        <v>1004</v>
      </c>
      <c r="E1478" s="40">
        <v>2006</v>
      </c>
      <c r="F1478" s="40">
        <v>2002</v>
      </c>
      <c r="G1478" s="40" t="s">
        <v>151</v>
      </c>
      <c r="H1478" s="40" t="s">
        <v>1005</v>
      </c>
      <c r="I1478" s="32" t="s">
        <v>2815</v>
      </c>
      <c r="J1478" s="40">
        <v>40.1</v>
      </c>
      <c r="K1478" s="40">
        <v>-88.25</v>
      </c>
      <c r="L1478" s="40">
        <v>235.6</v>
      </c>
      <c r="R1478" s="40">
        <v>2</v>
      </c>
      <c r="S1478" s="40">
        <v>2</v>
      </c>
      <c r="T1478" s="71" t="s">
        <v>1998</v>
      </c>
      <c r="U1478" s="71" t="s">
        <v>1996</v>
      </c>
      <c r="V1478" s="71" t="s">
        <v>1390</v>
      </c>
      <c r="W1478" s="71" t="s">
        <v>1717</v>
      </c>
      <c r="X1478" s="71" t="s">
        <v>1394</v>
      </c>
      <c r="Y1478" s="71" t="s">
        <v>1389</v>
      </c>
      <c r="Z1478" s="416">
        <v>1.45</v>
      </c>
      <c r="AA1478" s="341"/>
      <c r="AB1478" s="341"/>
      <c r="AC1478" s="40" t="s">
        <v>139</v>
      </c>
      <c r="AG1478" s="40" t="s">
        <v>1318</v>
      </c>
      <c r="AH1478" s="40" t="s">
        <v>1518</v>
      </c>
      <c r="AI1478" s="138" t="s">
        <v>1582</v>
      </c>
      <c r="AJ1478" s="40" t="s">
        <v>158</v>
      </c>
      <c r="AK1478" s="140" t="s">
        <v>1611</v>
      </c>
      <c r="AL1478" s="40" t="s">
        <v>989</v>
      </c>
      <c r="AM1478" s="40" t="s">
        <v>989</v>
      </c>
      <c r="AN1478" s="40" t="s">
        <v>177</v>
      </c>
      <c r="AO1478" s="40" t="s">
        <v>156</v>
      </c>
      <c r="AP1478" s="40" t="s">
        <v>156</v>
      </c>
      <c r="AQ1478" s="40" t="s">
        <v>2126</v>
      </c>
      <c r="AR1478" s="40" t="s">
        <v>2126</v>
      </c>
      <c r="AS1478" s="40" t="s">
        <v>177</v>
      </c>
      <c r="AT1478" s="40" t="s">
        <v>1006</v>
      </c>
      <c r="AU1478" s="40" t="s">
        <v>1006</v>
      </c>
      <c r="AV1478" s="40" t="s">
        <v>177</v>
      </c>
      <c r="AW1478" s="40" t="s">
        <v>119</v>
      </c>
      <c r="AX1478" s="40">
        <v>4</v>
      </c>
      <c r="AZ1478" s="40" t="s">
        <v>335</v>
      </c>
      <c r="BP1478" s="416">
        <v>1.45</v>
      </c>
      <c r="BQ1478" s="416">
        <v>1.39</v>
      </c>
      <c r="BU1478" s="416">
        <v>3.7</v>
      </c>
      <c r="BV1478" s="416">
        <v>4</v>
      </c>
      <c r="BY1478" s="40" t="s">
        <v>1007</v>
      </c>
      <c r="BZ1478" s="416"/>
      <c r="CA1478" s="416"/>
      <c r="CD1478" s="40" t="s">
        <v>1670</v>
      </c>
      <c r="CE1478" s="569">
        <v>3.7</v>
      </c>
      <c r="CF1478" s="569">
        <v>4</v>
      </c>
      <c r="CG1478" s="569"/>
      <c r="CH1478" s="569"/>
      <c r="CI1478" s="40" t="s">
        <v>4541</v>
      </c>
      <c r="CJ1478" s="40">
        <v>12.2</v>
      </c>
      <c r="CK1478" s="40">
        <v>10.4</v>
      </c>
      <c r="CN1478" s="40" t="s">
        <v>1009</v>
      </c>
      <c r="EC1478" s="40">
        <v>1.6240000000000001</v>
      </c>
      <c r="ED1478" s="40">
        <v>2.0339999999999998</v>
      </c>
      <c r="EG1478" s="40" t="s">
        <v>1010</v>
      </c>
    </row>
    <row r="1479" spans="1:262" s="28" customFormat="1" x14ac:dyDescent="0.25">
      <c r="A1479" s="28">
        <v>68</v>
      </c>
      <c r="B1479" s="46" t="s">
        <v>4078</v>
      </c>
      <c r="C1479" s="28" t="s">
        <v>1019</v>
      </c>
      <c r="D1479" s="28" t="s">
        <v>1020</v>
      </c>
      <c r="E1479" s="28">
        <v>2011</v>
      </c>
      <c r="F1479" s="28">
        <v>1995</v>
      </c>
      <c r="G1479" s="28" t="s">
        <v>302</v>
      </c>
      <c r="H1479" s="28" t="s">
        <v>1022</v>
      </c>
      <c r="I1479" s="32" t="s">
        <v>2815</v>
      </c>
      <c r="J1479" s="28">
        <f t="shared" ref="J1479:J1502" si="259">43+18/60</f>
        <v>43.3</v>
      </c>
      <c r="K1479" s="28">
        <f t="shared" ref="K1479:K1502" si="260">-89-21/60</f>
        <v>-89.35</v>
      </c>
      <c r="L1479" s="28">
        <v>317.10000000000002</v>
      </c>
      <c r="R1479" s="46" t="s">
        <v>1722</v>
      </c>
      <c r="S1479" s="46" t="s">
        <v>1975</v>
      </c>
      <c r="T1479" s="46" t="s">
        <v>864</v>
      </c>
      <c r="U1479" s="46" t="s">
        <v>1021</v>
      </c>
      <c r="V1479" s="46" t="s">
        <v>1394</v>
      </c>
      <c r="W1479" s="46" t="s">
        <v>1722</v>
      </c>
      <c r="X1479" s="46" t="s">
        <v>1394</v>
      </c>
      <c r="Y1479" s="46" t="s">
        <v>1379</v>
      </c>
      <c r="Z1479" s="401">
        <v>1.1000000000000001</v>
      </c>
      <c r="AA1479" s="326"/>
      <c r="AB1479" s="326"/>
      <c r="AC1479" s="28" t="s">
        <v>450</v>
      </c>
      <c r="AG1479" s="28" t="s">
        <v>1342</v>
      </c>
      <c r="AH1479" s="28" t="s">
        <v>1527</v>
      </c>
      <c r="AI1479" s="138" t="s">
        <v>1581</v>
      </c>
      <c r="AJ1479" s="28" t="s">
        <v>132</v>
      </c>
      <c r="AK1479" s="141" t="s">
        <v>1611</v>
      </c>
      <c r="AL1479" s="28" t="s">
        <v>132</v>
      </c>
      <c r="AM1479" s="28" t="s">
        <v>942</v>
      </c>
      <c r="AN1479" s="28" t="s">
        <v>502</v>
      </c>
      <c r="AO1479" s="28" t="s">
        <v>477</v>
      </c>
      <c r="AP1479" s="28" t="s">
        <v>1029</v>
      </c>
      <c r="AQ1479" s="28" t="s">
        <v>2126</v>
      </c>
      <c r="AR1479" s="28" t="s">
        <v>2126</v>
      </c>
      <c r="AS1479" s="28" t="s">
        <v>502</v>
      </c>
      <c r="AT1479" s="28" t="s">
        <v>1030</v>
      </c>
      <c r="AU1479" s="28" t="s">
        <v>1031</v>
      </c>
      <c r="AV1479" s="28" t="s">
        <v>502</v>
      </c>
      <c r="AW1479" s="28" t="s">
        <v>160</v>
      </c>
      <c r="AX1479" s="28">
        <v>4</v>
      </c>
      <c r="AZ1479" s="28" t="s">
        <v>141</v>
      </c>
      <c r="BE1479" s="28" t="s">
        <v>1023</v>
      </c>
      <c r="BP1479" s="401">
        <v>1.1000000000000001</v>
      </c>
      <c r="BQ1479" s="401">
        <v>1.07</v>
      </c>
      <c r="BU1479" s="401">
        <v>2.41</v>
      </c>
      <c r="BV1479" s="401">
        <v>2.19</v>
      </c>
      <c r="BY1479" s="28" t="s">
        <v>618</v>
      </c>
      <c r="BZ1479" s="401"/>
      <c r="CA1479" s="401"/>
      <c r="CD1479" s="28" t="s">
        <v>3121</v>
      </c>
      <c r="CE1479" s="554">
        <v>2.41</v>
      </c>
      <c r="CF1479" s="554">
        <v>2.19</v>
      </c>
      <c r="CG1479" s="554"/>
      <c r="CH1479" s="554"/>
      <c r="CI1479" s="28" t="s">
        <v>4544</v>
      </c>
      <c r="CJ1479" s="28">
        <v>2230</v>
      </c>
      <c r="CK1479" s="28">
        <v>2030</v>
      </c>
      <c r="CN1479" s="28" t="s">
        <v>234</v>
      </c>
      <c r="CO1479" s="28">
        <v>52.5</v>
      </c>
      <c r="CP1479" s="28">
        <v>45.3</v>
      </c>
      <c r="CT1479" s="28">
        <v>237</v>
      </c>
      <c r="CU1479" s="28">
        <v>148</v>
      </c>
      <c r="CY1479" s="28">
        <v>6.3</v>
      </c>
      <c r="CZ1479" s="28">
        <v>6.7</v>
      </c>
      <c r="DS1479" s="28">
        <v>778</v>
      </c>
      <c r="DT1479" s="28">
        <v>665</v>
      </c>
      <c r="DW1479" s="28" t="s">
        <v>1048</v>
      </c>
      <c r="FL1479" s="28">
        <v>28</v>
      </c>
      <c r="FM1479" s="28">
        <v>28</v>
      </c>
      <c r="FP1479" s="28" t="s">
        <v>164</v>
      </c>
      <c r="HE1479" s="28">
        <v>1740</v>
      </c>
      <c r="HF1479" s="28">
        <v>1840</v>
      </c>
      <c r="HI1479" s="28" t="s">
        <v>432</v>
      </c>
      <c r="HJ1479" s="28">
        <v>29.9</v>
      </c>
      <c r="HK1479" s="28">
        <v>31.5</v>
      </c>
      <c r="IN1479" s="28">
        <f>200*0.000012</f>
        <v>2.4000000000000002E-3</v>
      </c>
      <c r="IO1479" s="28">
        <f>161*0.000012</f>
        <v>1.9320000000000001E-3</v>
      </c>
      <c r="IR1479" s="28" t="s">
        <v>1038</v>
      </c>
      <c r="IY1479" s="28">
        <v>99999</v>
      </c>
      <c r="IZ1479" s="28">
        <v>99999</v>
      </c>
      <c r="JB1479" s="28" t="s">
        <v>434</v>
      </c>
    </row>
    <row r="1480" spans="1:262" s="28" customFormat="1" x14ac:dyDescent="0.25">
      <c r="A1480" s="28">
        <v>68</v>
      </c>
      <c r="B1480" s="46" t="s">
        <v>4078</v>
      </c>
      <c r="C1480" s="28" t="s">
        <v>1019</v>
      </c>
      <c r="D1480" s="28" t="s">
        <v>1020</v>
      </c>
      <c r="E1480" s="28">
        <v>2011</v>
      </c>
      <c r="F1480" s="28">
        <v>1995</v>
      </c>
      <c r="G1480" s="28" t="s">
        <v>302</v>
      </c>
      <c r="H1480" s="28" t="s">
        <v>1022</v>
      </c>
      <c r="I1480" s="32" t="s">
        <v>2815</v>
      </c>
      <c r="J1480" s="28">
        <f t="shared" si="259"/>
        <v>43.3</v>
      </c>
      <c r="K1480" s="28">
        <f t="shared" si="260"/>
        <v>-89.35</v>
      </c>
      <c r="L1480" s="28">
        <v>317.10000000000002</v>
      </c>
      <c r="R1480" s="46" t="s">
        <v>1722</v>
      </c>
      <c r="S1480" s="46" t="s">
        <v>1975</v>
      </c>
      <c r="T1480" s="46" t="s">
        <v>864</v>
      </c>
      <c r="U1480" s="46" t="s">
        <v>1021</v>
      </c>
      <c r="V1480" s="46" t="s">
        <v>1394</v>
      </c>
      <c r="W1480" s="46" t="s">
        <v>1722</v>
      </c>
      <c r="X1480" s="46" t="s">
        <v>1394</v>
      </c>
      <c r="Y1480" s="46" t="s">
        <v>1379</v>
      </c>
      <c r="Z1480" s="401">
        <v>1.1000000000000001</v>
      </c>
      <c r="AA1480" s="326"/>
      <c r="AB1480" s="326"/>
      <c r="AC1480" s="28" t="s">
        <v>450</v>
      </c>
      <c r="AG1480" s="28" t="s">
        <v>1342</v>
      </c>
      <c r="AH1480" s="28" t="s">
        <v>114</v>
      </c>
      <c r="AI1480" s="138" t="s">
        <v>577</v>
      </c>
      <c r="AJ1480" s="28" t="s">
        <v>132</v>
      </c>
      <c r="AK1480" s="141" t="s">
        <v>1611</v>
      </c>
      <c r="AL1480" s="28" t="s">
        <v>132</v>
      </c>
      <c r="AM1480" s="28" t="s">
        <v>132</v>
      </c>
      <c r="AN1480" s="28" t="s">
        <v>177</v>
      </c>
      <c r="AO1480" s="28" t="s">
        <v>477</v>
      </c>
      <c r="AP1480" s="28" t="s">
        <v>1029</v>
      </c>
      <c r="AQ1480" s="28" t="s">
        <v>2126</v>
      </c>
      <c r="AR1480" s="28" t="s">
        <v>2126</v>
      </c>
      <c r="AS1480" s="28" t="s">
        <v>502</v>
      </c>
      <c r="AT1480" s="28" t="s">
        <v>1030</v>
      </c>
      <c r="AU1480" s="28" t="s">
        <v>1032</v>
      </c>
      <c r="AV1480" s="28" t="s">
        <v>502</v>
      </c>
      <c r="AW1480" s="28" t="s">
        <v>160</v>
      </c>
      <c r="AX1480" s="28">
        <v>4</v>
      </c>
      <c r="AZ1480" s="28" t="s">
        <v>141</v>
      </c>
      <c r="BE1480" s="28" t="s">
        <v>1024</v>
      </c>
      <c r="BP1480" s="401">
        <v>1.1000000000000001</v>
      </c>
      <c r="BQ1480" s="401">
        <v>1.32</v>
      </c>
      <c r="BU1480" s="401">
        <v>2.41</v>
      </c>
      <c r="BV1480" s="401">
        <v>2.5</v>
      </c>
      <c r="BY1480" s="28" t="s">
        <v>618</v>
      </c>
      <c r="BZ1480" s="401"/>
      <c r="CA1480" s="401"/>
      <c r="CD1480" s="28" t="s">
        <v>3121</v>
      </c>
      <c r="CE1480" s="554">
        <v>2.41</v>
      </c>
      <c r="CF1480" s="554">
        <v>2.5</v>
      </c>
      <c r="CG1480" s="554"/>
      <c r="CH1480" s="554"/>
      <c r="CI1480" s="28" t="s">
        <v>4544</v>
      </c>
      <c r="CJ1480" s="28">
        <v>2230</v>
      </c>
      <c r="CK1480" s="28">
        <v>2430</v>
      </c>
      <c r="CN1480" s="28" t="s">
        <v>234</v>
      </c>
      <c r="CO1480" s="28">
        <v>52.5</v>
      </c>
      <c r="CP1480" s="28">
        <v>61.5</v>
      </c>
      <c r="CT1480" s="28">
        <v>237</v>
      </c>
      <c r="CU1480" s="28">
        <v>135</v>
      </c>
      <c r="CY1480" s="28">
        <v>6.3</v>
      </c>
      <c r="CZ1480" s="28">
        <v>6.9</v>
      </c>
      <c r="DS1480" s="28">
        <v>778</v>
      </c>
      <c r="DT1480" s="28">
        <v>817</v>
      </c>
      <c r="DW1480" s="28" t="s">
        <v>1048</v>
      </c>
      <c r="FL1480" s="28">
        <v>28</v>
      </c>
      <c r="FM1480" s="28">
        <v>28</v>
      </c>
      <c r="FP1480" s="28" t="s">
        <v>164</v>
      </c>
      <c r="HE1480" s="28">
        <v>1740</v>
      </c>
      <c r="HF1480" s="28">
        <v>1880</v>
      </c>
      <c r="HI1480" s="28" t="s">
        <v>432</v>
      </c>
      <c r="HJ1480" s="28">
        <v>29.9</v>
      </c>
      <c r="HK1480" s="28">
        <v>37.4</v>
      </c>
      <c r="IN1480" s="28">
        <f t="shared" ref="IN1480:IN1484" si="261">200*0.000012</f>
        <v>2.4000000000000002E-3</v>
      </c>
      <c r="IO1480" s="28">
        <f>250*0.000012</f>
        <v>3.0000000000000001E-3</v>
      </c>
      <c r="IR1480" s="28" t="s">
        <v>1038</v>
      </c>
      <c r="IY1480" s="28">
        <v>99999</v>
      </c>
      <c r="IZ1480" s="28">
        <v>99999</v>
      </c>
      <c r="JB1480" s="28" t="s">
        <v>434</v>
      </c>
    </row>
    <row r="1481" spans="1:262" s="28" customFormat="1" x14ac:dyDescent="0.25">
      <c r="A1481" s="28">
        <v>68</v>
      </c>
      <c r="B1481" s="46" t="s">
        <v>4078</v>
      </c>
      <c r="C1481" s="28" t="s">
        <v>1019</v>
      </c>
      <c r="D1481" s="28" t="s">
        <v>1020</v>
      </c>
      <c r="E1481" s="28">
        <v>2011</v>
      </c>
      <c r="F1481" s="28">
        <v>1995</v>
      </c>
      <c r="G1481" s="28" t="s">
        <v>302</v>
      </c>
      <c r="H1481" s="28" t="s">
        <v>1022</v>
      </c>
      <c r="I1481" s="32" t="s">
        <v>2815</v>
      </c>
      <c r="J1481" s="28">
        <f t="shared" si="259"/>
        <v>43.3</v>
      </c>
      <c r="K1481" s="28">
        <f t="shared" si="260"/>
        <v>-89.35</v>
      </c>
      <c r="L1481" s="28">
        <v>317.10000000000002</v>
      </c>
      <c r="R1481" s="46" t="s">
        <v>1722</v>
      </c>
      <c r="S1481" s="46" t="s">
        <v>1975</v>
      </c>
      <c r="T1481" s="46" t="s">
        <v>864</v>
      </c>
      <c r="U1481" s="46" t="s">
        <v>1021</v>
      </c>
      <c r="V1481" s="46" t="s">
        <v>1394</v>
      </c>
      <c r="W1481" s="46" t="s">
        <v>1722</v>
      </c>
      <c r="X1481" s="46" t="s">
        <v>1394</v>
      </c>
      <c r="Y1481" s="46" t="s">
        <v>1379</v>
      </c>
      <c r="Z1481" s="401">
        <v>1.1000000000000001</v>
      </c>
      <c r="AA1481" s="326"/>
      <c r="AB1481" s="326"/>
      <c r="AC1481" s="28" t="s">
        <v>450</v>
      </c>
      <c r="AG1481" s="28" t="s">
        <v>1342</v>
      </c>
      <c r="AH1481" s="28" t="s">
        <v>114</v>
      </c>
      <c r="AI1481" s="138" t="s">
        <v>577</v>
      </c>
      <c r="AJ1481" s="28" t="s">
        <v>132</v>
      </c>
      <c r="AK1481" s="141" t="s">
        <v>1611</v>
      </c>
      <c r="AL1481" s="28" t="s">
        <v>132</v>
      </c>
      <c r="AM1481" s="28" t="s">
        <v>132</v>
      </c>
      <c r="AN1481" s="28" t="s">
        <v>177</v>
      </c>
      <c r="AO1481" s="28" t="s">
        <v>477</v>
      </c>
      <c r="AP1481" s="28" t="s">
        <v>1029</v>
      </c>
      <c r="AQ1481" s="28" t="s">
        <v>2126</v>
      </c>
      <c r="AR1481" s="28" t="s">
        <v>2126</v>
      </c>
      <c r="AS1481" s="28" t="s">
        <v>502</v>
      </c>
      <c r="AT1481" s="28" t="s">
        <v>1030</v>
      </c>
      <c r="AU1481" s="28" t="s">
        <v>1033</v>
      </c>
      <c r="AV1481" s="28" t="s">
        <v>502</v>
      </c>
      <c r="AW1481" s="28" t="s">
        <v>160</v>
      </c>
      <c r="AX1481" s="28">
        <v>4</v>
      </c>
      <c r="AZ1481" s="28" t="s">
        <v>141</v>
      </c>
      <c r="BE1481" s="28" t="s">
        <v>1025</v>
      </c>
      <c r="BP1481" s="401">
        <v>1.1000000000000001</v>
      </c>
      <c r="BQ1481" s="401">
        <v>1.37</v>
      </c>
      <c r="BU1481" s="401">
        <v>2.41</v>
      </c>
      <c r="BV1481" s="401">
        <v>2.59</v>
      </c>
      <c r="BY1481" s="28" t="s">
        <v>618</v>
      </c>
      <c r="BZ1481" s="401"/>
      <c r="CA1481" s="401"/>
      <c r="CD1481" s="28" t="s">
        <v>3121</v>
      </c>
      <c r="CE1481" s="554">
        <v>2.41</v>
      </c>
      <c r="CF1481" s="554">
        <v>2.59</v>
      </c>
      <c r="CG1481" s="554"/>
      <c r="CH1481" s="554"/>
      <c r="CI1481" s="28" t="s">
        <v>4544</v>
      </c>
      <c r="CJ1481" s="28">
        <v>2230</v>
      </c>
      <c r="CK1481" s="28">
        <v>2680</v>
      </c>
      <c r="CN1481" s="28" t="s">
        <v>234</v>
      </c>
      <c r="CO1481" s="28">
        <v>52.5</v>
      </c>
      <c r="CP1481" s="28">
        <v>72.8</v>
      </c>
      <c r="CT1481" s="28">
        <v>237</v>
      </c>
      <c r="CU1481" s="28">
        <v>231</v>
      </c>
      <c r="CY1481" s="28">
        <v>6.3</v>
      </c>
      <c r="CZ1481" s="28">
        <v>6.6</v>
      </c>
      <c r="DS1481" s="28">
        <v>778</v>
      </c>
      <c r="DT1481" s="28">
        <v>801</v>
      </c>
      <c r="DW1481" s="28" t="s">
        <v>1048</v>
      </c>
      <c r="FL1481" s="28">
        <v>28</v>
      </c>
      <c r="FM1481" s="28">
        <v>23</v>
      </c>
      <c r="FP1481" s="28" t="s">
        <v>164</v>
      </c>
      <c r="HE1481" s="28">
        <v>1740</v>
      </c>
      <c r="HF1481" s="28">
        <v>1900</v>
      </c>
      <c r="HI1481" s="28" t="s">
        <v>432</v>
      </c>
      <c r="HJ1481" s="28">
        <v>29.9</v>
      </c>
      <c r="HK1481" s="28">
        <v>36.799999999999997</v>
      </c>
      <c r="IN1481" s="28">
        <f t="shared" si="261"/>
        <v>2.4000000000000002E-3</v>
      </c>
      <c r="IO1481" s="28">
        <f>181*0.000012</f>
        <v>2.1719999999999999E-3</v>
      </c>
      <c r="IR1481" s="28" t="s">
        <v>1047</v>
      </c>
      <c r="IY1481" s="28">
        <v>99999</v>
      </c>
      <c r="IZ1481" s="28">
        <v>99999</v>
      </c>
      <c r="JB1481" s="28" t="s">
        <v>434</v>
      </c>
    </row>
    <row r="1482" spans="1:262" s="28" customFormat="1" x14ac:dyDescent="0.25">
      <c r="A1482" s="28">
        <v>68</v>
      </c>
      <c r="B1482" s="46" t="s">
        <v>4078</v>
      </c>
      <c r="C1482" s="28" t="s">
        <v>1019</v>
      </c>
      <c r="D1482" s="28" t="s">
        <v>1020</v>
      </c>
      <c r="E1482" s="28">
        <v>2011</v>
      </c>
      <c r="F1482" s="28">
        <v>1995</v>
      </c>
      <c r="G1482" s="28" t="s">
        <v>302</v>
      </c>
      <c r="H1482" s="28" t="s">
        <v>1022</v>
      </c>
      <c r="I1482" s="32" t="s">
        <v>2815</v>
      </c>
      <c r="J1482" s="28">
        <f t="shared" si="259"/>
        <v>43.3</v>
      </c>
      <c r="K1482" s="28">
        <f t="shared" si="260"/>
        <v>-89.35</v>
      </c>
      <c r="L1482" s="28">
        <v>317.10000000000002</v>
      </c>
      <c r="R1482" s="46" t="s">
        <v>1722</v>
      </c>
      <c r="S1482" s="46" t="s">
        <v>1975</v>
      </c>
      <c r="T1482" s="46" t="s">
        <v>864</v>
      </c>
      <c r="U1482" s="46" t="s">
        <v>1021</v>
      </c>
      <c r="V1482" s="46" t="s">
        <v>1394</v>
      </c>
      <c r="W1482" s="46" t="s">
        <v>1722</v>
      </c>
      <c r="X1482" s="46" t="s">
        <v>1394</v>
      </c>
      <c r="Y1482" s="46" t="s">
        <v>1379</v>
      </c>
      <c r="Z1482" s="401">
        <v>1.1000000000000001</v>
      </c>
      <c r="AA1482" s="326"/>
      <c r="AB1482" s="326"/>
      <c r="AC1482" s="28" t="s">
        <v>450</v>
      </c>
      <c r="AG1482" s="28" t="s">
        <v>1342</v>
      </c>
      <c r="AH1482" s="28" t="s">
        <v>114</v>
      </c>
      <c r="AI1482" s="138" t="s">
        <v>577</v>
      </c>
      <c r="AJ1482" s="28" t="s">
        <v>132</v>
      </c>
      <c r="AK1482" s="141" t="s">
        <v>1611</v>
      </c>
      <c r="AL1482" s="28" t="s">
        <v>132</v>
      </c>
      <c r="AM1482" s="28" t="s">
        <v>132</v>
      </c>
      <c r="AN1482" s="28" t="s">
        <v>177</v>
      </c>
      <c r="AO1482" s="28" t="s">
        <v>477</v>
      </c>
      <c r="AP1482" s="28" t="s">
        <v>1029</v>
      </c>
      <c r="AQ1482" s="28" t="s">
        <v>2126</v>
      </c>
      <c r="AR1482" s="28" t="s">
        <v>2126</v>
      </c>
      <c r="AS1482" s="28" t="s">
        <v>502</v>
      </c>
      <c r="AT1482" s="28" t="s">
        <v>1030</v>
      </c>
      <c r="AU1482" s="28" t="s">
        <v>1034</v>
      </c>
      <c r="AV1482" s="28" t="s">
        <v>502</v>
      </c>
      <c r="AW1482" s="28" t="s">
        <v>160</v>
      </c>
      <c r="AX1482" s="28">
        <v>4</v>
      </c>
      <c r="AZ1482" s="28" t="s">
        <v>141</v>
      </c>
      <c r="BE1482" s="28" t="s">
        <v>1026</v>
      </c>
      <c r="BP1482" s="401">
        <v>1.1000000000000001</v>
      </c>
      <c r="BQ1482" s="401">
        <v>1.1299999999999999</v>
      </c>
      <c r="BU1482" s="401">
        <v>2.41</v>
      </c>
      <c r="BV1482" s="401">
        <v>2.39</v>
      </c>
      <c r="BY1482" s="28" t="s">
        <v>618</v>
      </c>
      <c r="BZ1482" s="401"/>
      <c r="CA1482" s="401"/>
      <c r="CD1482" s="28" t="s">
        <v>3121</v>
      </c>
      <c r="CE1482" s="554">
        <v>2.41</v>
      </c>
      <c r="CF1482" s="554">
        <v>2.39</v>
      </c>
      <c r="CG1482" s="554"/>
      <c r="CH1482" s="554"/>
      <c r="CI1482" s="28" t="s">
        <v>4544</v>
      </c>
      <c r="CJ1482" s="28">
        <v>2230</v>
      </c>
      <c r="CK1482" s="28">
        <v>2300</v>
      </c>
      <c r="CN1482" s="28" t="s">
        <v>234</v>
      </c>
      <c r="CO1482" s="28">
        <v>52.5</v>
      </c>
      <c r="CP1482" s="28">
        <v>58.3</v>
      </c>
      <c r="CT1482" s="28">
        <v>237</v>
      </c>
      <c r="CU1482" s="28">
        <v>145</v>
      </c>
      <c r="CY1482" s="28">
        <v>6.3</v>
      </c>
      <c r="CZ1482" s="28">
        <v>6.8</v>
      </c>
      <c r="DS1482" s="28">
        <v>778</v>
      </c>
      <c r="DT1482" s="28">
        <v>766</v>
      </c>
      <c r="DW1482" s="28" t="s">
        <v>1048</v>
      </c>
      <c r="FL1482" s="28">
        <v>28</v>
      </c>
      <c r="FM1482" s="28">
        <v>28</v>
      </c>
      <c r="FP1482" s="28" t="s">
        <v>164</v>
      </c>
      <c r="HE1482" s="28">
        <v>1740</v>
      </c>
      <c r="HF1482" s="28">
        <v>1810</v>
      </c>
      <c r="HI1482" s="28" t="s">
        <v>432</v>
      </c>
      <c r="HJ1482" s="28">
        <v>29.9</v>
      </c>
      <c r="HK1482" s="28">
        <v>31.2</v>
      </c>
      <c r="IN1482" s="28">
        <f t="shared" si="261"/>
        <v>2.4000000000000002E-3</v>
      </c>
      <c r="IO1482" s="28">
        <f>170*0.000012</f>
        <v>2.0400000000000001E-3</v>
      </c>
      <c r="IR1482" s="28" t="s">
        <v>1047</v>
      </c>
      <c r="IY1482" s="28">
        <v>99999</v>
      </c>
      <c r="IZ1482" s="28">
        <v>99999</v>
      </c>
      <c r="JB1482" s="28" t="s">
        <v>434</v>
      </c>
    </row>
    <row r="1483" spans="1:262" s="28" customFormat="1" x14ac:dyDescent="0.25">
      <c r="A1483" s="28">
        <v>68</v>
      </c>
      <c r="B1483" s="46" t="s">
        <v>4078</v>
      </c>
      <c r="C1483" s="28" t="s">
        <v>1019</v>
      </c>
      <c r="D1483" s="28" t="s">
        <v>1020</v>
      </c>
      <c r="E1483" s="28">
        <v>2011</v>
      </c>
      <c r="F1483" s="28">
        <v>1995</v>
      </c>
      <c r="G1483" s="28" t="s">
        <v>302</v>
      </c>
      <c r="H1483" s="28" t="s">
        <v>1022</v>
      </c>
      <c r="I1483" s="32" t="s">
        <v>2815</v>
      </c>
      <c r="J1483" s="28">
        <f t="shared" si="259"/>
        <v>43.3</v>
      </c>
      <c r="K1483" s="28">
        <f t="shared" si="260"/>
        <v>-89.35</v>
      </c>
      <c r="L1483" s="28">
        <v>317.10000000000002</v>
      </c>
      <c r="R1483" s="46" t="s">
        <v>1722</v>
      </c>
      <c r="S1483" s="46" t="s">
        <v>1975</v>
      </c>
      <c r="T1483" s="46" t="s">
        <v>864</v>
      </c>
      <c r="U1483" s="46" t="s">
        <v>1021</v>
      </c>
      <c r="V1483" s="46" t="s">
        <v>1394</v>
      </c>
      <c r="W1483" s="46" t="s">
        <v>1722</v>
      </c>
      <c r="X1483" s="46" t="s">
        <v>1394</v>
      </c>
      <c r="Y1483" s="46" t="s">
        <v>1379</v>
      </c>
      <c r="Z1483" s="401">
        <v>1.1000000000000001</v>
      </c>
      <c r="AA1483" s="326"/>
      <c r="AB1483" s="326"/>
      <c r="AC1483" s="28" t="s">
        <v>450</v>
      </c>
      <c r="AG1483" s="28" t="s">
        <v>1342</v>
      </c>
      <c r="AH1483" s="28" t="s">
        <v>114</v>
      </c>
      <c r="AI1483" s="138" t="s">
        <v>577</v>
      </c>
      <c r="AJ1483" s="28" t="s">
        <v>132</v>
      </c>
      <c r="AK1483" s="141" t="s">
        <v>1611</v>
      </c>
      <c r="AL1483" s="28" t="s">
        <v>132</v>
      </c>
      <c r="AM1483" s="28" t="s">
        <v>132</v>
      </c>
      <c r="AN1483" s="28" t="s">
        <v>177</v>
      </c>
      <c r="AO1483" s="28" t="s">
        <v>477</v>
      </c>
      <c r="AP1483" s="28" t="s">
        <v>1029</v>
      </c>
      <c r="AQ1483" s="28" t="s">
        <v>2126</v>
      </c>
      <c r="AR1483" s="28" t="s">
        <v>2126</v>
      </c>
      <c r="AS1483" s="28" t="s">
        <v>502</v>
      </c>
      <c r="AT1483" s="28" t="s">
        <v>1030</v>
      </c>
      <c r="AU1483" s="28" t="s">
        <v>1035</v>
      </c>
      <c r="AV1483" s="28" t="s">
        <v>502</v>
      </c>
      <c r="AW1483" s="28" t="s">
        <v>160</v>
      </c>
      <c r="AX1483" s="28">
        <v>4</v>
      </c>
      <c r="AZ1483" s="28" t="s">
        <v>141</v>
      </c>
      <c r="BE1483" s="28" t="s">
        <v>1027</v>
      </c>
      <c r="BP1483" s="401">
        <v>1.1000000000000001</v>
      </c>
      <c r="BQ1483" s="401">
        <v>1.32</v>
      </c>
      <c r="BU1483" s="401">
        <v>2.41</v>
      </c>
      <c r="BV1483" s="401">
        <v>2.39</v>
      </c>
      <c r="BY1483" s="28" t="s">
        <v>618</v>
      </c>
      <c r="BZ1483" s="401"/>
      <c r="CA1483" s="401"/>
      <c r="CD1483" s="28" t="s">
        <v>3121</v>
      </c>
      <c r="CE1483" s="554">
        <v>2.41</v>
      </c>
      <c r="CF1483" s="554">
        <v>2.39</v>
      </c>
      <c r="CG1483" s="554"/>
      <c r="CH1483" s="554"/>
      <c r="CI1483" s="28" t="s">
        <v>4544</v>
      </c>
      <c r="CJ1483" s="28">
        <v>2230</v>
      </c>
      <c r="CK1483" s="28">
        <v>2400</v>
      </c>
      <c r="CN1483" s="28" t="s">
        <v>234</v>
      </c>
      <c r="CO1483" s="28">
        <v>52.5</v>
      </c>
      <c r="CP1483" s="28">
        <v>56.3</v>
      </c>
      <c r="CT1483" s="28">
        <v>237</v>
      </c>
      <c r="CU1483" s="28">
        <v>173</v>
      </c>
      <c r="CY1483" s="28">
        <v>6.3</v>
      </c>
      <c r="CZ1483" s="28">
        <v>6.7</v>
      </c>
      <c r="DS1483" s="28">
        <v>778</v>
      </c>
      <c r="DT1483" s="28">
        <v>829</v>
      </c>
      <c r="DW1483" s="28" t="s">
        <v>1048</v>
      </c>
      <c r="FL1483" s="28">
        <v>28</v>
      </c>
      <c r="FM1483" s="28">
        <v>26</v>
      </c>
      <c r="FP1483" s="28" t="s">
        <v>164</v>
      </c>
      <c r="HE1483" s="28">
        <v>1740</v>
      </c>
      <c r="HF1483" s="28">
        <v>1890</v>
      </c>
      <c r="HI1483" s="28" t="s">
        <v>432</v>
      </c>
      <c r="HJ1483" s="28">
        <v>29.9</v>
      </c>
      <c r="HK1483" s="28">
        <v>37.9</v>
      </c>
      <c r="IN1483" s="28">
        <f t="shared" si="261"/>
        <v>2.4000000000000002E-3</v>
      </c>
      <c r="IO1483" s="28">
        <f>204*0.000012</f>
        <v>2.4480000000000001E-3</v>
      </c>
      <c r="IR1483" s="28" t="s">
        <v>1047</v>
      </c>
      <c r="IY1483" s="28">
        <v>99999</v>
      </c>
      <c r="IZ1483" s="28">
        <v>99999</v>
      </c>
      <c r="JB1483" s="28" t="s">
        <v>434</v>
      </c>
    </row>
    <row r="1484" spans="1:262" s="28" customFormat="1" x14ac:dyDescent="0.25">
      <c r="A1484" s="28">
        <v>68</v>
      </c>
      <c r="B1484" s="46" t="s">
        <v>4078</v>
      </c>
      <c r="C1484" s="28" t="s">
        <v>1019</v>
      </c>
      <c r="D1484" s="28" t="s">
        <v>1020</v>
      </c>
      <c r="E1484" s="28">
        <v>2011</v>
      </c>
      <c r="F1484" s="28">
        <v>1995</v>
      </c>
      <c r="G1484" s="28" t="s">
        <v>302</v>
      </c>
      <c r="H1484" s="28" t="s">
        <v>1022</v>
      </c>
      <c r="I1484" s="32" t="s">
        <v>2815</v>
      </c>
      <c r="J1484" s="28">
        <f t="shared" si="259"/>
        <v>43.3</v>
      </c>
      <c r="K1484" s="28">
        <f t="shared" si="260"/>
        <v>-89.35</v>
      </c>
      <c r="L1484" s="28">
        <v>317.10000000000002</v>
      </c>
      <c r="R1484" s="46" t="s">
        <v>1722</v>
      </c>
      <c r="S1484" s="46" t="s">
        <v>1975</v>
      </c>
      <c r="T1484" s="46" t="s">
        <v>864</v>
      </c>
      <c r="U1484" s="46" t="s">
        <v>1021</v>
      </c>
      <c r="V1484" s="46" t="s">
        <v>1394</v>
      </c>
      <c r="W1484" s="46" t="s">
        <v>1722</v>
      </c>
      <c r="X1484" s="46" t="s">
        <v>1394</v>
      </c>
      <c r="Y1484" s="46" t="s">
        <v>1379</v>
      </c>
      <c r="Z1484" s="401">
        <v>1.1000000000000001</v>
      </c>
      <c r="AA1484" s="326"/>
      <c r="AB1484" s="326"/>
      <c r="AC1484" s="28" t="s">
        <v>450</v>
      </c>
      <c r="AG1484" s="28" t="s">
        <v>1342</v>
      </c>
      <c r="AH1484" s="28" t="s">
        <v>635</v>
      </c>
      <c r="AI1484" s="138" t="s">
        <v>635</v>
      </c>
      <c r="AJ1484" s="28" t="s">
        <v>132</v>
      </c>
      <c r="AK1484" s="141" t="s">
        <v>1611</v>
      </c>
      <c r="AL1484" s="28" t="s">
        <v>132</v>
      </c>
      <c r="AM1484" s="28" t="s">
        <v>1607</v>
      </c>
      <c r="AN1484" s="28" t="s">
        <v>502</v>
      </c>
      <c r="AO1484" s="28" t="s">
        <v>477</v>
      </c>
      <c r="AP1484" s="28" t="s">
        <v>1029</v>
      </c>
      <c r="AQ1484" s="28" t="s">
        <v>2126</v>
      </c>
      <c r="AR1484" s="28" t="s">
        <v>2126</v>
      </c>
      <c r="AS1484" s="28" t="s">
        <v>502</v>
      </c>
      <c r="AT1484" s="28" t="s">
        <v>1030</v>
      </c>
      <c r="AU1484" s="28" t="s">
        <v>1036</v>
      </c>
      <c r="AV1484" s="28" t="s">
        <v>502</v>
      </c>
      <c r="AW1484" s="28" t="s">
        <v>160</v>
      </c>
      <c r="AX1484" s="28">
        <v>4</v>
      </c>
      <c r="AZ1484" s="28" t="s">
        <v>141</v>
      </c>
      <c r="BE1484" s="28" t="s">
        <v>1028</v>
      </c>
      <c r="BP1484" s="401">
        <v>1.1000000000000001</v>
      </c>
      <c r="BQ1484" s="401">
        <v>1.24</v>
      </c>
      <c r="BU1484" s="401">
        <v>2.41</v>
      </c>
      <c r="BV1484" s="401">
        <v>3.36</v>
      </c>
      <c r="BY1484" s="28" t="s">
        <v>618</v>
      </c>
      <c r="BZ1484" s="401"/>
      <c r="CA1484" s="401"/>
      <c r="CD1484" s="28" t="s">
        <v>3121</v>
      </c>
      <c r="CE1484" s="554">
        <v>2.41</v>
      </c>
      <c r="CF1484" s="554">
        <v>3.36</v>
      </c>
      <c r="CG1484" s="554"/>
      <c r="CH1484" s="554"/>
      <c r="CI1484" s="28" t="s">
        <v>4544</v>
      </c>
      <c r="CJ1484" s="28">
        <v>2230</v>
      </c>
      <c r="CK1484" s="28">
        <v>3360</v>
      </c>
      <c r="CN1484" s="28" t="s">
        <v>234</v>
      </c>
      <c r="CO1484" s="28">
        <v>52.5</v>
      </c>
      <c r="CP1484" s="28">
        <v>49.8</v>
      </c>
      <c r="CT1484" s="28">
        <v>237</v>
      </c>
      <c r="CU1484" s="28">
        <v>163</v>
      </c>
      <c r="CY1484" s="28">
        <v>6.3</v>
      </c>
      <c r="CZ1484" s="28">
        <v>6.2</v>
      </c>
      <c r="DS1484" s="28">
        <v>778</v>
      </c>
      <c r="DT1484" s="28">
        <v>889</v>
      </c>
      <c r="DW1484" s="28" t="s">
        <v>1048</v>
      </c>
      <c r="FL1484" s="28">
        <v>28</v>
      </c>
      <c r="FM1484" s="28">
        <v>29</v>
      </c>
      <c r="FP1484" s="28" t="s">
        <v>164</v>
      </c>
      <c r="HE1484" s="28">
        <v>1740</v>
      </c>
      <c r="HF1484" s="28">
        <v>2350</v>
      </c>
      <c r="HI1484" s="28" t="s">
        <v>432</v>
      </c>
      <c r="HJ1484" s="28">
        <v>29.9</v>
      </c>
      <c r="HK1484" s="28">
        <v>61.2</v>
      </c>
      <c r="IN1484" s="28">
        <f t="shared" si="261"/>
        <v>2.4000000000000002E-3</v>
      </c>
      <c r="IO1484" s="28">
        <f>523*0.000012</f>
        <v>6.2760000000000003E-3</v>
      </c>
      <c r="IR1484" s="28" t="s">
        <v>1047</v>
      </c>
      <c r="IY1484" s="28">
        <v>99999</v>
      </c>
      <c r="IZ1484" s="28">
        <v>99999</v>
      </c>
      <c r="JB1484" s="28" t="s">
        <v>434</v>
      </c>
    </row>
    <row r="1485" spans="1:262" s="33" customFormat="1" x14ac:dyDescent="0.25">
      <c r="A1485" s="33">
        <v>68</v>
      </c>
      <c r="B1485" s="47" t="s">
        <v>4078</v>
      </c>
      <c r="C1485" s="33" t="s">
        <v>1019</v>
      </c>
      <c r="D1485" s="33" t="s">
        <v>1020</v>
      </c>
      <c r="E1485" s="33">
        <v>2011</v>
      </c>
      <c r="F1485" s="33">
        <v>1995</v>
      </c>
      <c r="G1485" s="33" t="s">
        <v>302</v>
      </c>
      <c r="H1485" s="33" t="s">
        <v>1022</v>
      </c>
      <c r="I1485" s="32" t="s">
        <v>2815</v>
      </c>
      <c r="J1485" s="33">
        <f t="shared" si="259"/>
        <v>43.3</v>
      </c>
      <c r="K1485" s="33">
        <f t="shared" si="260"/>
        <v>-89.35</v>
      </c>
      <c r="L1485" s="33">
        <v>317.10000000000002</v>
      </c>
      <c r="R1485" s="47" t="s">
        <v>1722</v>
      </c>
      <c r="S1485" s="47" t="s">
        <v>1975</v>
      </c>
      <c r="T1485" s="47" t="s">
        <v>864</v>
      </c>
      <c r="U1485" s="47" t="s">
        <v>1021</v>
      </c>
      <c r="V1485" s="47" t="s">
        <v>1394</v>
      </c>
      <c r="W1485" s="47" t="s">
        <v>1722</v>
      </c>
      <c r="X1485" s="47" t="s">
        <v>1394</v>
      </c>
      <c r="Y1485" s="47" t="s">
        <v>1379</v>
      </c>
      <c r="Z1485" s="402">
        <v>1.18</v>
      </c>
      <c r="AA1485" s="327"/>
      <c r="AB1485" s="327"/>
      <c r="AC1485" s="33" t="s">
        <v>450</v>
      </c>
      <c r="AG1485" s="33" t="s">
        <v>1342</v>
      </c>
      <c r="AH1485" s="33" t="s">
        <v>1527</v>
      </c>
      <c r="AI1485" s="138" t="s">
        <v>1581</v>
      </c>
      <c r="AJ1485" s="33" t="s">
        <v>1589</v>
      </c>
      <c r="AK1485" s="141" t="s">
        <v>1611</v>
      </c>
      <c r="AL1485" s="33" t="s">
        <v>685</v>
      </c>
      <c r="AM1485" s="33" t="s">
        <v>942</v>
      </c>
      <c r="AN1485" s="33" t="s">
        <v>177</v>
      </c>
      <c r="AO1485" s="33" t="s">
        <v>1046</v>
      </c>
      <c r="AP1485" s="33" t="s">
        <v>1029</v>
      </c>
      <c r="AQ1485" s="33" t="s">
        <v>2126</v>
      </c>
      <c r="AR1485" s="33" t="s">
        <v>2126</v>
      </c>
      <c r="AS1485" s="33" t="s">
        <v>502</v>
      </c>
      <c r="AT1485" s="33" t="s">
        <v>1045</v>
      </c>
      <c r="AU1485" s="33" t="s">
        <v>1031</v>
      </c>
      <c r="AV1485" s="33" t="s">
        <v>502</v>
      </c>
      <c r="AW1485" s="33" t="s">
        <v>160</v>
      </c>
      <c r="AX1485" s="33">
        <v>4</v>
      </c>
      <c r="AZ1485" s="33" t="s">
        <v>141</v>
      </c>
      <c r="BE1485" s="33" t="s">
        <v>1039</v>
      </c>
      <c r="BP1485" s="402">
        <v>1.18</v>
      </c>
      <c r="BQ1485" s="402">
        <v>1.07</v>
      </c>
      <c r="BU1485" s="402">
        <v>2.65</v>
      </c>
      <c r="BV1485" s="402">
        <v>2.19</v>
      </c>
      <c r="BY1485" s="33" t="s">
        <v>618</v>
      </c>
      <c r="BZ1485" s="402"/>
      <c r="CA1485" s="402"/>
      <c r="CD1485" s="33" t="s">
        <v>3121</v>
      </c>
      <c r="CE1485" s="555">
        <v>2.65</v>
      </c>
      <c r="CF1485" s="555">
        <v>2.19</v>
      </c>
      <c r="CG1485" s="555"/>
      <c r="CH1485" s="555"/>
      <c r="CI1485" s="33" t="s">
        <v>4544</v>
      </c>
      <c r="CJ1485" s="33">
        <v>2470</v>
      </c>
      <c r="CK1485" s="33">
        <v>2030</v>
      </c>
      <c r="CN1485" s="33" t="s">
        <v>234</v>
      </c>
      <c r="CO1485" s="33">
        <v>37</v>
      </c>
      <c r="CP1485" s="33">
        <v>45.3</v>
      </c>
      <c r="CT1485" s="33">
        <v>144</v>
      </c>
      <c r="CU1485" s="33">
        <v>148</v>
      </c>
      <c r="CY1485" s="33">
        <v>6.6</v>
      </c>
      <c r="CZ1485" s="33">
        <v>6.7</v>
      </c>
      <c r="DS1485" s="33">
        <v>742</v>
      </c>
      <c r="DT1485" s="33">
        <v>665</v>
      </c>
      <c r="DW1485" s="33" t="s">
        <v>1048</v>
      </c>
      <c r="FL1485" s="33">
        <v>29</v>
      </c>
      <c r="FM1485" s="33">
        <v>28</v>
      </c>
      <c r="FP1485" s="33" t="s">
        <v>164</v>
      </c>
      <c r="HE1485" s="33">
        <v>1900</v>
      </c>
      <c r="HF1485" s="33">
        <v>1840</v>
      </c>
      <c r="HI1485" s="33" t="s">
        <v>432</v>
      </c>
      <c r="HJ1485" s="33">
        <v>36.700000000000003</v>
      </c>
      <c r="HK1485" s="33">
        <v>31.5</v>
      </c>
      <c r="IN1485" s="33">
        <f>198*0.000012</f>
        <v>2.3760000000000001E-3</v>
      </c>
      <c r="IO1485" s="33">
        <f>161*0.000012</f>
        <v>1.9320000000000001E-3</v>
      </c>
      <c r="IR1485" s="33" t="s">
        <v>1038</v>
      </c>
      <c r="IY1485" s="28">
        <v>99999</v>
      </c>
      <c r="IZ1485" s="28">
        <v>99999</v>
      </c>
      <c r="JA1485" s="28"/>
      <c r="JB1485" s="33" t="s">
        <v>434</v>
      </c>
    </row>
    <row r="1486" spans="1:262" s="33" customFormat="1" x14ac:dyDescent="0.25">
      <c r="A1486" s="33">
        <v>68</v>
      </c>
      <c r="B1486" s="47" t="s">
        <v>4078</v>
      </c>
      <c r="C1486" s="33" t="s">
        <v>1019</v>
      </c>
      <c r="D1486" s="33" t="s">
        <v>1020</v>
      </c>
      <c r="E1486" s="33">
        <v>2011</v>
      </c>
      <c r="F1486" s="33">
        <v>1995</v>
      </c>
      <c r="G1486" s="33" t="s">
        <v>302</v>
      </c>
      <c r="H1486" s="33" t="s">
        <v>1022</v>
      </c>
      <c r="I1486" s="32" t="s">
        <v>2815</v>
      </c>
      <c r="J1486" s="33">
        <f t="shared" si="259"/>
        <v>43.3</v>
      </c>
      <c r="K1486" s="33">
        <f t="shared" si="260"/>
        <v>-89.35</v>
      </c>
      <c r="L1486" s="33">
        <v>317.10000000000002</v>
      </c>
      <c r="R1486" s="47" t="s">
        <v>1722</v>
      </c>
      <c r="S1486" s="47" t="s">
        <v>1975</v>
      </c>
      <c r="T1486" s="47" t="s">
        <v>864</v>
      </c>
      <c r="U1486" s="47" t="s">
        <v>1021</v>
      </c>
      <c r="V1486" s="47" t="s">
        <v>1394</v>
      </c>
      <c r="W1486" s="47" t="s">
        <v>1722</v>
      </c>
      <c r="X1486" s="47" t="s">
        <v>1394</v>
      </c>
      <c r="Y1486" s="47" t="s">
        <v>1379</v>
      </c>
      <c r="Z1486" s="402">
        <v>1.18</v>
      </c>
      <c r="AA1486" s="327"/>
      <c r="AB1486" s="327"/>
      <c r="AC1486" s="33" t="s">
        <v>450</v>
      </c>
      <c r="AG1486" s="33" t="s">
        <v>1342</v>
      </c>
      <c r="AH1486" s="33" t="s">
        <v>114</v>
      </c>
      <c r="AI1486" s="138" t="s">
        <v>577</v>
      </c>
      <c r="AJ1486" s="33" t="s">
        <v>1589</v>
      </c>
      <c r="AK1486" s="141" t="s">
        <v>1611</v>
      </c>
      <c r="AL1486" s="33" t="s">
        <v>685</v>
      </c>
      <c r="AM1486" s="33" t="s">
        <v>132</v>
      </c>
      <c r="AN1486" s="33" t="s">
        <v>502</v>
      </c>
      <c r="AO1486" s="33" t="s">
        <v>1046</v>
      </c>
      <c r="AP1486" s="33" t="s">
        <v>1029</v>
      </c>
      <c r="AQ1486" s="33" t="s">
        <v>2126</v>
      </c>
      <c r="AR1486" s="33" t="s">
        <v>2126</v>
      </c>
      <c r="AS1486" s="33" t="s">
        <v>502</v>
      </c>
      <c r="AT1486" s="33" t="s">
        <v>1045</v>
      </c>
      <c r="AU1486" s="33" t="s">
        <v>1032</v>
      </c>
      <c r="AV1486" s="33" t="s">
        <v>502</v>
      </c>
      <c r="AW1486" s="33" t="s">
        <v>160</v>
      </c>
      <c r="AX1486" s="33">
        <v>4</v>
      </c>
      <c r="AZ1486" s="33" t="s">
        <v>141</v>
      </c>
      <c r="BE1486" s="33" t="s">
        <v>1040</v>
      </c>
      <c r="BP1486" s="402">
        <v>1.18</v>
      </c>
      <c r="BQ1486" s="402">
        <v>1.32</v>
      </c>
      <c r="BU1486" s="402">
        <v>2.65</v>
      </c>
      <c r="BV1486" s="402">
        <v>2.5</v>
      </c>
      <c r="BY1486" s="33" t="s">
        <v>618</v>
      </c>
      <c r="BZ1486" s="402"/>
      <c r="CA1486" s="402"/>
      <c r="CD1486" s="33" t="s">
        <v>3121</v>
      </c>
      <c r="CE1486" s="555">
        <v>2.65</v>
      </c>
      <c r="CF1486" s="555">
        <v>2.5</v>
      </c>
      <c r="CG1486" s="555"/>
      <c r="CH1486" s="555"/>
      <c r="CI1486" s="33" t="s">
        <v>4544</v>
      </c>
      <c r="CJ1486" s="33">
        <v>2470</v>
      </c>
      <c r="CK1486" s="33">
        <v>2430</v>
      </c>
      <c r="CN1486" s="33" t="s">
        <v>234</v>
      </c>
      <c r="CO1486" s="33">
        <v>37</v>
      </c>
      <c r="CP1486" s="33">
        <v>61.5</v>
      </c>
      <c r="CT1486" s="33">
        <v>144</v>
      </c>
      <c r="CU1486" s="33">
        <v>135</v>
      </c>
      <c r="CY1486" s="33">
        <v>6.6</v>
      </c>
      <c r="CZ1486" s="33">
        <v>6.9</v>
      </c>
      <c r="DS1486" s="33">
        <v>742</v>
      </c>
      <c r="DT1486" s="33">
        <v>817</v>
      </c>
      <c r="DW1486" s="33" t="s">
        <v>1048</v>
      </c>
      <c r="FL1486" s="33">
        <v>29</v>
      </c>
      <c r="FM1486" s="33">
        <v>28</v>
      </c>
      <c r="FP1486" s="33" t="s">
        <v>164</v>
      </c>
      <c r="HE1486" s="33">
        <v>1900</v>
      </c>
      <c r="HF1486" s="33">
        <v>1880</v>
      </c>
      <c r="HI1486" s="33" t="s">
        <v>432</v>
      </c>
      <c r="HJ1486" s="33">
        <v>36.700000000000003</v>
      </c>
      <c r="HK1486" s="33">
        <v>37.4</v>
      </c>
      <c r="IN1486" s="33">
        <f t="shared" ref="IN1486:IN1490" si="262">198*0.000012</f>
        <v>2.3760000000000001E-3</v>
      </c>
      <c r="IO1486" s="33">
        <f>250*0.000012</f>
        <v>3.0000000000000001E-3</v>
      </c>
      <c r="IR1486" s="33" t="s">
        <v>1038</v>
      </c>
      <c r="IY1486" s="28">
        <v>99999</v>
      </c>
      <c r="IZ1486" s="28">
        <v>99999</v>
      </c>
      <c r="JA1486" s="28"/>
      <c r="JB1486" s="33" t="s">
        <v>434</v>
      </c>
    </row>
    <row r="1487" spans="1:262" s="33" customFormat="1" x14ac:dyDescent="0.25">
      <c r="A1487" s="33">
        <v>68</v>
      </c>
      <c r="B1487" s="47" t="s">
        <v>4078</v>
      </c>
      <c r="C1487" s="33" t="s">
        <v>1019</v>
      </c>
      <c r="D1487" s="33" t="s">
        <v>1020</v>
      </c>
      <c r="E1487" s="33">
        <v>2011</v>
      </c>
      <c r="F1487" s="33">
        <v>1995</v>
      </c>
      <c r="G1487" s="33" t="s">
        <v>302</v>
      </c>
      <c r="H1487" s="33" t="s">
        <v>1022</v>
      </c>
      <c r="I1487" s="32" t="s">
        <v>2815</v>
      </c>
      <c r="J1487" s="33">
        <f t="shared" si="259"/>
        <v>43.3</v>
      </c>
      <c r="K1487" s="33">
        <f t="shared" si="260"/>
        <v>-89.35</v>
      </c>
      <c r="L1487" s="33">
        <v>317.10000000000002</v>
      </c>
      <c r="R1487" s="47" t="s">
        <v>1722</v>
      </c>
      <c r="S1487" s="47" t="s">
        <v>1975</v>
      </c>
      <c r="T1487" s="47" t="s">
        <v>864</v>
      </c>
      <c r="U1487" s="47" t="s">
        <v>1021</v>
      </c>
      <c r="V1487" s="47" t="s">
        <v>1394</v>
      </c>
      <c r="W1487" s="47" t="s">
        <v>1722</v>
      </c>
      <c r="X1487" s="47" t="s">
        <v>1394</v>
      </c>
      <c r="Y1487" s="47" t="s">
        <v>1379</v>
      </c>
      <c r="Z1487" s="402">
        <v>1.18</v>
      </c>
      <c r="AA1487" s="327"/>
      <c r="AB1487" s="327"/>
      <c r="AC1487" s="33" t="s">
        <v>450</v>
      </c>
      <c r="AG1487" s="33" t="s">
        <v>1342</v>
      </c>
      <c r="AH1487" s="33" t="s">
        <v>114</v>
      </c>
      <c r="AI1487" s="138" t="s">
        <v>577</v>
      </c>
      <c r="AJ1487" s="33" t="s">
        <v>1589</v>
      </c>
      <c r="AK1487" s="141" t="s">
        <v>1611</v>
      </c>
      <c r="AL1487" s="33" t="s">
        <v>685</v>
      </c>
      <c r="AM1487" s="33" t="s">
        <v>132</v>
      </c>
      <c r="AN1487" s="33" t="s">
        <v>502</v>
      </c>
      <c r="AO1487" s="33" t="s">
        <v>1046</v>
      </c>
      <c r="AP1487" s="33" t="s">
        <v>1029</v>
      </c>
      <c r="AQ1487" s="33" t="s">
        <v>2126</v>
      </c>
      <c r="AR1487" s="33" t="s">
        <v>2126</v>
      </c>
      <c r="AS1487" s="33" t="s">
        <v>502</v>
      </c>
      <c r="AT1487" s="33" t="s">
        <v>1045</v>
      </c>
      <c r="AU1487" s="33" t="s">
        <v>1033</v>
      </c>
      <c r="AV1487" s="33" t="s">
        <v>502</v>
      </c>
      <c r="AW1487" s="33" t="s">
        <v>160</v>
      </c>
      <c r="AX1487" s="33">
        <v>4</v>
      </c>
      <c r="AZ1487" s="33" t="s">
        <v>141</v>
      </c>
      <c r="BE1487" s="33" t="s">
        <v>1041</v>
      </c>
      <c r="BP1487" s="402">
        <v>1.18</v>
      </c>
      <c r="BQ1487" s="402">
        <v>1.37</v>
      </c>
      <c r="BU1487" s="402">
        <v>2.65</v>
      </c>
      <c r="BV1487" s="402">
        <v>2.59</v>
      </c>
      <c r="BY1487" s="33" t="s">
        <v>618</v>
      </c>
      <c r="BZ1487" s="402"/>
      <c r="CA1487" s="402"/>
      <c r="CD1487" s="33" t="s">
        <v>3121</v>
      </c>
      <c r="CE1487" s="555">
        <v>2.65</v>
      </c>
      <c r="CF1487" s="555">
        <v>2.59</v>
      </c>
      <c r="CG1487" s="555"/>
      <c r="CH1487" s="555"/>
      <c r="CI1487" s="33" t="s">
        <v>4544</v>
      </c>
      <c r="CJ1487" s="33">
        <v>2470</v>
      </c>
      <c r="CK1487" s="33">
        <v>2680</v>
      </c>
      <c r="CN1487" s="33" t="s">
        <v>234</v>
      </c>
      <c r="CO1487" s="33">
        <v>37</v>
      </c>
      <c r="CP1487" s="33">
        <v>72.8</v>
      </c>
      <c r="CT1487" s="33">
        <v>144</v>
      </c>
      <c r="CU1487" s="33">
        <v>231</v>
      </c>
      <c r="CY1487" s="33">
        <v>6.6</v>
      </c>
      <c r="CZ1487" s="33">
        <v>6.6</v>
      </c>
      <c r="DS1487" s="33">
        <v>742</v>
      </c>
      <c r="DT1487" s="33">
        <v>801</v>
      </c>
      <c r="DW1487" s="33" t="s">
        <v>1048</v>
      </c>
      <c r="FL1487" s="33">
        <v>29</v>
      </c>
      <c r="FM1487" s="33">
        <v>23</v>
      </c>
      <c r="FP1487" s="33" t="s">
        <v>164</v>
      </c>
      <c r="HE1487" s="33">
        <v>1900</v>
      </c>
      <c r="HF1487" s="33">
        <v>1900</v>
      </c>
      <c r="HI1487" s="33" t="s">
        <v>432</v>
      </c>
      <c r="HJ1487" s="33">
        <v>36.700000000000003</v>
      </c>
      <c r="HK1487" s="33">
        <v>36.799999999999997</v>
      </c>
      <c r="IN1487" s="33">
        <f t="shared" si="262"/>
        <v>2.3760000000000001E-3</v>
      </c>
      <c r="IO1487" s="33">
        <f>181*0.000012</f>
        <v>2.1719999999999999E-3</v>
      </c>
      <c r="IR1487" s="33" t="s">
        <v>1047</v>
      </c>
      <c r="IY1487" s="28">
        <v>99999</v>
      </c>
      <c r="IZ1487" s="28">
        <v>99999</v>
      </c>
      <c r="JA1487" s="28"/>
      <c r="JB1487" s="33" t="s">
        <v>434</v>
      </c>
    </row>
    <row r="1488" spans="1:262" s="33" customFormat="1" x14ac:dyDescent="0.25">
      <c r="A1488" s="33">
        <v>68</v>
      </c>
      <c r="B1488" s="47" t="s">
        <v>4078</v>
      </c>
      <c r="C1488" s="33" t="s">
        <v>1019</v>
      </c>
      <c r="D1488" s="33" t="s">
        <v>1020</v>
      </c>
      <c r="E1488" s="33">
        <v>2011</v>
      </c>
      <c r="F1488" s="33">
        <v>1995</v>
      </c>
      <c r="G1488" s="33" t="s">
        <v>302</v>
      </c>
      <c r="H1488" s="33" t="s">
        <v>1022</v>
      </c>
      <c r="I1488" s="32" t="s">
        <v>2815</v>
      </c>
      <c r="J1488" s="33">
        <f t="shared" si="259"/>
        <v>43.3</v>
      </c>
      <c r="K1488" s="33">
        <f t="shared" si="260"/>
        <v>-89.35</v>
      </c>
      <c r="L1488" s="33">
        <v>317.10000000000002</v>
      </c>
      <c r="R1488" s="47" t="s">
        <v>1722</v>
      </c>
      <c r="S1488" s="47" t="s">
        <v>1975</v>
      </c>
      <c r="T1488" s="47" t="s">
        <v>864</v>
      </c>
      <c r="U1488" s="47" t="s">
        <v>1021</v>
      </c>
      <c r="V1488" s="47" t="s">
        <v>1394</v>
      </c>
      <c r="W1488" s="47" t="s">
        <v>1722</v>
      </c>
      <c r="X1488" s="47" t="s">
        <v>1394</v>
      </c>
      <c r="Y1488" s="47" t="s">
        <v>1379</v>
      </c>
      <c r="Z1488" s="402">
        <v>1.18</v>
      </c>
      <c r="AA1488" s="327"/>
      <c r="AB1488" s="327"/>
      <c r="AC1488" s="33" t="s">
        <v>450</v>
      </c>
      <c r="AG1488" s="33" t="s">
        <v>1342</v>
      </c>
      <c r="AH1488" s="33" t="s">
        <v>114</v>
      </c>
      <c r="AI1488" s="138" t="s">
        <v>577</v>
      </c>
      <c r="AJ1488" s="33" t="s">
        <v>1589</v>
      </c>
      <c r="AK1488" s="141" t="s">
        <v>1611</v>
      </c>
      <c r="AL1488" s="33" t="s">
        <v>685</v>
      </c>
      <c r="AM1488" s="33" t="s">
        <v>132</v>
      </c>
      <c r="AN1488" s="33" t="s">
        <v>502</v>
      </c>
      <c r="AO1488" s="33" t="s">
        <v>1046</v>
      </c>
      <c r="AP1488" s="33" t="s">
        <v>1029</v>
      </c>
      <c r="AQ1488" s="33" t="s">
        <v>2126</v>
      </c>
      <c r="AR1488" s="33" t="s">
        <v>2126</v>
      </c>
      <c r="AS1488" s="33" t="s">
        <v>502</v>
      </c>
      <c r="AT1488" s="33" t="s">
        <v>1045</v>
      </c>
      <c r="AU1488" s="33" t="s">
        <v>1034</v>
      </c>
      <c r="AV1488" s="33" t="s">
        <v>502</v>
      </c>
      <c r="AW1488" s="33" t="s">
        <v>160</v>
      </c>
      <c r="AX1488" s="33">
        <v>4</v>
      </c>
      <c r="AZ1488" s="33" t="s">
        <v>141</v>
      </c>
      <c r="BE1488" s="33" t="s">
        <v>1042</v>
      </c>
      <c r="BP1488" s="402">
        <v>1.18</v>
      </c>
      <c r="BQ1488" s="402">
        <v>1.1299999999999999</v>
      </c>
      <c r="BU1488" s="402">
        <v>2.65</v>
      </c>
      <c r="BV1488" s="402">
        <v>2.39</v>
      </c>
      <c r="BY1488" s="33" t="s">
        <v>618</v>
      </c>
      <c r="BZ1488" s="402"/>
      <c r="CA1488" s="402"/>
      <c r="CD1488" s="33" t="s">
        <v>3121</v>
      </c>
      <c r="CE1488" s="555">
        <v>2.65</v>
      </c>
      <c r="CF1488" s="555">
        <v>2.39</v>
      </c>
      <c r="CG1488" s="555"/>
      <c r="CH1488" s="555"/>
      <c r="CI1488" s="33" t="s">
        <v>4544</v>
      </c>
      <c r="CJ1488" s="33">
        <v>2470</v>
      </c>
      <c r="CK1488" s="33">
        <v>2300</v>
      </c>
      <c r="CN1488" s="33" t="s">
        <v>234</v>
      </c>
      <c r="CO1488" s="33">
        <v>37</v>
      </c>
      <c r="CP1488" s="33">
        <v>58.3</v>
      </c>
      <c r="CT1488" s="33">
        <v>144</v>
      </c>
      <c r="CU1488" s="33">
        <v>145</v>
      </c>
      <c r="CY1488" s="33">
        <v>6.6</v>
      </c>
      <c r="CZ1488" s="33">
        <v>6.8</v>
      </c>
      <c r="DS1488" s="33">
        <v>742</v>
      </c>
      <c r="DT1488" s="33">
        <v>766</v>
      </c>
      <c r="DW1488" s="33" t="s">
        <v>1048</v>
      </c>
      <c r="FL1488" s="33">
        <v>29</v>
      </c>
      <c r="FM1488" s="33">
        <v>28</v>
      </c>
      <c r="FP1488" s="33" t="s">
        <v>164</v>
      </c>
      <c r="HE1488" s="33">
        <v>1900</v>
      </c>
      <c r="HF1488" s="33">
        <v>1810</v>
      </c>
      <c r="HI1488" s="33" t="s">
        <v>432</v>
      </c>
      <c r="HJ1488" s="33">
        <v>36.700000000000003</v>
      </c>
      <c r="HK1488" s="33">
        <v>31.2</v>
      </c>
      <c r="IN1488" s="33">
        <f t="shared" si="262"/>
        <v>2.3760000000000001E-3</v>
      </c>
      <c r="IO1488" s="33">
        <f>170*0.000012</f>
        <v>2.0400000000000001E-3</v>
      </c>
      <c r="IR1488" s="33" t="s">
        <v>1047</v>
      </c>
      <c r="IY1488" s="28">
        <v>99999</v>
      </c>
      <c r="IZ1488" s="28">
        <v>99999</v>
      </c>
      <c r="JA1488" s="28"/>
      <c r="JB1488" s="33" t="s">
        <v>434</v>
      </c>
    </row>
    <row r="1489" spans="1:262" s="33" customFormat="1" x14ac:dyDescent="0.25">
      <c r="A1489" s="33">
        <v>68</v>
      </c>
      <c r="B1489" s="47" t="s">
        <v>4078</v>
      </c>
      <c r="C1489" s="33" t="s">
        <v>1019</v>
      </c>
      <c r="D1489" s="33" t="s">
        <v>1020</v>
      </c>
      <c r="E1489" s="33">
        <v>2011</v>
      </c>
      <c r="F1489" s="33">
        <v>1995</v>
      </c>
      <c r="G1489" s="33" t="s">
        <v>302</v>
      </c>
      <c r="H1489" s="33" t="s">
        <v>1022</v>
      </c>
      <c r="I1489" s="32" t="s">
        <v>2815</v>
      </c>
      <c r="J1489" s="33">
        <f t="shared" si="259"/>
        <v>43.3</v>
      </c>
      <c r="K1489" s="33">
        <f t="shared" si="260"/>
        <v>-89.35</v>
      </c>
      <c r="L1489" s="33">
        <v>317.10000000000002</v>
      </c>
      <c r="R1489" s="47" t="s">
        <v>1722</v>
      </c>
      <c r="S1489" s="47" t="s">
        <v>1975</v>
      </c>
      <c r="T1489" s="47" t="s">
        <v>864</v>
      </c>
      <c r="U1489" s="47" t="s">
        <v>1021</v>
      </c>
      <c r="V1489" s="47" t="s">
        <v>1394</v>
      </c>
      <c r="W1489" s="47" t="s">
        <v>1722</v>
      </c>
      <c r="X1489" s="47" t="s">
        <v>1394</v>
      </c>
      <c r="Y1489" s="47" t="s">
        <v>1379</v>
      </c>
      <c r="Z1489" s="402">
        <v>1.18</v>
      </c>
      <c r="AA1489" s="327"/>
      <c r="AB1489" s="327"/>
      <c r="AC1489" s="33" t="s">
        <v>450</v>
      </c>
      <c r="AG1489" s="33" t="s">
        <v>1342</v>
      </c>
      <c r="AH1489" s="33" t="s">
        <v>114</v>
      </c>
      <c r="AI1489" s="138" t="s">
        <v>577</v>
      </c>
      <c r="AJ1489" s="33" t="s">
        <v>1589</v>
      </c>
      <c r="AK1489" s="141" t="s">
        <v>1611</v>
      </c>
      <c r="AL1489" s="33" t="s">
        <v>685</v>
      </c>
      <c r="AM1489" s="33" t="s">
        <v>132</v>
      </c>
      <c r="AN1489" s="33" t="s">
        <v>502</v>
      </c>
      <c r="AO1489" s="33" t="s">
        <v>1046</v>
      </c>
      <c r="AP1489" s="33" t="s">
        <v>1029</v>
      </c>
      <c r="AQ1489" s="33" t="s">
        <v>2126</v>
      </c>
      <c r="AR1489" s="33" t="s">
        <v>2126</v>
      </c>
      <c r="AS1489" s="33" t="s">
        <v>502</v>
      </c>
      <c r="AT1489" s="33" t="s">
        <v>1045</v>
      </c>
      <c r="AU1489" s="33" t="s">
        <v>1035</v>
      </c>
      <c r="AV1489" s="33" t="s">
        <v>502</v>
      </c>
      <c r="AW1489" s="33" t="s">
        <v>160</v>
      </c>
      <c r="AX1489" s="33">
        <v>4</v>
      </c>
      <c r="AZ1489" s="33" t="s">
        <v>141</v>
      </c>
      <c r="BE1489" s="33" t="s">
        <v>1043</v>
      </c>
      <c r="BP1489" s="402">
        <v>1.18</v>
      </c>
      <c r="BQ1489" s="402">
        <v>1.32</v>
      </c>
      <c r="BU1489" s="402">
        <v>2.65</v>
      </c>
      <c r="BV1489" s="402">
        <v>2.39</v>
      </c>
      <c r="BY1489" s="33" t="s">
        <v>618</v>
      </c>
      <c r="BZ1489" s="402"/>
      <c r="CA1489" s="402"/>
      <c r="CD1489" s="33" t="s">
        <v>3121</v>
      </c>
      <c r="CE1489" s="555">
        <v>2.65</v>
      </c>
      <c r="CF1489" s="555">
        <v>2.39</v>
      </c>
      <c r="CG1489" s="555"/>
      <c r="CH1489" s="555"/>
      <c r="CI1489" s="33" t="s">
        <v>4544</v>
      </c>
      <c r="CJ1489" s="33">
        <v>2470</v>
      </c>
      <c r="CK1489" s="33">
        <v>2400</v>
      </c>
      <c r="CN1489" s="33" t="s">
        <v>234</v>
      </c>
      <c r="CO1489" s="33">
        <v>37</v>
      </c>
      <c r="CP1489" s="33">
        <v>56.3</v>
      </c>
      <c r="CT1489" s="33">
        <v>144</v>
      </c>
      <c r="CU1489" s="33">
        <v>173</v>
      </c>
      <c r="CY1489" s="33">
        <v>6.6</v>
      </c>
      <c r="CZ1489" s="33">
        <v>6.7</v>
      </c>
      <c r="DS1489" s="33">
        <v>742</v>
      </c>
      <c r="DT1489" s="33">
        <v>829</v>
      </c>
      <c r="DW1489" s="33" t="s">
        <v>1048</v>
      </c>
      <c r="FL1489" s="33">
        <v>29</v>
      </c>
      <c r="FM1489" s="33">
        <v>26</v>
      </c>
      <c r="FP1489" s="33" t="s">
        <v>164</v>
      </c>
      <c r="HE1489" s="33">
        <v>1900</v>
      </c>
      <c r="HF1489" s="33">
        <v>1890</v>
      </c>
      <c r="HI1489" s="33" t="s">
        <v>432</v>
      </c>
      <c r="HJ1489" s="33">
        <v>36.700000000000003</v>
      </c>
      <c r="HK1489" s="33">
        <v>37.9</v>
      </c>
      <c r="IN1489" s="33">
        <f t="shared" si="262"/>
        <v>2.3760000000000001E-3</v>
      </c>
      <c r="IO1489" s="33">
        <f>204*0.000012</f>
        <v>2.4480000000000001E-3</v>
      </c>
      <c r="IR1489" s="33" t="s">
        <v>1047</v>
      </c>
      <c r="IY1489" s="28">
        <v>99999</v>
      </c>
      <c r="IZ1489" s="28">
        <v>99999</v>
      </c>
      <c r="JA1489" s="28"/>
      <c r="JB1489" s="33" t="s">
        <v>434</v>
      </c>
    </row>
    <row r="1490" spans="1:262" s="33" customFormat="1" x14ac:dyDescent="0.25">
      <c r="A1490" s="33">
        <v>68</v>
      </c>
      <c r="B1490" s="47" t="s">
        <v>4078</v>
      </c>
      <c r="C1490" s="33" t="s">
        <v>1019</v>
      </c>
      <c r="D1490" s="33" t="s">
        <v>1020</v>
      </c>
      <c r="E1490" s="33">
        <v>2011</v>
      </c>
      <c r="F1490" s="33">
        <v>1995</v>
      </c>
      <c r="G1490" s="33" t="s">
        <v>302</v>
      </c>
      <c r="H1490" s="33" t="s">
        <v>1022</v>
      </c>
      <c r="I1490" s="32" t="s">
        <v>2815</v>
      </c>
      <c r="J1490" s="33">
        <f t="shared" si="259"/>
        <v>43.3</v>
      </c>
      <c r="K1490" s="33">
        <f t="shared" si="260"/>
        <v>-89.35</v>
      </c>
      <c r="L1490" s="33">
        <v>317.10000000000002</v>
      </c>
      <c r="R1490" s="47" t="s">
        <v>1722</v>
      </c>
      <c r="S1490" s="47" t="s">
        <v>1975</v>
      </c>
      <c r="T1490" s="47" t="s">
        <v>864</v>
      </c>
      <c r="U1490" s="47" t="s">
        <v>1021</v>
      </c>
      <c r="V1490" s="47" t="s">
        <v>1394</v>
      </c>
      <c r="W1490" s="47" t="s">
        <v>1722</v>
      </c>
      <c r="X1490" s="47" t="s">
        <v>1394</v>
      </c>
      <c r="Y1490" s="47" t="s">
        <v>1379</v>
      </c>
      <c r="Z1490" s="402">
        <v>1.18</v>
      </c>
      <c r="AA1490" s="327"/>
      <c r="AB1490" s="327"/>
      <c r="AC1490" s="33" t="s">
        <v>450</v>
      </c>
      <c r="AG1490" s="33" t="s">
        <v>1342</v>
      </c>
      <c r="AH1490" s="33" t="s">
        <v>635</v>
      </c>
      <c r="AI1490" s="138" t="s">
        <v>635</v>
      </c>
      <c r="AJ1490" s="33" t="s">
        <v>1589</v>
      </c>
      <c r="AK1490" s="141" t="s">
        <v>1611</v>
      </c>
      <c r="AL1490" s="33" t="s">
        <v>685</v>
      </c>
      <c r="AM1490" s="33" t="s">
        <v>1607</v>
      </c>
      <c r="AN1490" s="33" t="s">
        <v>502</v>
      </c>
      <c r="AO1490" s="33" t="s">
        <v>1046</v>
      </c>
      <c r="AP1490" s="33" t="s">
        <v>1029</v>
      </c>
      <c r="AQ1490" s="33" t="s">
        <v>2126</v>
      </c>
      <c r="AR1490" s="33" t="s">
        <v>2126</v>
      </c>
      <c r="AS1490" s="33" t="s">
        <v>502</v>
      </c>
      <c r="AT1490" s="33" t="s">
        <v>1045</v>
      </c>
      <c r="AU1490" s="33" t="s">
        <v>1036</v>
      </c>
      <c r="AV1490" s="33" t="s">
        <v>502</v>
      </c>
      <c r="AW1490" s="33" t="s">
        <v>160</v>
      </c>
      <c r="AX1490" s="33">
        <v>4</v>
      </c>
      <c r="AZ1490" s="33" t="s">
        <v>141</v>
      </c>
      <c r="BE1490" s="33" t="s">
        <v>1044</v>
      </c>
      <c r="BP1490" s="402">
        <v>1.18</v>
      </c>
      <c r="BQ1490" s="402">
        <v>1.24</v>
      </c>
      <c r="BU1490" s="402">
        <v>2.65</v>
      </c>
      <c r="BV1490" s="402">
        <v>3.36</v>
      </c>
      <c r="BY1490" s="33" t="s">
        <v>618</v>
      </c>
      <c r="BZ1490" s="402"/>
      <c r="CA1490" s="402"/>
      <c r="CD1490" s="33" t="s">
        <v>3121</v>
      </c>
      <c r="CE1490" s="555">
        <v>2.65</v>
      </c>
      <c r="CF1490" s="555">
        <v>3.36</v>
      </c>
      <c r="CG1490" s="555"/>
      <c r="CH1490" s="555"/>
      <c r="CI1490" s="33" t="s">
        <v>4544</v>
      </c>
      <c r="CJ1490" s="33">
        <v>2470</v>
      </c>
      <c r="CK1490" s="33">
        <v>3360</v>
      </c>
      <c r="CN1490" s="33" t="s">
        <v>234</v>
      </c>
      <c r="CO1490" s="33">
        <v>37</v>
      </c>
      <c r="CP1490" s="33">
        <v>49.8</v>
      </c>
      <c r="CT1490" s="33">
        <v>144</v>
      </c>
      <c r="CU1490" s="33">
        <v>163</v>
      </c>
      <c r="CY1490" s="33">
        <v>6.6</v>
      </c>
      <c r="CZ1490" s="33">
        <v>6.2</v>
      </c>
      <c r="DS1490" s="33">
        <v>742</v>
      </c>
      <c r="DT1490" s="33">
        <v>889</v>
      </c>
      <c r="DW1490" s="33" t="s">
        <v>1048</v>
      </c>
      <c r="FL1490" s="33">
        <v>29</v>
      </c>
      <c r="FM1490" s="33">
        <v>29</v>
      </c>
      <c r="FP1490" s="33" t="s">
        <v>164</v>
      </c>
      <c r="HE1490" s="33">
        <v>1900</v>
      </c>
      <c r="HF1490" s="33">
        <v>2350</v>
      </c>
      <c r="HI1490" s="33" t="s">
        <v>432</v>
      </c>
      <c r="HJ1490" s="33">
        <v>36.700000000000003</v>
      </c>
      <c r="HK1490" s="33">
        <v>61.2</v>
      </c>
      <c r="IN1490" s="33">
        <f t="shared" si="262"/>
        <v>2.3760000000000001E-3</v>
      </c>
      <c r="IO1490" s="33">
        <f>523*0.000012</f>
        <v>6.2760000000000003E-3</v>
      </c>
      <c r="IR1490" s="33" t="s">
        <v>1047</v>
      </c>
      <c r="IY1490" s="28">
        <v>99999</v>
      </c>
      <c r="IZ1490" s="28">
        <v>99999</v>
      </c>
      <c r="JA1490" s="28"/>
      <c r="JB1490" s="33" t="s">
        <v>434</v>
      </c>
    </row>
    <row r="1491" spans="1:262" s="97" customFormat="1" x14ac:dyDescent="0.25">
      <c r="A1491" s="97">
        <v>68</v>
      </c>
      <c r="B1491" s="98" t="s">
        <v>4079</v>
      </c>
      <c r="C1491" s="97" t="s">
        <v>1019</v>
      </c>
      <c r="D1491" s="97" t="s">
        <v>1020</v>
      </c>
      <c r="E1491" s="97">
        <v>2011</v>
      </c>
      <c r="F1491" s="97">
        <v>1995</v>
      </c>
      <c r="G1491" s="97" t="s">
        <v>302</v>
      </c>
      <c r="H1491" s="97" t="s">
        <v>1022</v>
      </c>
      <c r="I1491" s="32" t="s">
        <v>2815</v>
      </c>
      <c r="J1491" s="97">
        <f t="shared" si="259"/>
        <v>43.3</v>
      </c>
      <c r="K1491" s="97">
        <f t="shared" si="260"/>
        <v>-89.35</v>
      </c>
      <c r="L1491" s="97">
        <v>317.10000000000002</v>
      </c>
      <c r="R1491" s="98" t="s">
        <v>1722</v>
      </c>
      <c r="S1491" s="46" t="s">
        <v>1975</v>
      </c>
      <c r="T1491" s="98" t="s">
        <v>864</v>
      </c>
      <c r="U1491" s="98" t="s">
        <v>1021</v>
      </c>
      <c r="V1491" s="98" t="s">
        <v>1414</v>
      </c>
      <c r="W1491" s="46" t="s">
        <v>1717</v>
      </c>
      <c r="X1491" s="46" t="s">
        <v>1394</v>
      </c>
      <c r="Y1491" s="46" t="s">
        <v>1379</v>
      </c>
      <c r="Z1491" s="425">
        <v>1.41</v>
      </c>
      <c r="AA1491" s="350"/>
      <c r="AB1491" s="350"/>
      <c r="AC1491" s="97" t="s">
        <v>450</v>
      </c>
      <c r="AG1491" s="28" t="s">
        <v>1342</v>
      </c>
      <c r="AH1491" s="97" t="s">
        <v>1527</v>
      </c>
      <c r="AI1491" s="138" t="s">
        <v>1581</v>
      </c>
      <c r="AJ1491" s="97" t="s">
        <v>132</v>
      </c>
      <c r="AK1491" s="145" t="s">
        <v>1611</v>
      </c>
      <c r="AL1491" s="97" t="s">
        <v>132</v>
      </c>
      <c r="AM1491" s="97" t="s">
        <v>942</v>
      </c>
      <c r="AN1491" s="97" t="s">
        <v>502</v>
      </c>
      <c r="AO1491" s="97" t="s">
        <v>477</v>
      </c>
      <c r="AP1491" s="97" t="s">
        <v>1029</v>
      </c>
      <c r="AQ1491" s="97" t="s">
        <v>2126</v>
      </c>
      <c r="AR1491" s="97" t="s">
        <v>2126</v>
      </c>
      <c r="AS1491" s="97" t="s">
        <v>502</v>
      </c>
      <c r="AT1491" s="97" t="s">
        <v>1030</v>
      </c>
      <c r="AU1491" s="97" t="s">
        <v>1031</v>
      </c>
      <c r="AV1491" s="97" t="s">
        <v>502</v>
      </c>
      <c r="AW1491" s="97" t="s">
        <v>160</v>
      </c>
      <c r="AX1491" s="97">
        <v>4</v>
      </c>
      <c r="AZ1491" s="97" t="s">
        <v>141</v>
      </c>
      <c r="BE1491" s="97" t="s">
        <v>1023</v>
      </c>
      <c r="BP1491" s="425">
        <v>1.41</v>
      </c>
      <c r="BQ1491" s="425">
        <v>1.47</v>
      </c>
      <c r="BU1491" s="425">
        <v>2.1800000000000002</v>
      </c>
      <c r="BV1491" s="425">
        <v>2.08</v>
      </c>
      <c r="BY1491" s="97" t="s">
        <v>618</v>
      </c>
      <c r="BZ1491" s="425"/>
      <c r="CA1491" s="425"/>
      <c r="CD1491" s="97" t="s">
        <v>3121</v>
      </c>
      <c r="CE1491" s="578">
        <v>2.1800000000000002</v>
      </c>
      <c r="CF1491" s="578">
        <v>2.08</v>
      </c>
      <c r="CG1491" s="578"/>
      <c r="CH1491" s="578"/>
      <c r="CI1491" s="28" t="s">
        <v>4544</v>
      </c>
      <c r="CJ1491" s="97">
        <v>2100</v>
      </c>
      <c r="CK1491" s="97">
        <v>2100</v>
      </c>
      <c r="CN1491" s="97" t="s">
        <v>234</v>
      </c>
      <c r="CO1491" s="97">
        <v>42</v>
      </c>
      <c r="CP1491" s="97">
        <v>31.8</v>
      </c>
      <c r="CT1491" s="97">
        <v>134</v>
      </c>
      <c r="CU1491" s="97">
        <v>89</v>
      </c>
      <c r="CY1491" s="97">
        <v>6.4</v>
      </c>
      <c r="CZ1491" s="97">
        <v>6.6</v>
      </c>
      <c r="DS1491" s="97">
        <v>809</v>
      </c>
      <c r="DT1491" s="97">
        <v>861</v>
      </c>
      <c r="DW1491" s="97" t="s">
        <v>1048</v>
      </c>
      <c r="FL1491" s="97">
        <v>27</v>
      </c>
      <c r="FM1491" s="97">
        <v>26</v>
      </c>
      <c r="FP1491" s="97" t="s">
        <v>164</v>
      </c>
      <c r="HE1491" s="97">
        <v>1600</v>
      </c>
      <c r="HF1491" s="97">
        <v>1670</v>
      </c>
      <c r="HI1491" s="97" t="s">
        <v>432</v>
      </c>
      <c r="HJ1491" s="97">
        <v>21.4</v>
      </c>
      <c r="HK1491" s="97">
        <v>22.3</v>
      </c>
      <c r="IN1491" s="97">
        <f>169*0.000012</f>
        <v>2.0279999999999999E-3</v>
      </c>
      <c r="IO1491" s="97">
        <f>150*0.000012</f>
        <v>1.8E-3</v>
      </c>
      <c r="IR1491" s="97" t="s">
        <v>1038</v>
      </c>
      <c r="IY1491" s="28">
        <v>99999</v>
      </c>
      <c r="IZ1491" s="28">
        <v>99999</v>
      </c>
      <c r="JA1491" s="28"/>
      <c r="JB1491" s="28" t="s">
        <v>434</v>
      </c>
    </row>
    <row r="1492" spans="1:262" s="97" customFormat="1" x14ac:dyDescent="0.25">
      <c r="A1492" s="97">
        <v>68</v>
      </c>
      <c r="B1492" s="98" t="s">
        <v>4079</v>
      </c>
      <c r="C1492" s="97" t="s">
        <v>1019</v>
      </c>
      <c r="D1492" s="97" t="s">
        <v>1020</v>
      </c>
      <c r="E1492" s="97">
        <v>2011</v>
      </c>
      <c r="F1492" s="97">
        <v>1995</v>
      </c>
      <c r="G1492" s="97" t="s">
        <v>302</v>
      </c>
      <c r="H1492" s="97" t="s">
        <v>1022</v>
      </c>
      <c r="I1492" s="32" t="s">
        <v>2815</v>
      </c>
      <c r="J1492" s="97">
        <f t="shared" si="259"/>
        <v>43.3</v>
      </c>
      <c r="K1492" s="97">
        <f t="shared" si="260"/>
        <v>-89.35</v>
      </c>
      <c r="L1492" s="97">
        <v>317.10000000000002</v>
      </c>
      <c r="R1492" s="98" t="s">
        <v>1722</v>
      </c>
      <c r="S1492" s="46" t="s">
        <v>1975</v>
      </c>
      <c r="T1492" s="98" t="s">
        <v>864</v>
      </c>
      <c r="U1492" s="98" t="s">
        <v>1021</v>
      </c>
      <c r="V1492" s="98" t="s">
        <v>1414</v>
      </c>
      <c r="W1492" s="46" t="s">
        <v>1717</v>
      </c>
      <c r="X1492" s="46" t="s">
        <v>1394</v>
      </c>
      <c r="Y1492" s="46" t="s">
        <v>1379</v>
      </c>
      <c r="Z1492" s="425">
        <v>1.41</v>
      </c>
      <c r="AA1492" s="350"/>
      <c r="AB1492" s="350"/>
      <c r="AC1492" s="97" t="s">
        <v>450</v>
      </c>
      <c r="AG1492" s="28" t="s">
        <v>1342</v>
      </c>
      <c r="AH1492" s="97" t="s">
        <v>114</v>
      </c>
      <c r="AI1492" s="138" t="s">
        <v>577</v>
      </c>
      <c r="AJ1492" s="97" t="s">
        <v>132</v>
      </c>
      <c r="AK1492" s="145" t="s">
        <v>1611</v>
      </c>
      <c r="AL1492" s="97" t="s">
        <v>132</v>
      </c>
      <c r="AM1492" s="97" t="s">
        <v>132</v>
      </c>
      <c r="AN1492" s="97" t="s">
        <v>177</v>
      </c>
      <c r="AO1492" s="97" t="s">
        <v>477</v>
      </c>
      <c r="AP1492" s="97" t="s">
        <v>1029</v>
      </c>
      <c r="AQ1492" s="97" t="s">
        <v>2126</v>
      </c>
      <c r="AR1492" s="97" t="s">
        <v>2126</v>
      </c>
      <c r="AS1492" s="97" t="s">
        <v>502</v>
      </c>
      <c r="AT1492" s="97" t="s">
        <v>1030</v>
      </c>
      <c r="AU1492" s="97" t="s">
        <v>1032</v>
      </c>
      <c r="AV1492" s="97" t="s">
        <v>502</v>
      </c>
      <c r="AW1492" s="97" t="s">
        <v>160</v>
      </c>
      <c r="AX1492" s="97">
        <v>4</v>
      </c>
      <c r="AZ1492" s="97" t="s">
        <v>141</v>
      </c>
      <c r="BE1492" s="97" t="s">
        <v>1024</v>
      </c>
      <c r="BP1492" s="425">
        <v>1.41</v>
      </c>
      <c r="BQ1492" s="425">
        <v>1.48</v>
      </c>
      <c r="BU1492" s="425">
        <v>2.1800000000000002</v>
      </c>
      <c r="BV1492" s="425">
        <v>2.11</v>
      </c>
      <c r="BY1492" s="97" t="s">
        <v>618</v>
      </c>
      <c r="BZ1492" s="425"/>
      <c r="CA1492" s="425"/>
      <c r="CD1492" s="97" t="s">
        <v>3121</v>
      </c>
      <c r="CE1492" s="578">
        <v>2.1800000000000002</v>
      </c>
      <c r="CF1492" s="578">
        <v>2.11</v>
      </c>
      <c r="CG1492" s="578"/>
      <c r="CH1492" s="578"/>
      <c r="CI1492" s="28" t="s">
        <v>4544</v>
      </c>
      <c r="CJ1492" s="97">
        <v>2100</v>
      </c>
      <c r="CK1492" s="97">
        <v>2100</v>
      </c>
      <c r="CN1492" s="97" t="s">
        <v>234</v>
      </c>
      <c r="CO1492" s="97">
        <v>42</v>
      </c>
      <c r="CP1492" s="97">
        <v>40.799999999999997</v>
      </c>
      <c r="CT1492" s="97">
        <v>134</v>
      </c>
      <c r="CU1492" s="97">
        <v>72</v>
      </c>
      <c r="CY1492" s="97">
        <v>6.4</v>
      </c>
      <c r="CZ1492" s="97">
        <v>6.8</v>
      </c>
      <c r="DS1492" s="97">
        <v>809</v>
      </c>
      <c r="DT1492" s="97">
        <v>857</v>
      </c>
      <c r="DW1492" s="97" t="s">
        <v>1048</v>
      </c>
      <c r="FL1492" s="97">
        <v>27</v>
      </c>
      <c r="FM1492" s="97">
        <v>26</v>
      </c>
      <c r="FP1492" s="97" t="s">
        <v>164</v>
      </c>
      <c r="HE1492" s="97">
        <v>1600</v>
      </c>
      <c r="HF1492" s="97">
        <v>1610</v>
      </c>
      <c r="HI1492" s="97" t="s">
        <v>432</v>
      </c>
      <c r="HJ1492" s="97">
        <v>21.4</v>
      </c>
      <c r="HK1492" s="97">
        <v>23.3</v>
      </c>
      <c r="IN1492" s="97">
        <f t="shared" ref="IN1492:IN1496" si="263">169*0.000012</f>
        <v>2.0279999999999999E-3</v>
      </c>
      <c r="IO1492" s="97">
        <f>144*0.000012</f>
        <v>1.7279999999999999E-3</v>
      </c>
      <c r="IR1492" s="97" t="s">
        <v>1038</v>
      </c>
      <c r="IY1492" s="28">
        <v>99999</v>
      </c>
      <c r="IZ1492" s="28">
        <v>99999</v>
      </c>
      <c r="JA1492" s="28"/>
      <c r="JB1492" s="28" t="s">
        <v>434</v>
      </c>
    </row>
    <row r="1493" spans="1:262" s="97" customFormat="1" x14ac:dyDescent="0.25">
      <c r="A1493" s="97">
        <v>68</v>
      </c>
      <c r="B1493" s="98" t="s">
        <v>4079</v>
      </c>
      <c r="C1493" s="97" t="s">
        <v>1019</v>
      </c>
      <c r="D1493" s="97" t="s">
        <v>1020</v>
      </c>
      <c r="E1493" s="97">
        <v>2011</v>
      </c>
      <c r="F1493" s="97">
        <v>1995</v>
      </c>
      <c r="G1493" s="97" t="s">
        <v>302</v>
      </c>
      <c r="H1493" s="97" t="s">
        <v>1022</v>
      </c>
      <c r="I1493" s="32" t="s">
        <v>2815</v>
      </c>
      <c r="J1493" s="97">
        <f t="shared" si="259"/>
        <v>43.3</v>
      </c>
      <c r="K1493" s="97">
        <f t="shared" si="260"/>
        <v>-89.35</v>
      </c>
      <c r="L1493" s="97">
        <v>317.10000000000002</v>
      </c>
      <c r="R1493" s="98" t="s">
        <v>1722</v>
      </c>
      <c r="S1493" s="46" t="s">
        <v>1975</v>
      </c>
      <c r="T1493" s="98" t="s">
        <v>864</v>
      </c>
      <c r="U1493" s="98" t="s">
        <v>1021</v>
      </c>
      <c r="V1493" s="98" t="s">
        <v>1414</v>
      </c>
      <c r="W1493" s="46" t="s">
        <v>1717</v>
      </c>
      <c r="X1493" s="46" t="s">
        <v>1394</v>
      </c>
      <c r="Y1493" s="46" t="s">
        <v>1379</v>
      </c>
      <c r="Z1493" s="425">
        <v>1.41</v>
      </c>
      <c r="AA1493" s="350"/>
      <c r="AB1493" s="350"/>
      <c r="AC1493" s="97" t="s">
        <v>450</v>
      </c>
      <c r="AG1493" s="28" t="s">
        <v>1342</v>
      </c>
      <c r="AH1493" s="97" t="s">
        <v>114</v>
      </c>
      <c r="AI1493" s="138" t="s">
        <v>577</v>
      </c>
      <c r="AJ1493" s="97" t="s">
        <v>132</v>
      </c>
      <c r="AK1493" s="145" t="s">
        <v>1611</v>
      </c>
      <c r="AL1493" s="97" t="s">
        <v>132</v>
      </c>
      <c r="AM1493" s="97" t="s">
        <v>132</v>
      </c>
      <c r="AN1493" s="97" t="s">
        <v>177</v>
      </c>
      <c r="AO1493" s="97" t="s">
        <v>477</v>
      </c>
      <c r="AP1493" s="97" t="s">
        <v>1029</v>
      </c>
      <c r="AQ1493" s="97" t="s">
        <v>2126</v>
      </c>
      <c r="AR1493" s="97" t="s">
        <v>2126</v>
      </c>
      <c r="AS1493" s="97" t="s">
        <v>502</v>
      </c>
      <c r="AT1493" s="97" t="s">
        <v>1030</v>
      </c>
      <c r="AU1493" s="97" t="s">
        <v>1033</v>
      </c>
      <c r="AV1493" s="97" t="s">
        <v>502</v>
      </c>
      <c r="AW1493" s="97" t="s">
        <v>160</v>
      </c>
      <c r="AX1493" s="97">
        <v>4</v>
      </c>
      <c r="AZ1493" s="97" t="s">
        <v>141</v>
      </c>
      <c r="BE1493" s="97" t="s">
        <v>1025</v>
      </c>
      <c r="BP1493" s="425">
        <v>1.41</v>
      </c>
      <c r="BQ1493" s="425">
        <v>1.37</v>
      </c>
      <c r="BU1493" s="425">
        <v>2.1800000000000002</v>
      </c>
      <c r="BV1493" s="425">
        <v>2.2000000000000002</v>
      </c>
      <c r="BY1493" s="97" t="s">
        <v>618</v>
      </c>
      <c r="BZ1493" s="425"/>
      <c r="CA1493" s="425"/>
      <c r="CD1493" s="97" t="s">
        <v>3121</v>
      </c>
      <c r="CE1493" s="578">
        <v>2.1800000000000002</v>
      </c>
      <c r="CF1493" s="578">
        <v>2.2000000000000002</v>
      </c>
      <c r="CG1493" s="578"/>
      <c r="CH1493" s="578"/>
      <c r="CI1493" s="28" t="s">
        <v>4544</v>
      </c>
      <c r="CJ1493" s="97">
        <v>2100</v>
      </c>
      <c r="CK1493" s="97">
        <v>2200</v>
      </c>
      <c r="CN1493" s="97" t="s">
        <v>234</v>
      </c>
      <c r="CO1493" s="97">
        <v>42</v>
      </c>
      <c r="CP1493" s="97">
        <v>50</v>
      </c>
      <c r="CT1493" s="97">
        <v>134</v>
      </c>
      <c r="CU1493" s="97">
        <v>83</v>
      </c>
      <c r="CY1493" s="97">
        <v>6.4</v>
      </c>
      <c r="CZ1493" s="97">
        <v>6.6</v>
      </c>
      <c r="DS1493" s="97">
        <v>809</v>
      </c>
      <c r="DT1493" s="97">
        <v>842</v>
      </c>
      <c r="DW1493" s="97" t="s">
        <v>1048</v>
      </c>
      <c r="FL1493" s="97">
        <v>27</v>
      </c>
      <c r="FM1493" s="97">
        <v>25</v>
      </c>
      <c r="FP1493" s="97" t="s">
        <v>164</v>
      </c>
      <c r="HE1493" s="97">
        <v>1600</v>
      </c>
      <c r="HF1493" s="97">
        <v>1540</v>
      </c>
      <c r="HI1493" s="97" t="s">
        <v>432</v>
      </c>
      <c r="HJ1493" s="97">
        <v>21.4</v>
      </c>
      <c r="HK1493" s="97">
        <v>25.9</v>
      </c>
      <c r="IN1493" s="97">
        <f t="shared" si="263"/>
        <v>2.0279999999999999E-3</v>
      </c>
      <c r="IO1493" s="97">
        <f>114*0.000012</f>
        <v>1.3680000000000001E-3</v>
      </c>
      <c r="IR1493" s="97" t="s">
        <v>1047</v>
      </c>
      <c r="IY1493" s="28">
        <v>99999</v>
      </c>
      <c r="IZ1493" s="28">
        <v>99999</v>
      </c>
      <c r="JA1493" s="28"/>
      <c r="JB1493" s="28" t="s">
        <v>434</v>
      </c>
    </row>
    <row r="1494" spans="1:262" s="97" customFormat="1" x14ac:dyDescent="0.25">
      <c r="A1494" s="97">
        <v>68</v>
      </c>
      <c r="B1494" s="98" t="s">
        <v>4079</v>
      </c>
      <c r="C1494" s="97" t="s">
        <v>1019</v>
      </c>
      <c r="D1494" s="97" t="s">
        <v>1020</v>
      </c>
      <c r="E1494" s="97">
        <v>2011</v>
      </c>
      <c r="F1494" s="97">
        <v>1995</v>
      </c>
      <c r="G1494" s="97" t="s">
        <v>302</v>
      </c>
      <c r="H1494" s="97" t="s">
        <v>1022</v>
      </c>
      <c r="I1494" s="32" t="s">
        <v>2815</v>
      </c>
      <c r="J1494" s="97">
        <f t="shared" si="259"/>
        <v>43.3</v>
      </c>
      <c r="K1494" s="97">
        <f t="shared" si="260"/>
        <v>-89.35</v>
      </c>
      <c r="L1494" s="97">
        <v>317.10000000000002</v>
      </c>
      <c r="R1494" s="98" t="s">
        <v>1722</v>
      </c>
      <c r="S1494" s="46" t="s">
        <v>1975</v>
      </c>
      <c r="T1494" s="98" t="s">
        <v>864</v>
      </c>
      <c r="U1494" s="98" t="s">
        <v>1021</v>
      </c>
      <c r="V1494" s="98" t="s">
        <v>1414</v>
      </c>
      <c r="W1494" s="46" t="s">
        <v>1717</v>
      </c>
      <c r="X1494" s="46" t="s">
        <v>1394</v>
      </c>
      <c r="Y1494" s="46" t="s">
        <v>1379</v>
      </c>
      <c r="Z1494" s="425">
        <v>1.41</v>
      </c>
      <c r="AA1494" s="350"/>
      <c r="AB1494" s="350"/>
      <c r="AC1494" s="97" t="s">
        <v>450</v>
      </c>
      <c r="AG1494" s="28" t="s">
        <v>1342</v>
      </c>
      <c r="AH1494" s="97" t="s">
        <v>114</v>
      </c>
      <c r="AI1494" s="138" t="s">
        <v>577</v>
      </c>
      <c r="AJ1494" s="97" t="s">
        <v>132</v>
      </c>
      <c r="AK1494" s="145" t="s">
        <v>1611</v>
      </c>
      <c r="AL1494" s="97" t="s">
        <v>132</v>
      </c>
      <c r="AM1494" s="97" t="s">
        <v>132</v>
      </c>
      <c r="AN1494" s="97" t="s">
        <v>177</v>
      </c>
      <c r="AO1494" s="97" t="s">
        <v>477</v>
      </c>
      <c r="AP1494" s="97" t="s">
        <v>1029</v>
      </c>
      <c r="AQ1494" s="97" t="s">
        <v>2126</v>
      </c>
      <c r="AR1494" s="97" t="s">
        <v>2126</v>
      </c>
      <c r="AS1494" s="97" t="s">
        <v>502</v>
      </c>
      <c r="AT1494" s="97" t="s">
        <v>1030</v>
      </c>
      <c r="AU1494" s="97" t="s">
        <v>1034</v>
      </c>
      <c r="AV1494" s="97" t="s">
        <v>502</v>
      </c>
      <c r="AW1494" s="97" t="s">
        <v>160</v>
      </c>
      <c r="AX1494" s="97">
        <v>4</v>
      </c>
      <c r="AZ1494" s="97" t="s">
        <v>141</v>
      </c>
      <c r="BE1494" s="97" t="s">
        <v>1026</v>
      </c>
      <c r="BP1494" s="425">
        <v>1.41</v>
      </c>
      <c r="BQ1494" s="425">
        <v>1.37</v>
      </c>
      <c r="BU1494" s="425">
        <v>2.1800000000000002</v>
      </c>
      <c r="BV1494" s="425">
        <v>2.2999999999999998</v>
      </c>
      <c r="BY1494" s="97" t="s">
        <v>618</v>
      </c>
      <c r="BZ1494" s="425"/>
      <c r="CA1494" s="425"/>
      <c r="CD1494" s="97" t="s">
        <v>3121</v>
      </c>
      <c r="CE1494" s="578">
        <v>2.1800000000000002</v>
      </c>
      <c r="CF1494" s="578">
        <v>2.2999999999999998</v>
      </c>
      <c r="CG1494" s="578"/>
      <c r="CH1494" s="578"/>
      <c r="CI1494" s="28" t="s">
        <v>4544</v>
      </c>
      <c r="CJ1494" s="97">
        <v>2100</v>
      </c>
      <c r="CK1494" s="97">
        <v>2300</v>
      </c>
      <c r="CN1494" s="97" t="s">
        <v>234</v>
      </c>
      <c r="CO1494" s="97">
        <v>42</v>
      </c>
      <c r="CP1494" s="97">
        <v>46.8</v>
      </c>
      <c r="CT1494" s="97">
        <v>134</v>
      </c>
      <c r="CU1494" s="97">
        <v>79</v>
      </c>
      <c r="CY1494" s="97">
        <v>6.4</v>
      </c>
      <c r="CZ1494" s="97">
        <v>6.8</v>
      </c>
      <c r="DS1494" s="97">
        <v>809</v>
      </c>
      <c r="DT1494" s="97">
        <v>851</v>
      </c>
      <c r="DW1494" s="97" t="s">
        <v>1048</v>
      </c>
      <c r="FL1494" s="97">
        <v>27</v>
      </c>
      <c r="FM1494" s="97">
        <v>26</v>
      </c>
      <c r="FP1494" s="97" t="s">
        <v>164</v>
      </c>
      <c r="HE1494" s="97">
        <v>1600</v>
      </c>
      <c r="HF1494" s="97">
        <v>1840</v>
      </c>
      <c r="HI1494" s="97" t="s">
        <v>432</v>
      </c>
      <c r="HJ1494" s="97">
        <v>21.4</v>
      </c>
      <c r="HK1494" s="97">
        <v>29.8</v>
      </c>
      <c r="IN1494" s="97">
        <f t="shared" si="263"/>
        <v>2.0279999999999999E-3</v>
      </c>
      <c r="IO1494" s="97">
        <f>134*0.000012</f>
        <v>1.6080000000000001E-3</v>
      </c>
      <c r="IR1494" s="97" t="s">
        <v>1047</v>
      </c>
      <c r="IY1494" s="28">
        <v>99999</v>
      </c>
      <c r="IZ1494" s="28">
        <v>99999</v>
      </c>
      <c r="JA1494" s="28"/>
      <c r="JB1494" s="28" t="s">
        <v>434</v>
      </c>
    </row>
    <row r="1495" spans="1:262" s="97" customFormat="1" x14ac:dyDescent="0.25">
      <c r="A1495" s="97">
        <v>68</v>
      </c>
      <c r="B1495" s="98" t="s">
        <v>4079</v>
      </c>
      <c r="C1495" s="97" t="s">
        <v>1019</v>
      </c>
      <c r="D1495" s="97" t="s">
        <v>1020</v>
      </c>
      <c r="E1495" s="97">
        <v>2011</v>
      </c>
      <c r="F1495" s="97">
        <v>1995</v>
      </c>
      <c r="G1495" s="97" t="s">
        <v>302</v>
      </c>
      <c r="H1495" s="97" t="s">
        <v>1022</v>
      </c>
      <c r="I1495" s="32" t="s">
        <v>2815</v>
      </c>
      <c r="J1495" s="97">
        <f t="shared" si="259"/>
        <v>43.3</v>
      </c>
      <c r="K1495" s="97">
        <f t="shared" si="260"/>
        <v>-89.35</v>
      </c>
      <c r="L1495" s="97">
        <v>317.10000000000002</v>
      </c>
      <c r="R1495" s="98" t="s">
        <v>1722</v>
      </c>
      <c r="S1495" s="46" t="s">
        <v>1975</v>
      </c>
      <c r="T1495" s="98" t="s">
        <v>864</v>
      </c>
      <c r="U1495" s="98" t="s">
        <v>1021</v>
      </c>
      <c r="V1495" s="98" t="s">
        <v>1414</v>
      </c>
      <c r="W1495" s="46" t="s">
        <v>1717</v>
      </c>
      <c r="X1495" s="46" t="s">
        <v>1394</v>
      </c>
      <c r="Y1495" s="46" t="s">
        <v>1379</v>
      </c>
      <c r="Z1495" s="425">
        <v>1.41</v>
      </c>
      <c r="AA1495" s="350"/>
      <c r="AB1495" s="350"/>
      <c r="AC1495" s="97" t="s">
        <v>450</v>
      </c>
      <c r="AG1495" s="28" t="s">
        <v>1342</v>
      </c>
      <c r="AH1495" s="97" t="s">
        <v>114</v>
      </c>
      <c r="AI1495" s="138" t="s">
        <v>577</v>
      </c>
      <c r="AJ1495" s="97" t="s">
        <v>132</v>
      </c>
      <c r="AK1495" s="145" t="s">
        <v>1611</v>
      </c>
      <c r="AL1495" s="97" t="s">
        <v>132</v>
      </c>
      <c r="AM1495" s="97" t="s">
        <v>132</v>
      </c>
      <c r="AN1495" s="97" t="s">
        <v>177</v>
      </c>
      <c r="AO1495" s="97" t="s">
        <v>477</v>
      </c>
      <c r="AP1495" s="97" t="s">
        <v>1029</v>
      </c>
      <c r="AQ1495" s="97" t="s">
        <v>2126</v>
      </c>
      <c r="AR1495" s="97" t="s">
        <v>2126</v>
      </c>
      <c r="AS1495" s="97" t="s">
        <v>502</v>
      </c>
      <c r="AT1495" s="97" t="s">
        <v>1030</v>
      </c>
      <c r="AU1495" s="97" t="s">
        <v>1035</v>
      </c>
      <c r="AV1495" s="97" t="s">
        <v>502</v>
      </c>
      <c r="AW1495" s="97" t="s">
        <v>160</v>
      </c>
      <c r="AX1495" s="97">
        <v>4</v>
      </c>
      <c r="AZ1495" s="97" t="s">
        <v>141</v>
      </c>
      <c r="BE1495" s="97" t="s">
        <v>1027</v>
      </c>
      <c r="BP1495" s="425">
        <v>1.41</v>
      </c>
      <c r="BQ1495" s="425">
        <v>1.41</v>
      </c>
      <c r="BU1495" s="425">
        <v>2.1800000000000002</v>
      </c>
      <c r="BV1495" s="425">
        <v>2.4</v>
      </c>
      <c r="BY1495" s="97" t="s">
        <v>618</v>
      </c>
      <c r="BZ1495" s="425"/>
      <c r="CA1495" s="425"/>
      <c r="CD1495" s="97" t="s">
        <v>3121</v>
      </c>
      <c r="CE1495" s="578">
        <v>2.1800000000000002</v>
      </c>
      <c r="CF1495" s="578">
        <v>2.4</v>
      </c>
      <c r="CG1495" s="578"/>
      <c r="CH1495" s="578"/>
      <c r="CI1495" s="28" t="s">
        <v>4544</v>
      </c>
      <c r="CJ1495" s="97">
        <v>2100</v>
      </c>
      <c r="CK1495" s="97">
        <v>2300</v>
      </c>
      <c r="CN1495" s="97" t="s">
        <v>234</v>
      </c>
      <c r="CO1495" s="97">
        <v>42</v>
      </c>
      <c r="CP1495" s="97">
        <v>50.5</v>
      </c>
      <c r="CT1495" s="97">
        <v>134</v>
      </c>
      <c r="CU1495" s="97">
        <v>75</v>
      </c>
      <c r="CY1495" s="97">
        <v>6.4</v>
      </c>
      <c r="CZ1495" s="97">
        <v>6.7</v>
      </c>
      <c r="DS1495" s="97">
        <v>809</v>
      </c>
      <c r="DT1495" s="97">
        <v>882</v>
      </c>
      <c r="DW1495" s="97" t="s">
        <v>1048</v>
      </c>
      <c r="FL1495" s="97">
        <v>27</v>
      </c>
      <c r="FM1495" s="97">
        <v>26</v>
      </c>
      <c r="FP1495" s="97" t="s">
        <v>164</v>
      </c>
      <c r="HE1495" s="97">
        <v>1600</v>
      </c>
      <c r="HF1495" s="97">
        <v>1820</v>
      </c>
      <c r="HI1495" s="97" t="s">
        <v>432</v>
      </c>
      <c r="HJ1495" s="97">
        <v>21.4</v>
      </c>
      <c r="HK1495" s="97">
        <v>30.9</v>
      </c>
      <c r="IN1495" s="97">
        <f t="shared" si="263"/>
        <v>2.0279999999999999E-3</v>
      </c>
      <c r="IO1495" s="97">
        <f>95*0.000012</f>
        <v>1.14E-3</v>
      </c>
      <c r="IR1495" s="97" t="s">
        <v>1047</v>
      </c>
      <c r="IY1495" s="28">
        <v>99999</v>
      </c>
      <c r="IZ1495" s="28">
        <v>99999</v>
      </c>
      <c r="JA1495" s="28"/>
      <c r="JB1495" s="28" t="s">
        <v>434</v>
      </c>
    </row>
    <row r="1496" spans="1:262" s="97" customFormat="1" x14ac:dyDescent="0.25">
      <c r="A1496" s="97">
        <v>68</v>
      </c>
      <c r="B1496" s="98" t="s">
        <v>4079</v>
      </c>
      <c r="C1496" s="97" t="s">
        <v>1019</v>
      </c>
      <c r="D1496" s="97" t="s">
        <v>1020</v>
      </c>
      <c r="E1496" s="97">
        <v>2011</v>
      </c>
      <c r="F1496" s="97">
        <v>1995</v>
      </c>
      <c r="G1496" s="97" t="s">
        <v>302</v>
      </c>
      <c r="H1496" s="97" t="s">
        <v>1022</v>
      </c>
      <c r="I1496" s="32" t="s">
        <v>2815</v>
      </c>
      <c r="J1496" s="97">
        <f t="shared" si="259"/>
        <v>43.3</v>
      </c>
      <c r="K1496" s="97">
        <f t="shared" si="260"/>
        <v>-89.35</v>
      </c>
      <c r="L1496" s="97">
        <v>317.10000000000002</v>
      </c>
      <c r="R1496" s="98" t="s">
        <v>1722</v>
      </c>
      <c r="S1496" s="46" t="s">
        <v>1975</v>
      </c>
      <c r="T1496" s="98" t="s">
        <v>864</v>
      </c>
      <c r="U1496" s="98" t="s">
        <v>1021</v>
      </c>
      <c r="V1496" s="98" t="s">
        <v>1414</v>
      </c>
      <c r="W1496" s="46" t="s">
        <v>1717</v>
      </c>
      <c r="X1496" s="46" t="s">
        <v>1394</v>
      </c>
      <c r="Y1496" s="46" t="s">
        <v>1379</v>
      </c>
      <c r="Z1496" s="425">
        <v>1.41</v>
      </c>
      <c r="AA1496" s="350"/>
      <c r="AB1496" s="350"/>
      <c r="AC1496" s="97" t="s">
        <v>450</v>
      </c>
      <c r="AG1496" s="28" t="s">
        <v>1342</v>
      </c>
      <c r="AH1496" s="97" t="s">
        <v>635</v>
      </c>
      <c r="AI1496" s="138" t="s">
        <v>635</v>
      </c>
      <c r="AJ1496" s="97" t="s">
        <v>132</v>
      </c>
      <c r="AK1496" s="145" t="s">
        <v>1611</v>
      </c>
      <c r="AL1496" s="97" t="s">
        <v>132</v>
      </c>
      <c r="AM1496" s="97" t="s">
        <v>1607</v>
      </c>
      <c r="AN1496" s="97" t="s">
        <v>502</v>
      </c>
      <c r="AO1496" s="97" t="s">
        <v>477</v>
      </c>
      <c r="AP1496" s="97" t="s">
        <v>1029</v>
      </c>
      <c r="AQ1496" s="97" t="s">
        <v>2126</v>
      </c>
      <c r="AR1496" s="97" t="s">
        <v>2126</v>
      </c>
      <c r="AS1496" s="97" t="s">
        <v>502</v>
      </c>
      <c r="AT1496" s="97" t="s">
        <v>1030</v>
      </c>
      <c r="AU1496" s="97" t="s">
        <v>1036</v>
      </c>
      <c r="AV1496" s="97" t="s">
        <v>502</v>
      </c>
      <c r="AW1496" s="97" t="s">
        <v>160</v>
      </c>
      <c r="AX1496" s="97">
        <v>4</v>
      </c>
      <c r="AZ1496" s="97" t="s">
        <v>141</v>
      </c>
      <c r="BE1496" s="97" t="s">
        <v>1028</v>
      </c>
      <c r="BP1496" s="425">
        <v>1.41</v>
      </c>
      <c r="BQ1496" s="425">
        <v>1.42</v>
      </c>
      <c r="BU1496" s="425">
        <v>2.1800000000000002</v>
      </c>
      <c r="BV1496" s="425">
        <v>2.2400000000000002</v>
      </c>
      <c r="BY1496" s="97" t="s">
        <v>618</v>
      </c>
      <c r="BZ1496" s="425"/>
      <c r="CA1496" s="425"/>
      <c r="CD1496" s="97" t="s">
        <v>3121</v>
      </c>
      <c r="CE1496" s="578">
        <v>2.1800000000000002</v>
      </c>
      <c r="CF1496" s="578">
        <v>2.2400000000000002</v>
      </c>
      <c r="CG1496" s="578"/>
      <c r="CH1496" s="578"/>
      <c r="CI1496" s="28" t="s">
        <v>4544</v>
      </c>
      <c r="CJ1496" s="97">
        <v>2100</v>
      </c>
      <c r="CK1496" s="97">
        <v>2100</v>
      </c>
      <c r="CN1496" s="97" t="s">
        <v>234</v>
      </c>
      <c r="CO1496" s="97">
        <v>42</v>
      </c>
      <c r="CP1496" s="97">
        <v>36</v>
      </c>
      <c r="CT1496" s="97">
        <v>134</v>
      </c>
      <c r="CU1496" s="97">
        <v>75</v>
      </c>
      <c r="CY1496" s="97">
        <v>6.4</v>
      </c>
      <c r="CZ1496" s="97">
        <v>6.5</v>
      </c>
      <c r="DS1496" s="97">
        <v>809</v>
      </c>
      <c r="DT1496" s="97">
        <v>873</v>
      </c>
      <c r="DW1496" s="97" t="s">
        <v>1048</v>
      </c>
      <c r="FL1496" s="97">
        <v>27</v>
      </c>
      <c r="FM1496" s="97">
        <v>23</v>
      </c>
      <c r="FP1496" s="97" t="s">
        <v>164</v>
      </c>
      <c r="HE1496" s="97">
        <v>1600</v>
      </c>
      <c r="HF1496" s="97">
        <v>1380</v>
      </c>
      <c r="HI1496" s="97" t="s">
        <v>432</v>
      </c>
      <c r="HJ1496" s="97">
        <v>21.4</v>
      </c>
      <c r="HK1496" s="97">
        <v>24.4</v>
      </c>
      <c r="IN1496" s="97">
        <f t="shared" si="263"/>
        <v>2.0279999999999999E-3</v>
      </c>
      <c r="IO1496" s="97">
        <f>193*0.000012</f>
        <v>2.3159999999999999E-3</v>
      </c>
      <c r="IR1496" s="97" t="s">
        <v>1047</v>
      </c>
      <c r="IY1496" s="28">
        <v>99999</v>
      </c>
      <c r="IZ1496" s="28">
        <v>99999</v>
      </c>
      <c r="JA1496" s="28"/>
      <c r="JB1496" s="28" t="s">
        <v>434</v>
      </c>
    </row>
    <row r="1497" spans="1:262" s="99" customFormat="1" x14ac:dyDescent="0.25">
      <c r="A1497" s="99">
        <v>68</v>
      </c>
      <c r="B1497" s="100" t="s">
        <v>4079</v>
      </c>
      <c r="C1497" s="99" t="s">
        <v>1019</v>
      </c>
      <c r="D1497" s="99" t="s">
        <v>1020</v>
      </c>
      <c r="E1497" s="99">
        <v>2011</v>
      </c>
      <c r="F1497" s="99">
        <v>1995</v>
      </c>
      <c r="G1497" s="99" t="s">
        <v>302</v>
      </c>
      <c r="H1497" s="99" t="s">
        <v>1022</v>
      </c>
      <c r="I1497" s="32" t="s">
        <v>2815</v>
      </c>
      <c r="J1497" s="99">
        <f t="shared" si="259"/>
        <v>43.3</v>
      </c>
      <c r="K1497" s="99">
        <f t="shared" si="260"/>
        <v>-89.35</v>
      </c>
      <c r="L1497" s="99">
        <v>317.10000000000002</v>
      </c>
      <c r="R1497" s="100" t="s">
        <v>1722</v>
      </c>
      <c r="S1497" s="47" t="s">
        <v>1975</v>
      </c>
      <c r="T1497" s="100" t="s">
        <v>864</v>
      </c>
      <c r="U1497" s="100" t="s">
        <v>1021</v>
      </c>
      <c r="V1497" s="100" t="s">
        <v>1414</v>
      </c>
      <c r="W1497" s="47" t="s">
        <v>1717</v>
      </c>
      <c r="X1497" s="47" t="s">
        <v>1394</v>
      </c>
      <c r="Y1497" s="47" t="s">
        <v>1379</v>
      </c>
      <c r="Z1497" s="426">
        <v>1.38</v>
      </c>
      <c r="AA1497" s="351"/>
      <c r="AB1497" s="351"/>
      <c r="AC1497" s="99" t="s">
        <v>450</v>
      </c>
      <c r="AG1497" s="33" t="s">
        <v>1342</v>
      </c>
      <c r="AH1497" s="99" t="s">
        <v>1527</v>
      </c>
      <c r="AI1497" s="138" t="s">
        <v>1581</v>
      </c>
      <c r="AJ1497" s="99" t="s">
        <v>1589</v>
      </c>
      <c r="AK1497" s="145" t="s">
        <v>1611</v>
      </c>
      <c r="AL1497" s="99" t="s">
        <v>685</v>
      </c>
      <c r="AM1497" s="99" t="s">
        <v>942</v>
      </c>
      <c r="AN1497" s="99" t="s">
        <v>177</v>
      </c>
      <c r="AO1497" s="99" t="s">
        <v>1046</v>
      </c>
      <c r="AP1497" s="99" t="s">
        <v>1029</v>
      </c>
      <c r="AQ1497" s="99" t="s">
        <v>2126</v>
      </c>
      <c r="AR1497" s="99" t="s">
        <v>2126</v>
      </c>
      <c r="AS1497" s="99" t="s">
        <v>502</v>
      </c>
      <c r="AT1497" s="99" t="s">
        <v>1045</v>
      </c>
      <c r="AU1497" s="99" t="s">
        <v>1031</v>
      </c>
      <c r="AV1497" s="99" t="s">
        <v>502</v>
      </c>
      <c r="AW1497" s="99" t="s">
        <v>160</v>
      </c>
      <c r="AX1497" s="99">
        <v>4</v>
      </c>
      <c r="AZ1497" s="99" t="s">
        <v>141</v>
      </c>
      <c r="BE1497" s="99" t="s">
        <v>1039</v>
      </c>
      <c r="BP1497" s="426">
        <v>1.38</v>
      </c>
      <c r="BQ1497" s="426">
        <v>1.47</v>
      </c>
      <c r="BU1497" s="426">
        <v>1.95</v>
      </c>
      <c r="BV1497" s="426">
        <v>2.08</v>
      </c>
      <c r="BY1497" s="99" t="s">
        <v>618</v>
      </c>
      <c r="BZ1497" s="426"/>
      <c r="CA1497" s="426"/>
      <c r="CD1497" s="99" t="s">
        <v>3121</v>
      </c>
      <c r="CE1497" s="579">
        <v>1.95</v>
      </c>
      <c r="CF1497" s="579">
        <v>2.08</v>
      </c>
      <c r="CG1497" s="579"/>
      <c r="CH1497" s="579"/>
      <c r="CI1497" s="33" t="s">
        <v>4544</v>
      </c>
      <c r="CJ1497" s="99">
        <v>1900</v>
      </c>
      <c r="CK1497" s="99">
        <v>2100</v>
      </c>
      <c r="CN1497" s="99" t="s">
        <v>234</v>
      </c>
      <c r="CO1497" s="99">
        <v>33</v>
      </c>
      <c r="CP1497" s="99">
        <v>31.8</v>
      </c>
      <c r="CT1497" s="99">
        <v>97</v>
      </c>
      <c r="CU1497" s="99">
        <v>89</v>
      </c>
      <c r="CY1497" s="99">
        <v>6.5</v>
      </c>
      <c r="CZ1497" s="99">
        <v>6.6</v>
      </c>
      <c r="DS1497" s="99">
        <v>887</v>
      </c>
      <c r="DT1497" s="99">
        <v>861</v>
      </c>
      <c r="DW1497" s="99" t="s">
        <v>1048</v>
      </c>
      <c r="FL1497" s="99">
        <v>26</v>
      </c>
      <c r="FM1497" s="99">
        <v>26</v>
      </c>
      <c r="FP1497" s="99" t="s">
        <v>164</v>
      </c>
      <c r="HE1497" s="99">
        <v>1380</v>
      </c>
      <c r="HF1497" s="99">
        <v>1670</v>
      </c>
      <c r="HI1497" s="99" t="s">
        <v>432</v>
      </c>
      <c r="HJ1497" s="99">
        <v>17.100000000000001</v>
      </c>
      <c r="HK1497" s="99">
        <v>22.3</v>
      </c>
      <c r="IN1497" s="99">
        <f>109*0.000012</f>
        <v>1.3080000000000001E-3</v>
      </c>
      <c r="IO1497" s="99">
        <v>1.8E-3</v>
      </c>
      <c r="IR1497" s="99" t="s">
        <v>1038</v>
      </c>
      <c r="IY1497" s="28">
        <v>99999</v>
      </c>
      <c r="IZ1497" s="28">
        <v>99999</v>
      </c>
      <c r="JA1497" s="28"/>
      <c r="JB1497" s="33" t="s">
        <v>434</v>
      </c>
    </row>
    <row r="1498" spans="1:262" s="99" customFormat="1" x14ac:dyDescent="0.25">
      <c r="A1498" s="99">
        <v>68</v>
      </c>
      <c r="B1498" s="100" t="s">
        <v>4079</v>
      </c>
      <c r="C1498" s="99" t="s">
        <v>1019</v>
      </c>
      <c r="D1498" s="99" t="s">
        <v>1020</v>
      </c>
      <c r="E1498" s="99">
        <v>2011</v>
      </c>
      <c r="F1498" s="99">
        <v>1995</v>
      </c>
      <c r="G1498" s="99" t="s">
        <v>302</v>
      </c>
      <c r="H1498" s="99" t="s">
        <v>1022</v>
      </c>
      <c r="I1498" s="32" t="s">
        <v>2815</v>
      </c>
      <c r="J1498" s="99">
        <f t="shared" si="259"/>
        <v>43.3</v>
      </c>
      <c r="K1498" s="99">
        <f t="shared" si="260"/>
        <v>-89.35</v>
      </c>
      <c r="L1498" s="99">
        <v>317.10000000000002</v>
      </c>
      <c r="R1498" s="100" t="s">
        <v>1722</v>
      </c>
      <c r="S1498" s="47" t="s">
        <v>1975</v>
      </c>
      <c r="T1498" s="100" t="s">
        <v>864</v>
      </c>
      <c r="U1498" s="100" t="s">
        <v>1021</v>
      </c>
      <c r="V1498" s="100" t="s">
        <v>1414</v>
      </c>
      <c r="W1498" s="47" t="s">
        <v>1717</v>
      </c>
      <c r="X1498" s="47" t="s">
        <v>1394</v>
      </c>
      <c r="Y1498" s="47" t="s">
        <v>1379</v>
      </c>
      <c r="Z1498" s="426">
        <v>1.38</v>
      </c>
      <c r="AA1498" s="351"/>
      <c r="AB1498" s="351"/>
      <c r="AC1498" s="99" t="s">
        <v>450</v>
      </c>
      <c r="AG1498" s="33" t="s">
        <v>1342</v>
      </c>
      <c r="AH1498" s="99" t="s">
        <v>114</v>
      </c>
      <c r="AI1498" s="138" t="s">
        <v>577</v>
      </c>
      <c r="AJ1498" s="99" t="s">
        <v>1589</v>
      </c>
      <c r="AK1498" s="145" t="s">
        <v>1611</v>
      </c>
      <c r="AL1498" s="99" t="s">
        <v>685</v>
      </c>
      <c r="AM1498" s="99" t="s">
        <v>132</v>
      </c>
      <c r="AN1498" s="99" t="s">
        <v>502</v>
      </c>
      <c r="AO1498" s="99" t="s">
        <v>1046</v>
      </c>
      <c r="AP1498" s="99" t="s">
        <v>1029</v>
      </c>
      <c r="AQ1498" s="99" t="s">
        <v>2126</v>
      </c>
      <c r="AR1498" s="99" t="s">
        <v>2126</v>
      </c>
      <c r="AS1498" s="99" t="s">
        <v>502</v>
      </c>
      <c r="AT1498" s="99" t="s">
        <v>1045</v>
      </c>
      <c r="AU1498" s="99" t="s">
        <v>1032</v>
      </c>
      <c r="AV1498" s="99" t="s">
        <v>502</v>
      </c>
      <c r="AW1498" s="99" t="s">
        <v>160</v>
      </c>
      <c r="AX1498" s="99">
        <v>4</v>
      </c>
      <c r="AZ1498" s="99" t="s">
        <v>141</v>
      </c>
      <c r="BE1498" s="99" t="s">
        <v>1040</v>
      </c>
      <c r="BP1498" s="426">
        <v>1.38</v>
      </c>
      <c r="BQ1498" s="426">
        <v>1.48</v>
      </c>
      <c r="BU1498" s="426">
        <v>1.95</v>
      </c>
      <c r="BV1498" s="426">
        <v>2.11</v>
      </c>
      <c r="BY1498" s="99" t="s">
        <v>618</v>
      </c>
      <c r="BZ1498" s="426"/>
      <c r="CA1498" s="426"/>
      <c r="CD1498" s="99" t="s">
        <v>3121</v>
      </c>
      <c r="CE1498" s="579">
        <v>1.95</v>
      </c>
      <c r="CF1498" s="579">
        <v>2.11</v>
      </c>
      <c r="CG1498" s="579"/>
      <c r="CH1498" s="579"/>
      <c r="CI1498" s="33" t="s">
        <v>4544</v>
      </c>
      <c r="CJ1498" s="99">
        <v>1900</v>
      </c>
      <c r="CK1498" s="99">
        <v>2100</v>
      </c>
      <c r="CN1498" s="99" t="s">
        <v>234</v>
      </c>
      <c r="CO1498" s="99">
        <v>33</v>
      </c>
      <c r="CP1498" s="99">
        <v>40.799999999999997</v>
      </c>
      <c r="CT1498" s="99">
        <v>97</v>
      </c>
      <c r="CU1498" s="99">
        <v>72</v>
      </c>
      <c r="CY1498" s="99">
        <v>6.5</v>
      </c>
      <c r="CZ1498" s="99">
        <v>6.8</v>
      </c>
      <c r="DS1498" s="99">
        <v>887</v>
      </c>
      <c r="DT1498" s="99">
        <v>857</v>
      </c>
      <c r="DW1498" s="99" t="s">
        <v>1048</v>
      </c>
      <c r="FL1498" s="99">
        <v>26</v>
      </c>
      <c r="FM1498" s="99">
        <v>26</v>
      </c>
      <c r="FP1498" s="99" t="s">
        <v>164</v>
      </c>
      <c r="HE1498" s="99">
        <v>1380</v>
      </c>
      <c r="HF1498" s="99">
        <v>1610</v>
      </c>
      <c r="HI1498" s="99" t="s">
        <v>432</v>
      </c>
      <c r="HJ1498" s="99">
        <v>17.100000000000001</v>
      </c>
      <c r="HK1498" s="99">
        <v>23.3</v>
      </c>
      <c r="IN1498" s="99">
        <f t="shared" ref="IN1498:IN1501" si="264">109*0.000012</f>
        <v>1.3080000000000001E-3</v>
      </c>
      <c r="IO1498" s="99">
        <v>1.7279999999999999E-3</v>
      </c>
      <c r="IR1498" s="99" t="s">
        <v>1038</v>
      </c>
      <c r="IY1498" s="28">
        <v>99999</v>
      </c>
      <c r="IZ1498" s="28">
        <v>99999</v>
      </c>
      <c r="JA1498" s="28"/>
      <c r="JB1498" s="33" t="s">
        <v>434</v>
      </c>
    </row>
    <row r="1499" spans="1:262" s="99" customFormat="1" x14ac:dyDescent="0.25">
      <c r="A1499" s="99">
        <v>68</v>
      </c>
      <c r="B1499" s="100" t="s">
        <v>4079</v>
      </c>
      <c r="C1499" s="99" t="s">
        <v>1019</v>
      </c>
      <c r="D1499" s="99" t="s">
        <v>1020</v>
      </c>
      <c r="E1499" s="99">
        <v>2011</v>
      </c>
      <c r="F1499" s="99">
        <v>1995</v>
      </c>
      <c r="G1499" s="99" t="s">
        <v>302</v>
      </c>
      <c r="H1499" s="99" t="s">
        <v>1022</v>
      </c>
      <c r="I1499" s="32" t="s">
        <v>2815</v>
      </c>
      <c r="J1499" s="99">
        <f t="shared" si="259"/>
        <v>43.3</v>
      </c>
      <c r="K1499" s="99">
        <f t="shared" si="260"/>
        <v>-89.35</v>
      </c>
      <c r="L1499" s="99">
        <v>317.10000000000002</v>
      </c>
      <c r="R1499" s="100" t="s">
        <v>1722</v>
      </c>
      <c r="S1499" s="47" t="s">
        <v>1975</v>
      </c>
      <c r="T1499" s="100" t="s">
        <v>864</v>
      </c>
      <c r="U1499" s="100" t="s">
        <v>1021</v>
      </c>
      <c r="V1499" s="100" t="s">
        <v>1414</v>
      </c>
      <c r="W1499" s="47" t="s">
        <v>1717</v>
      </c>
      <c r="X1499" s="47" t="s">
        <v>1394</v>
      </c>
      <c r="Y1499" s="47" t="s">
        <v>1379</v>
      </c>
      <c r="Z1499" s="426">
        <v>1.38</v>
      </c>
      <c r="AA1499" s="351"/>
      <c r="AB1499" s="351"/>
      <c r="AC1499" s="99" t="s">
        <v>450</v>
      </c>
      <c r="AG1499" s="33" t="s">
        <v>1342</v>
      </c>
      <c r="AH1499" s="99" t="s">
        <v>114</v>
      </c>
      <c r="AI1499" s="138" t="s">
        <v>577</v>
      </c>
      <c r="AJ1499" s="99" t="s">
        <v>1589</v>
      </c>
      <c r="AK1499" s="145" t="s">
        <v>1611</v>
      </c>
      <c r="AL1499" s="99" t="s">
        <v>685</v>
      </c>
      <c r="AM1499" s="99" t="s">
        <v>132</v>
      </c>
      <c r="AN1499" s="99" t="s">
        <v>502</v>
      </c>
      <c r="AO1499" s="99" t="s">
        <v>1046</v>
      </c>
      <c r="AP1499" s="99" t="s">
        <v>1029</v>
      </c>
      <c r="AQ1499" s="99" t="s">
        <v>2126</v>
      </c>
      <c r="AR1499" s="99" t="s">
        <v>2126</v>
      </c>
      <c r="AS1499" s="99" t="s">
        <v>502</v>
      </c>
      <c r="AT1499" s="99" t="s">
        <v>1045</v>
      </c>
      <c r="AU1499" s="99" t="s">
        <v>1033</v>
      </c>
      <c r="AV1499" s="99" t="s">
        <v>502</v>
      </c>
      <c r="AW1499" s="99" t="s">
        <v>160</v>
      </c>
      <c r="AX1499" s="99">
        <v>4</v>
      </c>
      <c r="AZ1499" s="99" t="s">
        <v>141</v>
      </c>
      <c r="BE1499" s="99" t="s">
        <v>1041</v>
      </c>
      <c r="BP1499" s="426">
        <v>1.38</v>
      </c>
      <c r="BQ1499" s="426">
        <v>1.37</v>
      </c>
      <c r="BU1499" s="426">
        <v>1.95</v>
      </c>
      <c r="BV1499" s="426">
        <v>2.2000000000000002</v>
      </c>
      <c r="BY1499" s="99" t="s">
        <v>618</v>
      </c>
      <c r="BZ1499" s="426"/>
      <c r="CA1499" s="426"/>
      <c r="CD1499" s="99" t="s">
        <v>3121</v>
      </c>
      <c r="CE1499" s="579">
        <v>1.95</v>
      </c>
      <c r="CF1499" s="579">
        <v>2.2000000000000002</v>
      </c>
      <c r="CG1499" s="579"/>
      <c r="CH1499" s="579"/>
      <c r="CI1499" s="33" t="s">
        <v>4544</v>
      </c>
      <c r="CJ1499" s="99">
        <v>1900</v>
      </c>
      <c r="CK1499" s="99">
        <v>2200</v>
      </c>
      <c r="CN1499" s="99" t="s">
        <v>234</v>
      </c>
      <c r="CO1499" s="99">
        <v>33</v>
      </c>
      <c r="CP1499" s="99">
        <v>50</v>
      </c>
      <c r="CT1499" s="99">
        <v>97</v>
      </c>
      <c r="CU1499" s="99">
        <v>83</v>
      </c>
      <c r="CY1499" s="99">
        <v>6.5</v>
      </c>
      <c r="CZ1499" s="99">
        <v>6.6</v>
      </c>
      <c r="DS1499" s="99">
        <v>887</v>
      </c>
      <c r="DT1499" s="99">
        <v>842</v>
      </c>
      <c r="DW1499" s="99" t="s">
        <v>1048</v>
      </c>
      <c r="FL1499" s="99">
        <v>26</v>
      </c>
      <c r="FM1499" s="99">
        <v>25</v>
      </c>
      <c r="FP1499" s="99" t="s">
        <v>164</v>
      </c>
      <c r="HE1499" s="99">
        <v>1380</v>
      </c>
      <c r="HF1499" s="99">
        <v>1540</v>
      </c>
      <c r="HI1499" s="99" t="s">
        <v>432</v>
      </c>
      <c r="HJ1499" s="99">
        <v>17.100000000000001</v>
      </c>
      <c r="HK1499" s="99">
        <v>25.9</v>
      </c>
      <c r="IN1499" s="99">
        <f t="shared" si="264"/>
        <v>1.3080000000000001E-3</v>
      </c>
      <c r="IO1499" s="99">
        <v>1.3680000000000001E-3</v>
      </c>
      <c r="IR1499" s="99" t="s">
        <v>1047</v>
      </c>
      <c r="IY1499" s="28">
        <v>99999</v>
      </c>
      <c r="IZ1499" s="28">
        <v>99999</v>
      </c>
      <c r="JA1499" s="28"/>
      <c r="JB1499" s="33" t="s">
        <v>434</v>
      </c>
    </row>
    <row r="1500" spans="1:262" s="99" customFormat="1" x14ac:dyDescent="0.25">
      <c r="A1500" s="99">
        <v>68</v>
      </c>
      <c r="B1500" s="100" t="s">
        <v>4079</v>
      </c>
      <c r="C1500" s="99" t="s">
        <v>1019</v>
      </c>
      <c r="D1500" s="99" t="s">
        <v>1020</v>
      </c>
      <c r="E1500" s="99">
        <v>2011</v>
      </c>
      <c r="F1500" s="99">
        <v>1995</v>
      </c>
      <c r="G1500" s="99" t="s">
        <v>302</v>
      </c>
      <c r="H1500" s="99" t="s">
        <v>1022</v>
      </c>
      <c r="I1500" s="32" t="s">
        <v>2815</v>
      </c>
      <c r="J1500" s="99">
        <f t="shared" si="259"/>
        <v>43.3</v>
      </c>
      <c r="K1500" s="99">
        <f t="shared" si="260"/>
        <v>-89.35</v>
      </c>
      <c r="L1500" s="99">
        <v>317.10000000000002</v>
      </c>
      <c r="R1500" s="100" t="s">
        <v>1722</v>
      </c>
      <c r="S1500" s="47" t="s">
        <v>1975</v>
      </c>
      <c r="T1500" s="100" t="s">
        <v>864</v>
      </c>
      <c r="U1500" s="100" t="s">
        <v>1021</v>
      </c>
      <c r="V1500" s="100" t="s">
        <v>1414</v>
      </c>
      <c r="W1500" s="47" t="s">
        <v>1717</v>
      </c>
      <c r="X1500" s="47" t="s">
        <v>1394</v>
      </c>
      <c r="Y1500" s="47" t="s">
        <v>1379</v>
      </c>
      <c r="Z1500" s="426">
        <v>1.38</v>
      </c>
      <c r="AA1500" s="351"/>
      <c r="AB1500" s="351"/>
      <c r="AC1500" s="99" t="s">
        <v>450</v>
      </c>
      <c r="AG1500" s="33" t="s">
        <v>1342</v>
      </c>
      <c r="AH1500" s="99" t="s">
        <v>114</v>
      </c>
      <c r="AI1500" s="138" t="s">
        <v>577</v>
      </c>
      <c r="AJ1500" s="99" t="s">
        <v>1589</v>
      </c>
      <c r="AK1500" s="145" t="s">
        <v>1611</v>
      </c>
      <c r="AL1500" s="99" t="s">
        <v>685</v>
      </c>
      <c r="AM1500" s="99" t="s">
        <v>132</v>
      </c>
      <c r="AN1500" s="99" t="s">
        <v>502</v>
      </c>
      <c r="AO1500" s="99" t="s">
        <v>1046</v>
      </c>
      <c r="AP1500" s="99" t="s">
        <v>1029</v>
      </c>
      <c r="AQ1500" s="99" t="s">
        <v>2126</v>
      </c>
      <c r="AR1500" s="99" t="s">
        <v>2126</v>
      </c>
      <c r="AS1500" s="99" t="s">
        <v>502</v>
      </c>
      <c r="AT1500" s="99" t="s">
        <v>1045</v>
      </c>
      <c r="AU1500" s="99" t="s">
        <v>1034</v>
      </c>
      <c r="AV1500" s="99" t="s">
        <v>502</v>
      </c>
      <c r="AW1500" s="99" t="s">
        <v>160</v>
      </c>
      <c r="AX1500" s="99">
        <v>4</v>
      </c>
      <c r="AZ1500" s="99" t="s">
        <v>141</v>
      </c>
      <c r="BE1500" s="99" t="s">
        <v>1042</v>
      </c>
      <c r="BP1500" s="426">
        <v>1.38</v>
      </c>
      <c r="BQ1500" s="426">
        <v>1.37</v>
      </c>
      <c r="BU1500" s="426">
        <v>1.95</v>
      </c>
      <c r="BV1500" s="426">
        <v>2.2999999999999998</v>
      </c>
      <c r="BY1500" s="99" t="s">
        <v>618</v>
      </c>
      <c r="BZ1500" s="426"/>
      <c r="CA1500" s="426"/>
      <c r="CD1500" s="99" t="s">
        <v>3121</v>
      </c>
      <c r="CE1500" s="579">
        <v>1.95</v>
      </c>
      <c r="CF1500" s="579">
        <v>2.2999999999999998</v>
      </c>
      <c r="CG1500" s="579"/>
      <c r="CH1500" s="579"/>
      <c r="CI1500" s="33" t="s">
        <v>4544</v>
      </c>
      <c r="CJ1500" s="99">
        <v>1900</v>
      </c>
      <c r="CK1500" s="99">
        <v>2300</v>
      </c>
      <c r="CN1500" s="99" t="s">
        <v>234</v>
      </c>
      <c r="CO1500" s="99">
        <v>33</v>
      </c>
      <c r="CP1500" s="99">
        <v>46.8</v>
      </c>
      <c r="CT1500" s="99">
        <v>97</v>
      </c>
      <c r="CU1500" s="99">
        <v>79</v>
      </c>
      <c r="CY1500" s="99">
        <v>6.5</v>
      </c>
      <c r="CZ1500" s="99">
        <v>6.8</v>
      </c>
      <c r="DS1500" s="99">
        <v>887</v>
      </c>
      <c r="DT1500" s="99">
        <v>851</v>
      </c>
      <c r="DW1500" s="99" t="s">
        <v>1048</v>
      </c>
      <c r="FL1500" s="99">
        <v>26</v>
      </c>
      <c r="FM1500" s="99">
        <v>26</v>
      </c>
      <c r="FP1500" s="99" t="s">
        <v>164</v>
      </c>
      <c r="HE1500" s="99">
        <v>1380</v>
      </c>
      <c r="HF1500" s="99">
        <v>1840</v>
      </c>
      <c r="HI1500" s="99" t="s">
        <v>432</v>
      </c>
      <c r="HJ1500" s="99">
        <v>17.100000000000001</v>
      </c>
      <c r="HK1500" s="99">
        <v>29.8</v>
      </c>
      <c r="IN1500" s="99">
        <f t="shared" si="264"/>
        <v>1.3080000000000001E-3</v>
      </c>
      <c r="IO1500" s="99">
        <v>1.6080000000000001E-3</v>
      </c>
      <c r="IR1500" s="99" t="s">
        <v>1047</v>
      </c>
      <c r="IY1500" s="28">
        <v>99999</v>
      </c>
      <c r="IZ1500" s="28">
        <v>99999</v>
      </c>
      <c r="JA1500" s="28"/>
      <c r="JB1500" s="33" t="s">
        <v>434</v>
      </c>
    </row>
    <row r="1501" spans="1:262" s="99" customFormat="1" x14ac:dyDescent="0.25">
      <c r="A1501" s="99">
        <v>68</v>
      </c>
      <c r="B1501" s="100" t="s">
        <v>4079</v>
      </c>
      <c r="C1501" s="99" t="s">
        <v>1019</v>
      </c>
      <c r="D1501" s="99" t="s">
        <v>1020</v>
      </c>
      <c r="E1501" s="99">
        <v>2011</v>
      </c>
      <c r="F1501" s="99">
        <v>1995</v>
      </c>
      <c r="G1501" s="99" t="s">
        <v>302</v>
      </c>
      <c r="H1501" s="99" t="s">
        <v>1022</v>
      </c>
      <c r="I1501" s="32" t="s">
        <v>2815</v>
      </c>
      <c r="J1501" s="99">
        <f t="shared" si="259"/>
        <v>43.3</v>
      </c>
      <c r="K1501" s="99">
        <f t="shared" si="260"/>
        <v>-89.35</v>
      </c>
      <c r="L1501" s="99">
        <v>317.10000000000002</v>
      </c>
      <c r="R1501" s="100" t="s">
        <v>1722</v>
      </c>
      <c r="S1501" s="47" t="s">
        <v>1975</v>
      </c>
      <c r="T1501" s="100" t="s">
        <v>864</v>
      </c>
      <c r="U1501" s="100" t="s">
        <v>1021</v>
      </c>
      <c r="V1501" s="100" t="s">
        <v>1414</v>
      </c>
      <c r="W1501" s="47" t="s">
        <v>1717</v>
      </c>
      <c r="X1501" s="47" t="s">
        <v>1394</v>
      </c>
      <c r="Y1501" s="47" t="s">
        <v>1379</v>
      </c>
      <c r="Z1501" s="426">
        <v>1.38</v>
      </c>
      <c r="AA1501" s="351"/>
      <c r="AB1501" s="351"/>
      <c r="AC1501" s="99" t="s">
        <v>450</v>
      </c>
      <c r="AG1501" s="33" t="s">
        <v>1342</v>
      </c>
      <c r="AH1501" s="99" t="s">
        <v>114</v>
      </c>
      <c r="AI1501" s="138" t="s">
        <v>577</v>
      </c>
      <c r="AJ1501" s="99" t="s">
        <v>1589</v>
      </c>
      <c r="AK1501" s="145" t="s">
        <v>1611</v>
      </c>
      <c r="AL1501" s="99" t="s">
        <v>685</v>
      </c>
      <c r="AM1501" s="99" t="s">
        <v>132</v>
      </c>
      <c r="AN1501" s="99" t="s">
        <v>502</v>
      </c>
      <c r="AO1501" s="99" t="s">
        <v>1046</v>
      </c>
      <c r="AP1501" s="99" t="s">
        <v>1029</v>
      </c>
      <c r="AQ1501" s="99" t="s">
        <v>2126</v>
      </c>
      <c r="AR1501" s="99" t="s">
        <v>2126</v>
      </c>
      <c r="AS1501" s="99" t="s">
        <v>502</v>
      </c>
      <c r="AT1501" s="99" t="s">
        <v>1045</v>
      </c>
      <c r="AU1501" s="99" t="s">
        <v>1035</v>
      </c>
      <c r="AV1501" s="99" t="s">
        <v>502</v>
      </c>
      <c r="AW1501" s="99" t="s">
        <v>160</v>
      </c>
      <c r="AX1501" s="99">
        <v>4</v>
      </c>
      <c r="AZ1501" s="99" t="s">
        <v>141</v>
      </c>
      <c r="BE1501" s="99" t="s">
        <v>1043</v>
      </c>
      <c r="BP1501" s="426">
        <v>1.38</v>
      </c>
      <c r="BQ1501" s="426">
        <v>1.41</v>
      </c>
      <c r="BU1501" s="426">
        <v>1.95</v>
      </c>
      <c r="BV1501" s="426">
        <v>2.4</v>
      </c>
      <c r="BY1501" s="99" t="s">
        <v>618</v>
      </c>
      <c r="BZ1501" s="426"/>
      <c r="CA1501" s="426"/>
      <c r="CD1501" s="99" t="s">
        <v>3121</v>
      </c>
      <c r="CE1501" s="579">
        <v>1.95</v>
      </c>
      <c r="CF1501" s="579">
        <v>2.4</v>
      </c>
      <c r="CG1501" s="579"/>
      <c r="CH1501" s="579"/>
      <c r="CI1501" s="33" t="s">
        <v>4544</v>
      </c>
      <c r="CJ1501" s="99">
        <v>1900</v>
      </c>
      <c r="CK1501" s="99">
        <v>2300</v>
      </c>
      <c r="CN1501" s="99" t="s">
        <v>234</v>
      </c>
      <c r="CO1501" s="99">
        <v>33</v>
      </c>
      <c r="CP1501" s="99">
        <v>50.5</v>
      </c>
      <c r="CT1501" s="99">
        <v>97</v>
      </c>
      <c r="CU1501" s="99">
        <v>75</v>
      </c>
      <c r="CY1501" s="99">
        <v>6.5</v>
      </c>
      <c r="CZ1501" s="99">
        <v>6.7</v>
      </c>
      <c r="DS1501" s="99">
        <v>887</v>
      </c>
      <c r="DT1501" s="99">
        <v>882</v>
      </c>
      <c r="DW1501" s="99" t="s">
        <v>1048</v>
      </c>
      <c r="FL1501" s="99">
        <v>26</v>
      </c>
      <c r="FM1501" s="99">
        <v>26</v>
      </c>
      <c r="FP1501" s="99" t="s">
        <v>164</v>
      </c>
      <c r="HE1501" s="99">
        <v>1380</v>
      </c>
      <c r="HF1501" s="99">
        <v>1820</v>
      </c>
      <c r="HI1501" s="99" t="s">
        <v>432</v>
      </c>
      <c r="HJ1501" s="99">
        <v>17.100000000000001</v>
      </c>
      <c r="HK1501" s="99">
        <v>30.9</v>
      </c>
      <c r="IN1501" s="99">
        <f t="shared" si="264"/>
        <v>1.3080000000000001E-3</v>
      </c>
      <c r="IO1501" s="99">
        <v>1.14E-3</v>
      </c>
      <c r="IR1501" s="99" t="s">
        <v>1047</v>
      </c>
      <c r="IY1501" s="28">
        <v>99999</v>
      </c>
      <c r="IZ1501" s="28">
        <v>99999</v>
      </c>
      <c r="JA1501" s="28"/>
      <c r="JB1501" s="33" t="s">
        <v>434</v>
      </c>
    </row>
    <row r="1502" spans="1:262" s="99" customFormat="1" x14ac:dyDescent="0.25">
      <c r="A1502" s="99">
        <v>68</v>
      </c>
      <c r="B1502" s="100" t="s">
        <v>4079</v>
      </c>
      <c r="C1502" s="99" t="s">
        <v>1019</v>
      </c>
      <c r="D1502" s="99" t="s">
        <v>1020</v>
      </c>
      <c r="E1502" s="99">
        <v>2011</v>
      </c>
      <c r="F1502" s="99">
        <v>1995</v>
      </c>
      <c r="G1502" s="99" t="s">
        <v>302</v>
      </c>
      <c r="H1502" s="99" t="s">
        <v>1022</v>
      </c>
      <c r="I1502" s="32" t="s">
        <v>2815</v>
      </c>
      <c r="J1502" s="99">
        <f t="shared" si="259"/>
        <v>43.3</v>
      </c>
      <c r="K1502" s="99">
        <f t="shared" si="260"/>
        <v>-89.35</v>
      </c>
      <c r="L1502" s="99">
        <v>317.10000000000002</v>
      </c>
      <c r="R1502" s="100" t="s">
        <v>1722</v>
      </c>
      <c r="S1502" s="47" t="s">
        <v>1975</v>
      </c>
      <c r="T1502" s="100" t="s">
        <v>864</v>
      </c>
      <c r="U1502" s="100" t="s">
        <v>1021</v>
      </c>
      <c r="V1502" s="100" t="s">
        <v>1414</v>
      </c>
      <c r="W1502" s="47" t="s">
        <v>1717</v>
      </c>
      <c r="X1502" s="47" t="s">
        <v>1394</v>
      </c>
      <c r="Y1502" s="47" t="s">
        <v>1379</v>
      </c>
      <c r="Z1502" s="426">
        <v>1.38</v>
      </c>
      <c r="AA1502" s="351"/>
      <c r="AB1502" s="351"/>
      <c r="AC1502" s="99" t="s">
        <v>450</v>
      </c>
      <c r="AG1502" s="33" t="s">
        <v>1342</v>
      </c>
      <c r="AH1502" s="99" t="s">
        <v>635</v>
      </c>
      <c r="AI1502" s="138" t="s">
        <v>635</v>
      </c>
      <c r="AJ1502" s="99" t="s">
        <v>1589</v>
      </c>
      <c r="AK1502" s="145" t="s">
        <v>1611</v>
      </c>
      <c r="AL1502" s="99" t="s">
        <v>685</v>
      </c>
      <c r="AM1502" s="99" t="s">
        <v>1607</v>
      </c>
      <c r="AN1502" s="99" t="s">
        <v>502</v>
      </c>
      <c r="AO1502" s="99" t="s">
        <v>1046</v>
      </c>
      <c r="AP1502" s="99" t="s">
        <v>1029</v>
      </c>
      <c r="AQ1502" s="99" t="s">
        <v>2126</v>
      </c>
      <c r="AR1502" s="99" t="s">
        <v>2126</v>
      </c>
      <c r="AS1502" s="99" t="s">
        <v>502</v>
      </c>
      <c r="AT1502" s="99" t="s">
        <v>1045</v>
      </c>
      <c r="AU1502" s="99" t="s">
        <v>1036</v>
      </c>
      <c r="AV1502" s="99" t="s">
        <v>502</v>
      </c>
      <c r="AW1502" s="99" t="s">
        <v>160</v>
      </c>
      <c r="AX1502" s="99">
        <v>4</v>
      </c>
      <c r="AZ1502" s="99" t="s">
        <v>141</v>
      </c>
      <c r="BE1502" s="99" t="s">
        <v>1044</v>
      </c>
      <c r="BP1502" s="426">
        <v>1.38</v>
      </c>
      <c r="BQ1502" s="426">
        <v>1.42</v>
      </c>
      <c r="BU1502" s="426">
        <v>1.95</v>
      </c>
      <c r="BV1502" s="426">
        <v>2.2400000000000002</v>
      </c>
      <c r="BY1502" s="99" t="s">
        <v>618</v>
      </c>
      <c r="BZ1502" s="426"/>
      <c r="CA1502" s="426"/>
      <c r="CD1502" s="99" t="s">
        <v>3121</v>
      </c>
      <c r="CE1502" s="579">
        <v>1.95</v>
      </c>
      <c r="CF1502" s="579">
        <v>2.2400000000000002</v>
      </c>
      <c r="CG1502" s="579"/>
      <c r="CH1502" s="579"/>
      <c r="CI1502" s="28" t="s">
        <v>4544</v>
      </c>
      <c r="CJ1502" s="99">
        <v>1900</v>
      </c>
      <c r="CK1502" s="99">
        <v>2100</v>
      </c>
      <c r="CN1502" s="99" t="s">
        <v>234</v>
      </c>
      <c r="CO1502" s="99">
        <v>33</v>
      </c>
      <c r="CP1502" s="99">
        <v>36</v>
      </c>
      <c r="CT1502" s="99">
        <v>97</v>
      </c>
      <c r="CU1502" s="99">
        <v>75</v>
      </c>
      <c r="CY1502" s="99">
        <v>6.5</v>
      </c>
      <c r="CZ1502" s="99">
        <v>6.5</v>
      </c>
      <c r="DS1502" s="99">
        <v>887</v>
      </c>
      <c r="DT1502" s="99">
        <v>873</v>
      </c>
      <c r="DW1502" s="99" t="s">
        <v>1048</v>
      </c>
      <c r="FL1502" s="99">
        <v>26</v>
      </c>
      <c r="FM1502" s="99">
        <v>23</v>
      </c>
      <c r="FP1502" s="99" t="s">
        <v>164</v>
      </c>
      <c r="HE1502" s="99">
        <v>1380</v>
      </c>
      <c r="HF1502" s="99">
        <v>1380</v>
      </c>
      <c r="HI1502" s="99" t="s">
        <v>432</v>
      </c>
      <c r="HJ1502" s="99">
        <v>17.100000000000001</v>
      </c>
      <c r="HK1502" s="99">
        <v>24.4</v>
      </c>
      <c r="IN1502" s="99">
        <f>109*0.000012</f>
        <v>1.3080000000000001E-3</v>
      </c>
      <c r="IO1502" s="99">
        <v>2.3159999999999999E-3</v>
      </c>
      <c r="IR1502" s="99" t="s">
        <v>1047</v>
      </c>
      <c r="IY1502" s="28">
        <v>99999</v>
      </c>
      <c r="IZ1502" s="28">
        <v>99999</v>
      </c>
      <c r="JA1502" s="28"/>
      <c r="JB1502" s="33" t="s">
        <v>434</v>
      </c>
    </row>
    <row r="1503" spans="1:262" s="21" customFormat="1" x14ac:dyDescent="0.25">
      <c r="A1503" s="21">
        <v>68</v>
      </c>
      <c r="B1503" s="43" t="s">
        <v>4078</v>
      </c>
      <c r="C1503" s="21" t="s">
        <v>1019</v>
      </c>
      <c r="D1503" s="21" t="s">
        <v>1020</v>
      </c>
      <c r="E1503" s="21">
        <v>2011</v>
      </c>
      <c r="F1503" s="21">
        <v>1995</v>
      </c>
      <c r="G1503" s="21" t="s">
        <v>418</v>
      </c>
      <c r="H1503" s="21" t="s">
        <v>1463</v>
      </c>
      <c r="I1503" s="32" t="s">
        <v>2815</v>
      </c>
      <c r="J1503" s="21">
        <v>43.3</v>
      </c>
      <c r="K1503" s="21">
        <v>-89.35</v>
      </c>
      <c r="L1503" s="21">
        <v>317.10000000000002</v>
      </c>
      <c r="R1503" s="43" t="s">
        <v>1722</v>
      </c>
      <c r="S1503" s="43" t="s">
        <v>1975</v>
      </c>
      <c r="T1503" s="43" t="s">
        <v>864</v>
      </c>
      <c r="U1503" s="43" t="s">
        <v>1021</v>
      </c>
      <c r="V1503" s="43" t="s">
        <v>1394</v>
      </c>
      <c r="W1503" s="43" t="s">
        <v>1722</v>
      </c>
      <c r="X1503" s="43" t="s">
        <v>1394</v>
      </c>
      <c r="Y1503" s="43" t="s">
        <v>1379</v>
      </c>
      <c r="Z1503" s="396">
        <v>1.32</v>
      </c>
      <c r="AA1503" s="322"/>
      <c r="AB1503" s="322"/>
      <c r="AC1503" s="21" t="s">
        <v>450</v>
      </c>
      <c r="AG1503" s="21" t="s">
        <v>1342</v>
      </c>
      <c r="AH1503" s="21" t="s">
        <v>114</v>
      </c>
      <c r="AI1503" s="138" t="s">
        <v>577</v>
      </c>
      <c r="AJ1503" s="21" t="s">
        <v>1592</v>
      </c>
      <c r="AK1503" s="141" t="s">
        <v>1611</v>
      </c>
      <c r="AO1503" s="21" t="s">
        <v>487</v>
      </c>
      <c r="AP1503" s="21" t="s">
        <v>487</v>
      </c>
      <c r="AQ1503" s="21" t="s">
        <v>2125</v>
      </c>
      <c r="AR1503" s="21" t="s">
        <v>2125</v>
      </c>
      <c r="AS1503" s="21" t="s">
        <v>177</v>
      </c>
      <c r="AW1503" s="21" t="s">
        <v>160</v>
      </c>
      <c r="AX1503" s="21">
        <v>4</v>
      </c>
      <c r="AZ1503" s="21" t="s">
        <v>141</v>
      </c>
      <c r="BP1503" s="396">
        <v>1.32</v>
      </c>
      <c r="BQ1503" s="396">
        <v>1.37</v>
      </c>
      <c r="BU1503" s="396">
        <v>2.5</v>
      </c>
      <c r="BV1503" s="396">
        <v>2.59</v>
      </c>
      <c r="BY1503" s="21" t="s">
        <v>618</v>
      </c>
      <c r="BZ1503" s="396"/>
      <c r="CA1503" s="396"/>
      <c r="CD1503" s="21" t="s">
        <v>3121</v>
      </c>
      <c r="CE1503" s="549">
        <v>2.5</v>
      </c>
      <c r="CF1503" s="549">
        <v>2.59</v>
      </c>
      <c r="CG1503" s="549"/>
      <c r="CH1503" s="549"/>
      <c r="CI1503" s="21" t="s">
        <v>4544</v>
      </c>
      <c r="CJ1503" s="21">
        <f>2.43*100</f>
        <v>243.00000000000003</v>
      </c>
      <c r="CK1503" s="21">
        <f>2.68*100</f>
        <v>268</v>
      </c>
      <c r="CN1503" s="21" t="s">
        <v>234</v>
      </c>
      <c r="CO1503" s="21">
        <v>61.5</v>
      </c>
      <c r="CP1503" s="21">
        <v>72.8</v>
      </c>
      <c r="CT1503" s="21">
        <v>135</v>
      </c>
      <c r="CU1503" s="21">
        <v>231</v>
      </c>
      <c r="CY1503" s="21">
        <v>6.9</v>
      </c>
      <c r="CZ1503" s="21">
        <v>6.6</v>
      </c>
      <c r="DS1503" s="21">
        <v>817</v>
      </c>
      <c r="DT1503" s="21">
        <v>801</v>
      </c>
      <c r="DW1503" s="21" t="s">
        <v>1464</v>
      </c>
      <c r="EC1503" s="21">
        <v>0.71</v>
      </c>
      <c r="ED1503" s="21">
        <v>1.53</v>
      </c>
      <c r="FL1503" s="21">
        <v>28</v>
      </c>
      <c r="FM1503" s="21">
        <v>23</v>
      </c>
      <c r="FP1503" s="21" t="s">
        <v>164</v>
      </c>
      <c r="HE1503" s="21">
        <v>1880</v>
      </c>
      <c r="HF1503" s="21">
        <v>1900</v>
      </c>
      <c r="HJ1503" s="21">
        <v>37.4</v>
      </c>
      <c r="HK1503" s="21">
        <v>36.799999999999997</v>
      </c>
      <c r="IN1503" s="21">
        <f>0.000012*250</f>
        <v>3.0000000000000001E-3</v>
      </c>
      <c r="IO1503" s="21">
        <f>0.000012*181</f>
        <v>2.1719999999999999E-3</v>
      </c>
      <c r="IR1503" s="21" t="s">
        <v>1047</v>
      </c>
      <c r="IY1503" s="21">
        <v>99999</v>
      </c>
      <c r="IZ1503" s="21">
        <v>99999</v>
      </c>
      <c r="JB1503" s="21" t="s">
        <v>434</v>
      </c>
    </row>
    <row r="1504" spans="1:262" s="21" customFormat="1" x14ac:dyDescent="0.25">
      <c r="A1504" s="21">
        <v>68</v>
      </c>
      <c r="B1504" s="43" t="s">
        <v>4078</v>
      </c>
      <c r="C1504" s="21" t="s">
        <v>1019</v>
      </c>
      <c r="D1504" s="21" t="s">
        <v>1020</v>
      </c>
      <c r="E1504" s="21">
        <v>2011</v>
      </c>
      <c r="F1504" s="21">
        <v>1995</v>
      </c>
      <c r="G1504" s="21" t="s">
        <v>418</v>
      </c>
      <c r="H1504" s="21" t="s">
        <v>1463</v>
      </c>
      <c r="I1504" s="32" t="s">
        <v>2815</v>
      </c>
      <c r="J1504" s="21">
        <v>43.3</v>
      </c>
      <c r="K1504" s="21">
        <v>-89.35</v>
      </c>
      <c r="L1504" s="21">
        <v>317.10000000000002</v>
      </c>
      <c r="R1504" s="43" t="s">
        <v>1722</v>
      </c>
      <c r="S1504" s="43" t="s">
        <v>1975</v>
      </c>
      <c r="T1504" s="43" t="s">
        <v>864</v>
      </c>
      <c r="U1504" s="43" t="s">
        <v>1738</v>
      </c>
      <c r="V1504" s="43" t="s">
        <v>1394</v>
      </c>
      <c r="W1504" s="43" t="s">
        <v>1722</v>
      </c>
      <c r="X1504" s="43" t="s">
        <v>1394</v>
      </c>
      <c r="Y1504" s="43" t="s">
        <v>1379</v>
      </c>
      <c r="Z1504" s="396">
        <v>1.1299999999999999</v>
      </c>
      <c r="AA1504" s="322"/>
      <c r="AB1504" s="322"/>
      <c r="AC1504" s="21" t="s">
        <v>450</v>
      </c>
      <c r="AG1504" s="21" t="s">
        <v>1342</v>
      </c>
      <c r="AH1504" s="21" t="s">
        <v>114</v>
      </c>
      <c r="AI1504" s="138" t="s">
        <v>577</v>
      </c>
      <c r="AJ1504" s="21" t="s">
        <v>1593</v>
      </c>
      <c r="AK1504" s="141" t="s">
        <v>1611</v>
      </c>
      <c r="AO1504" s="21" t="s">
        <v>487</v>
      </c>
      <c r="AP1504" s="21" t="s">
        <v>487</v>
      </c>
      <c r="AQ1504" s="21" t="s">
        <v>2125</v>
      </c>
      <c r="AR1504" s="21" t="s">
        <v>2125</v>
      </c>
      <c r="AS1504" s="21" t="s">
        <v>177</v>
      </c>
      <c r="AW1504" s="21" t="s">
        <v>160</v>
      </c>
      <c r="AX1504" s="21">
        <v>4</v>
      </c>
      <c r="AZ1504" s="21" t="s">
        <v>141</v>
      </c>
      <c r="BP1504" s="396">
        <v>1.1299999999999999</v>
      </c>
      <c r="BQ1504" s="396">
        <v>1.32</v>
      </c>
      <c r="BU1504" s="396">
        <v>2.39</v>
      </c>
      <c r="BV1504" s="396">
        <v>2.39</v>
      </c>
      <c r="BY1504" s="21" t="s">
        <v>618</v>
      </c>
      <c r="BZ1504" s="396"/>
      <c r="CA1504" s="396"/>
      <c r="CD1504" s="21" t="s">
        <v>3121</v>
      </c>
      <c r="CE1504" s="549">
        <v>2.39</v>
      </c>
      <c r="CF1504" s="549">
        <v>2.39</v>
      </c>
      <c r="CG1504" s="549"/>
      <c r="CH1504" s="549"/>
      <c r="CI1504" s="21" t="s">
        <v>4544</v>
      </c>
      <c r="CJ1504" s="21">
        <f>2.3*100</f>
        <v>229.99999999999997</v>
      </c>
      <c r="CK1504" s="21">
        <f>2.4*100</f>
        <v>240</v>
      </c>
      <c r="CN1504" s="21" t="s">
        <v>234</v>
      </c>
      <c r="CO1504" s="21">
        <v>58.6</v>
      </c>
      <c r="CP1504" s="21">
        <v>56.3</v>
      </c>
      <c r="CT1504" s="21">
        <v>145</v>
      </c>
      <c r="CU1504" s="21">
        <v>173</v>
      </c>
      <c r="CY1504" s="21">
        <v>6.8</v>
      </c>
      <c r="CZ1504" s="21">
        <v>6.7</v>
      </c>
      <c r="DS1504" s="21">
        <v>766</v>
      </c>
      <c r="DT1504" s="21">
        <v>829</v>
      </c>
      <c r="DW1504" s="21" t="s">
        <v>1464</v>
      </c>
      <c r="EC1504" s="21">
        <v>0.49</v>
      </c>
      <c r="ED1504" s="21">
        <v>1.32</v>
      </c>
      <c r="FL1504" s="21">
        <v>28</v>
      </c>
      <c r="FM1504" s="21">
        <v>26</v>
      </c>
      <c r="FP1504" s="21" t="s">
        <v>164</v>
      </c>
      <c r="HE1504" s="21">
        <v>1810</v>
      </c>
      <c r="HF1504" s="21">
        <v>1890</v>
      </c>
      <c r="HJ1504" s="21">
        <v>31.2</v>
      </c>
      <c r="HK1504" s="21">
        <v>37.9</v>
      </c>
      <c r="IN1504" s="21">
        <f>0.000012*170</f>
        <v>2.0400000000000001E-3</v>
      </c>
      <c r="IO1504" s="21">
        <f>0.000012*204</f>
        <v>2.4480000000000001E-3</v>
      </c>
      <c r="IR1504" s="21" t="s">
        <v>1741</v>
      </c>
      <c r="IY1504" s="21">
        <v>99999</v>
      </c>
      <c r="IZ1504" s="21">
        <v>99999</v>
      </c>
      <c r="JB1504" s="21" t="s">
        <v>434</v>
      </c>
    </row>
    <row r="1505" spans="1:263" s="21" customFormat="1" x14ac:dyDescent="0.25">
      <c r="A1505" s="21">
        <v>68</v>
      </c>
      <c r="B1505" s="43" t="s">
        <v>4079</v>
      </c>
      <c r="C1505" s="21" t="s">
        <v>1019</v>
      </c>
      <c r="D1505" s="21" t="s">
        <v>1020</v>
      </c>
      <c r="E1505" s="21">
        <v>2011</v>
      </c>
      <c r="F1505" s="21">
        <v>1995</v>
      </c>
      <c r="G1505" s="21" t="s">
        <v>418</v>
      </c>
      <c r="H1505" s="21" t="s">
        <v>1463</v>
      </c>
      <c r="I1505" s="32" t="s">
        <v>2815</v>
      </c>
      <c r="J1505" s="21">
        <v>43.3</v>
      </c>
      <c r="K1505" s="21">
        <v>-89.35</v>
      </c>
      <c r="L1505" s="21">
        <v>317.10000000000002</v>
      </c>
      <c r="R1505" s="43" t="s">
        <v>1722</v>
      </c>
      <c r="S1505" s="43" t="s">
        <v>1975</v>
      </c>
      <c r="T1505" s="43" t="s">
        <v>864</v>
      </c>
      <c r="U1505" s="43" t="s">
        <v>1739</v>
      </c>
      <c r="V1505" s="43" t="s">
        <v>1414</v>
      </c>
      <c r="W1505" s="43" t="s">
        <v>1717</v>
      </c>
      <c r="X1505" s="43" t="s">
        <v>1394</v>
      </c>
      <c r="Y1505" s="43" t="s">
        <v>1379</v>
      </c>
      <c r="Z1505" s="396">
        <v>1.48</v>
      </c>
      <c r="AA1505" s="322"/>
      <c r="AB1505" s="322"/>
      <c r="AC1505" s="21" t="s">
        <v>450</v>
      </c>
      <c r="AG1505" s="21" t="s">
        <v>1342</v>
      </c>
      <c r="AH1505" s="21" t="s">
        <v>114</v>
      </c>
      <c r="AI1505" s="138" t="s">
        <v>577</v>
      </c>
      <c r="AJ1505" s="21" t="s">
        <v>1592</v>
      </c>
      <c r="AK1505" s="141" t="s">
        <v>1611</v>
      </c>
      <c r="AO1505" s="21" t="s">
        <v>487</v>
      </c>
      <c r="AP1505" s="21" t="s">
        <v>487</v>
      </c>
      <c r="AQ1505" s="21" t="s">
        <v>2125</v>
      </c>
      <c r="AR1505" s="21" t="s">
        <v>2125</v>
      </c>
      <c r="AS1505" s="21" t="s">
        <v>177</v>
      </c>
      <c r="AW1505" s="21" t="s">
        <v>160</v>
      </c>
      <c r="AX1505" s="21">
        <v>4</v>
      </c>
      <c r="AZ1505" s="21" t="s">
        <v>141</v>
      </c>
      <c r="BP1505" s="396">
        <v>1.48</v>
      </c>
      <c r="BQ1505" s="396">
        <v>1.37</v>
      </c>
      <c r="BU1505" s="396">
        <v>2.11</v>
      </c>
      <c r="BV1505" s="396">
        <v>2.2000000000000002</v>
      </c>
      <c r="BY1505" s="21" t="s">
        <v>618</v>
      </c>
      <c r="BZ1505" s="396"/>
      <c r="CA1505" s="396"/>
      <c r="CD1505" s="21" t="s">
        <v>3121</v>
      </c>
      <c r="CE1505" s="549">
        <v>2.11</v>
      </c>
      <c r="CF1505" s="549">
        <v>2.2000000000000002</v>
      </c>
      <c r="CG1505" s="549"/>
      <c r="CH1505" s="549"/>
      <c r="CI1505" s="21" t="s">
        <v>4544</v>
      </c>
      <c r="CJ1505" s="21">
        <v>210</v>
      </c>
      <c r="CK1505" s="21">
        <v>220</v>
      </c>
      <c r="CN1505" s="21" t="s">
        <v>234</v>
      </c>
      <c r="CO1505" s="21">
        <v>40.799999999999997</v>
      </c>
      <c r="CP1505" s="21">
        <v>50</v>
      </c>
      <c r="CT1505" s="21">
        <v>72</v>
      </c>
      <c r="CU1505" s="21">
        <v>83</v>
      </c>
      <c r="CY1505" s="21">
        <v>6.8</v>
      </c>
      <c r="CZ1505" s="21">
        <v>6.6</v>
      </c>
      <c r="DS1505" s="21">
        <v>857</v>
      </c>
      <c r="DT1505" s="21">
        <v>842</v>
      </c>
      <c r="DW1505" s="21" t="s">
        <v>1464</v>
      </c>
      <c r="EC1505" s="21">
        <v>0.91</v>
      </c>
      <c r="ED1505" s="21">
        <v>1.49</v>
      </c>
      <c r="FL1505" s="21">
        <v>26</v>
      </c>
      <c r="FM1505" s="21">
        <v>25</v>
      </c>
      <c r="FP1505" s="21" t="s">
        <v>164</v>
      </c>
      <c r="HE1505" s="21">
        <v>1610</v>
      </c>
      <c r="HF1505" s="21">
        <v>1540</v>
      </c>
      <c r="HJ1505" s="21">
        <v>23.3</v>
      </c>
      <c r="HK1505" s="21">
        <v>25.9</v>
      </c>
      <c r="IN1505" s="21">
        <f>0.000012*144</f>
        <v>1.7279999999999999E-3</v>
      </c>
      <c r="IO1505" s="21">
        <f>0.000012*114</f>
        <v>1.3680000000000001E-3</v>
      </c>
      <c r="IR1505" s="21" t="s">
        <v>1742</v>
      </c>
      <c r="IY1505" s="21">
        <v>99999</v>
      </c>
      <c r="IZ1505" s="21">
        <v>99999</v>
      </c>
      <c r="JB1505" s="21" t="s">
        <v>434</v>
      </c>
    </row>
    <row r="1506" spans="1:263" s="21" customFormat="1" x14ac:dyDescent="0.25">
      <c r="A1506" s="21">
        <v>68</v>
      </c>
      <c r="B1506" s="43" t="s">
        <v>4079</v>
      </c>
      <c r="C1506" s="21" t="s">
        <v>1019</v>
      </c>
      <c r="D1506" s="21" t="s">
        <v>1020</v>
      </c>
      <c r="E1506" s="21">
        <v>2011</v>
      </c>
      <c r="F1506" s="21">
        <v>1995</v>
      </c>
      <c r="G1506" s="21" t="s">
        <v>418</v>
      </c>
      <c r="H1506" s="21" t="s">
        <v>1463</v>
      </c>
      <c r="I1506" s="32" t="s">
        <v>2815</v>
      </c>
      <c r="J1506" s="21">
        <v>43.3</v>
      </c>
      <c r="K1506" s="21">
        <v>-89.35</v>
      </c>
      <c r="L1506" s="21">
        <v>317.10000000000002</v>
      </c>
      <c r="R1506" s="43" t="s">
        <v>1722</v>
      </c>
      <c r="S1506" s="43" t="s">
        <v>1975</v>
      </c>
      <c r="T1506" s="43" t="s">
        <v>864</v>
      </c>
      <c r="U1506" s="43" t="s">
        <v>1740</v>
      </c>
      <c r="V1506" s="43" t="s">
        <v>1414</v>
      </c>
      <c r="W1506" s="43" t="s">
        <v>1717</v>
      </c>
      <c r="X1506" s="43" t="s">
        <v>1394</v>
      </c>
      <c r="Y1506" s="43" t="s">
        <v>1379</v>
      </c>
      <c r="Z1506" s="396">
        <v>1.37</v>
      </c>
      <c r="AA1506" s="322"/>
      <c r="AB1506" s="322"/>
      <c r="AC1506" s="21" t="s">
        <v>450</v>
      </c>
      <c r="AG1506" s="21" t="s">
        <v>1342</v>
      </c>
      <c r="AH1506" s="21" t="s">
        <v>114</v>
      </c>
      <c r="AI1506" s="138" t="s">
        <v>577</v>
      </c>
      <c r="AJ1506" s="21" t="s">
        <v>1593</v>
      </c>
      <c r="AK1506" s="141" t="s">
        <v>1611</v>
      </c>
      <c r="AO1506" s="21" t="s">
        <v>487</v>
      </c>
      <c r="AP1506" s="21" t="s">
        <v>487</v>
      </c>
      <c r="AQ1506" s="21" t="s">
        <v>2125</v>
      </c>
      <c r="AR1506" s="21" t="s">
        <v>2125</v>
      </c>
      <c r="AS1506" s="21" t="s">
        <v>177</v>
      </c>
      <c r="AW1506" s="21" t="s">
        <v>160</v>
      </c>
      <c r="AX1506" s="21">
        <v>4</v>
      </c>
      <c r="AZ1506" s="21" t="s">
        <v>141</v>
      </c>
      <c r="BP1506" s="396">
        <v>1.37</v>
      </c>
      <c r="BQ1506" s="396">
        <v>1.41</v>
      </c>
      <c r="BU1506" s="396">
        <v>2.2999999999999998</v>
      </c>
      <c r="BV1506" s="396">
        <v>2.4</v>
      </c>
      <c r="BY1506" s="21" t="s">
        <v>618</v>
      </c>
      <c r="BZ1506" s="396"/>
      <c r="CA1506" s="396"/>
      <c r="CD1506" s="21" t="s">
        <v>3121</v>
      </c>
      <c r="CE1506" s="549">
        <v>2.2999999999999998</v>
      </c>
      <c r="CF1506" s="549">
        <v>2.4</v>
      </c>
      <c r="CG1506" s="549"/>
      <c r="CH1506" s="549"/>
      <c r="CI1506" s="21" t="s">
        <v>4544</v>
      </c>
      <c r="CJ1506" s="21">
        <v>230</v>
      </c>
      <c r="CK1506" s="21">
        <v>230</v>
      </c>
      <c r="CN1506" s="21" t="s">
        <v>234</v>
      </c>
      <c r="CO1506" s="21">
        <v>46.8</v>
      </c>
      <c r="CP1506" s="21">
        <v>50.5</v>
      </c>
      <c r="CT1506" s="21">
        <v>79</v>
      </c>
      <c r="CU1506" s="21">
        <v>75</v>
      </c>
      <c r="CY1506" s="21">
        <v>6.8</v>
      </c>
      <c r="CZ1506" s="21">
        <v>6.7</v>
      </c>
      <c r="DS1506" s="21">
        <v>851</v>
      </c>
      <c r="DT1506" s="21">
        <v>882</v>
      </c>
      <c r="DW1506" s="21" t="s">
        <v>1464</v>
      </c>
      <c r="EC1506" s="21">
        <v>1.02</v>
      </c>
      <c r="ED1506" s="21">
        <v>1.75</v>
      </c>
      <c r="FL1506" s="21">
        <v>26</v>
      </c>
      <c r="FM1506" s="21">
        <v>26</v>
      </c>
      <c r="FP1506" s="21" t="s">
        <v>164</v>
      </c>
      <c r="HE1506" s="21">
        <v>1840</v>
      </c>
      <c r="HF1506" s="21">
        <v>1820</v>
      </c>
      <c r="HJ1506" s="21">
        <v>29.8</v>
      </c>
      <c r="HK1506" s="21">
        <v>30.9</v>
      </c>
      <c r="IN1506" s="21">
        <f>0.000012*134</f>
        <v>1.6080000000000001E-3</v>
      </c>
      <c r="IO1506" s="21">
        <f>0.000012*95</f>
        <v>1.14E-3</v>
      </c>
      <c r="IR1506" s="21" t="s">
        <v>1743</v>
      </c>
      <c r="IY1506" s="21">
        <v>99999</v>
      </c>
      <c r="IZ1506" s="21">
        <v>99999</v>
      </c>
      <c r="JB1506" s="21" t="s">
        <v>434</v>
      </c>
    </row>
    <row r="1507" spans="1:263" s="24" customFormat="1" x14ac:dyDescent="0.25">
      <c r="A1507" s="24">
        <v>69</v>
      </c>
      <c r="B1507" s="42" t="s">
        <v>4080</v>
      </c>
      <c r="C1507" s="24" t="s">
        <v>1049</v>
      </c>
      <c r="D1507" s="24" t="s">
        <v>1050</v>
      </c>
      <c r="E1507" s="24">
        <v>2000</v>
      </c>
      <c r="F1507" s="24">
        <v>1995</v>
      </c>
      <c r="G1507" s="24" t="s">
        <v>329</v>
      </c>
      <c r="H1507" s="24" t="s">
        <v>1051</v>
      </c>
      <c r="I1507" s="32" t="s">
        <v>2815</v>
      </c>
      <c r="J1507" s="24">
        <v>41.15</v>
      </c>
      <c r="K1507" s="24">
        <v>-96.5</v>
      </c>
      <c r="L1507" s="24">
        <v>346.8</v>
      </c>
      <c r="R1507" s="42" t="s">
        <v>1847</v>
      </c>
      <c r="S1507" s="42" t="s">
        <v>1728</v>
      </c>
      <c r="T1507" s="42"/>
      <c r="U1507" s="42" t="s">
        <v>1999</v>
      </c>
      <c r="V1507" s="42" t="s">
        <v>1382</v>
      </c>
      <c r="W1507" s="42" t="s">
        <v>1717</v>
      </c>
      <c r="X1507" s="42" t="s">
        <v>1382</v>
      </c>
      <c r="Y1507" s="42" t="s">
        <v>1382</v>
      </c>
      <c r="Z1507" s="24">
        <v>1.28</v>
      </c>
      <c r="AA1507" s="321"/>
      <c r="AB1507" s="321"/>
      <c r="AC1507" s="24" t="s">
        <v>1052</v>
      </c>
      <c r="AD1507" s="24">
        <v>6.3</v>
      </c>
      <c r="AE1507" s="24">
        <v>2.6</v>
      </c>
      <c r="AG1507" s="24" t="s">
        <v>1352</v>
      </c>
      <c r="AH1507" s="24" t="s">
        <v>1053</v>
      </c>
      <c r="AI1507" s="138" t="s">
        <v>131</v>
      </c>
      <c r="AJ1507" s="24" t="s">
        <v>158</v>
      </c>
      <c r="AK1507" s="140" t="s">
        <v>158</v>
      </c>
      <c r="AW1507" s="24" t="s">
        <v>160</v>
      </c>
      <c r="AX1507" s="24">
        <v>3</v>
      </c>
      <c r="AZ1507" s="24" t="s">
        <v>141</v>
      </c>
      <c r="BB1507" s="24">
        <v>3170</v>
      </c>
      <c r="BD1507" s="24" t="s">
        <v>1056</v>
      </c>
      <c r="BE1507" s="24" t="s">
        <v>1054</v>
      </c>
      <c r="BK1507" s="24">
        <v>2150</v>
      </c>
      <c r="BL1507" s="24">
        <v>2160</v>
      </c>
      <c r="BP1507" s="395"/>
      <c r="BQ1507" s="395"/>
      <c r="BU1507" s="395"/>
      <c r="BV1507" s="395"/>
      <c r="BZ1507" s="395"/>
      <c r="CA1507" s="395"/>
      <c r="CE1507" s="548"/>
      <c r="CF1507" s="548"/>
      <c r="CG1507" s="548"/>
      <c r="CH1507" s="548"/>
      <c r="FG1507" s="24">
        <v>29.66</v>
      </c>
      <c r="FH1507" s="24">
        <v>27</v>
      </c>
      <c r="FL1507" s="24">
        <f>27.05/1.28</f>
        <v>21.1328125</v>
      </c>
      <c r="FM1507" s="24">
        <f>25.62/1.28</f>
        <v>20.015625</v>
      </c>
      <c r="FP1507" s="24" t="s">
        <v>1075</v>
      </c>
      <c r="JB1507" s="24" t="s">
        <v>1059</v>
      </c>
    </row>
    <row r="1508" spans="1:263" s="24" customFormat="1" x14ac:dyDescent="0.25">
      <c r="A1508" s="24">
        <v>69</v>
      </c>
      <c r="B1508" s="42" t="s">
        <v>4080</v>
      </c>
      <c r="C1508" s="24" t="s">
        <v>1049</v>
      </c>
      <c r="D1508" s="24" t="s">
        <v>1050</v>
      </c>
      <c r="E1508" s="24">
        <v>2000</v>
      </c>
      <c r="F1508" s="24">
        <v>1995</v>
      </c>
      <c r="G1508" s="24" t="s">
        <v>329</v>
      </c>
      <c r="H1508" s="24" t="s">
        <v>1051</v>
      </c>
      <c r="I1508" s="32" t="s">
        <v>2815</v>
      </c>
      <c r="J1508" s="24">
        <v>41.15</v>
      </c>
      <c r="K1508" s="24">
        <v>-96.5</v>
      </c>
      <c r="L1508" s="24">
        <v>346.8</v>
      </c>
      <c r="R1508" s="42" t="s">
        <v>1847</v>
      </c>
      <c r="S1508" s="42" t="s">
        <v>1728</v>
      </c>
      <c r="T1508" s="42"/>
      <c r="U1508" s="42" t="s">
        <v>1999</v>
      </c>
      <c r="V1508" s="42" t="s">
        <v>1382</v>
      </c>
      <c r="W1508" s="42" t="s">
        <v>1717</v>
      </c>
      <c r="X1508" s="42" t="s">
        <v>1382</v>
      </c>
      <c r="Y1508" s="42" t="s">
        <v>1382</v>
      </c>
      <c r="Z1508" s="24">
        <v>1.28</v>
      </c>
      <c r="AA1508" s="321"/>
      <c r="AB1508" s="321"/>
      <c r="AC1508" s="24" t="s">
        <v>1052</v>
      </c>
      <c r="AD1508" s="24">
        <v>6.3</v>
      </c>
      <c r="AE1508" s="24">
        <v>2.6</v>
      </c>
      <c r="AG1508" s="24" t="s">
        <v>1352</v>
      </c>
      <c r="AH1508" s="24" t="s">
        <v>131</v>
      </c>
      <c r="AI1508" s="138" t="s">
        <v>131</v>
      </c>
      <c r="AJ1508" s="24" t="s">
        <v>158</v>
      </c>
      <c r="AK1508" s="140" t="s">
        <v>158</v>
      </c>
      <c r="AW1508" s="24" t="s">
        <v>160</v>
      </c>
      <c r="AX1508" s="24">
        <v>3</v>
      </c>
      <c r="AZ1508" s="24" t="s">
        <v>141</v>
      </c>
      <c r="BB1508" s="24">
        <v>6310</v>
      </c>
      <c r="BD1508" s="24" t="s">
        <v>1056</v>
      </c>
      <c r="BE1508" s="24" t="s">
        <v>1054</v>
      </c>
      <c r="BK1508" s="24">
        <v>2150</v>
      </c>
      <c r="BL1508" s="24">
        <v>1910</v>
      </c>
      <c r="BP1508" s="395"/>
      <c r="BQ1508" s="395"/>
      <c r="BU1508" s="395"/>
      <c r="BV1508" s="395"/>
      <c r="BZ1508" s="395"/>
      <c r="CA1508" s="395"/>
      <c r="CE1508" s="548"/>
      <c r="CF1508" s="548"/>
      <c r="CG1508" s="548"/>
      <c r="CH1508" s="548"/>
      <c r="FL1508" s="24">
        <f t="shared" ref="FL1508:FL1510" si="265">27.05/1.28</f>
        <v>21.1328125</v>
      </c>
      <c r="FM1508" s="24">
        <f>30.54/1.28</f>
        <v>23.859375</v>
      </c>
      <c r="FP1508" s="24" t="s">
        <v>1075</v>
      </c>
      <c r="JB1508" s="24" t="s">
        <v>1059</v>
      </c>
    </row>
    <row r="1509" spans="1:263" s="24" customFormat="1" x14ac:dyDescent="0.25">
      <c r="A1509" s="24">
        <v>69</v>
      </c>
      <c r="B1509" s="42" t="s">
        <v>4081</v>
      </c>
      <c r="C1509" s="24" t="s">
        <v>1049</v>
      </c>
      <c r="D1509" s="24" t="s">
        <v>1050</v>
      </c>
      <c r="E1509" s="24">
        <v>2000</v>
      </c>
      <c r="F1509" s="24">
        <v>1995</v>
      </c>
      <c r="G1509" s="24" t="s">
        <v>329</v>
      </c>
      <c r="H1509" s="24" t="s">
        <v>1051</v>
      </c>
      <c r="I1509" s="32" t="s">
        <v>2815</v>
      </c>
      <c r="J1509" s="24">
        <v>41.15</v>
      </c>
      <c r="K1509" s="24">
        <v>-96.5</v>
      </c>
      <c r="L1509" s="24">
        <v>346.8</v>
      </c>
      <c r="R1509" s="42" t="s">
        <v>1847</v>
      </c>
      <c r="S1509" s="42" t="s">
        <v>1728</v>
      </c>
      <c r="T1509" s="42"/>
      <c r="U1509" s="42" t="s">
        <v>1999</v>
      </c>
      <c r="V1509" s="42" t="s">
        <v>1382</v>
      </c>
      <c r="W1509" s="42" t="s">
        <v>1717</v>
      </c>
      <c r="X1509" s="42" t="s">
        <v>1382</v>
      </c>
      <c r="Y1509" s="42" t="s">
        <v>1382</v>
      </c>
      <c r="Z1509" s="24">
        <v>1.28</v>
      </c>
      <c r="AA1509" s="321"/>
      <c r="AB1509" s="321"/>
      <c r="AC1509" s="24" t="s">
        <v>1052</v>
      </c>
      <c r="AD1509" s="24">
        <v>6.3</v>
      </c>
      <c r="AE1509" s="24">
        <v>2.6</v>
      </c>
      <c r="AG1509" s="24" t="s">
        <v>1352</v>
      </c>
      <c r="AH1509" s="24" t="s">
        <v>791</v>
      </c>
      <c r="AI1509" s="138" t="s">
        <v>1581</v>
      </c>
      <c r="AJ1509" s="24" t="s">
        <v>158</v>
      </c>
      <c r="AK1509" s="140" t="s">
        <v>158</v>
      </c>
      <c r="AW1509" s="24" t="s">
        <v>160</v>
      </c>
      <c r="AX1509" s="24">
        <v>3</v>
      </c>
      <c r="AZ1509" s="24" t="s">
        <v>141</v>
      </c>
      <c r="BB1509" s="24">
        <v>7160</v>
      </c>
      <c r="BD1509" s="24" t="s">
        <v>1056</v>
      </c>
      <c r="BE1509" s="24" t="s">
        <v>1054</v>
      </c>
      <c r="BK1509" s="24">
        <v>2150</v>
      </c>
      <c r="BL1509" s="24">
        <v>2200</v>
      </c>
      <c r="BP1509" s="395"/>
      <c r="BQ1509" s="395"/>
      <c r="BU1509" s="395"/>
      <c r="BV1509" s="395"/>
      <c r="BZ1509" s="395"/>
      <c r="CA1509" s="395"/>
      <c r="CE1509" s="548"/>
      <c r="CF1509" s="548"/>
      <c r="CG1509" s="548"/>
      <c r="CH1509" s="548"/>
      <c r="FL1509" s="24">
        <f t="shared" si="265"/>
        <v>21.1328125</v>
      </c>
      <c r="FM1509" s="24">
        <f>28.9/1.28</f>
        <v>22.578125</v>
      </c>
      <c r="FP1509" s="24" t="s">
        <v>1075</v>
      </c>
      <c r="JB1509" s="24" t="s">
        <v>1059</v>
      </c>
    </row>
    <row r="1510" spans="1:263" s="24" customFormat="1" x14ac:dyDescent="0.25">
      <c r="A1510" s="24">
        <v>69</v>
      </c>
      <c r="B1510" s="42" t="s">
        <v>4081</v>
      </c>
      <c r="C1510" s="24" t="s">
        <v>1049</v>
      </c>
      <c r="D1510" s="24" t="s">
        <v>1050</v>
      </c>
      <c r="E1510" s="24">
        <v>2000</v>
      </c>
      <c r="F1510" s="24">
        <v>1995</v>
      </c>
      <c r="G1510" s="24" t="s">
        <v>329</v>
      </c>
      <c r="H1510" s="24" t="s">
        <v>1051</v>
      </c>
      <c r="I1510" s="32" t="s">
        <v>2815</v>
      </c>
      <c r="J1510" s="24">
        <v>41.15</v>
      </c>
      <c r="K1510" s="24">
        <v>-96.5</v>
      </c>
      <c r="L1510" s="24">
        <v>346.8</v>
      </c>
      <c r="R1510" s="42" t="s">
        <v>1847</v>
      </c>
      <c r="S1510" s="42" t="s">
        <v>1728</v>
      </c>
      <c r="T1510" s="42"/>
      <c r="U1510" s="42" t="s">
        <v>1999</v>
      </c>
      <c r="V1510" s="42" t="s">
        <v>1382</v>
      </c>
      <c r="W1510" s="42" t="s">
        <v>1717</v>
      </c>
      <c r="X1510" s="42" t="s">
        <v>1382</v>
      </c>
      <c r="Y1510" s="42" t="s">
        <v>1382</v>
      </c>
      <c r="Z1510" s="24">
        <v>1.28</v>
      </c>
      <c r="AA1510" s="321"/>
      <c r="AB1510" s="321"/>
      <c r="AC1510" s="24" t="s">
        <v>1052</v>
      </c>
      <c r="AD1510" s="24">
        <v>6.3</v>
      </c>
      <c r="AE1510" s="24">
        <v>2.6</v>
      </c>
      <c r="AG1510" s="24" t="s">
        <v>1352</v>
      </c>
      <c r="AH1510" s="24" t="s">
        <v>116</v>
      </c>
      <c r="AI1510" s="138" t="s">
        <v>1581</v>
      </c>
      <c r="AJ1510" s="24" t="s">
        <v>158</v>
      </c>
      <c r="AK1510" s="140" t="s">
        <v>158</v>
      </c>
      <c r="AW1510" s="24" t="s">
        <v>160</v>
      </c>
      <c r="AX1510" s="24">
        <v>3</v>
      </c>
      <c r="AZ1510" s="24" t="s">
        <v>141</v>
      </c>
      <c r="BB1510" s="24">
        <v>6710</v>
      </c>
      <c r="BD1510" s="24" t="s">
        <v>1056</v>
      </c>
      <c r="BE1510" s="24" t="s">
        <v>1054</v>
      </c>
      <c r="BK1510" s="24">
        <v>2150</v>
      </c>
      <c r="BL1510" s="24">
        <v>2330</v>
      </c>
      <c r="BP1510" s="395"/>
      <c r="BQ1510" s="395"/>
      <c r="BU1510" s="395"/>
      <c r="BV1510" s="395"/>
      <c r="BZ1510" s="395"/>
      <c r="CA1510" s="395"/>
      <c r="CE1510" s="548"/>
      <c r="CF1510" s="548"/>
      <c r="CG1510" s="548"/>
      <c r="CH1510" s="548"/>
      <c r="FL1510" s="24">
        <f t="shared" si="265"/>
        <v>21.1328125</v>
      </c>
      <c r="FM1510" s="24">
        <f>28.9/1.28</f>
        <v>22.578125</v>
      </c>
      <c r="FP1510" s="24" t="s">
        <v>1075</v>
      </c>
      <c r="JB1510" s="24" t="s">
        <v>1059</v>
      </c>
    </row>
    <row r="1511" spans="1:263" s="24" customFormat="1" x14ac:dyDescent="0.25">
      <c r="A1511" s="24">
        <v>69</v>
      </c>
      <c r="B1511" s="42" t="s">
        <v>4080</v>
      </c>
      <c r="C1511" s="24" t="s">
        <v>1049</v>
      </c>
      <c r="D1511" s="24" t="s">
        <v>1050</v>
      </c>
      <c r="E1511" s="24">
        <v>2000</v>
      </c>
      <c r="F1511" s="24">
        <v>1995</v>
      </c>
      <c r="G1511" s="24" t="s">
        <v>329</v>
      </c>
      <c r="H1511" s="24" t="s">
        <v>1051</v>
      </c>
      <c r="I1511" s="32" t="s">
        <v>2815</v>
      </c>
      <c r="J1511" s="24">
        <v>41.15</v>
      </c>
      <c r="K1511" s="24">
        <v>-96.5</v>
      </c>
      <c r="L1511" s="24">
        <v>346.8</v>
      </c>
      <c r="R1511" s="42" t="s">
        <v>1847</v>
      </c>
      <c r="S1511" s="42" t="s">
        <v>1728</v>
      </c>
      <c r="T1511" s="42"/>
      <c r="U1511" s="42" t="s">
        <v>1999</v>
      </c>
      <c r="V1511" s="42" t="s">
        <v>1382</v>
      </c>
      <c r="W1511" s="42" t="s">
        <v>1717</v>
      </c>
      <c r="X1511" s="42" t="s">
        <v>1382</v>
      </c>
      <c r="Y1511" s="42" t="s">
        <v>1382</v>
      </c>
      <c r="Z1511" s="24">
        <v>1.28</v>
      </c>
      <c r="AA1511" s="321"/>
      <c r="AB1511" s="321"/>
      <c r="AC1511" s="24" t="s">
        <v>1052</v>
      </c>
      <c r="AD1511" s="24">
        <v>6.3</v>
      </c>
      <c r="AE1511" s="24">
        <v>2.6</v>
      </c>
      <c r="AG1511" s="24" t="s">
        <v>1352</v>
      </c>
      <c r="AH1511" s="24" t="s">
        <v>1053</v>
      </c>
      <c r="AI1511" s="138" t="s">
        <v>131</v>
      </c>
      <c r="AJ1511" s="24" t="s">
        <v>158</v>
      </c>
      <c r="AK1511" s="140" t="s">
        <v>158</v>
      </c>
      <c r="AW1511" s="24" t="s">
        <v>160</v>
      </c>
      <c r="AX1511" s="24">
        <v>3</v>
      </c>
      <c r="AZ1511" s="24" t="s">
        <v>141</v>
      </c>
      <c r="BB1511" s="24">
        <v>3170</v>
      </c>
      <c r="BD1511" s="24" t="s">
        <v>1056</v>
      </c>
      <c r="BE1511" s="24" t="s">
        <v>1055</v>
      </c>
      <c r="BK1511" s="24">
        <v>1980</v>
      </c>
      <c r="BL1511" s="24">
        <v>1100</v>
      </c>
      <c r="BP1511" s="395"/>
      <c r="BQ1511" s="395"/>
      <c r="BU1511" s="395"/>
      <c r="BV1511" s="395"/>
      <c r="BZ1511" s="395"/>
      <c r="CA1511" s="395"/>
      <c r="CE1511" s="548"/>
      <c r="CF1511" s="548"/>
      <c r="CG1511" s="548"/>
      <c r="CH1511" s="548"/>
      <c r="FL1511" s="24">
        <f>18.19/1.28</f>
        <v>14.2109375</v>
      </c>
      <c r="FM1511" s="24">
        <f>20.79/1.28</f>
        <v>16.2421875</v>
      </c>
      <c r="FP1511" s="24" t="s">
        <v>1075</v>
      </c>
      <c r="JB1511" s="24" t="s">
        <v>1059</v>
      </c>
    </row>
    <row r="1512" spans="1:263" s="24" customFormat="1" x14ac:dyDescent="0.25">
      <c r="A1512" s="24">
        <v>69</v>
      </c>
      <c r="B1512" s="42" t="s">
        <v>4080</v>
      </c>
      <c r="C1512" s="24" t="s">
        <v>1049</v>
      </c>
      <c r="D1512" s="24" t="s">
        <v>1050</v>
      </c>
      <c r="E1512" s="24">
        <v>2000</v>
      </c>
      <c r="F1512" s="24">
        <v>1995</v>
      </c>
      <c r="G1512" s="24" t="s">
        <v>329</v>
      </c>
      <c r="H1512" s="24" t="s">
        <v>1051</v>
      </c>
      <c r="I1512" s="32" t="s">
        <v>2815</v>
      </c>
      <c r="J1512" s="24">
        <v>41.15</v>
      </c>
      <c r="K1512" s="24">
        <v>-96.5</v>
      </c>
      <c r="L1512" s="24">
        <v>346.8</v>
      </c>
      <c r="R1512" s="42" t="s">
        <v>1847</v>
      </c>
      <c r="S1512" s="42" t="s">
        <v>1728</v>
      </c>
      <c r="T1512" s="42"/>
      <c r="U1512" s="42" t="s">
        <v>1999</v>
      </c>
      <c r="V1512" s="42" t="s">
        <v>1382</v>
      </c>
      <c r="W1512" s="42" t="s">
        <v>1717</v>
      </c>
      <c r="X1512" s="42" t="s">
        <v>1382</v>
      </c>
      <c r="Y1512" s="42" t="s">
        <v>1382</v>
      </c>
      <c r="Z1512" s="24">
        <v>1.28</v>
      </c>
      <c r="AA1512" s="321"/>
      <c r="AB1512" s="321"/>
      <c r="AC1512" s="24" t="s">
        <v>1052</v>
      </c>
      <c r="AD1512" s="24">
        <v>6.3</v>
      </c>
      <c r="AE1512" s="24">
        <v>2.6</v>
      </c>
      <c r="AG1512" s="24" t="s">
        <v>1352</v>
      </c>
      <c r="AH1512" s="24" t="s">
        <v>131</v>
      </c>
      <c r="AI1512" s="138" t="s">
        <v>131</v>
      </c>
      <c r="AJ1512" s="24" t="s">
        <v>158</v>
      </c>
      <c r="AK1512" s="140" t="s">
        <v>158</v>
      </c>
      <c r="AW1512" s="24" t="s">
        <v>160</v>
      </c>
      <c r="AX1512" s="24">
        <v>3</v>
      </c>
      <c r="AZ1512" s="24" t="s">
        <v>141</v>
      </c>
      <c r="BB1512" s="24">
        <v>6310</v>
      </c>
      <c r="BD1512" s="24" t="s">
        <v>1056</v>
      </c>
      <c r="BE1512" s="24" t="s">
        <v>1055</v>
      </c>
      <c r="BK1512" s="24">
        <v>1980</v>
      </c>
      <c r="BL1512" s="24">
        <v>1170</v>
      </c>
      <c r="BP1512" s="395"/>
      <c r="BQ1512" s="395"/>
      <c r="BU1512" s="395"/>
      <c r="BV1512" s="395"/>
      <c r="BZ1512" s="395"/>
      <c r="CA1512" s="395"/>
      <c r="CE1512" s="548"/>
      <c r="CF1512" s="548"/>
      <c r="CG1512" s="548"/>
      <c r="CH1512" s="548"/>
      <c r="FL1512" s="24">
        <f t="shared" ref="FL1512:FL1514" si="266">18.19/1.28</f>
        <v>14.2109375</v>
      </c>
      <c r="FM1512" s="24">
        <f>22.62/1.28</f>
        <v>17.671875</v>
      </c>
      <c r="FP1512" s="24" t="s">
        <v>1075</v>
      </c>
      <c r="JB1512" s="24" t="s">
        <v>1059</v>
      </c>
    </row>
    <row r="1513" spans="1:263" s="24" customFormat="1" x14ac:dyDescent="0.25">
      <c r="A1513" s="24">
        <v>69</v>
      </c>
      <c r="B1513" s="42" t="s">
        <v>4081</v>
      </c>
      <c r="C1513" s="24" t="s">
        <v>1049</v>
      </c>
      <c r="D1513" s="24" t="s">
        <v>1050</v>
      </c>
      <c r="E1513" s="24">
        <v>2000</v>
      </c>
      <c r="F1513" s="24">
        <v>1995</v>
      </c>
      <c r="G1513" s="24" t="s">
        <v>329</v>
      </c>
      <c r="H1513" s="24" t="s">
        <v>1051</v>
      </c>
      <c r="I1513" s="32" t="s">
        <v>2815</v>
      </c>
      <c r="J1513" s="24">
        <v>41.15</v>
      </c>
      <c r="K1513" s="24">
        <v>-96.5</v>
      </c>
      <c r="L1513" s="24">
        <v>346.8</v>
      </c>
      <c r="R1513" s="42" t="s">
        <v>1847</v>
      </c>
      <c r="S1513" s="42" t="s">
        <v>1728</v>
      </c>
      <c r="T1513" s="42"/>
      <c r="U1513" s="42" t="s">
        <v>1999</v>
      </c>
      <c r="V1513" s="42" t="s">
        <v>1382</v>
      </c>
      <c r="W1513" s="42" t="s">
        <v>1717</v>
      </c>
      <c r="X1513" s="42" t="s">
        <v>1382</v>
      </c>
      <c r="Y1513" s="42" t="s">
        <v>1382</v>
      </c>
      <c r="Z1513" s="24">
        <v>1.28</v>
      </c>
      <c r="AA1513" s="321"/>
      <c r="AB1513" s="321"/>
      <c r="AC1513" s="24" t="s">
        <v>1052</v>
      </c>
      <c r="AD1513" s="24">
        <v>6.3</v>
      </c>
      <c r="AE1513" s="24">
        <v>2.6</v>
      </c>
      <c r="AG1513" s="24" t="s">
        <v>1352</v>
      </c>
      <c r="AH1513" s="24" t="s">
        <v>791</v>
      </c>
      <c r="AI1513" s="138" t="s">
        <v>1581</v>
      </c>
      <c r="AJ1513" s="24" t="s">
        <v>158</v>
      </c>
      <c r="AK1513" s="140" t="s">
        <v>158</v>
      </c>
      <c r="AW1513" s="24" t="s">
        <v>160</v>
      </c>
      <c r="AX1513" s="24">
        <v>3</v>
      </c>
      <c r="AZ1513" s="24" t="s">
        <v>141</v>
      </c>
      <c r="BB1513" s="24">
        <v>7160</v>
      </c>
      <c r="BD1513" s="24" t="s">
        <v>1056</v>
      </c>
      <c r="BE1513" s="24" t="s">
        <v>1055</v>
      </c>
      <c r="BK1513" s="24">
        <v>1980</v>
      </c>
      <c r="BL1513" s="24">
        <v>1410</v>
      </c>
      <c r="BP1513" s="395"/>
      <c r="BQ1513" s="395"/>
      <c r="BU1513" s="395"/>
      <c r="BV1513" s="395"/>
      <c r="BZ1513" s="395"/>
      <c r="CA1513" s="395"/>
      <c r="CE1513" s="548"/>
      <c r="CF1513" s="548"/>
      <c r="CG1513" s="548"/>
      <c r="CH1513" s="548"/>
      <c r="FL1513" s="24">
        <f t="shared" si="266"/>
        <v>14.2109375</v>
      </c>
      <c r="FM1513" s="24">
        <f>20.18/1.28</f>
        <v>15.765625</v>
      </c>
      <c r="FP1513" s="24" t="s">
        <v>1075</v>
      </c>
      <c r="JB1513" s="24" t="s">
        <v>1059</v>
      </c>
    </row>
    <row r="1514" spans="1:263" s="24" customFormat="1" x14ac:dyDescent="0.25">
      <c r="A1514" s="24">
        <v>69</v>
      </c>
      <c r="B1514" s="42" t="s">
        <v>4081</v>
      </c>
      <c r="C1514" s="24" t="s">
        <v>1049</v>
      </c>
      <c r="D1514" s="24" t="s">
        <v>1050</v>
      </c>
      <c r="E1514" s="24">
        <v>2000</v>
      </c>
      <c r="F1514" s="24">
        <v>1995</v>
      </c>
      <c r="G1514" s="24" t="s">
        <v>329</v>
      </c>
      <c r="H1514" s="24" t="s">
        <v>1051</v>
      </c>
      <c r="I1514" s="32" t="s">
        <v>2815</v>
      </c>
      <c r="J1514" s="24">
        <v>41.15</v>
      </c>
      <c r="K1514" s="24">
        <v>-96.5</v>
      </c>
      <c r="L1514" s="24">
        <v>346.8</v>
      </c>
      <c r="R1514" s="42" t="s">
        <v>1847</v>
      </c>
      <c r="S1514" s="42" t="s">
        <v>1728</v>
      </c>
      <c r="T1514" s="42"/>
      <c r="U1514" s="42" t="s">
        <v>1999</v>
      </c>
      <c r="V1514" s="42" t="s">
        <v>1382</v>
      </c>
      <c r="W1514" s="42" t="s">
        <v>1717</v>
      </c>
      <c r="X1514" s="42" t="s">
        <v>1382</v>
      </c>
      <c r="Y1514" s="42" t="s">
        <v>1382</v>
      </c>
      <c r="Z1514" s="24">
        <v>1.28</v>
      </c>
      <c r="AA1514" s="321"/>
      <c r="AB1514" s="321"/>
      <c r="AC1514" s="24" t="s">
        <v>1052</v>
      </c>
      <c r="AD1514" s="24">
        <v>6.3</v>
      </c>
      <c r="AE1514" s="24">
        <v>2.6</v>
      </c>
      <c r="AG1514" s="24" t="s">
        <v>1352</v>
      </c>
      <c r="AH1514" s="24" t="s">
        <v>116</v>
      </c>
      <c r="AI1514" s="138" t="s">
        <v>1581</v>
      </c>
      <c r="AJ1514" s="24" t="s">
        <v>158</v>
      </c>
      <c r="AK1514" s="140" t="s">
        <v>158</v>
      </c>
      <c r="AW1514" s="24" t="s">
        <v>160</v>
      </c>
      <c r="AX1514" s="24">
        <v>3</v>
      </c>
      <c r="AZ1514" s="24" t="s">
        <v>141</v>
      </c>
      <c r="BB1514" s="24">
        <v>6710</v>
      </c>
      <c r="BD1514" s="24" t="s">
        <v>1056</v>
      </c>
      <c r="BE1514" s="24" t="s">
        <v>1055</v>
      </c>
      <c r="BK1514" s="24">
        <v>1980</v>
      </c>
      <c r="BL1514" s="24">
        <v>1510</v>
      </c>
      <c r="BP1514" s="395"/>
      <c r="BQ1514" s="395"/>
      <c r="BU1514" s="395"/>
      <c r="BV1514" s="395"/>
      <c r="BZ1514" s="395"/>
      <c r="CA1514" s="395"/>
      <c r="CE1514" s="548"/>
      <c r="CF1514" s="548"/>
      <c r="CG1514" s="548"/>
      <c r="CH1514" s="548"/>
      <c r="FL1514" s="24">
        <f t="shared" si="266"/>
        <v>14.2109375</v>
      </c>
      <c r="FM1514" s="24">
        <f>20.18/1.28</f>
        <v>15.765625</v>
      </c>
      <c r="FP1514" s="24" t="s">
        <v>1075</v>
      </c>
      <c r="JB1514" s="24" t="s">
        <v>1059</v>
      </c>
    </row>
    <row r="1515" spans="1:263" s="32" customFormat="1" x14ac:dyDescent="0.25">
      <c r="A1515" s="32">
        <v>69</v>
      </c>
      <c r="B1515" s="44" t="s">
        <v>4080</v>
      </c>
      <c r="C1515" s="32" t="s">
        <v>1049</v>
      </c>
      <c r="D1515" s="32" t="s">
        <v>1050</v>
      </c>
      <c r="E1515" s="32">
        <v>2000</v>
      </c>
      <c r="F1515" s="32">
        <v>1996</v>
      </c>
      <c r="G1515" s="32" t="s">
        <v>329</v>
      </c>
      <c r="H1515" s="32" t="s">
        <v>1051</v>
      </c>
      <c r="I1515" s="32" t="s">
        <v>2815</v>
      </c>
      <c r="J1515" s="32">
        <v>41.15</v>
      </c>
      <c r="K1515" s="32">
        <v>-96.5</v>
      </c>
      <c r="L1515" s="32">
        <v>346.8</v>
      </c>
      <c r="R1515" s="44" t="s">
        <v>1728</v>
      </c>
      <c r="S1515" s="44" t="s">
        <v>1728</v>
      </c>
      <c r="T1515" s="44"/>
      <c r="U1515" s="44" t="s">
        <v>1999</v>
      </c>
      <c r="V1515" s="44" t="s">
        <v>1382</v>
      </c>
      <c r="W1515" s="44" t="s">
        <v>1717</v>
      </c>
      <c r="X1515" s="44" t="s">
        <v>1382</v>
      </c>
      <c r="Y1515" s="44" t="s">
        <v>1382</v>
      </c>
      <c r="Z1515" s="32">
        <v>1.28</v>
      </c>
      <c r="AA1515" s="323"/>
      <c r="AB1515" s="323"/>
      <c r="AC1515" s="32" t="s">
        <v>1052</v>
      </c>
      <c r="AD1515" s="32">
        <v>6.3</v>
      </c>
      <c r="AE1515" s="32">
        <v>2.6</v>
      </c>
      <c r="AG1515" s="32" t="s">
        <v>1352</v>
      </c>
      <c r="AH1515" s="32" t="s">
        <v>1053</v>
      </c>
      <c r="AI1515" s="138" t="s">
        <v>131</v>
      </c>
      <c r="AJ1515" s="32" t="s">
        <v>158</v>
      </c>
      <c r="AK1515" s="140" t="s">
        <v>158</v>
      </c>
      <c r="AW1515" s="32" t="s">
        <v>160</v>
      </c>
      <c r="AX1515" s="32">
        <v>3</v>
      </c>
      <c r="AZ1515" s="32" t="s">
        <v>141</v>
      </c>
      <c r="BB1515" s="32">
        <v>130</v>
      </c>
      <c r="BD1515" s="32" t="s">
        <v>1057</v>
      </c>
      <c r="BK1515" s="32">
        <v>1200</v>
      </c>
      <c r="BL1515" s="32">
        <v>1480</v>
      </c>
      <c r="BP1515" s="397"/>
      <c r="BQ1515" s="397"/>
      <c r="BU1515" s="397"/>
      <c r="BV1515" s="397"/>
      <c r="BZ1515" s="397"/>
      <c r="CA1515" s="397"/>
      <c r="CE1515" s="550"/>
      <c r="CF1515" s="550"/>
      <c r="CG1515" s="550"/>
      <c r="CH1515" s="550"/>
      <c r="FG1515" s="32">
        <v>24.88</v>
      </c>
      <c r="FH1515" s="32">
        <v>20.39</v>
      </c>
      <c r="FL1515" s="32">
        <f>17.57/1.28</f>
        <v>13.7265625</v>
      </c>
      <c r="FM1515" s="32">
        <f>22.21/1.28</f>
        <v>17.3515625</v>
      </c>
      <c r="FP1515" s="32" t="s">
        <v>1075</v>
      </c>
      <c r="JB1515" s="32" t="s">
        <v>1059</v>
      </c>
    </row>
    <row r="1516" spans="1:263" s="32" customFormat="1" x14ac:dyDescent="0.25">
      <c r="A1516" s="32">
        <v>69</v>
      </c>
      <c r="B1516" s="44" t="s">
        <v>4080</v>
      </c>
      <c r="C1516" s="32" t="s">
        <v>1049</v>
      </c>
      <c r="D1516" s="32" t="s">
        <v>1050</v>
      </c>
      <c r="E1516" s="32">
        <v>2000</v>
      </c>
      <c r="F1516" s="32">
        <v>1996</v>
      </c>
      <c r="G1516" s="32" t="s">
        <v>329</v>
      </c>
      <c r="H1516" s="32" t="s">
        <v>1051</v>
      </c>
      <c r="I1516" s="32" t="s">
        <v>2815</v>
      </c>
      <c r="J1516" s="32">
        <v>41.15</v>
      </c>
      <c r="K1516" s="32">
        <v>-96.5</v>
      </c>
      <c r="L1516" s="32">
        <v>346.8</v>
      </c>
      <c r="R1516" s="44" t="s">
        <v>1728</v>
      </c>
      <c r="S1516" s="44" t="s">
        <v>1728</v>
      </c>
      <c r="T1516" s="44"/>
      <c r="U1516" s="44" t="s">
        <v>1999</v>
      </c>
      <c r="V1516" s="44" t="s">
        <v>1382</v>
      </c>
      <c r="W1516" s="44" t="s">
        <v>1717</v>
      </c>
      <c r="X1516" s="44" t="s">
        <v>1382</v>
      </c>
      <c r="Y1516" s="44" t="s">
        <v>1382</v>
      </c>
      <c r="Z1516" s="32">
        <v>1.28</v>
      </c>
      <c r="AA1516" s="323"/>
      <c r="AB1516" s="323"/>
      <c r="AC1516" s="32" t="s">
        <v>1052</v>
      </c>
      <c r="AD1516" s="32">
        <v>6.3</v>
      </c>
      <c r="AE1516" s="32">
        <v>2.6</v>
      </c>
      <c r="AG1516" s="32" t="s">
        <v>1352</v>
      </c>
      <c r="AH1516" s="32" t="s">
        <v>131</v>
      </c>
      <c r="AI1516" s="138" t="s">
        <v>131</v>
      </c>
      <c r="AJ1516" s="32" t="s">
        <v>158</v>
      </c>
      <c r="AK1516" s="140" t="s">
        <v>158</v>
      </c>
      <c r="AW1516" s="32" t="s">
        <v>160</v>
      </c>
      <c r="AX1516" s="32">
        <v>3</v>
      </c>
      <c r="AZ1516" s="32" t="s">
        <v>141</v>
      </c>
      <c r="BB1516" s="32">
        <v>2890</v>
      </c>
      <c r="BD1516" s="32" t="s">
        <v>1058</v>
      </c>
      <c r="BK1516" s="32">
        <v>1200</v>
      </c>
      <c r="BL1516" s="32">
        <v>2190</v>
      </c>
      <c r="BP1516" s="397"/>
      <c r="BQ1516" s="397"/>
      <c r="BU1516" s="397"/>
      <c r="BV1516" s="397"/>
      <c r="BZ1516" s="397"/>
      <c r="CA1516" s="397"/>
      <c r="CE1516" s="550"/>
      <c r="CF1516" s="550"/>
      <c r="CG1516" s="550"/>
      <c r="CH1516" s="550"/>
      <c r="FL1516" s="32">
        <f t="shared" ref="FL1516:FL1519" si="267">17.57/1.28</f>
        <v>13.7265625</v>
      </c>
      <c r="FM1516" s="32">
        <f>19.61/1.28</f>
        <v>15.3203125</v>
      </c>
      <c r="FP1516" s="32" t="s">
        <v>1075</v>
      </c>
      <c r="JB1516" s="32" t="s">
        <v>1059</v>
      </c>
    </row>
    <row r="1517" spans="1:263" s="32" customFormat="1" x14ac:dyDescent="0.25">
      <c r="A1517" s="32">
        <v>69</v>
      </c>
      <c r="B1517" s="44" t="s">
        <v>4081</v>
      </c>
      <c r="C1517" s="32" t="s">
        <v>1049</v>
      </c>
      <c r="D1517" s="32" t="s">
        <v>1050</v>
      </c>
      <c r="E1517" s="32">
        <v>2000</v>
      </c>
      <c r="F1517" s="32">
        <v>1996</v>
      </c>
      <c r="G1517" s="32" t="s">
        <v>329</v>
      </c>
      <c r="H1517" s="32" t="s">
        <v>1051</v>
      </c>
      <c r="I1517" s="32" t="s">
        <v>2815</v>
      </c>
      <c r="J1517" s="32">
        <v>41.15</v>
      </c>
      <c r="K1517" s="32">
        <v>-96.5</v>
      </c>
      <c r="L1517" s="32">
        <v>346.8</v>
      </c>
      <c r="R1517" s="44" t="s">
        <v>1728</v>
      </c>
      <c r="S1517" s="44" t="s">
        <v>1728</v>
      </c>
      <c r="T1517" s="44"/>
      <c r="U1517" s="44" t="s">
        <v>1999</v>
      </c>
      <c r="V1517" s="44" t="s">
        <v>1382</v>
      </c>
      <c r="W1517" s="44" t="s">
        <v>1717</v>
      </c>
      <c r="X1517" s="44" t="s">
        <v>1382</v>
      </c>
      <c r="Y1517" s="44" t="s">
        <v>1382</v>
      </c>
      <c r="Z1517" s="32">
        <v>1.28</v>
      </c>
      <c r="AA1517" s="323"/>
      <c r="AB1517" s="323"/>
      <c r="AC1517" s="32" t="s">
        <v>1052</v>
      </c>
      <c r="AD1517" s="32">
        <v>6.3</v>
      </c>
      <c r="AE1517" s="32">
        <v>2.6</v>
      </c>
      <c r="AG1517" s="32" t="s">
        <v>1352</v>
      </c>
      <c r="AH1517" s="32" t="s">
        <v>791</v>
      </c>
      <c r="AI1517" s="138" t="s">
        <v>1581</v>
      </c>
      <c r="AJ1517" s="32" t="s">
        <v>158</v>
      </c>
      <c r="AK1517" s="140" t="s">
        <v>158</v>
      </c>
      <c r="AW1517" s="32" t="s">
        <v>160</v>
      </c>
      <c r="AX1517" s="32">
        <v>3</v>
      </c>
      <c r="AZ1517" s="32" t="s">
        <v>141</v>
      </c>
      <c r="BB1517" s="32">
        <v>750</v>
      </c>
      <c r="BD1517" s="32" t="s">
        <v>1058</v>
      </c>
      <c r="BK1517" s="32">
        <v>1200</v>
      </c>
      <c r="BL1517" s="32">
        <v>1440</v>
      </c>
      <c r="BP1517" s="397"/>
      <c r="BQ1517" s="397"/>
      <c r="BU1517" s="397"/>
      <c r="BV1517" s="397"/>
      <c r="BZ1517" s="397"/>
      <c r="CA1517" s="397"/>
      <c r="CE1517" s="550"/>
      <c r="CF1517" s="550"/>
      <c r="CG1517" s="550"/>
      <c r="CH1517" s="550"/>
      <c r="FL1517" s="32">
        <f t="shared" si="267"/>
        <v>13.7265625</v>
      </c>
      <c r="FM1517" s="32">
        <f>16</f>
        <v>16</v>
      </c>
      <c r="FP1517" s="32" t="s">
        <v>1075</v>
      </c>
      <c r="JB1517" s="32" t="s">
        <v>1059</v>
      </c>
    </row>
    <row r="1518" spans="1:263" s="32" customFormat="1" x14ac:dyDescent="0.25">
      <c r="A1518" s="32">
        <v>69</v>
      </c>
      <c r="B1518" s="44" t="s">
        <v>4081</v>
      </c>
      <c r="C1518" s="32" t="s">
        <v>1049</v>
      </c>
      <c r="D1518" s="32" t="s">
        <v>1050</v>
      </c>
      <c r="E1518" s="32">
        <v>2000</v>
      </c>
      <c r="F1518" s="32">
        <v>1996</v>
      </c>
      <c r="G1518" s="32" t="s">
        <v>329</v>
      </c>
      <c r="H1518" s="32" t="s">
        <v>1051</v>
      </c>
      <c r="I1518" s="32" t="s">
        <v>2815</v>
      </c>
      <c r="J1518" s="32">
        <v>41.15</v>
      </c>
      <c r="K1518" s="32">
        <v>-96.5</v>
      </c>
      <c r="L1518" s="32">
        <v>346.8</v>
      </c>
      <c r="R1518" s="44" t="s">
        <v>1728</v>
      </c>
      <c r="S1518" s="44" t="s">
        <v>1728</v>
      </c>
      <c r="T1518" s="44"/>
      <c r="U1518" s="44" t="s">
        <v>1999</v>
      </c>
      <c r="V1518" s="44" t="s">
        <v>1382</v>
      </c>
      <c r="W1518" s="44" t="s">
        <v>1717</v>
      </c>
      <c r="X1518" s="44" t="s">
        <v>1382</v>
      </c>
      <c r="Y1518" s="44" t="s">
        <v>1382</v>
      </c>
      <c r="Z1518" s="32">
        <v>1.28</v>
      </c>
      <c r="AA1518" s="323"/>
      <c r="AB1518" s="323"/>
      <c r="AC1518" s="32" t="s">
        <v>1052</v>
      </c>
      <c r="AD1518" s="32">
        <v>6.3</v>
      </c>
      <c r="AE1518" s="32">
        <v>2.6</v>
      </c>
      <c r="AG1518" s="32" t="s">
        <v>1352</v>
      </c>
      <c r="AH1518" s="32" t="s">
        <v>116</v>
      </c>
      <c r="AI1518" s="138" t="s">
        <v>1581</v>
      </c>
      <c r="AJ1518" s="32" t="s">
        <v>158</v>
      </c>
      <c r="AK1518" s="140" t="s">
        <v>158</v>
      </c>
      <c r="AW1518" s="32" t="s">
        <v>160</v>
      </c>
      <c r="AX1518" s="32">
        <v>3</v>
      </c>
      <c r="AZ1518" s="32" t="s">
        <v>141</v>
      </c>
      <c r="BB1518" s="32">
        <v>2170</v>
      </c>
      <c r="BD1518" s="32" t="s">
        <v>1057</v>
      </c>
      <c r="BK1518" s="32">
        <v>1200</v>
      </c>
      <c r="BL1518" s="32">
        <v>1960</v>
      </c>
      <c r="BP1518" s="397"/>
      <c r="BQ1518" s="397"/>
      <c r="BU1518" s="397"/>
      <c r="BV1518" s="397"/>
      <c r="BZ1518" s="397"/>
      <c r="CA1518" s="397"/>
      <c r="CE1518" s="550"/>
      <c r="CF1518" s="550"/>
      <c r="CG1518" s="550"/>
      <c r="CH1518" s="550"/>
      <c r="FL1518" s="32">
        <f t="shared" si="267"/>
        <v>13.7265625</v>
      </c>
      <c r="FM1518" s="32">
        <f>16</f>
        <v>16</v>
      </c>
      <c r="FP1518" s="32" t="s">
        <v>1075</v>
      </c>
      <c r="JB1518" s="32" t="s">
        <v>1059</v>
      </c>
    </row>
    <row r="1519" spans="1:263" s="32" customFormat="1" x14ac:dyDescent="0.25">
      <c r="A1519" s="32">
        <v>69</v>
      </c>
      <c r="B1519" s="44" t="s">
        <v>4080</v>
      </c>
      <c r="C1519" s="32" t="s">
        <v>1049</v>
      </c>
      <c r="D1519" s="32" t="s">
        <v>1050</v>
      </c>
      <c r="E1519" s="32">
        <v>2000</v>
      </c>
      <c r="F1519" s="32">
        <v>1996</v>
      </c>
      <c r="G1519" s="32" t="s">
        <v>329</v>
      </c>
      <c r="H1519" s="32" t="s">
        <v>1051</v>
      </c>
      <c r="I1519" s="32" t="s">
        <v>2815</v>
      </c>
      <c r="J1519" s="32">
        <v>41.15</v>
      </c>
      <c r="K1519" s="32">
        <v>-96.5</v>
      </c>
      <c r="L1519" s="32">
        <v>346.8</v>
      </c>
      <c r="R1519" s="44" t="s">
        <v>1728</v>
      </c>
      <c r="S1519" s="44" t="s">
        <v>1728</v>
      </c>
      <c r="T1519" s="44"/>
      <c r="U1519" s="44" t="s">
        <v>1999</v>
      </c>
      <c r="V1519" s="44" t="s">
        <v>1382</v>
      </c>
      <c r="W1519" s="44" t="s">
        <v>1717</v>
      </c>
      <c r="X1519" s="44" t="s">
        <v>1382</v>
      </c>
      <c r="Y1519" s="44" t="s">
        <v>1382</v>
      </c>
      <c r="Z1519" s="32">
        <v>1.28</v>
      </c>
      <c r="AA1519" s="323"/>
      <c r="AB1519" s="323"/>
      <c r="AC1519" s="32" t="s">
        <v>1052</v>
      </c>
      <c r="AD1519" s="32">
        <v>6.3</v>
      </c>
      <c r="AE1519" s="32">
        <v>2.6</v>
      </c>
      <c r="AG1519" s="32" t="s">
        <v>1352</v>
      </c>
      <c r="AH1519" s="32" t="s">
        <v>243</v>
      </c>
      <c r="AI1519" s="138" t="s">
        <v>577</v>
      </c>
      <c r="AJ1519" s="32" t="s">
        <v>158</v>
      </c>
      <c r="AK1519" s="140" t="s">
        <v>158</v>
      </c>
      <c r="AW1519" s="32" t="s">
        <v>160</v>
      </c>
      <c r="AX1519" s="32">
        <v>3</v>
      </c>
      <c r="AZ1519" s="32" t="s">
        <v>141</v>
      </c>
      <c r="BB1519" s="32">
        <v>650</v>
      </c>
      <c r="BD1519" s="32" t="s">
        <v>1057</v>
      </c>
      <c r="BK1519" s="32">
        <v>1200</v>
      </c>
      <c r="BL1519" s="32">
        <v>1700</v>
      </c>
      <c r="BP1519" s="397"/>
      <c r="BQ1519" s="397"/>
      <c r="BU1519" s="397"/>
      <c r="BV1519" s="397"/>
      <c r="BZ1519" s="397"/>
      <c r="CA1519" s="397"/>
      <c r="CE1519" s="550"/>
      <c r="CF1519" s="550"/>
      <c r="CG1519" s="550"/>
      <c r="CH1519" s="550"/>
      <c r="FL1519" s="32">
        <f t="shared" si="267"/>
        <v>13.7265625</v>
      </c>
      <c r="FM1519" s="32">
        <f>16</f>
        <v>16</v>
      </c>
      <c r="FP1519" s="32" t="s">
        <v>1075</v>
      </c>
      <c r="JB1519" s="32" t="s">
        <v>1059</v>
      </c>
    </row>
    <row r="1520" spans="1:263" s="33" customFormat="1" x14ac:dyDescent="0.25">
      <c r="A1520" s="33">
        <v>70</v>
      </c>
      <c r="B1520" s="47" t="s">
        <v>4082</v>
      </c>
      <c r="C1520" s="33" t="s">
        <v>1060</v>
      </c>
      <c r="D1520" s="33" t="s">
        <v>1061</v>
      </c>
      <c r="E1520" s="33">
        <v>1996</v>
      </c>
      <c r="F1520" s="33">
        <v>1992</v>
      </c>
      <c r="G1520" s="33" t="s">
        <v>1062</v>
      </c>
      <c r="H1520" s="33" t="s">
        <v>1063</v>
      </c>
      <c r="I1520" s="32" t="s">
        <v>2815</v>
      </c>
      <c r="J1520" s="33">
        <v>36.69</v>
      </c>
      <c r="K1520" s="33">
        <v>-121.64</v>
      </c>
      <c r="L1520" s="33">
        <v>11.5</v>
      </c>
      <c r="R1520" s="47">
        <v>1</v>
      </c>
      <c r="S1520" s="47" t="s">
        <v>1847</v>
      </c>
      <c r="T1520" s="47" t="s">
        <v>864</v>
      </c>
      <c r="U1520" s="47" t="s">
        <v>1065</v>
      </c>
      <c r="V1520" s="47" t="s">
        <v>1395</v>
      </c>
      <c r="W1520" s="47" t="s">
        <v>1723</v>
      </c>
      <c r="X1520" s="47" t="s">
        <v>1395</v>
      </c>
      <c r="Y1520" s="47" t="s">
        <v>1395</v>
      </c>
      <c r="Z1520" s="33">
        <v>1.46</v>
      </c>
      <c r="AA1520" s="327">
        <v>69</v>
      </c>
      <c r="AB1520" s="327">
        <v>20</v>
      </c>
      <c r="AC1520" s="33" t="s">
        <v>139</v>
      </c>
      <c r="AD1520" s="33">
        <v>7.7</v>
      </c>
      <c r="AE1520" s="33">
        <v>0.62</v>
      </c>
      <c r="AG1520" s="33" t="s">
        <v>1353</v>
      </c>
      <c r="AH1520" s="33" t="s">
        <v>1064</v>
      </c>
      <c r="AI1520" s="138" t="s">
        <v>1586</v>
      </c>
      <c r="AJ1520" s="33" t="s">
        <v>634</v>
      </c>
      <c r="AK1520" s="141" t="s">
        <v>229</v>
      </c>
      <c r="AW1520" s="33" t="s">
        <v>119</v>
      </c>
      <c r="AX1520" s="33">
        <v>3</v>
      </c>
      <c r="AZ1520" s="33" t="s">
        <v>141</v>
      </c>
      <c r="BB1520" s="33">
        <v>2.9</v>
      </c>
      <c r="BC1520" s="33">
        <f>BB1520/0.1</f>
        <v>28.999999999999996</v>
      </c>
      <c r="BK1520" s="33">
        <v>3</v>
      </c>
      <c r="BL1520" s="33">
        <v>4</v>
      </c>
      <c r="BP1520" s="402"/>
      <c r="BQ1520" s="402"/>
      <c r="BU1520" s="402"/>
      <c r="BV1520" s="402"/>
      <c r="BZ1520" s="402"/>
      <c r="CA1520" s="402"/>
      <c r="CE1520" s="555"/>
      <c r="CF1520" s="555"/>
      <c r="CG1520" s="555"/>
      <c r="CH1520" s="555"/>
      <c r="CJ1520" s="33">
        <v>67.489999999999995</v>
      </c>
      <c r="CK1520" s="33">
        <v>53.72</v>
      </c>
      <c r="CN1520" s="33" t="s">
        <v>1071</v>
      </c>
      <c r="FL1520" s="33">
        <v>4.82</v>
      </c>
      <c r="FM1520" s="33">
        <v>5.87</v>
      </c>
      <c r="FV1520" s="33">
        <v>0.75</v>
      </c>
      <c r="FW1520" s="33">
        <v>0.75</v>
      </c>
      <c r="FZ1520" s="33" t="s">
        <v>1076</v>
      </c>
      <c r="GF1520" s="33">
        <v>1.38</v>
      </c>
      <c r="GG1520" s="33">
        <v>6.13</v>
      </c>
      <c r="GJ1520" s="33" t="s">
        <v>1077</v>
      </c>
      <c r="HJ1520" s="33">
        <v>6.56</v>
      </c>
      <c r="HK1520" s="33">
        <v>6.13</v>
      </c>
      <c r="IN1520" s="33">
        <v>86.95</v>
      </c>
      <c r="IO1520" s="33">
        <v>86.95</v>
      </c>
      <c r="IS1520" s="33">
        <v>10.52</v>
      </c>
      <c r="IT1520" s="33">
        <v>11.66</v>
      </c>
      <c r="JB1520" s="33" t="s">
        <v>781</v>
      </c>
      <c r="JC1520" s="33" t="s">
        <v>1074</v>
      </c>
    </row>
    <row r="1521" spans="1:263" s="33" customFormat="1" x14ac:dyDescent="0.25">
      <c r="A1521" s="33">
        <v>70</v>
      </c>
      <c r="B1521" s="47" t="s">
        <v>4082</v>
      </c>
      <c r="C1521" s="33" t="s">
        <v>1060</v>
      </c>
      <c r="D1521" s="33" t="s">
        <v>1061</v>
      </c>
      <c r="E1521" s="33">
        <v>1996</v>
      </c>
      <c r="F1521" s="33">
        <v>1992</v>
      </c>
      <c r="G1521" s="33" t="s">
        <v>1062</v>
      </c>
      <c r="H1521" s="33" t="s">
        <v>1063</v>
      </c>
      <c r="I1521" s="32" t="s">
        <v>2815</v>
      </c>
      <c r="J1521" s="33">
        <v>36.69</v>
      </c>
      <c r="K1521" s="33">
        <v>-121.64</v>
      </c>
      <c r="L1521" s="33">
        <v>11.5</v>
      </c>
      <c r="R1521" s="47">
        <v>1</v>
      </c>
      <c r="S1521" s="47" t="s">
        <v>1847</v>
      </c>
      <c r="T1521" s="47" t="s">
        <v>864</v>
      </c>
      <c r="U1521" s="47" t="s">
        <v>1066</v>
      </c>
      <c r="V1521" s="47" t="s">
        <v>1395</v>
      </c>
      <c r="W1521" s="47" t="s">
        <v>1723</v>
      </c>
      <c r="X1521" s="47" t="s">
        <v>1395</v>
      </c>
      <c r="Y1521" s="47" t="s">
        <v>1395</v>
      </c>
      <c r="Z1521" s="33">
        <v>1.46</v>
      </c>
      <c r="AA1521" s="327">
        <v>69</v>
      </c>
      <c r="AB1521" s="327">
        <v>20</v>
      </c>
      <c r="AC1521" s="33" t="s">
        <v>139</v>
      </c>
      <c r="AD1521" s="33">
        <v>7.7</v>
      </c>
      <c r="AE1521" s="33">
        <v>0.62</v>
      </c>
      <c r="AG1521" s="33" t="s">
        <v>1353</v>
      </c>
      <c r="AH1521" s="33" t="s">
        <v>1064</v>
      </c>
      <c r="AI1521" s="138" t="s">
        <v>1586</v>
      </c>
      <c r="AJ1521" s="33" t="s">
        <v>634</v>
      </c>
      <c r="AK1521" s="141" t="s">
        <v>229</v>
      </c>
      <c r="AW1521" s="33" t="s">
        <v>119</v>
      </c>
      <c r="AX1521" s="33">
        <v>3</v>
      </c>
      <c r="AZ1521" s="33" t="s">
        <v>141</v>
      </c>
      <c r="BB1521" s="33">
        <v>203</v>
      </c>
      <c r="BC1521" s="33">
        <f>BB1521/11.1</f>
        <v>18.288288288288289</v>
      </c>
      <c r="BK1521" s="33">
        <v>123</v>
      </c>
      <c r="BL1521" s="33">
        <v>106</v>
      </c>
      <c r="BP1521" s="402"/>
      <c r="BQ1521" s="402"/>
      <c r="BU1521" s="402"/>
      <c r="BV1521" s="402"/>
      <c r="BZ1521" s="402"/>
      <c r="CA1521" s="402"/>
      <c r="CE1521" s="555"/>
      <c r="CF1521" s="555"/>
      <c r="CG1521" s="555"/>
      <c r="CH1521" s="555"/>
      <c r="CJ1521" s="33">
        <v>80.33</v>
      </c>
      <c r="CK1521" s="33">
        <v>88.86</v>
      </c>
      <c r="CN1521" s="33" t="s">
        <v>1071</v>
      </c>
      <c r="FL1521" s="33">
        <v>11.17</v>
      </c>
      <c r="FM1521" s="33">
        <v>10.87</v>
      </c>
      <c r="FV1521" s="33">
        <v>5.86</v>
      </c>
      <c r="FW1521" s="33">
        <v>1.4</v>
      </c>
      <c r="FZ1521" s="33" t="s">
        <v>1076</v>
      </c>
      <c r="GF1521" s="33">
        <v>10.8</v>
      </c>
      <c r="GG1521" s="33">
        <v>16.510000000000002</v>
      </c>
      <c r="GJ1521" s="33" t="s">
        <v>1077</v>
      </c>
      <c r="HJ1521" s="33">
        <v>12.79</v>
      </c>
      <c r="HK1521" s="33">
        <v>10.47</v>
      </c>
      <c r="IN1521" s="33">
        <v>203.57</v>
      </c>
      <c r="IO1521" s="33">
        <v>97.11</v>
      </c>
      <c r="IS1521" s="33">
        <v>19.37</v>
      </c>
      <c r="IT1521" s="33">
        <v>15.79</v>
      </c>
      <c r="JB1521" s="33" t="s">
        <v>883</v>
      </c>
      <c r="JC1521" s="33" t="s">
        <v>1074</v>
      </c>
    </row>
    <row r="1522" spans="1:263" s="33" customFormat="1" x14ac:dyDescent="0.25">
      <c r="A1522" s="33">
        <v>70</v>
      </c>
      <c r="B1522" s="47" t="s">
        <v>4082</v>
      </c>
      <c r="C1522" s="33" t="s">
        <v>1060</v>
      </c>
      <c r="D1522" s="33" t="s">
        <v>1061</v>
      </c>
      <c r="E1522" s="33">
        <v>1996</v>
      </c>
      <c r="F1522" s="33">
        <v>1993</v>
      </c>
      <c r="G1522" s="33" t="s">
        <v>1062</v>
      </c>
      <c r="H1522" s="33" t="s">
        <v>1063</v>
      </c>
      <c r="I1522" s="32" t="s">
        <v>2815</v>
      </c>
      <c r="J1522" s="33">
        <v>36.69</v>
      </c>
      <c r="K1522" s="33">
        <v>-121.64</v>
      </c>
      <c r="L1522" s="33">
        <v>11.5</v>
      </c>
      <c r="R1522" s="47" t="s">
        <v>1847</v>
      </c>
      <c r="S1522" s="47" t="s">
        <v>1847</v>
      </c>
      <c r="T1522" s="47" t="s">
        <v>864</v>
      </c>
      <c r="U1522" s="47" t="s">
        <v>1067</v>
      </c>
      <c r="V1522" s="47" t="s">
        <v>1395</v>
      </c>
      <c r="W1522" s="47" t="s">
        <v>1723</v>
      </c>
      <c r="X1522" s="47" t="s">
        <v>1395</v>
      </c>
      <c r="Y1522" s="47" t="s">
        <v>1395</v>
      </c>
      <c r="Z1522" s="33">
        <v>1.46</v>
      </c>
      <c r="AA1522" s="327">
        <v>69</v>
      </c>
      <c r="AB1522" s="327">
        <v>20</v>
      </c>
      <c r="AC1522" s="33" t="s">
        <v>139</v>
      </c>
      <c r="AD1522" s="33">
        <v>7.7</v>
      </c>
      <c r="AE1522" s="33">
        <v>0.62</v>
      </c>
      <c r="AG1522" s="33" t="s">
        <v>1353</v>
      </c>
      <c r="AH1522" s="33" t="s">
        <v>1064</v>
      </c>
      <c r="AI1522" s="138" t="s">
        <v>1586</v>
      </c>
      <c r="AJ1522" s="33" t="s">
        <v>634</v>
      </c>
      <c r="AK1522" s="141" t="s">
        <v>229</v>
      </c>
      <c r="AW1522" s="33" t="s">
        <v>119</v>
      </c>
      <c r="AX1522" s="33">
        <v>3</v>
      </c>
      <c r="AZ1522" s="33" t="s">
        <v>141</v>
      </c>
      <c r="BB1522" s="33">
        <v>1219</v>
      </c>
      <c r="BC1522" s="33">
        <f>BB1522/54</f>
        <v>22.574074074074073</v>
      </c>
      <c r="BK1522" s="33">
        <v>1285</v>
      </c>
      <c r="BL1522" s="33">
        <v>1360</v>
      </c>
      <c r="BP1522" s="402"/>
      <c r="BQ1522" s="402"/>
      <c r="BU1522" s="402"/>
      <c r="BV1522" s="402"/>
      <c r="BZ1522" s="402"/>
      <c r="CA1522" s="402"/>
      <c r="CE1522" s="555"/>
      <c r="CF1522" s="555"/>
      <c r="CG1522" s="555"/>
      <c r="CH1522" s="555"/>
      <c r="CJ1522" s="33">
        <v>42.55</v>
      </c>
      <c r="CK1522" s="33">
        <v>50.38</v>
      </c>
      <c r="CN1522" s="33" t="s">
        <v>1071</v>
      </c>
      <c r="FL1522" s="33">
        <v>8.9</v>
      </c>
      <c r="FM1522" s="33">
        <v>8.09</v>
      </c>
      <c r="FV1522" s="33">
        <v>0.74</v>
      </c>
      <c r="FW1522" s="33">
        <v>0.74</v>
      </c>
      <c r="FZ1522" s="33" t="s">
        <v>1076</v>
      </c>
      <c r="GF1522" s="33">
        <v>9.8000000000000007</v>
      </c>
      <c r="GG1522" s="33">
        <v>40.19</v>
      </c>
      <c r="GJ1522" s="33" t="s">
        <v>1077</v>
      </c>
      <c r="HJ1522" s="33">
        <v>6.56</v>
      </c>
      <c r="HK1522" s="33">
        <v>6.56</v>
      </c>
      <c r="IN1522" s="33">
        <v>189.18</v>
      </c>
      <c r="IO1522" s="33">
        <v>264.92</v>
      </c>
      <c r="IS1522" s="33">
        <v>10.18</v>
      </c>
      <c r="IT1522" s="33">
        <v>12.76</v>
      </c>
      <c r="JB1522" s="33" t="s">
        <v>983</v>
      </c>
      <c r="JC1522" s="33" t="s">
        <v>1074</v>
      </c>
    </row>
    <row r="1523" spans="1:263" s="33" customFormat="1" x14ac:dyDescent="0.25">
      <c r="A1523" s="33">
        <v>70</v>
      </c>
      <c r="B1523" s="47" t="s">
        <v>4082</v>
      </c>
      <c r="C1523" s="33" t="s">
        <v>1060</v>
      </c>
      <c r="D1523" s="33" t="s">
        <v>1061</v>
      </c>
      <c r="E1523" s="33">
        <v>1996</v>
      </c>
      <c r="F1523" s="33">
        <v>1993</v>
      </c>
      <c r="G1523" s="33" t="s">
        <v>1062</v>
      </c>
      <c r="H1523" s="33" t="s">
        <v>1063</v>
      </c>
      <c r="I1523" s="32" t="s">
        <v>2815</v>
      </c>
      <c r="J1523" s="33">
        <v>36.69</v>
      </c>
      <c r="K1523" s="33">
        <v>-121.64</v>
      </c>
      <c r="L1523" s="33">
        <v>11.5</v>
      </c>
      <c r="R1523" s="47" t="s">
        <v>1847</v>
      </c>
      <c r="S1523" s="47" t="s">
        <v>1847</v>
      </c>
      <c r="T1523" s="47" t="s">
        <v>864</v>
      </c>
      <c r="U1523" s="47" t="s">
        <v>1068</v>
      </c>
      <c r="V1523" s="47" t="s">
        <v>1395</v>
      </c>
      <c r="W1523" s="47" t="s">
        <v>1723</v>
      </c>
      <c r="X1523" s="47" t="s">
        <v>1395</v>
      </c>
      <c r="Y1523" s="47" t="s">
        <v>1395</v>
      </c>
      <c r="Z1523" s="33">
        <v>1.46</v>
      </c>
      <c r="AA1523" s="327">
        <v>69</v>
      </c>
      <c r="AB1523" s="327">
        <v>20</v>
      </c>
      <c r="AC1523" s="33" t="s">
        <v>139</v>
      </c>
      <c r="AD1523" s="33">
        <v>7.7</v>
      </c>
      <c r="AE1523" s="33">
        <v>0.62</v>
      </c>
      <c r="AG1523" s="33" t="s">
        <v>1353</v>
      </c>
      <c r="AH1523" s="33" t="s">
        <v>1064</v>
      </c>
      <c r="AI1523" s="138" t="s">
        <v>1586</v>
      </c>
      <c r="AJ1523" s="33" t="s">
        <v>634</v>
      </c>
      <c r="AK1523" s="141" t="s">
        <v>229</v>
      </c>
      <c r="AW1523" s="33" t="s">
        <v>119</v>
      </c>
      <c r="AX1523" s="33">
        <v>3</v>
      </c>
      <c r="AZ1523" s="33" t="s">
        <v>141</v>
      </c>
      <c r="BB1523" s="33">
        <v>1962</v>
      </c>
      <c r="BC1523" s="33">
        <f>BB1523/69</f>
        <v>28.434782608695652</v>
      </c>
      <c r="BK1523" s="33">
        <v>5821</v>
      </c>
      <c r="BL1523" s="33">
        <v>6180</v>
      </c>
      <c r="BP1523" s="402"/>
      <c r="BQ1523" s="402"/>
      <c r="BU1523" s="402"/>
      <c r="BV1523" s="402"/>
      <c r="BZ1523" s="402"/>
      <c r="CA1523" s="402"/>
      <c r="CE1523" s="555"/>
      <c r="CF1523" s="555"/>
      <c r="CG1523" s="555"/>
      <c r="CH1523" s="555"/>
      <c r="CJ1523" s="33">
        <v>18.420000000000002</v>
      </c>
      <c r="CK1523" s="33">
        <v>3.96</v>
      </c>
      <c r="CN1523" s="33" t="s">
        <v>1071</v>
      </c>
      <c r="FL1523" s="33">
        <v>8.3699999999999992</v>
      </c>
      <c r="FM1523" s="33">
        <v>6.65</v>
      </c>
      <c r="FV1523" s="33">
        <v>3.62</v>
      </c>
      <c r="FW1523" s="33">
        <v>1.46</v>
      </c>
      <c r="FZ1523" s="33" t="s">
        <v>1076</v>
      </c>
      <c r="GF1523" s="33">
        <v>22.13</v>
      </c>
      <c r="GG1523" s="33">
        <v>107.59</v>
      </c>
      <c r="GJ1523" s="33" t="s">
        <v>1077</v>
      </c>
      <c r="HJ1523" s="33">
        <v>7.56</v>
      </c>
      <c r="HK1523" s="33">
        <v>8.15</v>
      </c>
      <c r="IN1523" s="33">
        <v>275.08999999999997</v>
      </c>
      <c r="IO1523" s="33">
        <v>236.2</v>
      </c>
      <c r="IS1523" s="33">
        <v>15.46</v>
      </c>
      <c r="IT1523" s="33">
        <v>19.62</v>
      </c>
      <c r="JB1523" s="33" t="s">
        <v>984</v>
      </c>
      <c r="JC1523" s="33" t="s">
        <v>1074</v>
      </c>
    </row>
    <row r="1524" spans="1:263" s="33" customFormat="1" x14ac:dyDescent="0.25">
      <c r="A1524" s="33">
        <v>70</v>
      </c>
      <c r="B1524" s="47" t="s">
        <v>4082</v>
      </c>
      <c r="C1524" s="33" t="s">
        <v>1060</v>
      </c>
      <c r="D1524" s="33" t="s">
        <v>1061</v>
      </c>
      <c r="E1524" s="33">
        <v>1996</v>
      </c>
      <c r="F1524" s="33">
        <v>1993</v>
      </c>
      <c r="G1524" s="33" t="s">
        <v>1062</v>
      </c>
      <c r="H1524" s="33" t="s">
        <v>1063</v>
      </c>
      <c r="I1524" s="32" t="s">
        <v>2815</v>
      </c>
      <c r="J1524" s="33">
        <v>36.69</v>
      </c>
      <c r="K1524" s="33">
        <v>-121.64</v>
      </c>
      <c r="L1524" s="33">
        <v>11.5</v>
      </c>
      <c r="R1524" s="47" t="s">
        <v>1847</v>
      </c>
      <c r="S1524" s="47" t="s">
        <v>1847</v>
      </c>
      <c r="T1524" s="47" t="s">
        <v>864</v>
      </c>
      <c r="U1524" s="47" t="s">
        <v>1069</v>
      </c>
      <c r="V1524" s="47" t="s">
        <v>1395</v>
      </c>
      <c r="W1524" s="47" t="s">
        <v>1723</v>
      </c>
      <c r="X1524" s="47" t="s">
        <v>1395</v>
      </c>
      <c r="Y1524" s="47" t="s">
        <v>1395</v>
      </c>
      <c r="Z1524" s="33">
        <v>1.46</v>
      </c>
      <c r="AA1524" s="327">
        <v>69</v>
      </c>
      <c r="AB1524" s="327">
        <v>20</v>
      </c>
      <c r="AC1524" s="33" t="s">
        <v>139</v>
      </c>
      <c r="AD1524" s="33">
        <v>7.7</v>
      </c>
      <c r="AE1524" s="33">
        <v>0.62</v>
      </c>
      <c r="AG1524" s="33" t="s">
        <v>1353</v>
      </c>
      <c r="AH1524" s="33" t="s">
        <v>1064</v>
      </c>
      <c r="AI1524" s="138" t="s">
        <v>1586</v>
      </c>
      <c r="AJ1524" s="33" t="s">
        <v>634</v>
      </c>
      <c r="AK1524" s="141" t="s">
        <v>229</v>
      </c>
      <c r="AW1524" s="33" t="s">
        <v>119</v>
      </c>
      <c r="AX1524" s="33">
        <v>3</v>
      </c>
      <c r="AZ1524" s="33" t="s">
        <v>141</v>
      </c>
      <c r="BB1524" s="33">
        <v>3640</v>
      </c>
      <c r="BC1524" s="33">
        <f>BB1524/106</f>
        <v>34.339622641509436</v>
      </c>
      <c r="BK1524" s="33">
        <v>8303</v>
      </c>
      <c r="BL1524" s="33">
        <v>9375</v>
      </c>
      <c r="BP1524" s="402"/>
      <c r="BQ1524" s="402"/>
      <c r="BU1524" s="402"/>
      <c r="BV1524" s="402"/>
      <c r="BZ1524" s="402"/>
      <c r="CA1524" s="402"/>
      <c r="CE1524" s="555"/>
      <c r="CF1524" s="555"/>
      <c r="CG1524" s="555"/>
      <c r="CH1524" s="555"/>
      <c r="CJ1524" s="33">
        <v>15.37</v>
      </c>
      <c r="CK1524" s="33">
        <v>5.74</v>
      </c>
      <c r="CN1524" s="33" t="s">
        <v>1071</v>
      </c>
      <c r="FL1524" s="33">
        <v>7.55</v>
      </c>
      <c r="FM1524" s="33">
        <v>6.35</v>
      </c>
      <c r="FV1524" s="33">
        <v>3.42</v>
      </c>
      <c r="FW1524" s="33">
        <v>5</v>
      </c>
      <c r="FZ1524" s="33" t="s">
        <v>1076</v>
      </c>
      <c r="GF1524" s="33">
        <v>8.8000000000000007</v>
      </c>
      <c r="GG1524" s="33">
        <v>36.33</v>
      </c>
      <c r="GJ1524" s="33" t="s">
        <v>1077</v>
      </c>
      <c r="HJ1524" s="33">
        <v>4.8</v>
      </c>
      <c r="HK1524" s="33">
        <v>12.93</v>
      </c>
      <c r="IN1524" s="33">
        <v>152.24</v>
      </c>
      <c r="IO1524" s="33">
        <v>199.32</v>
      </c>
      <c r="IS1524" s="33">
        <v>4.99</v>
      </c>
      <c r="IT1524" s="33">
        <v>8</v>
      </c>
      <c r="JB1524" s="33" t="s">
        <v>780</v>
      </c>
      <c r="JC1524" s="33" t="s">
        <v>1074</v>
      </c>
    </row>
    <row r="1525" spans="1:263" s="99" customFormat="1" x14ac:dyDescent="0.25">
      <c r="A1525" s="99">
        <v>70</v>
      </c>
      <c r="B1525" s="47" t="s">
        <v>4082</v>
      </c>
      <c r="C1525" s="99" t="s">
        <v>1060</v>
      </c>
      <c r="D1525" s="99" t="s">
        <v>1061</v>
      </c>
      <c r="E1525" s="99">
        <v>1996</v>
      </c>
      <c r="F1525" s="99">
        <v>1992</v>
      </c>
      <c r="G1525" s="99" t="s">
        <v>1062</v>
      </c>
      <c r="H1525" s="99" t="s">
        <v>1063</v>
      </c>
      <c r="I1525" s="32" t="s">
        <v>2815</v>
      </c>
      <c r="J1525" s="99">
        <v>36.69</v>
      </c>
      <c r="K1525" s="99">
        <v>-121.64</v>
      </c>
      <c r="L1525" s="99">
        <v>11.5</v>
      </c>
      <c r="R1525" s="100">
        <v>1</v>
      </c>
      <c r="S1525" s="100" t="s">
        <v>1847</v>
      </c>
      <c r="T1525" s="100" t="s">
        <v>864</v>
      </c>
      <c r="U1525" s="100" t="s">
        <v>2000</v>
      </c>
      <c r="V1525" s="47" t="s">
        <v>1395</v>
      </c>
      <c r="W1525" s="47" t="s">
        <v>1723</v>
      </c>
      <c r="X1525" s="47" t="s">
        <v>1395</v>
      </c>
      <c r="Y1525" s="47" t="s">
        <v>1395</v>
      </c>
      <c r="Z1525" s="99">
        <v>1.46</v>
      </c>
      <c r="AA1525" s="351">
        <v>69</v>
      </c>
      <c r="AB1525" s="351">
        <v>20</v>
      </c>
      <c r="AC1525" s="99" t="s">
        <v>139</v>
      </c>
      <c r="AD1525" s="99">
        <v>7.7</v>
      </c>
      <c r="AE1525" s="99">
        <v>0.62</v>
      </c>
      <c r="AG1525" s="33" t="s">
        <v>1353</v>
      </c>
      <c r="AH1525" s="99" t="s">
        <v>1064</v>
      </c>
      <c r="AI1525" s="138" t="s">
        <v>1586</v>
      </c>
      <c r="AJ1525" s="99" t="s">
        <v>634</v>
      </c>
      <c r="AK1525" s="145" t="s">
        <v>229</v>
      </c>
      <c r="AW1525" s="99" t="s">
        <v>119</v>
      </c>
      <c r="AX1525" s="99">
        <v>3</v>
      </c>
      <c r="AZ1525" s="99" t="s">
        <v>141</v>
      </c>
      <c r="BB1525" s="99">
        <v>2.9</v>
      </c>
      <c r="BC1525" s="99">
        <f>BB1525/0.1</f>
        <v>28.999999999999996</v>
      </c>
      <c r="BP1525" s="426"/>
      <c r="BQ1525" s="426"/>
      <c r="BU1525" s="426"/>
      <c r="BV1525" s="426"/>
      <c r="BZ1525" s="426"/>
      <c r="CA1525" s="426"/>
      <c r="CE1525" s="579"/>
      <c r="CF1525" s="579"/>
      <c r="CG1525" s="579"/>
      <c r="CH1525" s="579"/>
      <c r="CJ1525" s="99">
        <v>20.61</v>
      </c>
      <c r="CK1525" s="99">
        <v>9.26</v>
      </c>
      <c r="CL1525" s="33"/>
      <c r="CM1525" s="33"/>
      <c r="CN1525" s="33" t="s">
        <v>1071</v>
      </c>
      <c r="FL1525" s="99">
        <v>11.36</v>
      </c>
      <c r="FM1525" s="99">
        <v>11.36</v>
      </c>
      <c r="FV1525" s="99">
        <v>0.65</v>
      </c>
      <c r="FW1525" s="99">
        <v>0.52</v>
      </c>
      <c r="FZ1525" s="33" t="s">
        <v>1076</v>
      </c>
      <c r="GF1525" s="99">
        <v>2.82</v>
      </c>
      <c r="GG1525" s="99">
        <v>2.82</v>
      </c>
      <c r="GJ1525" s="33" t="s">
        <v>1077</v>
      </c>
      <c r="GK1525" s="33"/>
      <c r="GL1525" s="33"/>
      <c r="GM1525" s="33"/>
      <c r="GN1525" s="33"/>
      <c r="GO1525" s="33"/>
      <c r="GP1525" s="33"/>
      <c r="GQ1525" s="33"/>
      <c r="GR1525" s="33"/>
      <c r="GS1525" s="33"/>
      <c r="GT1525" s="33"/>
      <c r="GU1525" s="33"/>
      <c r="GV1525" s="33"/>
      <c r="GW1525" s="33"/>
      <c r="GX1525" s="33"/>
      <c r="GY1525" s="33"/>
      <c r="HJ1525" s="99">
        <v>6.19</v>
      </c>
      <c r="HK1525" s="99">
        <v>13</v>
      </c>
      <c r="IN1525" s="99">
        <v>74.430000000000007</v>
      </c>
      <c r="IO1525" s="99">
        <v>238.2</v>
      </c>
      <c r="IS1525" s="99">
        <v>12.3</v>
      </c>
      <c r="IT1525" s="99">
        <v>20.61</v>
      </c>
      <c r="JB1525" s="99" t="s">
        <v>201</v>
      </c>
      <c r="JC1525" s="33" t="s">
        <v>1074</v>
      </c>
    </row>
    <row r="1526" spans="1:263" s="99" customFormat="1" x14ac:dyDescent="0.25">
      <c r="A1526" s="99">
        <v>70</v>
      </c>
      <c r="B1526" s="47" t="s">
        <v>4082</v>
      </c>
      <c r="C1526" s="99" t="s">
        <v>1060</v>
      </c>
      <c r="D1526" s="99" t="s">
        <v>1061</v>
      </c>
      <c r="E1526" s="99">
        <v>1996</v>
      </c>
      <c r="F1526" s="99">
        <v>1992</v>
      </c>
      <c r="G1526" s="99" t="s">
        <v>1062</v>
      </c>
      <c r="H1526" s="99" t="s">
        <v>1063</v>
      </c>
      <c r="I1526" s="32" t="s">
        <v>2815</v>
      </c>
      <c r="J1526" s="99">
        <v>36.69</v>
      </c>
      <c r="K1526" s="99">
        <v>-121.64</v>
      </c>
      <c r="L1526" s="99">
        <v>11.5</v>
      </c>
      <c r="R1526" s="100">
        <v>1</v>
      </c>
      <c r="S1526" s="100" t="s">
        <v>1847</v>
      </c>
      <c r="T1526" s="100" t="s">
        <v>864</v>
      </c>
      <c r="U1526" s="100" t="s">
        <v>2000</v>
      </c>
      <c r="V1526" s="47" t="s">
        <v>1395</v>
      </c>
      <c r="W1526" s="47" t="s">
        <v>1723</v>
      </c>
      <c r="X1526" s="47" t="s">
        <v>1395</v>
      </c>
      <c r="Y1526" s="47" t="s">
        <v>1395</v>
      </c>
      <c r="Z1526" s="99">
        <v>1.46</v>
      </c>
      <c r="AA1526" s="351">
        <v>69</v>
      </c>
      <c r="AB1526" s="351">
        <v>20</v>
      </c>
      <c r="AC1526" s="99" t="s">
        <v>139</v>
      </c>
      <c r="AD1526" s="99">
        <v>7.7</v>
      </c>
      <c r="AE1526" s="99">
        <v>0.62</v>
      </c>
      <c r="AG1526" s="33" t="s">
        <v>1353</v>
      </c>
      <c r="AH1526" s="99" t="s">
        <v>1064</v>
      </c>
      <c r="AI1526" s="138" t="s">
        <v>1586</v>
      </c>
      <c r="AJ1526" s="99" t="s">
        <v>634</v>
      </c>
      <c r="AK1526" s="145" t="s">
        <v>229</v>
      </c>
      <c r="AW1526" s="99" t="s">
        <v>119</v>
      </c>
      <c r="AX1526" s="99">
        <v>3</v>
      </c>
      <c r="AZ1526" s="99" t="s">
        <v>141</v>
      </c>
      <c r="BB1526" s="99">
        <v>203</v>
      </c>
      <c r="BC1526" s="99">
        <f>BB1526/11.1</f>
        <v>18.288288288288289</v>
      </c>
      <c r="BP1526" s="426"/>
      <c r="BQ1526" s="426"/>
      <c r="BU1526" s="426"/>
      <c r="BV1526" s="426"/>
      <c r="BZ1526" s="426"/>
      <c r="CA1526" s="426"/>
      <c r="CE1526" s="579"/>
      <c r="CF1526" s="579"/>
      <c r="CG1526" s="579"/>
      <c r="CH1526" s="579"/>
      <c r="CJ1526" s="99">
        <v>22.56</v>
      </c>
      <c r="CK1526" s="99">
        <v>21.76</v>
      </c>
      <c r="CL1526" s="33"/>
      <c r="CM1526" s="33"/>
      <c r="CN1526" s="33" t="s">
        <v>1071</v>
      </c>
      <c r="FL1526" s="99">
        <v>9.19</v>
      </c>
      <c r="FM1526" s="99">
        <v>8.89</v>
      </c>
      <c r="FV1526" s="99">
        <v>1.43</v>
      </c>
      <c r="FW1526" s="99">
        <v>1.43</v>
      </c>
      <c r="FZ1526" s="33" t="s">
        <v>1076</v>
      </c>
      <c r="GF1526" s="99">
        <v>29.28</v>
      </c>
      <c r="GG1526" s="99">
        <v>90.06</v>
      </c>
      <c r="GJ1526" s="33" t="s">
        <v>1077</v>
      </c>
      <c r="GK1526" s="33"/>
      <c r="GL1526" s="33"/>
      <c r="GM1526" s="33"/>
      <c r="GN1526" s="33"/>
      <c r="GO1526" s="33"/>
      <c r="GP1526" s="33"/>
      <c r="GQ1526" s="33"/>
      <c r="GR1526" s="33"/>
      <c r="GS1526" s="33"/>
      <c r="GT1526" s="33"/>
      <c r="GU1526" s="33"/>
      <c r="GV1526" s="33"/>
      <c r="GW1526" s="33"/>
      <c r="GX1526" s="33"/>
      <c r="GY1526" s="33"/>
      <c r="HJ1526" s="99">
        <v>3.22</v>
      </c>
      <c r="HK1526" s="99">
        <v>7.64</v>
      </c>
      <c r="IN1526" s="99">
        <v>103.08</v>
      </c>
      <c r="IO1526" s="99">
        <v>289.37</v>
      </c>
      <c r="IS1526" s="99">
        <v>4.41</v>
      </c>
      <c r="IT1526" s="99">
        <v>17.3</v>
      </c>
      <c r="JB1526" s="99" t="s">
        <v>884</v>
      </c>
      <c r="JC1526" s="33" t="s">
        <v>1074</v>
      </c>
    </row>
    <row r="1527" spans="1:263" s="99" customFormat="1" x14ac:dyDescent="0.25">
      <c r="A1527" s="99">
        <v>70</v>
      </c>
      <c r="B1527" s="47" t="s">
        <v>4082</v>
      </c>
      <c r="C1527" s="99" t="s">
        <v>1060</v>
      </c>
      <c r="D1527" s="99" t="s">
        <v>1061</v>
      </c>
      <c r="E1527" s="99">
        <v>1996</v>
      </c>
      <c r="F1527" s="99">
        <v>1993</v>
      </c>
      <c r="G1527" s="99" t="s">
        <v>1062</v>
      </c>
      <c r="H1527" s="99" t="s">
        <v>1063</v>
      </c>
      <c r="I1527" s="32" t="s">
        <v>2815</v>
      </c>
      <c r="J1527" s="99">
        <v>36.69</v>
      </c>
      <c r="K1527" s="99">
        <v>-121.64</v>
      </c>
      <c r="L1527" s="99">
        <v>11.5</v>
      </c>
      <c r="R1527" s="100" t="s">
        <v>1847</v>
      </c>
      <c r="S1527" s="100" t="s">
        <v>1847</v>
      </c>
      <c r="T1527" s="100" t="s">
        <v>864</v>
      </c>
      <c r="U1527" s="100" t="s">
        <v>2000</v>
      </c>
      <c r="V1527" s="47" t="s">
        <v>1395</v>
      </c>
      <c r="W1527" s="47" t="s">
        <v>1723</v>
      </c>
      <c r="X1527" s="47" t="s">
        <v>1395</v>
      </c>
      <c r="Y1527" s="47" t="s">
        <v>1395</v>
      </c>
      <c r="Z1527" s="99">
        <v>1.46</v>
      </c>
      <c r="AA1527" s="351">
        <v>69</v>
      </c>
      <c r="AB1527" s="351">
        <v>20</v>
      </c>
      <c r="AC1527" s="99" t="s">
        <v>139</v>
      </c>
      <c r="AD1527" s="99">
        <v>7.7</v>
      </c>
      <c r="AE1527" s="99">
        <v>0.62</v>
      </c>
      <c r="AG1527" s="33" t="s">
        <v>1353</v>
      </c>
      <c r="AH1527" s="99" t="s">
        <v>1064</v>
      </c>
      <c r="AI1527" s="138" t="s">
        <v>1586</v>
      </c>
      <c r="AJ1527" s="99" t="s">
        <v>634</v>
      </c>
      <c r="AK1527" s="145" t="s">
        <v>229</v>
      </c>
      <c r="AW1527" s="99" t="s">
        <v>119</v>
      </c>
      <c r="AX1527" s="99">
        <v>3</v>
      </c>
      <c r="AZ1527" s="99" t="s">
        <v>141</v>
      </c>
      <c r="BB1527" s="99">
        <v>1219</v>
      </c>
      <c r="BC1527" s="99">
        <f>BB1527/54</f>
        <v>22.574074074074073</v>
      </c>
      <c r="BP1527" s="426"/>
      <c r="BQ1527" s="426"/>
      <c r="BU1527" s="426"/>
      <c r="BV1527" s="426"/>
      <c r="BZ1527" s="426"/>
      <c r="CA1527" s="426"/>
      <c r="CE1527" s="579"/>
      <c r="CF1527" s="579"/>
      <c r="CG1527" s="579"/>
      <c r="CH1527" s="579"/>
      <c r="CJ1527" s="99">
        <v>44.05</v>
      </c>
      <c r="CK1527" s="99">
        <v>35.81</v>
      </c>
      <c r="CL1527" s="33"/>
      <c r="CM1527" s="33"/>
      <c r="CN1527" s="33" t="s">
        <v>1071</v>
      </c>
      <c r="FL1527" s="99">
        <v>8.2799999999999994</v>
      </c>
      <c r="FM1527" s="99">
        <v>7.76</v>
      </c>
      <c r="FV1527" s="99">
        <v>9.02</v>
      </c>
      <c r="FW1527" s="99">
        <v>8.1</v>
      </c>
      <c r="FZ1527" s="33" t="s">
        <v>1076</v>
      </c>
      <c r="GF1527" s="99">
        <v>153.53</v>
      </c>
      <c r="GG1527" s="99">
        <v>217.16</v>
      </c>
      <c r="GJ1527" s="33" t="s">
        <v>1077</v>
      </c>
      <c r="GK1527" s="33"/>
      <c r="GL1527" s="33"/>
      <c r="GM1527" s="33"/>
      <c r="GN1527" s="33"/>
      <c r="GO1527" s="33"/>
      <c r="GP1527" s="33"/>
      <c r="GQ1527" s="33"/>
      <c r="GR1527" s="33"/>
      <c r="GS1527" s="33"/>
      <c r="GT1527" s="33"/>
      <c r="GU1527" s="33"/>
      <c r="GV1527" s="33"/>
      <c r="GW1527" s="33"/>
      <c r="GX1527" s="33"/>
      <c r="GY1527" s="33"/>
      <c r="HJ1527" s="99">
        <v>5.32</v>
      </c>
      <c r="HK1527" s="99">
        <v>6.99</v>
      </c>
      <c r="IN1527" s="99">
        <v>49.83</v>
      </c>
      <c r="IO1527" s="99">
        <v>162.41999999999999</v>
      </c>
      <c r="IS1527" s="99">
        <v>11.14</v>
      </c>
      <c r="IT1527" s="99">
        <v>15.29</v>
      </c>
      <c r="JB1527" s="99" t="s">
        <v>1073</v>
      </c>
      <c r="JC1527" s="33" t="s">
        <v>1074</v>
      </c>
    </row>
    <row r="1528" spans="1:263" s="99" customFormat="1" x14ac:dyDescent="0.25">
      <c r="A1528" s="99">
        <v>70</v>
      </c>
      <c r="B1528" s="47" t="s">
        <v>4082</v>
      </c>
      <c r="C1528" s="99" t="s">
        <v>1060</v>
      </c>
      <c r="D1528" s="99" t="s">
        <v>1061</v>
      </c>
      <c r="E1528" s="99">
        <v>1996</v>
      </c>
      <c r="F1528" s="99">
        <v>1993</v>
      </c>
      <c r="G1528" s="99" t="s">
        <v>1062</v>
      </c>
      <c r="H1528" s="99" t="s">
        <v>1063</v>
      </c>
      <c r="I1528" s="32" t="s">
        <v>2815</v>
      </c>
      <c r="J1528" s="99">
        <v>36.69</v>
      </c>
      <c r="K1528" s="99">
        <v>-121.64</v>
      </c>
      <c r="L1528" s="99">
        <v>11.5</v>
      </c>
      <c r="R1528" s="100" t="s">
        <v>1847</v>
      </c>
      <c r="S1528" s="100" t="s">
        <v>1847</v>
      </c>
      <c r="T1528" s="100" t="s">
        <v>864</v>
      </c>
      <c r="U1528" s="100" t="s">
        <v>2000</v>
      </c>
      <c r="V1528" s="47" t="s">
        <v>1395</v>
      </c>
      <c r="W1528" s="47" t="s">
        <v>1723</v>
      </c>
      <c r="X1528" s="47" t="s">
        <v>1395</v>
      </c>
      <c r="Y1528" s="47" t="s">
        <v>1395</v>
      </c>
      <c r="Z1528" s="99">
        <v>1.46</v>
      </c>
      <c r="AA1528" s="351">
        <v>69</v>
      </c>
      <c r="AB1528" s="351">
        <v>20</v>
      </c>
      <c r="AC1528" s="99" t="s">
        <v>139</v>
      </c>
      <c r="AD1528" s="99">
        <v>7.7</v>
      </c>
      <c r="AE1528" s="99">
        <v>0.62</v>
      </c>
      <c r="AG1528" s="33" t="s">
        <v>1353</v>
      </c>
      <c r="AH1528" s="99" t="s">
        <v>1064</v>
      </c>
      <c r="AI1528" s="138" t="s">
        <v>1586</v>
      </c>
      <c r="AJ1528" s="99" t="s">
        <v>634</v>
      </c>
      <c r="AK1528" s="145" t="s">
        <v>229</v>
      </c>
      <c r="AW1528" s="99" t="s">
        <v>119</v>
      </c>
      <c r="AX1528" s="99">
        <v>3</v>
      </c>
      <c r="AZ1528" s="99" t="s">
        <v>141</v>
      </c>
      <c r="BB1528" s="99">
        <v>1962</v>
      </c>
      <c r="BC1528" s="99">
        <f>BB1528/69</f>
        <v>28.434782608695652</v>
      </c>
      <c r="BP1528" s="426"/>
      <c r="BQ1528" s="426"/>
      <c r="BU1528" s="426"/>
      <c r="BV1528" s="426"/>
      <c r="BZ1528" s="426"/>
      <c r="CA1528" s="426"/>
      <c r="CE1528" s="579"/>
      <c r="CF1528" s="579"/>
      <c r="CG1528" s="579"/>
      <c r="CH1528" s="579"/>
      <c r="CJ1528" s="99">
        <v>57.76</v>
      </c>
      <c r="CK1528" s="99">
        <v>23.09</v>
      </c>
      <c r="CL1528" s="33"/>
      <c r="CM1528" s="33"/>
      <c r="CN1528" s="33" t="s">
        <v>1071</v>
      </c>
      <c r="FL1528" s="99">
        <v>7.15</v>
      </c>
      <c r="FM1528" s="99">
        <v>7.97</v>
      </c>
      <c r="FV1528" s="99">
        <v>15.1</v>
      </c>
      <c r="FW1528" s="99">
        <v>7.63</v>
      </c>
      <c r="FZ1528" s="33" t="s">
        <v>1076</v>
      </c>
      <c r="GF1528" s="99">
        <v>46.96</v>
      </c>
      <c r="GG1528" s="99">
        <v>75.45</v>
      </c>
      <c r="GJ1528" s="33" t="s">
        <v>1077</v>
      </c>
      <c r="GK1528" s="33"/>
      <c r="GL1528" s="33"/>
      <c r="GM1528" s="33"/>
      <c r="GN1528" s="33"/>
      <c r="GO1528" s="33"/>
      <c r="GP1528" s="33"/>
      <c r="GQ1528" s="33"/>
      <c r="GR1528" s="33"/>
      <c r="GS1528" s="33"/>
      <c r="GT1528" s="33"/>
      <c r="GU1528" s="33"/>
      <c r="GV1528" s="33"/>
      <c r="GW1528" s="33"/>
      <c r="GX1528" s="33"/>
      <c r="GY1528" s="33"/>
      <c r="HJ1528" s="99">
        <v>7.05</v>
      </c>
      <c r="HK1528" s="99">
        <v>4.3</v>
      </c>
      <c r="IN1528" s="99">
        <v>117.26</v>
      </c>
      <c r="IO1528" s="99">
        <v>244.18</v>
      </c>
      <c r="IS1528" s="99">
        <v>6.37</v>
      </c>
      <c r="IT1528" s="99">
        <v>15.97</v>
      </c>
      <c r="JB1528" s="99" t="s">
        <v>1073</v>
      </c>
      <c r="JC1528" s="33" t="s">
        <v>1074</v>
      </c>
    </row>
    <row r="1529" spans="1:263" s="99" customFormat="1" x14ac:dyDescent="0.25">
      <c r="A1529" s="99">
        <v>70</v>
      </c>
      <c r="B1529" s="47" t="s">
        <v>4082</v>
      </c>
      <c r="C1529" s="99" t="s">
        <v>1060</v>
      </c>
      <c r="D1529" s="99" t="s">
        <v>1061</v>
      </c>
      <c r="E1529" s="99">
        <v>1996</v>
      </c>
      <c r="F1529" s="99">
        <v>1993</v>
      </c>
      <c r="G1529" s="99" t="s">
        <v>1062</v>
      </c>
      <c r="H1529" s="99" t="s">
        <v>1063</v>
      </c>
      <c r="I1529" s="32" t="s">
        <v>2815</v>
      </c>
      <c r="J1529" s="99">
        <v>36.69</v>
      </c>
      <c r="K1529" s="99">
        <v>-121.64</v>
      </c>
      <c r="L1529" s="99">
        <v>11.5</v>
      </c>
      <c r="R1529" s="100" t="s">
        <v>1847</v>
      </c>
      <c r="S1529" s="100" t="s">
        <v>1847</v>
      </c>
      <c r="T1529" s="100" t="s">
        <v>864</v>
      </c>
      <c r="U1529" s="100" t="s">
        <v>2000</v>
      </c>
      <c r="V1529" s="47" t="s">
        <v>1395</v>
      </c>
      <c r="W1529" s="47" t="s">
        <v>1723</v>
      </c>
      <c r="X1529" s="47" t="s">
        <v>1395</v>
      </c>
      <c r="Y1529" s="47" t="s">
        <v>1395</v>
      </c>
      <c r="Z1529" s="99">
        <v>1.46</v>
      </c>
      <c r="AA1529" s="351">
        <v>69</v>
      </c>
      <c r="AB1529" s="351">
        <v>20</v>
      </c>
      <c r="AC1529" s="99" t="s">
        <v>139</v>
      </c>
      <c r="AD1529" s="99">
        <v>7.7</v>
      </c>
      <c r="AE1529" s="99">
        <v>0.62</v>
      </c>
      <c r="AG1529" s="33" t="s">
        <v>1353</v>
      </c>
      <c r="AH1529" s="99" t="s">
        <v>1064</v>
      </c>
      <c r="AI1529" s="138" t="s">
        <v>1586</v>
      </c>
      <c r="AJ1529" s="99" t="s">
        <v>634</v>
      </c>
      <c r="AK1529" s="145" t="s">
        <v>229</v>
      </c>
      <c r="AW1529" s="99" t="s">
        <v>119</v>
      </c>
      <c r="AX1529" s="99">
        <v>3</v>
      </c>
      <c r="AZ1529" s="99" t="s">
        <v>141</v>
      </c>
      <c r="BB1529" s="99">
        <v>3640</v>
      </c>
      <c r="BC1529" s="99">
        <f>BB1529/106</f>
        <v>34.339622641509436</v>
      </c>
      <c r="BP1529" s="426"/>
      <c r="BQ1529" s="426"/>
      <c r="BU1529" s="426"/>
      <c r="BV1529" s="426"/>
      <c r="BZ1529" s="426"/>
      <c r="CA1529" s="426"/>
      <c r="CE1529" s="579"/>
      <c r="CF1529" s="579"/>
      <c r="CG1529" s="579"/>
      <c r="CH1529" s="579"/>
      <c r="CJ1529" s="99">
        <v>70.599999999999994</v>
      </c>
      <c r="CK1529" s="99">
        <v>70.31</v>
      </c>
      <c r="CL1529" s="33"/>
      <c r="CM1529" s="33"/>
      <c r="CN1529" s="33" t="s">
        <v>1071</v>
      </c>
      <c r="FL1529" s="99">
        <v>5.56</v>
      </c>
      <c r="FM1529" s="99">
        <v>5.78</v>
      </c>
      <c r="FV1529" s="99">
        <v>8.41</v>
      </c>
      <c r="FW1529" s="99">
        <v>7.1</v>
      </c>
      <c r="FZ1529" s="33" t="s">
        <v>1076</v>
      </c>
      <c r="GF1529" s="99">
        <v>42.08</v>
      </c>
      <c r="GG1529" s="99">
        <v>33.54</v>
      </c>
      <c r="GJ1529" s="33" t="s">
        <v>1077</v>
      </c>
      <c r="GK1529" s="33"/>
      <c r="GL1529" s="33"/>
      <c r="GM1529" s="33"/>
      <c r="GN1529" s="33"/>
      <c r="GO1529" s="33"/>
      <c r="GP1529" s="33"/>
      <c r="GQ1529" s="33"/>
      <c r="GR1529" s="33"/>
      <c r="GS1529" s="33"/>
      <c r="GT1529" s="33"/>
      <c r="GU1529" s="33"/>
      <c r="GV1529" s="33"/>
      <c r="GW1529" s="33"/>
      <c r="GX1529" s="33"/>
      <c r="GY1529" s="33"/>
      <c r="HJ1529" s="99">
        <v>3.86</v>
      </c>
      <c r="HK1529" s="99">
        <v>3.86</v>
      </c>
      <c r="IN1529" s="99">
        <v>119.25</v>
      </c>
      <c r="IO1529" s="99">
        <v>190.9</v>
      </c>
      <c r="IS1529" s="99">
        <v>11.22</v>
      </c>
      <c r="IT1529" s="99">
        <v>12.94</v>
      </c>
      <c r="JB1529" s="99" t="s">
        <v>781</v>
      </c>
      <c r="JC1529" s="33" t="s">
        <v>1074</v>
      </c>
    </row>
    <row r="1530" spans="1:263" s="28" customFormat="1" x14ac:dyDescent="0.25">
      <c r="A1530" s="28">
        <v>70</v>
      </c>
      <c r="B1530" s="46" t="s">
        <v>4083</v>
      </c>
      <c r="C1530" s="28" t="s">
        <v>1060</v>
      </c>
      <c r="D1530" s="28" t="s">
        <v>1061</v>
      </c>
      <c r="E1530" s="28">
        <v>1996</v>
      </c>
      <c r="F1530" s="28">
        <v>1992</v>
      </c>
      <c r="G1530" s="28" t="s">
        <v>1062</v>
      </c>
      <c r="H1530" s="28" t="s">
        <v>1063</v>
      </c>
      <c r="I1530" s="32" t="s">
        <v>2815</v>
      </c>
      <c r="J1530" s="28">
        <v>36.69</v>
      </c>
      <c r="K1530" s="28">
        <v>-121.64</v>
      </c>
      <c r="L1530" s="28">
        <v>11.5</v>
      </c>
      <c r="R1530" s="46">
        <v>1</v>
      </c>
      <c r="S1530" s="46" t="s">
        <v>1847</v>
      </c>
      <c r="T1530" s="46" t="s">
        <v>864</v>
      </c>
      <c r="U1530" s="46" t="s">
        <v>1065</v>
      </c>
      <c r="V1530" s="46" t="s">
        <v>1395</v>
      </c>
      <c r="W1530" s="46" t="s">
        <v>1723</v>
      </c>
      <c r="X1530" s="46" t="s">
        <v>1395</v>
      </c>
      <c r="Y1530" s="46" t="s">
        <v>1395</v>
      </c>
      <c r="Z1530" s="28">
        <v>1.46</v>
      </c>
      <c r="AA1530" s="326">
        <v>69</v>
      </c>
      <c r="AB1530" s="326">
        <v>20</v>
      </c>
      <c r="AC1530" s="28" t="s">
        <v>139</v>
      </c>
      <c r="AD1530" s="28">
        <v>7.7</v>
      </c>
      <c r="AE1530" s="28">
        <v>0.62</v>
      </c>
      <c r="AG1530" s="28" t="s">
        <v>1353</v>
      </c>
      <c r="AH1530" s="28" t="s">
        <v>131</v>
      </c>
      <c r="AI1530" s="138" t="s">
        <v>131</v>
      </c>
      <c r="AJ1530" s="28" t="s">
        <v>634</v>
      </c>
      <c r="AK1530" s="141" t="s">
        <v>229</v>
      </c>
      <c r="AW1530" s="28" t="s">
        <v>119</v>
      </c>
      <c r="AX1530" s="28">
        <v>3</v>
      </c>
      <c r="AZ1530" s="28" t="s">
        <v>141</v>
      </c>
      <c r="BB1530" s="28">
        <v>8.1</v>
      </c>
      <c r="BC1530" s="28">
        <f>BB1530/0.5</f>
        <v>16.2</v>
      </c>
      <c r="BK1530" s="28">
        <v>3</v>
      </c>
      <c r="BL1530" s="28">
        <v>4</v>
      </c>
      <c r="BP1530" s="401"/>
      <c r="BQ1530" s="401"/>
      <c r="BU1530" s="401"/>
      <c r="BV1530" s="401"/>
      <c r="BZ1530" s="401"/>
      <c r="CA1530" s="401"/>
      <c r="CE1530" s="554"/>
      <c r="CF1530" s="554"/>
      <c r="CG1530" s="554"/>
      <c r="CH1530" s="554"/>
      <c r="CJ1530" s="28">
        <v>67.489999999999995</v>
      </c>
      <c r="CK1530" s="28">
        <v>35.72</v>
      </c>
      <c r="CN1530" s="28" t="s">
        <v>1071</v>
      </c>
      <c r="FL1530" s="28">
        <v>4.82</v>
      </c>
      <c r="FM1530" s="28">
        <v>6.39</v>
      </c>
      <c r="FV1530" s="28">
        <v>0.75</v>
      </c>
      <c r="FW1530" s="28">
        <v>6.06</v>
      </c>
      <c r="FZ1530" s="28" t="s">
        <v>1076</v>
      </c>
      <c r="GF1530" s="28">
        <v>1.38</v>
      </c>
      <c r="GG1530" s="28">
        <v>4.2300000000000004</v>
      </c>
      <c r="GJ1530" s="28" t="s">
        <v>1077</v>
      </c>
      <c r="HJ1530" s="28">
        <v>6.56</v>
      </c>
      <c r="HK1530" s="28">
        <v>7.72</v>
      </c>
      <c r="IN1530" s="28">
        <v>86.95</v>
      </c>
      <c r="IO1530" s="28">
        <v>86.95</v>
      </c>
      <c r="IS1530" s="28">
        <v>10.52</v>
      </c>
      <c r="IT1530" s="28">
        <v>10.52</v>
      </c>
      <c r="JB1530" s="28" t="s">
        <v>781</v>
      </c>
      <c r="JC1530" s="28" t="s">
        <v>1074</v>
      </c>
    </row>
    <row r="1531" spans="1:263" s="28" customFormat="1" x14ac:dyDescent="0.25">
      <c r="A1531" s="28">
        <v>70</v>
      </c>
      <c r="B1531" s="46" t="s">
        <v>4083</v>
      </c>
      <c r="C1531" s="28" t="s">
        <v>1060</v>
      </c>
      <c r="D1531" s="28" t="s">
        <v>1061</v>
      </c>
      <c r="E1531" s="28">
        <v>1996</v>
      </c>
      <c r="F1531" s="28">
        <v>1992</v>
      </c>
      <c r="G1531" s="28" t="s">
        <v>1062</v>
      </c>
      <c r="H1531" s="28" t="s">
        <v>1063</v>
      </c>
      <c r="I1531" s="32" t="s">
        <v>2815</v>
      </c>
      <c r="J1531" s="28">
        <v>36.69</v>
      </c>
      <c r="K1531" s="28">
        <v>-121.64</v>
      </c>
      <c r="L1531" s="28">
        <v>11.5</v>
      </c>
      <c r="R1531" s="46">
        <v>1</v>
      </c>
      <c r="S1531" s="46" t="s">
        <v>1847</v>
      </c>
      <c r="T1531" s="46" t="s">
        <v>864</v>
      </c>
      <c r="U1531" s="46" t="s">
        <v>1066</v>
      </c>
      <c r="V1531" s="46" t="s">
        <v>1395</v>
      </c>
      <c r="W1531" s="46" t="s">
        <v>1723</v>
      </c>
      <c r="X1531" s="46" t="s">
        <v>1395</v>
      </c>
      <c r="Y1531" s="46" t="s">
        <v>1395</v>
      </c>
      <c r="Z1531" s="28">
        <v>1.46</v>
      </c>
      <c r="AA1531" s="326">
        <v>69</v>
      </c>
      <c r="AB1531" s="326">
        <v>20</v>
      </c>
      <c r="AC1531" s="28" t="s">
        <v>139</v>
      </c>
      <c r="AD1531" s="28">
        <v>7.7</v>
      </c>
      <c r="AE1531" s="28">
        <v>0.62</v>
      </c>
      <c r="AG1531" s="28" t="s">
        <v>1353</v>
      </c>
      <c r="AH1531" s="28" t="s">
        <v>131</v>
      </c>
      <c r="AI1531" s="138" t="s">
        <v>131</v>
      </c>
      <c r="AJ1531" s="28" t="s">
        <v>634</v>
      </c>
      <c r="AK1531" s="141" t="s">
        <v>229</v>
      </c>
      <c r="AW1531" s="28" t="s">
        <v>119</v>
      </c>
      <c r="AX1531" s="28">
        <v>3</v>
      </c>
      <c r="AZ1531" s="28" t="s">
        <v>141</v>
      </c>
      <c r="BB1531" s="28">
        <v>347</v>
      </c>
      <c r="BC1531" s="28">
        <f>BB1531/21</f>
        <v>16.523809523809526</v>
      </c>
      <c r="BK1531" s="28">
        <v>123</v>
      </c>
      <c r="BL1531" s="28">
        <v>115</v>
      </c>
      <c r="BP1531" s="401"/>
      <c r="BQ1531" s="401"/>
      <c r="BU1531" s="401"/>
      <c r="BV1531" s="401"/>
      <c r="BZ1531" s="401"/>
      <c r="CA1531" s="401"/>
      <c r="CE1531" s="554"/>
      <c r="CF1531" s="554"/>
      <c r="CG1531" s="554"/>
      <c r="CH1531" s="554"/>
      <c r="CJ1531" s="28">
        <v>80.33</v>
      </c>
      <c r="CK1531" s="28">
        <v>84.17</v>
      </c>
      <c r="CN1531" s="28" t="s">
        <v>1071</v>
      </c>
      <c r="FL1531" s="28">
        <v>11.17</v>
      </c>
      <c r="FM1531" s="28">
        <v>12.06</v>
      </c>
      <c r="FV1531" s="28">
        <v>5.86</v>
      </c>
      <c r="FW1531" s="28">
        <v>1.4</v>
      </c>
      <c r="FZ1531" s="28" t="s">
        <v>1076</v>
      </c>
      <c r="GF1531" s="28">
        <v>10.8</v>
      </c>
      <c r="GG1531" s="28">
        <v>9.86</v>
      </c>
      <c r="GJ1531" s="28" t="s">
        <v>1077</v>
      </c>
      <c r="HJ1531" s="28">
        <v>12.79</v>
      </c>
      <c r="HK1531" s="28">
        <v>8.59</v>
      </c>
      <c r="IN1531" s="28">
        <v>203.57</v>
      </c>
      <c r="IO1531" s="28">
        <v>154.43</v>
      </c>
      <c r="IS1531" s="28">
        <v>19.37</v>
      </c>
      <c r="IT1531" s="28">
        <v>19.23</v>
      </c>
      <c r="JB1531" s="28" t="s">
        <v>883</v>
      </c>
      <c r="JC1531" s="28" t="s">
        <v>1074</v>
      </c>
    </row>
    <row r="1532" spans="1:263" s="28" customFormat="1" x14ac:dyDescent="0.25">
      <c r="A1532" s="28">
        <v>70</v>
      </c>
      <c r="B1532" s="46" t="s">
        <v>4083</v>
      </c>
      <c r="C1532" s="28" t="s">
        <v>1060</v>
      </c>
      <c r="D1532" s="28" t="s">
        <v>1061</v>
      </c>
      <c r="E1532" s="28">
        <v>1996</v>
      </c>
      <c r="F1532" s="28">
        <v>1993</v>
      </c>
      <c r="G1532" s="28" t="s">
        <v>1062</v>
      </c>
      <c r="H1532" s="28" t="s">
        <v>1063</v>
      </c>
      <c r="I1532" s="32" t="s">
        <v>2815</v>
      </c>
      <c r="J1532" s="28">
        <v>36.69</v>
      </c>
      <c r="K1532" s="28">
        <v>-121.64</v>
      </c>
      <c r="L1532" s="28">
        <v>11.5</v>
      </c>
      <c r="R1532" s="46" t="s">
        <v>1847</v>
      </c>
      <c r="S1532" s="46" t="s">
        <v>1847</v>
      </c>
      <c r="T1532" s="46" t="s">
        <v>864</v>
      </c>
      <c r="U1532" s="46" t="s">
        <v>1067</v>
      </c>
      <c r="V1532" s="46" t="s">
        <v>1395</v>
      </c>
      <c r="W1532" s="46" t="s">
        <v>1723</v>
      </c>
      <c r="X1532" s="46" t="s">
        <v>1395</v>
      </c>
      <c r="Y1532" s="46" t="s">
        <v>1395</v>
      </c>
      <c r="Z1532" s="28">
        <v>1.46</v>
      </c>
      <c r="AA1532" s="326">
        <v>69</v>
      </c>
      <c r="AB1532" s="326">
        <v>20</v>
      </c>
      <c r="AC1532" s="28" t="s">
        <v>139</v>
      </c>
      <c r="AD1532" s="28">
        <v>7.7</v>
      </c>
      <c r="AE1532" s="28">
        <v>0.62</v>
      </c>
      <c r="AG1532" s="28" t="s">
        <v>1353</v>
      </c>
      <c r="AH1532" s="28" t="s">
        <v>131</v>
      </c>
      <c r="AI1532" s="138" t="s">
        <v>131</v>
      </c>
      <c r="AJ1532" s="28" t="s">
        <v>634</v>
      </c>
      <c r="AK1532" s="141" t="s">
        <v>229</v>
      </c>
      <c r="AW1532" s="28" t="s">
        <v>119</v>
      </c>
      <c r="AX1532" s="28">
        <v>3</v>
      </c>
      <c r="AZ1532" s="28" t="s">
        <v>141</v>
      </c>
      <c r="BB1532" s="28">
        <v>1399</v>
      </c>
      <c r="BC1532" s="28">
        <f>BB1532/59</f>
        <v>23.711864406779661</v>
      </c>
      <c r="BK1532" s="28">
        <v>1285</v>
      </c>
      <c r="BL1532" s="28">
        <v>1215</v>
      </c>
      <c r="BP1532" s="401"/>
      <c r="BQ1532" s="401"/>
      <c r="BU1532" s="401"/>
      <c r="BV1532" s="401"/>
      <c r="BZ1532" s="401"/>
      <c r="CA1532" s="401"/>
      <c r="CE1532" s="554"/>
      <c r="CF1532" s="554"/>
      <c r="CG1532" s="554"/>
      <c r="CH1532" s="554"/>
      <c r="CJ1532" s="28">
        <v>42.55</v>
      </c>
      <c r="CK1532" s="28">
        <v>38.950000000000003</v>
      </c>
      <c r="CN1532" s="28" t="s">
        <v>1071</v>
      </c>
      <c r="FL1532" s="28">
        <v>8.9</v>
      </c>
      <c r="FM1532" s="28">
        <v>7.34</v>
      </c>
      <c r="FV1532" s="28">
        <v>0.74</v>
      </c>
      <c r="FW1532" s="28">
        <v>0.74</v>
      </c>
      <c r="FZ1532" s="28" t="s">
        <v>1076</v>
      </c>
      <c r="GF1532" s="28">
        <v>9.8000000000000007</v>
      </c>
      <c r="GG1532" s="28">
        <v>47.8</v>
      </c>
      <c r="GJ1532" s="28" t="s">
        <v>1077</v>
      </c>
      <c r="HJ1532" s="28">
        <v>6.56</v>
      </c>
      <c r="HK1532" s="28">
        <v>9.5299999999999994</v>
      </c>
      <c r="IN1532" s="28">
        <v>189.18</v>
      </c>
      <c r="IO1532" s="28">
        <v>299.72000000000003</v>
      </c>
      <c r="IS1532" s="28">
        <v>10.18</v>
      </c>
      <c r="IT1532" s="28">
        <v>12.76</v>
      </c>
      <c r="JB1532" s="28" t="s">
        <v>983</v>
      </c>
      <c r="JC1532" s="28" t="s">
        <v>1074</v>
      </c>
    </row>
    <row r="1533" spans="1:263" s="28" customFormat="1" x14ac:dyDescent="0.25">
      <c r="A1533" s="28">
        <v>70</v>
      </c>
      <c r="B1533" s="46" t="s">
        <v>4083</v>
      </c>
      <c r="C1533" s="28" t="s">
        <v>1060</v>
      </c>
      <c r="D1533" s="28" t="s">
        <v>1061</v>
      </c>
      <c r="E1533" s="28">
        <v>1996</v>
      </c>
      <c r="F1533" s="28">
        <v>1993</v>
      </c>
      <c r="G1533" s="28" t="s">
        <v>1062</v>
      </c>
      <c r="H1533" s="28" t="s">
        <v>1063</v>
      </c>
      <c r="I1533" s="32" t="s">
        <v>2815</v>
      </c>
      <c r="J1533" s="28">
        <v>36.69</v>
      </c>
      <c r="K1533" s="28">
        <v>-121.64</v>
      </c>
      <c r="L1533" s="28">
        <v>11.5</v>
      </c>
      <c r="R1533" s="46" t="s">
        <v>1847</v>
      </c>
      <c r="S1533" s="46" t="s">
        <v>1847</v>
      </c>
      <c r="T1533" s="46" t="s">
        <v>864</v>
      </c>
      <c r="U1533" s="46" t="s">
        <v>1068</v>
      </c>
      <c r="V1533" s="46" t="s">
        <v>1395</v>
      </c>
      <c r="W1533" s="46" t="s">
        <v>1723</v>
      </c>
      <c r="X1533" s="46" t="s">
        <v>1395</v>
      </c>
      <c r="Y1533" s="46" t="s">
        <v>1395</v>
      </c>
      <c r="Z1533" s="28">
        <v>1.46</v>
      </c>
      <c r="AA1533" s="326">
        <v>69</v>
      </c>
      <c r="AB1533" s="326">
        <v>20</v>
      </c>
      <c r="AC1533" s="28" t="s">
        <v>139</v>
      </c>
      <c r="AD1533" s="28">
        <v>7.7</v>
      </c>
      <c r="AE1533" s="28">
        <v>0.62</v>
      </c>
      <c r="AG1533" s="28" t="s">
        <v>1353</v>
      </c>
      <c r="AH1533" s="28" t="s">
        <v>131</v>
      </c>
      <c r="AI1533" s="138" t="s">
        <v>131</v>
      </c>
      <c r="AJ1533" s="28" t="s">
        <v>634</v>
      </c>
      <c r="AK1533" s="141" t="s">
        <v>229</v>
      </c>
      <c r="AW1533" s="28" t="s">
        <v>119</v>
      </c>
      <c r="AX1533" s="28">
        <v>3</v>
      </c>
      <c r="AZ1533" s="28" t="s">
        <v>141</v>
      </c>
      <c r="BB1533" s="28">
        <v>2151</v>
      </c>
      <c r="BC1533" s="28">
        <f>BB1533/78</f>
        <v>27.576923076923077</v>
      </c>
      <c r="BK1533" s="28">
        <v>5821</v>
      </c>
      <c r="BL1533" s="28">
        <v>5902</v>
      </c>
      <c r="BP1533" s="401"/>
      <c r="BQ1533" s="401"/>
      <c r="BU1533" s="401"/>
      <c r="BV1533" s="401"/>
      <c r="BZ1533" s="401"/>
      <c r="CA1533" s="401"/>
      <c r="CE1533" s="554"/>
      <c r="CF1533" s="554"/>
      <c r="CG1533" s="554"/>
      <c r="CH1533" s="554"/>
      <c r="CJ1533" s="28">
        <v>18.420000000000002</v>
      </c>
      <c r="CK1533" s="28">
        <v>1.34</v>
      </c>
      <c r="CN1533" s="28" t="s">
        <v>1071</v>
      </c>
      <c r="FL1533" s="28">
        <v>8.3699999999999992</v>
      </c>
      <c r="FM1533" s="28">
        <v>6.13</v>
      </c>
      <c r="FV1533" s="28">
        <v>3.62</v>
      </c>
      <c r="FW1533" s="28">
        <v>6.9</v>
      </c>
      <c r="FZ1533" s="28" t="s">
        <v>1076</v>
      </c>
      <c r="GF1533" s="28">
        <v>22.13</v>
      </c>
      <c r="GG1533" s="28">
        <v>56.3</v>
      </c>
      <c r="GJ1533" s="28" t="s">
        <v>1077</v>
      </c>
      <c r="HJ1533" s="28">
        <v>7.56</v>
      </c>
      <c r="HK1533" s="28">
        <v>7.57</v>
      </c>
      <c r="IN1533" s="28">
        <v>275.08999999999997</v>
      </c>
      <c r="IO1533" s="28">
        <v>150.22</v>
      </c>
      <c r="IS1533" s="28">
        <v>15.46</v>
      </c>
      <c r="IT1533" s="28">
        <v>19.62</v>
      </c>
      <c r="JB1533" s="28" t="s">
        <v>984</v>
      </c>
      <c r="JC1533" s="28" t="s">
        <v>1074</v>
      </c>
    </row>
    <row r="1534" spans="1:263" s="28" customFormat="1" x14ac:dyDescent="0.25">
      <c r="A1534" s="28">
        <v>70</v>
      </c>
      <c r="B1534" s="46" t="s">
        <v>4083</v>
      </c>
      <c r="C1534" s="28" t="s">
        <v>1060</v>
      </c>
      <c r="D1534" s="28" t="s">
        <v>1061</v>
      </c>
      <c r="E1534" s="28">
        <v>1996</v>
      </c>
      <c r="F1534" s="28">
        <v>1993</v>
      </c>
      <c r="G1534" s="28" t="s">
        <v>1062</v>
      </c>
      <c r="H1534" s="28" t="s">
        <v>1063</v>
      </c>
      <c r="I1534" s="32" t="s">
        <v>2815</v>
      </c>
      <c r="J1534" s="28">
        <v>36.69</v>
      </c>
      <c r="K1534" s="28">
        <v>-121.64</v>
      </c>
      <c r="L1534" s="28">
        <v>11.5</v>
      </c>
      <c r="R1534" s="46" t="s">
        <v>1847</v>
      </c>
      <c r="S1534" s="46" t="s">
        <v>1847</v>
      </c>
      <c r="T1534" s="46" t="s">
        <v>864</v>
      </c>
      <c r="U1534" s="46" t="s">
        <v>1069</v>
      </c>
      <c r="V1534" s="46" t="s">
        <v>1395</v>
      </c>
      <c r="W1534" s="46" t="s">
        <v>1723</v>
      </c>
      <c r="X1534" s="46" t="s">
        <v>1395</v>
      </c>
      <c r="Y1534" s="46" t="s">
        <v>1395</v>
      </c>
      <c r="Z1534" s="28">
        <v>1.46</v>
      </c>
      <c r="AA1534" s="326">
        <v>69</v>
      </c>
      <c r="AB1534" s="326">
        <v>20</v>
      </c>
      <c r="AC1534" s="28" t="s">
        <v>139</v>
      </c>
      <c r="AD1534" s="28">
        <v>7.7</v>
      </c>
      <c r="AE1534" s="28">
        <v>0.62</v>
      </c>
      <c r="AG1534" s="28" t="s">
        <v>1353</v>
      </c>
      <c r="AH1534" s="28" t="s">
        <v>131</v>
      </c>
      <c r="AI1534" s="138" t="s">
        <v>131</v>
      </c>
      <c r="AJ1534" s="28" t="s">
        <v>634</v>
      </c>
      <c r="AK1534" s="141" t="s">
        <v>229</v>
      </c>
      <c r="AW1534" s="28" t="s">
        <v>119</v>
      </c>
      <c r="AX1534" s="28">
        <v>3</v>
      </c>
      <c r="AZ1534" s="28" t="s">
        <v>141</v>
      </c>
      <c r="BB1534" s="28">
        <v>3727</v>
      </c>
      <c r="BC1534" s="28">
        <f>BB1534/136</f>
        <v>27.404411764705884</v>
      </c>
      <c r="BK1534" s="28">
        <v>8303</v>
      </c>
      <c r="BL1534" s="28">
        <v>8672</v>
      </c>
      <c r="BP1534" s="401"/>
      <c r="BQ1534" s="401"/>
      <c r="BU1534" s="401"/>
      <c r="BV1534" s="401"/>
      <c r="BZ1534" s="401"/>
      <c r="CA1534" s="401"/>
      <c r="CE1534" s="554"/>
      <c r="CF1534" s="554"/>
      <c r="CG1534" s="554"/>
      <c r="CH1534" s="554"/>
      <c r="CJ1534" s="28">
        <v>15.37</v>
      </c>
      <c r="CK1534" s="28">
        <v>7.27</v>
      </c>
      <c r="CN1534" s="28" t="s">
        <v>1071</v>
      </c>
      <c r="FL1534" s="28">
        <v>7.55</v>
      </c>
      <c r="FM1534" s="28">
        <v>5.75</v>
      </c>
      <c r="FV1534" s="28">
        <v>3.42</v>
      </c>
      <c r="FW1534" s="28">
        <v>9.4499999999999993</v>
      </c>
      <c r="FZ1534" s="28" t="s">
        <v>1076</v>
      </c>
      <c r="GF1534" s="28">
        <v>8.8000000000000007</v>
      </c>
      <c r="GG1534" s="28">
        <v>14.5</v>
      </c>
      <c r="GJ1534" s="28" t="s">
        <v>1077</v>
      </c>
      <c r="HJ1534" s="28">
        <v>4.8</v>
      </c>
      <c r="HK1534" s="28">
        <v>7.64</v>
      </c>
      <c r="IN1534" s="28">
        <v>152.24</v>
      </c>
      <c r="IO1534" s="28">
        <v>273.02</v>
      </c>
      <c r="IS1534" s="28">
        <v>4.99</v>
      </c>
      <c r="IT1534" s="28">
        <v>10.3</v>
      </c>
      <c r="JB1534" s="28" t="s">
        <v>780</v>
      </c>
      <c r="JC1534" s="28" t="s">
        <v>1074</v>
      </c>
    </row>
    <row r="1535" spans="1:263" s="97" customFormat="1" x14ac:dyDescent="0.25">
      <c r="A1535" s="97">
        <v>70</v>
      </c>
      <c r="B1535" s="46" t="s">
        <v>4083</v>
      </c>
      <c r="C1535" s="97" t="s">
        <v>1060</v>
      </c>
      <c r="D1535" s="97" t="s">
        <v>1061</v>
      </c>
      <c r="E1535" s="97">
        <v>1996</v>
      </c>
      <c r="F1535" s="97">
        <v>1992</v>
      </c>
      <c r="G1535" s="97" t="s">
        <v>1062</v>
      </c>
      <c r="H1535" s="97" t="s">
        <v>1063</v>
      </c>
      <c r="I1535" s="32" t="s">
        <v>2815</v>
      </c>
      <c r="J1535" s="97">
        <v>36.69</v>
      </c>
      <c r="K1535" s="97">
        <v>-121.64</v>
      </c>
      <c r="L1535" s="97">
        <v>11.5</v>
      </c>
      <c r="R1535" s="98">
        <v>1</v>
      </c>
      <c r="S1535" s="98" t="s">
        <v>1847</v>
      </c>
      <c r="T1535" s="98" t="s">
        <v>864</v>
      </c>
      <c r="U1535" s="98" t="s">
        <v>2000</v>
      </c>
      <c r="V1535" s="98" t="s">
        <v>1395</v>
      </c>
      <c r="W1535" s="98" t="s">
        <v>1723</v>
      </c>
      <c r="X1535" s="98" t="s">
        <v>1395</v>
      </c>
      <c r="Y1535" s="98" t="s">
        <v>1395</v>
      </c>
      <c r="Z1535" s="97">
        <v>1.46</v>
      </c>
      <c r="AA1535" s="350">
        <v>69</v>
      </c>
      <c r="AB1535" s="350">
        <v>20</v>
      </c>
      <c r="AC1535" s="97" t="s">
        <v>139</v>
      </c>
      <c r="AD1535" s="97">
        <v>7.7</v>
      </c>
      <c r="AE1535" s="97">
        <v>0.62</v>
      </c>
      <c r="AG1535" s="97" t="s">
        <v>1353</v>
      </c>
      <c r="AH1535" s="97" t="s">
        <v>131</v>
      </c>
      <c r="AI1535" s="138" t="s">
        <v>131</v>
      </c>
      <c r="AJ1535" s="97" t="s">
        <v>634</v>
      </c>
      <c r="AK1535" s="145" t="s">
        <v>229</v>
      </c>
      <c r="AW1535" s="97" t="s">
        <v>119</v>
      </c>
      <c r="AX1535" s="97">
        <v>3</v>
      </c>
      <c r="AZ1535" s="97" t="s">
        <v>141</v>
      </c>
      <c r="BB1535" s="97">
        <v>8.1</v>
      </c>
      <c r="BC1535" s="97">
        <f>BB1535/0.5</f>
        <v>16.2</v>
      </c>
      <c r="BP1535" s="425"/>
      <c r="BQ1535" s="425"/>
      <c r="BU1535" s="425"/>
      <c r="BV1535" s="425"/>
      <c r="BZ1535" s="425"/>
      <c r="CA1535" s="425"/>
      <c r="CE1535" s="578"/>
      <c r="CF1535" s="578"/>
      <c r="CG1535" s="578"/>
      <c r="CH1535" s="578"/>
      <c r="CJ1535" s="97">
        <v>20.61</v>
      </c>
      <c r="CK1535" s="97">
        <v>10.96</v>
      </c>
      <c r="CN1535" s="97" t="s">
        <v>1071</v>
      </c>
      <c r="FL1535" s="97">
        <v>11.36</v>
      </c>
      <c r="FM1535" s="97">
        <v>11.36</v>
      </c>
      <c r="FV1535" s="97">
        <v>0.65</v>
      </c>
      <c r="FW1535" s="97">
        <v>0.52</v>
      </c>
      <c r="FZ1535" s="97" t="s">
        <v>1076</v>
      </c>
      <c r="GF1535" s="97">
        <v>2.82</v>
      </c>
      <c r="GG1535" s="97">
        <v>2.8</v>
      </c>
      <c r="GJ1535" s="97" t="s">
        <v>1077</v>
      </c>
      <c r="HJ1535" s="97">
        <v>6.19</v>
      </c>
      <c r="HK1535" s="97">
        <v>11.77</v>
      </c>
      <c r="IN1535" s="97">
        <v>74.430000000000007</v>
      </c>
      <c r="IO1535" s="97">
        <v>146.09</v>
      </c>
      <c r="IS1535" s="97">
        <v>12.3</v>
      </c>
      <c r="IT1535" s="97">
        <v>18.32</v>
      </c>
      <c r="JB1535" s="97" t="s">
        <v>201</v>
      </c>
      <c r="JC1535" s="97" t="s">
        <v>1074</v>
      </c>
    </row>
    <row r="1536" spans="1:263" s="97" customFormat="1" x14ac:dyDescent="0.25">
      <c r="A1536" s="97">
        <v>70</v>
      </c>
      <c r="B1536" s="46" t="s">
        <v>4083</v>
      </c>
      <c r="C1536" s="97" t="s">
        <v>1060</v>
      </c>
      <c r="D1536" s="97" t="s">
        <v>1061</v>
      </c>
      <c r="E1536" s="97">
        <v>1996</v>
      </c>
      <c r="F1536" s="97">
        <v>1992</v>
      </c>
      <c r="G1536" s="97" t="s">
        <v>1062</v>
      </c>
      <c r="H1536" s="97" t="s">
        <v>1063</v>
      </c>
      <c r="I1536" s="32" t="s">
        <v>2815</v>
      </c>
      <c r="J1536" s="97">
        <v>36.69</v>
      </c>
      <c r="K1536" s="97">
        <v>-121.64</v>
      </c>
      <c r="L1536" s="97">
        <v>11.5</v>
      </c>
      <c r="R1536" s="98">
        <v>1</v>
      </c>
      <c r="S1536" s="98" t="s">
        <v>1847</v>
      </c>
      <c r="T1536" s="98" t="s">
        <v>864</v>
      </c>
      <c r="U1536" s="98" t="s">
        <v>2000</v>
      </c>
      <c r="V1536" s="98" t="s">
        <v>1395</v>
      </c>
      <c r="W1536" s="98" t="s">
        <v>1723</v>
      </c>
      <c r="X1536" s="98" t="s">
        <v>1395</v>
      </c>
      <c r="Y1536" s="98" t="s">
        <v>1395</v>
      </c>
      <c r="Z1536" s="97">
        <v>1.46</v>
      </c>
      <c r="AA1536" s="350">
        <v>69</v>
      </c>
      <c r="AB1536" s="350">
        <v>20</v>
      </c>
      <c r="AC1536" s="97" t="s">
        <v>139</v>
      </c>
      <c r="AD1536" s="97">
        <v>7.7</v>
      </c>
      <c r="AE1536" s="97">
        <v>0.62</v>
      </c>
      <c r="AG1536" s="97" t="s">
        <v>1353</v>
      </c>
      <c r="AH1536" s="97" t="s">
        <v>131</v>
      </c>
      <c r="AI1536" s="138" t="s">
        <v>131</v>
      </c>
      <c r="AJ1536" s="97" t="s">
        <v>634</v>
      </c>
      <c r="AK1536" s="145" t="s">
        <v>229</v>
      </c>
      <c r="AW1536" s="97" t="s">
        <v>119</v>
      </c>
      <c r="AX1536" s="97">
        <v>3</v>
      </c>
      <c r="AZ1536" s="97" t="s">
        <v>141</v>
      </c>
      <c r="BB1536" s="97">
        <v>347</v>
      </c>
      <c r="BC1536" s="97">
        <f>BB1536/21</f>
        <v>16.523809523809526</v>
      </c>
      <c r="BP1536" s="425"/>
      <c r="BQ1536" s="425"/>
      <c r="BU1536" s="425"/>
      <c r="BV1536" s="425"/>
      <c r="BZ1536" s="425"/>
      <c r="CA1536" s="425"/>
      <c r="CE1536" s="578"/>
      <c r="CF1536" s="578"/>
      <c r="CG1536" s="578"/>
      <c r="CH1536" s="578"/>
      <c r="CJ1536" s="97">
        <v>22.56</v>
      </c>
      <c r="CK1536" s="97">
        <v>25.01</v>
      </c>
      <c r="CN1536" s="97" t="s">
        <v>1071</v>
      </c>
      <c r="FL1536" s="97">
        <v>9.19</v>
      </c>
      <c r="FM1536" s="97">
        <v>8.89</v>
      </c>
      <c r="FV1536" s="97">
        <v>1.43</v>
      </c>
      <c r="FW1536" s="97">
        <v>2.41</v>
      </c>
      <c r="FZ1536" s="97" t="s">
        <v>1076</v>
      </c>
      <c r="GF1536" s="97">
        <v>29.28</v>
      </c>
      <c r="GG1536" s="97">
        <v>23.58</v>
      </c>
      <c r="GJ1536" s="97" t="s">
        <v>1077</v>
      </c>
      <c r="HJ1536" s="97">
        <v>3.22</v>
      </c>
      <c r="HK1536" s="97">
        <v>7.06</v>
      </c>
      <c r="IN1536" s="97">
        <v>103.08</v>
      </c>
      <c r="IO1536" s="97">
        <v>176.78</v>
      </c>
      <c r="IS1536" s="97">
        <v>4.41</v>
      </c>
      <c r="IT1536" s="97">
        <v>10.85</v>
      </c>
      <c r="JB1536" s="97" t="s">
        <v>884</v>
      </c>
      <c r="JC1536" s="97" t="s">
        <v>1074</v>
      </c>
    </row>
    <row r="1537" spans="1:263" s="97" customFormat="1" x14ac:dyDescent="0.25">
      <c r="A1537" s="97">
        <v>70</v>
      </c>
      <c r="B1537" s="46" t="s">
        <v>4083</v>
      </c>
      <c r="C1537" s="97" t="s">
        <v>1060</v>
      </c>
      <c r="D1537" s="97" t="s">
        <v>1061</v>
      </c>
      <c r="E1537" s="97">
        <v>1996</v>
      </c>
      <c r="F1537" s="97">
        <v>1993</v>
      </c>
      <c r="G1537" s="97" t="s">
        <v>1062</v>
      </c>
      <c r="H1537" s="97" t="s">
        <v>1063</v>
      </c>
      <c r="I1537" s="32" t="s">
        <v>2815</v>
      </c>
      <c r="J1537" s="97">
        <v>36.69</v>
      </c>
      <c r="K1537" s="97">
        <v>-121.64</v>
      </c>
      <c r="L1537" s="97">
        <v>11.5</v>
      </c>
      <c r="R1537" s="98" t="s">
        <v>1847</v>
      </c>
      <c r="S1537" s="98" t="s">
        <v>1847</v>
      </c>
      <c r="T1537" s="98" t="s">
        <v>864</v>
      </c>
      <c r="U1537" s="98" t="s">
        <v>2000</v>
      </c>
      <c r="V1537" s="98" t="s">
        <v>1395</v>
      </c>
      <c r="W1537" s="98" t="s">
        <v>1723</v>
      </c>
      <c r="X1537" s="98" t="s">
        <v>1395</v>
      </c>
      <c r="Y1537" s="98" t="s">
        <v>1395</v>
      </c>
      <c r="Z1537" s="97">
        <v>1.46</v>
      </c>
      <c r="AA1537" s="350">
        <v>69</v>
      </c>
      <c r="AB1537" s="350">
        <v>20</v>
      </c>
      <c r="AC1537" s="97" t="s">
        <v>139</v>
      </c>
      <c r="AD1537" s="97">
        <v>7.7</v>
      </c>
      <c r="AE1537" s="97">
        <v>0.62</v>
      </c>
      <c r="AG1537" s="97" t="s">
        <v>1353</v>
      </c>
      <c r="AH1537" s="97" t="s">
        <v>131</v>
      </c>
      <c r="AI1537" s="138" t="s">
        <v>131</v>
      </c>
      <c r="AJ1537" s="97" t="s">
        <v>634</v>
      </c>
      <c r="AK1537" s="145" t="s">
        <v>229</v>
      </c>
      <c r="AW1537" s="97" t="s">
        <v>119</v>
      </c>
      <c r="AX1537" s="97">
        <v>3</v>
      </c>
      <c r="AZ1537" s="97" t="s">
        <v>141</v>
      </c>
      <c r="BB1537" s="97">
        <v>1399</v>
      </c>
      <c r="BC1537" s="97">
        <f>BB1537/59</f>
        <v>23.711864406779661</v>
      </c>
      <c r="BP1537" s="425"/>
      <c r="BQ1537" s="425"/>
      <c r="BU1537" s="425"/>
      <c r="BV1537" s="425"/>
      <c r="BZ1537" s="425"/>
      <c r="CA1537" s="425"/>
      <c r="CE1537" s="578"/>
      <c r="CF1537" s="578"/>
      <c r="CG1537" s="578"/>
      <c r="CH1537" s="578"/>
      <c r="CJ1537" s="97">
        <v>44.05</v>
      </c>
      <c r="CK1537" s="97">
        <v>44.76</v>
      </c>
      <c r="CN1537" s="97" t="s">
        <v>1071</v>
      </c>
      <c r="FL1537" s="97">
        <v>8.2799999999999994</v>
      </c>
      <c r="FM1537" s="97">
        <v>7.76</v>
      </c>
      <c r="FV1537" s="97">
        <v>9.02</v>
      </c>
      <c r="FW1537" s="97">
        <v>6</v>
      </c>
      <c r="FZ1537" s="97" t="s">
        <v>1076</v>
      </c>
      <c r="GF1537" s="97">
        <v>153.53</v>
      </c>
      <c r="GG1537" s="97">
        <v>130.69999999999999</v>
      </c>
      <c r="GJ1537" s="97" t="s">
        <v>1077</v>
      </c>
      <c r="HJ1537" s="97">
        <v>5.32</v>
      </c>
      <c r="HK1537" s="97">
        <v>6.41</v>
      </c>
      <c r="IN1537" s="97">
        <v>49.83</v>
      </c>
      <c r="IO1537" s="97">
        <v>101.01</v>
      </c>
      <c r="IS1537" s="97">
        <v>11.14</v>
      </c>
      <c r="IT1537" s="97">
        <v>7.56</v>
      </c>
      <c r="JB1537" s="97" t="s">
        <v>1073</v>
      </c>
      <c r="JC1537" s="97" t="s">
        <v>1074</v>
      </c>
    </row>
    <row r="1538" spans="1:263" s="97" customFormat="1" x14ac:dyDescent="0.25">
      <c r="A1538" s="97">
        <v>70</v>
      </c>
      <c r="B1538" s="46" t="s">
        <v>4083</v>
      </c>
      <c r="C1538" s="97" t="s">
        <v>1060</v>
      </c>
      <c r="D1538" s="97" t="s">
        <v>1061</v>
      </c>
      <c r="E1538" s="97">
        <v>1996</v>
      </c>
      <c r="F1538" s="97">
        <v>1993</v>
      </c>
      <c r="G1538" s="97" t="s">
        <v>1062</v>
      </c>
      <c r="H1538" s="97" t="s">
        <v>1063</v>
      </c>
      <c r="I1538" s="32" t="s">
        <v>2815</v>
      </c>
      <c r="J1538" s="97">
        <v>36.69</v>
      </c>
      <c r="K1538" s="97">
        <v>-121.64</v>
      </c>
      <c r="L1538" s="97">
        <v>11.5</v>
      </c>
      <c r="R1538" s="98" t="s">
        <v>1847</v>
      </c>
      <c r="S1538" s="98" t="s">
        <v>1847</v>
      </c>
      <c r="T1538" s="98" t="s">
        <v>864</v>
      </c>
      <c r="U1538" s="98" t="s">
        <v>2000</v>
      </c>
      <c r="V1538" s="98" t="s">
        <v>1395</v>
      </c>
      <c r="W1538" s="98" t="s">
        <v>1723</v>
      </c>
      <c r="X1538" s="98" t="s">
        <v>1395</v>
      </c>
      <c r="Y1538" s="98" t="s">
        <v>1395</v>
      </c>
      <c r="Z1538" s="97">
        <v>1.46</v>
      </c>
      <c r="AA1538" s="350">
        <v>69</v>
      </c>
      <c r="AB1538" s="350">
        <v>20</v>
      </c>
      <c r="AC1538" s="97" t="s">
        <v>139</v>
      </c>
      <c r="AD1538" s="97">
        <v>7.7</v>
      </c>
      <c r="AE1538" s="97">
        <v>0.62</v>
      </c>
      <c r="AG1538" s="97" t="s">
        <v>1353</v>
      </c>
      <c r="AH1538" s="97" t="s">
        <v>131</v>
      </c>
      <c r="AI1538" s="138" t="s">
        <v>131</v>
      </c>
      <c r="AJ1538" s="97" t="s">
        <v>634</v>
      </c>
      <c r="AK1538" s="145" t="s">
        <v>229</v>
      </c>
      <c r="AW1538" s="97" t="s">
        <v>119</v>
      </c>
      <c r="AX1538" s="97">
        <v>3</v>
      </c>
      <c r="AZ1538" s="97" t="s">
        <v>141</v>
      </c>
      <c r="BB1538" s="97">
        <v>2151</v>
      </c>
      <c r="BC1538" s="97">
        <f>BB1538/78</f>
        <v>27.576923076923077</v>
      </c>
      <c r="BP1538" s="425"/>
      <c r="BQ1538" s="425"/>
      <c r="BU1538" s="425"/>
      <c r="BV1538" s="425"/>
      <c r="BZ1538" s="425"/>
      <c r="CA1538" s="425"/>
      <c r="CE1538" s="578"/>
      <c r="CF1538" s="578"/>
      <c r="CG1538" s="578"/>
      <c r="CH1538" s="578"/>
      <c r="CJ1538" s="97">
        <v>57.76</v>
      </c>
      <c r="CK1538" s="97">
        <v>43.79</v>
      </c>
      <c r="CN1538" s="97" t="s">
        <v>1071</v>
      </c>
      <c r="FL1538" s="97">
        <v>7.15</v>
      </c>
      <c r="FM1538" s="97">
        <v>8.1199999999999992</v>
      </c>
      <c r="FV1538" s="97">
        <v>15.1</v>
      </c>
      <c r="FW1538" s="97">
        <v>9.07</v>
      </c>
      <c r="FZ1538" s="97" t="s">
        <v>1076</v>
      </c>
      <c r="GF1538" s="97">
        <v>46.96</v>
      </c>
      <c r="GG1538" s="97">
        <v>40.31</v>
      </c>
      <c r="GJ1538" s="97" t="s">
        <v>1077</v>
      </c>
      <c r="HJ1538" s="97">
        <v>7.05</v>
      </c>
      <c r="HK1538" s="97">
        <v>7.42</v>
      </c>
      <c r="IN1538" s="97">
        <v>117.26</v>
      </c>
      <c r="IO1538" s="97">
        <v>332.21</v>
      </c>
      <c r="IS1538" s="97">
        <v>6.37</v>
      </c>
      <c r="IT1538" s="97">
        <v>12.53</v>
      </c>
      <c r="JB1538" s="97" t="s">
        <v>1073</v>
      </c>
      <c r="JC1538" s="97" t="s">
        <v>1074</v>
      </c>
    </row>
    <row r="1539" spans="1:263" s="97" customFormat="1" x14ac:dyDescent="0.25">
      <c r="A1539" s="97">
        <v>70</v>
      </c>
      <c r="B1539" s="46" t="s">
        <v>4083</v>
      </c>
      <c r="C1539" s="97" t="s">
        <v>1060</v>
      </c>
      <c r="D1539" s="97" t="s">
        <v>1061</v>
      </c>
      <c r="E1539" s="97">
        <v>1996</v>
      </c>
      <c r="F1539" s="97">
        <v>1993</v>
      </c>
      <c r="G1539" s="97" t="s">
        <v>1062</v>
      </c>
      <c r="H1539" s="97" t="s">
        <v>1063</v>
      </c>
      <c r="I1539" s="32" t="s">
        <v>2815</v>
      </c>
      <c r="J1539" s="97">
        <v>36.69</v>
      </c>
      <c r="K1539" s="97">
        <v>-121.64</v>
      </c>
      <c r="L1539" s="97">
        <v>11.5</v>
      </c>
      <c r="R1539" s="98" t="s">
        <v>1847</v>
      </c>
      <c r="S1539" s="98" t="s">
        <v>1847</v>
      </c>
      <c r="T1539" s="98" t="s">
        <v>864</v>
      </c>
      <c r="U1539" s="98" t="s">
        <v>2000</v>
      </c>
      <c r="V1539" s="98" t="s">
        <v>1395</v>
      </c>
      <c r="W1539" s="98" t="s">
        <v>1723</v>
      </c>
      <c r="X1539" s="98" t="s">
        <v>1395</v>
      </c>
      <c r="Y1539" s="98" t="s">
        <v>1395</v>
      </c>
      <c r="Z1539" s="97">
        <v>1.46</v>
      </c>
      <c r="AA1539" s="350">
        <v>69</v>
      </c>
      <c r="AB1539" s="350">
        <v>20</v>
      </c>
      <c r="AC1539" s="97" t="s">
        <v>139</v>
      </c>
      <c r="AD1539" s="97">
        <v>7.7</v>
      </c>
      <c r="AE1539" s="97">
        <v>0.62</v>
      </c>
      <c r="AG1539" s="97" t="s">
        <v>1353</v>
      </c>
      <c r="AH1539" s="97" t="s">
        <v>131</v>
      </c>
      <c r="AI1539" s="138" t="s">
        <v>131</v>
      </c>
      <c r="AJ1539" s="97" t="s">
        <v>634</v>
      </c>
      <c r="AK1539" s="145" t="s">
        <v>229</v>
      </c>
      <c r="AW1539" s="97" t="s">
        <v>119</v>
      </c>
      <c r="AX1539" s="97">
        <v>3</v>
      </c>
      <c r="AZ1539" s="97" t="s">
        <v>141</v>
      </c>
      <c r="BB1539" s="97">
        <v>3727</v>
      </c>
      <c r="BC1539" s="97">
        <f>BB1539/136</f>
        <v>27.404411764705884</v>
      </c>
      <c r="BP1539" s="425"/>
      <c r="BQ1539" s="425"/>
      <c r="BU1539" s="425"/>
      <c r="BV1539" s="425"/>
      <c r="BZ1539" s="425"/>
      <c r="CA1539" s="425"/>
      <c r="CE1539" s="578"/>
      <c r="CF1539" s="578"/>
      <c r="CG1539" s="578"/>
      <c r="CH1539" s="578"/>
      <c r="CJ1539" s="97">
        <v>70.599999999999994</v>
      </c>
      <c r="CK1539" s="97">
        <v>70.8</v>
      </c>
      <c r="CN1539" s="97" t="s">
        <v>1071</v>
      </c>
      <c r="FL1539" s="97">
        <v>5.56</v>
      </c>
      <c r="FM1539" s="97">
        <v>6</v>
      </c>
      <c r="FV1539" s="97">
        <v>8.41</v>
      </c>
      <c r="FW1539" s="97">
        <v>5.13</v>
      </c>
      <c r="FZ1539" s="97" t="s">
        <v>1076</v>
      </c>
      <c r="GF1539" s="97">
        <v>42.08</v>
      </c>
      <c r="GG1539" s="97">
        <v>29.7</v>
      </c>
      <c r="GJ1539" s="97" t="s">
        <v>1077</v>
      </c>
      <c r="HJ1539" s="97">
        <v>3.86</v>
      </c>
      <c r="HK1539" s="97">
        <v>2.41</v>
      </c>
      <c r="IN1539" s="97">
        <v>119.25</v>
      </c>
      <c r="IO1539" s="97">
        <v>176.57</v>
      </c>
      <c r="IS1539" s="97">
        <v>11.22</v>
      </c>
      <c r="IT1539" s="97">
        <v>12.94</v>
      </c>
      <c r="JB1539" s="97" t="s">
        <v>781</v>
      </c>
      <c r="JC1539" s="97" t="s">
        <v>1074</v>
      </c>
    </row>
    <row r="1540" spans="1:263" s="40" customFormat="1" x14ac:dyDescent="0.25">
      <c r="A1540" s="40">
        <v>71</v>
      </c>
      <c r="B1540" s="71" t="s">
        <v>4084</v>
      </c>
      <c r="C1540" s="40" t="s">
        <v>1078</v>
      </c>
      <c r="D1540" s="40" t="s">
        <v>1079</v>
      </c>
      <c r="E1540" s="40">
        <v>1988</v>
      </c>
      <c r="F1540" s="40">
        <v>1984</v>
      </c>
      <c r="G1540" s="40" t="s">
        <v>1080</v>
      </c>
      <c r="H1540" s="40" t="s">
        <v>1082</v>
      </c>
      <c r="I1540" s="32" t="s">
        <v>2815</v>
      </c>
      <c r="J1540" s="40">
        <v>34.67</v>
      </c>
      <c r="K1540" s="40">
        <v>-86.89</v>
      </c>
      <c r="L1540" s="40">
        <v>182</v>
      </c>
      <c r="R1540" s="71">
        <v>1</v>
      </c>
      <c r="S1540" s="71">
        <v>1</v>
      </c>
      <c r="T1540" s="71" t="s">
        <v>2001</v>
      </c>
      <c r="U1540" s="71" t="s">
        <v>2003</v>
      </c>
      <c r="V1540" s="71" t="s">
        <v>1377</v>
      </c>
      <c r="W1540" s="71" t="s">
        <v>1377</v>
      </c>
      <c r="X1540" s="71" t="s">
        <v>1377</v>
      </c>
      <c r="Y1540" s="71" t="s">
        <v>1377</v>
      </c>
      <c r="AA1540" s="341">
        <v>13</v>
      </c>
      <c r="AB1540" s="341">
        <v>54</v>
      </c>
      <c r="AC1540" s="40" t="s">
        <v>450</v>
      </c>
      <c r="AG1540" s="40" t="s">
        <v>1354</v>
      </c>
      <c r="AH1540" s="40" t="s">
        <v>1527</v>
      </c>
      <c r="AI1540" s="138" t="s">
        <v>1581</v>
      </c>
      <c r="AJ1540" s="40" t="s">
        <v>584</v>
      </c>
      <c r="AK1540" s="140" t="s">
        <v>1646</v>
      </c>
      <c r="AT1540" s="40" t="s">
        <v>1081</v>
      </c>
      <c r="AU1540" s="40" t="s">
        <v>1081</v>
      </c>
      <c r="AV1540" s="40" t="s">
        <v>177</v>
      </c>
      <c r="AW1540" s="40" t="s">
        <v>160</v>
      </c>
      <c r="BK1540" s="40">
        <v>3217</v>
      </c>
      <c r="BL1540" s="40">
        <v>3613</v>
      </c>
      <c r="BP1540" s="416"/>
      <c r="BQ1540" s="416"/>
      <c r="BU1540" s="416"/>
      <c r="BV1540" s="416"/>
      <c r="BZ1540" s="416"/>
      <c r="CA1540" s="416"/>
      <c r="CE1540" s="569"/>
      <c r="CF1540" s="569"/>
      <c r="CG1540" s="569"/>
      <c r="CH1540" s="569"/>
      <c r="ER1540" s="40">
        <v>228</v>
      </c>
      <c r="ES1540" s="40">
        <v>944</v>
      </c>
      <c r="EV1540" s="40" t="s">
        <v>1092</v>
      </c>
      <c r="EW1540" s="40">
        <v>9.1999999999999993</v>
      </c>
      <c r="EX1540" s="40">
        <v>21.3</v>
      </c>
      <c r="FA1540" s="40" t="s">
        <v>1093</v>
      </c>
    </row>
    <row r="1541" spans="1:263" s="40" customFormat="1" x14ac:dyDescent="0.25">
      <c r="A1541" s="40">
        <v>71</v>
      </c>
      <c r="B1541" s="71" t="s">
        <v>4084</v>
      </c>
      <c r="C1541" s="40" t="s">
        <v>1078</v>
      </c>
      <c r="D1541" s="40" t="s">
        <v>1079</v>
      </c>
      <c r="E1541" s="40">
        <v>1988</v>
      </c>
      <c r="F1541" s="40">
        <v>1984</v>
      </c>
      <c r="G1541" s="40" t="s">
        <v>1080</v>
      </c>
      <c r="H1541" s="40" t="s">
        <v>1082</v>
      </c>
      <c r="I1541" s="32" t="s">
        <v>2815</v>
      </c>
      <c r="J1541" s="40">
        <v>34.67</v>
      </c>
      <c r="K1541" s="40">
        <v>-86.89</v>
      </c>
      <c r="L1541" s="40">
        <v>182</v>
      </c>
      <c r="R1541" s="71">
        <v>1</v>
      </c>
      <c r="S1541" s="71">
        <v>1</v>
      </c>
      <c r="T1541" s="71" t="s">
        <v>2001</v>
      </c>
      <c r="U1541" s="71" t="s">
        <v>2003</v>
      </c>
      <c r="V1541" s="71" t="s">
        <v>1377</v>
      </c>
      <c r="W1541" s="71" t="s">
        <v>1377</v>
      </c>
      <c r="X1541" s="71" t="s">
        <v>1377</v>
      </c>
      <c r="Y1541" s="71" t="s">
        <v>1377</v>
      </c>
      <c r="AA1541" s="341">
        <v>13</v>
      </c>
      <c r="AB1541" s="341">
        <v>54</v>
      </c>
      <c r="AC1541" s="40" t="s">
        <v>450</v>
      </c>
      <c r="AG1541" s="40" t="s">
        <v>1354</v>
      </c>
      <c r="AH1541" s="40" t="s">
        <v>1527</v>
      </c>
      <c r="AI1541" s="138" t="s">
        <v>1581</v>
      </c>
      <c r="AJ1541" s="40" t="s">
        <v>584</v>
      </c>
      <c r="AK1541" s="140" t="s">
        <v>1646</v>
      </c>
      <c r="AT1541" s="40" t="s">
        <v>1081</v>
      </c>
      <c r="AU1541" s="40" t="s">
        <v>1081</v>
      </c>
      <c r="AV1541" s="40" t="s">
        <v>177</v>
      </c>
      <c r="AW1541" s="40" t="s">
        <v>160</v>
      </c>
      <c r="BK1541" s="40">
        <v>3217</v>
      </c>
      <c r="BL1541" s="40">
        <v>3108</v>
      </c>
      <c r="BP1541" s="416"/>
      <c r="BQ1541" s="416"/>
      <c r="BU1541" s="416"/>
      <c r="BV1541" s="416"/>
      <c r="BZ1541" s="416"/>
      <c r="CA1541" s="416"/>
      <c r="CE1541" s="569"/>
      <c r="CF1541" s="569"/>
      <c r="CG1541" s="569"/>
      <c r="CH1541" s="569"/>
      <c r="ER1541" s="40">
        <v>228</v>
      </c>
      <c r="ES1541" s="40">
        <v>2103</v>
      </c>
      <c r="EV1541" s="40" t="s">
        <v>1092</v>
      </c>
      <c r="EW1541" s="40">
        <v>9.1999999999999993</v>
      </c>
      <c r="EX1541" s="40">
        <v>24.5</v>
      </c>
      <c r="FA1541" s="40" t="s">
        <v>1093</v>
      </c>
    </row>
    <row r="1542" spans="1:263" s="40" customFormat="1" x14ac:dyDescent="0.25">
      <c r="A1542" s="40">
        <v>71</v>
      </c>
      <c r="B1542" s="71" t="s">
        <v>4084</v>
      </c>
      <c r="C1542" s="40" t="s">
        <v>1078</v>
      </c>
      <c r="D1542" s="40" t="s">
        <v>1079</v>
      </c>
      <c r="E1542" s="40">
        <v>1988</v>
      </c>
      <c r="F1542" s="40">
        <v>1984</v>
      </c>
      <c r="G1542" s="40" t="s">
        <v>1080</v>
      </c>
      <c r="H1542" s="40" t="s">
        <v>1082</v>
      </c>
      <c r="I1542" s="32" t="s">
        <v>2815</v>
      </c>
      <c r="J1542" s="40">
        <v>34.67</v>
      </c>
      <c r="K1542" s="40">
        <v>-86.89</v>
      </c>
      <c r="L1542" s="40">
        <v>182</v>
      </c>
      <c r="R1542" s="71">
        <v>1</v>
      </c>
      <c r="S1542" s="71">
        <v>1</v>
      </c>
      <c r="T1542" s="71" t="s">
        <v>2002</v>
      </c>
      <c r="U1542" s="71" t="s">
        <v>2003</v>
      </c>
      <c r="V1542" s="71" t="s">
        <v>1377</v>
      </c>
      <c r="W1542" s="71" t="s">
        <v>1377</v>
      </c>
      <c r="X1542" s="71" t="s">
        <v>1377</v>
      </c>
      <c r="Y1542" s="71" t="s">
        <v>1377</v>
      </c>
      <c r="AA1542" s="341">
        <v>13</v>
      </c>
      <c r="AB1542" s="341">
        <v>54</v>
      </c>
      <c r="AC1542" s="40" t="s">
        <v>450</v>
      </c>
      <c r="AG1542" s="40" t="s">
        <v>1354</v>
      </c>
      <c r="AH1542" s="40" t="s">
        <v>1527</v>
      </c>
      <c r="AI1542" s="138" t="s">
        <v>1581</v>
      </c>
      <c r="AJ1542" s="40" t="s">
        <v>584</v>
      </c>
      <c r="AK1542" s="140" t="s">
        <v>1646</v>
      </c>
      <c r="AT1542" s="40" t="s">
        <v>1081</v>
      </c>
      <c r="AU1542" s="40" t="s">
        <v>1081</v>
      </c>
      <c r="AV1542" s="40" t="s">
        <v>177</v>
      </c>
      <c r="AW1542" s="40" t="s">
        <v>160</v>
      </c>
      <c r="BP1542" s="416"/>
      <c r="BQ1542" s="416"/>
      <c r="BU1542" s="416"/>
      <c r="BV1542" s="416"/>
      <c r="BZ1542" s="416"/>
      <c r="CA1542" s="416"/>
      <c r="CE1542" s="569"/>
      <c r="CF1542" s="569"/>
      <c r="CG1542" s="569"/>
      <c r="CH1542" s="569"/>
      <c r="ER1542" s="40">
        <v>32</v>
      </c>
      <c r="ES1542" s="40">
        <v>123</v>
      </c>
      <c r="EV1542" s="40" t="s">
        <v>1092</v>
      </c>
      <c r="EW1542" s="40">
        <v>4.4000000000000004</v>
      </c>
      <c r="EX1542" s="40">
        <v>13.3</v>
      </c>
      <c r="FA1542" s="40" t="s">
        <v>1093</v>
      </c>
    </row>
    <row r="1543" spans="1:263" s="40" customFormat="1" x14ac:dyDescent="0.25">
      <c r="A1543" s="40">
        <v>71</v>
      </c>
      <c r="B1543" s="71" t="s">
        <v>4084</v>
      </c>
      <c r="C1543" s="40" t="s">
        <v>1078</v>
      </c>
      <c r="D1543" s="40" t="s">
        <v>1079</v>
      </c>
      <c r="E1543" s="40">
        <v>1988</v>
      </c>
      <c r="F1543" s="40">
        <v>1984</v>
      </c>
      <c r="G1543" s="40" t="s">
        <v>1080</v>
      </c>
      <c r="H1543" s="40" t="s">
        <v>1082</v>
      </c>
      <c r="I1543" s="32" t="s">
        <v>2815</v>
      </c>
      <c r="J1543" s="40">
        <v>34.67</v>
      </c>
      <c r="K1543" s="40">
        <v>-86.89</v>
      </c>
      <c r="L1543" s="40">
        <v>182</v>
      </c>
      <c r="R1543" s="71">
        <v>1</v>
      </c>
      <c r="S1543" s="71">
        <v>1</v>
      </c>
      <c r="T1543" s="71" t="s">
        <v>2002</v>
      </c>
      <c r="U1543" s="71" t="s">
        <v>2003</v>
      </c>
      <c r="V1543" s="71" t="s">
        <v>1377</v>
      </c>
      <c r="W1543" s="71" t="s">
        <v>1377</v>
      </c>
      <c r="X1543" s="71" t="s">
        <v>1377</v>
      </c>
      <c r="Y1543" s="71" t="s">
        <v>1377</v>
      </c>
      <c r="AA1543" s="341">
        <v>13</v>
      </c>
      <c r="AB1543" s="341">
        <v>54</v>
      </c>
      <c r="AC1543" s="40" t="s">
        <v>450</v>
      </c>
      <c r="AG1543" s="40" t="s">
        <v>1354</v>
      </c>
      <c r="AH1543" s="40" t="s">
        <v>1527</v>
      </c>
      <c r="AI1543" s="138" t="s">
        <v>1581</v>
      </c>
      <c r="AJ1543" s="40" t="s">
        <v>584</v>
      </c>
      <c r="AK1543" s="140" t="s">
        <v>1646</v>
      </c>
      <c r="AT1543" s="40" t="s">
        <v>1081</v>
      </c>
      <c r="AU1543" s="40" t="s">
        <v>1081</v>
      </c>
      <c r="AV1543" s="40" t="s">
        <v>177</v>
      </c>
      <c r="AW1543" s="40" t="s">
        <v>160</v>
      </c>
      <c r="BP1543" s="416"/>
      <c r="BQ1543" s="416"/>
      <c r="BU1543" s="416"/>
      <c r="BV1543" s="416"/>
      <c r="BZ1543" s="416"/>
      <c r="CA1543" s="416"/>
      <c r="CE1543" s="569"/>
      <c r="CF1543" s="569"/>
      <c r="CG1543" s="569"/>
      <c r="CH1543" s="569"/>
      <c r="ER1543" s="40">
        <v>32</v>
      </c>
      <c r="ES1543" s="40">
        <v>134</v>
      </c>
      <c r="EV1543" s="40" t="s">
        <v>1092</v>
      </c>
      <c r="EW1543" s="40">
        <v>4.4000000000000004</v>
      </c>
      <c r="EX1543" s="40">
        <v>10</v>
      </c>
      <c r="FA1543" s="40" t="s">
        <v>1093</v>
      </c>
    </row>
    <row r="1544" spans="1:263" s="28" customFormat="1" x14ac:dyDescent="0.25">
      <c r="A1544" s="28">
        <v>72</v>
      </c>
      <c r="B1544" s="46" t="s">
        <v>4085</v>
      </c>
      <c r="C1544" s="28" t="s">
        <v>1094</v>
      </c>
      <c r="D1544" s="28" t="s">
        <v>1095</v>
      </c>
      <c r="E1544" s="28">
        <v>1992</v>
      </c>
      <c r="F1544" s="28">
        <v>1991</v>
      </c>
      <c r="G1544" s="28" t="s">
        <v>127</v>
      </c>
      <c r="H1544" s="28" t="s">
        <v>1109</v>
      </c>
      <c r="I1544" s="28" t="s">
        <v>1109</v>
      </c>
      <c r="J1544" s="28">
        <v>48.22</v>
      </c>
      <c r="K1544" s="28">
        <v>11.6</v>
      </c>
      <c r="L1544" s="28">
        <v>493</v>
      </c>
      <c r="R1544" s="46" t="s">
        <v>2005</v>
      </c>
      <c r="S1544" s="46" t="s">
        <v>2005</v>
      </c>
      <c r="T1544" s="46" t="s">
        <v>864</v>
      </c>
      <c r="U1544" s="46" t="s">
        <v>2004</v>
      </c>
      <c r="V1544" s="46" t="s">
        <v>1388</v>
      </c>
      <c r="W1544" s="46" t="s">
        <v>1719</v>
      </c>
      <c r="X1544" s="46" t="s">
        <v>1388</v>
      </c>
      <c r="Y1544" s="46" t="s">
        <v>1388</v>
      </c>
      <c r="AA1544" s="326">
        <f>100-63-20</f>
        <v>17</v>
      </c>
      <c r="AB1544" s="326">
        <v>63</v>
      </c>
      <c r="AC1544" s="28" t="s">
        <v>139</v>
      </c>
      <c r="AG1544" s="28" t="s">
        <v>1355</v>
      </c>
      <c r="AH1544" s="28" t="s">
        <v>635</v>
      </c>
      <c r="AI1544" s="138" t="s">
        <v>635</v>
      </c>
      <c r="AJ1544" s="28" t="s">
        <v>1096</v>
      </c>
      <c r="AK1544" s="141" t="s">
        <v>1628</v>
      </c>
      <c r="AL1544" s="28" t="s">
        <v>1097</v>
      </c>
      <c r="AM1544" s="28" t="s">
        <v>1098</v>
      </c>
      <c r="AN1544" s="28" t="s">
        <v>502</v>
      </c>
      <c r="AT1544" s="28" t="s">
        <v>1101</v>
      </c>
      <c r="AU1544" s="28" t="s">
        <v>1099</v>
      </c>
      <c r="AV1544" s="28" t="s">
        <v>502</v>
      </c>
      <c r="AW1544" s="28" t="s">
        <v>160</v>
      </c>
      <c r="BP1544" s="401"/>
      <c r="BQ1544" s="401"/>
      <c r="BU1544" s="401">
        <v>0.89</v>
      </c>
      <c r="BV1544" s="401">
        <v>1.26</v>
      </c>
      <c r="BY1544" s="28" t="s">
        <v>992</v>
      </c>
      <c r="BZ1544" s="401"/>
      <c r="CA1544" s="401"/>
      <c r="CD1544" s="28" t="s">
        <v>3120</v>
      </c>
      <c r="CE1544" s="554">
        <v>0.89</v>
      </c>
      <c r="CF1544" s="554">
        <v>1.26</v>
      </c>
      <c r="CG1544" s="554"/>
      <c r="CH1544" s="554"/>
      <c r="CI1544" s="28" t="s">
        <v>4546</v>
      </c>
      <c r="GZ1544" s="28">
        <v>61.6</v>
      </c>
      <c r="HA1544" s="28">
        <v>105.6</v>
      </c>
      <c r="HD1544" s="28" t="s">
        <v>1103</v>
      </c>
      <c r="HT1544" s="28">
        <v>4.3999999999999997E-2</v>
      </c>
      <c r="HU1544" s="28">
        <v>4.2999999999999997E-2</v>
      </c>
      <c r="HX1544" s="28" t="s">
        <v>1102</v>
      </c>
      <c r="IN1544" s="28">
        <v>281</v>
      </c>
      <c r="IO1544" s="28">
        <v>514</v>
      </c>
      <c r="JB1544" s="28" t="s">
        <v>1104</v>
      </c>
    </row>
    <row r="1545" spans="1:263" s="28" customFormat="1" x14ac:dyDescent="0.25">
      <c r="A1545" s="28">
        <v>72</v>
      </c>
      <c r="B1545" s="46" t="s">
        <v>4086</v>
      </c>
      <c r="C1545" s="28" t="s">
        <v>1094</v>
      </c>
      <c r="D1545" s="28" t="s">
        <v>1095</v>
      </c>
      <c r="E1545" s="28">
        <v>1992</v>
      </c>
      <c r="F1545" s="28">
        <v>1991</v>
      </c>
      <c r="G1545" s="28" t="s">
        <v>127</v>
      </c>
      <c r="H1545" s="28" t="s">
        <v>1109</v>
      </c>
      <c r="I1545" s="28" t="s">
        <v>1109</v>
      </c>
      <c r="J1545" s="28">
        <v>48.22</v>
      </c>
      <c r="K1545" s="28">
        <v>11.6</v>
      </c>
      <c r="L1545" s="28">
        <v>493</v>
      </c>
      <c r="R1545" s="46" t="s">
        <v>2005</v>
      </c>
      <c r="S1545" s="46" t="s">
        <v>2005</v>
      </c>
      <c r="T1545" s="46" t="s">
        <v>864</v>
      </c>
      <c r="U1545" s="46" t="s">
        <v>2004</v>
      </c>
      <c r="V1545" s="46" t="s">
        <v>1388</v>
      </c>
      <c r="W1545" s="46" t="s">
        <v>1719</v>
      </c>
      <c r="X1545" s="46" t="s">
        <v>1388</v>
      </c>
      <c r="Y1545" s="46" t="s">
        <v>1388</v>
      </c>
      <c r="AA1545" s="326">
        <f>100-63-20</f>
        <v>17</v>
      </c>
      <c r="AB1545" s="326">
        <v>63</v>
      </c>
      <c r="AC1545" s="28" t="s">
        <v>139</v>
      </c>
      <c r="AG1545" s="28" t="s">
        <v>1355</v>
      </c>
      <c r="AH1545" s="28" t="s">
        <v>635</v>
      </c>
      <c r="AI1545" s="138" t="s">
        <v>635</v>
      </c>
      <c r="AJ1545" s="28" t="s">
        <v>1096</v>
      </c>
      <c r="AK1545" s="141" t="s">
        <v>1628</v>
      </c>
      <c r="AL1545" s="28" t="s">
        <v>1097</v>
      </c>
      <c r="AM1545" s="28" t="s">
        <v>1098</v>
      </c>
      <c r="AN1545" s="28" t="s">
        <v>502</v>
      </c>
      <c r="AT1545" s="28" t="s">
        <v>1100</v>
      </c>
      <c r="AU1545" s="28" t="s">
        <v>1099</v>
      </c>
      <c r="AV1545" s="28" t="s">
        <v>502</v>
      </c>
      <c r="AW1545" s="28" t="s">
        <v>160</v>
      </c>
      <c r="BP1545" s="401"/>
      <c r="BQ1545" s="401"/>
      <c r="BU1545" s="401">
        <v>0.99</v>
      </c>
      <c r="BV1545" s="401">
        <v>1.26</v>
      </c>
      <c r="BY1545" s="28" t="s">
        <v>992</v>
      </c>
      <c r="BZ1545" s="401"/>
      <c r="CA1545" s="401"/>
      <c r="CD1545" s="28" t="s">
        <v>3120</v>
      </c>
      <c r="CE1545" s="554">
        <v>0.99</v>
      </c>
      <c r="CF1545" s="554">
        <v>1.26</v>
      </c>
      <c r="CG1545" s="554"/>
      <c r="CH1545" s="554"/>
      <c r="CI1545" s="28" t="s">
        <v>4546</v>
      </c>
      <c r="GZ1545" s="28">
        <v>69.2</v>
      </c>
      <c r="HA1545" s="28">
        <v>105.6</v>
      </c>
      <c r="HD1545" s="28" t="s">
        <v>1103</v>
      </c>
      <c r="HT1545" s="28">
        <v>4.2999999999999997E-2</v>
      </c>
      <c r="HU1545" s="28">
        <v>4.2999999999999997E-2</v>
      </c>
      <c r="HX1545" s="28" t="s">
        <v>1102</v>
      </c>
      <c r="IN1545" s="28">
        <v>326</v>
      </c>
      <c r="IO1545" s="28">
        <v>514</v>
      </c>
      <c r="JB1545" s="28" t="s">
        <v>1104</v>
      </c>
    </row>
    <row r="1546" spans="1:263" s="24" customFormat="1" x14ac:dyDescent="0.25">
      <c r="A1546" s="24">
        <v>73</v>
      </c>
      <c r="B1546" s="42" t="s">
        <v>4087</v>
      </c>
      <c r="C1546" s="24" t="s">
        <v>1106</v>
      </c>
      <c r="D1546" s="24" t="s">
        <v>1107</v>
      </c>
      <c r="E1546" s="24">
        <v>2003</v>
      </c>
      <c r="F1546" s="24">
        <v>1988</v>
      </c>
      <c r="G1546" s="24" t="s">
        <v>1108</v>
      </c>
      <c r="H1546" s="24" t="s">
        <v>1136</v>
      </c>
      <c r="I1546" s="24" t="s">
        <v>2816</v>
      </c>
      <c r="J1546" s="24">
        <v>50.29</v>
      </c>
      <c r="K1546" s="24">
        <v>-107.8</v>
      </c>
      <c r="L1546" s="24">
        <v>757</v>
      </c>
      <c r="R1546" s="42">
        <v>1</v>
      </c>
      <c r="S1546" s="42" t="s">
        <v>1931</v>
      </c>
      <c r="T1546" s="42" t="s">
        <v>1105</v>
      </c>
      <c r="U1546" s="42" t="s">
        <v>1113</v>
      </c>
      <c r="V1546" s="42" t="s">
        <v>1399</v>
      </c>
      <c r="W1546" s="42" t="s">
        <v>1726</v>
      </c>
      <c r="X1546" s="42" t="s">
        <v>1389</v>
      </c>
      <c r="Y1546" s="42" t="s">
        <v>1417</v>
      </c>
      <c r="Z1546" s="24">
        <f>(1.37+1.36+1.41+1.61+1.69)/5</f>
        <v>1.4880000000000002</v>
      </c>
      <c r="AA1546" s="321"/>
      <c r="AB1546" s="321"/>
      <c r="AC1546" s="24" t="s">
        <v>139</v>
      </c>
      <c r="AG1546" s="24" t="s">
        <v>1356</v>
      </c>
      <c r="AH1546" s="24" t="s">
        <v>577</v>
      </c>
      <c r="AI1546" s="138" t="s">
        <v>577</v>
      </c>
      <c r="AJ1546" s="24" t="s">
        <v>1536</v>
      </c>
      <c r="AK1546" s="140" t="s">
        <v>116</v>
      </c>
      <c r="AL1546" s="24" t="s">
        <v>1097</v>
      </c>
      <c r="AM1546" s="24" t="s">
        <v>1097</v>
      </c>
      <c r="AN1546" s="24" t="s">
        <v>177</v>
      </c>
      <c r="AT1546" s="24" t="s">
        <v>1111</v>
      </c>
      <c r="AU1546" s="24" t="s">
        <v>1112</v>
      </c>
      <c r="AV1546" s="24" t="s">
        <v>502</v>
      </c>
      <c r="AW1546" s="24" t="s">
        <v>1110</v>
      </c>
      <c r="AX1546" s="24">
        <v>3</v>
      </c>
      <c r="AZ1546" s="24" t="s">
        <v>141</v>
      </c>
      <c r="BE1546" s="24" t="s">
        <v>1114</v>
      </c>
      <c r="BF1546" s="24">
        <v>1555</v>
      </c>
      <c r="BG1546" s="24">
        <v>1011</v>
      </c>
      <c r="BJ1546" s="24" t="s">
        <v>1115</v>
      </c>
      <c r="BK1546" s="24">
        <v>1168</v>
      </c>
      <c r="BL1546" s="24">
        <v>700</v>
      </c>
      <c r="BO1546" s="24" t="s">
        <v>1118</v>
      </c>
      <c r="BP1546" s="395"/>
      <c r="BQ1546" s="395"/>
      <c r="BU1546" s="395"/>
      <c r="BV1546" s="395"/>
      <c r="BZ1546" s="395"/>
      <c r="CA1546" s="395"/>
      <c r="CE1546" s="548"/>
      <c r="CF1546" s="548"/>
      <c r="CG1546" s="548"/>
      <c r="CH1546" s="548"/>
      <c r="CJ1546" s="24">
        <f>154*0.056</f>
        <v>8.6240000000000006</v>
      </c>
      <c r="CK1546" s="24">
        <f>86.5*0.056</f>
        <v>4.8440000000000003</v>
      </c>
      <c r="CN1546" s="24" t="s">
        <v>1675</v>
      </c>
      <c r="FL1546" s="24">
        <v>231</v>
      </c>
      <c r="FM1546" s="24">
        <v>207</v>
      </c>
      <c r="FP1546" s="24" t="s">
        <v>1120</v>
      </c>
      <c r="FQ1546" s="24">
        <v>148</v>
      </c>
      <c r="FR1546" s="24">
        <v>124</v>
      </c>
      <c r="FU1546" s="24" t="s">
        <v>1119</v>
      </c>
      <c r="JB1546" s="24" t="s">
        <v>1118</v>
      </c>
    </row>
    <row r="1547" spans="1:263" s="24" customFormat="1" x14ac:dyDescent="0.25">
      <c r="A1547" s="24">
        <v>73</v>
      </c>
      <c r="B1547" s="42" t="s">
        <v>4087</v>
      </c>
      <c r="C1547" s="24" t="s">
        <v>1106</v>
      </c>
      <c r="D1547" s="24" t="s">
        <v>1107</v>
      </c>
      <c r="E1547" s="24">
        <v>2003</v>
      </c>
      <c r="F1547" s="24">
        <v>1989</v>
      </c>
      <c r="G1547" s="24" t="s">
        <v>1108</v>
      </c>
      <c r="H1547" s="24" t="s">
        <v>1136</v>
      </c>
      <c r="I1547" s="24" t="s">
        <v>2816</v>
      </c>
      <c r="J1547" s="24">
        <v>50.29</v>
      </c>
      <c r="K1547" s="24">
        <v>-107.8</v>
      </c>
      <c r="L1547" s="24">
        <v>757</v>
      </c>
      <c r="R1547" s="42">
        <v>2</v>
      </c>
      <c r="S1547" s="42" t="s">
        <v>1931</v>
      </c>
      <c r="T1547" s="42" t="s">
        <v>1105</v>
      </c>
      <c r="U1547" s="42" t="s">
        <v>1113</v>
      </c>
      <c r="V1547" s="42" t="s">
        <v>1399</v>
      </c>
      <c r="W1547" s="42" t="s">
        <v>1726</v>
      </c>
      <c r="X1547" s="42" t="s">
        <v>1389</v>
      </c>
      <c r="Y1547" s="42" t="s">
        <v>1417</v>
      </c>
      <c r="Z1547" s="24">
        <f t="shared" ref="Z1547:Z1557" si="268">(1.37+1.36+1.41+1.61+1.69)/5</f>
        <v>1.4880000000000002</v>
      </c>
      <c r="AA1547" s="321"/>
      <c r="AB1547" s="321"/>
      <c r="AC1547" s="24" t="s">
        <v>139</v>
      </c>
      <c r="AG1547" s="24" t="s">
        <v>1356</v>
      </c>
      <c r="AH1547" s="24" t="s">
        <v>577</v>
      </c>
      <c r="AI1547" s="138" t="s">
        <v>577</v>
      </c>
      <c r="AJ1547" s="24" t="s">
        <v>1536</v>
      </c>
      <c r="AK1547" s="140" t="s">
        <v>116</v>
      </c>
      <c r="AL1547" s="24" t="s">
        <v>1097</v>
      </c>
      <c r="AM1547" s="24" t="s">
        <v>1097</v>
      </c>
      <c r="AN1547" s="24" t="s">
        <v>177</v>
      </c>
      <c r="AT1547" s="24" t="s">
        <v>1111</v>
      </c>
      <c r="AU1547" s="24" t="s">
        <v>1112</v>
      </c>
      <c r="AV1547" s="24" t="s">
        <v>502</v>
      </c>
      <c r="AW1547" s="24" t="s">
        <v>1110</v>
      </c>
      <c r="AX1547" s="24">
        <v>3</v>
      </c>
      <c r="AZ1547" s="24" t="s">
        <v>141</v>
      </c>
      <c r="BE1547" s="24" t="s">
        <v>1114</v>
      </c>
      <c r="BF1547" s="24">
        <v>3024</v>
      </c>
      <c r="BG1547" s="24">
        <v>2663</v>
      </c>
      <c r="BJ1547" s="24" t="s">
        <v>1115</v>
      </c>
      <c r="BK1547" s="24">
        <v>1815</v>
      </c>
      <c r="BL1547" s="24">
        <v>1626</v>
      </c>
      <c r="BO1547" s="24" t="s">
        <v>1118</v>
      </c>
      <c r="BP1547" s="395"/>
      <c r="BQ1547" s="395"/>
      <c r="BU1547" s="395"/>
      <c r="BV1547" s="395"/>
      <c r="BZ1547" s="395"/>
      <c r="CA1547" s="395"/>
      <c r="CE1547" s="548"/>
      <c r="CF1547" s="548"/>
      <c r="CG1547" s="548"/>
      <c r="CH1547" s="548"/>
      <c r="CJ1547" s="24">
        <f>168.5*0.056</f>
        <v>9.4359999999999999</v>
      </c>
      <c r="CK1547" s="24">
        <f>99.7*0.056</f>
        <v>5.5832000000000006</v>
      </c>
      <c r="CN1547" s="24" t="s">
        <v>1675</v>
      </c>
      <c r="FL1547" s="24">
        <v>230</v>
      </c>
      <c r="FM1547" s="24">
        <v>187</v>
      </c>
      <c r="FP1547" s="24" t="s">
        <v>1120</v>
      </c>
      <c r="FQ1547" s="24">
        <v>147</v>
      </c>
      <c r="FR1547" s="24">
        <v>104</v>
      </c>
      <c r="FU1547" s="24" t="s">
        <v>1119</v>
      </c>
      <c r="JB1547" s="24" t="s">
        <v>1118</v>
      </c>
    </row>
    <row r="1548" spans="1:263" s="24" customFormat="1" x14ac:dyDescent="0.25">
      <c r="A1548" s="24">
        <v>73</v>
      </c>
      <c r="B1548" s="42" t="s">
        <v>4087</v>
      </c>
      <c r="C1548" s="24" t="s">
        <v>1106</v>
      </c>
      <c r="D1548" s="24" t="s">
        <v>1107</v>
      </c>
      <c r="E1548" s="24">
        <v>2003</v>
      </c>
      <c r="F1548" s="24">
        <v>1990</v>
      </c>
      <c r="G1548" s="24" t="s">
        <v>1108</v>
      </c>
      <c r="H1548" s="24" t="s">
        <v>1136</v>
      </c>
      <c r="I1548" s="24" t="s">
        <v>2816</v>
      </c>
      <c r="J1548" s="24">
        <v>50.29</v>
      </c>
      <c r="K1548" s="24">
        <v>-107.8</v>
      </c>
      <c r="L1548" s="24">
        <v>757</v>
      </c>
      <c r="R1548" s="42">
        <v>3</v>
      </c>
      <c r="S1548" s="42" t="s">
        <v>1931</v>
      </c>
      <c r="T1548" s="42" t="s">
        <v>1105</v>
      </c>
      <c r="U1548" s="42" t="s">
        <v>1113</v>
      </c>
      <c r="V1548" s="42" t="s">
        <v>1399</v>
      </c>
      <c r="W1548" s="42" t="s">
        <v>1726</v>
      </c>
      <c r="X1548" s="42" t="s">
        <v>1389</v>
      </c>
      <c r="Y1548" s="42" t="s">
        <v>1417</v>
      </c>
      <c r="Z1548" s="24">
        <f t="shared" si="268"/>
        <v>1.4880000000000002</v>
      </c>
      <c r="AA1548" s="321"/>
      <c r="AB1548" s="321"/>
      <c r="AC1548" s="24" t="s">
        <v>139</v>
      </c>
      <c r="AG1548" s="24" t="s">
        <v>1356</v>
      </c>
      <c r="AH1548" s="24" t="s">
        <v>577</v>
      </c>
      <c r="AI1548" s="138" t="s">
        <v>577</v>
      </c>
      <c r="AJ1548" s="24" t="s">
        <v>1536</v>
      </c>
      <c r="AK1548" s="140" t="s">
        <v>116</v>
      </c>
      <c r="AL1548" s="24" t="s">
        <v>1097</v>
      </c>
      <c r="AM1548" s="24" t="s">
        <v>1097</v>
      </c>
      <c r="AN1548" s="24" t="s">
        <v>177</v>
      </c>
      <c r="AT1548" s="24" t="s">
        <v>1111</v>
      </c>
      <c r="AU1548" s="24" t="s">
        <v>1112</v>
      </c>
      <c r="AV1548" s="24" t="s">
        <v>502</v>
      </c>
      <c r="AW1548" s="24" t="s">
        <v>1110</v>
      </c>
      <c r="AX1548" s="24">
        <v>3</v>
      </c>
      <c r="AZ1548" s="24" t="s">
        <v>141</v>
      </c>
      <c r="BE1548" s="24" t="s">
        <v>1114</v>
      </c>
      <c r="BF1548" s="24">
        <v>4198</v>
      </c>
      <c r="BG1548" s="24">
        <v>1517</v>
      </c>
      <c r="BJ1548" s="24" t="s">
        <v>1115</v>
      </c>
      <c r="BK1548" s="24">
        <v>2321</v>
      </c>
      <c r="BL1548" s="24">
        <v>1136</v>
      </c>
      <c r="BO1548" s="24" t="s">
        <v>1118</v>
      </c>
      <c r="BP1548" s="395"/>
      <c r="BQ1548" s="395"/>
      <c r="BU1548" s="395"/>
      <c r="BV1548" s="395"/>
      <c r="BZ1548" s="395"/>
      <c r="CA1548" s="395"/>
      <c r="CE1548" s="548"/>
      <c r="CF1548" s="548"/>
      <c r="CG1548" s="548"/>
      <c r="CH1548" s="548"/>
      <c r="CJ1548" s="24">
        <f>168.6*0.056</f>
        <v>9.4415999999999993</v>
      </c>
      <c r="CK1548" s="24">
        <f>150.7*0.056</f>
        <v>8.4391999999999996</v>
      </c>
      <c r="CN1548" s="24" t="s">
        <v>1675</v>
      </c>
      <c r="FL1548" s="24">
        <v>277</v>
      </c>
      <c r="FM1548" s="24">
        <v>214</v>
      </c>
      <c r="FP1548" s="24" t="s">
        <v>1120</v>
      </c>
      <c r="FQ1548" s="24">
        <v>194</v>
      </c>
      <c r="FR1548" s="24">
        <v>131</v>
      </c>
      <c r="FU1548" s="24" t="s">
        <v>1119</v>
      </c>
      <c r="JB1548" s="24" t="s">
        <v>1118</v>
      </c>
    </row>
    <row r="1549" spans="1:263" s="24" customFormat="1" x14ac:dyDescent="0.25">
      <c r="A1549" s="24">
        <v>73</v>
      </c>
      <c r="B1549" s="42" t="s">
        <v>4087</v>
      </c>
      <c r="C1549" s="24" t="s">
        <v>1106</v>
      </c>
      <c r="D1549" s="24" t="s">
        <v>1107</v>
      </c>
      <c r="E1549" s="24">
        <v>2003</v>
      </c>
      <c r="F1549" s="24">
        <v>1991</v>
      </c>
      <c r="G1549" s="24" t="s">
        <v>1108</v>
      </c>
      <c r="H1549" s="24" t="s">
        <v>1136</v>
      </c>
      <c r="I1549" s="24" t="s">
        <v>2816</v>
      </c>
      <c r="J1549" s="24">
        <v>50.29</v>
      </c>
      <c r="K1549" s="24">
        <v>-107.8</v>
      </c>
      <c r="L1549" s="24">
        <v>757</v>
      </c>
      <c r="R1549" s="42">
        <v>4</v>
      </c>
      <c r="S1549" s="42" t="s">
        <v>1931</v>
      </c>
      <c r="T1549" s="42" t="s">
        <v>1105</v>
      </c>
      <c r="U1549" s="42" t="s">
        <v>1113</v>
      </c>
      <c r="V1549" s="42" t="s">
        <v>1399</v>
      </c>
      <c r="W1549" s="42" t="s">
        <v>1726</v>
      </c>
      <c r="X1549" s="42" t="s">
        <v>1389</v>
      </c>
      <c r="Y1549" s="42" t="s">
        <v>1417</v>
      </c>
      <c r="Z1549" s="24">
        <f t="shared" si="268"/>
        <v>1.4880000000000002</v>
      </c>
      <c r="AA1549" s="321"/>
      <c r="AB1549" s="321"/>
      <c r="AC1549" s="24" t="s">
        <v>139</v>
      </c>
      <c r="AG1549" s="24" t="s">
        <v>1356</v>
      </c>
      <c r="AH1549" s="24" t="s">
        <v>577</v>
      </c>
      <c r="AI1549" s="138" t="s">
        <v>577</v>
      </c>
      <c r="AJ1549" s="24" t="s">
        <v>1536</v>
      </c>
      <c r="AK1549" s="140" t="s">
        <v>116</v>
      </c>
      <c r="AL1549" s="24" t="s">
        <v>1097</v>
      </c>
      <c r="AM1549" s="24" t="s">
        <v>1097</v>
      </c>
      <c r="AN1549" s="24" t="s">
        <v>177</v>
      </c>
      <c r="AT1549" s="24" t="s">
        <v>1111</v>
      </c>
      <c r="AU1549" s="24" t="s">
        <v>1112</v>
      </c>
      <c r="AV1549" s="24" t="s">
        <v>502</v>
      </c>
      <c r="AW1549" s="24" t="s">
        <v>1110</v>
      </c>
      <c r="AX1549" s="24">
        <v>3</v>
      </c>
      <c r="AZ1549" s="24" t="s">
        <v>141</v>
      </c>
      <c r="BE1549" s="24" t="s">
        <v>1114</v>
      </c>
      <c r="BF1549" s="24">
        <v>4598</v>
      </c>
      <c r="BG1549" s="24">
        <v>4374</v>
      </c>
      <c r="BJ1549" s="24" t="s">
        <v>1115</v>
      </c>
      <c r="BK1549" s="24">
        <v>2478</v>
      </c>
      <c r="BL1549" s="24">
        <v>2270</v>
      </c>
      <c r="BO1549" s="24" t="s">
        <v>1118</v>
      </c>
      <c r="BP1549" s="395"/>
      <c r="BQ1549" s="395"/>
      <c r="BU1549" s="395"/>
      <c r="BV1549" s="395"/>
      <c r="BZ1549" s="395"/>
      <c r="CA1549" s="395"/>
      <c r="CE1549" s="548"/>
      <c r="CF1549" s="548"/>
      <c r="CG1549" s="548"/>
      <c r="CH1549" s="548"/>
      <c r="CJ1549" s="24">
        <f>134.3*0.056</f>
        <v>7.5208000000000004</v>
      </c>
      <c r="CK1549" s="24">
        <f>170.6*0.056</f>
        <v>9.5535999999999994</v>
      </c>
      <c r="CN1549" s="24" t="s">
        <v>1675</v>
      </c>
      <c r="FL1549" s="24">
        <v>287</v>
      </c>
      <c r="FM1549" s="24">
        <v>223</v>
      </c>
      <c r="FP1549" s="24" t="s">
        <v>1120</v>
      </c>
      <c r="FQ1549" s="24">
        <v>204</v>
      </c>
      <c r="FR1549" s="24">
        <v>140</v>
      </c>
      <c r="FU1549" s="24" t="s">
        <v>1119</v>
      </c>
      <c r="JB1549" s="24" t="s">
        <v>1118</v>
      </c>
    </row>
    <row r="1550" spans="1:263" s="24" customFormat="1" x14ac:dyDescent="0.25">
      <c r="A1550" s="24">
        <v>73</v>
      </c>
      <c r="B1550" s="42" t="s">
        <v>4087</v>
      </c>
      <c r="C1550" s="24" t="s">
        <v>1106</v>
      </c>
      <c r="D1550" s="24" t="s">
        <v>1107</v>
      </c>
      <c r="E1550" s="24">
        <v>2003</v>
      </c>
      <c r="F1550" s="24">
        <v>1992</v>
      </c>
      <c r="G1550" s="24" t="s">
        <v>1108</v>
      </c>
      <c r="H1550" s="24" t="s">
        <v>1136</v>
      </c>
      <c r="I1550" s="24" t="s">
        <v>2816</v>
      </c>
      <c r="J1550" s="24">
        <v>50.29</v>
      </c>
      <c r="K1550" s="24">
        <v>-107.8</v>
      </c>
      <c r="L1550" s="24">
        <v>757</v>
      </c>
      <c r="R1550" s="42">
        <v>5</v>
      </c>
      <c r="S1550" s="42" t="s">
        <v>1931</v>
      </c>
      <c r="T1550" s="42" t="s">
        <v>1105</v>
      </c>
      <c r="U1550" s="42" t="s">
        <v>1113</v>
      </c>
      <c r="V1550" s="42" t="s">
        <v>1399</v>
      </c>
      <c r="W1550" s="42" t="s">
        <v>1726</v>
      </c>
      <c r="X1550" s="42" t="s">
        <v>1389</v>
      </c>
      <c r="Y1550" s="42" t="s">
        <v>1417</v>
      </c>
      <c r="Z1550" s="24">
        <f t="shared" si="268"/>
        <v>1.4880000000000002</v>
      </c>
      <c r="AA1550" s="321"/>
      <c r="AB1550" s="321"/>
      <c r="AC1550" s="24" t="s">
        <v>139</v>
      </c>
      <c r="AG1550" s="24" t="s">
        <v>1356</v>
      </c>
      <c r="AH1550" s="24" t="s">
        <v>577</v>
      </c>
      <c r="AI1550" s="138" t="s">
        <v>577</v>
      </c>
      <c r="AJ1550" s="24" t="s">
        <v>1536</v>
      </c>
      <c r="AK1550" s="140" t="s">
        <v>116</v>
      </c>
      <c r="AL1550" s="24" t="s">
        <v>1097</v>
      </c>
      <c r="AM1550" s="24" t="s">
        <v>1097</v>
      </c>
      <c r="AN1550" s="24" t="s">
        <v>177</v>
      </c>
      <c r="AT1550" s="24" t="s">
        <v>1111</v>
      </c>
      <c r="AU1550" s="24" t="s">
        <v>1112</v>
      </c>
      <c r="AV1550" s="24" t="s">
        <v>502</v>
      </c>
      <c r="AW1550" s="24" t="s">
        <v>1110</v>
      </c>
      <c r="AX1550" s="24">
        <v>3</v>
      </c>
      <c r="AZ1550" s="24" t="s">
        <v>141</v>
      </c>
      <c r="BE1550" s="24" t="s">
        <v>1114</v>
      </c>
      <c r="BF1550" s="24">
        <v>4324</v>
      </c>
      <c r="BG1550" s="24">
        <v>3058</v>
      </c>
      <c r="BJ1550" s="24" t="s">
        <v>1115</v>
      </c>
      <c r="BK1550" s="24">
        <v>2756</v>
      </c>
      <c r="BL1550" s="24">
        <v>2055</v>
      </c>
      <c r="BO1550" s="24" t="s">
        <v>1118</v>
      </c>
      <c r="BP1550" s="395"/>
      <c r="BQ1550" s="395"/>
      <c r="BU1550" s="395"/>
      <c r="BV1550" s="395"/>
      <c r="BZ1550" s="395"/>
      <c r="CA1550" s="395"/>
      <c r="CE1550" s="548"/>
      <c r="CF1550" s="548"/>
      <c r="CG1550" s="548"/>
      <c r="CH1550" s="548"/>
      <c r="CJ1550" s="24">
        <f>77.4*0.056</f>
        <v>4.3344000000000005</v>
      </c>
      <c r="CK1550" s="24">
        <f>86.4*0.056</f>
        <v>4.8384</v>
      </c>
      <c r="CN1550" s="24" t="s">
        <v>1675</v>
      </c>
      <c r="FL1550" s="24">
        <v>281</v>
      </c>
      <c r="FM1550" s="24">
        <v>218</v>
      </c>
      <c r="FP1550" s="24" t="s">
        <v>1120</v>
      </c>
      <c r="FQ1550" s="24">
        <v>198</v>
      </c>
      <c r="FR1550" s="24">
        <v>135</v>
      </c>
      <c r="FU1550" s="24" t="s">
        <v>1119</v>
      </c>
      <c r="JB1550" s="24" t="s">
        <v>1118</v>
      </c>
    </row>
    <row r="1551" spans="1:263" s="24" customFormat="1" x14ac:dyDescent="0.25">
      <c r="A1551" s="24">
        <v>73</v>
      </c>
      <c r="B1551" s="42" t="s">
        <v>4087</v>
      </c>
      <c r="C1551" s="24" t="s">
        <v>1106</v>
      </c>
      <c r="D1551" s="24" t="s">
        <v>1107</v>
      </c>
      <c r="E1551" s="24">
        <v>2003</v>
      </c>
      <c r="F1551" s="24">
        <v>1993</v>
      </c>
      <c r="G1551" s="24" t="s">
        <v>1108</v>
      </c>
      <c r="H1551" s="24" t="s">
        <v>1136</v>
      </c>
      <c r="I1551" s="24" t="s">
        <v>2816</v>
      </c>
      <c r="J1551" s="24">
        <v>50.29</v>
      </c>
      <c r="K1551" s="24">
        <v>-107.8</v>
      </c>
      <c r="L1551" s="24">
        <v>757</v>
      </c>
      <c r="R1551" s="42">
        <v>6</v>
      </c>
      <c r="S1551" s="42" t="s">
        <v>1931</v>
      </c>
      <c r="T1551" s="42" t="s">
        <v>1105</v>
      </c>
      <c r="U1551" s="42" t="s">
        <v>1113</v>
      </c>
      <c r="V1551" s="42" t="s">
        <v>1399</v>
      </c>
      <c r="W1551" s="42" t="s">
        <v>1726</v>
      </c>
      <c r="X1551" s="42" t="s">
        <v>1389</v>
      </c>
      <c r="Y1551" s="42" t="s">
        <v>1417</v>
      </c>
      <c r="Z1551" s="24">
        <f t="shared" si="268"/>
        <v>1.4880000000000002</v>
      </c>
      <c r="AA1551" s="321"/>
      <c r="AB1551" s="321"/>
      <c r="AC1551" s="24" t="s">
        <v>139</v>
      </c>
      <c r="AG1551" s="24" t="s">
        <v>1356</v>
      </c>
      <c r="AH1551" s="24" t="s">
        <v>577</v>
      </c>
      <c r="AI1551" s="138" t="s">
        <v>577</v>
      </c>
      <c r="AJ1551" s="24" t="s">
        <v>1536</v>
      </c>
      <c r="AK1551" s="140" t="s">
        <v>116</v>
      </c>
      <c r="AL1551" s="24" t="s">
        <v>1097</v>
      </c>
      <c r="AM1551" s="24" t="s">
        <v>1097</v>
      </c>
      <c r="AN1551" s="24" t="s">
        <v>177</v>
      </c>
      <c r="AT1551" s="24" t="s">
        <v>1111</v>
      </c>
      <c r="AU1551" s="24" t="s">
        <v>1112</v>
      </c>
      <c r="AV1551" s="24" t="s">
        <v>502</v>
      </c>
      <c r="AW1551" s="24" t="s">
        <v>1110</v>
      </c>
      <c r="AX1551" s="24">
        <v>3</v>
      </c>
      <c r="AZ1551" s="24" t="s">
        <v>141</v>
      </c>
      <c r="BE1551" s="24" t="s">
        <v>1114</v>
      </c>
      <c r="BF1551" s="24">
        <v>5476</v>
      </c>
      <c r="BG1551" s="24">
        <v>3918</v>
      </c>
      <c r="BJ1551" s="24" t="s">
        <v>1115</v>
      </c>
      <c r="BK1551" s="24">
        <v>3362</v>
      </c>
      <c r="BL1551" s="24">
        <v>2533</v>
      </c>
      <c r="BO1551" s="24" t="s">
        <v>1118</v>
      </c>
      <c r="BP1551" s="395"/>
      <c r="BQ1551" s="395"/>
      <c r="BU1551" s="395"/>
      <c r="BV1551" s="395"/>
      <c r="BZ1551" s="395"/>
      <c r="CA1551" s="395"/>
      <c r="CE1551" s="548"/>
      <c r="CF1551" s="548"/>
      <c r="CG1551" s="548"/>
      <c r="CH1551" s="548"/>
      <c r="CJ1551" s="24">
        <f>72*0.056</f>
        <v>4.032</v>
      </c>
      <c r="CK1551" s="24">
        <f>96.2*0.056</f>
        <v>5.3872</v>
      </c>
      <c r="CN1551" s="24" t="s">
        <v>1675</v>
      </c>
      <c r="FL1551" s="24">
        <v>300</v>
      </c>
      <c r="FM1551" s="24">
        <v>238</v>
      </c>
      <c r="FP1551" s="24" t="s">
        <v>1120</v>
      </c>
      <c r="FQ1551" s="24">
        <v>217</v>
      </c>
      <c r="FR1551" s="24">
        <v>155</v>
      </c>
      <c r="FU1551" s="24" t="s">
        <v>1119</v>
      </c>
      <c r="JB1551" s="24" t="s">
        <v>1118</v>
      </c>
    </row>
    <row r="1552" spans="1:263" s="24" customFormat="1" x14ac:dyDescent="0.25">
      <c r="A1552" s="24">
        <v>73</v>
      </c>
      <c r="B1552" s="42" t="s">
        <v>4087</v>
      </c>
      <c r="C1552" s="24" t="s">
        <v>1106</v>
      </c>
      <c r="D1552" s="24" t="s">
        <v>1107</v>
      </c>
      <c r="E1552" s="24">
        <v>2003</v>
      </c>
      <c r="F1552" s="24">
        <v>1994</v>
      </c>
      <c r="G1552" s="24" t="s">
        <v>1108</v>
      </c>
      <c r="H1552" s="24" t="s">
        <v>1136</v>
      </c>
      <c r="I1552" s="24" t="s">
        <v>2816</v>
      </c>
      <c r="J1552" s="24">
        <v>50.29</v>
      </c>
      <c r="K1552" s="24">
        <v>-107.8</v>
      </c>
      <c r="L1552" s="24">
        <v>757</v>
      </c>
      <c r="R1552" s="42">
        <v>7</v>
      </c>
      <c r="S1552" s="42" t="s">
        <v>1931</v>
      </c>
      <c r="T1552" s="42" t="s">
        <v>1105</v>
      </c>
      <c r="U1552" s="42" t="s">
        <v>1113</v>
      </c>
      <c r="V1552" s="42" t="s">
        <v>1399</v>
      </c>
      <c r="W1552" s="42" t="s">
        <v>1726</v>
      </c>
      <c r="X1552" s="42" t="s">
        <v>1389</v>
      </c>
      <c r="Y1552" s="42" t="s">
        <v>1417</v>
      </c>
      <c r="Z1552" s="24">
        <f t="shared" si="268"/>
        <v>1.4880000000000002</v>
      </c>
      <c r="AA1552" s="321"/>
      <c r="AB1552" s="321"/>
      <c r="AC1552" s="24" t="s">
        <v>139</v>
      </c>
      <c r="AG1552" s="24" t="s">
        <v>1356</v>
      </c>
      <c r="AH1552" s="24" t="s">
        <v>577</v>
      </c>
      <c r="AI1552" s="138" t="s">
        <v>577</v>
      </c>
      <c r="AJ1552" s="24" t="s">
        <v>1536</v>
      </c>
      <c r="AK1552" s="140" t="s">
        <v>116</v>
      </c>
      <c r="AL1552" s="24" t="s">
        <v>1097</v>
      </c>
      <c r="AM1552" s="24" t="s">
        <v>1097</v>
      </c>
      <c r="AN1552" s="24" t="s">
        <v>177</v>
      </c>
      <c r="AT1552" s="24" t="s">
        <v>1111</v>
      </c>
      <c r="AU1552" s="24" t="s">
        <v>1112</v>
      </c>
      <c r="AV1552" s="24" t="s">
        <v>502</v>
      </c>
      <c r="AW1552" s="24" t="s">
        <v>1110</v>
      </c>
      <c r="AX1552" s="24">
        <v>3</v>
      </c>
      <c r="AZ1552" s="24" t="s">
        <v>141</v>
      </c>
      <c r="BE1552" s="24" t="s">
        <v>1114</v>
      </c>
      <c r="BF1552" s="24">
        <v>3968</v>
      </c>
      <c r="BG1552" s="24">
        <v>3837</v>
      </c>
      <c r="BJ1552" s="24" t="s">
        <v>1115</v>
      </c>
      <c r="BK1552" s="24">
        <v>1992</v>
      </c>
      <c r="BL1552" s="24">
        <v>1817</v>
      </c>
      <c r="BO1552" s="24" t="s">
        <v>1118</v>
      </c>
      <c r="BP1552" s="395"/>
      <c r="BQ1552" s="395"/>
      <c r="BU1552" s="395"/>
      <c r="BV1552" s="395"/>
      <c r="BZ1552" s="395"/>
      <c r="CA1552" s="395"/>
      <c r="CE1552" s="548"/>
      <c r="CF1552" s="548"/>
      <c r="CG1552" s="548"/>
      <c r="CH1552" s="548"/>
      <c r="CJ1552" s="24">
        <f>39.9*0.056</f>
        <v>2.2343999999999999</v>
      </c>
      <c r="CK1552" s="24">
        <f>67.3*0.056</f>
        <v>3.7687999999999997</v>
      </c>
      <c r="CN1552" s="24" t="s">
        <v>1675</v>
      </c>
      <c r="FL1552" s="24">
        <v>299</v>
      </c>
      <c r="FM1552" s="24">
        <v>303</v>
      </c>
      <c r="FP1552" s="24" t="s">
        <v>1120</v>
      </c>
      <c r="FQ1552" s="24">
        <v>216</v>
      </c>
      <c r="FR1552" s="24">
        <v>220</v>
      </c>
      <c r="FU1552" s="24" t="s">
        <v>1119</v>
      </c>
      <c r="JB1552" s="24" t="s">
        <v>1118</v>
      </c>
    </row>
    <row r="1553" spans="1:262" s="24" customFormat="1" x14ac:dyDescent="0.25">
      <c r="A1553" s="24">
        <v>73</v>
      </c>
      <c r="B1553" s="42" t="s">
        <v>4087</v>
      </c>
      <c r="C1553" s="24" t="s">
        <v>1106</v>
      </c>
      <c r="D1553" s="24" t="s">
        <v>1107</v>
      </c>
      <c r="E1553" s="24">
        <v>2003</v>
      </c>
      <c r="F1553" s="24">
        <v>1995</v>
      </c>
      <c r="G1553" s="24" t="s">
        <v>1108</v>
      </c>
      <c r="H1553" s="24" t="s">
        <v>1136</v>
      </c>
      <c r="I1553" s="24" t="s">
        <v>2816</v>
      </c>
      <c r="J1553" s="24">
        <v>50.29</v>
      </c>
      <c r="K1553" s="24">
        <v>-107.8</v>
      </c>
      <c r="L1553" s="24">
        <v>757</v>
      </c>
      <c r="R1553" s="42">
        <v>8</v>
      </c>
      <c r="S1553" s="42" t="s">
        <v>1931</v>
      </c>
      <c r="T1553" s="42" t="s">
        <v>1105</v>
      </c>
      <c r="U1553" s="42" t="s">
        <v>1113</v>
      </c>
      <c r="V1553" s="42" t="s">
        <v>1399</v>
      </c>
      <c r="W1553" s="42" t="s">
        <v>1726</v>
      </c>
      <c r="X1553" s="42" t="s">
        <v>1389</v>
      </c>
      <c r="Y1553" s="42" t="s">
        <v>1417</v>
      </c>
      <c r="Z1553" s="24">
        <f t="shared" si="268"/>
        <v>1.4880000000000002</v>
      </c>
      <c r="AA1553" s="321"/>
      <c r="AB1553" s="321"/>
      <c r="AC1553" s="24" t="s">
        <v>139</v>
      </c>
      <c r="AG1553" s="24" t="s">
        <v>1356</v>
      </c>
      <c r="AH1553" s="24" t="s">
        <v>577</v>
      </c>
      <c r="AI1553" s="138" t="s">
        <v>577</v>
      </c>
      <c r="AJ1553" s="24" t="s">
        <v>1536</v>
      </c>
      <c r="AK1553" s="140" t="s">
        <v>116</v>
      </c>
      <c r="AL1553" s="24" t="s">
        <v>1097</v>
      </c>
      <c r="AM1553" s="24" t="s">
        <v>1097</v>
      </c>
      <c r="AN1553" s="24" t="s">
        <v>177</v>
      </c>
      <c r="AT1553" s="24" t="s">
        <v>1111</v>
      </c>
      <c r="AU1553" s="24" t="s">
        <v>1112</v>
      </c>
      <c r="AV1553" s="24" t="s">
        <v>502</v>
      </c>
      <c r="AW1553" s="24" t="s">
        <v>1110</v>
      </c>
      <c r="AX1553" s="24">
        <v>3</v>
      </c>
      <c r="AZ1553" s="24" t="s">
        <v>141</v>
      </c>
      <c r="BE1553" s="24" t="s">
        <v>1114</v>
      </c>
      <c r="BF1553" s="24">
        <v>6058</v>
      </c>
      <c r="BG1553" s="24">
        <v>6058</v>
      </c>
      <c r="BJ1553" s="24" t="s">
        <v>1115</v>
      </c>
      <c r="BK1553" s="24">
        <v>3085</v>
      </c>
      <c r="BL1553" s="24">
        <v>3200</v>
      </c>
      <c r="BO1553" s="24" t="s">
        <v>1118</v>
      </c>
      <c r="BP1553" s="395"/>
      <c r="BQ1553" s="395"/>
      <c r="BU1553" s="395"/>
      <c r="BV1553" s="395"/>
      <c r="BZ1553" s="395"/>
      <c r="CA1553" s="395"/>
      <c r="CE1553" s="548"/>
      <c r="CF1553" s="548"/>
      <c r="CG1553" s="548"/>
      <c r="CH1553" s="548"/>
      <c r="CJ1553" s="24">
        <f>68.7*0.056</f>
        <v>3.8472000000000004</v>
      </c>
      <c r="CK1553" s="24">
        <f>89.9*0.056</f>
        <v>5.0344000000000007</v>
      </c>
      <c r="CN1553" s="24" t="s">
        <v>1675</v>
      </c>
      <c r="FL1553" s="24">
        <v>305</v>
      </c>
      <c r="FM1553" s="24">
        <v>274</v>
      </c>
      <c r="FP1553" s="24" t="s">
        <v>1120</v>
      </c>
      <c r="FQ1553" s="24">
        <v>222</v>
      </c>
      <c r="FR1553" s="24">
        <v>191</v>
      </c>
      <c r="FU1553" s="24" t="s">
        <v>1119</v>
      </c>
      <c r="JB1553" s="24" t="s">
        <v>1118</v>
      </c>
    </row>
    <row r="1554" spans="1:262" s="24" customFormat="1" x14ac:dyDescent="0.25">
      <c r="A1554" s="24">
        <v>73</v>
      </c>
      <c r="B1554" s="42" t="s">
        <v>4087</v>
      </c>
      <c r="C1554" s="24" t="s">
        <v>1106</v>
      </c>
      <c r="D1554" s="24" t="s">
        <v>1107</v>
      </c>
      <c r="E1554" s="24">
        <v>2003</v>
      </c>
      <c r="F1554" s="24">
        <v>1996</v>
      </c>
      <c r="G1554" s="24" t="s">
        <v>1108</v>
      </c>
      <c r="H1554" s="24" t="s">
        <v>1136</v>
      </c>
      <c r="I1554" s="24" t="s">
        <v>2816</v>
      </c>
      <c r="J1554" s="24">
        <v>50.29</v>
      </c>
      <c r="K1554" s="24">
        <v>-107.8</v>
      </c>
      <c r="L1554" s="24">
        <v>757</v>
      </c>
      <c r="R1554" s="42">
        <v>9</v>
      </c>
      <c r="S1554" s="42" t="s">
        <v>1931</v>
      </c>
      <c r="T1554" s="42" t="s">
        <v>1105</v>
      </c>
      <c r="U1554" s="42" t="s">
        <v>1113</v>
      </c>
      <c r="V1554" s="42" t="s">
        <v>1399</v>
      </c>
      <c r="W1554" s="42" t="s">
        <v>1726</v>
      </c>
      <c r="X1554" s="42" t="s">
        <v>1389</v>
      </c>
      <c r="Y1554" s="42" t="s">
        <v>1417</v>
      </c>
      <c r="Z1554" s="24">
        <f t="shared" si="268"/>
        <v>1.4880000000000002</v>
      </c>
      <c r="AA1554" s="321"/>
      <c r="AB1554" s="321"/>
      <c r="AC1554" s="24" t="s">
        <v>139</v>
      </c>
      <c r="AG1554" s="24" t="s">
        <v>1356</v>
      </c>
      <c r="AH1554" s="24" t="s">
        <v>577</v>
      </c>
      <c r="AI1554" s="138" t="s">
        <v>577</v>
      </c>
      <c r="AJ1554" s="24" t="s">
        <v>1536</v>
      </c>
      <c r="AK1554" s="140" t="s">
        <v>116</v>
      </c>
      <c r="AL1554" s="24" t="s">
        <v>1097</v>
      </c>
      <c r="AM1554" s="24" t="s">
        <v>1097</v>
      </c>
      <c r="AN1554" s="24" t="s">
        <v>177</v>
      </c>
      <c r="AT1554" s="24" t="s">
        <v>1111</v>
      </c>
      <c r="AU1554" s="24" t="s">
        <v>1112</v>
      </c>
      <c r="AV1554" s="24" t="s">
        <v>502</v>
      </c>
      <c r="AW1554" s="24" t="s">
        <v>1110</v>
      </c>
      <c r="AX1554" s="24">
        <v>3</v>
      </c>
      <c r="AZ1554" s="24" t="s">
        <v>141</v>
      </c>
      <c r="BE1554" s="24" t="s">
        <v>1114</v>
      </c>
      <c r="BF1554" s="24">
        <v>4721</v>
      </c>
      <c r="BG1554" s="24">
        <v>4728</v>
      </c>
      <c r="BJ1554" s="24" t="s">
        <v>1115</v>
      </c>
      <c r="BK1554" s="24">
        <v>2395</v>
      </c>
      <c r="BL1554" s="24">
        <v>2501</v>
      </c>
      <c r="BO1554" s="24" t="s">
        <v>1118</v>
      </c>
      <c r="BP1554" s="395"/>
      <c r="BQ1554" s="395"/>
      <c r="BU1554" s="395"/>
      <c r="BV1554" s="395"/>
      <c r="BZ1554" s="395"/>
      <c r="CA1554" s="395"/>
      <c r="CE1554" s="548"/>
      <c r="CF1554" s="548"/>
      <c r="CG1554" s="548"/>
      <c r="CH1554" s="548"/>
      <c r="CJ1554" s="24">
        <f>64.8*0.056</f>
        <v>3.6288</v>
      </c>
      <c r="CK1554" s="24">
        <f>119.1*0.056</f>
        <v>6.6696</v>
      </c>
      <c r="CN1554" s="24" t="s">
        <v>1675</v>
      </c>
      <c r="FL1554" s="24">
        <v>325</v>
      </c>
      <c r="FM1554" s="24">
        <v>316</v>
      </c>
      <c r="FP1554" s="24" t="s">
        <v>1120</v>
      </c>
      <c r="FQ1554" s="24">
        <v>242</v>
      </c>
      <c r="FR1554" s="24">
        <v>233</v>
      </c>
      <c r="FU1554" s="24" t="s">
        <v>1119</v>
      </c>
      <c r="JB1554" s="24" t="s">
        <v>1118</v>
      </c>
    </row>
    <row r="1555" spans="1:262" s="24" customFormat="1" x14ac:dyDescent="0.25">
      <c r="A1555" s="24">
        <v>73</v>
      </c>
      <c r="B1555" s="42" t="s">
        <v>4087</v>
      </c>
      <c r="C1555" s="24" t="s">
        <v>1106</v>
      </c>
      <c r="D1555" s="24" t="s">
        <v>1107</v>
      </c>
      <c r="E1555" s="24">
        <v>2003</v>
      </c>
      <c r="F1555" s="24">
        <v>1997</v>
      </c>
      <c r="G1555" s="24" t="s">
        <v>1108</v>
      </c>
      <c r="H1555" s="24" t="s">
        <v>1136</v>
      </c>
      <c r="I1555" s="24" t="s">
        <v>2816</v>
      </c>
      <c r="J1555" s="24">
        <v>50.29</v>
      </c>
      <c r="K1555" s="24">
        <v>-107.8</v>
      </c>
      <c r="L1555" s="24">
        <v>757</v>
      </c>
      <c r="R1555" s="42">
        <v>10</v>
      </c>
      <c r="S1555" s="42" t="s">
        <v>1931</v>
      </c>
      <c r="T1555" s="42" t="s">
        <v>1105</v>
      </c>
      <c r="U1555" s="42" t="s">
        <v>1113</v>
      </c>
      <c r="V1555" s="42" t="s">
        <v>1399</v>
      </c>
      <c r="W1555" s="42" t="s">
        <v>1726</v>
      </c>
      <c r="X1555" s="42" t="s">
        <v>1389</v>
      </c>
      <c r="Y1555" s="42" t="s">
        <v>1417</v>
      </c>
      <c r="Z1555" s="24">
        <f t="shared" si="268"/>
        <v>1.4880000000000002</v>
      </c>
      <c r="AA1555" s="321"/>
      <c r="AB1555" s="321"/>
      <c r="AC1555" s="24" t="s">
        <v>139</v>
      </c>
      <c r="AG1555" s="24" t="s">
        <v>1356</v>
      </c>
      <c r="AH1555" s="24" t="s">
        <v>577</v>
      </c>
      <c r="AI1555" s="138" t="s">
        <v>577</v>
      </c>
      <c r="AJ1555" s="24" t="s">
        <v>1536</v>
      </c>
      <c r="AK1555" s="140" t="s">
        <v>116</v>
      </c>
      <c r="AL1555" s="24" t="s">
        <v>1097</v>
      </c>
      <c r="AM1555" s="24" t="s">
        <v>1097</v>
      </c>
      <c r="AN1555" s="24" t="s">
        <v>177</v>
      </c>
      <c r="AT1555" s="24" t="s">
        <v>1111</v>
      </c>
      <c r="AU1555" s="24" t="s">
        <v>1112</v>
      </c>
      <c r="AV1555" s="24" t="s">
        <v>502</v>
      </c>
      <c r="AW1555" s="24" t="s">
        <v>1110</v>
      </c>
      <c r="AX1555" s="24">
        <v>3</v>
      </c>
      <c r="AZ1555" s="24" t="s">
        <v>141</v>
      </c>
      <c r="BE1555" s="24" t="s">
        <v>1114</v>
      </c>
      <c r="BF1555" s="24">
        <v>4439</v>
      </c>
      <c r="BG1555" s="24">
        <v>5034</v>
      </c>
      <c r="BJ1555" s="24" t="s">
        <v>1115</v>
      </c>
      <c r="BK1555" s="24">
        <v>2998</v>
      </c>
      <c r="BL1555" s="24">
        <v>3155</v>
      </c>
      <c r="BO1555" s="24" t="s">
        <v>1118</v>
      </c>
      <c r="BP1555" s="395"/>
      <c r="BQ1555" s="395"/>
      <c r="BU1555" s="395"/>
      <c r="BV1555" s="395"/>
      <c r="BZ1555" s="395"/>
      <c r="CA1555" s="395"/>
      <c r="CE1555" s="548"/>
      <c r="CF1555" s="548"/>
      <c r="CG1555" s="548"/>
      <c r="CH1555" s="548"/>
      <c r="CJ1555" s="24">
        <f>66.2*0.056</f>
        <v>3.7072000000000003</v>
      </c>
      <c r="CK1555" s="24">
        <f>89.7*0.056</f>
        <v>5.0232000000000001</v>
      </c>
      <c r="CN1555" s="24" t="s">
        <v>1675</v>
      </c>
      <c r="FL1555" s="24">
        <v>324</v>
      </c>
      <c r="FM1555" s="24">
        <v>322</v>
      </c>
      <c r="FP1555" s="24" t="s">
        <v>1120</v>
      </c>
      <c r="FQ1555" s="24">
        <v>241</v>
      </c>
      <c r="FR1555" s="24">
        <v>239</v>
      </c>
      <c r="FU1555" s="24" t="s">
        <v>1119</v>
      </c>
      <c r="JB1555" s="24" t="s">
        <v>1118</v>
      </c>
    </row>
    <row r="1556" spans="1:262" s="24" customFormat="1" x14ac:dyDescent="0.25">
      <c r="A1556" s="24">
        <v>73</v>
      </c>
      <c r="B1556" s="42" t="s">
        <v>4087</v>
      </c>
      <c r="C1556" s="24" t="s">
        <v>1106</v>
      </c>
      <c r="D1556" s="24" t="s">
        <v>1107</v>
      </c>
      <c r="E1556" s="24">
        <v>2003</v>
      </c>
      <c r="F1556" s="24">
        <v>1998</v>
      </c>
      <c r="G1556" s="24" t="s">
        <v>1108</v>
      </c>
      <c r="H1556" s="24" t="s">
        <v>1136</v>
      </c>
      <c r="I1556" s="24" t="s">
        <v>2816</v>
      </c>
      <c r="J1556" s="24">
        <v>50.29</v>
      </c>
      <c r="K1556" s="24">
        <v>-107.8</v>
      </c>
      <c r="L1556" s="24">
        <v>757</v>
      </c>
      <c r="R1556" s="42">
        <v>11</v>
      </c>
      <c r="S1556" s="42" t="s">
        <v>1931</v>
      </c>
      <c r="T1556" s="42" t="s">
        <v>1105</v>
      </c>
      <c r="U1556" s="42" t="s">
        <v>1113</v>
      </c>
      <c r="V1556" s="42" t="s">
        <v>1399</v>
      </c>
      <c r="W1556" s="42" t="s">
        <v>1726</v>
      </c>
      <c r="X1556" s="42" t="s">
        <v>1389</v>
      </c>
      <c r="Y1556" s="42" t="s">
        <v>1417</v>
      </c>
      <c r="Z1556" s="24">
        <f t="shared" si="268"/>
        <v>1.4880000000000002</v>
      </c>
      <c r="AA1556" s="321"/>
      <c r="AB1556" s="321"/>
      <c r="AC1556" s="24" t="s">
        <v>139</v>
      </c>
      <c r="AG1556" s="24" t="s">
        <v>1356</v>
      </c>
      <c r="AH1556" s="24" t="s">
        <v>577</v>
      </c>
      <c r="AI1556" s="138" t="s">
        <v>577</v>
      </c>
      <c r="AJ1556" s="24" t="s">
        <v>1536</v>
      </c>
      <c r="AK1556" s="140" t="s">
        <v>116</v>
      </c>
      <c r="AL1556" s="24" t="s">
        <v>1097</v>
      </c>
      <c r="AM1556" s="24" t="s">
        <v>1097</v>
      </c>
      <c r="AN1556" s="24" t="s">
        <v>177</v>
      </c>
      <c r="AT1556" s="24" t="s">
        <v>1111</v>
      </c>
      <c r="AU1556" s="24" t="s">
        <v>1112</v>
      </c>
      <c r="AV1556" s="24" t="s">
        <v>502</v>
      </c>
      <c r="AW1556" s="24" t="s">
        <v>1110</v>
      </c>
      <c r="AX1556" s="24">
        <v>3</v>
      </c>
      <c r="AZ1556" s="24" t="s">
        <v>141</v>
      </c>
      <c r="BE1556" s="24" t="s">
        <v>1114</v>
      </c>
      <c r="BF1556" s="24">
        <v>4414</v>
      </c>
      <c r="BG1556" s="24">
        <v>3843</v>
      </c>
      <c r="BJ1556" s="24" t="s">
        <v>1115</v>
      </c>
      <c r="BK1556" s="24">
        <v>2587</v>
      </c>
      <c r="BL1556" s="24">
        <v>2290</v>
      </c>
      <c r="BO1556" s="24" t="s">
        <v>1118</v>
      </c>
      <c r="BP1556" s="395"/>
      <c r="BQ1556" s="395"/>
      <c r="BU1556" s="395"/>
      <c r="BV1556" s="395"/>
      <c r="BZ1556" s="395"/>
      <c r="CA1556" s="395"/>
      <c r="CE1556" s="548"/>
      <c r="CF1556" s="548"/>
      <c r="CG1556" s="548"/>
      <c r="CH1556" s="548"/>
      <c r="CJ1556" s="24">
        <f>105*0.056</f>
        <v>5.88</v>
      </c>
      <c r="CK1556" s="24">
        <f>139.3*0.056</f>
        <v>7.8008000000000006</v>
      </c>
      <c r="CN1556" s="24" t="s">
        <v>1675</v>
      </c>
      <c r="FL1556" s="24">
        <v>270</v>
      </c>
      <c r="FM1556" s="24">
        <v>248</v>
      </c>
      <c r="FP1556" s="24" t="s">
        <v>1120</v>
      </c>
      <c r="FQ1556" s="24">
        <v>187</v>
      </c>
      <c r="FR1556" s="24">
        <v>165</v>
      </c>
      <c r="FU1556" s="24" t="s">
        <v>1119</v>
      </c>
      <c r="JB1556" s="24" t="s">
        <v>1118</v>
      </c>
    </row>
    <row r="1557" spans="1:262" s="24" customFormat="1" x14ac:dyDescent="0.25">
      <c r="A1557" s="24">
        <v>73</v>
      </c>
      <c r="B1557" s="42" t="s">
        <v>4087</v>
      </c>
      <c r="C1557" s="24" t="s">
        <v>1106</v>
      </c>
      <c r="D1557" s="24" t="s">
        <v>1107</v>
      </c>
      <c r="E1557" s="24">
        <v>2003</v>
      </c>
      <c r="F1557" s="24">
        <v>1999</v>
      </c>
      <c r="G1557" s="24" t="s">
        <v>1108</v>
      </c>
      <c r="H1557" s="24" t="s">
        <v>1136</v>
      </c>
      <c r="I1557" s="24" t="s">
        <v>2816</v>
      </c>
      <c r="J1557" s="24">
        <v>50.29</v>
      </c>
      <c r="K1557" s="24">
        <v>-107.8</v>
      </c>
      <c r="L1557" s="24">
        <v>757</v>
      </c>
      <c r="R1557" s="42">
        <v>12</v>
      </c>
      <c r="S1557" s="42" t="s">
        <v>1931</v>
      </c>
      <c r="T1557" s="42" t="s">
        <v>1105</v>
      </c>
      <c r="U1557" s="42" t="s">
        <v>1113</v>
      </c>
      <c r="V1557" s="42" t="s">
        <v>1399</v>
      </c>
      <c r="W1557" s="42" t="s">
        <v>1726</v>
      </c>
      <c r="X1557" s="42" t="s">
        <v>1389</v>
      </c>
      <c r="Y1557" s="42" t="s">
        <v>1417</v>
      </c>
      <c r="Z1557" s="24">
        <f t="shared" si="268"/>
        <v>1.4880000000000002</v>
      </c>
      <c r="AA1557" s="321"/>
      <c r="AB1557" s="321"/>
      <c r="AC1557" s="24" t="s">
        <v>139</v>
      </c>
      <c r="AG1557" s="24" t="s">
        <v>1356</v>
      </c>
      <c r="AH1557" s="24" t="s">
        <v>577</v>
      </c>
      <c r="AI1557" s="138" t="s">
        <v>577</v>
      </c>
      <c r="AJ1557" s="24" t="s">
        <v>1536</v>
      </c>
      <c r="AK1557" s="140" t="s">
        <v>116</v>
      </c>
      <c r="AL1557" s="24" t="s">
        <v>1097</v>
      </c>
      <c r="AM1557" s="24" t="s">
        <v>1097</v>
      </c>
      <c r="AN1557" s="24" t="s">
        <v>177</v>
      </c>
      <c r="AT1557" s="24" t="s">
        <v>1111</v>
      </c>
      <c r="AU1557" s="24" t="s">
        <v>1112</v>
      </c>
      <c r="AV1557" s="24" t="s">
        <v>502</v>
      </c>
      <c r="AW1557" s="24" t="s">
        <v>1110</v>
      </c>
      <c r="AX1557" s="24">
        <v>3</v>
      </c>
      <c r="AZ1557" s="24" t="s">
        <v>141</v>
      </c>
      <c r="BE1557" s="24" t="s">
        <v>1114</v>
      </c>
      <c r="BF1557" s="24">
        <v>5728</v>
      </c>
      <c r="BG1557" s="24">
        <v>5114</v>
      </c>
      <c r="BJ1557" s="24" t="s">
        <v>1115</v>
      </c>
      <c r="BK1557" s="24">
        <v>3574</v>
      </c>
      <c r="BL1557" s="24">
        <v>2876</v>
      </c>
      <c r="BO1557" s="24" t="s">
        <v>1118</v>
      </c>
      <c r="BP1557" s="395"/>
      <c r="BQ1557" s="395"/>
      <c r="BU1557" s="395"/>
      <c r="BV1557" s="395"/>
      <c r="BZ1557" s="395"/>
      <c r="CA1557" s="395"/>
      <c r="CE1557" s="548"/>
      <c r="CF1557" s="548"/>
      <c r="CG1557" s="548"/>
      <c r="CH1557" s="548"/>
      <c r="CJ1557" s="24">
        <f>92.2*0.056</f>
        <v>5.1632000000000007</v>
      </c>
      <c r="CK1557" s="24">
        <f>109.2*0.056</f>
        <v>6.1152000000000006</v>
      </c>
      <c r="CN1557" s="24" t="s">
        <v>1675</v>
      </c>
      <c r="FL1557" s="24">
        <v>300</v>
      </c>
      <c r="FM1557" s="24">
        <v>228</v>
      </c>
      <c r="FP1557" s="24" t="s">
        <v>1120</v>
      </c>
      <c r="FQ1557" s="24">
        <v>217</v>
      </c>
      <c r="FR1557" s="24">
        <v>145</v>
      </c>
      <c r="FU1557" s="24" t="s">
        <v>1119</v>
      </c>
      <c r="JB1557" s="24" t="s">
        <v>1118</v>
      </c>
    </row>
    <row r="1558" spans="1:262" s="32" customFormat="1" x14ac:dyDescent="0.25">
      <c r="A1558" s="32">
        <v>73</v>
      </c>
      <c r="B1558" s="44" t="s">
        <v>4088</v>
      </c>
      <c r="C1558" s="32" t="s">
        <v>1106</v>
      </c>
      <c r="D1558" s="32" t="s">
        <v>1107</v>
      </c>
      <c r="E1558" s="32">
        <v>2003</v>
      </c>
      <c r="F1558" s="32">
        <v>1988</v>
      </c>
      <c r="G1558" s="32" t="s">
        <v>1108</v>
      </c>
      <c r="H1558" s="32" t="s">
        <v>1136</v>
      </c>
      <c r="I1558" s="24" t="s">
        <v>2816</v>
      </c>
      <c r="J1558" s="32">
        <v>50.29</v>
      </c>
      <c r="K1558" s="32">
        <v>-107.8</v>
      </c>
      <c r="L1558" s="32">
        <v>757</v>
      </c>
      <c r="R1558" s="44">
        <v>1</v>
      </c>
      <c r="S1558" s="44" t="s">
        <v>1931</v>
      </c>
      <c r="T1558" s="44" t="s">
        <v>1105</v>
      </c>
      <c r="U1558" s="44" t="s">
        <v>1113</v>
      </c>
      <c r="V1558" s="44" t="s">
        <v>1399</v>
      </c>
      <c r="W1558" s="44" t="s">
        <v>1726</v>
      </c>
      <c r="X1558" s="44" t="s">
        <v>1389</v>
      </c>
      <c r="Y1558" s="44" t="s">
        <v>1417</v>
      </c>
      <c r="Z1558" s="32">
        <v>1.4880000000000002</v>
      </c>
      <c r="AA1558" s="323"/>
      <c r="AB1558" s="323"/>
      <c r="AC1558" s="32" t="s">
        <v>139</v>
      </c>
      <c r="AG1558" s="32" t="s">
        <v>1356</v>
      </c>
      <c r="AH1558" s="32" t="s">
        <v>577</v>
      </c>
      <c r="AI1558" s="138" t="s">
        <v>577</v>
      </c>
      <c r="AJ1558" s="32" t="s">
        <v>1536</v>
      </c>
      <c r="AK1558" s="140" t="s">
        <v>116</v>
      </c>
      <c r="AL1558" s="32" t="s">
        <v>1097</v>
      </c>
      <c r="AM1558" s="32" t="s">
        <v>1097</v>
      </c>
      <c r="AN1558" s="32" t="s">
        <v>177</v>
      </c>
      <c r="AT1558" s="32" t="s">
        <v>1111</v>
      </c>
      <c r="AU1558" s="32" t="s">
        <v>1112</v>
      </c>
      <c r="AV1558" s="32" t="s">
        <v>502</v>
      </c>
      <c r="AW1558" s="32" t="s">
        <v>1110</v>
      </c>
      <c r="AX1558" s="32">
        <v>3</v>
      </c>
      <c r="AZ1558" s="32" t="s">
        <v>141</v>
      </c>
      <c r="BE1558" s="32" t="s">
        <v>1121</v>
      </c>
      <c r="BF1558" s="32">
        <v>794</v>
      </c>
      <c r="BG1558" s="32">
        <v>745</v>
      </c>
      <c r="BJ1558" s="32" t="s">
        <v>1115</v>
      </c>
      <c r="BK1558" s="32">
        <v>420</v>
      </c>
      <c r="BL1558" s="32">
        <v>407</v>
      </c>
      <c r="BO1558" s="32" t="s">
        <v>1118</v>
      </c>
      <c r="BP1558" s="397"/>
      <c r="BQ1558" s="397"/>
      <c r="BU1558" s="397"/>
      <c r="BV1558" s="397"/>
      <c r="BZ1558" s="397"/>
      <c r="CA1558" s="397"/>
      <c r="CE1558" s="550"/>
      <c r="CF1558" s="550"/>
      <c r="CG1558" s="550"/>
      <c r="CH1558" s="550"/>
      <c r="FL1558" s="32">
        <v>188</v>
      </c>
      <c r="FM1558" s="32">
        <v>179</v>
      </c>
      <c r="FP1558" s="32" t="s">
        <v>1120</v>
      </c>
      <c r="FQ1558" s="32">
        <v>105</v>
      </c>
      <c r="FR1558" s="32">
        <v>96</v>
      </c>
      <c r="FU1558" s="32" t="s">
        <v>1119</v>
      </c>
      <c r="JB1558" s="32" t="s">
        <v>1118</v>
      </c>
    </row>
    <row r="1559" spans="1:262" s="32" customFormat="1" x14ac:dyDescent="0.25">
      <c r="A1559" s="32">
        <v>73</v>
      </c>
      <c r="B1559" s="44" t="s">
        <v>4088</v>
      </c>
      <c r="C1559" s="32" t="s">
        <v>1106</v>
      </c>
      <c r="D1559" s="32" t="s">
        <v>1107</v>
      </c>
      <c r="E1559" s="32">
        <v>2003</v>
      </c>
      <c r="F1559" s="32">
        <v>1989</v>
      </c>
      <c r="G1559" s="32" t="s">
        <v>1108</v>
      </c>
      <c r="H1559" s="32" t="s">
        <v>1136</v>
      </c>
      <c r="I1559" s="24" t="s">
        <v>2816</v>
      </c>
      <c r="J1559" s="32">
        <v>50.29</v>
      </c>
      <c r="K1559" s="32">
        <v>-107.8</v>
      </c>
      <c r="L1559" s="32">
        <v>757</v>
      </c>
      <c r="R1559" s="44">
        <v>2</v>
      </c>
      <c r="S1559" s="44" t="s">
        <v>1931</v>
      </c>
      <c r="T1559" s="44" t="s">
        <v>1105</v>
      </c>
      <c r="U1559" s="44" t="s">
        <v>1113</v>
      </c>
      <c r="V1559" s="44" t="s">
        <v>1399</v>
      </c>
      <c r="W1559" s="44" t="s">
        <v>1726</v>
      </c>
      <c r="X1559" s="44" t="s">
        <v>1389</v>
      </c>
      <c r="Y1559" s="44" t="s">
        <v>1417</v>
      </c>
      <c r="Z1559" s="32">
        <v>1.4880000000000002</v>
      </c>
      <c r="AA1559" s="323"/>
      <c r="AB1559" s="323"/>
      <c r="AC1559" s="32" t="s">
        <v>139</v>
      </c>
      <c r="AG1559" s="32" t="s">
        <v>1356</v>
      </c>
      <c r="AH1559" s="32" t="s">
        <v>577</v>
      </c>
      <c r="AI1559" s="138" t="s">
        <v>577</v>
      </c>
      <c r="AJ1559" s="32" t="s">
        <v>1536</v>
      </c>
      <c r="AK1559" s="140" t="s">
        <v>116</v>
      </c>
      <c r="AL1559" s="32" t="s">
        <v>1097</v>
      </c>
      <c r="AM1559" s="32" t="s">
        <v>1097</v>
      </c>
      <c r="AN1559" s="32" t="s">
        <v>177</v>
      </c>
      <c r="AT1559" s="32" t="s">
        <v>1111</v>
      </c>
      <c r="AU1559" s="32" t="s">
        <v>1112</v>
      </c>
      <c r="AV1559" s="32" t="s">
        <v>502</v>
      </c>
      <c r="AW1559" s="32" t="s">
        <v>1110</v>
      </c>
      <c r="AX1559" s="32">
        <v>3</v>
      </c>
      <c r="AZ1559" s="32" t="s">
        <v>141</v>
      </c>
      <c r="BE1559" s="32" t="s">
        <v>1121</v>
      </c>
      <c r="BF1559" s="32">
        <v>2732</v>
      </c>
      <c r="BG1559" s="32">
        <v>2926</v>
      </c>
      <c r="BJ1559" s="32" t="s">
        <v>1115</v>
      </c>
      <c r="BK1559" s="32">
        <v>1655</v>
      </c>
      <c r="BL1559" s="32">
        <v>1738</v>
      </c>
      <c r="BO1559" s="32" t="s">
        <v>1118</v>
      </c>
      <c r="BP1559" s="397"/>
      <c r="BQ1559" s="397"/>
      <c r="BU1559" s="397"/>
      <c r="BV1559" s="397"/>
      <c r="BZ1559" s="397"/>
      <c r="CA1559" s="397"/>
      <c r="CE1559" s="550"/>
      <c r="CF1559" s="550"/>
      <c r="CG1559" s="550"/>
      <c r="CH1559" s="550"/>
      <c r="FL1559" s="32">
        <v>191</v>
      </c>
      <c r="FM1559" s="32">
        <v>198</v>
      </c>
      <c r="FP1559" s="32" t="s">
        <v>1120</v>
      </c>
      <c r="FQ1559" s="32">
        <v>108</v>
      </c>
      <c r="FR1559" s="32">
        <v>115</v>
      </c>
      <c r="FU1559" s="32" t="s">
        <v>1119</v>
      </c>
      <c r="JB1559" s="32" t="s">
        <v>1118</v>
      </c>
    </row>
    <row r="1560" spans="1:262" s="32" customFormat="1" x14ac:dyDescent="0.25">
      <c r="A1560" s="32">
        <v>73</v>
      </c>
      <c r="B1560" s="44" t="s">
        <v>4088</v>
      </c>
      <c r="C1560" s="32" t="s">
        <v>1106</v>
      </c>
      <c r="D1560" s="32" t="s">
        <v>1107</v>
      </c>
      <c r="E1560" s="32">
        <v>2003</v>
      </c>
      <c r="F1560" s="32">
        <v>1990</v>
      </c>
      <c r="G1560" s="32" t="s">
        <v>1108</v>
      </c>
      <c r="H1560" s="32" t="s">
        <v>1136</v>
      </c>
      <c r="I1560" s="24" t="s">
        <v>2816</v>
      </c>
      <c r="J1560" s="32">
        <v>50.29</v>
      </c>
      <c r="K1560" s="32">
        <v>-107.8</v>
      </c>
      <c r="L1560" s="32">
        <v>757</v>
      </c>
      <c r="R1560" s="44">
        <v>3</v>
      </c>
      <c r="S1560" s="44" t="s">
        <v>1931</v>
      </c>
      <c r="T1560" s="44" t="s">
        <v>1105</v>
      </c>
      <c r="U1560" s="44" t="s">
        <v>1113</v>
      </c>
      <c r="V1560" s="44" t="s">
        <v>1399</v>
      </c>
      <c r="W1560" s="44" t="s">
        <v>1726</v>
      </c>
      <c r="X1560" s="44" t="s">
        <v>1389</v>
      </c>
      <c r="Y1560" s="44" t="s">
        <v>1417</v>
      </c>
      <c r="Z1560" s="32">
        <v>1.4880000000000002</v>
      </c>
      <c r="AA1560" s="323"/>
      <c r="AB1560" s="323"/>
      <c r="AC1560" s="32" t="s">
        <v>139</v>
      </c>
      <c r="AG1560" s="32" t="s">
        <v>1356</v>
      </c>
      <c r="AH1560" s="32" t="s">
        <v>577</v>
      </c>
      <c r="AI1560" s="138" t="s">
        <v>577</v>
      </c>
      <c r="AJ1560" s="32" t="s">
        <v>1536</v>
      </c>
      <c r="AK1560" s="140" t="s">
        <v>116</v>
      </c>
      <c r="AL1560" s="32" t="s">
        <v>1097</v>
      </c>
      <c r="AM1560" s="32" t="s">
        <v>1097</v>
      </c>
      <c r="AN1560" s="32" t="s">
        <v>177</v>
      </c>
      <c r="AT1560" s="32" t="s">
        <v>1111</v>
      </c>
      <c r="AU1560" s="32" t="s">
        <v>1112</v>
      </c>
      <c r="AV1560" s="32" t="s">
        <v>502</v>
      </c>
      <c r="AW1560" s="32" t="s">
        <v>1110</v>
      </c>
      <c r="AX1560" s="32">
        <v>3</v>
      </c>
      <c r="AZ1560" s="32" t="s">
        <v>141</v>
      </c>
      <c r="BE1560" s="32" t="s">
        <v>1121</v>
      </c>
      <c r="BF1560" s="32">
        <v>2395</v>
      </c>
      <c r="BG1560" s="32">
        <v>2729</v>
      </c>
      <c r="BJ1560" s="32" t="s">
        <v>1115</v>
      </c>
      <c r="BK1560" s="32">
        <v>1778</v>
      </c>
      <c r="BL1560" s="32">
        <v>1879</v>
      </c>
      <c r="BO1560" s="32" t="s">
        <v>1118</v>
      </c>
      <c r="BP1560" s="397"/>
      <c r="BQ1560" s="397"/>
      <c r="BU1560" s="397"/>
      <c r="BV1560" s="397"/>
      <c r="BZ1560" s="397"/>
      <c r="CA1560" s="397"/>
      <c r="CE1560" s="550"/>
      <c r="CF1560" s="550"/>
      <c r="CG1560" s="550"/>
      <c r="CH1560" s="550"/>
      <c r="FL1560" s="32">
        <v>231</v>
      </c>
      <c r="FM1560" s="32">
        <v>244</v>
      </c>
      <c r="FP1560" s="32" t="s">
        <v>1120</v>
      </c>
      <c r="FQ1560" s="32">
        <v>148</v>
      </c>
      <c r="FR1560" s="32">
        <v>161</v>
      </c>
      <c r="FU1560" s="32" t="s">
        <v>1119</v>
      </c>
      <c r="JB1560" s="32" t="s">
        <v>1118</v>
      </c>
    </row>
    <row r="1561" spans="1:262" s="32" customFormat="1" x14ac:dyDescent="0.25">
      <c r="A1561" s="32">
        <v>73</v>
      </c>
      <c r="B1561" s="44" t="s">
        <v>4088</v>
      </c>
      <c r="C1561" s="32" t="s">
        <v>1106</v>
      </c>
      <c r="D1561" s="32" t="s">
        <v>1107</v>
      </c>
      <c r="E1561" s="32">
        <v>2003</v>
      </c>
      <c r="F1561" s="32">
        <v>1991</v>
      </c>
      <c r="G1561" s="32" t="s">
        <v>1108</v>
      </c>
      <c r="H1561" s="32" t="s">
        <v>1136</v>
      </c>
      <c r="I1561" s="24" t="s">
        <v>2816</v>
      </c>
      <c r="J1561" s="32">
        <v>50.29</v>
      </c>
      <c r="K1561" s="32">
        <v>-107.8</v>
      </c>
      <c r="L1561" s="32">
        <v>757</v>
      </c>
      <c r="R1561" s="44">
        <v>4</v>
      </c>
      <c r="S1561" s="44" t="s">
        <v>1931</v>
      </c>
      <c r="T1561" s="44" t="s">
        <v>1105</v>
      </c>
      <c r="U1561" s="44" t="s">
        <v>1113</v>
      </c>
      <c r="V1561" s="44" t="s">
        <v>1399</v>
      </c>
      <c r="W1561" s="44" t="s">
        <v>1726</v>
      </c>
      <c r="X1561" s="44" t="s">
        <v>1389</v>
      </c>
      <c r="Y1561" s="44" t="s">
        <v>1417</v>
      </c>
      <c r="Z1561" s="32">
        <v>1.4880000000000002</v>
      </c>
      <c r="AA1561" s="323"/>
      <c r="AB1561" s="323"/>
      <c r="AC1561" s="32" t="s">
        <v>139</v>
      </c>
      <c r="AG1561" s="32" t="s">
        <v>1356</v>
      </c>
      <c r="AH1561" s="32" t="s">
        <v>577</v>
      </c>
      <c r="AI1561" s="138" t="s">
        <v>577</v>
      </c>
      <c r="AJ1561" s="32" t="s">
        <v>1536</v>
      </c>
      <c r="AK1561" s="140" t="s">
        <v>116</v>
      </c>
      <c r="AL1561" s="32" t="s">
        <v>1097</v>
      </c>
      <c r="AM1561" s="32" t="s">
        <v>1097</v>
      </c>
      <c r="AN1561" s="32" t="s">
        <v>177</v>
      </c>
      <c r="AT1561" s="32" t="s">
        <v>1111</v>
      </c>
      <c r="AU1561" s="32" t="s">
        <v>1112</v>
      </c>
      <c r="AV1561" s="32" t="s">
        <v>502</v>
      </c>
      <c r="AW1561" s="32" t="s">
        <v>1110</v>
      </c>
      <c r="AX1561" s="32">
        <v>3</v>
      </c>
      <c r="AZ1561" s="32" t="s">
        <v>141</v>
      </c>
      <c r="BE1561" s="32" t="s">
        <v>1121</v>
      </c>
      <c r="BF1561" s="32">
        <v>4339</v>
      </c>
      <c r="BG1561" s="32">
        <v>4550</v>
      </c>
      <c r="BJ1561" s="32" t="s">
        <v>1115</v>
      </c>
      <c r="BK1561" s="32">
        <v>2581</v>
      </c>
      <c r="BL1561" s="32">
        <v>2638</v>
      </c>
      <c r="BO1561" s="32" t="s">
        <v>1118</v>
      </c>
      <c r="BP1561" s="397"/>
      <c r="BQ1561" s="397"/>
      <c r="BU1561" s="397"/>
      <c r="BV1561" s="397"/>
      <c r="BZ1561" s="397"/>
      <c r="CA1561" s="397"/>
      <c r="CE1561" s="550"/>
      <c r="CF1561" s="550"/>
      <c r="CG1561" s="550"/>
      <c r="CH1561" s="550"/>
      <c r="FL1561" s="32">
        <v>260</v>
      </c>
      <c r="FM1561" s="32">
        <v>257</v>
      </c>
      <c r="FP1561" s="32" t="s">
        <v>1120</v>
      </c>
      <c r="FQ1561" s="32">
        <v>177</v>
      </c>
      <c r="FR1561" s="32">
        <v>174</v>
      </c>
      <c r="FU1561" s="32" t="s">
        <v>1119</v>
      </c>
      <c r="JB1561" s="32" t="s">
        <v>1118</v>
      </c>
    </row>
    <row r="1562" spans="1:262" s="32" customFormat="1" x14ac:dyDescent="0.25">
      <c r="A1562" s="32">
        <v>73</v>
      </c>
      <c r="B1562" s="44" t="s">
        <v>4088</v>
      </c>
      <c r="C1562" s="32" t="s">
        <v>1106</v>
      </c>
      <c r="D1562" s="32" t="s">
        <v>1107</v>
      </c>
      <c r="E1562" s="32">
        <v>2003</v>
      </c>
      <c r="F1562" s="32">
        <v>1992</v>
      </c>
      <c r="G1562" s="32" t="s">
        <v>1108</v>
      </c>
      <c r="H1562" s="32" t="s">
        <v>1136</v>
      </c>
      <c r="I1562" s="24" t="s">
        <v>2816</v>
      </c>
      <c r="J1562" s="32">
        <v>50.29</v>
      </c>
      <c r="K1562" s="32">
        <v>-107.8</v>
      </c>
      <c r="L1562" s="32">
        <v>757</v>
      </c>
      <c r="R1562" s="44">
        <v>5</v>
      </c>
      <c r="S1562" s="44" t="s">
        <v>1931</v>
      </c>
      <c r="T1562" s="44" t="s">
        <v>1105</v>
      </c>
      <c r="U1562" s="44" t="s">
        <v>1113</v>
      </c>
      <c r="V1562" s="44" t="s">
        <v>1399</v>
      </c>
      <c r="W1562" s="44" t="s">
        <v>1726</v>
      </c>
      <c r="X1562" s="44" t="s">
        <v>1389</v>
      </c>
      <c r="Y1562" s="44" t="s">
        <v>1417</v>
      </c>
      <c r="Z1562" s="32">
        <v>1.4880000000000002</v>
      </c>
      <c r="AA1562" s="323"/>
      <c r="AB1562" s="323"/>
      <c r="AC1562" s="32" t="s">
        <v>139</v>
      </c>
      <c r="AG1562" s="32" t="s">
        <v>1356</v>
      </c>
      <c r="AH1562" s="32" t="s">
        <v>577</v>
      </c>
      <c r="AI1562" s="138" t="s">
        <v>577</v>
      </c>
      <c r="AJ1562" s="32" t="s">
        <v>1536</v>
      </c>
      <c r="AK1562" s="140" t="s">
        <v>116</v>
      </c>
      <c r="AL1562" s="32" t="s">
        <v>1097</v>
      </c>
      <c r="AM1562" s="32" t="s">
        <v>1097</v>
      </c>
      <c r="AN1562" s="32" t="s">
        <v>177</v>
      </c>
      <c r="AT1562" s="32" t="s">
        <v>1111</v>
      </c>
      <c r="AU1562" s="32" t="s">
        <v>1112</v>
      </c>
      <c r="AV1562" s="32" t="s">
        <v>502</v>
      </c>
      <c r="AW1562" s="32" t="s">
        <v>1110</v>
      </c>
      <c r="AX1562" s="32">
        <v>3</v>
      </c>
      <c r="AZ1562" s="32" t="s">
        <v>141</v>
      </c>
      <c r="BE1562" s="32" t="s">
        <v>1121</v>
      </c>
      <c r="BF1562" s="32">
        <v>2475</v>
      </c>
      <c r="BG1562" s="32">
        <v>2985</v>
      </c>
      <c r="BJ1562" s="32" t="s">
        <v>1115</v>
      </c>
      <c r="BK1562" s="32">
        <v>1521</v>
      </c>
      <c r="BL1562" s="32">
        <v>1616</v>
      </c>
      <c r="BO1562" s="32" t="s">
        <v>1118</v>
      </c>
      <c r="BP1562" s="397"/>
      <c r="BQ1562" s="397"/>
      <c r="BU1562" s="397"/>
      <c r="BV1562" s="397"/>
      <c r="BZ1562" s="397"/>
      <c r="CA1562" s="397"/>
      <c r="CE1562" s="550"/>
      <c r="CF1562" s="550"/>
      <c r="CG1562" s="550"/>
      <c r="CH1562" s="550"/>
      <c r="FL1562" s="32">
        <v>217</v>
      </c>
      <c r="FM1562" s="32">
        <v>183</v>
      </c>
      <c r="FP1562" s="32" t="s">
        <v>1120</v>
      </c>
      <c r="FQ1562" s="32">
        <v>134</v>
      </c>
      <c r="FR1562" s="32">
        <v>100</v>
      </c>
      <c r="FU1562" s="32" t="s">
        <v>1119</v>
      </c>
      <c r="JB1562" s="32" t="s">
        <v>1118</v>
      </c>
    </row>
    <row r="1563" spans="1:262" s="32" customFormat="1" x14ac:dyDescent="0.25">
      <c r="A1563" s="32">
        <v>73</v>
      </c>
      <c r="B1563" s="44" t="s">
        <v>4088</v>
      </c>
      <c r="C1563" s="32" t="s">
        <v>1106</v>
      </c>
      <c r="D1563" s="32" t="s">
        <v>1107</v>
      </c>
      <c r="E1563" s="32">
        <v>2003</v>
      </c>
      <c r="F1563" s="32">
        <v>1993</v>
      </c>
      <c r="G1563" s="32" t="s">
        <v>1108</v>
      </c>
      <c r="H1563" s="32" t="s">
        <v>1136</v>
      </c>
      <c r="I1563" s="24" t="s">
        <v>2816</v>
      </c>
      <c r="J1563" s="32">
        <v>50.29</v>
      </c>
      <c r="K1563" s="32">
        <v>-107.8</v>
      </c>
      <c r="L1563" s="32">
        <v>757</v>
      </c>
      <c r="R1563" s="44">
        <v>6</v>
      </c>
      <c r="S1563" s="44" t="s">
        <v>1931</v>
      </c>
      <c r="T1563" s="44" t="s">
        <v>1105</v>
      </c>
      <c r="U1563" s="44" t="s">
        <v>1113</v>
      </c>
      <c r="V1563" s="44" t="s">
        <v>1399</v>
      </c>
      <c r="W1563" s="44" t="s">
        <v>1726</v>
      </c>
      <c r="X1563" s="44" t="s">
        <v>1389</v>
      </c>
      <c r="Y1563" s="44" t="s">
        <v>1417</v>
      </c>
      <c r="Z1563" s="32">
        <v>1.4880000000000002</v>
      </c>
      <c r="AA1563" s="323"/>
      <c r="AB1563" s="323"/>
      <c r="AC1563" s="32" t="s">
        <v>139</v>
      </c>
      <c r="AG1563" s="32" t="s">
        <v>1356</v>
      </c>
      <c r="AH1563" s="32" t="s">
        <v>577</v>
      </c>
      <c r="AI1563" s="138" t="s">
        <v>577</v>
      </c>
      <c r="AJ1563" s="32" t="s">
        <v>1536</v>
      </c>
      <c r="AK1563" s="140" t="s">
        <v>116</v>
      </c>
      <c r="AL1563" s="32" t="s">
        <v>1097</v>
      </c>
      <c r="AM1563" s="32" t="s">
        <v>1097</v>
      </c>
      <c r="AN1563" s="32" t="s">
        <v>177</v>
      </c>
      <c r="AT1563" s="32" t="s">
        <v>1111</v>
      </c>
      <c r="AU1563" s="32" t="s">
        <v>1112</v>
      </c>
      <c r="AV1563" s="32" t="s">
        <v>502</v>
      </c>
      <c r="AW1563" s="32" t="s">
        <v>1110</v>
      </c>
      <c r="AX1563" s="32">
        <v>3</v>
      </c>
      <c r="AZ1563" s="32" t="s">
        <v>141</v>
      </c>
      <c r="BE1563" s="32" t="s">
        <v>1121</v>
      </c>
      <c r="BF1563" s="32">
        <v>3183</v>
      </c>
      <c r="BG1563" s="32">
        <v>3049</v>
      </c>
      <c r="BJ1563" s="32" t="s">
        <v>1115</v>
      </c>
      <c r="BK1563" s="32">
        <v>2232</v>
      </c>
      <c r="BL1563" s="32">
        <v>2030</v>
      </c>
      <c r="BO1563" s="32" t="s">
        <v>1118</v>
      </c>
      <c r="BP1563" s="397"/>
      <c r="BQ1563" s="397"/>
      <c r="BU1563" s="397"/>
      <c r="BV1563" s="397"/>
      <c r="BZ1563" s="397"/>
      <c r="CA1563" s="397"/>
      <c r="CE1563" s="550"/>
      <c r="CF1563" s="550"/>
      <c r="CG1563" s="550"/>
      <c r="CH1563" s="550"/>
      <c r="FL1563" s="32">
        <v>214</v>
      </c>
      <c r="FM1563" s="32">
        <v>221</v>
      </c>
      <c r="FP1563" s="32" t="s">
        <v>1120</v>
      </c>
      <c r="FQ1563" s="32">
        <v>131</v>
      </c>
      <c r="FR1563" s="32">
        <v>138</v>
      </c>
      <c r="FU1563" s="32" t="s">
        <v>1119</v>
      </c>
      <c r="JB1563" s="32" t="s">
        <v>1118</v>
      </c>
    </row>
    <row r="1564" spans="1:262" s="32" customFormat="1" x14ac:dyDescent="0.25">
      <c r="A1564" s="32">
        <v>73</v>
      </c>
      <c r="B1564" s="44" t="s">
        <v>4088</v>
      </c>
      <c r="C1564" s="32" t="s">
        <v>1106</v>
      </c>
      <c r="D1564" s="32" t="s">
        <v>1107</v>
      </c>
      <c r="E1564" s="32">
        <v>2003</v>
      </c>
      <c r="F1564" s="32">
        <v>1994</v>
      </c>
      <c r="G1564" s="32" t="s">
        <v>1108</v>
      </c>
      <c r="H1564" s="32" t="s">
        <v>1136</v>
      </c>
      <c r="I1564" s="24" t="s">
        <v>2816</v>
      </c>
      <c r="J1564" s="32">
        <v>50.29</v>
      </c>
      <c r="K1564" s="32">
        <v>-107.8</v>
      </c>
      <c r="L1564" s="32">
        <v>757</v>
      </c>
      <c r="R1564" s="44">
        <v>7</v>
      </c>
      <c r="S1564" s="44" t="s">
        <v>1931</v>
      </c>
      <c r="T1564" s="44" t="s">
        <v>1105</v>
      </c>
      <c r="U1564" s="44" t="s">
        <v>1113</v>
      </c>
      <c r="V1564" s="44" t="s">
        <v>1399</v>
      </c>
      <c r="W1564" s="44" t="s">
        <v>1726</v>
      </c>
      <c r="X1564" s="44" t="s">
        <v>1389</v>
      </c>
      <c r="Y1564" s="44" t="s">
        <v>1417</v>
      </c>
      <c r="Z1564" s="32">
        <v>1.4880000000000002</v>
      </c>
      <c r="AA1564" s="323"/>
      <c r="AB1564" s="323"/>
      <c r="AC1564" s="32" t="s">
        <v>139</v>
      </c>
      <c r="AG1564" s="32" t="s">
        <v>1356</v>
      </c>
      <c r="AH1564" s="32" t="s">
        <v>577</v>
      </c>
      <c r="AI1564" s="138" t="s">
        <v>577</v>
      </c>
      <c r="AJ1564" s="32" t="s">
        <v>1536</v>
      </c>
      <c r="AK1564" s="140" t="s">
        <v>116</v>
      </c>
      <c r="AL1564" s="32" t="s">
        <v>1097</v>
      </c>
      <c r="AM1564" s="32" t="s">
        <v>1097</v>
      </c>
      <c r="AN1564" s="32" t="s">
        <v>177</v>
      </c>
      <c r="AT1564" s="32" t="s">
        <v>1111</v>
      </c>
      <c r="AU1564" s="32" t="s">
        <v>1112</v>
      </c>
      <c r="AV1564" s="32" t="s">
        <v>502</v>
      </c>
      <c r="AW1564" s="32" t="s">
        <v>1110</v>
      </c>
      <c r="AX1564" s="32">
        <v>3</v>
      </c>
      <c r="AZ1564" s="32" t="s">
        <v>141</v>
      </c>
      <c r="BE1564" s="32" t="s">
        <v>1121</v>
      </c>
      <c r="BF1564" s="32">
        <v>2961</v>
      </c>
      <c r="BG1564" s="32">
        <v>4238</v>
      </c>
      <c r="BJ1564" s="32" t="s">
        <v>1115</v>
      </c>
      <c r="BK1564" s="32">
        <v>1546</v>
      </c>
      <c r="BL1564" s="32">
        <v>2112</v>
      </c>
      <c r="BO1564" s="32" t="s">
        <v>1118</v>
      </c>
      <c r="BP1564" s="397"/>
      <c r="BQ1564" s="397"/>
      <c r="BU1564" s="397"/>
      <c r="BV1564" s="397"/>
      <c r="BZ1564" s="397"/>
      <c r="CA1564" s="397"/>
      <c r="CE1564" s="550"/>
      <c r="CF1564" s="550"/>
      <c r="CG1564" s="550"/>
      <c r="CH1564" s="550"/>
      <c r="FL1564" s="32">
        <v>293</v>
      </c>
      <c r="FM1564" s="32">
        <v>282</v>
      </c>
      <c r="FP1564" s="32" t="s">
        <v>1120</v>
      </c>
      <c r="FQ1564" s="32">
        <v>210</v>
      </c>
      <c r="FR1564" s="32">
        <v>199</v>
      </c>
      <c r="FU1564" s="32" t="s">
        <v>1119</v>
      </c>
      <c r="JB1564" s="32" t="s">
        <v>1118</v>
      </c>
    </row>
    <row r="1565" spans="1:262" s="32" customFormat="1" x14ac:dyDescent="0.25">
      <c r="A1565" s="32">
        <v>73</v>
      </c>
      <c r="B1565" s="44" t="s">
        <v>4088</v>
      </c>
      <c r="C1565" s="32" t="s">
        <v>1106</v>
      </c>
      <c r="D1565" s="32" t="s">
        <v>1107</v>
      </c>
      <c r="E1565" s="32">
        <v>2003</v>
      </c>
      <c r="F1565" s="32">
        <v>1995</v>
      </c>
      <c r="G1565" s="32" t="s">
        <v>1108</v>
      </c>
      <c r="H1565" s="32" t="s">
        <v>1136</v>
      </c>
      <c r="I1565" s="24" t="s">
        <v>2816</v>
      </c>
      <c r="J1565" s="32">
        <v>50.29</v>
      </c>
      <c r="K1565" s="32">
        <v>-107.8</v>
      </c>
      <c r="L1565" s="32">
        <v>757</v>
      </c>
      <c r="R1565" s="44">
        <v>8</v>
      </c>
      <c r="S1565" s="44" t="s">
        <v>1931</v>
      </c>
      <c r="T1565" s="44" t="s">
        <v>1105</v>
      </c>
      <c r="U1565" s="44" t="s">
        <v>1113</v>
      </c>
      <c r="V1565" s="44" t="s">
        <v>1399</v>
      </c>
      <c r="W1565" s="44" t="s">
        <v>1726</v>
      </c>
      <c r="X1565" s="44" t="s">
        <v>1389</v>
      </c>
      <c r="Y1565" s="44" t="s">
        <v>1417</v>
      </c>
      <c r="Z1565" s="32">
        <v>1.4880000000000002</v>
      </c>
      <c r="AA1565" s="323"/>
      <c r="AB1565" s="323"/>
      <c r="AC1565" s="32" t="s">
        <v>139</v>
      </c>
      <c r="AG1565" s="32" t="s">
        <v>1356</v>
      </c>
      <c r="AH1565" s="32" t="s">
        <v>577</v>
      </c>
      <c r="AI1565" s="138" t="s">
        <v>577</v>
      </c>
      <c r="AJ1565" s="32" t="s">
        <v>1536</v>
      </c>
      <c r="AK1565" s="140" t="s">
        <v>116</v>
      </c>
      <c r="AL1565" s="32" t="s">
        <v>1097</v>
      </c>
      <c r="AM1565" s="32" t="s">
        <v>1097</v>
      </c>
      <c r="AN1565" s="32" t="s">
        <v>177</v>
      </c>
      <c r="AT1565" s="32" t="s">
        <v>1111</v>
      </c>
      <c r="AU1565" s="32" t="s">
        <v>1112</v>
      </c>
      <c r="AV1565" s="32" t="s">
        <v>502</v>
      </c>
      <c r="AW1565" s="32" t="s">
        <v>1110</v>
      </c>
      <c r="AX1565" s="32">
        <v>3</v>
      </c>
      <c r="AZ1565" s="32" t="s">
        <v>141</v>
      </c>
      <c r="BE1565" s="32" t="s">
        <v>1121</v>
      </c>
      <c r="BF1565" s="32">
        <v>4791</v>
      </c>
      <c r="BG1565" s="32">
        <v>4694</v>
      </c>
      <c r="BJ1565" s="32" t="s">
        <v>1115</v>
      </c>
      <c r="BK1565" s="32">
        <v>2703</v>
      </c>
      <c r="BL1565" s="32">
        <v>2673</v>
      </c>
      <c r="BO1565" s="32" t="s">
        <v>1118</v>
      </c>
      <c r="BP1565" s="397"/>
      <c r="BQ1565" s="397"/>
      <c r="BU1565" s="397"/>
      <c r="BV1565" s="397"/>
      <c r="BZ1565" s="397"/>
      <c r="CA1565" s="397"/>
      <c r="CE1565" s="550"/>
      <c r="CF1565" s="550"/>
      <c r="CG1565" s="550"/>
      <c r="CH1565" s="550"/>
      <c r="FL1565" s="32">
        <v>256</v>
      </c>
      <c r="FM1565" s="32">
        <v>282</v>
      </c>
      <c r="FP1565" s="32" t="s">
        <v>1120</v>
      </c>
      <c r="FQ1565" s="32">
        <v>173</v>
      </c>
      <c r="FR1565" s="32">
        <v>199</v>
      </c>
      <c r="FU1565" s="32" t="s">
        <v>1119</v>
      </c>
      <c r="JB1565" s="32" t="s">
        <v>1118</v>
      </c>
    </row>
    <row r="1566" spans="1:262" s="32" customFormat="1" x14ac:dyDescent="0.25">
      <c r="A1566" s="32">
        <v>73</v>
      </c>
      <c r="B1566" s="44" t="s">
        <v>4088</v>
      </c>
      <c r="C1566" s="32" t="s">
        <v>1106</v>
      </c>
      <c r="D1566" s="32" t="s">
        <v>1107</v>
      </c>
      <c r="E1566" s="32">
        <v>2003</v>
      </c>
      <c r="F1566" s="32">
        <v>1996</v>
      </c>
      <c r="G1566" s="32" t="s">
        <v>1108</v>
      </c>
      <c r="H1566" s="32" t="s">
        <v>1136</v>
      </c>
      <c r="I1566" s="24" t="s">
        <v>2816</v>
      </c>
      <c r="J1566" s="32">
        <v>50.29</v>
      </c>
      <c r="K1566" s="32">
        <v>-107.8</v>
      </c>
      <c r="L1566" s="32">
        <v>757</v>
      </c>
      <c r="R1566" s="44">
        <v>9</v>
      </c>
      <c r="S1566" s="44" t="s">
        <v>1931</v>
      </c>
      <c r="T1566" s="44" t="s">
        <v>1105</v>
      </c>
      <c r="U1566" s="44" t="s">
        <v>1113</v>
      </c>
      <c r="V1566" s="44" t="s">
        <v>1399</v>
      </c>
      <c r="W1566" s="44" t="s">
        <v>1726</v>
      </c>
      <c r="X1566" s="44" t="s">
        <v>1389</v>
      </c>
      <c r="Y1566" s="44" t="s">
        <v>1417</v>
      </c>
      <c r="Z1566" s="32">
        <v>1.4880000000000002</v>
      </c>
      <c r="AA1566" s="323"/>
      <c r="AB1566" s="323"/>
      <c r="AC1566" s="32" t="s">
        <v>139</v>
      </c>
      <c r="AG1566" s="32" t="s">
        <v>1356</v>
      </c>
      <c r="AH1566" s="32" t="s">
        <v>577</v>
      </c>
      <c r="AI1566" s="138" t="s">
        <v>577</v>
      </c>
      <c r="AJ1566" s="32" t="s">
        <v>1536</v>
      </c>
      <c r="AK1566" s="140" t="s">
        <v>116</v>
      </c>
      <c r="AL1566" s="32" t="s">
        <v>1097</v>
      </c>
      <c r="AM1566" s="32" t="s">
        <v>1097</v>
      </c>
      <c r="AN1566" s="32" t="s">
        <v>177</v>
      </c>
      <c r="AT1566" s="32" t="s">
        <v>1111</v>
      </c>
      <c r="AU1566" s="32" t="s">
        <v>1112</v>
      </c>
      <c r="AV1566" s="32" t="s">
        <v>502</v>
      </c>
      <c r="AW1566" s="32" t="s">
        <v>1110</v>
      </c>
      <c r="AX1566" s="32">
        <v>3</v>
      </c>
      <c r="AZ1566" s="32" t="s">
        <v>141</v>
      </c>
      <c r="BE1566" s="32" t="s">
        <v>1121</v>
      </c>
      <c r="BF1566" s="32">
        <v>4196</v>
      </c>
      <c r="BG1566" s="32">
        <v>4044</v>
      </c>
      <c r="BJ1566" s="32" t="s">
        <v>1115</v>
      </c>
      <c r="BK1566" s="32">
        <v>2566</v>
      </c>
      <c r="BL1566" s="32">
        <v>2488</v>
      </c>
      <c r="BO1566" s="32" t="s">
        <v>1118</v>
      </c>
      <c r="BP1566" s="397"/>
      <c r="BQ1566" s="397"/>
      <c r="BU1566" s="397"/>
      <c r="BV1566" s="397"/>
      <c r="BZ1566" s="397"/>
      <c r="CA1566" s="397"/>
      <c r="CE1566" s="550"/>
      <c r="CF1566" s="550"/>
      <c r="CG1566" s="550"/>
      <c r="CH1566" s="550"/>
      <c r="FL1566" s="32">
        <v>279</v>
      </c>
      <c r="FM1566" s="32">
        <v>282</v>
      </c>
      <c r="FP1566" s="32" t="s">
        <v>1120</v>
      </c>
      <c r="FQ1566" s="32">
        <v>196</v>
      </c>
      <c r="FR1566" s="32">
        <v>199</v>
      </c>
      <c r="FU1566" s="32" t="s">
        <v>1119</v>
      </c>
      <c r="JB1566" s="32" t="s">
        <v>1118</v>
      </c>
    </row>
    <row r="1567" spans="1:262" s="32" customFormat="1" x14ac:dyDescent="0.25">
      <c r="A1567" s="32">
        <v>73</v>
      </c>
      <c r="B1567" s="44" t="s">
        <v>4088</v>
      </c>
      <c r="C1567" s="32" t="s">
        <v>1106</v>
      </c>
      <c r="D1567" s="32" t="s">
        <v>1107</v>
      </c>
      <c r="E1567" s="32">
        <v>2003</v>
      </c>
      <c r="F1567" s="32">
        <v>1997</v>
      </c>
      <c r="G1567" s="32" t="s">
        <v>1108</v>
      </c>
      <c r="H1567" s="32" t="s">
        <v>1136</v>
      </c>
      <c r="I1567" s="24" t="s">
        <v>2816</v>
      </c>
      <c r="J1567" s="32">
        <v>50.29</v>
      </c>
      <c r="K1567" s="32">
        <v>-107.8</v>
      </c>
      <c r="L1567" s="32">
        <v>757</v>
      </c>
      <c r="R1567" s="44">
        <v>10</v>
      </c>
      <c r="S1567" s="44" t="s">
        <v>1931</v>
      </c>
      <c r="T1567" s="44" t="s">
        <v>1105</v>
      </c>
      <c r="U1567" s="44" t="s">
        <v>1113</v>
      </c>
      <c r="V1567" s="44" t="s">
        <v>1399</v>
      </c>
      <c r="W1567" s="44" t="s">
        <v>1726</v>
      </c>
      <c r="X1567" s="44" t="s">
        <v>1389</v>
      </c>
      <c r="Y1567" s="44" t="s">
        <v>1417</v>
      </c>
      <c r="Z1567" s="32">
        <v>1.4880000000000002</v>
      </c>
      <c r="AA1567" s="323"/>
      <c r="AB1567" s="323"/>
      <c r="AC1567" s="32" t="s">
        <v>139</v>
      </c>
      <c r="AG1567" s="32" t="s">
        <v>1356</v>
      </c>
      <c r="AH1567" s="32" t="s">
        <v>577</v>
      </c>
      <c r="AI1567" s="138" t="s">
        <v>577</v>
      </c>
      <c r="AJ1567" s="32" t="s">
        <v>1536</v>
      </c>
      <c r="AK1567" s="140" t="s">
        <v>116</v>
      </c>
      <c r="AL1567" s="32" t="s">
        <v>1097</v>
      </c>
      <c r="AM1567" s="32" t="s">
        <v>1097</v>
      </c>
      <c r="AN1567" s="32" t="s">
        <v>177</v>
      </c>
      <c r="AT1567" s="32" t="s">
        <v>1111</v>
      </c>
      <c r="AU1567" s="32" t="s">
        <v>1112</v>
      </c>
      <c r="AV1567" s="32" t="s">
        <v>502</v>
      </c>
      <c r="AW1567" s="32" t="s">
        <v>1110</v>
      </c>
      <c r="AX1567" s="32">
        <v>3</v>
      </c>
      <c r="AZ1567" s="32" t="s">
        <v>141</v>
      </c>
      <c r="BE1567" s="32" t="s">
        <v>1121</v>
      </c>
      <c r="BF1567" s="32">
        <v>3869</v>
      </c>
      <c r="BG1567" s="32">
        <v>4507</v>
      </c>
      <c r="BJ1567" s="32" t="s">
        <v>1115</v>
      </c>
      <c r="BK1567" s="32">
        <v>2647</v>
      </c>
      <c r="BL1567" s="32">
        <v>3075</v>
      </c>
      <c r="BO1567" s="32" t="s">
        <v>1118</v>
      </c>
      <c r="BP1567" s="397"/>
      <c r="BQ1567" s="397"/>
      <c r="BU1567" s="397"/>
      <c r="BV1567" s="397"/>
      <c r="BZ1567" s="397"/>
      <c r="CA1567" s="397"/>
      <c r="CE1567" s="550"/>
      <c r="CF1567" s="550"/>
      <c r="CG1567" s="550"/>
      <c r="CH1567" s="550"/>
      <c r="FL1567" s="32">
        <v>285</v>
      </c>
      <c r="FM1567" s="32">
        <v>288</v>
      </c>
      <c r="FP1567" s="32" t="s">
        <v>1120</v>
      </c>
      <c r="FQ1567" s="32">
        <v>202</v>
      </c>
      <c r="FR1567" s="32">
        <v>205</v>
      </c>
      <c r="FU1567" s="32" t="s">
        <v>1119</v>
      </c>
      <c r="JB1567" s="32" t="s">
        <v>1118</v>
      </c>
    </row>
    <row r="1568" spans="1:262" s="32" customFormat="1" x14ac:dyDescent="0.25">
      <c r="A1568" s="32">
        <v>73</v>
      </c>
      <c r="B1568" s="44" t="s">
        <v>4088</v>
      </c>
      <c r="C1568" s="32" t="s">
        <v>1106</v>
      </c>
      <c r="D1568" s="32" t="s">
        <v>1107</v>
      </c>
      <c r="E1568" s="32">
        <v>2003</v>
      </c>
      <c r="F1568" s="32">
        <v>1998</v>
      </c>
      <c r="G1568" s="32" t="s">
        <v>1108</v>
      </c>
      <c r="H1568" s="32" t="s">
        <v>1136</v>
      </c>
      <c r="I1568" s="24" t="s">
        <v>2816</v>
      </c>
      <c r="J1568" s="32">
        <v>50.29</v>
      </c>
      <c r="K1568" s="32">
        <v>-107.8</v>
      </c>
      <c r="L1568" s="32">
        <v>757</v>
      </c>
      <c r="R1568" s="44">
        <v>11</v>
      </c>
      <c r="S1568" s="44" t="s">
        <v>1931</v>
      </c>
      <c r="T1568" s="44" t="s">
        <v>1105</v>
      </c>
      <c r="U1568" s="44" t="s">
        <v>1113</v>
      </c>
      <c r="V1568" s="44" t="s">
        <v>1399</v>
      </c>
      <c r="W1568" s="44" t="s">
        <v>1726</v>
      </c>
      <c r="X1568" s="44" t="s">
        <v>1389</v>
      </c>
      <c r="Y1568" s="44" t="s">
        <v>1417</v>
      </c>
      <c r="Z1568" s="32">
        <v>1.4880000000000002</v>
      </c>
      <c r="AA1568" s="323"/>
      <c r="AB1568" s="323"/>
      <c r="AC1568" s="32" t="s">
        <v>139</v>
      </c>
      <c r="AG1568" s="32" t="s">
        <v>1356</v>
      </c>
      <c r="AH1568" s="32" t="s">
        <v>577</v>
      </c>
      <c r="AI1568" s="138" t="s">
        <v>577</v>
      </c>
      <c r="AJ1568" s="32" t="s">
        <v>1536</v>
      </c>
      <c r="AK1568" s="140" t="s">
        <v>116</v>
      </c>
      <c r="AL1568" s="32" t="s">
        <v>1097</v>
      </c>
      <c r="AM1568" s="32" t="s">
        <v>1097</v>
      </c>
      <c r="AN1568" s="32" t="s">
        <v>177</v>
      </c>
      <c r="AT1568" s="32" t="s">
        <v>1111</v>
      </c>
      <c r="AU1568" s="32" t="s">
        <v>1112</v>
      </c>
      <c r="AV1568" s="32" t="s">
        <v>502</v>
      </c>
      <c r="AW1568" s="32" t="s">
        <v>1110</v>
      </c>
      <c r="AX1568" s="32">
        <v>3</v>
      </c>
      <c r="AZ1568" s="32" t="s">
        <v>141</v>
      </c>
      <c r="BE1568" s="32" t="s">
        <v>1121</v>
      </c>
      <c r="BF1568" s="32">
        <v>2248</v>
      </c>
      <c r="BG1568" s="32">
        <v>2210</v>
      </c>
      <c r="BJ1568" s="32" t="s">
        <v>1115</v>
      </c>
      <c r="BK1568" s="32">
        <v>870</v>
      </c>
      <c r="BL1568" s="32">
        <v>657</v>
      </c>
      <c r="BO1568" s="32" t="s">
        <v>1118</v>
      </c>
      <c r="BP1568" s="397"/>
      <c r="BQ1568" s="397"/>
      <c r="BU1568" s="397"/>
      <c r="BV1568" s="397"/>
      <c r="BZ1568" s="397"/>
      <c r="CA1568" s="397"/>
      <c r="CE1568" s="550"/>
      <c r="CF1568" s="550"/>
      <c r="CG1568" s="550"/>
      <c r="CH1568" s="550"/>
      <c r="FL1568" s="32">
        <v>196</v>
      </c>
      <c r="FM1568" s="32">
        <v>182</v>
      </c>
      <c r="FP1568" s="32" t="s">
        <v>1120</v>
      </c>
      <c r="FQ1568" s="32">
        <v>113</v>
      </c>
      <c r="FR1568" s="32">
        <v>99</v>
      </c>
      <c r="FU1568" s="32" t="s">
        <v>1119</v>
      </c>
      <c r="JB1568" s="32" t="s">
        <v>1118</v>
      </c>
    </row>
    <row r="1569" spans="1:262" s="32" customFormat="1" x14ac:dyDescent="0.25">
      <c r="A1569" s="32">
        <v>73</v>
      </c>
      <c r="B1569" s="44" t="s">
        <v>4088</v>
      </c>
      <c r="C1569" s="32" t="s">
        <v>1106</v>
      </c>
      <c r="D1569" s="32" t="s">
        <v>1107</v>
      </c>
      <c r="E1569" s="32">
        <v>2003</v>
      </c>
      <c r="F1569" s="32">
        <v>1999</v>
      </c>
      <c r="G1569" s="32" t="s">
        <v>1108</v>
      </c>
      <c r="H1569" s="32" t="s">
        <v>1136</v>
      </c>
      <c r="I1569" s="24" t="s">
        <v>2816</v>
      </c>
      <c r="J1569" s="32">
        <v>50.29</v>
      </c>
      <c r="K1569" s="32">
        <v>-107.8</v>
      </c>
      <c r="L1569" s="32">
        <v>757</v>
      </c>
      <c r="R1569" s="44">
        <v>12</v>
      </c>
      <c r="S1569" s="44" t="s">
        <v>1931</v>
      </c>
      <c r="T1569" s="44" t="s">
        <v>1105</v>
      </c>
      <c r="U1569" s="44" t="s">
        <v>1113</v>
      </c>
      <c r="V1569" s="44" t="s">
        <v>1399</v>
      </c>
      <c r="W1569" s="44" t="s">
        <v>1726</v>
      </c>
      <c r="X1569" s="44" t="s">
        <v>1389</v>
      </c>
      <c r="Y1569" s="44" t="s">
        <v>1417</v>
      </c>
      <c r="Z1569" s="32">
        <v>1.4880000000000002</v>
      </c>
      <c r="AA1569" s="323"/>
      <c r="AB1569" s="323"/>
      <c r="AC1569" s="32" t="s">
        <v>139</v>
      </c>
      <c r="AG1569" s="32" t="s">
        <v>1356</v>
      </c>
      <c r="AH1569" s="32" t="s">
        <v>577</v>
      </c>
      <c r="AI1569" s="138" t="s">
        <v>577</v>
      </c>
      <c r="AJ1569" s="32" t="s">
        <v>1536</v>
      </c>
      <c r="AK1569" s="140" t="s">
        <v>116</v>
      </c>
      <c r="AL1569" s="32" t="s">
        <v>1097</v>
      </c>
      <c r="AM1569" s="32" t="s">
        <v>1097</v>
      </c>
      <c r="AN1569" s="32" t="s">
        <v>177</v>
      </c>
      <c r="AT1569" s="32" t="s">
        <v>1111</v>
      </c>
      <c r="AU1569" s="32" t="s">
        <v>1112</v>
      </c>
      <c r="AV1569" s="32" t="s">
        <v>502</v>
      </c>
      <c r="AW1569" s="32" t="s">
        <v>1110</v>
      </c>
      <c r="AX1569" s="32">
        <v>3</v>
      </c>
      <c r="AZ1569" s="32" t="s">
        <v>141</v>
      </c>
      <c r="BE1569" s="32" t="s">
        <v>1121</v>
      </c>
      <c r="BF1569" s="32">
        <v>5009</v>
      </c>
      <c r="BG1569" s="32">
        <v>5363</v>
      </c>
      <c r="BJ1569" s="32" t="s">
        <v>1115</v>
      </c>
      <c r="BK1569" s="32">
        <v>3014</v>
      </c>
      <c r="BL1569" s="32">
        <v>2961</v>
      </c>
      <c r="BO1569" s="32" t="s">
        <v>1118</v>
      </c>
      <c r="BP1569" s="397"/>
      <c r="BQ1569" s="397"/>
      <c r="BU1569" s="397"/>
      <c r="BV1569" s="397"/>
      <c r="BZ1569" s="397"/>
      <c r="CA1569" s="397"/>
      <c r="CE1569" s="550"/>
      <c r="CF1569" s="550"/>
      <c r="CG1569" s="550"/>
      <c r="CH1569" s="550"/>
      <c r="FL1569" s="32">
        <v>207</v>
      </c>
      <c r="FM1569" s="32">
        <v>234</v>
      </c>
      <c r="FP1569" s="32" t="s">
        <v>1120</v>
      </c>
      <c r="FQ1569" s="32">
        <v>124</v>
      </c>
      <c r="FR1569" s="32">
        <v>151</v>
      </c>
      <c r="FU1569" s="32" t="s">
        <v>1119</v>
      </c>
      <c r="JB1569" s="32" t="s">
        <v>1118</v>
      </c>
    </row>
    <row r="1570" spans="1:262" s="101" customFormat="1" x14ac:dyDescent="0.25">
      <c r="A1570" s="101">
        <v>73</v>
      </c>
      <c r="B1570" s="102" t="s">
        <v>4089</v>
      </c>
      <c r="C1570" s="101" t="s">
        <v>1106</v>
      </c>
      <c r="D1570" s="101" t="s">
        <v>1107</v>
      </c>
      <c r="E1570" s="101">
        <v>2003</v>
      </c>
      <c r="F1570" s="101">
        <v>1988</v>
      </c>
      <c r="G1570" s="101" t="s">
        <v>1108</v>
      </c>
      <c r="H1570" s="101" t="s">
        <v>1136</v>
      </c>
      <c r="I1570" s="24" t="s">
        <v>2816</v>
      </c>
      <c r="J1570" s="101">
        <v>50.29</v>
      </c>
      <c r="K1570" s="101">
        <v>-107.8</v>
      </c>
      <c r="L1570" s="101">
        <v>757</v>
      </c>
      <c r="R1570" s="102">
        <v>1</v>
      </c>
      <c r="S1570" s="102" t="s">
        <v>1931</v>
      </c>
      <c r="T1570" s="102" t="s">
        <v>1105</v>
      </c>
      <c r="U1570" s="102" t="s">
        <v>1113</v>
      </c>
      <c r="V1570" s="102" t="s">
        <v>1389</v>
      </c>
      <c r="W1570" s="102" t="s">
        <v>1720</v>
      </c>
      <c r="X1570" s="102" t="s">
        <v>1389</v>
      </c>
      <c r="Y1570" s="102" t="s">
        <v>1417</v>
      </c>
      <c r="Z1570" s="101">
        <v>1.365</v>
      </c>
      <c r="AA1570" s="352"/>
      <c r="AB1570" s="352"/>
      <c r="AC1570" s="101" t="s">
        <v>139</v>
      </c>
      <c r="AG1570" s="101" t="s">
        <v>1356</v>
      </c>
      <c r="AH1570" s="101" t="s">
        <v>577</v>
      </c>
      <c r="AI1570" s="138" t="s">
        <v>577</v>
      </c>
      <c r="AJ1570" s="101" t="s">
        <v>1536</v>
      </c>
      <c r="AK1570" s="145" t="s">
        <v>116</v>
      </c>
      <c r="AL1570" s="101" t="s">
        <v>1097</v>
      </c>
      <c r="AM1570" s="101" t="s">
        <v>1097</v>
      </c>
      <c r="AN1570" s="101" t="s">
        <v>177</v>
      </c>
      <c r="AT1570" s="101" t="s">
        <v>1111</v>
      </c>
      <c r="AU1570" s="101" t="s">
        <v>1112</v>
      </c>
      <c r="AV1570" s="101" t="s">
        <v>502</v>
      </c>
      <c r="AW1570" s="101" t="s">
        <v>1110</v>
      </c>
      <c r="AX1570" s="101">
        <v>3</v>
      </c>
      <c r="AZ1570" s="101" t="s">
        <v>141</v>
      </c>
      <c r="BE1570" s="101" t="s">
        <v>1114</v>
      </c>
      <c r="BP1570" s="427"/>
      <c r="BQ1570" s="427"/>
      <c r="BU1570" s="427"/>
      <c r="BV1570" s="427"/>
      <c r="BZ1570" s="427"/>
      <c r="CA1570" s="427"/>
      <c r="CE1570" s="580"/>
      <c r="CF1570" s="580"/>
      <c r="CG1570" s="580"/>
      <c r="CH1570" s="580"/>
      <c r="CJ1570" s="101">
        <f>73*(1000000/(100*100*0.3*1.365*1000))</f>
        <v>17.826617826617827</v>
      </c>
      <c r="CK1570" s="101">
        <f>33.5*(1000000/(100*100*0.3*1.365*1000))</f>
        <v>8.1807081807081801</v>
      </c>
      <c r="CN1570" s="101" t="s">
        <v>1675</v>
      </c>
      <c r="JB1570" s="101" t="s">
        <v>1118</v>
      </c>
    </row>
    <row r="1571" spans="1:262" s="101" customFormat="1" x14ac:dyDescent="0.25">
      <c r="A1571" s="101">
        <v>73</v>
      </c>
      <c r="B1571" s="102" t="s">
        <v>4089</v>
      </c>
      <c r="C1571" s="101" t="s">
        <v>1106</v>
      </c>
      <c r="D1571" s="101" t="s">
        <v>1107</v>
      </c>
      <c r="E1571" s="101">
        <v>2003</v>
      </c>
      <c r="F1571" s="101">
        <v>1989</v>
      </c>
      <c r="G1571" s="101" t="s">
        <v>1108</v>
      </c>
      <c r="H1571" s="101" t="s">
        <v>1136</v>
      </c>
      <c r="I1571" s="24" t="s">
        <v>2816</v>
      </c>
      <c r="J1571" s="101">
        <v>50.29</v>
      </c>
      <c r="K1571" s="101">
        <v>-107.8</v>
      </c>
      <c r="L1571" s="101">
        <v>757</v>
      </c>
      <c r="R1571" s="102">
        <v>2</v>
      </c>
      <c r="S1571" s="102" t="s">
        <v>1931</v>
      </c>
      <c r="T1571" s="102" t="s">
        <v>1105</v>
      </c>
      <c r="U1571" s="102" t="s">
        <v>1113</v>
      </c>
      <c r="V1571" s="102" t="s">
        <v>1389</v>
      </c>
      <c r="W1571" s="102" t="s">
        <v>1720</v>
      </c>
      <c r="X1571" s="102" t="s">
        <v>1389</v>
      </c>
      <c r="Y1571" s="102" t="s">
        <v>1417</v>
      </c>
      <c r="Z1571" s="101">
        <v>1.365</v>
      </c>
      <c r="AA1571" s="352"/>
      <c r="AB1571" s="352"/>
      <c r="AC1571" s="101" t="s">
        <v>139</v>
      </c>
      <c r="AG1571" s="101" t="s">
        <v>1356</v>
      </c>
      <c r="AH1571" s="101" t="s">
        <v>577</v>
      </c>
      <c r="AI1571" s="138" t="s">
        <v>577</v>
      </c>
      <c r="AJ1571" s="101" t="s">
        <v>1536</v>
      </c>
      <c r="AK1571" s="145" t="s">
        <v>116</v>
      </c>
      <c r="AL1571" s="101" t="s">
        <v>1097</v>
      </c>
      <c r="AM1571" s="101" t="s">
        <v>1097</v>
      </c>
      <c r="AN1571" s="101" t="s">
        <v>177</v>
      </c>
      <c r="AT1571" s="101" t="s">
        <v>1111</v>
      </c>
      <c r="AU1571" s="101" t="s">
        <v>1112</v>
      </c>
      <c r="AV1571" s="101" t="s">
        <v>502</v>
      </c>
      <c r="AW1571" s="101" t="s">
        <v>1110</v>
      </c>
      <c r="AX1571" s="101">
        <v>3</v>
      </c>
      <c r="AZ1571" s="101" t="s">
        <v>141</v>
      </c>
      <c r="BE1571" s="101" t="s">
        <v>1114</v>
      </c>
      <c r="BP1571" s="427"/>
      <c r="BQ1571" s="427"/>
      <c r="BU1571" s="427"/>
      <c r="BV1571" s="427"/>
      <c r="BZ1571" s="427"/>
      <c r="CA1571" s="427"/>
      <c r="CE1571" s="580"/>
      <c r="CF1571" s="580"/>
      <c r="CG1571" s="580"/>
      <c r="CH1571" s="580"/>
      <c r="CJ1571" s="101">
        <f>52.2*(1000000/(100*100*0.3*1.365*1000))</f>
        <v>12.747252747252748</v>
      </c>
      <c r="CK1571" s="101">
        <f>29.1*(1000000/(100*100*0.3*1.365*1000))</f>
        <v>7.1062271062271067</v>
      </c>
      <c r="CN1571" s="101" t="s">
        <v>1675</v>
      </c>
      <c r="JB1571" s="101" t="s">
        <v>1118</v>
      </c>
    </row>
    <row r="1572" spans="1:262" s="101" customFormat="1" x14ac:dyDescent="0.25">
      <c r="A1572" s="101">
        <v>73</v>
      </c>
      <c r="B1572" s="102" t="s">
        <v>4089</v>
      </c>
      <c r="C1572" s="101" t="s">
        <v>1106</v>
      </c>
      <c r="D1572" s="101" t="s">
        <v>1107</v>
      </c>
      <c r="E1572" s="101">
        <v>2003</v>
      </c>
      <c r="F1572" s="101">
        <v>1990</v>
      </c>
      <c r="G1572" s="101" t="s">
        <v>1108</v>
      </c>
      <c r="H1572" s="101" t="s">
        <v>1136</v>
      </c>
      <c r="I1572" s="24" t="s">
        <v>2816</v>
      </c>
      <c r="J1572" s="101">
        <v>50.29</v>
      </c>
      <c r="K1572" s="101">
        <v>-107.8</v>
      </c>
      <c r="L1572" s="101">
        <v>757</v>
      </c>
      <c r="R1572" s="102">
        <v>3</v>
      </c>
      <c r="S1572" s="102" t="s">
        <v>1931</v>
      </c>
      <c r="T1572" s="102" t="s">
        <v>1105</v>
      </c>
      <c r="U1572" s="102" t="s">
        <v>1113</v>
      </c>
      <c r="V1572" s="102" t="s">
        <v>1389</v>
      </c>
      <c r="W1572" s="102" t="s">
        <v>1720</v>
      </c>
      <c r="X1572" s="102" t="s">
        <v>1389</v>
      </c>
      <c r="Y1572" s="102" t="s">
        <v>1417</v>
      </c>
      <c r="Z1572" s="101">
        <v>1.365</v>
      </c>
      <c r="AA1572" s="352"/>
      <c r="AB1572" s="352"/>
      <c r="AC1572" s="101" t="s">
        <v>139</v>
      </c>
      <c r="AG1572" s="101" t="s">
        <v>1356</v>
      </c>
      <c r="AH1572" s="101" t="s">
        <v>577</v>
      </c>
      <c r="AI1572" s="138" t="s">
        <v>577</v>
      </c>
      <c r="AJ1572" s="101" t="s">
        <v>1536</v>
      </c>
      <c r="AK1572" s="145" t="s">
        <v>116</v>
      </c>
      <c r="AL1572" s="101" t="s">
        <v>1097</v>
      </c>
      <c r="AM1572" s="101" t="s">
        <v>1097</v>
      </c>
      <c r="AN1572" s="101" t="s">
        <v>177</v>
      </c>
      <c r="AT1572" s="101" t="s">
        <v>1111</v>
      </c>
      <c r="AU1572" s="101" t="s">
        <v>1112</v>
      </c>
      <c r="AV1572" s="101" t="s">
        <v>502</v>
      </c>
      <c r="AW1572" s="101" t="s">
        <v>1110</v>
      </c>
      <c r="AX1572" s="101">
        <v>3</v>
      </c>
      <c r="AZ1572" s="101" t="s">
        <v>141</v>
      </c>
      <c r="BE1572" s="101" t="s">
        <v>1114</v>
      </c>
      <c r="BP1572" s="427"/>
      <c r="BQ1572" s="427"/>
      <c r="BU1572" s="427"/>
      <c r="BV1572" s="427"/>
      <c r="BZ1572" s="427"/>
      <c r="CA1572" s="427"/>
      <c r="CE1572" s="580"/>
      <c r="CF1572" s="580"/>
      <c r="CG1572" s="580"/>
      <c r="CH1572" s="580"/>
      <c r="CJ1572" s="101">
        <f>66.6*(1000000/(100*100*0.3*1.365*1000))</f>
        <v>16.263736263736263</v>
      </c>
      <c r="CK1572" s="101">
        <f>53.2*(1000000/(100*100*0.3*1.365*1000))</f>
        <v>12.991452991452991</v>
      </c>
      <c r="CN1572" s="101" t="s">
        <v>1675</v>
      </c>
      <c r="JB1572" s="101" t="s">
        <v>1118</v>
      </c>
    </row>
    <row r="1573" spans="1:262" s="101" customFormat="1" x14ac:dyDescent="0.25">
      <c r="A1573" s="101">
        <v>73</v>
      </c>
      <c r="B1573" s="102" t="s">
        <v>4089</v>
      </c>
      <c r="C1573" s="101" t="s">
        <v>1106</v>
      </c>
      <c r="D1573" s="101" t="s">
        <v>1107</v>
      </c>
      <c r="E1573" s="101">
        <v>2003</v>
      </c>
      <c r="F1573" s="101">
        <v>1991</v>
      </c>
      <c r="G1573" s="101" t="s">
        <v>1108</v>
      </c>
      <c r="H1573" s="101" t="s">
        <v>1136</v>
      </c>
      <c r="I1573" s="24" t="s">
        <v>2816</v>
      </c>
      <c r="J1573" s="101">
        <v>50.29</v>
      </c>
      <c r="K1573" s="101">
        <v>-107.8</v>
      </c>
      <c r="L1573" s="101">
        <v>757</v>
      </c>
      <c r="R1573" s="102">
        <v>4</v>
      </c>
      <c r="S1573" s="102" t="s">
        <v>1931</v>
      </c>
      <c r="T1573" s="102" t="s">
        <v>1105</v>
      </c>
      <c r="U1573" s="102" t="s">
        <v>1113</v>
      </c>
      <c r="V1573" s="102" t="s">
        <v>1389</v>
      </c>
      <c r="W1573" s="102" t="s">
        <v>1720</v>
      </c>
      <c r="X1573" s="102" t="s">
        <v>1389</v>
      </c>
      <c r="Y1573" s="102" t="s">
        <v>1417</v>
      </c>
      <c r="Z1573" s="101">
        <v>1.365</v>
      </c>
      <c r="AA1573" s="352"/>
      <c r="AB1573" s="352"/>
      <c r="AC1573" s="101" t="s">
        <v>139</v>
      </c>
      <c r="AG1573" s="101" t="s">
        <v>1356</v>
      </c>
      <c r="AH1573" s="101" t="s">
        <v>577</v>
      </c>
      <c r="AI1573" s="138" t="s">
        <v>577</v>
      </c>
      <c r="AJ1573" s="101" t="s">
        <v>1536</v>
      </c>
      <c r="AK1573" s="145" t="s">
        <v>116</v>
      </c>
      <c r="AL1573" s="101" t="s">
        <v>1097</v>
      </c>
      <c r="AM1573" s="101" t="s">
        <v>1097</v>
      </c>
      <c r="AN1573" s="101" t="s">
        <v>177</v>
      </c>
      <c r="AT1573" s="101" t="s">
        <v>1111</v>
      </c>
      <c r="AU1573" s="101" t="s">
        <v>1112</v>
      </c>
      <c r="AV1573" s="101" t="s">
        <v>502</v>
      </c>
      <c r="AW1573" s="101" t="s">
        <v>1110</v>
      </c>
      <c r="AX1573" s="101">
        <v>3</v>
      </c>
      <c r="AZ1573" s="101" t="s">
        <v>141</v>
      </c>
      <c r="BE1573" s="101" t="s">
        <v>1114</v>
      </c>
      <c r="BP1573" s="427"/>
      <c r="BQ1573" s="427"/>
      <c r="BU1573" s="427"/>
      <c r="BV1573" s="427"/>
      <c r="BZ1573" s="427"/>
      <c r="CA1573" s="427"/>
      <c r="CE1573" s="580"/>
      <c r="CF1573" s="580"/>
      <c r="CG1573" s="580"/>
      <c r="CH1573" s="580"/>
      <c r="CJ1573" s="101">
        <f>44.7*(1000000/(100*100*0.3*1.365*1000))</f>
        <v>10.915750915750916</v>
      </c>
      <c r="CK1573" s="101">
        <f>56.3*(1000000/(100*100*0.3*1.365*1000))</f>
        <v>13.748473748473748</v>
      </c>
      <c r="CN1573" s="101" t="s">
        <v>1675</v>
      </c>
      <c r="JB1573" s="101" t="s">
        <v>1118</v>
      </c>
    </row>
    <row r="1574" spans="1:262" s="101" customFormat="1" x14ac:dyDescent="0.25">
      <c r="A1574" s="101">
        <v>73</v>
      </c>
      <c r="B1574" s="102" t="s">
        <v>4089</v>
      </c>
      <c r="C1574" s="101" t="s">
        <v>1106</v>
      </c>
      <c r="D1574" s="101" t="s">
        <v>1107</v>
      </c>
      <c r="E1574" s="101">
        <v>2003</v>
      </c>
      <c r="F1574" s="101">
        <v>1992</v>
      </c>
      <c r="G1574" s="101" t="s">
        <v>1108</v>
      </c>
      <c r="H1574" s="101" t="s">
        <v>1136</v>
      </c>
      <c r="I1574" s="24" t="s">
        <v>2816</v>
      </c>
      <c r="J1574" s="101">
        <v>50.29</v>
      </c>
      <c r="K1574" s="101">
        <v>-107.8</v>
      </c>
      <c r="L1574" s="101">
        <v>757</v>
      </c>
      <c r="R1574" s="102">
        <v>5</v>
      </c>
      <c r="S1574" s="102" t="s">
        <v>1931</v>
      </c>
      <c r="T1574" s="102" t="s">
        <v>1105</v>
      </c>
      <c r="U1574" s="102" t="s">
        <v>1113</v>
      </c>
      <c r="V1574" s="102" t="s">
        <v>1389</v>
      </c>
      <c r="W1574" s="102" t="s">
        <v>1720</v>
      </c>
      <c r="X1574" s="102" t="s">
        <v>1389</v>
      </c>
      <c r="Y1574" s="102" t="s">
        <v>1417</v>
      </c>
      <c r="Z1574" s="101">
        <v>1.365</v>
      </c>
      <c r="AA1574" s="352"/>
      <c r="AB1574" s="352"/>
      <c r="AC1574" s="101" t="s">
        <v>139</v>
      </c>
      <c r="AG1574" s="101" t="s">
        <v>1356</v>
      </c>
      <c r="AH1574" s="101" t="s">
        <v>577</v>
      </c>
      <c r="AI1574" s="138" t="s">
        <v>577</v>
      </c>
      <c r="AJ1574" s="101" t="s">
        <v>1536</v>
      </c>
      <c r="AK1574" s="145" t="s">
        <v>116</v>
      </c>
      <c r="AL1574" s="101" t="s">
        <v>1097</v>
      </c>
      <c r="AM1574" s="101" t="s">
        <v>1097</v>
      </c>
      <c r="AN1574" s="101" t="s">
        <v>177</v>
      </c>
      <c r="AT1574" s="101" t="s">
        <v>1111</v>
      </c>
      <c r="AU1574" s="101" t="s">
        <v>1112</v>
      </c>
      <c r="AV1574" s="101" t="s">
        <v>502</v>
      </c>
      <c r="AW1574" s="101" t="s">
        <v>1110</v>
      </c>
      <c r="AX1574" s="101">
        <v>3</v>
      </c>
      <c r="AZ1574" s="101" t="s">
        <v>141</v>
      </c>
      <c r="BE1574" s="101" t="s">
        <v>1114</v>
      </c>
      <c r="BP1574" s="427"/>
      <c r="BQ1574" s="427"/>
      <c r="BU1574" s="427"/>
      <c r="BV1574" s="427"/>
      <c r="BZ1574" s="427"/>
      <c r="CA1574" s="427"/>
      <c r="CE1574" s="580"/>
      <c r="CF1574" s="580"/>
      <c r="CG1574" s="580"/>
      <c r="CH1574" s="580"/>
      <c r="CJ1574" s="101">
        <f>33.4*(1000000/(100*100*0.3*1.365*1000))</f>
        <v>8.1562881562881557</v>
      </c>
      <c r="CK1574" s="101">
        <f>19.7*(1000000/(100*100*0.3*1.365*1000))</f>
        <v>4.8107448107448105</v>
      </c>
      <c r="CN1574" s="101" t="s">
        <v>1675</v>
      </c>
      <c r="JB1574" s="101" t="s">
        <v>1118</v>
      </c>
    </row>
    <row r="1575" spans="1:262" s="101" customFormat="1" x14ac:dyDescent="0.25">
      <c r="A1575" s="101">
        <v>73</v>
      </c>
      <c r="B1575" s="102" t="s">
        <v>4089</v>
      </c>
      <c r="C1575" s="101" t="s">
        <v>1106</v>
      </c>
      <c r="D1575" s="101" t="s">
        <v>1107</v>
      </c>
      <c r="E1575" s="101">
        <v>2003</v>
      </c>
      <c r="F1575" s="101">
        <v>1993</v>
      </c>
      <c r="G1575" s="101" t="s">
        <v>1108</v>
      </c>
      <c r="H1575" s="101" t="s">
        <v>1136</v>
      </c>
      <c r="I1575" s="24" t="s">
        <v>2816</v>
      </c>
      <c r="J1575" s="101">
        <v>50.29</v>
      </c>
      <c r="K1575" s="101">
        <v>-107.8</v>
      </c>
      <c r="L1575" s="101">
        <v>757</v>
      </c>
      <c r="R1575" s="102">
        <v>6</v>
      </c>
      <c r="S1575" s="102" t="s">
        <v>1931</v>
      </c>
      <c r="T1575" s="102" t="s">
        <v>1105</v>
      </c>
      <c r="U1575" s="102" t="s">
        <v>1113</v>
      </c>
      <c r="V1575" s="102" t="s">
        <v>1389</v>
      </c>
      <c r="W1575" s="102" t="s">
        <v>1720</v>
      </c>
      <c r="X1575" s="102" t="s">
        <v>1389</v>
      </c>
      <c r="Y1575" s="102" t="s">
        <v>1417</v>
      </c>
      <c r="Z1575" s="101">
        <v>1.365</v>
      </c>
      <c r="AA1575" s="352"/>
      <c r="AB1575" s="352"/>
      <c r="AC1575" s="101" t="s">
        <v>139</v>
      </c>
      <c r="AG1575" s="101" t="s">
        <v>1356</v>
      </c>
      <c r="AH1575" s="101" t="s">
        <v>577</v>
      </c>
      <c r="AI1575" s="138" t="s">
        <v>577</v>
      </c>
      <c r="AJ1575" s="101" t="s">
        <v>1536</v>
      </c>
      <c r="AK1575" s="145" t="s">
        <v>116</v>
      </c>
      <c r="AL1575" s="101" t="s">
        <v>1097</v>
      </c>
      <c r="AM1575" s="101" t="s">
        <v>1097</v>
      </c>
      <c r="AN1575" s="101" t="s">
        <v>177</v>
      </c>
      <c r="AT1575" s="101" t="s">
        <v>1111</v>
      </c>
      <c r="AU1575" s="101" t="s">
        <v>1112</v>
      </c>
      <c r="AV1575" s="101" t="s">
        <v>502</v>
      </c>
      <c r="AW1575" s="101" t="s">
        <v>1110</v>
      </c>
      <c r="AX1575" s="101">
        <v>3</v>
      </c>
      <c r="AZ1575" s="101" t="s">
        <v>141</v>
      </c>
      <c r="BE1575" s="101" t="s">
        <v>1114</v>
      </c>
      <c r="BP1575" s="427"/>
      <c r="BQ1575" s="427"/>
      <c r="BU1575" s="427"/>
      <c r="BV1575" s="427"/>
      <c r="BZ1575" s="427"/>
      <c r="CA1575" s="427"/>
      <c r="CE1575" s="580"/>
      <c r="CF1575" s="580"/>
      <c r="CG1575" s="580"/>
      <c r="CH1575" s="580"/>
      <c r="CJ1575" s="101">
        <f>23*(1000000/(100*100*0.3*1.365*1000))</f>
        <v>5.6166056166056162</v>
      </c>
      <c r="CK1575" s="101">
        <f>44.7*(1000000/(100*100*0.3*1.365*1000))</f>
        <v>10.915750915750916</v>
      </c>
      <c r="CN1575" s="101" t="s">
        <v>1675</v>
      </c>
      <c r="JB1575" s="101" t="s">
        <v>1118</v>
      </c>
    </row>
    <row r="1576" spans="1:262" s="101" customFormat="1" x14ac:dyDescent="0.25">
      <c r="A1576" s="101">
        <v>73</v>
      </c>
      <c r="B1576" s="102" t="s">
        <v>4089</v>
      </c>
      <c r="C1576" s="101" t="s">
        <v>1106</v>
      </c>
      <c r="D1576" s="101" t="s">
        <v>1107</v>
      </c>
      <c r="E1576" s="101">
        <v>2003</v>
      </c>
      <c r="F1576" s="101">
        <v>1994</v>
      </c>
      <c r="G1576" s="101" t="s">
        <v>1108</v>
      </c>
      <c r="H1576" s="101" t="s">
        <v>1136</v>
      </c>
      <c r="I1576" s="24" t="s">
        <v>2816</v>
      </c>
      <c r="J1576" s="101">
        <v>50.29</v>
      </c>
      <c r="K1576" s="101">
        <v>-107.8</v>
      </c>
      <c r="L1576" s="101">
        <v>757</v>
      </c>
      <c r="R1576" s="102">
        <v>7</v>
      </c>
      <c r="S1576" s="102" t="s">
        <v>1931</v>
      </c>
      <c r="T1576" s="102" t="s">
        <v>1105</v>
      </c>
      <c r="U1576" s="102" t="s">
        <v>1113</v>
      </c>
      <c r="V1576" s="102" t="s">
        <v>1389</v>
      </c>
      <c r="W1576" s="102" t="s">
        <v>1720</v>
      </c>
      <c r="X1576" s="102" t="s">
        <v>1389</v>
      </c>
      <c r="Y1576" s="102" t="s">
        <v>1417</v>
      </c>
      <c r="Z1576" s="101">
        <v>1.365</v>
      </c>
      <c r="AA1576" s="352"/>
      <c r="AB1576" s="352"/>
      <c r="AC1576" s="101" t="s">
        <v>139</v>
      </c>
      <c r="AG1576" s="101" t="s">
        <v>1356</v>
      </c>
      <c r="AH1576" s="101" t="s">
        <v>577</v>
      </c>
      <c r="AI1576" s="138" t="s">
        <v>577</v>
      </c>
      <c r="AJ1576" s="101" t="s">
        <v>1536</v>
      </c>
      <c r="AK1576" s="145" t="s">
        <v>116</v>
      </c>
      <c r="AL1576" s="101" t="s">
        <v>1097</v>
      </c>
      <c r="AM1576" s="101" t="s">
        <v>1097</v>
      </c>
      <c r="AN1576" s="101" t="s">
        <v>177</v>
      </c>
      <c r="AT1576" s="101" t="s">
        <v>1111</v>
      </c>
      <c r="AU1576" s="101" t="s">
        <v>1112</v>
      </c>
      <c r="AV1576" s="101" t="s">
        <v>502</v>
      </c>
      <c r="AW1576" s="101" t="s">
        <v>1110</v>
      </c>
      <c r="AX1576" s="101">
        <v>3</v>
      </c>
      <c r="AZ1576" s="101" t="s">
        <v>141</v>
      </c>
      <c r="BE1576" s="101" t="s">
        <v>1114</v>
      </c>
      <c r="BP1576" s="427"/>
      <c r="BQ1576" s="427"/>
      <c r="BU1576" s="427"/>
      <c r="BV1576" s="427"/>
      <c r="BZ1576" s="427"/>
      <c r="CA1576" s="427"/>
      <c r="CE1576" s="580"/>
      <c r="CF1576" s="580"/>
      <c r="CG1576" s="580"/>
      <c r="CH1576" s="580"/>
      <c r="CJ1576" s="101">
        <f>15.1*(1000000/(100*100*0.3*1.365*1000))</f>
        <v>3.6874236874236872</v>
      </c>
      <c r="CK1576" s="101">
        <f>27.9*(1000000/(100*100*0.3*1.365*1000))</f>
        <v>6.813186813186813</v>
      </c>
      <c r="CN1576" s="101" t="s">
        <v>1675</v>
      </c>
      <c r="JB1576" s="101" t="s">
        <v>1118</v>
      </c>
    </row>
    <row r="1577" spans="1:262" s="101" customFormat="1" x14ac:dyDescent="0.25">
      <c r="A1577" s="101">
        <v>73</v>
      </c>
      <c r="B1577" s="102" t="s">
        <v>4089</v>
      </c>
      <c r="C1577" s="101" t="s">
        <v>1106</v>
      </c>
      <c r="D1577" s="101" t="s">
        <v>1107</v>
      </c>
      <c r="E1577" s="101">
        <v>2003</v>
      </c>
      <c r="F1577" s="101">
        <v>1995</v>
      </c>
      <c r="G1577" s="101" t="s">
        <v>1108</v>
      </c>
      <c r="H1577" s="101" t="s">
        <v>1136</v>
      </c>
      <c r="I1577" s="24" t="s">
        <v>2816</v>
      </c>
      <c r="J1577" s="101">
        <v>50.29</v>
      </c>
      <c r="K1577" s="101">
        <v>-107.8</v>
      </c>
      <c r="L1577" s="101">
        <v>757</v>
      </c>
      <c r="R1577" s="102">
        <v>8</v>
      </c>
      <c r="S1577" s="102" t="s">
        <v>1931</v>
      </c>
      <c r="T1577" s="102" t="s">
        <v>1105</v>
      </c>
      <c r="U1577" s="102" t="s">
        <v>1113</v>
      </c>
      <c r="V1577" s="102" t="s">
        <v>1389</v>
      </c>
      <c r="W1577" s="102" t="s">
        <v>1720</v>
      </c>
      <c r="X1577" s="102" t="s">
        <v>1389</v>
      </c>
      <c r="Y1577" s="102" t="s">
        <v>1417</v>
      </c>
      <c r="Z1577" s="101">
        <v>1.365</v>
      </c>
      <c r="AA1577" s="352"/>
      <c r="AB1577" s="352"/>
      <c r="AC1577" s="101" t="s">
        <v>139</v>
      </c>
      <c r="AG1577" s="101" t="s">
        <v>1356</v>
      </c>
      <c r="AH1577" s="101" t="s">
        <v>577</v>
      </c>
      <c r="AI1577" s="138" t="s">
        <v>577</v>
      </c>
      <c r="AJ1577" s="101" t="s">
        <v>1536</v>
      </c>
      <c r="AK1577" s="145" t="s">
        <v>116</v>
      </c>
      <c r="AL1577" s="101" t="s">
        <v>1097</v>
      </c>
      <c r="AM1577" s="101" t="s">
        <v>1097</v>
      </c>
      <c r="AN1577" s="101" t="s">
        <v>177</v>
      </c>
      <c r="AT1577" s="101" t="s">
        <v>1111</v>
      </c>
      <c r="AU1577" s="101" t="s">
        <v>1112</v>
      </c>
      <c r="AV1577" s="101" t="s">
        <v>502</v>
      </c>
      <c r="AW1577" s="101" t="s">
        <v>1110</v>
      </c>
      <c r="AX1577" s="101">
        <v>3</v>
      </c>
      <c r="AZ1577" s="101" t="s">
        <v>141</v>
      </c>
      <c r="BE1577" s="101" t="s">
        <v>1114</v>
      </c>
      <c r="BP1577" s="427"/>
      <c r="BQ1577" s="427"/>
      <c r="BU1577" s="427"/>
      <c r="BV1577" s="427"/>
      <c r="BZ1577" s="427"/>
      <c r="CA1577" s="427"/>
      <c r="CE1577" s="580"/>
      <c r="CF1577" s="580"/>
      <c r="CG1577" s="580"/>
      <c r="CH1577" s="580"/>
      <c r="CJ1577" s="101">
        <f>39.9*(1000000/(100*100*0.3*1.365*1000))</f>
        <v>9.7435897435897427</v>
      </c>
      <c r="CK1577" s="101">
        <f>54.1*(1000000/(100*100*0.3*1.365*1000))</f>
        <v>13.21123321123321</v>
      </c>
      <c r="CN1577" s="101" t="s">
        <v>1675</v>
      </c>
      <c r="JB1577" s="101" t="s">
        <v>1118</v>
      </c>
    </row>
    <row r="1578" spans="1:262" s="101" customFormat="1" x14ac:dyDescent="0.25">
      <c r="A1578" s="101">
        <v>73</v>
      </c>
      <c r="B1578" s="102" t="s">
        <v>4089</v>
      </c>
      <c r="C1578" s="101" t="s">
        <v>1106</v>
      </c>
      <c r="D1578" s="101" t="s">
        <v>1107</v>
      </c>
      <c r="E1578" s="101">
        <v>2003</v>
      </c>
      <c r="F1578" s="101">
        <v>1996</v>
      </c>
      <c r="G1578" s="101" t="s">
        <v>1108</v>
      </c>
      <c r="H1578" s="101" t="s">
        <v>1136</v>
      </c>
      <c r="I1578" s="24" t="s">
        <v>2816</v>
      </c>
      <c r="J1578" s="101">
        <v>50.29</v>
      </c>
      <c r="K1578" s="101">
        <v>-107.8</v>
      </c>
      <c r="L1578" s="101">
        <v>757</v>
      </c>
      <c r="R1578" s="102">
        <v>9</v>
      </c>
      <c r="S1578" s="102" t="s">
        <v>1931</v>
      </c>
      <c r="T1578" s="102" t="s">
        <v>1105</v>
      </c>
      <c r="U1578" s="102" t="s">
        <v>1113</v>
      </c>
      <c r="V1578" s="102" t="s">
        <v>1389</v>
      </c>
      <c r="W1578" s="102" t="s">
        <v>1720</v>
      </c>
      <c r="X1578" s="102" t="s">
        <v>1389</v>
      </c>
      <c r="Y1578" s="102" t="s">
        <v>1417</v>
      </c>
      <c r="Z1578" s="101">
        <v>1.365</v>
      </c>
      <c r="AA1578" s="352"/>
      <c r="AB1578" s="352"/>
      <c r="AC1578" s="101" t="s">
        <v>139</v>
      </c>
      <c r="AG1578" s="101" t="s">
        <v>1356</v>
      </c>
      <c r="AH1578" s="101" t="s">
        <v>577</v>
      </c>
      <c r="AI1578" s="138" t="s">
        <v>577</v>
      </c>
      <c r="AJ1578" s="101" t="s">
        <v>1536</v>
      </c>
      <c r="AK1578" s="145" t="s">
        <v>116</v>
      </c>
      <c r="AL1578" s="101" t="s">
        <v>1097</v>
      </c>
      <c r="AM1578" s="101" t="s">
        <v>1097</v>
      </c>
      <c r="AN1578" s="101" t="s">
        <v>177</v>
      </c>
      <c r="AT1578" s="101" t="s">
        <v>1111</v>
      </c>
      <c r="AU1578" s="101" t="s">
        <v>1112</v>
      </c>
      <c r="AV1578" s="101" t="s">
        <v>502</v>
      </c>
      <c r="AW1578" s="101" t="s">
        <v>1110</v>
      </c>
      <c r="AX1578" s="101">
        <v>3</v>
      </c>
      <c r="AZ1578" s="101" t="s">
        <v>141</v>
      </c>
      <c r="BE1578" s="101" t="s">
        <v>1114</v>
      </c>
      <c r="BP1578" s="427"/>
      <c r="BQ1578" s="427"/>
      <c r="BU1578" s="427"/>
      <c r="BV1578" s="427"/>
      <c r="BZ1578" s="427"/>
      <c r="CA1578" s="427"/>
      <c r="CE1578" s="580"/>
      <c r="CF1578" s="580"/>
      <c r="CG1578" s="580"/>
      <c r="CH1578" s="580"/>
      <c r="CJ1578" s="101">
        <f>29.2*(1000000/(100*100*0.3*1.365*1000))</f>
        <v>7.1306471306471302</v>
      </c>
      <c r="CK1578" s="101">
        <f>54.6*(1000000/(100*100*0.3*1.365*1000))</f>
        <v>13.333333333333334</v>
      </c>
      <c r="CN1578" s="101" t="s">
        <v>1675</v>
      </c>
      <c r="JB1578" s="101" t="s">
        <v>1118</v>
      </c>
    </row>
    <row r="1579" spans="1:262" s="101" customFormat="1" x14ac:dyDescent="0.25">
      <c r="A1579" s="101">
        <v>73</v>
      </c>
      <c r="B1579" s="102" t="s">
        <v>4089</v>
      </c>
      <c r="C1579" s="101" t="s">
        <v>1106</v>
      </c>
      <c r="D1579" s="101" t="s">
        <v>1107</v>
      </c>
      <c r="E1579" s="101">
        <v>2003</v>
      </c>
      <c r="F1579" s="101">
        <v>1997</v>
      </c>
      <c r="G1579" s="101" t="s">
        <v>1108</v>
      </c>
      <c r="H1579" s="101" t="s">
        <v>1136</v>
      </c>
      <c r="I1579" s="24" t="s">
        <v>2816</v>
      </c>
      <c r="J1579" s="101">
        <v>50.29</v>
      </c>
      <c r="K1579" s="101">
        <v>-107.8</v>
      </c>
      <c r="L1579" s="101">
        <v>757</v>
      </c>
      <c r="R1579" s="102">
        <v>10</v>
      </c>
      <c r="S1579" s="102" t="s">
        <v>1931</v>
      </c>
      <c r="T1579" s="102" t="s">
        <v>1105</v>
      </c>
      <c r="U1579" s="102" t="s">
        <v>1113</v>
      </c>
      <c r="V1579" s="102" t="s">
        <v>1389</v>
      </c>
      <c r="W1579" s="102" t="s">
        <v>1720</v>
      </c>
      <c r="X1579" s="102" t="s">
        <v>1389</v>
      </c>
      <c r="Y1579" s="102" t="s">
        <v>1417</v>
      </c>
      <c r="Z1579" s="101">
        <v>1.365</v>
      </c>
      <c r="AA1579" s="352"/>
      <c r="AB1579" s="352"/>
      <c r="AC1579" s="101" t="s">
        <v>139</v>
      </c>
      <c r="AG1579" s="101" t="s">
        <v>1356</v>
      </c>
      <c r="AH1579" s="101" t="s">
        <v>577</v>
      </c>
      <c r="AI1579" s="138" t="s">
        <v>577</v>
      </c>
      <c r="AJ1579" s="101" t="s">
        <v>1536</v>
      </c>
      <c r="AK1579" s="145" t="s">
        <v>116</v>
      </c>
      <c r="AL1579" s="101" t="s">
        <v>1097</v>
      </c>
      <c r="AM1579" s="101" t="s">
        <v>1097</v>
      </c>
      <c r="AN1579" s="101" t="s">
        <v>177</v>
      </c>
      <c r="AT1579" s="101" t="s">
        <v>1111</v>
      </c>
      <c r="AU1579" s="101" t="s">
        <v>1112</v>
      </c>
      <c r="AV1579" s="101" t="s">
        <v>502</v>
      </c>
      <c r="AW1579" s="101" t="s">
        <v>1110</v>
      </c>
      <c r="AX1579" s="101">
        <v>3</v>
      </c>
      <c r="AZ1579" s="101" t="s">
        <v>141</v>
      </c>
      <c r="BE1579" s="101" t="s">
        <v>1114</v>
      </c>
      <c r="BP1579" s="427"/>
      <c r="BQ1579" s="427"/>
      <c r="BU1579" s="427"/>
      <c r="BV1579" s="427"/>
      <c r="BZ1579" s="427"/>
      <c r="CA1579" s="427"/>
      <c r="CE1579" s="580"/>
      <c r="CF1579" s="580"/>
      <c r="CG1579" s="580"/>
      <c r="CH1579" s="580"/>
      <c r="CJ1579" s="101">
        <f>18.4*(1000000/(100*100*0.3*1.365*1000))</f>
        <v>4.4932844932844924</v>
      </c>
      <c r="CK1579" s="101">
        <f>24.9*(1000000/(100*100*0.3*1.365*1000))</f>
        <v>6.0805860805860803</v>
      </c>
      <c r="CN1579" s="101" t="s">
        <v>1675</v>
      </c>
      <c r="JB1579" s="101" t="s">
        <v>1118</v>
      </c>
    </row>
    <row r="1580" spans="1:262" s="101" customFormat="1" x14ac:dyDescent="0.25">
      <c r="A1580" s="101">
        <v>73</v>
      </c>
      <c r="B1580" s="102" t="s">
        <v>4089</v>
      </c>
      <c r="C1580" s="101" t="s">
        <v>1106</v>
      </c>
      <c r="D1580" s="101" t="s">
        <v>1107</v>
      </c>
      <c r="E1580" s="101">
        <v>2003</v>
      </c>
      <c r="F1580" s="101">
        <v>1998</v>
      </c>
      <c r="G1580" s="101" t="s">
        <v>1108</v>
      </c>
      <c r="H1580" s="101" t="s">
        <v>1136</v>
      </c>
      <c r="I1580" s="24" t="s">
        <v>2816</v>
      </c>
      <c r="J1580" s="101">
        <v>50.29</v>
      </c>
      <c r="K1580" s="101">
        <v>-107.8</v>
      </c>
      <c r="L1580" s="101">
        <v>757</v>
      </c>
      <c r="R1580" s="102">
        <v>11</v>
      </c>
      <c r="S1580" s="102" t="s">
        <v>1931</v>
      </c>
      <c r="T1580" s="102" t="s">
        <v>1105</v>
      </c>
      <c r="U1580" s="102" t="s">
        <v>1113</v>
      </c>
      <c r="V1580" s="102" t="s">
        <v>1389</v>
      </c>
      <c r="W1580" s="102" t="s">
        <v>1720</v>
      </c>
      <c r="X1580" s="102" t="s">
        <v>1389</v>
      </c>
      <c r="Y1580" s="102" t="s">
        <v>1417</v>
      </c>
      <c r="Z1580" s="101">
        <v>1.365</v>
      </c>
      <c r="AA1580" s="352"/>
      <c r="AB1580" s="352"/>
      <c r="AC1580" s="101" t="s">
        <v>139</v>
      </c>
      <c r="AG1580" s="101" t="s">
        <v>1356</v>
      </c>
      <c r="AH1580" s="101" t="s">
        <v>577</v>
      </c>
      <c r="AI1580" s="138" t="s">
        <v>577</v>
      </c>
      <c r="AJ1580" s="101" t="s">
        <v>1536</v>
      </c>
      <c r="AK1580" s="145" t="s">
        <v>116</v>
      </c>
      <c r="AL1580" s="101" t="s">
        <v>1097</v>
      </c>
      <c r="AM1580" s="101" t="s">
        <v>1097</v>
      </c>
      <c r="AN1580" s="101" t="s">
        <v>177</v>
      </c>
      <c r="AT1580" s="101" t="s">
        <v>1111</v>
      </c>
      <c r="AU1580" s="101" t="s">
        <v>1112</v>
      </c>
      <c r="AV1580" s="101" t="s">
        <v>502</v>
      </c>
      <c r="AW1580" s="101" t="s">
        <v>1110</v>
      </c>
      <c r="AX1580" s="101">
        <v>3</v>
      </c>
      <c r="AZ1580" s="101" t="s">
        <v>141</v>
      </c>
      <c r="BE1580" s="101" t="s">
        <v>1114</v>
      </c>
      <c r="BP1580" s="427"/>
      <c r="BQ1580" s="427"/>
      <c r="BU1580" s="427"/>
      <c r="BV1580" s="427"/>
      <c r="BZ1580" s="427"/>
      <c r="CA1580" s="427"/>
      <c r="CE1580" s="580"/>
      <c r="CF1580" s="580"/>
      <c r="CG1580" s="580"/>
      <c r="CH1580" s="580"/>
      <c r="CJ1580" s="101">
        <f>55*(1000000/(100*100*0.3*1.365*1000))</f>
        <v>13.431013431013431</v>
      </c>
      <c r="CK1580" s="101">
        <f>65.7*(1000000/(100*100*0.3*1.365*1000))</f>
        <v>16.043956043956044</v>
      </c>
      <c r="CN1580" s="101" t="s">
        <v>1675</v>
      </c>
      <c r="JB1580" s="101" t="s">
        <v>1118</v>
      </c>
    </row>
    <row r="1581" spans="1:262" s="101" customFormat="1" x14ac:dyDescent="0.25">
      <c r="A1581" s="101">
        <v>73</v>
      </c>
      <c r="B1581" s="102" t="s">
        <v>4089</v>
      </c>
      <c r="C1581" s="101" t="s">
        <v>1106</v>
      </c>
      <c r="D1581" s="101" t="s">
        <v>1107</v>
      </c>
      <c r="E1581" s="101">
        <v>2003</v>
      </c>
      <c r="F1581" s="101">
        <v>1999</v>
      </c>
      <c r="G1581" s="101" t="s">
        <v>1108</v>
      </c>
      <c r="H1581" s="101" t="s">
        <v>1136</v>
      </c>
      <c r="I1581" s="24" t="s">
        <v>2816</v>
      </c>
      <c r="J1581" s="101">
        <v>50.29</v>
      </c>
      <c r="K1581" s="101">
        <v>-107.8</v>
      </c>
      <c r="L1581" s="101">
        <v>757</v>
      </c>
      <c r="R1581" s="102">
        <v>12</v>
      </c>
      <c r="S1581" s="102" t="s">
        <v>1931</v>
      </c>
      <c r="T1581" s="102" t="s">
        <v>1105</v>
      </c>
      <c r="U1581" s="102" t="s">
        <v>1113</v>
      </c>
      <c r="V1581" s="102" t="s">
        <v>1389</v>
      </c>
      <c r="W1581" s="102" t="s">
        <v>1720</v>
      </c>
      <c r="X1581" s="102" t="s">
        <v>1389</v>
      </c>
      <c r="Y1581" s="102" t="s">
        <v>1417</v>
      </c>
      <c r="Z1581" s="101">
        <v>1.365</v>
      </c>
      <c r="AA1581" s="352"/>
      <c r="AB1581" s="352"/>
      <c r="AC1581" s="101" t="s">
        <v>139</v>
      </c>
      <c r="AG1581" s="101" t="s">
        <v>1356</v>
      </c>
      <c r="AH1581" s="101" t="s">
        <v>577</v>
      </c>
      <c r="AI1581" s="138" t="s">
        <v>577</v>
      </c>
      <c r="AJ1581" s="101" t="s">
        <v>1536</v>
      </c>
      <c r="AK1581" s="145" t="s">
        <v>116</v>
      </c>
      <c r="AL1581" s="101" t="s">
        <v>1097</v>
      </c>
      <c r="AM1581" s="101" t="s">
        <v>1097</v>
      </c>
      <c r="AN1581" s="101" t="s">
        <v>177</v>
      </c>
      <c r="AT1581" s="101" t="s">
        <v>1111</v>
      </c>
      <c r="AU1581" s="101" t="s">
        <v>1112</v>
      </c>
      <c r="AV1581" s="101" t="s">
        <v>502</v>
      </c>
      <c r="AW1581" s="101" t="s">
        <v>1110</v>
      </c>
      <c r="AX1581" s="101">
        <v>3</v>
      </c>
      <c r="AZ1581" s="101" t="s">
        <v>141</v>
      </c>
      <c r="BE1581" s="101" t="s">
        <v>1114</v>
      </c>
      <c r="BP1581" s="427"/>
      <c r="BQ1581" s="427"/>
      <c r="BU1581" s="427"/>
      <c r="BV1581" s="427"/>
      <c r="BZ1581" s="427"/>
      <c r="CA1581" s="427"/>
      <c r="CE1581" s="580"/>
      <c r="CF1581" s="580"/>
      <c r="CG1581" s="580"/>
      <c r="CH1581" s="580"/>
      <c r="CJ1581" s="101">
        <f>42.9*(1000000/(100*100*0.3*1.365*1000))</f>
        <v>10.476190476190476</v>
      </c>
      <c r="CK1581" s="101">
        <f>54*(1000000/(100*100*0.3*1.365*1000))</f>
        <v>13.186813186813186</v>
      </c>
      <c r="CN1581" s="101" t="s">
        <v>1675</v>
      </c>
      <c r="JB1581" s="101" t="s">
        <v>1118</v>
      </c>
    </row>
    <row r="1582" spans="1:262" s="103" customFormat="1" x14ac:dyDescent="0.25">
      <c r="A1582" s="103">
        <v>73</v>
      </c>
      <c r="B1582" s="104" t="s">
        <v>4089</v>
      </c>
      <c r="C1582" s="103" t="s">
        <v>1106</v>
      </c>
      <c r="D1582" s="103" t="s">
        <v>1107</v>
      </c>
      <c r="E1582" s="103">
        <v>2003</v>
      </c>
      <c r="F1582" s="103">
        <v>1988</v>
      </c>
      <c r="G1582" s="103" t="s">
        <v>1108</v>
      </c>
      <c r="H1582" s="103" t="s">
        <v>1136</v>
      </c>
      <c r="I1582" s="24" t="s">
        <v>2816</v>
      </c>
      <c r="J1582" s="103">
        <v>50.29</v>
      </c>
      <c r="K1582" s="103">
        <v>-107.8</v>
      </c>
      <c r="L1582" s="103">
        <v>757</v>
      </c>
      <c r="R1582" s="104">
        <v>1</v>
      </c>
      <c r="S1582" s="104" t="s">
        <v>1931</v>
      </c>
      <c r="T1582" s="104" t="s">
        <v>1105</v>
      </c>
      <c r="U1582" s="104" t="s">
        <v>1113</v>
      </c>
      <c r="V1582" s="104" t="s">
        <v>1402</v>
      </c>
      <c r="W1582" s="104" t="s">
        <v>1720</v>
      </c>
      <c r="X1582" s="104" t="s">
        <v>1389</v>
      </c>
      <c r="Y1582" s="104" t="s">
        <v>1417</v>
      </c>
      <c r="Z1582" s="103">
        <v>1.41</v>
      </c>
      <c r="AA1582" s="353"/>
      <c r="AB1582" s="353"/>
      <c r="AC1582" s="103" t="s">
        <v>139</v>
      </c>
      <c r="AG1582" s="103" t="s">
        <v>1356</v>
      </c>
      <c r="AH1582" s="103" t="s">
        <v>577</v>
      </c>
      <c r="AI1582" s="138" t="s">
        <v>577</v>
      </c>
      <c r="AJ1582" s="103" t="s">
        <v>1536</v>
      </c>
      <c r="AK1582" s="145" t="s">
        <v>116</v>
      </c>
      <c r="AL1582" s="103" t="s">
        <v>1097</v>
      </c>
      <c r="AM1582" s="103" t="s">
        <v>1097</v>
      </c>
      <c r="AN1582" s="103" t="s">
        <v>177</v>
      </c>
      <c r="AT1582" s="103" t="s">
        <v>1111</v>
      </c>
      <c r="AU1582" s="103" t="s">
        <v>1112</v>
      </c>
      <c r="AV1582" s="103" t="s">
        <v>502</v>
      </c>
      <c r="AW1582" s="103" t="s">
        <v>1110</v>
      </c>
      <c r="AX1582" s="103">
        <v>3</v>
      </c>
      <c r="AZ1582" s="103" t="s">
        <v>141</v>
      </c>
      <c r="BE1582" s="103" t="s">
        <v>1114</v>
      </c>
      <c r="BP1582" s="428"/>
      <c r="BQ1582" s="428"/>
      <c r="BU1582" s="428"/>
      <c r="BV1582" s="428"/>
      <c r="BZ1582" s="428"/>
      <c r="CA1582" s="428"/>
      <c r="CE1582" s="581"/>
      <c r="CF1582" s="581"/>
      <c r="CG1582" s="581"/>
      <c r="CH1582" s="581"/>
      <c r="CJ1582" s="103">
        <f>26.9*(1000000/(100*100*0.3*1.41*1000))</f>
        <v>6.3593380614657207</v>
      </c>
      <c r="CK1582" s="103">
        <f>(1000000/(100*100*0.3*1.41*1000))*15.8</f>
        <v>3.7352245862884166</v>
      </c>
      <c r="CN1582" s="103" t="s">
        <v>1675</v>
      </c>
      <c r="JB1582" s="103" t="s">
        <v>1118</v>
      </c>
    </row>
    <row r="1583" spans="1:262" s="103" customFormat="1" x14ac:dyDescent="0.25">
      <c r="A1583" s="103">
        <v>73</v>
      </c>
      <c r="B1583" s="104" t="s">
        <v>4089</v>
      </c>
      <c r="C1583" s="103" t="s">
        <v>1106</v>
      </c>
      <c r="D1583" s="103" t="s">
        <v>1107</v>
      </c>
      <c r="E1583" s="103">
        <v>2003</v>
      </c>
      <c r="F1583" s="103">
        <v>1989</v>
      </c>
      <c r="G1583" s="103" t="s">
        <v>1108</v>
      </c>
      <c r="H1583" s="103" t="s">
        <v>1136</v>
      </c>
      <c r="I1583" s="24" t="s">
        <v>2816</v>
      </c>
      <c r="J1583" s="103">
        <v>50.29</v>
      </c>
      <c r="K1583" s="103">
        <v>-107.8</v>
      </c>
      <c r="L1583" s="103">
        <v>757</v>
      </c>
      <c r="R1583" s="104">
        <v>2</v>
      </c>
      <c r="S1583" s="104" t="s">
        <v>1931</v>
      </c>
      <c r="T1583" s="104" t="s">
        <v>1105</v>
      </c>
      <c r="U1583" s="104" t="s">
        <v>1113</v>
      </c>
      <c r="V1583" s="104" t="s">
        <v>1402</v>
      </c>
      <c r="W1583" s="104" t="s">
        <v>1720</v>
      </c>
      <c r="X1583" s="104" t="s">
        <v>1389</v>
      </c>
      <c r="Y1583" s="104" t="s">
        <v>1417</v>
      </c>
      <c r="Z1583" s="103">
        <v>1.41</v>
      </c>
      <c r="AA1583" s="353"/>
      <c r="AB1583" s="353"/>
      <c r="AC1583" s="103" t="s">
        <v>139</v>
      </c>
      <c r="AG1583" s="103" t="s">
        <v>1356</v>
      </c>
      <c r="AH1583" s="103" t="s">
        <v>577</v>
      </c>
      <c r="AI1583" s="138" t="s">
        <v>577</v>
      </c>
      <c r="AJ1583" s="103" t="s">
        <v>1536</v>
      </c>
      <c r="AK1583" s="145" t="s">
        <v>116</v>
      </c>
      <c r="AL1583" s="103" t="s">
        <v>1097</v>
      </c>
      <c r="AM1583" s="103" t="s">
        <v>1097</v>
      </c>
      <c r="AN1583" s="103" t="s">
        <v>177</v>
      </c>
      <c r="AT1583" s="103" t="s">
        <v>1111</v>
      </c>
      <c r="AU1583" s="103" t="s">
        <v>1112</v>
      </c>
      <c r="AV1583" s="103" t="s">
        <v>502</v>
      </c>
      <c r="AW1583" s="103" t="s">
        <v>1110</v>
      </c>
      <c r="AX1583" s="103">
        <v>3</v>
      </c>
      <c r="AZ1583" s="103" t="s">
        <v>141</v>
      </c>
      <c r="BE1583" s="103" t="s">
        <v>1114</v>
      </c>
      <c r="BP1583" s="428"/>
      <c r="BQ1583" s="428"/>
      <c r="BU1583" s="428"/>
      <c r="BV1583" s="428"/>
      <c r="BZ1583" s="428"/>
      <c r="CA1583" s="428"/>
      <c r="CE1583" s="581"/>
      <c r="CF1583" s="581"/>
      <c r="CG1583" s="581"/>
      <c r="CH1583" s="581"/>
      <c r="CJ1583" s="103">
        <f>65.2*(1000000/(100*100*0.3*1.41*1000))</f>
        <v>15.413711583924352</v>
      </c>
      <c r="CK1583" s="103">
        <f>(1000000/(100*100*0.3*1.41*1000))*19.1</f>
        <v>4.5153664302600474</v>
      </c>
      <c r="CN1583" s="103" t="s">
        <v>1675</v>
      </c>
      <c r="JB1583" s="103" t="s">
        <v>1118</v>
      </c>
    </row>
    <row r="1584" spans="1:262" s="103" customFormat="1" x14ac:dyDescent="0.25">
      <c r="A1584" s="103">
        <v>73</v>
      </c>
      <c r="B1584" s="104" t="s">
        <v>4089</v>
      </c>
      <c r="C1584" s="103" t="s">
        <v>1106</v>
      </c>
      <c r="D1584" s="103" t="s">
        <v>1107</v>
      </c>
      <c r="E1584" s="103">
        <v>2003</v>
      </c>
      <c r="F1584" s="103">
        <v>1990</v>
      </c>
      <c r="G1584" s="103" t="s">
        <v>1108</v>
      </c>
      <c r="H1584" s="103" t="s">
        <v>1136</v>
      </c>
      <c r="I1584" s="24" t="s">
        <v>2816</v>
      </c>
      <c r="J1584" s="103">
        <v>50.29</v>
      </c>
      <c r="K1584" s="103">
        <v>-107.8</v>
      </c>
      <c r="L1584" s="103">
        <v>757</v>
      </c>
      <c r="R1584" s="104">
        <v>3</v>
      </c>
      <c r="S1584" s="104" t="s">
        <v>1931</v>
      </c>
      <c r="T1584" s="104" t="s">
        <v>1105</v>
      </c>
      <c r="U1584" s="104" t="s">
        <v>1113</v>
      </c>
      <c r="V1584" s="104" t="s">
        <v>1402</v>
      </c>
      <c r="W1584" s="104" t="s">
        <v>1720</v>
      </c>
      <c r="X1584" s="104" t="s">
        <v>1389</v>
      </c>
      <c r="Y1584" s="104" t="s">
        <v>1417</v>
      </c>
      <c r="Z1584" s="103">
        <v>1.41</v>
      </c>
      <c r="AA1584" s="353"/>
      <c r="AB1584" s="353"/>
      <c r="AC1584" s="103" t="s">
        <v>139</v>
      </c>
      <c r="AG1584" s="103" t="s">
        <v>1356</v>
      </c>
      <c r="AH1584" s="103" t="s">
        <v>577</v>
      </c>
      <c r="AI1584" s="138" t="s">
        <v>577</v>
      </c>
      <c r="AJ1584" s="103" t="s">
        <v>1536</v>
      </c>
      <c r="AK1584" s="145" t="s">
        <v>116</v>
      </c>
      <c r="AL1584" s="103" t="s">
        <v>1097</v>
      </c>
      <c r="AM1584" s="103" t="s">
        <v>1097</v>
      </c>
      <c r="AN1584" s="103" t="s">
        <v>177</v>
      </c>
      <c r="AT1584" s="103" t="s">
        <v>1111</v>
      </c>
      <c r="AU1584" s="103" t="s">
        <v>1112</v>
      </c>
      <c r="AV1584" s="103" t="s">
        <v>502</v>
      </c>
      <c r="AW1584" s="103" t="s">
        <v>1110</v>
      </c>
      <c r="AX1584" s="103">
        <v>3</v>
      </c>
      <c r="AZ1584" s="103" t="s">
        <v>141</v>
      </c>
      <c r="BE1584" s="103" t="s">
        <v>1114</v>
      </c>
      <c r="BP1584" s="428"/>
      <c r="BQ1584" s="428"/>
      <c r="BU1584" s="428"/>
      <c r="BV1584" s="428"/>
      <c r="BZ1584" s="428"/>
      <c r="CA1584" s="428"/>
      <c r="CE1584" s="581"/>
      <c r="CF1584" s="581"/>
      <c r="CG1584" s="581"/>
      <c r="CH1584" s="581"/>
      <c r="CJ1584" s="103">
        <f>(1000000/(100*100*0.3*1.41*1000))*30.9</f>
        <v>7.3049645390070923</v>
      </c>
      <c r="CK1584" s="103">
        <f>(1000000/(100*100*0.3*1.41*1000))*32.1</f>
        <v>7.5886524822695041</v>
      </c>
      <c r="CN1584" s="103" t="s">
        <v>1675</v>
      </c>
      <c r="JB1584" s="103" t="s">
        <v>1118</v>
      </c>
    </row>
    <row r="1585" spans="1:262" s="103" customFormat="1" x14ac:dyDescent="0.25">
      <c r="A1585" s="103">
        <v>73</v>
      </c>
      <c r="B1585" s="104" t="s">
        <v>4089</v>
      </c>
      <c r="C1585" s="103" t="s">
        <v>1106</v>
      </c>
      <c r="D1585" s="103" t="s">
        <v>1107</v>
      </c>
      <c r="E1585" s="103">
        <v>2003</v>
      </c>
      <c r="F1585" s="103">
        <v>1991</v>
      </c>
      <c r="G1585" s="103" t="s">
        <v>1108</v>
      </c>
      <c r="H1585" s="103" t="s">
        <v>1136</v>
      </c>
      <c r="I1585" s="24" t="s">
        <v>2816</v>
      </c>
      <c r="J1585" s="103">
        <v>50.29</v>
      </c>
      <c r="K1585" s="103">
        <v>-107.8</v>
      </c>
      <c r="L1585" s="103">
        <v>757</v>
      </c>
      <c r="R1585" s="104">
        <v>4</v>
      </c>
      <c r="S1585" s="104" t="s">
        <v>1931</v>
      </c>
      <c r="T1585" s="104" t="s">
        <v>1105</v>
      </c>
      <c r="U1585" s="104" t="s">
        <v>1113</v>
      </c>
      <c r="V1585" s="104" t="s">
        <v>1402</v>
      </c>
      <c r="W1585" s="104" t="s">
        <v>1720</v>
      </c>
      <c r="X1585" s="104" t="s">
        <v>1389</v>
      </c>
      <c r="Y1585" s="104" t="s">
        <v>1417</v>
      </c>
      <c r="Z1585" s="103">
        <v>1.41</v>
      </c>
      <c r="AA1585" s="353"/>
      <c r="AB1585" s="353"/>
      <c r="AC1585" s="103" t="s">
        <v>139</v>
      </c>
      <c r="AG1585" s="103" t="s">
        <v>1356</v>
      </c>
      <c r="AH1585" s="103" t="s">
        <v>577</v>
      </c>
      <c r="AI1585" s="138" t="s">
        <v>577</v>
      </c>
      <c r="AJ1585" s="103" t="s">
        <v>1536</v>
      </c>
      <c r="AK1585" s="145" t="s">
        <v>116</v>
      </c>
      <c r="AL1585" s="103" t="s">
        <v>1097</v>
      </c>
      <c r="AM1585" s="103" t="s">
        <v>1097</v>
      </c>
      <c r="AN1585" s="103" t="s">
        <v>177</v>
      </c>
      <c r="AT1585" s="103" t="s">
        <v>1111</v>
      </c>
      <c r="AU1585" s="103" t="s">
        <v>1112</v>
      </c>
      <c r="AV1585" s="103" t="s">
        <v>502</v>
      </c>
      <c r="AW1585" s="103" t="s">
        <v>1110</v>
      </c>
      <c r="AX1585" s="103">
        <v>3</v>
      </c>
      <c r="AZ1585" s="103" t="s">
        <v>141</v>
      </c>
      <c r="BE1585" s="103" t="s">
        <v>1114</v>
      </c>
      <c r="BP1585" s="428"/>
      <c r="BQ1585" s="428"/>
      <c r="BU1585" s="428"/>
      <c r="BV1585" s="428"/>
      <c r="BZ1585" s="428"/>
      <c r="CA1585" s="428"/>
      <c r="CE1585" s="581"/>
      <c r="CF1585" s="581"/>
      <c r="CG1585" s="581"/>
      <c r="CH1585" s="581"/>
      <c r="CJ1585" s="103">
        <f>(1000000/(100*100*0.3*1.41*1000))*25.2</f>
        <v>5.957446808510638</v>
      </c>
      <c r="CK1585" s="103">
        <f>(1000000/(100*100*0.3*1.41*1000))*27.9</f>
        <v>6.5957446808510634</v>
      </c>
      <c r="CN1585" s="103" t="s">
        <v>1675</v>
      </c>
      <c r="JB1585" s="103" t="s">
        <v>1118</v>
      </c>
    </row>
    <row r="1586" spans="1:262" s="103" customFormat="1" x14ac:dyDescent="0.25">
      <c r="A1586" s="103">
        <v>73</v>
      </c>
      <c r="B1586" s="104" t="s">
        <v>4089</v>
      </c>
      <c r="C1586" s="103" t="s">
        <v>1106</v>
      </c>
      <c r="D1586" s="103" t="s">
        <v>1107</v>
      </c>
      <c r="E1586" s="103">
        <v>2003</v>
      </c>
      <c r="F1586" s="103">
        <v>1992</v>
      </c>
      <c r="G1586" s="103" t="s">
        <v>1108</v>
      </c>
      <c r="H1586" s="103" t="s">
        <v>1136</v>
      </c>
      <c r="I1586" s="24" t="s">
        <v>2816</v>
      </c>
      <c r="J1586" s="103">
        <v>50.29</v>
      </c>
      <c r="K1586" s="103">
        <v>-107.8</v>
      </c>
      <c r="L1586" s="103">
        <v>757</v>
      </c>
      <c r="R1586" s="104">
        <v>5</v>
      </c>
      <c r="S1586" s="104" t="s">
        <v>1931</v>
      </c>
      <c r="T1586" s="104" t="s">
        <v>1105</v>
      </c>
      <c r="U1586" s="104" t="s">
        <v>1113</v>
      </c>
      <c r="V1586" s="104" t="s">
        <v>1402</v>
      </c>
      <c r="W1586" s="104" t="s">
        <v>1720</v>
      </c>
      <c r="X1586" s="104" t="s">
        <v>1389</v>
      </c>
      <c r="Y1586" s="104" t="s">
        <v>1417</v>
      </c>
      <c r="Z1586" s="103">
        <v>1.41</v>
      </c>
      <c r="AA1586" s="353"/>
      <c r="AB1586" s="353"/>
      <c r="AC1586" s="103" t="s">
        <v>139</v>
      </c>
      <c r="AG1586" s="103" t="s">
        <v>1356</v>
      </c>
      <c r="AH1586" s="103" t="s">
        <v>577</v>
      </c>
      <c r="AI1586" s="138" t="s">
        <v>577</v>
      </c>
      <c r="AJ1586" s="103" t="s">
        <v>1536</v>
      </c>
      <c r="AK1586" s="145" t="s">
        <v>116</v>
      </c>
      <c r="AL1586" s="103" t="s">
        <v>1097</v>
      </c>
      <c r="AM1586" s="103" t="s">
        <v>1097</v>
      </c>
      <c r="AN1586" s="103" t="s">
        <v>177</v>
      </c>
      <c r="AT1586" s="103" t="s">
        <v>1111</v>
      </c>
      <c r="AU1586" s="103" t="s">
        <v>1112</v>
      </c>
      <c r="AV1586" s="103" t="s">
        <v>502</v>
      </c>
      <c r="AW1586" s="103" t="s">
        <v>1110</v>
      </c>
      <c r="AX1586" s="103">
        <v>3</v>
      </c>
      <c r="AZ1586" s="103" t="s">
        <v>141</v>
      </c>
      <c r="BE1586" s="103" t="s">
        <v>1114</v>
      </c>
      <c r="BP1586" s="428"/>
      <c r="BQ1586" s="428"/>
      <c r="BU1586" s="428"/>
      <c r="BV1586" s="428"/>
      <c r="BZ1586" s="428"/>
      <c r="CA1586" s="428"/>
      <c r="CE1586" s="581"/>
      <c r="CF1586" s="581"/>
      <c r="CG1586" s="581"/>
      <c r="CH1586" s="581"/>
      <c r="CJ1586" s="103">
        <f>(1000000/(100*100*0.3*1.41*1000))*17.8</f>
        <v>4.208037825059102</v>
      </c>
      <c r="CK1586" s="103">
        <f>(1000000/(100*100*0.3*1.41*1000))*11.1</f>
        <v>2.624113475177305</v>
      </c>
      <c r="CN1586" s="103" t="s">
        <v>1675</v>
      </c>
      <c r="JB1586" s="103" t="s">
        <v>1118</v>
      </c>
    </row>
    <row r="1587" spans="1:262" s="103" customFormat="1" x14ac:dyDescent="0.25">
      <c r="A1587" s="103">
        <v>73</v>
      </c>
      <c r="B1587" s="104" t="s">
        <v>4089</v>
      </c>
      <c r="C1587" s="103" t="s">
        <v>1106</v>
      </c>
      <c r="D1587" s="103" t="s">
        <v>1107</v>
      </c>
      <c r="E1587" s="103">
        <v>2003</v>
      </c>
      <c r="F1587" s="103">
        <v>1993</v>
      </c>
      <c r="G1587" s="103" t="s">
        <v>1108</v>
      </c>
      <c r="H1587" s="103" t="s">
        <v>1136</v>
      </c>
      <c r="I1587" s="24" t="s">
        <v>2816</v>
      </c>
      <c r="J1587" s="103">
        <v>50.29</v>
      </c>
      <c r="K1587" s="103">
        <v>-107.8</v>
      </c>
      <c r="L1587" s="103">
        <v>757</v>
      </c>
      <c r="R1587" s="104">
        <v>6</v>
      </c>
      <c r="S1587" s="104" t="s">
        <v>1931</v>
      </c>
      <c r="T1587" s="104" t="s">
        <v>1105</v>
      </c>
      <c r="U1587" s="104" t="s">
        <v>1113</v>
      </c>
      <c r="V1587" s="104" t="s">
        <v>1402</v>
      </c>
      <c r="W1587" s="104" t="s">
        <v>1720</v>
      </c>
      <c r="X1587" s="104" t="s">
        <v>1389</v>
      </c>
      <c r="Y1587" s="104" t="s">
        <v>1417</v>
      </c>
      <c r="Z1587" s="103">
        <v>1.41</v>
      </c>
      <c r="AA1587" s="353"/>
      <c r="AB1587" s="353"/>
      <c r="AC1587" s="103" t="s">
        <v>139</v>
      </c>
      <c r="AG1587" s="103" t="s">
        <v>1356</v>
      </c>
      <c r="AH1587" s="103" t="s">
        <v>577</v>
      </c>
      <c r="AI1587" s="138" t="s">
        <v>577</v>
      </c>
      <c r="AJ1587" s="103" t="s">
        <v>1536</v>
      </c>
      <c r="AK1587" s="145" t="s">
        <v>116</v>
      </c>
      <c r="AL1587" s="103" t="s">
        <v>1097</v>
      </c>
      <c r="AM1587" s="103" t="s">
        <v>1097</v>
      </c>
      <c r="AN1587" s="103" t="s">
        <v>177</v>
      </c>
      <c r="AT1587" s="103" t="s">
        <v>1111</v>
      </c>
      <c r="AU1587" s="103" t="s">
        <v>1112</v>
      </c>
      <c r="AV1587" s="103" t="s">
        <v>502</v>
      </c>
      <c r="AW1587" s="103" t="s">
        <v>1110</v>
      </c>
      <c r="AX1587" s="103">
        <v>3</v>
      </c>
      <c r="AZ1587" s="103" t="s">
        <v>141</v>
      </c>
      <c r="BE1587" s="103" t="s">
        <v>1114</v>
      </c>
      <c r="BP1587" s="428"/>
      <c r="BQ1587" s="428"/>
      <c r="BU1587" s="428"/>
      <c r="BV1587" s="428"/>
      <c r="BZ1587" s="428"/>
      <c r="CA1587" s="428"/>
      <c r="CE1587" s="581"/>
      <c r="CF1587" s="581"/>
      <c r="CG1587" s="581"/>
      <c r="CH1587" s="581"/>
      <c r="CJ1587" s="103">
        <f>(1000000/(100*100*0.3*1.41*1000))*22.1</f>
        <v>5.2245862884160763</v>
      </c>
      <c r="CK1587" s="103">
        <f>(1000000/(100*100*0.3*1.41*1000))*22.6</f>
        <v>5.3427895981087472</v>
      </c>
      <c r="CN1587" s="103" t="s">
        <v>1675</v>
      </c>
      <c r="JB1587" s="103" t="s">
        <v>1118</v>
      </c>
    </row>
    <row r="1588" spans="1:262" s="103" customFormat="1" x14ac:dyDescent="0.25">
      <c r="A1588" s="103">
        <v>73</v>
      </c>
      <c r="B1588" s="104" t="s">
        <v>4089</v>
      </c>
      <c r="C1588" s="103" t="s">
        <v>1106</v>
      </c>
      <c r="D1588" s="103" t="s">
        <v>1107</v>
      </c>
      <c r="E1588" s="103">
        <v>2003</v>
      </c>
      <c r="F1588" s="103">
        <v>1994</v>
      </c>
      <c r="G1588" s="103" t="s">
        <v>1108</v>
      </c>
      <c r="H1588" s="103" t="s">
        <v>1136</v>
      </c>
      <c r="I1588" s="24" t="s">
        <v>2816</v>
      </c>
      <c r="J1588" s="103">
        <v>50.29</v>
      </c>
      <c r="K1588" s="103">
        <v>-107.8</v>
      </c>
      <c r="L1588" s="103">
        <v>757</v>
      </c>
      <c r="R1588" s="104">
        <v>7</v>
      </c>
      <c r="S1588" s="104" t="s">
        <v>1931</v>
      </c>
      <c r="T1588" s="104" t="s">
        <v>1105</v>
      </c>
      <c r="U1588" s="104" t="s">
        <v>1113</v>
      </c>
      <c r="V1588" s="104" t="s">
        <v>1402</v>
      </c>
      <c r="W1588" s="104" t="s">
        <v>1720</v>
      </c>
      <c r="X1588" s="104" t="s">
        <v>1389</v>
      </c>
      <c r="Y1588" s="104" t="s">
        <v>1417</v>
      </c>
      <c r="Z1588" s="103">
        <v>1.41</v>
      </c>
      <c r="AA1588" s="353"/>
      <c r="AB1588" s="353"/>
      <c r="AC1588" s="103" t="s">
        <v>139</v>
      </c>
      <c r="AG1588" s="103" t="s">
        <v>1356</v>
      </c>
      <c r="AH1588" s="103" t="s">
        <v>577</v>
      </c>
      <c r="AI1588" s="138" t="s">
        <v>577</v>
      </c>
      <c r="AJ1588" s="103" t="s">
        <v>1536</v>
      </c>
      <c r="AK1588" s="145" t="s">
        <v>116</v>
      </c>
      <c r="AL1588" s="103" t="s">
        <v>1097</v>
      </c>
      <c r="AM1588" s="103" t="s">
        <v>1097</v>
      </c>
      <c r="AN1588" s="103" t="s">
        <v>177</v>
      </c>
      <c r="AT1588" s="103" t="s">
        <v>1111</v>
      </c>
      <c r="AU1588" s="103" t="s">
        <v>1112</v>
      </c>
      <c r="AV1588" s="103" t="s">
        <v>502</v>
      </c>
      <c r="AW1588" s="103" t="s">
        <v>1110</v>
      </c>
      <c r="AX1588" s="103">
        <v>3</v>
      </c>
      <c r="AZ1588" s="103" t="s">
        <v>141</v>
      </c>
      <c r="BE1588" s="103" t="s">
        <v>1114</v>
      </c>
      <c r="BP1588" s="428"/>
      <c r="BQ1588" s="428"/>
      <c r="BU1588" s="428"/>
      <c r="BV1588" s="428"/>
      <c r="BZ1588" s="428"/>
      <c r="CA1588" s="428"/>
      <c r="CE1588" s="581"/>
      <c r="CF1588" s="581"/>
      <c r="CG1588" s="581"/>
      <c r="CH1588" s="581"/>
      <c r="CJ1588" s="103">
        <f>(1000000/(100*100*0.3*1.41*1000))*9</f>
        <v>2.1276595744680851</v>
      </c>
      <c r="CK1588" s="103">
        <f>(1000000/(100*100*0.3*1.41*1000))*14.6</f>
        <v>3.4515366430260048</v>
      </c>
      <c r="CN1588" s="103" t="s">
        <v>1675</v>
      </c>
      <c r="JB1588" s="103" t="s">
        <v>1118</v>
      </c>
    </row>
    <row r="1589" spans="1:262" s="103" customFormat="1" x14ac:dyDescent="0.25">
      <c r="A1589" s="103">
        <v>73</v>
      </c>
      <c r="B1589" s="104" t="s">
        <v>4089</v>
      </c>
      <c r="C1589" s="103" t="s">
        <v>1106</v>
      </c>
      <c r="D1589" s="103" t="s">
        <v>1107</v>
      </c>
      <c r="E1589" s="103">
        <v>2003</v>
      </c>
      <c r="F1589" s="103">
        <v>1995</v>
      </c>
      <c r="G1589" s="103" t="s">
        <v>1108</v>
      </c>
      <c r="H1589" s="103" t="s">
        <v>1136</v>
      </c>
      <c r="I1589" s="24" t="s">
        <v>2816</v>
      </c>
      <c r="J1589" s="103">
        <v>50.29</v>
      </c>
      <c r="K1589" s="103">
        <v>-107.8</v>
      </c>
      <c r="L1589" s="103">
        <v>757</v>
      </c>
      <c r="R1589" s="104">
        <v>8</v>
      </c>
      <c r="S1589" s="104" t="s">
        <v>1931</v>
      </c>
      <c r="T1589" s="104" t="s">
        <v>1105</v>
      </c>
      <c r="U1589" s="104" t="s">
        <v>1113</v>
      </c>
      <c r="V1589" s="104" t="s">
        <v>1402</v>
      </c>
      <c r="W1589" s="104" t="s">
        <v>1720</v>
      </c>
      <c r="X1589" s="104" t="s">
        <v>1389</v>
      </c>
      <c r="Y1589" s="104" t="s">
        <v>1417</v>
      </c>
      <c r="Z1589" s="103">
        <v>1.41</v>
      </c>
      <c r="AA1589" s="353"/>
      <c r="AB1589" s="353"/>
      <c r="AC1589" s="103" t="s">
        <v>139</v>
      </c>
      <c r="AG1589" s="103" t="s">
        <v>1356</v>
      </c>
      <c r="AH1589" s="103" t="s">
        <v>577</v>
      </c>
      <c r="AI1589" s="138" t="s">
        <v>577</v>
      </c>
      <c r="AJ1589" s="103" t="s">
        <v>1536</v>
      </c>
      <c r="AK1589" s="145" t="s">
        <v>116</v>
      </c>
      <c r="AL1589" s="103" t="s">
        <v>1097</v>
      </c>
      <c r="AM1589" s="103" t="s">
        <v>1097</v>
      </c>
      <c r="AN1589" s="103" t="s">
        <v>177</v>
      </c>
      <c r="AT1589" s="103" t="s">
        <v>1111</v>
      </c>
      <c r="AU1589" s="103" t="s">
        <v>1112</v>
      </c>
      <c r="AV1589" s="103" t="s">
        <v>502</v>
      </c>
      <c r="AW1589" s="103" t="s">
        <v>1110</v>
      </c>
      <c r="AX1589" s="103">
        <v>3</v>
      </c>
      <c r="AZ1589" s="103" t="s">
        <v>141</v>
      </c>
      <c r="BE1589" s="103" t="s">
        <v>1114</v>
      </c>
      <c r="BP1589" s="428"/>
      <c r="BQ1589" s="428"/>
      <c r="BU1589" s="428"/>
      <c r="BV1589" s="428"/>
      <c r="BZ1589" s="428"/>
      <c r="CA1589" s="428"/>
      <c r="CE1589" s="581"/>
      <c r="CF1589" s="581"/>
      <c r="CG1589" s="581"/>
      <c r="CH1589" s="581"/>
      <c r="CJ1589" s="103">
        <f>(1000000/(100*100*0.3*1.41*1000))*16.9</f>
        <v>3.9952718676122929</v>
      </c>
      <c r="CK1589" s="103">
        <f>(1000000/(100*100*0.3*1.41*1000))*15.8</f>
        <v>3.7352245862884166</v>
      </c>
      <c r="CN1589" s="103" t="s">
        <v>1675</v>
      </c>
      <c r="JB1589" s="103" t="s">
        <v>1118</v>
      </c>
    </row>
    <row r="1590" spans="1:262" s="103" customFormat="1" x14ac:dyDescent="0.25">
      <c r="A1590" s="103">
        <v>73</v>
      </c>
      <c r="B1590" s="104" t="s">
        <v>4089</v>
      </c>
      <c r="C1590" s="103" t="s">
        <v>1106</v>
      </c>
      <c r="D1590" s="103" t="s">
        <v>1107</v>
      </c>
      <c r="E1590" s="103">
        <v>2003</v>
      </c>
      <c r="F1590" s="103">
        <v>1996</v>
      </c>
      <c r="G1590" s="103" t="s">
        <v>1108</v>
      </c>
      <c r="H1590" s="103" t="s">
        <v>1136</v>
      </c>
      <c r="I1590" s="24" t="s">
        <v>2816</v>
      </c>
      <c r="J1590" s="103">
        <v>50.29</v>
      </c>
      <c r="K1590" s="103">
        <v>-107.8</v>
      </c>
      <c r="L1590" s="103">
        <v>757</v>
      </c>
      <c r="R1590" s="104">
        <v>9</v>
      </c>
      <c r="S1590" s="104" t="s">
        <v>1931</v>
      </c>
      <c r="T1590" s="104" t="s">
        <v>1105</v>
      </c>
      <c r="U1590" s="104" t="s">
        <v>1113</v>
      </c>
      <c r="V1590" s="104" t="s">
        <v>1402</v>
      </c>
      <c r="W1590" s="104" t="s">
        <v>1720</v>
      </c>
      <c r="X1590" s="104" t="s">
        <v>1389</v>
      </c>
      <c r="Y1590" s="104" t="s">
        <v>1417</v>
      </c>
      <c r="Z1590" s="103">
        <v>1.41</v>
      </c>
      <c r="AA1590" s="353"/>
      <c r="AB1590" s="353"/>
      <c r="AC1590" s="103" t="s">
        <v>139</v>
      </c>
      <c r="AG1590" s="103" t="s">
        <v>1356</v>
      </c>
      <c r="AH1590" s="103" t="s">
        <v>577</v>
      </c>
      <c r="AI1590" s="138" t="s">
        <v>577</v>
      </c>
      <c r="AJ1590" s="103" t="s">
        <v>1536</v>
      </c>
      <c r="AK1590" s="145" t="s">
        <v>116</v>
      </c>
      <c r="AL1590" s="103" t="s">
        <v>1097</v>
      </c>
      <c r="AM1590" s="103" t="s">
        <v>1097</v>
      </c>
      <c r="AN1590" s="103" t="s">
        <v>177</v>
      </c>
      <c r="AT1590" s="103" t="s">
        <v>1111</v>
      </c>
      <c r="AU1590" s="103" t="s">
        <v>1112</v>
      </c>
      <c r="AV1590" s="103" t="s">
        <v>502</v>
      </c>
      <c r="AW1590" s="103" t="s">
        <v>1110</v>
      </c>
      <c r="AX1590" s="103">
        <v>3</v>
      </c>
      <c r="AZ1590" s="103" t="s">
        <v>141</v>
      </c>
      <c r="BE1590" s="103" t="s">
        <v>1114</v>
      </c>
      <c r="BP1590" s="428"/>
      <c r="BQ1590" s="428"/>
      <c r="BU1590" s="428"/>
      <c r="BV1590" s="428"/>
      <c r="BZ1590" s="428"/>
      <c r="CA1590" s="428"/>
      <c r="CE1590" s="581"/>
      <c r="CF1590" s="581"/>
      <c r="CG1590" s="581"/>
      <c r="CH1590" s="581"/>
      <c r="CJ1590" s="103">
        <f>(1000000/(100*100*0.3*1.41*1000))*16.6</f>
        <v>3.9243498817966906</v>
      </c>
      <c r="CK1590" s="103">
        <f>(1000000/(100*100*0.3*1.41*1000))*36.1</f>
        <v>8.5342789598108748</v>
      </c>
      <c r="CN1590" s="103" t="s">
        <v>1675</v>
      </c>
      <c r="JB1590" s="103" t="s">
        <v>1118</v>
      </c>
    </row>
    <row r="1591" spans="1:262" s="103" customFormat="1" x14ac:dyDescent="0.25">
      <c r="A1591" s="103">
        <v>73</v>
      </c>
      <c r="B1591" s="104" t="s">
        <v>4089</v>
      </c>
      <c r="C1591" s="103" t="s">
        <v>1106</v>
      </c>
      <c r="D1591" s="103" t="s">
        <v>1107</v>
      </c>
      <c r="E1591" s="103">
        <v>2003</v>
      </c>
      <c r="F1591" s="103">
        <v>1997</v>
      </c>
      <c r="G1591" s="103" t="s">
        <v>1108</v>
      </c>
      <c r="H1591" s="103" t="s">
        <v>1136</v>
      </c>
      <c r="I1591" s="24" t="s">
        <v>2816</v>
      </c>
      <c r="J1591" s="103">
        <v>50.29</v>
      </c>
      <c r="K1591" s="103">
        <v>-107.8</v>
      </c>
      <c r="L1591" s="103">
        <v>757</v>
      </c>
      <c r="R1591" s="104">
        <v>10</v>
      </c>
      <c r="S1591" s="104" t="s">
        <v>1931</v>
      </c>
      <c r="T1591" s="104" t="s">
        <v>1105</v>
      </c>
      <c r="U1591" s="104" t="s">
        <v>1113</v>
      </c>
      <c r="V1591" s="104" t="s">
        <v>1402</v>
      </c>
      <c r="W1591" s="104" t="s">
        <v>1720</v>
      </c>
      <c r="X1591" s="104" t="s">
        <v>1389</v>
      </c>
      <c r="Y1591" s="104" t="s">
        <v>1417</v>
      </c>
      <c r="Z1591" s="103">
        <v>1.41</v>
      </c>
      <c r="AA1591" s="353"/>
      <c r="AB1591" s="353"/>
      <c r="AC1591" s="103" t="s">
        <v>139</v>
      </c>
      <c r="AG1591" s="103" t="s">
        <v>1356</v>
      </c>
      <c r="AH1591" s="103" t="s">
        <v>577</v>
      </c>
      <c r="AI1591" s="138" t="s">
        <v>577</v>
      </c>
      <c r="AJ1591" s="103" t="s">
        <v>1536</v>
      </c>
      <c r="AK1591" s="145" t="s">
        <v>116</v>
      </c>
      <c r="AL1591" s="103" t="s">
        <v>1097</v>
      </c>
      <c r="AM1591" s="103" t="s">
        <v>1097</v>
      </c>
      <c r="AN1591" s="103" t="s">
        <v>177</v>
      </c>
      <c r="AT1591" s="103" t="s">
        <v>1111</v>
      </c>
      <c r="AU1591" s="103" t="s">
        <v>1112</v>
      </c>
      <c r="AV1591" s="103" t="s">
        <v>502</v>
      </c>
      <c r="AW1591" s="103" t="s">
        <v>1110</v>
      </c>
      <c r="AX1591" s="103">
        <v>3</v>
      </c>
      <c r="AZ1591" s="103" t="s">
        <v>141</v>
      </c>
      <c r="BE1591" s="103" t="s">
        <v>1114</v>
      </c>
      <c r="BP1591" s="428"/>
      <c r="BQ1591" s="428"/>
      <c r="BU1591" s="428"/>
      <c r="BV1591" s="428"/>
      <c r="BZ1591" s="428"/>
      <c r="CA1591" s="428"/>
      <c r="CE1591" s="581"/>
      <c r="CF1591" s="581"/>
      <c r="CG1591" s="581"/>
      <c r="CH1591" s="581"/>
      <c r="CJ1591" s="103">
        <f>(1000000/(100*100*0.3*1.41*1000))*26.4</f>
        <v>6.2411347517730498</v>
      </c>
      <c r="CK1591" s="103">
        <f>(1000000/(100*100*0.3*1.41*1000))*35.9</f>
        <v>8.4869976359338057</v>
      </c>
      <c r="CN1591" s="103" t="s">
        <v>1675</v>
      </c>
      <c r="JB1591" s="103" t="s">
        <v>1118</v>
      </c>
    </row>
    <row r="1592" spans="1:262" s="103" customFormat="1" x14ac:dyDescent="0.25">
      <c r="A1592" s="103">
        <v>73</v>
      </c>
      <c r="B1592" s="104" t="s">
        <v>4089</v>
      </c>
      <c r="C1592" s="103" t="s">
        <v>1106</v>
      </c>
      <c r="D1592" s="103" t="s">
        <v>1107</v>
      </c>
      <c r="E1592" s="103">
        <v>2003</v>
      </c>
      <c r="F1592" s="103">
        <v>1998</v>
      </c>
      <c r="G1592" s="103" t="s">
        <v>1108</v>
      </c>
      <c r="H1592" s="103" t="s">
        <v>1136</v>
      </c>
      <c r="I1592" s="24" t="s">
        <v>2816</v>
      </c>
      <c r="J1592" s="103">
        <v>50.29</v>
      </c>
      <c r="K1592" s="103">
        <v>-107.8</v>
      </c>
      <c r="L1592" s="103">
        <v>757</v>
      </c>
      <c r="R1592" s="104">
        <v>11</v>
      </c>
      <c r="S1592" s="104" t="s">
        <v>1931</v>
      </c>
      <c r="T1592" s="104" t="s">
        <v>1105</v>
      </c>
      <c r="U1592" s="104" t="s">
        <v>1113</v>
      </c>
      <c r="V1592" s="104" t="s">
        <v>1402</v>
      </c>
      <c r="W1592" s="104" t="s">
        <v>1720</v>
      </c>
      <c r="X1592" s="104" t="s">
        <v>1389</v>
      </c>
      <c r="Y1592" s="104" t="s">
        <v>1417</v>
      </c>
      <c r="Z1592" s="103">
        <v>1.41</v>
      </c>
      <c r="AA1592" s="353"/>
      <c r="AB1592" s="353"/>
      <c r="AC1592" s="103" t="s">
        <v>139</v>
      </c>
      <c r="AG1592" s="103" t="s">
        <v>1356</v>
      </c>
      <c r="AH1592" s="103" t="s">
        <v>577</v>
      </c>
      <c r="AI1592" s="138" t="s">
        <v>577</v>
      </c>
      <c r="AJ1592" s="103" t="s">
        <v>1536</v>
      </c>
      <c r="AK1592" s="145" t="s">
        <v>116</v>
      </c>
      <c r="AL1592" s="103" t="s">
        <v>1097</v>
      </c>
      <c r="AM1592" s="103" t="s">
        <v>1097</v>
      </c>
      <c r="AN1592" s="103" t="s">
        <v>177</v>
      </c>
      <c r="AT1592" s="103" t="s">
        <v>1111</v>
      </c>
      <c r="AU1592" s="103" t="s">
        <v>1112</v>
      </c>
      <c r="AV1592" s="103" t="s">
        <v>502</v>
      </c>
      <c r="AW1592" s="103" t="s">
        <v>1110</v>
      </c>
      <c r="AX1592" s="103">
        <v>3</v>
      </c>
      <c r="AZ1592" s="103" t="s">
        <v>141</v>
      </c>
      <c r="BE1592" s="103" t="s">
        <v>1114</v>
      </c>
      <c r="BP1592" s="428"/>
      <c r="BQ1592" s="428"/>
      <c r="BU1592" s="428"/>
      <c r="BV1592" s="428"/>
      <c r="BZ1592" s="428"/>
      <c r="CA1592" s="428"/>
      <c r="CE1592" s="581"/>
      <c r="CF1592" s="581"/>
      <c r="CG1592" s="581"/>
      <c r="CH1592" s="581"/>
      <c r="CJ1592" s="103">
        <f>(1000000/(100*100*0.3*1.41*1000))*18.2</f>
        <v>4.3026004728132383</v>
      </c>
      <c r="CK1592" s="103">
        <f>(1000000/(100*100*0.3*1.41*1000))*21.3</f>
        <v>5.0354609929078018</v>
      </c>
      <c r="CN1592" s="103" t="s">
        <v>1675</v>
      </c>
      <c r="JB1592" s="103" t="s">
        <v>1118</v>
      </c>
    </row>
    <row r="1593" spans="1:262" s="103" customFormat="1" x14ac:dyDescent="0.25">
      <c r="A1593" s="103">
        <v>73</v>
      </c>
      <c r="B1593" s="104" t="s">
        <v>4089</v>
      </c>
      <c r="C1593" s="103" t="s">
        <v>1106</v>
      </c>
      <c r="D1593" s="103" t="s">
        <v>1107</v>
      </c>
      <c r="E1593" s="103">
        <v>2003</v>
      </c>
      <c r="F1593" s="103">
        <v>1999</v>
      </c>
      <c r="G1593" s="103" t="s">
        <v>1108</v>
      </c>
      <c r="H1593" s="103" t="s">
        <v>1136</v>
      </c>
      <c r="I1593" s="24" t="s">
        <v>2816</v>
      </c>
      <c r="J1593" s="103">
        <v>50.29</v>
      </c>
      <c r="K1593" s="103">
        <v>-107.8</v>
      </c>
      <c r="L1593" s="103">
        <v>757</v>
      </c>
      <c r="R1593" s="104">
        <v>12</v>
      </c>
      <c r="S1593" s="104" t="s">
        <v>1931</v>
      </c>
      <c r="T1593" s="104" t="s">
        <v>1105</v>
      </c>
      <c r="U1593" s="104" t="s">
        <v>1113</v>
      </c>
      <c r="V1593" s="104" t="s">
        <v>1402</v>
      </c>
      <c r="W1593" s="104" t="s">
        <v>1720</v>
      </c>
      <c r="X1593" s="104" t="s">
        <v>1389</v>
      </c>
      <c r="Y1593" s="104" t="s">
        <v>1417</v>
      </c>
      <c r="Z1593" s="103">
        <v>1.41</v>
      </c>
      <c r="AA1593" s="353"/>
      <c r="AB1593" s="353"/>
      <c r="AC1593" s="103" t="s">
        <v>139</v>
      </c>
      <c r="AG1593" s="103" t="s">
        <v>1356</v>
      </c>
      <c r="AH1593" s="103" t="s">
        <v>577</v>
      </c>
      <c r="AI1593" s="138" t="s">
        <v>577</v>
      </c>
      <c r="AJ1593" s="103" t="s">
        <v>1536</v>
      </c>
      <c r="AK1593" s="145" t="s">
        <v>116</v>
      </c>
      <c r="AL1593" s="103" t="s">
        <v>1097</v>
      </c>
      <c r="AM1593" s="103" t="s">
        <v>1097</v>
      </c>
      <c r="AN1593" s="103" t="s">
        <v>177</v>
      </c>
      <c r="AT1593" s="103" t="s">
        <v>1111</v>
      </c>
      <c r="AU1593" s="103" t="s">
        <v>1112</v>
      </c>
      <c r="AV1593" s="103" t="s">
        <v>502</v>
      </c>
      <c r="AW1593" s="103" t="s">
        <v>1110</v>
      </c>
      <c r="AX1593" s="103">
        <v>3</v>
      </c>
      <c r="AZ1593" s="103" t="s">
        <v>141</v>
      </c>
      <c r="BE1593" s="103" t="s">
        <v>1114</v>
      </c>
      <c r="BP1593" s="428"/>
      <c r="BQ1593" s="428"/>
      <c r="BU1593" s="428"/>
      <c r="BV1593" s="428"/>
      <c r="BZ1593" s="428"/>
      <c r="CA1593" s="428"/>
      <c r="CE1593" s="581"/>
      <c r="CF1593" s="581"/>
      <c r="CG1593" s="581"/>
      <c r="CH1593" s="581"/>
      <c r="CJ1593" s="103">
        <f>(1000000/(100*100*0.3*1.41*1000))*28.1</f>
        <v>6.6430260047281333</v>
      </c>
      <c r="CK1593" s="103">
        <f>(1000000/(100*100*0.3*1.41*1000))*14.3</f>
        <v>3.3806146572104021</v>
      </c>
      <c r="CN1593" s="103" t="s">
        <v>1675</v>
      </c>
      <c r="JB1593" s="103" t="s">
        <v>1118</v>
      </c>
    </row>
    <row r="1594" spans="1:262" s="101" customFormat="1" x14ac:dyDescent="0.25">
      <c r="A1594" s="101">
        <v>73</v>
      </c>
      <c r="B1594" s="102" t="s">
        <v>4089</v>
      </c>
      <c r="C1594" s="101" t="s">
        <v>1106</v>
      </c>
      <c r="D1594" s="101" t="s">
        <v>1107</v>
      </c>
      <c r="E1594" s="101">
        <v>2003</v>
      </c>
      <c r="F1594" s="101">
        <v>1988</v>
      </c>
      <c r="G1594" s="101" t="s">
        <v>1108</v>
      </c>
      <c r="H1594" s="101" t="s">
        <v>1136</v>
      </c>
      <c r="I1594" s="24" t="s">
        <v>2816</v>
      </c>
      <c r="J1594" s="101">
        <v>50.29</v>
      </c>
      <c r="K1594" s="101">
        <v>-107.8</v>
      </c>
      <c r="L1594" s="101">
        <v>757</v>
      </c>
      <c r="R1594" s="102">
        <v>1</v>
      </c>
      <c r="S1594" s="102" t="s">
        <v>1931</v>
      </c>
      <c r="T1594" s="102" t="s">
        <v>1105</v>
      </c>
      <c r="U1594" s="102" t="s">
        <v>1113</v>
      </c>
      <c r="V1594" s="102" t="s">
        <v>1403</v>
      </c>
      <c r="W1594" s="102" t="s">
        <v>1720</v>
      </c>
      <c r="X1594" s="102" t="s">
        <v>1389</v>
      </c>
      <c r="Y1594" s="102" t="s">
        <v>1417</v>
      </c>
      <c r="Z1594" s="101">
        <v>1.61</v>
      </c>
      <c r="AA1594" s="352"/>
      <c r="AB1594" s="352"/>
      <c r="AC1594" s="101" t="s">
        <v>139</v>
      </c>
      <c r="AG1594" s="101" t="s">
        <v>1356</v>
      </c>
      <c r="AH1594" s="101" t="s">
        <v>577</v>
      </c>
      <c r="AI1594" s="138" t="s">
        <v>577</v>
      </c>
      <c r="AJ1594" s="101" t="s">
        <v>1536</v>
      </c>
      <c r="AK1594" s="145" t="s">
        <v>116</v>
      </c>
      <c r="AL1594" s="101" t="s">
        <v>1097</v>
      </c>
      <c r="AM1594" s="101" t="s">
        <v>1097</v>
      </c>
      <c r="AN1594" s="101" t="s">
        <v>177</v>
      </c>
      <c r="AT1594" s="101" t="s">
        <v>1111</v>
      </c>
      <c r="AU1594" s="101" t="s">
        <v>1112</v>
      </c>
      <c r="AV1594" s="101" t="s">
        <v>502</v>
      </c>
      <c r="AW1594" s="101" t="s">
        <v>1110</v>
      </c>
      <c r="AX1594" s="101">
        <v>3</v>
      </c>
      <c r="AZ1594" s="101" t="s">
        <v>141</v>
      </c>
      <c r="BE1594" s="101" t="s">
        <v>1114</v>
      </c>
      <c r="BP1594" s="427"/>
      <c r="BQ1594" s="427"/>
      <c r="BU1594" s="427"/>
      <c r="BV1594" s="427"/>
      <c r="BZ1594" s="427"/>
      <c r="CA1594" s="427"/>
      <c r="CE1594" s="580"/>
      <c r="CF1594" s="580"/>
      <c r="CG1594" s="580"/>
      <c r="CH1594" s="580"/>
      <c r="CJ1594" s="101">
        <f>(1000000/(100*100*0.3*1.61*1000))*31.7</f>
        <v>6.5631469979296071</v>
      </c>
      <c r="CK1594" s="101">
        <f>(1000000/(100*100*0.3*1.61*1000))*14.3</f>
        <v>2.9606625258799175</v>
      </c>
      <c r="CN1594" s="101" t="s">
        <v>1675</v>
      </c>
      <c r="JB1594" s="101" t="s">
        <v>1118</v>
      </c>
    </row>
    <row r="1595" spans="1:262" s="101" customFormat="1" x14ac:dyDescent="0.25">
      <c r="A1595" s="101">
        <v>73</v>
      </c>
      <c r="B1595" s="102" t="s">
        <v>4089</v>
      </c>
      <c r="C1595" s="101" t="s">
        <v>1106</v>
      </c>
      <c r="D1595" s="101" t="s">
        <v>1107</v>
      </c>
      <c r="E1595" s="101">
        <v>2003</v>
      </c>
      <c r="F1595" s="101">
        <v>1989</v>
      </c>
      <c r="G1595" s="101" t="s">
        <v>1108</v>
      </c>
      <c r="H1595" s="101" t="s">
        <v>1136</v>
      </c>
      <c r="I1595" s="24" t="s">
        <v>2816</v>
      </c>
      <c r="J1595" s="101">
        <v>50.29</v>
      </c>
      <c r="K1595" s="101">
        <v>-107.8</v>
      </c>
      <c r="L1595" s="101">
        <v>757</v>
      </c>
      <c r="R1595" s="102">
        <v>2</v>
      </c>
      <c r="S1595" s="102" t="s">
        <v>1931</v>
      </c>
      <c r="T1595" s="102" t="s">
        <v>1105</v>
      </c>
      <c r="U1595" s="102" t="s">
        <v>1113</v>
      </c>
      <c r="V1595" s="102" t="s">
        <v>1403</v>
      </c>
      <c r="W1595" s="102" t="s">
        <v>1720</v>
      </c>
      <c r="X1595" s="102" t="s">
        <v>1389</v>
      </c>
      <c r="Y1595" s="102" t="s">
        <v>1417</v>
      </c>
      <c r="Z1595" s="101">
        <v>1.61</v>
      </c>
      <c r="AA1595" s="352"/>
      <c r="AB1595" s="352"/>
      <c r="AC1595" s="101" t="s">
        <v>139</v>
      </c>
      <c r="AG1595" s="101" t="s">
        <v>1356</v>
      </c>
      <c r="AH1595" s="101" t="s">
        <v>577</v>
      </c>
      <c r="AI1595" s="138" t="s">
        <v>577</v>
      </c>
      <c r="AJ1595" s="101" t="s">
        <v>1536</v>
      </c>
      <c r="AK1595" s="145" t="s">
        <v>116</v>
      </c>
      <c r="AL1595" s="101" t="s">
        <v>1097</v>
      </c>
      <c r="AM1595" s="101" t="s">
        <v>1097</v>
      </c>
      <c r="AN1595" s="101" t="s">
        <v>177</v>
      </c>
      <c r="AT1595" s="101" t="s">
        <v>1111</v>
      </c>
      <c r="AU1595" s="101" t="s">
        <v>1112</v>
      </c>
      <c r="AV1595" s="101" t="s">
        <v>502</v>
      </c>
      <c r="AW1595" s="101" t="s">
        <v>1110</v>
      </c>
      <c r="AX1595" s="101">
        <v>3</v>
      </c>
      <c r="AZ1595" s="101" t="s">
        <v>141</v>
      </c>
      <c r="BE1595" s="101" t="s">
        <v>1114</v>
      </c>
      <c r="BP1595" s="427"/>
      <c r="BQ1595" s="427"/>
      <c r="BU1595" s="427"/>
      <c r="BV1595" s="427"/>
      <c r="BZ1595" s="427"/>
      <c r="CA1595" s="427"/>
      <c r="CE1595" s="580"/>
      <c r="CF1595" s="580"/>
      <c r="CG1595" s="580"/>
      <c r="CH1595" s="580"/>
      <c r="CJ1595" s="101">
        <f>(1000000/(100*100*0.3*1.61*1000))*22.1</f>
        <v>4.5755693581780541</v>
      </c>
      <c r="CK1595" s="101">
        <f>(1000000/(100*100*0.3*1.61*1000))*17.2</f>
        <v>3.5610766045548656</v>
      </c>
      <c r="CN1595" s="101" t="s">
        <v>1675</v>
      </c>
      <c r="JB1595" s="101" t="s">
        <v>1118</v>
      </c>
    </row>
    <row r="1596" spans="1:262" s="101" customFormat="1" x14ac:dyDescent="0.25">
      <c r="A1596" s="101">
        <v>73</v>
      </c>
      <c r="B1596" s="102" t="s">
        <v>4089</v>
      </c>
      <c r="C1596" s="101" t="s">
        <v>1106</v>
      </c>
      <c r="D1596" s="101" t="s">
        <v>1107</v>
      </c>
      <c r="E1596" s="101">
        <v>2003</v>
      </c>
      <c r="F1596" s="101">
        <v>1990</v>
      </c>
      <c r="G1596" s="101" t="s">
        <v>1108</v>
      </c>
      <c r="H1596" s="101" t="s">
        <v>1136</v>
      </c>
      <c r="I1596" s="24" t="s">
        <v>2816</v>
      </c>
      <c r="J1596" s="101">
        <v>50.29</v>
      </c>
      <c r="K1596" s="101">
        <v>-107.8</v>
      </c>
      <c r="L1596" s="101">
        <v>757</v>
      </c>
      <c r="R1596" s="102">
        <v>3</v>
      </c>
      <c r="S1596" s="102" t="s">
        <v>1931</v>
      </c>
      <c r="T1596" s="102" t="s">
        <v>1105</v>
      </c>
      <c r="U1596" s="102" t="s">
        <v>1113</v>
      </c>
      <c r="V1596" s="102" t="s">
        <v>1403</v>
      </c>
      <c r="W1596" s="102" t="s">
        <v>1720</v>
      </c>
      <c r="X1596" s="102" t="s">
        <v>1389</v>
      </c>
      <c r="Y1596" s="102" t="s">
        <v>1417</v>
      </c>
      <c r="Z1596" s="101">
        <v>1.61</v>
      </c>
      <c r="AA1596" s="352"/>
      <c r="AB1596" s="352"/>
      <c r="AC1596" s="101" t="s">
        <v>139</v>
      </c>
      <c r="AG1596" s="101" t="s">
        <v>1356</v>
      </c>
      <c r="AH1596" s="101" t="s">
        <v>577</v>
      </c>
      <c r="AI1596" s="138" t="s">
        <v>577</v>
      </c>
      <c r="AJ1596" s="101" t="s">
        <v>1536</v>
      </c>
      <c r="AK1596" s="145" t="s">
        <v>116</v>
      </c>
      <c r="AL1596" s="101" t="s">
        <v>1097</v>
      </c>
      <c r="AM1596" s="101" t="s">
        <v>1097</v>
      </c>
      <c r="AN1596" s="101" t="s">
        <v>177</v>
      </c>
      <c r="AT1596" s="101" t="s">
        <v>1111</v>
      </c>
      <c r="AU1596" s="101" t="s">
        <v>1112</v>
      </c>
      <c r="AV1596" s="101" t="s">
        <v>502</v>
      </c>
      <c r="AW1596" s="101" t="s">
        <v>1110</v>
      </c>
      <c r="AX1596" s="101">
        <v>3</v>
      </c>
      <c r="AZ1596" s="101" t="s">
        <v>141</v>
      </c>
      <c r="BE1596" s="101" t="s">
        <v>1114</v>
      </c>
      <c r="BP1596" s="427"/>
      <c r="BQ1596" s="427"/>
      <c r="BU1596" s="427"/>
      <c r="BV1596" s="427"/>
      <c r="BZ1596" s="427"/>
      <c r="CA1596" s="427"/>
      <c r="CE1596" s="580"/>
      <c r="CF1596" s="580"/>
      <c r="CG1596" s="580"/>
      <c r="CH1596" s="580"/>
      <c r="CJ1596" s="101">
        <f>(1000000/(100*100*0.3*1.61*1000))*37.6</f>
        <v>7.7846790890269162</v>
      </c>
      <c r="CK1596" s="101">
        <f>(1000000/(100*100*0.3*1.61*1000))*30.6</f>
        <v>6.3354037267080754</v>
      </c>
      <c r="CN1596" s="101" t="s">
        <v>1675</v>
      </c>
      <c r="JB1596" s="101" t="s">
        <v>1118</v>
      </c>
    </row>
    <row r="1597" spans="1:262" s="101" customFormat="1" x14ac:dyDescent="0.25">
      <c r="A1597" s="101">
        <v>73</v>
      </c>
      <c r="B1597" s="102" t="s">
        <v>4089</v>
      </c>
      <c r="C1597" s="101" t="s">
        <v>1106</v>
      </c>
      <c r="D1597" s="101" t="s">
        <v>1107</v>
      </c>
      <c r="E1597" s="101">
        <v>2003</v>
      </c>
      <c r="F1597" s="101">
        <v>1991</v>
      </c>
      <c r="G1597" s="101" t="s">
        <v>1108</v>
      </c>
      <c r="H1597" s="101" t="s">
        <v>1136</v>
      </c>
      <c r="I1597" s="24" t="s">
        <v>2816</v>
      </c>
      <c r="J1597" s="101">
        <v>50.29</v>
      </c>
      <c r="K1597" s="101">
        <v>-107.8</v>
      </c>
      <c r="L1597" s="101">
        <v>757</v>
      </c>
      <c r="R1597" s="102">
        <v>4</v>
      </c>
      <c r="S1597" s="102" t="s">
        <v>1931</v>
      </c>
      <c r="T1597" s="102" t="s">
        <v>1105</v>
      </c>
      <c r="U1597" s="102" t="s">
        <v>1113</v>
      </c>
      <c r="V1597" s="102" t="s">
        <v>1403</v>
      </c>
      <c r="W1597" s="102" t="s">
        <v>1720</v>
      </c>
      <c r="X1597" s="102" t="s">
        <v>1389</v>
      </c>
      <c r="Y1597" s="102" t="s">
        <v>1417</v>
      </c>
      <c r="Z1597" s="101">
        <v>1.61</v>
      </c>
      <c r="AA1597" s="352"/>
      <c r="AB1597" s="352"/>
      <c r="AC1597" s="101" t="s">
        <v>139</v>
      </c>
      <c r="AG1597" s="101" t="s">
        <v>1356</v>
      </c>
      <c r="AH1597" s="101" t="s">
        <v>577</v>
      </c>
      <c r="AI1597" s="138" t="s">
        <v>577</v>
      </c>
      <c r="AJ1597" s="101" t="s">
        <v>1536</v>
      </c>
      <c r="AK1597" s="145" t="s">
        <v>116</v>
      </c>
      <c r="AL1597" s="101" t="s">
        <v>1097</v>
      </c>
      <c r="AM1597" s="101" t="s">
        <v>1097</v>
      </c>
      <c r="AN1597" s="101" t="s">
        <v>177</v>
      </c>
      <c r="AT1597" s="101" t="s">
        <v>1111</v>
      </c>
      <c r="AU1597" s="101" t="s">
        <v>1112</v>
      </c>
      <c r="AV1597" s="101" t="s">
        <v>502</v>
      </c>
      <c r="AW1597" s="101" t="s">
        <v>1110</v>
      </c>
      <c r="AX1597" s="101">
        <v>3</v>
      </c>
      <c r="AZ1597" s="101" t="s">
        <v>141</v>
      </c>
      <c r="BE1597" s="101" t="s">
        <v>1114</v>
      </c>
      <c r="BP1597" s="427"/>
      <c r="BQ1597" s="427"/>
      <c r="BU1597" s="427"/>
      <c r="BV1597" s="427"/>
      <c r="BZ1597" s="427"/>
      <c r="CA1597" s="427"/>
      <c r="CE1597" s="580"/>
      <c r="CF1597" s="580"/>
      <c r="CG1597" s="580"/>
      <c r="CH1597" s="580"/>
      <c r="CJ1597" s="101">
        <f>(1000000/(100*100*0.3*1.61*1000))*33.6</f>
        <v>6.9565217391304355</v>
      </c>
      <c r="CK1597" s="101">
        <f>(1000000/(100*100*0.3*1.61*1000))*50</f>
        <v>10.351966873706004</v>
      </c>
      <c r="CN1597" s="101" t="s">
        <v>1675</v>
      </c>
      <c r="JB1597" s="101" t="s">
        <v>1118</v>
      </c>
    </row>
    <row r="1598" spans="1:262" s="101" customFormat="1" x14ac:dyDescent="0.25">
      <c r="A1598" s="101">
        <v>73</v>
      </c>
      <c r="B1598" s="102" t="s">
        <v>4089</v>
      </c>
      <c r="C1598" s="101" t="s">
        <v>1106</v>
      </c>
      <c r="D1598" s="101" t="s">
        <v>1107</v>
      </c>
      <c r="E1598" s="101">
        <v>2003</v>
      </c>
      <c r="F1598" s="101">
        <v>1992</v>
      </c>
      <c r="G1598" s="101" t="s">
        <v>1108</v>
      </c>
      <c r="H1598" s="101" t="s">
        <v>1136</v>
      </c>
      <c r="I1598" s="24" t="s">
        <v>2816</v>
      </c>
      <c r="J1598" s="101">
        <v>50.29</v>
      </c>
      <c r="K1598" s="101">
        <v>-107.8</v>
      </c>
      <c r="L1598" s="101">
        <v>757</v>
      </c>
      <c r="R1598" s="102">
        <v>5</v>
      </c>
      <c r="S1598" s="102" t="s">
        <v>1931</v>
      </c>
      <c r="T1598" s="102" t="s">
        <v>1105</v>
      </c>
      <c r="U1598" s="102" t="s">
        <v>1113</v>
      </c>
      <c r="V1598" s="102" t="s">
        <v>1403</v>
      </c>
      <c r="W1598" s="102" t="s">
        <v>1720</v>
      </c>
      <c r="X1598" s="102" t="s">
        <v>1389</v>
      </c>
      <c r="Y1598" s="102" t="s">
        <v>1417</v>
      </c>
      <c r="Z1598" s="101">
        <v>1.61</v>
      </c>
      <c r="AA1598" s="352"/>
      <c r="AB1598" s="352"/>
      <c r="AC1598" s="101" t="s">
        <v>139</v>
      </c>
      <c r="AG1598" s="101" t="s">
        <v>1356</v>
      </c>
      <c r="AH1598" s="101" t="s">
        <v>577</v>
      </c>
      <c r="AI1598" s="138" t="s">
        <v>577</v>
      </c>
      <c r="AJ1598" s="101" t="s">
        <v>1536</v>
      </c>
      <c r="AK1598" s="145" t="s">
        <v>116</v>
      </c>
      <c r="AL1598" s="101" t="s">
        <v>1097</v>
      </c>
      <c r="AM1598" s="101" t="s">
        <v>1097</v>
      </c>
      <c r="AN1598" s="101" t="s">
        <v>177</v>
      </c>
      <c r="AT1598" s="101" t="s">
        <v>1111</v>
      </c>
      <c r="AU1598" s="101" t="s">
        <v>1112</v>
      </c>
      <c r="AV1598" s="101" t="s">
        <v>502</v>
      </c>
      <c r="AW1598" s="101" t="s">
        <v>1110</v>
      </c>
      <c r="AX1598" s="101">
        <v>3</v>
      </c>
      <c r="AZ1598" s="101" t="s">
        <v>141</v>
      </c>
      <c r="BE1598" s="101" t="s">
        <v>1114</v>
      </c>
      <c r="BP1598" s="427"/>
      <c r="BQ1598" s="427"/>
      <c r="BU1598" s="427"/>
      <c r="BV1598" s="427"/>
      <c r="BZ1598" s="427"/>
      <c r="CA1598" s="427"/>
      <c r="CE1598" s="580"/>
      <c r="CF1598" s="580"/>
      <c r="CG1598" s="580"/>
      <c r="CH1598" s="580"/>
      <c r="CJ1598" s="101">
        <f>(1000000/(100*100*0.3*1.61*1000))*13.4</f>
        <v>2.7743271221532093</v>
      </c>
      <c r="CK1598" s="101">
        <f>(1000000/(100*100*0.3*1.61*1000))*17.6</f>
        <v>3.643892339544514</v>
      </c>
      <c r="CN1598" s="101" t="s">
        <v>1675</v>
      </c>
      <c r="JB1598" s="101" t="s">
        <v>1118</v>
      </c>
    </row>
    <row r="1599" spans="1:262" s="101" customFormat="1" x14ac:dyDescent="0.25">
      <c r="A1599" s="101">
        <v>73</v>
      </c>
      <c r="B1599" s="102" t="s">
        <v>4089</v>
      </c>
      <c r="C1599" s="101" t="s">
        <v>1106</v>
      </c>
      <c r="D1599" s="101" t="s">
        <v>1107</v>
      </c>
      <c r="E1599" s="101">
        <v>2003</v>
      </c>
      <c r="F1599" s="101">
        <v>1993</v>
      </c>
      <c r="G1599" s="101" t="s">
        <v>1108</v>
      </c>
      <c r="H1599" s="101" t="s">
        <v>1136</v>
      </c>
      <c r="I1599" s="24" t="s">
        <v>2816</v>
      </c>
      <c r="J1599" s="101">
        <v>50.29</v>
      </c>
      <c r="K1599" s="101">
        <v>-107.8</v>
      </c>
      <c r="L1599" s="101">
        <v>757</v>
      </c>
      <c r="R1599" s="102">
        <v>6</v>
      </c>
      <c r="S1599" s="102" t="s">
        <v>1931</v>
      </c>
      <c r="T1599" s="102" t="s">
        <v>1105</v>
      </c>
      <c r="U1599" s="102" t="s">
        <v>1113</v>
      </c>
      <c r="V1599" s="102" t="s">
        <v>1403</v>
      </c>
      <c r="W1599" s="102" t="s">
        <v>1720</v>
      </c>
      <c r="X1599" s="102" t="s">
        <v>1389</v>
      </c>
      <c r="Y1599" s="102" t="s">
        <v>1417</v>
      </c>
      <c r="Z1599" s="101">
        <v>1.61</v>
      </c>
      <c r="AA1599" s="352"/>
      <c r="AB1599" s="352"/>
      <c r="AC1599" s="101" t="s">
        <v>139</v>
      </c>
      <c r="AG1599" s="101" t="s">
        <v>1356</v>
      </c>
      <c r="AH1599" s="101" t="s">
        <v>577</v>
      </c>
      <c r="AI1599" s="138" t="s">
        <v>577</v>
      </c>
      <c r="AJ1599" s="101" t="s">
        <v>1536</v>
      </c>
      <c r="AK1599" s="145" t="s">
        <v>116</v>
      </c>
      <c r="AL1599" s="101" t="s">
        <v>1097</v>
      </c>
      <c r="AM1599" s="101" t="s">
        <v>1097</v>
      </c>
      <c r="AN1599" s="101" t="s">
        <v>177</v>
      </c>
      <c r="AT1599" s="101" t="s">
        <v>1111</v>
      </c>
      <c r="AU1599" s="101" t="s">
        <v>1112</v>
      </c>
      <c r="AV1599" s="101" t="s">
        <v>502</v>
      </c>
      <c r="AW1599" s="101" t="s">
        <v>1110</v>
      </c>
      <c r="AX1599" s="101">
        <v>3</v>
      </c>
      <c r="AZ1599" s="101" t="s">
        <v>141</v>
      </c>
      <c r="BE1599" s="101" t="s">
        <v>1114</v>
      </c>
      <c r="BP1599" s="427"/>
      <c r="BQ1599" s="427"/>
      <c r="BU1599" s="427"/>
      <c r="BV1599" s="427"/>
      <c r="BZ1599" s="427"/>
      <c r="CA1599" s="427"/>
      <c r="CE1599" s="580"/>
      <c r="CF1599" s="580"/>
      <c r="CG1599" s="580"/>
      <c r="CH1599" s="580"/>
      <c r="CJ1599" s="101">
        <f>(1000000/(100*100*0.3*1.61*1000))*15.2</f>
        <v>3.1469979296066253</v>
      </c>
      <c r="CK1599" s="101">
        <f>(1000000/(100*100*0.3*1.61*1000))*11.3</f>
        <v>2.3395445134575574</v>
      </c>
      <c r="CN1599" s="101" t="s">
        <v>1675</v>
      </c>
      <c r="JB1599" s="101" t="s">
        <v>1118</v>
      </c>
    </row>
    <row r="1600" spans="1:262" s="101" customFormat="1" x14ac:dyDescent="0.25">
      <c r="A1600" s="101">
        <v>73</v>
      </c>
      <c r="B1600" s="102" t="s">
        <v>4089</v>
      </c>
      <c r="C1600" s="101" t="s">
        <v>1106</v>
      </c>
      <c r="D1600" s="101" t="s">
        <v>1107</v>
      </c>
      <c r="E1600" s="101">
        <v>2003</v>
      </c>
      <c r="F1600" s="101">
        <v>1994</v>
      </c>
      <c r="G1600" s="101" t="s">
        <v>1108</v>
      </c>
      <c r="H1600" s="101" t="s">
        <v>1136</v>
      </c>
      <c r="I1600" s="24" t="s">
        <v>2816</v>
      </c>
      <c r="J1600" s="101">
        <v>50.29</v>
      </c>
      <c r="K1600" s="101">
        <v>-107.8</v>
      </c>
      <c r="L1600" s="101">
        <v>757</v>
      </c>
      <c r="R1600" s="102">
        <v>7</v>
      </c>
      <c r="S1600" s="102" t="s">
        <v>1931</v>
      </c>
      <c r="T1600" s="102" t="s">
        <v>1105</v>
      </c>
      <c r="U1600" s="102" t="s">
        <v>1113</v>
      </c>
      <c r="V1600" s="102" t="s">
        <v>1403</v>
      </c>
      <c r="W1600" s="102" t="s">
        <v>1720</v>
      </c>
      <c r="X1600" s="102" t="s">
        <v>1389</v>
      </c>
      <c r="Y1600" s="102" t="s">
        <v>1417</v>
      </c>
      <c r="Z1600" s="101">
        <v>1.61</v>
      </c>
      <c r="AA1600" s="352"/>
      <c r="AB1600" s="352"/>
      <c r="AC1600" s="101" t="s">
        <v>139</v>
      </c>
      <c r="AG1600" s="101" t="s">
        <v>1356</v>
      </c>
      <c r="AH1600" s="101" t="s">
        <v>577</v>
      </c>
      <c r="AI1600" s="138" t="s">
        <v>577</v>
      </c>
      <c r="AJ1600" s="101" t="s">
        <v>1536</v>
      </c>
      <c r="AK1600" s="145" t="s">
        <v>116</v>
      </c>
      <c r="AL1600" s="101" t="s">
        <v>1097</v>
      </c>
      <c r="AM1600" s="101" t="s">
        <v>1097</v>
      </c>
      <c r="AN1600" s="101" t="s">
        <v>177</v>
      </c>
      <c r="AT1600" s="101" t="s">
        <v>1111</v>
      </c>
      <c r="AU1600" s="101" t="s">
        <v>1112</v>
      </c>
      <c r="AV1600" s="101" t="s">
        <v>502</v>
      </c>
      <c r="AW1600" s="101" t="s">
        <v>1110</v>
      </c>
      <c r="AX1600" s="101">
        <v>3</v>
      </c>
      <c r="AZ1600" s="101" t="s">
        <v>141</v>
      </c>
      <c r="BE1600" s="101" t="s">
        <v>1114</v>
      </c>
      <c r="BP1600" s="427"/>
      <c r="BQ1600" s="427"/>
      <c r="BU1600" s="427"/>
      <c r="BV1600" s="427"/>
      <c r="BZ1600" s="427"/>
      <c r="CA1600" s="427"/>
      <c r="CE1600" s="580"/>
      <c r="CF1600" s="580"/>
      <c r="CG1600" s="580"/>
      <c r="CH1600" s="580"/>
      <c r="CJ1600" s="101">
        <f>(1000000/(100*100*0.3*1.61*1000))*7.7</f>
        <v>1.5942028985507248</v>
      </c>
      <c r="CK1600" s="101">
        <f>(1000000/(100*100*0.3*1.61*1000))*10.7</f>
        <v>2.2153209109730847</v>
      </c>
      <c r="CN1600" s="101" t="s">
        <v>1675</v>
      </c>
      <c r="JB1600" s="101" t="s">
        <v>1118</v>
      </c>
    </row>
    <row r="1601" spans="1:262" s="101" customFormat="1" x14ac:dyDescent="0.25">
      <c r="A1601" s="101">
        <v>73</v>
      </c>
      <c r="B1601" s="102" t="s">
        <v>4089</v>
      </c>
      <c r="C1601" s="101" t="s">
        <v>1106</v>
      </c>
      <c r="D1601" s="101" t="s">
        <v>1107</v>
      </c>
      <c r="E1601" s="101">
        <v>2003</v>
      </c>
      <c r="F1601" s="101">
        <v>1995</v>
      </c>
      <c r="G1601" s="101" t="s">
        <v>1108</v>
      </c>
      <c r="H1601" s="101" t="s">
        <v>1136</v>
      </c>
      <c r="I1601" s="24" t="s">
        <v>2816</v>
      </c>
      <c r="J1601" s="101">
        <v>50.29</v>
      </c>
      <c r="K1601" s="101">
        <v>-107.8</v>
      </c>
      <c r="L1601" s="101">
        <v>757</v>
      </c>
      <c r="R1601" s="102">
        <v>8</v>
      </c>
      <c r="S1601" s="102" t="s">
        <v>1931</v>
      </c>
      <c r="T1601" s="102" t="s">
        <v>1105</v>
      </c>
      <c r="U1601" s="102" t="s">
        <v>1113</v>
      </c>
      <c r="V1601" s="102" t="s">
        <v>1403</v>
      </c>
      <c r="W1601" s="102" t="s">
        <v>1720</v>
      </c>
      <c r="X1601" s="102" t="s">
        <v>1389</v>
      </c>
      <c r="Y1601" s="102" t="s">
        <v>1417</v>
      </c>
      <c r="Z1601" s="101">
        <v>1.61</v>
      </c>
      <c r="AA1601" s="352"/>
      <c r="AB1601" s="352"/>
      <c r="AC1601" s="101" t="s">
        <v>139</v>
      </c>
      <c r="AG1601" s="101" t="s">
        <v>1356</v>
      </c>
      <c r="AH1601" s="101" t="s">
        <v>577</v>
      </c>
      <c r="AI1601" s="138" t="s">
        <v>577</v>
      </c>
      <c r="AJ1601" s="101" t="s">
        <v>1536</v>
      </c>
      <c r="AK1601" s="145" t="s">
        <v>116</v>
      </c>
      <c r="AL1601" s="101" t="s">
        <v>1097</v>
      </c>
      <c r="AM1601" s="101" t="s">
        <v>1097</v>
      </c>
      <c r="AN1601" s="101" t="s">
        <v>177</v>
      </c>
      <c r="AT1601" s="101" t="s">
        <v>1111</v>
      </c>
      <c r="AU1601" s="101" t="s">
        <v>1112</v>
      </c>
      <c r="AV1601" s="101" t="s">
        <v>502</v>
      </c>
      <c r="AW1601" s="101" t="s">
        <v>1110</v>
      </c>
      <c r="AX1601" s="101">
        <v>3</v>
      </c>
      <c r="AZ1601" s="101" t="s">
        <v>141</v>
      </c>
      <c r="BE1601" s="101" t="s">
        <v>1114</v>
      </c>
      <c r="BP1601" s="427"/>
      <c r="BQ1601" s="427"/>
      <c r="BU1601" s="427"/>
      <c r="BV1601" s="427"/>
      <c r="BZ1601" s="427"/>
      <c r="CA1601" s="427"/>
      <c r="CE1601" s="580"/>
      <c r="CF1601" s="580"/>
      <c r="CG1601" s="580"/>
      <c r="CH1601" s="580"/>
      <c r="CJ1601" s="101">
        <f>(1000000/(100*100*0.3*1.61*1000))*7.3</f>
        <v>1.5113871635610767</v>
      </c>
      <c r="CK1601" s="101">
        <f>(1000000/(100*100*0.3*1.61*1000))*8.8</f>
        <v>1.821946169772257</v>
      </c>
      <c r="CN1601" s="101" t="s">
        <v>1675</v>
      </c>
      <c r="JB1601" s="101" t="s">
        <v>1118</v>
      </c>
    </row>
    <row r="1602" spans="1:262" s="101" customFormat="1" x14ac:dyDescent="0.25">
      <c r="A1602" s="101">
        <v>73</v>
      </c>
      <c r="B1602" s="102" t="s">
        <v>4089</v>
      </c>
      <c r="C1602" s="101" t="s">
        <v>1106</v>
      </c>
      <c r="D1602" s="101" t="s">
        <v>1107</v>
      </c>
      <c r="E1602" s="101">
        <v>2003</v>
      </c>
      <c r="F1602" s="101">
        <v>1996</v>
      </c>
      <c r="G1602" s="101" t="s">
        <v>1108</v>
      </c>
      <c r="H1602" s="101" t="s">
        <v>1136</v>
      </c>
      <c r="I1602" s="24" t="s">
        <v>2816</v>
      </c>
      <c r="J1602" s="101">
        <v>50.29</v>
      </c>
      <c r="K1602" s="101">
        <v>-107.8</v>
      </c>
      <c r="L1602" s="101">
        <v>757</v>
      </c>
      <c r="R1602" s="102">
        <v>9</v>
      </c>
      <c r="S1602" s="102" t="s">
        <v>1931</v>
      </c>
      <c r="T1602" s="102" t="s">
        <v>1105</v>
      </c>
      <c r="U1602" s="102" t="s">
        <v>1113</v>
      </c>
      <c r="V1602" s="102" t="s">
        <v>1403</v>
      </c>
      <c r="W1602" s="102" t="s">
        <v>1720</v>
      </c>
      <c r="X1602" s="102" t="s">
        <v>1389</v>
      </c>
      <c r="Y1602" s="102" t="s">
        <v>1417</v>
      </c>
      <c r="Z1602" s="101">
        <v>1.61</v>
      </c>
      <c r="AA1602" s="352"/>
      <c r="AB1602" s="352"/>
      <c r="AC1602" s="101" t="s">
        <v>139</v>
      </c>
      <c r="AG1602" s="101" t="s">
        <v>1356</v>
      </c>
      <c r="AH1602" s="101" t="s">
        <v>577</v>
      </c>
      <c r="AI1602" s="138" t="s">
        <v>577</v>
      </c>
      <c r="AJ1602" s="101" t="s">
        <v>1536</v>
      </c>
      <c r="AK1602" s="145" t="s">
        <v>116</v>
      </c>
      <c r="AL1602" s="101" t="s">
        <v>1097</v>
      </c>
      <c r="AM1602" s="101" t="s">
        <v>1097</v>
      </c>
      <c r="AN1602" s="101" t="s">
        <v>177</v>
      </c>
      <c r="AT1602" s="101" t="s">
        <v>1111</v>
      </c>
      <c r="AU1602" s="101" t="s">
        <v>1112</v>
      </c>
      <c r="AV1602" s="101" t="s">
        <v>502</v>
      </c>
      <c r="AW1602" s="101" t="s">
        <v>1110</v>
      </c>
      <c r="AX1602" s="101">
        <v>3</v>
      </c>
      <c r="AZ1602" s="101" t="s">
        <v>141</v>
      </c>
      <c r="BE1602" s="101" t="s">
        <v>1114</v>
      </c>
      <c r="BP1602" s="427"/>
      <c r="BQ1602" s="427"/>
      <c r="BU1602" s="427"/>
      <c r="BV1602" s="427"/>
      <c r="BZ1602" s="427"/>
      <c r="CA1602" s="427"/>
      <c r="CE1602" s="580"/>
      <c r="CF1602" s="580"/>
      <c r="CG1602" s="580"/>
      <c r="CH1602" s="580"/>
      <c r="CJ1602" s="101">
        <f>(1000000/(100*100*0.3*1.61*1000))*11.3</f>
        <v>2.3395445134575574</v>
      </c>
      <c r="CK1602" s="101">
        <f>(1000000/(100*100*0.3*1.61*1000))*11.4</f>
        <v>2.360248447204969</v>
      </c>
      <c r="CN1602" s="101" t="s">
        <v>1675</v>
      </c>
      <c r="JB1602" s="101" t="s">
        <v>1118</v>
      </c>
    </row>
    <row r="1603" spans="1:262" s="101" customFormat="1" x14ac:dyDescent="0.25">
      <c r="A1603" s="101">
        <v>73</v>
      </c>
      <c r="B1603" s="102" t="s">
        <v>4089</v>
      </c>
      <c r="C1603" s="101" t="s">
        <v>1106</v>
      </c>
      <c r="D1603" s="101" t="s">
        <v>1107</v>
      </c>
      <c r="E1603" s="101">
        <v>2003</v>
      </c>
      <c r="F1603" s="101">
        <v>1997</v>
      </c>
      <c r="G1603" s="101" t="s">
        <v>1108</v>
      </c>
      <c r="H1603" s="101" t="s">
        <v>1136</v>
      </c>
      <c r="I1603" s="24" t="s">
        <v>2816</v>
      </c>
      <c r="J1603" s="101">
        <v>50.29</v>
      </c>
      <c r="K1603" s="101">
        <v>-107.8</v>
      </c>
      <c r="L1603" s="101">
        <v>757</v>
      </c>
      <c r="R1603" s="102">
        <v>10</v>
      </c>
      <c r="S1603" s="102" t="s">
        <v>1931</v>
      </c>
      <c r="T1603" s="102" t="s">
        <v>1105</v>
      </c>
      <c r="U1603" s="102" t="s">
        <v>1113</v>
      </c>
      <c r="V1603" s="102" t="s">
        <v>1403</v>
      </c>
      <c r="W1603" s="102" t="s">
        <v>1720</v>
      </c>
      <c r="X1603" s="102" t="s">
        <v>1389</v>
      </c>
      <c r="Y1603" s="102" t="s">
        <v>1417</v>
      </c>
      <c r="Z1603" s="101">
        <v>1.61</v>
      </c>
      <c r="AA1603" s="352"/>
      <c r="AB1603" s="352"/>
      <c r="AC1603" s="101" t="s">
        <v>139</v>
      </c>
      <c r="AG1603" s="101" t="s">
        <v>1356</v>
      </c>
      <c r="AH1603" s="101" t="s">
        <v>577</v>
      </c>
      <c r="AI1603" s="138" t="s">
        <v>577</v>
      </c>
      <c r="AJ1603" s="101" t="s">
        <v>1536</v>
      </c>
      <c r="AK1603" s="145" t="s">
        <v>116</v>
      </c>
      <c r="AL1603" s="101" t="s">
        <v>1097</v>
      </c>
      <c r="AM1603" s="101" t="s">
        <v>1097</v>
      </c>
      <c r="AN1603" s="101" t="s">
        <v>177</v>
      </c>
      <c r="AT1603" s="101" t="s">
        <v>1111</v>
      </c>
      <c r="AU1603" s="101" t="s">
        <v>1112</v>
      </c>
      <c r="AV1603" s="101" t="s">
        <v>502</v>
      </c>
      <c r="AW1603" s="101" t="s">
        <v>1110</v>
      </c>
      <c r="AX1603" s="101">
        <v>3</v>
      </c>
      <c r="AZ1603" s="101" t="s">
        <v>141</v>
      </c>
      <c r="BE1603" s="101" t="s">
        <v>1114</v>
      </c>
      <c r="BP1603" s="427"/>
      <c r="BQ1603" s="427"/>
      <c r="BU1603" s="427"/>
      <c r="BV1603" s="427"/>
      <c r="BZ1603" s="427"/>
      <c r="CA1603" s="427"/>
      <c r="CE1603" s="580"/>
      <c r="CF1603" s="580"/>
      <c r="CG1603" s="580"/>
      <c r="CH1603" s="580"/>
      <c r="CJ1603" s="101">
        <f>(1000000/(100*100*0.3*1.61*1000))*13.9</f>
        <v>2.8778467908902692</v>
      </c>
      <c r="CK1603" s="101">
        <f>(1000000/(100*100*0.3*1.61*1000))*10.4</f>
        <v>2.1532091097308492</v>
      </c>
      <c r="CN1603" s="101" t="s">
        <v>1675</v>
      </c>
      <c r="JB1603" s="101" t="s">
        <v>1118</v>
      </c>
    </row>
    <row r="1604" spans="1:262" s="101" customFormat="1" x14ac:dyDescent="0.25">
      <c r="A1604" s="101">
        <v>73</v>
      </c>
      <c r="B1604" s="102" t="s">
        <v>4089</v>
      </c>
      <c r="C1604" s="101" t="s">
        <v>1106</v>
      </c>
      <c r="D1604" s="101" t="s">
        <v>1107</v>
      </c>
      <c r="E1604" s="101">
        <v>2003</v>
      </c>
      <c r="F1604" s="101">
        <v>1998</v>
      </c>
      <c r="G1604" s="101" t="s">
        <v>1108</v>
      </c>
      <c r="H1604" s="101" t="s">
        <v>1136</v>
      </c>
      <c r="I1604" s="24" t="s">
        <v>2816</v>
      </c>
      <c r="J1604" s="101">
        <v>50.29</v>
      </c>
      <c r="K1604" s="101">
        <v>-107.8</v>
      </c>
      <c r="L1604" s="101">
        <v>757</v>
      </c>
      <c r="R1604" s="102">
        <v>11</v>
      </c>
      <c r="S1604" s="102" t="s">
        <v>1931</v>
      </c>
      <c r="T1604" s="102" t="s">
        <v>1105</v>
      </c>
      <c r="U1604" s="102" t="s">
        <v>1113</v>
      </c>
      <c r="V1604" s="102" t="s">
        <v>1403</v>
      </c>
      <c r="W1604" s="102" t="s">
        <v>1720</v>
      </c>
      <c r="X1604" s="102" t="s">
        <v>1389</v>
      </c>
      <c r="Y1604" s="102" t="s">
        <v>1417</v>
      </c>
      <c r="Z1604" s="101">
        <v>1.61</v>
      </c>
      <c r="AA1604" s="352"/>
      <c r="AB1604" s="352"/>
      <c r="AC1604" s="101" t="s">
        <v>139</v>
      </c>
      <c r="AG1604" s="101" t="s">
        <v>1356</v>
      </c>
      <c r="AH1604" s="101" t="s">
        <v>577</v>
      </c>
      <c r="AI1604" s="138" t="s">
        <v>577</v>
      </c>
      <c r="AJ1604" s="101" t="s">
        <v>1536</v>
      </c>
      <c r="AK1604" s="145" t="s">
        <v>116</v>
      </c>
      <c r="AL1604" s="101" t="s">
        <v>1097</v>
      </c>
      <c r="AM1604" s="101" t="s">
        <v>1097</v>
      </c>
      <c r="AN1604" s="101" t="s">
        <v>177</v>
      </c>
      <c r="AT1604" s="101" t="s">
        <v>1111</v>
      </c>
      <c r="AU1604" s="101" t="s">
        <v>1112</v>
      </c>
      <c r="AV1604" s="101" t="s">
        <v>502</v>
      </c>
      <c r="AW1604" s="101" t="s">
        <v>1110</v>
      </c>
      <c r="AX1604" s="101">
        <v>3</v>
      </c>
      <c r="AZ1604" s="101" t="s">
        <v>141</v>
      </c>
      <c r="BE1604" s="101" t="s">
        <v>1114</v>
      </c>
      <c r="BP1604" s="427"/>
      <c r="BQ1604" s="427"/>
      <c r="BU1604" s="427"/>
      <c r="BV1604" s="427"/>
      <c r="BZ1604" s="427"/>
      <c r="CA1604" s="427"/>
      <c r="CE1604" s="580"/>
      <c r="CF1604" s="580"/>
      <c r="CG1604" s="580"/>
      <c r="CH1604" s="580"/>
      <c r="CJ1604" s="101">
        <f>(1000000/(100*100*0.3*1.61*1000))*15.4</f>
        <v>3.1884057971014497</v>
      </c>
      <c r="CK1604" s="101">
        <f>(1000000/(100*100*0.3*1.61*1000))*11.3</f>
        <v>2.3395445134575574</v>
      </c>
      <c r="CN1604" s="101" t="s">
        <v>1675</v>
      </c>
      <c r="JB1604" s="101" t="s">
        <v>1118</v>
      </c>
    </row>
    <row r="1605" spans="1:262" s="101" customFormat="1" x14ac:dyDescent="0.25">
      <c r="A1605" s="101">
        <v>73</v>
      </c>
      <c r="B1605" s="102" t="s">
        <v>4089</v>
      </c>
      <c r="C1605" s="101" t="s">
        <v>1106</v>
      </c>
      <c r="D1605" s="101" t="s">
        <v>1107</v>
      </c>
      <c r="E1605" s="101">
        <v>2003</v>
      </c>
      <c r="F1605" s="101">
        <v>1999</v>
      </c>
      <c r="G1605" s="101" t="s">
        <v>1108</v>
      </c>
      <c r="H1605" s="101" t="s">
        <v>1136</v>
      </c>
      <c r="I1605" s="24" t="s">
        <v>2816</v>
      </c>
      <c r="J1605" s="101">
        <v>50.29</v>
      </c>
      <c r="K1605" s="101">
        <v>-107.8</v>
      </c>
      <c r="L1605" s="101">
        <v>757</v>
      </c>
      <c r="R1605" s="102">
        <v>12</v>
      </c>
      <c r="S1605" s="102" t="s">
        <v>1931</v>
      </c>
      <c r="T1605" s="102" t="s">
        <v>1105</v>
      </c>
      <c r="U1605" s="102" t="s">
        <v>1113</v>
      </c>
      <c r="V1605" s="102" t="s">
        <v>1403</v>
      </c>
      <c r="W1605" s="102" t="s">
        <v>1720</v>
      </c>
      <c r="X1605" s="102" t="s">
        <v>1389</v>
      </c>
      <c r="Y1605" s="102" t="s">
        <v>1417</v>
      </c>
      <c r="Z1605" s="101">
        <v>1.61</v>
      </c>
      <c r="AA1605" s="352"/>
      <c r="AB1605" s="352"/>
      <c r="AC1605" s="101" t="s">
        <v>139</v>
      </c>
      <c r="AG1605" s="101" t="s">
        <v>1356</v>
      </c>
      <c r="AH1605" s="101" t="s">
        <v>577</v>
      </c>
      <c r="AI1605" s="138" t="s">
        <v>577</v>
      </c>
      <c r="AJ1605" s="101" t="s">
        <v>1536</v>
      </c>
      <c r="AK1605" s="145" t="s">
        <v>116</v>
      </c>
      <c r="AL1605" s="101" t="s">
        <v>1097</v>
      </c>
      <c r="AM1605" s="101" t="s">
        <v>1097</v>
      </c>
      <c r="AN1605" s="101" t="s">
        <v>177</v>
      </c>
      <c r="AT1605" s="101" t="s">
        <v>1111</v>
      </c>
      <c r="AU1605" s="101" t="s">
        <v>1112</v>
      </c>
      <c r="AV1605" s="101" t="s">
        <v>502</v>
      </c>
      <c r="AW1605" s="101" t="s">
        <v>1110</v>
      </c>
      <c r="AX1605" s="101">
        <v>3</v>
      </c>
      <c r="AZ1605" s="101" t="s">
        <v>141</v>
      </c>
      <c r="BE1605" s="101" t="s">
        <v>1114</v>
      </c>
      <c r="BP1605" s="427"/>
      <c r="BQ1605" s="427"/>
      <c r="BU1605" s="427"/>
      <c r="BV1605" s="427"/>
      <c r="BZ1605" s="427"/>
      <c r="CA1605" s="427"/>
      <c r="CE1605" s="580"/>
      <c r="CF1605" s="580"/>
      <c r="CG1605" s="580"/>
      <c r="CH1605" s="580"/>
      <c r="CJ1605" s="101">
        <f>(1000000/(100*100*0.3*1.61*1000))*11.3</f>
        <v>2.3395445134575574</v>
      </c>
      <c r="CK1605" s="101">
        <f>(1000000/(100*100*0.3*1.61*1000))*12</f>
        <v>2.4844720496894412</v>
      </c>
      <c r="CN1605" s="101" t="s">
        <v>1675</v>
      </c>
      <c r="JB1605" s="101" t="s">
        <v>1118</v>
      </c>
    </row>
    <row r="1606" spans="1:262" s="103" customFormat="1" x14ac:dyDescent="0.25">
      <c r="A1606" s="103">
        <v>73</v>
      </c>
      <c r="B1606" s="104" t="s">
        <v>4089</v>
      </c>
      <c r="C1606" s="103" t="s">
        <v>1106</v>
      </c>
      <c r="D1606" s="103" t="s">
        <v>1107</v>
      </c>
      <c r="E1606" s="103">
        <v>2003</v>
      </c>
      <c r="F1606" s="103">
        <v>1988</v>
      </c>
      <c r="G1606" s="103" t="s">
        <v>1108</v>
      </c>
      <c r="H1606" s="103" t="s">
        <v>1136</v>
      </c>
      <c r="I1606" s="24" t="s">
        <v>2816</v>
      </c>
      <c r="J1606" s="103">
        <v>50.29</v>
      </c>
      <c r="K1606" s="103">
        <v>-107.8</v>
      </c>
      <c r="L1606" s="103">
        <v>757</v>
      </c>
      <c r="R1606" s="104">
        <v>1</v>
      </c>
      <c r="S1606" s="104" t="s">
        <v>1931</v>
      </c>
      <c r="T1606" s="104" t="s">
        <v>1105</v>
      </c>
      <c r="U1606" s="104" t="s">
        <v>1113</v>
      </c>
      <c r="V1606" s="104" t="s">
        <v>1415</v>
      </c>
      <c r="W1606" s="104" t="s">
        <v>1720</v>
      </c>
      <c r="X1606" s="104" t="s">
        <v>1389</v>
      </c>
      <c r="Y1606" s="104" t="s">
        <v>1417</v>
      </c>
      <c r="Z1606" s="103">
        <v>1.69</v>
      </c>
      <c r="AA1606" s="353"/>
      <c r="AB1606" s="353"/>
      <c r="AC1606" s="103" t="s">
        <v>139</v>
      </c>
      <c r="AG1606" s="103" t="s">
        <v>1356</v>
      </c>
      <c r="AH1606" s="103" t="s">
        <v>577</v>
      </c>
      <c r="AI1606" s="138" t="s">
        <v>577</v>
      </c>
      <c r="AJ1606" s="103" t="s">
        <v>1536</v>
      </c>
      <c r="AK1606" s="145" t="s">
        <v>116</v>
      </c>
      <c r="AL1606" s="103" t="s">
        <v>1097</v>
      </c>
      <c r="AM1606" s="103" t="s">
        <v>1097</v>
      </c>
      <c r="AN1606" s="103" t="s">
        <v>177</v>
      </c>
      <c r="AT1606" s="103" t="s">
        <v>1111</v>
      </c>
      <c r="AU1606" s="103" t="s">
        <v>1112</v>
      </c>
      <c r="AV1606" s="103" t="s">
        <v>502</v>
      </c>
      <c r="AW1606" s="103" t="s">
        <v>1110</v>
      </c>
      <c r="AX1606" s="103">
        <v>3</v>
      </c>
      <c r="AZ1606" s="103" t="s">
        <v>141</v>
      </c>
      <c r="BE1606" s="103" t="s">
        <v>1114</v>
      </c>
      <c r="BP1606" s="428"/>
      <c r="BQ1606" s="428"/>
      <c r="BU1606" s="428"/>
      <c r="BV1606" s="428"/>
      <c r="BZ1606" s="428"/>
      <c r="CA1606" s="428"/>
      <c r="CE1606" s="581"/>
      <c r="CF1606" s="581"/>
      <c r="CG1606" s="581"/>
      <c r="CH1606" s="581"/>
      <c r="CJ1606" s="103">
        <f>(1000000/(100*100*0.3*1.69*1000))*22.4</f>
        <v>4.4181459566074945</v>
      </c>
      <c r="CK1606" s="103">
        <f>(1000000/(100*100*0.3*1.69*1000))*22.9</f>
        <v>4.5167652859960548</v>
      </c>
      <c r="CN1606" s="103" t="s">
        <v>1675</v>
      </c>
      <c r="JB1606" s="103" t="s">
        <v>1118</v>
      </c>
    </row>
    <row r="1607" spans="1:262" s="103" customFormat="1" x14ac:dyDescent="0.25">
      <c r="A1607" s="103">
        <v>73</v>
      </c>
      <c r="B1607" s="104" t="s">
        <v>4089</v>
      </c>
      <c r="C1607" s="103" t="s">
        <v>1106</v>
      </c>
      <c r="D1607" s="103" t="s">
        <v>1107</v>
      </c>
      <c r="E1607" s="103">
        <v>2003</v>
      </c>
      <c r="F1607" s="103">
        <v>1989</v>
      </c>
      <c r="G1607" s="103" t="s">
        <v>1108</v>
      </c>
      <c r="H1607" s="103" t="s">
        <v>1136</v>
      </c>
      <c r="I1607" s="24" t="s">
        <v>2816</v>
      </c>
      <c r="J1607" s="103">
        <v>50.29</v>
      </c>
      <c r="K1607" s="103">
        <v>-107.8</v>
      </c>
      <c r="L1607" s="103">
        <v>757</v>
      </c>
      <c r="R1607" s="104">
        <v>2</v>
      </c>
      <c r="S1607" s="104" t="s">
        <v>1931</v>
      </c>
      <c r="T1607" s="104" t="s">
        <v>1105</v>
      </c>
      <c r="U1607" s="104" t="s">
        <v>1113</v>
      </c>
      <c r="V1607" s="104" t="s">
        <v>1415</v>
      </c>
      <c r="W1607" s="104" t="s">
        <v>1720</v>
      </c>
      <c r="X1607" s="104" t="s">
        <v>1389</v>
      </c>
      <c r="Y1607" s="104" t="s">
        <v>1417</v>
      </c>
      <c r="Z1607" s="103">
        <v>1.69</v>
      </c>
      <c r="AA1607" s="353"/>
      <c r="AB1607" s="353"/>
      <c r="AC1607" s="103" t="s">
        <v>139</v>
      </c>
      <c r="AG1607" s="103" t="s">
        <v>1356</v>
      </c>
      <c r="AH1607" s="103" t="s">
        <v>577</v>
      </c>
      <c r="AI1607" s="138" t="s">
        <v>577</v>
      </c>
      <c r="AJ1607" s="103" t="s">
        <v>1536</v>
      </c>
      <c r="AK1607" s="145" t="s">
        <v>116</v>
      </c>
      <c r="AL1607" s="103" t="s">
        <v>1097</v>
      </c>
      <c r="AM1607" s="103" t="s">
        <v>1097</v>
      </c>
      <c r="AN1607" s="103" t="s">
        <v>177</v>
      </c>
      <c r="AT1607" s="103" t="s">
        <v>1111</v>
      </c>
      <c r="AU1607" s="103" t="s">
        <v>1112</v>
      </c>
      <c r="AV1607" s="103" t="s">
        <v>502</v>
      </c>
      <c r="AW1607" s="103" t="s">
        <v>1110</v>
      </c>
      <c r="AX1607" s="103">
        <v>3</v>
      </c>
      <c r="AZ1607" s="103" t="s">
        <v>141</v>
      </c>
      <c r="BE1607" s="103" t="s">
        <v>1114</v>
      </c>
      <c r="BP1607" s="428"/>
      <c r="BQ1607" s="428"/>
      <c r="BU1607" s="428"/>
      <c r="BV1607" s="428"/>
      <c r="BZ1607" s="428"/>
      <c r="CA1607" s="428"/>
      <c r="CE1607" s="581"/>
      <c r="CF1607" s="581"/>
      <c r="CG1607" s="581"/>
      <c r="CH1607" s="581"/>
      <c r="CJ1607" s="103">
        <f>(1000000/(100*100*0.3*1.69*1000))*26.3</f>
        <v>5.1873767258382646</v>
      </c>
      <c r="CK1607" s="103">
        <f>(1000000/(100*100*0.3*1.69*1000))*34.3</f>
        <v>6.7652859960552263</v>
      </c>
      <c r="CN1607" s="103" t="s">
        <v>1675</v>
      </c>
      <c r="JB1607" s="103" t="s">
        <v>1118</v>
      </c>
    </row>
    <row r="1608" spans="1:262" s="103" customFormat="1" x14ac:dyDescent="0.25">
      <c r="A1608" s="103">
        <v>73</v>
      </c>
      <c r="B1608" s="104" t="s">
        <v>4089</v>
      </c>
      <c r="C1608" s="103" t="s">
        <v>1106</v>
      </c>
      <c r="D1608" s="103" t="s">
        <v>1107</v>
      </c>
      <c r="E1608" s="103">
        <v>2003</v>
      </c>
      <c r="F1608" s="103">
        <v>1990</v>
      </c>
      <c r="G1608" s="103" t="s">
        <v>1108</v>
      </c>
      <c r="H1608" s="103" t="s">
        <v>1136</v>
      </c>
      <c r="I1608" s="24" t="s">
        <v>2816</v>
      </c>
      <c r="J1608" s="103">
        <v>50.29</v>
      </c>
      <c r="K1608" s="103">
        <v>-107.8</v>
      </c>
      <c r="L1608" s="103">
        <v>757</v>
      </c>
      <c r="R1608" s="104">
        <v>3</v>
      </c>
      <c r="S1608" s="104" t="s">
        <v>1931</v>
      </c>
      <c r="T1608" s="104" t="s">
        <v>1105</v>
      </c>
      <c r="U1608" s="104" t="s">
        <v>1113</v>
      </c>
      <c r="V1608" s="104" t="s">
        <v>1415</v>
      </c>
      <c r="W1608" s="104" t="s">
        <v>1720</v>
      </c>
      <c r="X1608" s="104" t="s">
        <v>1389</v>
      </c>
      <c r="Y1608" s="104" t="s">
        <v>1417</v>
      </c>
      <c r="Z1608" s="103">
        <v>1.69</v>
      </c>
      <c r="AA1608" s="353"/>
      <c r="AB1608" s="353"/>
      <c r="AC1608" s="103" t="s">
        <v>139</v>
      </c>
      <c r="AG1608" s="103" t="s">
        <v>1356</v>
      </c>
      <c r="AH1608" s="103" t="s">
        <v>577</v>
      </c>
      <c r="AI1608" s="138" t="s">
        <v>577</v>
      </c>
      <c r="AJ1608" s="103" t="s">
        <v>1536</v>
      </c>
      <c r="AK1608" s="145" t="s">
        <v>116</v>
      </c>
      <c r="AL1608" s="103" t="s">
        <v>1097</v>
      </c>
      <c r="AM1608" s="103" t="s">
        <v>1097</v>
      </c>
      <c r="AN1608" s="103" t="s">
        <v>177</v>
      </c>
      <c r="AT1608" s="103" t="s">
        <v>1111</v>
      </c>
      <c r="AU1608" s="103" t="s">
        <v>1112</v>
      </c>
      <c r="AV1608" s="103" t="s">
        <v>502</v>
      </c>
      <c r="AW1608" s="103" t="s">
        <v>1110</v>
      </c>
      <c r="AX1608" s="103">
        <v>3</v>
      </c>
      <c r="AZ1608" s="103" t="s">
        <v>141</v>
      </c>
      <c r="BE1608" s="103" t="s">
        <v>1114</v>
      </c>
      <c r="BP1608" s="428"/>
      <c r="BQ1608" s="428"/>
      <c r="BU1608" s="428"/>
      <c r="BV1608" s="428"/>
      <c r="BZ1608" s="428"/>
      <c r="CA1608" s="428"/>
      <c r="CE1608" s="581"/>
      <c r="CF1608" s="581"/>
      <c r="CG1608" s="581"/>
      <c r="CH1608" s="581"/>
      <c r="CJ1608" s="103">
        <f>(1000000/(100*100*0.3*1.69*1000))*33.5</f>
        <v>6.607495069033531</v>
      </c>
      <c r="CK1608" s="103">
        <f>(1000000/(100*100*0.3*1.69*1000))*34.8</f>
        <v>6.8639053254437865</v>
      </c>
      <c r="CN1608" s="103" t="s">
        <v>1675</v>
      </c>
      <c r="JB1608" s="103" t="s">
        <v>1118</v>
      </c>
    </row>
    <row r="1609" spans="1:262" s="103" customFormat="1" x14ac:dyDescent="0.25">
      <c r="A1609" s="103">
        <v>73</v>
      </c>
      <c r="B1609" s="104" t="s">
        <v>4089</v>
      </c>
      <c r="C1609" s="103" t="s">
        <v>1106</v>
      </c>
      <c r="D1609" s="103" t="s">
        <v>1107</v>
      </c>
      <c r="E1609" s="103">
        <v>2003</v>
      </c>
      <c r="F1609" s="103">
        <v>1991</v>
      </c>
      <c r="G1609" s="103" t="s">
        <v>1108</v>
      </c>
      <c r="H1609" s="103" t="s">
        <v>1136</v>
      </c>
      <c r="I1609" s="24" t="s">
        <v>2816</v>
      </c>
      <c r="J1609" s="103">
        <v>50.29</v>
      </c>
      <c r="K1609" s="103">
        <v>-107.8</v>
      </c>
      <c r="L1609" s="103">
        <v>757</v>
      </c>
      <c r="R1609" s="104">
        <v>4</v>
      </c>
      <c r="S1609" s="104" t="s">
        <v>1931</v>
      </c>
      <c r="T1609" s="104" t="s">
        <v>1105</v>
      </c>
      <c r="U1609" s="104" t="s">
        <v>1113</v>
      </c>
      <c r="V1609" s="104" t="s">
        <v>1415</v>
      </c>
      <c r="W1609" s="104" t="s">
        <v>1720</v>
      </c>
      <c r="X1609" s="104" t="s">
        <v>1389</v>
      </c>
      <c r="Y1609" s="104" t="s">
        <v>1417</v>
      </c>
      <c r="Z1609" s="103">
        <v>1.69</v>
      </c>
      <c r="AA1609" s="353"/>
      <c r="AB1609" s="353"/>
      <c r="AC1609" s="103" t="s">
        <v>139</v>
      </c>
      <c r="AG1609" s="103" t="s">
        <v>1356</v>
      </c>
      <c r="AH1609" s="103" t="s">
        <v>577</v>
      </c>
      <c r="AI1609" s="138" t="s">
        <v>577</v>
      </c>
      <c r="AJ1609" s="103" t="s">
        <v>1536</v>
      </c>
      <c r="AK1609" s="145" t="s">
        <v>116</v>
      </c>
      <c r="AL1609" s="103" t="s">
        <v>1097</v>
      </c>
      <c r="AM1609" s="103" t="s">
        <v>1097</v>
      </c>
      <c r="AN1609" s="103" t="s">
        <v>177</v>
      </c>
      <c r="AT1609" s="103" t="s">
        <v>1111</v>
      </c>
      <c r="AU1609" s="103" t="s">
        <v>1112</v>
      </c>
      <c r="AV1609" s="103" t="s">
        <v>502</v>
      </c>
      <c r="AW1609" s="103" t="s">
        <v>1110</v>
      </c>
      <c r="AX1609" s="103">
        <v>3</v>
      </c>
      <c r="AZ1609" s="103" t="s">
        <v>141</v>
      </c>
      <c r="BE1609" s="103" t="s">
        <v>1114</v>
      </c>
      <c r="BP1609" s="428"/>
      <c r="BQ1609" s="428"/>
      <c r="BU1609" s="428"/>
      <c r="BV1609" s="428"/>
      <c r="BZ1609" s="428"/>
      <c r="CA1609" s="428"/>
      <c r="CE1609" s="581"/>
      <c r="CF1609" s="581"/>
      <c r="CG1609" s="581"/>
      <c r="CH1609" s="581"/>
      <c r="CJ1609" s="103">
        <f>(1000000/(100*100*0.3*1.69*1000))*30.8</f>
        <v>6.0749506903353065</v>
      </c>
      <c r="CK1609" s="103">
        <f>(1000000/(100*100*0.3*1.69*1000))*36.4</f>
        <v>7.1794871794871797</v>
      </c>
      <c r="CN1609" s="103" t="s">
        <v>1675</v>
      </c>
      <c r="JB1609" s="103" t="s">
        <v>1118</v>
      </c>
    </row>
    <row r="1610" spans="1:262" s="103" customFormat="1" x14ac:dyDescent="0.25">
      <c r="A1610" s="103">
        <v>73</v>
      </c>
      <c r="B1610" s="104" t="s">
        <v>4089</v>
      </c>
      <c r="C1610" s="103" t="s">
        <v>1106</v>
      </c>
      <c r="D1610" s="103" t="s">
        <v>1107</v>
      </c>
      <c r="E1610" s="103">
        <v>2003</v>
      </c>
      <c r="F1610" s="103">
        <v>1992</v>
      </c>
      <c r="G1610" s="103" t="s">
        <v>1108</v>
      </c>
      <c r="H1610" s="103" t="s">
        <v>1136</v>
      </c>
      <c r="I1610" s="24" t="s">
        <v>2816</v>
      </c>
      <c r="J1610" s="103">
        <v>50.29</v>
      </c>
      <c r="K1610" s="103">
        <v>-107.8</v>
      </c>
      <c r="L1610" s="103">
        <v>757</v>
      </c>
      <c r="R1610" s="104">
        <v>5</v>
      </c>
      <c r="S1610" s="104" t="s">
        <v>1931</v>
      </c>
      <c r="T1610" s="104" t="s">
        <v>1105</v>
      </c>
      <c r="U1610" s="104" t="s">
        <v>1113</v>
      </c>
      <c r="V1610" s="104" t="s">
        <v>1415</v>
      </c>
      <c r="W1610" s="104" t="s">
        <v>1720</v>
      </c>
      <c r="X1610" s="104" t="s">
        <v>1389</v>
      </c>
      <c r="Y1610" s="104" t="s">
        <v>1417</v>
      </c>
      <c r="Z1610" s="103">
        <v>1.69</v>
      </c>
      <c r="AA1610" s="353"/>
      <c r="AB1610" s="353"/>
      <c r="AC1610" s="103" t="s">
        <v>139</v>
      </c>
      <c r="AG1610" s="103" t="s">
        <v>1356</v>
      </c>
      <c r="AH1610" s="103" t="s">
        <v>577</v>
      </c>
      <c r="AI1610" s="138" t="s">
        <v>577</v>
      </c>
      <c r="AJ1610" s="103" t="s">
        <v>1536</v>
      </c>
      <c r="AK1610" s="145" t="s">
        <v>116</v>
      </c>
      <c r="AL1610" s="103" t="s">
        <v>1097</v>
      </c>
      <c r="AM1610" s="103" t="s">
        <v>1097</v>
      </c>
      <c r="AN1610" s="103" t="s">
        <v>177</v>
      </c>
      <c r="AT1610" s="103" t="s">
        <v>1111</v>
      </c>
      <c r="AU1610" s="103" t="s">
        <v>1112</v>
      </c>
      <c r="AV1610" s="103" t="s">
        <v>502</v>
      </c>
      <c r="AW1610" s="103" t="s">
        <v>1110</v>
      </c>
      <c r="AX1610" s="103">
        <v>3</v>
      </c>
      <c r="AZ1610" s="103" t="s">
        <v>141</v>
      </c>
      <c r="BE1610" s="103" t="s">
        <v>1114</v>
      </c>
      <c r="BP1610" s="428"/>
      <c r="BQ1610" s="428"/>
      <c r="BU1610" s="428"/>
      <c r="BV1610" s="428"/>
      <c r="BZ1610" s="428"/>
      <c r="CA1610" s="428"/>
      <c r="CE1610" s="581"/>
      <c r="CF1610" s="581"/>
      <c r="CG1610" s="581"/>
      <c r="CH1610" s="581"/>
      <c r="CJ1610" s="103">
        <f>(1000000/(100*100*0.3*1.69*1000))*12.8</f>
        <v>2.5246548323471405</v>
      </c>
      <c r="CK1610" s="103">
        <f>(1000000/(100*100*0.3*1.69*1000))*38</f>
        <v>7.4950690335305721</v>
      </c>
      <c r="CN1610" s="103" t="s">
        <v>1675</v>
      </c>
      <c r="JB1610" s="103" t="s">
        <v>1118</v>
      </c>
    </row>
    <row r="1611" spans="1:262" s="103" customFormat="1" x14ac:dyDescent="0.25">
      <c r="A1611" s="103">
        <v>73</v>
      </c>
      <c r="B1611" s="104" t="s">
        <v>4089</v>
      </c>
      <c r="C1611" s="103" t="s">
        <v>1106</v>
      </c>
      <c r="D1611" s="103" t="s">
        <v>1107</v>
      </c>
      <c r="E1611" s="103">
        <v>2003</v>
      </c>
      <c r="F1611" s="103">
        <v>1993</v>
      </c>
      <c r="G1611" s="103" t="s">
        <v>1108</v>
      </c>
      <c r="H1611" s="103" t="s">
        <v>1136</v>
      </c>
      <c r="I1611" s="24" t="s">
        <v>2816</v>
      </c>
      <c r="J1611" s="103">
        <v>50.29</v>
      </c>
      <c r="K1611" s="103">
        <v>-107.8</v>
      </c>
      <c r="L1611" s="103">
        <v>757</v>
      </c>
      <c r="R1611" s="104">
        <v>6</v>
      </c>
      <c r="S1611" s="104" t="s">
        <v>1931</v>
      </c>
      <c r="T1611" s="104" t="s">
        <v>1105</v>
      </c>
      <c r="U1611" s="104" t="s">
        <v>1113</v>
      </c>
      <c r="V1611" s="104" t="s">
        <v>1415</v>
      </c>
      <c r="W1611" s="104" t="s">
        <v>1720</v>
      </c>
      <c r="X1611" s="104" t="s">
        <v>1389</v>
      </c>
      <c r="Y1611" s="104" t="s">
        <v>1417</v>
      </c>
      <c r="Z1611" s="103">
        <v>1.69</v>
      </c>
      <c r="AA1611" s="353"/>
      <c r="AB1611" s="353"/>
      <c r="AC1611" s="103" t="s">
        <v>139</v>
      </c>
      <c r="AG1611" s="103" t="s">
        <v>1356</v>
      </c>
      <c r="AH1611" s="103" t="s">
        <v>577</v>
      </c>
      <c r="AI1611" s="138" t="s">
        <v>577</v>
      </c>
      <c r="AJ1611" s="103" t="s">
        <v>1536</v>
      </c>
      <c r="AK1611" s="145" t="s">
        <v>116</v>
      </c>
      <c r="AL1611" s="103" t="s">
        <v>1097</v>
      </c>
      <c r="AM1611" s="103" t="s">
        <v>1097</v>
      </c>
      <c r="AN1611" s="103" t="s">
        <v>177</v>
      </c>
      <c r="AT1611" s="103" t="s">
        <v>1111</v>
      </c>
      <c r="AU1611" s="103" t="s">
        <v>1112</v>
      </c>
      <c r="AV1611" s="103" t="s">
        <v>502</v>
      </c>
      <c r="AW1611" s="103" t="s">
        <v>1110</v>
      </c>
      <c r="AX1611" s="103">
        <v>3</v>
      </c>
      <c r="AZ1611" s="103" t="s">
        <v>141</v>
      </c>
      <c r="BE1611" s="103" t="s">
        <v>1114</v>
      </c>
      <c r="BP1611" s="428"/>
      <c r="BQ1611" s="428"/>
      <c r="BU1611" s="428"/>
      <c r="BV1611" s="428"/>
      <c r="BZ1611" s="428"/>
      <c r="CA1611" s="428"/>
      <c r="CE1611" s="581"/>
      <c r="CF1611" s="581"/>
      <c r="CG1611" s="581"/>
      <c r="CH1611" s="581"/>
      <c r="CJ1611" s="103">
        <f>(1000000/(100*100*0.3*1.69*1000))*11.7</f>
        <v>2.3076923076923075</v>
      </c>
      <c r="CK1611" s="103">
        <f>(1000000/(100*100*0.3*1.69*1000))*17.6</f>
        <v>3.471400394477318</v>
      </c>
      <c r="CN1611" s="103" t="s">
        <v>1675</v>
      </c>
      <c r="JB1611" s="103" t="s">
        <v>1118</v>
      </c>
    </row>
    <row r="1612" spans="1:262" s="103" customFormat="1" x14ac:dyDescent="0.25">
      <c r="A1612" s="103">
        <v>73</v>
      </c>
      <c r="B1612" s="104" t="s">
        <v>4089</v>
      </c>
      <c r="C1612" s="103" t="s">
        <v>1106</v>
      </c>
      <c r="D1612" s="103" t="s">
        <v>1107</v>
      </c>
      <c r="E1612" s="103">
        <v>2003</v>
      </c>
      <c r="F1612" s="103">
        <v>1994</v>
      </c>
      <c r="G1612" s="103" t="s">
        <v>1108</v>
      </c>
      <c r="H1612" s="103" t="s">
        <v>1136</v>
      </c>
      <c r="I1612" s="24" t="s">
        <v>2816</v>
      </c>
      <c r="J1612" s="103">
        <v>50.29</v>
      </c>
      <c r="K1612" s="103">
        <v>-107.8</v>
      </c>
      <c r="L1612" s="103">
        <v>757</v>
      </c>
      <c r="R1612" s="104">
        <v>7</v>
      </c>
      <c r="S1612" s="104" t="s">
        <v>1931</v>
      </c>
      <c r="T1612" s="104" t="s">
        <v>1105</v>
      </c>
      <c r="U1612" s="104" t="s">
        <v>1113</v>
      </c>
      <c r="V1612" s="104" t="s">
        <v>1415</v>
      </c>
      <c r="W1612" s="104" t="s">
        <v>1720</v>
      </c>
      <c r="X1612" s="104" t="s">
        <v>1389</v>
      </c>
      <c r="Y1612" s="104" t="s">
        <v>1417</v>
      </c>
      <c r="Z1612" s="103">
        <v>1.69</v>
      </c>
      <c r="AA1612" s="353"/>
      <c r="AB1612" s="353"/>
      <c r="AC1612" s="103" t="s">
        <v>139</v>
      </c>
      <c r="AG1612" s="103" t="s">
        <v>1356</v>
      </c>
      <c r="AH1612" s="103" t="s">
        <v>577</v>
      </c>
      <c r="AI1612" s="138" t="s">
        <v>577</v>
      </c>
      <c r="AJ1612" s="103" t="s">
        <v>1536</v>
      </c>
      <c r="AK1612" s="145" t="s">
        <v>116</v>
      </c>
      <c r="AL1612" s="103" t="s">
        <v>1097</v>
      </c>
      <c r="AM1612" s="103" t="s">
        <v>1097</v>
      </c>
      <c r="AN1612" s="103" t="s">
        <v>177</v>
      </c>
      <c r="AT1612" s="103" t="s">
        <v>1111</v>
      </c>
      <c r="AU1612" s="103" t="s">
        <v>1112</v>
      </c>
      <c r="AV1612" s="103" t="s">
        <v>502</v>
      </c>
      <c r="AW1612" s="103" t="s">
        <v>1110</v>
      </c>
      <c r="AX1612" s="103">
        <v>3</v>
      </c>
      <c r="AZ1612" s="103" t="s">
        <v>141</v>
      </c>
      <c r="BE1612" s="103" t="s">
        <v>1114</v>
      </c>
      <c r="BP1612" s="428"/>
      <c r="BQ1612" s="428"/>
      <c r="BU1612" s="428"/>
      <c r="BV1612" s="428"/>
      <c r="BZ1612" s="428"/>
      <c r="CA1612" s="428"/>
      <c r="CE1612" s="581"/>
      <c r="CF1612" s="581"/>
      <c r="CG1612" s="581"/>
      <c r="CH1612" s="581"/>
      <c r="CJ1612" s="103">
        <f>(1000000/(100*100*0.3*1.69*1000))*8.1</f>
        <v>1.5976331360946745</v>
      </c>
      <c r="CK1612" s="103">
        <f>(1000000/(100*100*0.3*1.69*1000))*14.1</f>
        <v>2.7810650887573964</v>
      </c>
      <c r="CN1612" s="103" t="s">
        <v>1675</v>
      </c>
      <c r="JB1612" s="103" t="s">
        <v>1118</v>
      </c>
    </row>
    <row r="1613" spans="1:262" s="103" customFormat="1" x14ac:dyDescent="0.25">
      <c r="A1613" s="103">
        <v>73</v>
      </c>
      <c r="B1613" s="104" t="s">
        <v>4089</v>
      </c>
      <c r="C1613" s="103" t="s">
        <v>1106</v>
      </c>
      <c r="D1613" s="103" t="s">
        <v>1107</v>
      </c>
      <c r="E1613" s="103">
        <v>2003</v>
      </c>
      <c r="F1613" s="103">
        <v>1995</v>
      </c>
      <c r="G1613" s="103" t="s">
        <v>1108</v>
      </c>
      <c r="H1613" s="103" t="s">
        <v>1136</v>
      </c>
      <c r="I1613" s="24" t="s">
        <v>2816</v>
      </c>
      <c r="J1613" s="103">
        <v>50.29</v>
      </c>
      <c r="K1613" s="103">
        <v>-107.8</v>
      </c>
      <c r="L1613" s="103">
        <v>757</v>
      </c>
      <c r="R1613" s="104">
        <v>8</v>
      </c>
      <c r="S1613" s="104" t="s">
        <v>1931</v>
      </c>
      <c r="T1613" s="104" t="s">
        <v>1105</v>
      </c>
      <c r="U1613" s="104" t="s">
        <v>1113</v>
      </c>
      <c r="V1613" s="104" t="s">
        <v>1415</v>
      </c>
      <c r="W1613" s="104" t="s">
        <v>1720</v>
      </c>
      <c r="X1613" s="104" t="s">
        <v>1389</v>
      </c>
      <c r="Y1613" s="104" t="s">
        <v>1417</v>
      </c>
      <c r="Z1613" s="103">
        <v>1.69</v>
      </c>
      <c r="AA1613" s="353"/>
      <c r="AB1613" s="353"/>
      <c r="AC1613" s="103" t="s">
        <v>139</v>
      </c>
      <c r="AG1613" s="103" t="s">
        <v>1356</v>
      </c>
      <c r="AH1613" s="103" t="s">
        <v>577</v>
      </c>
      <c r="AI1613" s="138" t="s">
        <v>577</v>
      </c>
      <c r="AJ1613" s="103" t="s">
        <v>1536</v>
      </c>
      <c r="AK1613" s="145" t="s">
        <v>116</v>
      </c>
      <c r="AL1613" s="103" t="s">
        <v>1097</v>
      </c>
      <c r="AM1613" s="103" t="s">
        <v>1097</v>
      </c>
      <c r="AN1613" s="103" t="s">
        <v>177</v>
      </c>
      <c r="AT1613" s="103" t="s">
        <v>1111</v>
      </c>
      <c r="AU1613" s="103" t="s">
        <v>1112</v>
      </c>
      <c r="AV1613" s="103" t="s">
        <v>502</v>
      </c>
      <c r="AW1613" s="103" t="s">
        <v>1110</v>
      </c>
      <c r="AX1613" s="103">
        <v>3</v>
      </c>
      <c r="AZ1613" s="103" t="s">
        <v>141</v>
      </c>
      <c r="BE1613" s="103" t="s">
        <v>1114</v>
      </c>
      <c r="BP1613" s="428"/>
      <c r="BQ1613" s="428"/>
      <c r="BU1613" s="428"/>
      <c r="BV1613" s="428"/>
      <c r="BZ1613" s="428"/>
      <c r="CA1613" s="428"/>
      <c r="CE1613" s="581"/>
      <c r="CF1613" s="581"/>
      <c r="CG1613" s="581"/>
      <c r="CH1613" s="581"/>
      <c r="CJ1613" s="103">
        <f>(1000000/(100*100*0.3*1.69*1000))*4.6</f>
        <v>0.90729783037475342</v>
      </c>
      <c r="CK1613" s="103">
        <f>(1000000/(100*100*0.3*1.69*1000))*11.2</f>
        <v>2.2090729783037473</v>
      </c>
      <c r="CN1613" s="103" t="s">
        <v>1675</v>
      </c>
      <c r="JB1613" s="103" t="s">
        <v>1118</v>
      </c>
    </row>
    <row r="1614" spans="1:262" s="103" customFormat="1" x14ac:dyDescent="0.25">
      <c r="A1614" s="103">
        <v>73</v>
      </c>
      <c r="B1614" s="104" t="s">
        <v>4089</v>
      </c>
      <c r="C1614" s="103" t="s">
        <v>1106</v>
      </c>
      <c r="D1614" s="103" t="s">
        <v>1107</v>
      </c>
      <c r="E1614" s="103">
        <v>2003</v>
      </c>
      <c r="F1614" s="103">
        <v>1996</v>
      </c>
      <c r="G1614" s="103" t="s">
        <v>1108</v>
      </c>
      <c r="H1614" s="103" t="s">
        <v>1136</v>
      </c>
      <c r="I1614" s="24" t="s">
        <v>2816</v>
      </c>
      <c r="J1614" s="103">
        <v>50.29</v>
      </c>
      <c r="K1614" s="103">
        <v>-107.8</v>
      </c>
      <c r="L1614" s="103">
        <v>757</v>
      </c>
      <c r="R1614" s="104">
        <v>9</v>
      </c>
      <c r="S1614" s="104" t="s">
        <v>1931</v>
      </c>
      <c r="T1614" s="104" t="s">
        <v>1105</v>
      </c>
      <c r="U1614" s="104" t="s">
        <v>1113</v>
      </c>
      <c r="V1614" s="104" t="s">
        <v>1415</v>
      </c>
      <c r="W1614" s="104" t="s">
        <v>1720</v>
      </c>
      <c r="X1614" s="104" t="s">
        <v>1389</v>
      </c>
      <c r="Y1614" s="104" t="s">
        <v>1417</v>
      </c>
      <c r="Z1614" s="103">
        <v>1.69</v>
      </c>
      <c r="AA1614" s="353"/>
      <c r="AB1614" s="353"/>
      <c r="AC1614" s="103" t="s">
        <v>139</v>
      </c>
      <c r="AG1614" s="103" t="s">
        <v>1356</v>
      </c>
      <c r="AH1614" s="103" t="s">
        <v>577</v>
      </c>
      <c r="AI1614" s="138" t="s">
        <v>577</v>
      </c>
      <c r="AJ1614" s="103" t="s">
        <v>1536</v>
      </c>
      <c r="AK1614" s="145" t="s">
        <v>116</v>
      </c>
      <c r="AL1614" s="103" t="s">
        <v>1097</v>
      </c>
      <c r="AM1614" s="103" t="s">
        <v>1097</v>
      </c>
      <c r="AN1614" s="103" t="s">
        <v>177</v>
      </c>
      <c r="AT1614" s="103" t="s">
        <v>1111</v>
      </c>
      <c r="AU1614" s="103" t="s">
        <v>1112</v>
      </c>
      <c r="AV1614" s="103" t="s">
        <v>502</v>
      </c>
      <c r="AW1614" s="103" t="s">
        <v>1110</v>
      </c>
      <c r="AX1614" s="103">
        <v>3</v>
      </c>
      <c r="AZ1614" s="103" t="s">
        <v>141</v>
      </c>
      <c r="BE1614" s="103" t="s">
        <v>1114</v>
      </c>
      <c r="BP1614" s="428"/>
      <c r="BQ1614" s="428"/>
      <c r="BU1614" s="428"/>
      <c r="BV1614" s="428"/>
      <c r="BZ1614" s="428"/>
      <c r="CA1614" s="428"/>
      <c r="CE1614" s="581"/>
      <c r="CF1614" s="581"/>
      <c r="CG1614" s="581"/>
      <c r="CH1614" s="581"/>
      <c r="CJ1614" s="103">
        <f>(1000000/(100*100*0.3*1.69*1000))*7.7</f>
        <v>1.5187376725838266</v>
      </c>
      <c r="CK1614" s="103">
        <f>(1000000/(100*100*0.3*1.69*1000))*17</f>
        <v>3.3530571992110456</v>
      </c>
      <c r="CN1614" s="103" t="s">
        <v>1675</v>
      </c>
      <c r="JB1614" s="103" t="s">
        <v>1118</v>
      </c>
    </row>
    <row r="1615" spans="1:262" s="103" customFormat="1" x14ac:dyDescent="0.25">
      <c r="A1615" s="103">
        <v>73</v>
      </c>
      <c r="B1615" s="104" t="s">
        <v>4089</v>
      </c>
      <c r="C1615" s="103" t="s">
        <v>1106</v>
      </c>
      <c r="D1615" s="103" t="s">
        <v>1107</v>
      </c>
      <c r="E1615" s="103">
        <v>2003</v>
      </c>
      <c r="F1615" s="103">
        <v>1997</v>
      </c>
      <c r="G1615" s="103" t="s">
        <v>1108</v>
      </c>
      <c r="H1615" s="103" t="s">
        <v>1136</v>
      </c>
      <c r="I1615" s="24" t="s">
        <v>2816</v>
      </c>
      <c r="J1615" s="103">
        <v>50.29</v>
      </c>
      <c r="K1615" s="103">
        <v>-107.8</v>
      </c>
      <c r="L1615" s="103">
        <v>757</v>
      </c>
      <c r="R1615" s="104">
        <v>10</v>
      </c>
      <c r="S1615" s="104" t="s">
        <v>1931</v>
      </c>
      <c r="T1615" s="104" t="s">
        <v>1105</v>
      </c>
      <c r="U1615" s="104" t="s">
        <v>1113</v>
      </c>
      <c r="V1615" s="104" t="s">
        <v>1415</v>
      </c>
      <c r="W1615" s="104" t="s">
        <v>1720</v>
      </c>
      <c r="X1615" s="104" t="s">
        <v>1389</v>
      </c>
      <c r="Y1615" s="104" t="s">
        <v>1417</v>
      </c>
      <c r="Z1615" s="103">
        <v>1.69</v>
      </c>
      <c r="AA1615" s="353"/>
      <c r="AB1615" s="353"/>
      <c r="AC1615" s="103" t="s">
        <v>139</v>
      </c>
      <c r="AG1615" s="103" t="s">
        <v>1356</v>
      </c>
      <c r="AH1615" s="103" t="s">
        <v>577</v>
      </c>
      <c r="AI1615" s="138" t="s">
        <v>577</v>
      </c>
      <c r="AJ1615" s="103" t="s">
        <v>1536</v>
      </c>
      <c r="AK1615" s="145" t="s">
        <v>116</v>
      </c>
      <c r="AL1615" s="103" t="s">
        <v>1097</v>
      </c>
      <c r="AM1615" s="103" t="s">
        <v>1097</v>
      </c>
      <c r="AN1615" s="103" t="s">
        <v>177</v>
      </c>
      <c r="AT1615" s="103" t="s">
        <v>1111</v>
      </c>
      <c r="AU1615" s="103" t="s">
        <v>1112</v>
      </c>
      <c r="AV1615" s="103" t="s">
        <v>502</v>
      </c>
      <c r="AW1615" s="103" t="s">
        <v>1110</v>
      </c>
      <c r="AX1615" s="103">
        <v>3</v>
      </c>
      <c r="AZ1615" s="103" t="s">
        <v>141</v>
      </c>
      <c r="BE1615" s="103" t="s">
        <v>1114</v>
      </c>
      <c r="BP1615" s="428"/>
      <c r="BQ1615" s="428"/>
      <c r="BU1615" s="428"/>
      <c r="BV1615" s="428"/>
      <c r="BZ1615" s="428"/>
      <c r="CA1615" s="428"/>
      <c r="CE1615" s="581"/>
      <c r="CF1615" s="581"/>
      <c r="CG1615" s="581"/>
      <c r="CH1615" s="581"/>
      <c r="CJ1615" s="103">
        <f>(1000000/(100*100*0.3*1.69*1000))*7.5</f>
        <v>1.4792899408284024</v>
      </c>
      <c r="CK1615" s="103">
        <f>(1000000/(100*100*0.3*1.69*1000))*18.5</f>
        <v>3.6489151873767258</v>
      </c>
      <c r="CN1615" s="103" t="s">
        <v>1675</v>
      </c>
      <c r="JB1615" s="103" t="s">
        <v>1118</v>
      </c>
    </row>
    <row r="1616" spans="1:262" s="103" customFormat="1" x14ac:dyDescent="0.25">
      <c r="A1616" s="103">
        <v>73</v>
      </c>
      <c r="B1616" s="104" t="s">
        <v>4089</v>
      </c>
      <c r="C1616" s="103" t="s">
        <v>1106</v>
      </c>
      <c r="D1616" s="103" t="s">
        <v>1107</v>
      </c>
      <c r="E1616" s="103">
        <v>2003</v>
      </c>
      <c r="F1616" s="103">
        <v>1998</v>
      </c>
      <c r="G1616" s="103" t="s">
        <v>1108</v>
      </c>
      <c r="H1616" s="103" t="s">
        <v>1136</v>
      </c>
      <c r="I1616" s="24" t="s">
        <v>2816</v>
      </c>
      <c r="J1616" s="103">
        <v>50.29</v>
      </c>
      <c r="K1616" s="103">
        <v>-107.8</v>
      </c>
      <c r="L1616" s="103">
        <v>757</v>
      </c>
      <c r="R1616" s="104">
        <v>11</v>
      </c>
      <c r="S1616" s="104" t="s">
        <v>1931</v>
      </c>
      <c r="T1616" s="104" t="s">
        <v>1105</v>
      </c>
      <c r="U1616" s="104" t="s">
        <v>1113</v>
      </c>
      <c r="V1616" s="104" t="s">
        <v>1415</v>
      </c>
      <c r="W1616" s="104" t="s">
        <v>1720</v>
      </c>
      <c r="X1616" s="104" t="s">
        <v>1389</v>
      </c>
      <c r="Y1616" s="104" t="s">
        <v>1417</v>
      </c>
      <c r="Z1616" s="103">
        <v>1.69</v>
      </c>
      <c r="AA1616" s="353"/>
      <c r="AB1616" s="353"/>
      <c r="AC1616" s="103" t="s">
        <v>139</v>
      </c>
      <c r="AG1616" s="103" t="s">
        <v>1356</v>
      </c>
      <c r="AH1616" s="103" t="s">
        <v>577</v>
      </c>
      <c r="AI1616" s="138" t="s">
        <v>577</v>
      </c>
      <c r="AJ1616" s="103" t="s">
        <v>1536</v>
      </c>
      <c r="AK1616" s="145" t="s">
        <v>116</v>
      </c>
      <c r="AL1616" s="103" t="s">
        <v>1097</v>
      </c>
      <c r="AM1616" s="103" t="s">
        <v>1097</v>
      </c>
      <c r="AN1616" s="103" t="s">
        <v>177</v>
      </c>
      <c r="AT1616" s="103" t="s">
        <v>1111</v>
      </c>
      <c r="AU1616" s="103" t="s">
        <v>1112</v>
      </c>
      <c r="AV1616" s="103" t="s">
        <v>502</v>
      </c>
      <c r="AW1616" s="103" t="s">
        <v>1110</v>
      </c>
      <c r="AX1616" s="103">
        <v>3</v>
      </c>
      <c r="AZ1616" s="103" t="s">
        <v>141</v>
      </c>
      <c r="BE1616" s="103" t="s">
        <v>1114</v>
      </c>
      <c r="BP1616" s="428"/>
      <c r="BQ1616" s="428"/>
      <c r="BU1616" s="428"/>
      <c r="BV1616" s="428"/>
      <c r="BZ1616" s="428"/>
      <c r="CA1616" s="428"/>
      <c r="CE1616" s="581"/>
      <c r="CF1616" s="581"/>
      <c r="CG1616" s="581"/>
      <c r="CH1616" s="581"/>
      <c r="CJ1616" s="103">
        <f>(1000000/(100*100*0.3*1.69*1000))*16.4</f>
        <v>3.2347140039447728</v>
      </c>
      <c r="CK1616" s="103">
        <f>(1000000/(100*100*0.3*1.69*1000))*41</f>
        <v>8.0867850098619325</v>
      </c>
      <c r="CN1616" s="103" t="s">
        <v>1675</v>
      </c>
      <c r="JB1616" s="103" t="s">
        <v>1118</v>
      </c>
    </row>
    <row r="1617" spans="1:262" s="103" customFormat="1" x14ac:dyDescent="0.25">
      <c r="A1617" s="103">
        <v>73</v>
      </c>
      <c r="B1617" s="104" t="s">
        <v>4089</v>
      </c>
      <c r="C1617" s="103" t="s">
        <v>1106</v>
      </c>
      <c r="D1617" s="103" t="s">
        <v>1107</v>
      </c>
      <c r="E1617" s="103">
        <v>2003</v>
      </c>
      <c r="F1617" s="103">
        <v>1999</v>
      </c>
      <c r="G1617" s="103" t="s">
        <v>1108</v>
      </c>
      <c r="H1617" s="103" t="s">
        <v>1136</v>
      </c>
      <c r="I1617" s="24" t="s">
        <v>2816</v>
      </c>
      <c r="J1617" s="103">
        <v>50.29</v>
      </c>
      <c r="K1617" s="103">
        <v>-107.8</v>
      </c>
      <c r="L1617" s="103">
        <v>757</v>
      </c>
      <c r="R1617" s="104">
        <v>12</v>
      </c>
      <c r="S1617" s="104" t="s">
        <v>1931</v>
      </c>
      <c r="T1617" s="104" t="s">
        <v>1105</v>
      </c>
      <c r="U1617" s="104" t="s">
        <v>1113</v>
      </c>
      <c r="V1617" s="104" t="s">
        <v>1415</v>
      </c>
      <c r="W1617" s="104" t="s">
        <v>1720</v>
      </c>
      <c r="X1617" s="104" t="s">
        <v>1389</v>
      </c>
      <c r="Y1617" s="104" t="s">
        <v>1417</v>
      </c>
      <c r="Z1617" s="103">
        <v>1.69</v>
      </c>
      <c r="AA1617" s="353"/>
      <c r="AB1617" s="353"/>
      <c r="AC1617" s="103" t="s">
        <v>139</v>
      </c>
      <c r="AG1617" s="103" t="s">
        <v>1356</v>
      </c>
      <c r="AH1617" s="103" t="s">
        <v>577</v>
      </c>
      <c r="AI1617" s="138" t="s">
        <v>577</v>
      </c>
      <c r="AJ1617" s="103" t="s">
        <v>1536</v>
      </c>
      <c r="AK1617" s="145" t="s">
        <v>116</v>
      </c>
      <c r="AL1617" s="103" t="s">
        <v>1097</v>
      </c>
      <c r="AM1617" s="103" t="s">
        <v>1097</v>
      </c>
      <c r="AN1617" s="103" t="s">
        <v>177</v>
      </c>
      <c r="AT1617" s="103" t="s">
        <v>1111</v>
      </c>
      <c r="AU1617" s="103" t="s">
        <v>1112</v>
      </c>
      <c r="AV1617" s="103" t="s">
        <v>502</v>
      </c>
      <c r="AW1617" s="103" t="s">
        <v>1110</v>
      </c>
      <c r="AX1617" s="103">
        <v>3</v>
      </c>
      <c r="AZ1617" s="103" t="s">
        <v>141</v>
      </c>
      <c r="BE1617" s="103" t="s">
        <v>1114</v>
      </c>
      <c r="BP1617" s="428"/>
      <c r="BQ1617" s="428"/>
      <c r="BU1617" s="428"/>
      <c r="BV1617" s="428"/>
      <c r="BZ1617" s="428"/>
      <c r="CA1617" s="428"/>
      <c r="CE1617" s="581"/>
      <c r="CF1617" s="581"/>
      <c r="CG1617" s="581"/>
      <c r="CH1617" s="581"/>
      <c r="CJ1617" s="103">
        <f>(1000000/(100*100*0.3*1.69*1000))*9.9</f>
        <v>1.9526627218934913</v>
      </c>
      <c r="CK1617" s="103">
        <f>(1000000/(100*100*0.3*1.69*1000))*28.9</f>
        <v>5.7001972386587774</v>
      </c>
      <c r="CN1617" s="103" t="s">
        <v>1675</v>
      </c>
      <c r="JB1617" s="103" t="s">
        <v>1118</v>
      </c>
    </row>
    <row r="1618" spans="1:262" s="33" customFormat="1" x14ac:dyDescent="0.25">
      <c r="A1618" s="33">
        <v>74</v>
      </c>
      <c r="B1618" s="47" t="s">
        <v>4090</v>
      </c>
      <c r="C1618" s="33" t="s">
        <v>1124</v>
      </c>
      <c r="D1618" s="33" t="s">
        <v>1125</v>
      </c>
      <c r="E1618" s="33">
        <v>2013</v>
      </c>
      <c r="F1618" s="33">
        <v>2011</v>
      </c>
      <c r="G1618" s="33" t="s">
        <v>1126</v>
      </c>
      <c r="H1618" s="33" t="s">
        <v>1127</v>
      </c>
      <c r="I1618" s="33" t="s">
        <v>2815</v>
      </c>
      <c r="J1618" s="33">
        <v>32.24</v>
      </c>
      <c r="K1618" s="33">
        <v>-98.2</v>
      </c>
      <c r="L1618" s="33">
        <v>390.7</v>
      </c>
      <c r="R1618" s="47">
        <v>1</v>
      </c>
      <c r="S1618" s="47">
        <v>1</v>
      </c>
      <c r="T1618" s="47"/>
      <c r="U1618" s="47"/>
      <c r="V1618" s="47" t="s">
        <v>1377</v>
      </c>
      <c r="W1618" s="47" t="s">
        <v>1377</v>
      </c>
      <c r="X1618" s="47" t="s">
        <v>1377</v>
      </c>
      <c r="Y1618" s="47" t="s">
        <v>1377</v>
      </c>
      <c r="AA1618" s="327">
        <v>3</v>
      </c>
      <c r="AB1618" s="327">
        <v>32</v>
      </c>
      <c r="AC1618" s="33" t="s">
        <v>420</v>
      </c>
      <c r="AG1618" s="33" t="s">
        <v>1357</v>
      </c>
      <c r="AH1618" s="33" t="s">
        <v>1129</v>
      </c>
      <c r="AI1618" s="138" t="s">
        <v>1129</v>
      </c>
      <c r="AJ1618" s="33" t="s">
        <v>1128</v>
      </c>
      <c r="AK1618" s="141" t="s">
        <v>1646</v>
      </c>
      <c r="AL1618" s="33" t="s">
        <v>119</v>
      </c>
      <c r="AW1618" s="33" t="s">
        <v>119</v>
      </c>
      <c r="AX1618" s="33">
        <v>4</v>
      </c>
      <c r="AZ1618" s="33" t="s">
        <v>335</v>
      </c>
      <c r="BE1618" s="33" t="s">
        <v>1131</v>
      </c>
      <c r="BP1618" s="402"/>
      <c r="BQ1618" s="402"/>
      <c r="BU1618" s="402"/>
      <c r="BV1618" s="402"/>
      <c r="BZ1618" s="402"/>
      <c r="CA1618" s="402"/>
      <c r="CE1618" s="555"/>
      <c r="CF1618" s="555"/>
      <c r="CG1618" s="555"/>
      <c r="CH1618" s="555"/>
      <c r="GA1618" s="33">
        <v>4.3</v>
      </c>
      <c r="GB1618" s="33">
        <v>3.3</v>
      </c>
      <c r="GE1618" s="33" t="s">
        <v>1130</v>
      </c>
    </row>
    <row r="1619" spans="1:262" s="33" customFormat="1" x14ac:dyDescent="0.25">
      <c r="A1619" s="33">
        <v>74</v>
      </c>
      <c r="B1619" s="47" t="s">
        <v>4090</v>
      </c>
      <c r="C1619" s="33" t="s">
        <v>1124</v>
      </c>
      <c r="D1619" s="33" t="s">
        <v>1125</v>
      </c>
      <c r="E1619" s="33">
        <v>2013</v>
      </c>
      <c r="F1619" s="33">
        <v>2011</v>
      </c>
      <c r="G1619" s="33" t="s">
        <v>1126</v>
      </c>
      <c r="H1619" s="33" t="s">
        <v>1127</v>
      </c>
      <c r="I1619" s="33" t="s">
        <v>2815</v>
      </c>
      <c r="J1619" s="33">
        <v>32.24</v>
      </c>
      <c r="K1619" s="33">
        <v>-98.2</v>
      </c>
      <c r="L1619" s="33">
        <v>390.7</v>
      </c>
      <c r="R1619" s="47">
        <v>1</v>
      </c>
      <c r="S1619" s="47">
        <v>1</v>
      </c>
      <c r="T1619" s="47"/>
      <c r="U1619" s="47"/>
      <c r="V1619" s="47" t="s">
        <v>1377</v>
      </c>
      <c r="W1619" s="47" t="s">
        <v>1377</v>
      </c>
      <c r="X1619" s="47" t="s">
        <v>1377</v>
      </c>
      <c r="Y1619" s="47" t="s">
        <v>1377</v>
      </c>
      <c r="AA1619" s="327">
        <v>3</v>
      </c>
      <c r="AB1619" s="327">
        <v>32</v>
      </c>
      <c r="AC1619" s="33" t="s">
        <v>420</v>
      </c>
      <c r="AG1619" s="33" t="s">
        <v>1357</v>
      </c>
      <c r="AH1619" s="33" t="s">
        <v>1129</v>
      </c>
      <c r="AI1619" s="138" t="s">
        <v>1129</v>
      </c>
      <c r="AJ1619" s="33" t="s">
        <v>1128</v>
      </c>
      <c r="AK1619" s="141" t="s">
        <v>1646</v>
      </c>
      <c r="AL1619" s="33" t="s">
        <v>119</v>
      </c>
      <c r="AW1619" s="33" t="s">
        <v>119</v>
      </c>
      <c r="AX1619" s="33">
        <v>4</v>
      </c>
      <c r="AZ1619" s="33" t="s">
        <v>335</v>
      </c>
      <c r="BE1619" s="33" t="s">
        <v>1132</v>
      </c>
      <c r="BP1619" s="402"/>
      <c r="BQ1619" s="402"/>
      <c r="BU1619" s="402"/>
      <c r="BV1619" s="402"/>
      <c r="BZ1619" s="402"/>
      <c r="CA1619" s="402"/>
      <c r="CE1619" s="555"/>
      <c r="CF1619" s="555"/>
      <c r="CG1619" s="555"/>
      <c r="CH1619" s="555"/>
      <c r="GA1619" s="33">
        <v>3</v>
      </c>
      <c r="GB1619" s="33">
        <v>2.5</v>
      </c>
      <c r="GE1619" s="33" t="s">
        <v>1130</v>
      </c>
    </row>
    <row r="1620" spans="1:262" s="33" customFormat="1" x14ac:dyDescent="0.25">
      <c r="A1620" s="33">
        <v>74</v>
      </c>
      <c r="B1620" s="47" t="s">
        <v>4090</v>
      </c>
      <c r="C1620" s="33" t="s">
        <v>1124</v>
      </c>
      <c r="D1620" s="33" t="s">
        <v>1125</v>
      </c>
      <c r="E1620" s="33">
        <v>2013</v>
      </c>
      <c r="F1620" s="33">
        <v>2011</v>
      </c>
      <c r="G1620" s="33" t="s">
        <v>1126</v>
      </c>
      <c r="H1620" s="33" t="s">
        <v>1127</v>
      </c>
      <c r="I1620" s="33" t="s">
        <v>2815</v>
      </c>
      <c r="J1620" s="33">
        <v>32.24</v>
      </c>
      <c r="K1620" s="33">
        <v>-98.2</v>
      </c>
      <c r="L1620" s="33">
        <v>390.7</v>
      </c>
      <c r="R1620" s="47">
        <v>1</v>
      </c>
      <c r="S1620" s="47">
        <v>1</v>
      </c>
      <c r="T1620" s="47"/>
      <c r="U1620" s="47"/>
      <c r="V1620" s="47" t="s">
        <v>1377</v>
      </c>
      <c r="W1620" s="47" t="s">
        <v>1377</v>
      </c>
      <c r="X1620" s="47" t="s">
        <v>1377</v>
      </c>
      <c r="Y1620" s="47" t="s">
        <v>1377</v>
      </c>
      <c r="AA1620" s="327">
        <v>3</v>
      </c>
      <c r="AB1620" s="327">
        <v>32</v>
      </c>
      <c r="AC1620" s="33" t="s">
        <v>420</v>
      </c>
      <c r="AG1620" s="33" t="s">
        <v>1357</v>
      </c>
      <c r="AH1620" s="33" t="s">
        <v>1129</v>
      </c>
      <c r="AI1620" s="138" t="s">
        <v>1129</v>
      </c>
      <c r="AJ1620" s="33" t="s">
        <v>1128</v>
      </c>
      <c r="AK1620" s="141" t="s">
        <v>1646</v>
      </c>
      <c r="AL1620" s="33" t="s">
        <v>119</v>
      </c>
      <c r="AW1620" s="33" t="s">
        <v>119</v>
      </c>
      <c r="AX1620" s="33">
        <v>4</v>
      </c>
      <c r="AZ1620" s="33" t="s">
        <v>335</v>
      </c>
      <c r="BE1620" s="33" t="s">
        <v>1133</v>
      </c>
      <c r="BP1620" s="402"/>
      <c r="BQ1620" s="402"/>
      <c r="BU1620" s="402"/>
      <c r="BV1620" s="402"/>
      <c r="BZ1620" s="402"/>
      <c r="CA1620" s="402"/>
      <c r="CE1620" s="555"/>
      <c r="CF1620" s="555"/>
      <c r="CG1620" s="555"/>
      <c r="CH1620" s="555"/>
      <c r="GA1620" s="33">
        <v>1.3</v>
      </c>
      <c r="GB1620" s="33">
        <v>0.3</v>
      </c>
      <c r="GE1620" s="33" t="s">
        <v>1130</v>
      </c>
    </row>
    <row r="1621" spans="1:262" s="33" customFormat="1" x14ac:dyDescent="0.25">
      <c r="A1621" s="33">
        <v>74</v>
      </c>
      <c r="B1621" s="47" t="s">
        <v>4090</v>
      </c>
      <c r="C1621" s="33" t="s">
        <v>1124</v>
      </c>
      <c r="D1621" s="33" t="s">
        <v>1125</v>
      </c>
      <c r="E1621" s="33">
        <v>2013</v>
      </c>
      <c r="F1621" s="33">
        <v>2011</v>
      </c>
      <c r="G1621" s="33" t="s">
        <v>1126</v>
      </c>
      <c r="H1621" s="33" t="s">
        <v>1127</v>
      </c>
      <c r="I1621" s="33" t="s">
        <v>2815</v>
      </c>
      <c r="J1621" s="33">
        <v>32.24</v>
      </c>
      <c r="K1621" s="33">
        <v>-98.2</v>
      </c>
      <c r="L1621" s="33">
        <v>390.7</v>
      </c>
      <c r="R1621" s="47">
        <v>1</v>
      </c>
      <c r="S1621" s="47">
        <v>1</v>
      </c>
      <c r="T1621" s="47"/>
      <c r="U1621" s="47"/>
      <c r="V1621" s="47" t="s">
        <v>1377</v>
      </c>
      <c r="W1621" s="47" t="s">
        <v>1377</v>
      </c>
      <c r="X1621" s="47" t="s">
        <v>1377</v>
      </c>
      <c r="Y1621" s="47" t="s">
        <v>1377</v>
      </c>
      <c r="AA1621" s="327">
        <v>3</v>
      </c>
      <c r="AB1621" s="327">
        <v>32</v>
      </c>
      <c r="AC1621" s="33" t="s">
        <v>420</v>
      </c>
      <c r="AG1621" s="33" t="s">
        <v>1357</v>
      </c>
      <c r="AH1621" s="33" t="s">
        <v>1129</v>
      </c>
      <c r="AI1621" s="138" t="s">
        <v>1129</v>
      </c>
      <c r="AJ1621" s="33" t="s">
        <v>1128</v>
      </c>
      <c r="AK1621" s="141" t="s">
        <v>1646</v>
      </c>
      <c r="AL1621" s="33" t="s">
        <v>119</v>
      </c>
      <c r="AW1621" s="33" t="s">
        <v>119</v>
      </c>
      <c r="AX1621" s="33">
        <v>4</v>
      </c>
      <c r="AZ1621" s="33" t="s">
        <v>335</v>
      </c>
      <c r="BE1621" s="33" t="s">
        <v>1134</v>
      </c>
      <c r="BP1621" s="402"/>
      <c r="BQ1621" s="402"/>
      <c r="BU1621" s="402"/>
      <c r="BV1621" s="402"/>
      <c r="BZ1621" s="402"/>
      <c r="CA1621" s="402"/>
      <c r="CE1621" s="555"/>
      <c r="CF1621" s="555"/>
      <c r="CG1621" s="555"/>
      <c r="CH1621" s="555"/>
      <c r="GA1621" s="33">
        <v>0.3</v>
      </c>
      <c r="GB1621" s="33">
        <v>0</v>
      </c>
      <c r="GE1621" s="33" t="s">
        <v>1130</v>
      </c>
    </row>
    <row r="1622" spans="1:262" s="33" customFormat="1" x14ac:dyDescent="0.25">
      <c r="A1622" s="33">
        <v>74</v>
      </c>
      <c r="B1622" s="47" t="s">
        <v>4090</v>
      </c>
      <c r="C1622" s="33" t="s">
        <v>1124</v>
      </c>
      <c r="D1622" s="33" t="s">
        <v>1125</v>
      </c>
      <c r="E1622" s="33">
        <v>2013</v>
      </c>
      <c r="F1622" s="33">
        <v>2011</v>
      </c>
      <c r="G1622" s="33" t="s">
        <v>1126</v>
      </c>
      <c r="H1622" s="33" t="s">
        <v>1127</v>
      </c>
      <c r="I1622" s="33" t="s">
        <v>2815</v>
      </c>
      <c r="J1622" s="33">
        <v>32.24</v>
      </c>
      <c r="K1622" s="33">
        <v>-98.2</v>
      </c>
      <c r="L1622" s="33">
        <v>390.7</v>
      </c>
      <c r="R1622" s="47">
        <v>1</v>
      </c>
      <c r="S1622" s="47">
        <v>1</v>
      </c>
      <c r="T1622" s="47"/>
      <c r="U1622" s="47"/>
      <c r="V1622" s="47" t="s">
        <v>1377</v>
      </c>
      <c r="W1622" s="47" t="s">
        <v>1377</v>
      </c>
      <c r="X1622" s="47" t="s">
        <v>1377</v>
      </c>
      <c r="Y1622" s="47" t="s">
        <v>1377</v>
      </c>
      <c r="AA1622" s="327">
        <v>3</v>
      </c>
      <c r="AB1622" s="327">
        <v>32</v>
      </c>
      <c r="AC1622" s="33" t="s">
        <v>420</v>
      </c>
      <c r="AG1622" s="33" t="s">
        <v>1357</v>
      </c>
      <c r="AH1622" s="33" t="s">
        <v>1129</v>
      </c>
      <c r="AI1622" s="138" t="s">
        <v>1129</v>
      </c>
      <c r="AJ1622" s="33" t="s">
        <v>1128</v>
      </c>
      <c r="AK1622" s="141" t="s">
        <v>1646</v>
      </c>
      <c r="AL1622" s="33" t="s">
        <v>119</v>
      </c>
      <c r="AW1622" s="33" t="s">
        <v>119</v>
      </c>
      <c r="AX1622" s="33">
        <v>4</v>
      </c>
      <c r="AZ1622" s="33" t="s">
        <v>335</v>
      </c>
      <c r="BE1622" s="33" t="s">
        <v>1135</v>
      </c>
      <c r="BP1622" s="402"/>
      <c r="BQ1622" s="402"/>
      <c r="BU1622" s="402"/>
      <c r="BV1622" s="402"/>
      <c r="BZ1622" s="402"/>
      <c r="CA1622" s="402"/>
      <c r="CE1622" s="555"/>
      <c r="CF1622" s="555"/>
      <c r="CG1622" s="555"/>
      <c r="CH1622" s="555"/>
      <c r="GA1622" s="33">
        <v>2.2999999999999998</v>
      </c>
      <c r="GB1622" s="33">
        <v>1</v>
      </c>
      <c r="GE1622" s="33" t="s">
        <v>1130</v>
      </c>
    </row>
    <row r="1623" spans="1:262" s="24" customFormat="1" x14ac:dyDescent="0.25">
      <c r="A1623" s="24">
        <v>75</v>
      </c>
      <c r="B1623" s="42" t="s">
        <v>4091</v>
      </c>
      <c r="C1623" s="24" t="s">
        <v>1137</v>
      </c>
      <c r="D1623" s="24" t="s">
        <v>1138</v>
      </c>
      <c r="E1623" s="24">
        <v>1989</v>
      </c>
      <c r="F1623" s="24">
        <v>1985</v>
      </c>
      <c r="G1623" s="24" t="s">
        <v>418</v>
      </c>
      <c r="H1623" s="24" t="s">
        <v>1139</v>
      </c>
      <c r="I1623" s="24" t="s">
        <v>2815</v>
      </c>
      <c r="J1623" s="24">
        <v>38.950000000000003</v>
      </c>
      <c r="K1623" s="24">
        <v>-91.94</v>
      </c>
      <c r="L1623" s="24">
        <v>251.9</v>
      </c>
      <c r="R1623" s="42" t="s">
        <v>1847</v>
      </c>
      <c r="S1623" s="42" t="s">
        <v>1858</v>
      </c>
      <c r="T1623" s="42" t="s">
        <v>1144</v>
      </c>
      <c r="U1623" s="42" t="s">
        <v>2006</v>
      </c>
      <c r="V1623" s="42" t="s">
        <v>1377</v>
      </c>
      <c r="W1623" s="42" t="s">
        <v>1377</v>
      </c>
      <c r="X1623" s="42" t="s">
        <v>1377</v>
      </c>
      <c r="Y1623" s="42" t="s">
        <v>1377</v>
      </c>
      <c r="AA1623" s="321"/>
      <c r="AB1623" s="321"/>
      <c r="AC1623" s="24" t="s">
        <v>450</v>
      </c>
      <c r="AG1623" s="24" t="s">
        <v>1358</v>
      </c>
      <c r="AH1623" s="24" t="s">
        <v>1541</v>
      </c>
      <c r="AI1623" s="138" t="s">
        <v>1584</v>
      </c>
      <c r="AJ1623" s="24" t="s">
        <v>158</v>
      </c>
      <c r="AK1623" s="140" t="s">
        <v>158</v>
      </c>
      <c r="AL1623" s="24" t="s">
        <v>119</v>
      </c>
      <c r="AT1623" s="24" t="s">
        <v>1145</v>
      </c>
      <c r="AU1623" s="24" t="s">
        <v>1145</v>
      </c>
      <c r="AV1623" s="24" t="s">
        <v>177</v>
      </c>
      <c r="AW1623" s="24" t="s">
        <v>160</v>
      </c>
      <c r="AX1623" s="24">
        <v>2</v>
      </c>
      <c r="AZ1623" s="24" t="s">
        <v>141</v>
      </c>
      <c r="BP1623" s="395"/>
      <c r="BQ1623" s="395"/>
      <c r="BU1623" s="395"/>
      <c r="BV1623" s="395"/>
      <c r="BZ1623" s="395"/>
      <c r="CA1623" s="395"/>
      <c r="CE1623" s="548"/>
      <c r="CF1623" s="548"/>
      <c r="CG1623" s="548"/>
      <c r="CH1623" s="548"/>
      <c r="ER1623" s="24">
        <v>336</v>
      </c>
      <c r="ES1623" s="24">
        <v>0</v>
      </c>
      <c r="EV1623" s="24" t="s">
        <v>1147</v>
      </c>
      <c r="EW1623" s="24">
        <v>4</v>
      </c>
      <c r="EX1623" s="24">
        <v>0</v>
      </c>
      <c r="FA1623" s="24" t="s">
        <v>1146</v>
      </c>
    </row>
    <row r="1624" spans="1:262" s="24" customFormat="1" x14ac:dyDescent="0.25">
      <c r="A1624" s="24">
        <v>75</v>
      </c>
      <c r="B1624" s="42" t="s">
        <v>4091</v>
      </c>
      <c r="C1624" s="24" t="s">
        <v>1137</v>
      </c>
      <c r="D1624" s="24" t="s">
        <v>1138</v>
      </c>
      <c r="E1624" s="24">
        <v>1989</v>
      </c>
      <c r="F1624" s="24">
        <v>1985</v>
      </c>
      <c r="G1624" s="24" t="s">
        <v>418</v>
      </c>
      <c r="H1624" s="24" t="s">
        <v>1139</v>
      </c>
      <c r="I1624" s="24" t="s">
        <v>2815</v>
      </c>
      <c r="J1624" s="24">
        <v>38.950000000000003</v>
      </c>
      <c r="K1624" s="24">
        <v>-91.94</v>
      </c>
      <c r="L1624" s="24">
        <v>251.9</v>
      </c>
      <c r="R1624" s="42" t="s">
        <v>1847</v>
      </c>
      <c r="S1624" s="42" t="s">
        <v>1858</v>
      </c>
      <c r="T1624" s="42" t="s">
        <v>1140</v>
      </c>
      <c r="U1624" s="42" t="s">
        <v>2006</v>
      </c>
      <c r="V1624" s="42" t="s">
        <v>1377</v>
      </c>
      <c r="W1624" s="42" t="s">
        <v>1377</v>
      </c>
      <c r="X1624" s="42" t="s">
        <v>1377</v>
      </c>
      <c r="Y1624" s="42" t="s">
        <v>1377</v>
      </c>
      <c r="AA1624" s="321"/>
      <c r="AB1624" s="321"/>
      <c r="AC1624" s="24" t="s">
        <v>450</v>
      </c>
      <c r="AG1624" s="24" t="s">
        <v>1358</v>
      </c>
      <c r="AH1624" s="24" t="s">
        <v>1541</v>
      </c>
      <c r="AI1624" s="138" t="s">
        <v>1584</v>
      </c>
      <c r="AJ1624" s="24" t="s">
        <v>158</v>
      </c>
      <c r="AK1624" s="140" t="s">
        <v>158</v>
      </c>
      <c r="AL1624" s="24" t="s">
        <v>119</v>
      </c>
      <c r="AT1624" s="24" t="s">
        <v>1145</v>
      </c>
      <c r="AU1624" s="24" t="s">
        <v>1145</v>
      </c>
      <c r="AV1624" s="24" t="s">
        <v>177</v>
      </c>
      <c r="AW1624" s="24" t="s">
        <v>160</v>
      </c>
      <c r="AX1624" s="24">
        <v>2</v>
      </c>
      <c r="AZ1624" s="24" t="s">
        <v>141</v>
      </c>
      <c r="BP1624" s="395"/>
      <c r="BQ1624" s="395"/>
      <c r="BU1624" s="395"/>
      <c r="BV1624" s="395"/>
      <c r="BZ1624" s="395"/>
      <c r="CA1624" s="395"/>
      <c r="CE1624" s="548"/>
      <c r="CF1624" s="548"/>
      <c r="CG1624" s="548"/>
      <c r="CH1624" s="548"/>
      <c r="ER1624" s="24">
        <v>1984</v>
      </c>
      <c r="ES1624" s="24">
        <v>381</v>
      </c>
      <c r="EV1624" s="24" t="s">
        <v>1147</v>
      </c>
      <c r="EW1624" s="24">
        <v>53</v>
      </c>
      <c r="EX1624" s="24">
        <v>31</v>
      </c>
      <c r="FA1624" s="24" t="s">
        <v>1146</v>
      </c>
    </row>
    <row r="1625" spans="1:262" s="24" customFormat="1" x14ac:dyDescent="0.25">
      <c r="A1625" s="24">
        <v>75</v>
      </c>
      <c r="B1625" s="42" t="s">
        <v>4091</v>
      </c>
      <c r="C1625" s="24" t="s">
        <v>1137</v>
      </c>
      <c r="D1625" s="24" t="s">
        <v>1138</v>
      </c>
      <c r="E1625" s="24">
        <v>1989</v>
      </c>
      <c r="F1625" s="24">
        <v>1985</v>
      </c>
      <c r="G1625" s="24" t="s">
        <v>418</v>
      </c>
      <c r="H1625" s="24" t="s">
        <v>1139</v>
      </c>
      <c r="I1625" s="24" t="s">
        <v>2815</v>
      </c>
      <c r="J1625" s="24">
        <v>38.950000000000003</v>
      </c>
      <c r="K1625" s="24">
        <v>-91.94</v>
      </c>
      <c r="L1625" s="24">
        <v>251.9</v>
      </c>
      <c r="R1625" s="42" t="s">
        <v>1847</v>
      </c>
      <c r="S1625" s="42" t="s">
        <v>1858</v>
      </c>
      <c r="T1625" s="42" t="s">
        <v>1141</v>
      </c>
      <c r="U1625" s="42" t="s">
        <v>2006</v>
      </c>
      <c r="V1625" s="42" t="s">
        <v>1377</v>
      </c>
      <c r="W1625" s="42" t="s">
        <v>1377</v>
      </c>
      <c r="X1625" s="42" t="s">
        <v>1377</v>
      </c>
      <c r="Y1625" s="42" t="s">
        <v>1377</v>
      </c>
      <c r="AA1625" s="321"/>
      <c r="AB1625" s="321"/>
      <c r="AC1625" s="24" t="s">
        <v>450</v>
      </c>
      <c r="AG1625" s="24" t="s">
        <v>1358</v>
      </c>
      <c r="AH1625" s="24" t="s">
        <v>1541</v>
      </c>
      <c r="AI1625" s="138" t="s">
        <v>1584</v>
      </c>
      <c r="AJ1625" s="24" t="s">
        <v>158</v>
      </c>
      <c r="AK1625" s="140" t="s">
        <v>158</v>
      </c>
      <c r="AL1625" s="24" t="s">
        <v>119</v>
      </c>
      <c r="AT1625" s="24" t="s">
        <v>1145</v>
      </c>
      <c r="AU1625" s="24" t="s">
        <v>1145</v>
      </c>
      <c r="AV1625" s="24" t="s">
        <v>177</v>
      </c>
      <c r="AW1625" s="24" t="s">
        <v>160</v>
      </c>
      <c r="AX1625" s="24">
        <v>2</v>
      </c>
      <c r="AZ1625" s="24" t="s">
        <v>141</v>
      </c>
      <c r="BP1625" s="395"/>
      <c r="BQ1625" s="395"/>
      <c r="BU1625" s="395"/>
      <c r="BV1625" s="395"/>
      <c r="BZ1625" s="395"/>
      <c r="CA1625" s="395"/>
      <c r="CE1625" s="548"/>
      <c r="CF1625" s="548"/>
      <c r="CG1625" s="548"/>
      <c r="CH1625" s="548"/>
      <c r="ER1625" s="24">
        <v>1E-3</v>
      </c>
      <c r="ES1625" s="24">
        <v>0</v>
      </c>
      <c r="EV1625" s="24" t="s">
        <v>1147</v>
      </c>
      <c r="EW1625" s="24">
        <v>3</v>
      </c>
      <c r="EX1625" s="24">
        <v>0</v>
      </c>
      <c r="FA1625" s="24" t="s">
        <v>1146</v>
      </c>
    </row>
    <row r="1626" spans="1:262" s="24" customFormat="1" x14ac:dyDescent="0.25">
      <c r="A1626" s="24">
        <v>75</v>
      </c>
      <c r="B1626" s="42" t="s">
        <v>4091</v>
      </c>
      <c r="C1626" s="24" t="s">
        <v>1137</v>
      </c>
      <c r="D1626" s="24" t="s">
        <v>1138</v>
      </c>
      <c r="E1626" s="24">
        <v>1989</v>
      </c>
      <c r="F1626" s="24">
        <v>1985</v>
      </c>
      <c r="G1626" s="24" t="s">
        <v>418</v>
      </c>
      <c r="H1626" s="24" t="s">
        <v>1139</v>
      </c>
      <c r="I1626" s="24" t="s">
        <v>2815</v>
      </c>
      <c r="J1626" s="24">
        <v>38.950000000000003</v>
      </c>
      <c r="K1626" s="24">
        <v>-91.94</v>
      </c>
      <c r="L1626" s="24">
        <v>251.9</v>
      </c>
      <c r="R1626" s="42" t="s">
        <v>1847</v>
      </c>
      <c r="S1626" s="42" t="s">
        <v>1858</v>
      </c>
      <c r="T1626" s="42" t="s">
        <v>1142</v>
      </c>
      <c r="U1626" s="42" t="s">
        <v>2006</v>
      </c>
      <c r="V1626" s="42" t="s">
        <v>1377</v>
      </c>
      <c r="W1626" s="42" t="s">
        <v>1377</v>
      </c>
      <c r="X1626" s="42" t="s">
        <v>1377</v>
      </c>
      <c r="Y1626" s="42" t="s">
        <v>1377</v>
      </c>
      <c r="AA1626" s="321"/>
      <c r="AB1626" s="321"/>
      <c r="AC1626" s="24" t="s">
        <v>450</v>
      </c>
      <c r="AG1626" s="24" t="s">
        <v>1358</v>
      </c>
      <c r="AH1626" s="24" t="s">
        <v>1541</v>
      </c>
      <c r="AI1626" s="138" t="s">
        <v>1584</v>
      </c>
      <c r="AJ1626" s="24" t="s">
        <v>158</v>
      </c>
      <c r="AK1626" s="140" t="s">
        <v>158</v>
      </c>
      <c r="AL1626" s="24" t="s">
        <v>119</v>
      </c>
      <c r="AT1626" s="24" t="s">
        <v>1145</v>
      </c>
      <c r="AU1626" s="24" t="s">
        <v>1145</v>
      </c>
      <c r="AV1626" s="24" t="s">
        <v>177</v>
      </c>
      <c r="AW1626" s="24" t="s">
        <v>160</v>
      </c>
      <c r="AX1626" s="24">
        <v>2</v>
      </c>
      <c r="AZ1626" s="24" t="s">
        <v>141</v>
      </c>
      <c r="BP1626" s="395"/>
      <c r="BQ1626" s="395"/>
      <c r="BU1626" s="395"/>
      <c r="BV1626" s="395"/>
      <c r="BZ1626" s="395"/>
      <c r="CA1626" s="395"/>
      <c r="CE1626" s="548"/>
      <c r="CF1626" s="548"/>
      <c r="CG1626" s="548"/>
      <c r="CH1626" s="548"/>
      <c r="ER1626" s="24">
        <v>1E-3</v>
      </c>
      <c r="ES1626" s="24">
        <v>0</v>
      </c>
      <c r="EV1626" s="24" t="s">
        <v>1147</v>
      </c>
      <c r="EW1626" s="24">
        <v>258</v>
      </c>
      <c r="EX1626" s="24">
        <v>156</v>
      </c>
      <c r="FA1626" s="24" t="s">
        <v>1146</v>
      </c>
    </row>
    <row r="1627" spans="1:262" s="24" customFormat="1" x14ac:dyDescent="0.25">
      <c r="A1627" s="24">
        <v>75</v>
      </c>
      <c r="B1627" s="42" t="s">
        <v>4091</v>
      </c>
      <c r="C1627" s="24" t="s">
        <v>1137</v>
      </c>
      <c r="D1627" s="24" t="s">
        <v>1138</v>
      </c>
      <c r="E1627" s="24">
        <v>1989</v>
      </c>
      <c r="F1627" s="24">
        <v>1985</v>
      </c>
      <c r="G1627" s="24" t="s">
        <v>418</v>
      </c>
      <c r="H1627" s="24" t="s">
        <v>1139</v>
      </c>
      <c r="I1627" s="24" t="s">
        <v>2815</v>
      </c>
      <c r="J1627" s="24">
        <v>38.950000000000003</v>
      </c>
      <c r="K1627" s="24">
        <v>-91.94</v>
      </c>
      <c r="L1627" s="24">
        <v>251.9</v>
      </c>
      <c r="R1627" s="42" t="s">
        <v>1847</v>
      </c>
      <c r="S1627" s="42" t="s">
        <v>1858</v>
      </c>
      <c r="T1627" s="42" t="s">
        <v>1143</v>
      </c>
      <c r="U1627" s="42" t="s">
        <v>2006</v>
      </c>
      <c r="V1627" s="42" t="s">
        <v>1377</v>
      </c>
      <c r="W1627" s="42" t="s">
        <v>1377</v>
      </c>
      <c r="X1627" s="42" t="s">
        <v>1377</v>
      </c>
      <c r="Y1627" s="42" t="s">
        <v>1377</v>
      </c>
      <c r="AA1627" s="321"/>
      <c r="AB1627" s="321"/>
      <c r="AC1627" s="24" t="s">
        <v>450</v>
      </c>
      <c r="AG1627" s="24" t="s">
        <v>1358</v>
      </c>
      <c r="AH1627" s="24" t="s">
        <v>1541</v>
      </c>
      <c r="AI1627" s="138" t="s">
        <v>1584</v>
      </c>
      <c r="AJ1627" s="24" t="s">
        <v>158</v>
      </c>
      <c r="AK1627" s="140" t="s">
        <v>158</v>
      </c>
      <c r="AL1627" s="24" t="s">
        <v>119</v>
      </c>
      <c r="AT1627" s="24" t="s">
        <v>1145</v>
      </c>
      <c r="AU1627" s="24" t="s">
        <v>1145</v>
      </c>
      <c r="AV1627" s="24" t="s">
        <v>177</v>
      </c>
      <c r="AW1627" s="24" t="s">
        <v>160</v>
      </c>
      <c r="AX1627" s="24">
        <v>2</v>
      </c>
      <c r="AZ1627" s="24" t="s">
        <v>141</v>
      </c>
      <c r="BP1627" s="395"/>
      <c r="BQ1627" s="395"/>
      <c r="BU1627" s="395"/>
      <c r="BV1627" s="395"/>
      <c r="BZ1627" s="395"/>
      <c r="CA1627" s="395"/>
      <c r="CE1627" s="548"/>
      <c r="CF1627" s="548"/>
      <c r="CG1627" s="548"/>
      <c r="CH1627" s="548"/>
      <c r="ER1627" s="24">
        <v>2454</v>
      </c>
      <c r="ES1627" s="24">
        <v>420</v>
      </c>
      <c r="EV1627" s="24" t="s">
        <v>1147</v>
      </c>
      <c r="EW1627" s="24">
        <v>311</v>
      </c>
      <c r="EX1627" s="24">
        <v>213</v>
      </c>
      <c r="FA1627" s="24" t="s">
        <v>1146</v>
      </c>
    </row>
    <row r="1628" spans="1:262" s="32" customFormat="1" x14ac:dyDescent="0.25">
      <c r="A1628" s="32">
        <v>75</v>
      </c>
      <c r="B1628" s="44" t="s">
        <v>4092</v>
      </c>
      <c r="C1628" s="32" t="s">
        <v>1137</v>
      </c>
      <c r="D1628" s="32" t="s">
        <v>1138</v>
      </c>
      <c r="E1628" s="32">
        <v>1989</v>
      </c>
      <c r="F1628" s="32">
        <v>1985</v>
      </c>
      <c r="G1628" s="32" t="s">
        <v>418</v>
      </c>
      <c r="H1628" s="32" t="s">
        <v>1139</v>
      </c>
      <c r="I1628" s="24" t="s">
        <v>2815</v>
      </c>
      <c r="J1628" s="32">
        <v>38.950000000000003</v>
      </c>
      <c r="K1628" s="32">
        <v>-91.94</v>
      </c>
      <c r="L1628" s="32">
        <v>251.9</v>
      </c>
      <c r="R1628" s="44" t="s">
        <v>1847</v>
      </c>
      <c r="S1628" s="44" t="s">
        <v>1858</v>
      </c>
      <c r="T1628" s="44" t="s">
        <v>1144</v>
      </c>
      <c r="U1628" s="44" t="s">
        <v>2006</v>
      </c>
      <c r="V1628" s="44" t="s">
        <v>1377</v>
      </c>
      <c r="W1628" s="44" t="s">
        <v>1377</v>
      </c>
      <c r="X1628" s="44" t="s">
        <v>1377</v>
      </c>
      <c r="Y1628" s="44" t="s">
        <v>1377</v>
      </c>
      <c r="AA1628" s="323"/>
      <c r="AB1628" s="323"/>
      <c r="AC1628" s="32" t="s">
        <v>450</v>
      </c>
      <c r="AG1628" s="32" t="s">
        <v>1358</v>
      </c>
      <c r="AH1628" s="32" t="s">
        <v>1542</v>
      </c>
      <c r="AI1628" s="138" t="s">
        <v>1581</v>
      </c>
      <c r="AJ1628" s="32" t="s">
        <v>158</v>
      </c>
      <c r="AK1628" s="140" t="s">
        <v>158</v>
      </c>
      <c r="AL1628" s="32" t="s">
        <v>119</v>
      </c>
      <c r="AT1628" s="32" t="s">
        <v>1145</v>
      </c>
      <c r="AU1628" s="32" t="s">
        <v>1145</v>
      </c>
      <c r="AV1628" s="32" t="s">
        <v>177</v>
      </c>
      <c r="AW1628" s="24" t="s">
        <v>160</v>
      </c>
      <c r="AX1628" s="32">
        <v>2</v>
      </c>
      <c r="AZ1628" s="32" t="s">
        <v>141</v>
      </c>
      <c r="BP1628" s="397"/>
      <c r="BQ1628" s="397"/>
      <c r="BU1628" s="397"/>
      <c r="BV1628" s="397"/>
      <c r="BZ1628" s="397"/>
      <c r="CA1628" s="397"/>
      <c r="CE1628" s="550"/>
      <c r="CF1628" s="550"/>
      <c r="CG1628" s="550"/>
      <c r="CH1628" s="550"/>
      <c r="ER1628" s="32">
        <v>336</v>
      </c>
      <c r="ES1628" s="32">
        <v>0</v>
      </c>
      <c r="EV1628" s="32" t="s">
        <v>1147</v>
      </c>
      <c r="EW1628" s="32">
        <v>4</v>
      </c>
      <c r="EX1628" s="32">
        <v>0</v>
      </c>
      <c r="FA1628" s="32" t="s">
        <v>1146</v>
      </c>
    </row>
    <row r="1629" spans="1:262" s="32" customFormat="1" x14ac:dyDescent="0.25">
      <c r="A1629" s="32">
        <v>75</v>
      </c>
      <c r="B1629" s="44" t="s">
        <v>4092</v>
      </c>
      <c r="C1629" s="32" t="s">
        <v>1137</v>
      </c>
      <c r="D1629" s="32" t="s">
        <v>1138</v>
      </c>
      <c r="E1629" s="32">
        <v>1989</v>
      </c>
      <c r="F1629" s="32">
        <v>1985</v>
      </c>
      <c r="G1629" s="32" t="s">
        <v>418</v>
      </c>
      <c r="H1629" s="32" t="s">
        <v>1139</v>
      </c>
      <c r="I1629" s="24" t="s">
        <v>2815</v>
      </c>
      <c r="J1629" s="32">
        <v>38.950000000000003</v>
      </c>
      <c r="K1629" s="32">
        <v>-91.94</v>
      </c>
      <c r="L1629" s="32">
        <v>251.9</v>
      </c>
      <c r="R1629" s="44" t="s">
        <v>1847</v>
      </c>
      <c r="S1629" s="44" t="s">
        <v>1858</v>
      </c>
      <c r="T1629" s="44" t="s">
        <v>1140</v>
      </c>
      <c r="U1629" s="44" t="s">
        <v>2006</v>
      </c>
      <c r="V1629" s="44" t="s">
        <v>1377</v>
      </c>
      <c r="W1629" s="44" t="s">
        <v>1377</v>
      </c>
      <c r="X1629" s="44" t="s">
        <v>1377</v>
      </c>
      <c r="Y1629" s="44" t="s">
        <v>1377</v>
      </c>
      <c r="AA1629" s="323"/>
      <c r="AB1629" s="323"/>
      <c r="AC1629" s="32" t="s">
        <v>450</v>
      </c>
      <c r="AG1629" s="32" t="s">
        <v>1358</v>
      </c>
      <c r="AH1629" s="32" t="s">
        <v>1542</v>
      </c>
      <c r="AI1629" s="138" t="s">
        <v>1581</v>
      </c>
      <c r="AJ1629" s="32" t="s">
        <v>158</v>
      </c>
      <c r="AK1629" s="140" t="s">
        <v>158</v>
      </c>
      <c r="AL1629" s="32" t="s">
        <v>119</v>
      </c>
      <c r="AT1629" s="32" t="s">
        <v>1145</v>
      </c>
      <c r="AU1629" s="32" t="s">
        <v>1145</v>
      </c>
      <c r="AV1629" s="32" t="s">
        <v>177</v>
      </c>
      <c r="AW1629" s="24" t="s">
        <v>160</v>
      </c>
      <c r="AX1629" s="32">
        <v>2</v>
      </c>
      <c r="AZ1629" s="32" t="s">
        <v>141</v>
      </c>
      <c r="BP1629" s="397"/>
      <c r="BQ1629" s="397"/>
      <c r="BU1629" s="397"/>
      <c r="BV1629" s="397"/>
      <c r="BZ1629" s="397"/>
      <c r="CA1629" s="397"/>
      <c r="CE1629" s="550"/>
      <c r="CF1629" s="550"/>
      <c r="CG1629" s="550"/>
      <c r="CH1629" s="550"/>
      <c r="ER1629" s="32">
        <v>1984</v>
      </c>
      <c r="ES1629" s="32">
        <v>168</v>
      </c>
      <c r="EV1629" s="32" t="s">
        <v>1147</v>
      </c>
      <c r="EW1629" s="32">
        <v>53</v>
      </c>
      <c r="EX1629" s="32">
        <v>34</v>
      </c>
      <c r="FA1629" s="32" t="s">
        <v>1146</v>
      </c>
    </row>
    <row r="1630" spans="1:262" s="32" customFormat="1" x14ac:dyDescent="0.25">
      <c r="A1630" s="32">
        <v>75</v>
      </c>
      <c r="B1630" s="44" t="s">
        <v>4092</v>
      </c>
      <c r="C1630" s="32" t="s">
        <v>1137</v>
      </c>
      <c r="D1630" s="32" t="s">
        <v>1138</v>
      </c>
      <c r="E1630" s="32">
        <v>1989</v>
      </c>
      <c r="F1630" s="32">
        <v>1985</v>
      </c>
      <c r="G1630" s="32" t="s">
        <v>418</v>
      </c>
      <c r="H1630" s="32" t="s">
        <v>1139</v>
      </c>
      <c r="I1630" s="24" t="s">
        <v>2815</v>
      </c>
      <c r="J1630" s="32">
        <v>38.950000000000003</v>
      </c>
      <c r="K1630" s="32">
        <v>-91.94</v>
      </c>
      <c r="L1630" s="32">
        <v>251.9</v>
      </c>
      <c r="R1630" s="44" t="s">
        <v>1847</v>
      </c>
      <c r="S1630" s="44" t="s">
        <v>1858</v>
      </c>
      <c r="T1630" s="44" t="s">
        <v>1141</v>
      </c>
      <c r="U1630" s="44" t="s">
        <v>2006</v>
      </c>
      <c r="V1630" s="44" t="s">
        <v>1377</v>
      </c>
      <c r="W1630" s="44" t="s">
        <v>1377</v>
      </c>
      <c r="X1630" s="44" t="s">
        <v>1377</v>
      </c>
      <c r="Y1630" s="44" t="s">
        <v>1377</v>
      </c>
      <c r="AA1630" s="323"/>
      <c r="AB1630" s="323"/>
      <c r="AC1630" s="32" t="s">
        <v>450</v>
      </c>
      <c r="AG1630" s="32" t="s">
        <v>1358</v>
      </c>
      <c r="AH1630" s="32" t="s">
        <v>1542</v>
      </c>
      <c r="AI1630" s="138" t="s">
        <v>1581</v>
      </c>
      <c r="AJ1630" s="32" t="s">
        <v>158</v>
      </c>
      <c r="AK1630" s="140" t="s">
        <v>158</v>
      </c>
      <c r="AL1630" s="32" t="s">
        <v>119</v>
      </c>
      <c r="AT1630" s="32" t="s">
        <v>1145</v>
      </c>
      <c r="AU1630" s="32" t="s">
        <v>1145</v>
      </c>
      <c r="AV1630" s="32" t="s">
        <v>177</v>
      </c>
      <c r="AW1630" s="24" t="s">
        <v>160</v>
      </c>
      <c r="AX1630" s="32">
        <v>2</v>
      </c>
      <c r="AZ1630" s="32" t="s">
        <v>141</v>
      </c>
      <c r="BP1630" s="397"/>
      <c r="BQ1630" s="397"/>
      <c r="BU1630" s="397"/>
      <c r="BV1630" s="397"/>
      <c r="BZ1630" s="397"/>
      <c r="CA1630" s="397"/>
      <c r="CE1630" s="550"/>
      <c r="CF1630" s="550"/>
      <c r="CG1630" s="550"/>
      <c r="CH1630" s="550"/>
      <c r="ER1630" s="32">
        <v>1E-3</v>
      </c>
      <c r="ES1630" s="32">
        <v>0</v>
      </c>
      <c r="EV1630" s="32" t="s">
        <v>1147</v>
      </c>
      <c r="EW1630" s="32">
        <v>3</v>
      </c>
      <c r="EX1630" s="32">
        <v>0</v>
      </c>
      <c r="FA1630" s="32" t="s">
        <v>1146</v>
      </c>
    </row>
    <row r="1631" spans="1:262" s="32" customFormat="1" x14ac:dyDescent="0.25">
      <c r="A1631" s="32">
        <v>75</v>
      </c>
      <c r="B1631" s="44" t="s">
        <v>4092</v>
      </c>
      <c r="C1631" s="32" t="s">
        <v>1137</v>
      </c>
      <c r="D1631" s="32" t="s">
        <v>1138</v>
      </c>
      <c r="E1631" s="32">
        <v>1989</v>
      </c>
      <c r="F1631" s="32">
        <v>1985</v>
      </c>
      <c r="G1631" s="32" t="s">
        <v>418</v>
      </c>
      <c r="H1631" s="32" t="s">
        <v>1139</v>
      </c>
      <c r="I1631" s="24" t="s">
        <v>2815</v>
      </c>
      <c r="J1631" s="32">
        <v>38.950000000000003</v>
      </c>
      <c r="K1631" s="32">
        <v>-91.94</v>
      </c>
      <c r="L1631" s="32">
        <v>251.9</v>
      </c>
      <c r="R1631" s="44" t="s">
        <v>1847</v>
      </c>
      <c r="S1631" s="44" t="s">
        <v>1858</v>
      </c>
      <c r="T1631" s="44" t="s">
        <v>1142</v>
      </c>
      <c r="U1631" s="44" t="s">
        <v>2006</v>
      </c>
      <c r="V1631" s="44" t="s">
        <v>1377</v>
      </c>
      <c r="W1631" s="44" t="s">
        <v>1377</v>
      </c>
      <c r="X1631" s="44" t="s">
        <v>1377</v>
      </c>
      <c r="Y1631" s="44" t="s">
        <v>1377</v>
      </c>
      <c r="AA1631" s="323"/>
      <c r="AB1631" s="323"/>
      <c r="AC1631" s="32" t="s">
        <v>450</v>
      </c>
      <c r="AG1631" s="32" t="s">
        <v>1358</v>
      </c>
      <c r="AH1631" s="32" t="s">
        <v>1542</v>
      </c>
      <c r="AI1631" s="138" t="s">
        <v>1581</v>
      </c>
      <c r="AJ1631" s="32" t="s">
        <v>158</v>
      </c>
      <c r="AK1631" s="140" t="s">
        <v>158</v>
      </c>
      <c r="AL1631" s="32" t="s">
        <v>119</v>
      </c>
      <c r="AT1631" s="32" t="s">
        <v>1145</v>
      </c>
      <c r="AU1631" s="32" t="s">
        <v>1145</v>
      </c>
      <c r="AV1631" s="32" t="s">
        <v>177</v>
      </c>
      <c r="AW1631" s="24" t="s">
        <v>160</v>
      </c>
      <c r="AX1631" s="32">
        <v>2</v>
      </c>
      <c r="AZ1631" s="32" t="s">
        <v>141</v>
      </c>
      <c r="BP1631" s="397"/>
      <c r="BQ1631" s="397"/>
      <c r="BU1631" s="397"/>
      <c r="BV1631" s="397"/>
      <c r="BZ1631" s="397"/>
      <c r="CA1631" s="397"/>
      <c r="CE1631" s="550"/>
      <c r="CF1631" s="550"/>
      <c r="CG1631" s="550"/>
      <c r="CH1631" s="550"/>
      <c r="ER1631" s="32">
        <v>1E-3</v>
      </c>
      <c r="ES1631" s="32">
        <v>0</v>
      </c>
      <c r="EV1631" s="32" t="s">
        <v>1147</v>
      </c>
      <c r="EW1631" s="32">
        <v>258</v>
      </c>
      <c r="EX1631" s="32">
        <v>180</v>
      </c>
      <c r="FA1631" s="32" t="s">
        <v>1146</v>
      </c>
    </row>
    <row r="1632" spans="1:262" s="32" customFormat="1" x14ac:dyDescent="0.25">
      <c r="A1632" s="32">
        <v>75</v>
      </c>
      <c r="B1632" s="44" t="s">
        <v>4092</v>
      </c>
      <c r="C1632" s="32" t="s">
        <v>1137</v>
      </c>
      <c r="D1632" s="32" t="s">
        <v>1138</v>
      </c>
      <c r="E1632" s="32">
        <v>1989</v>
      </c>
      <c r="F1632" s="32">
        <v>1985</v>
      </c>
      <c r="G1632" s="32" t="s">
        <v>418</v>
      </c>
      <c r="H1632" s="32" t="s">
        <v>1139</v>
      </c>
      <c r="I1632" s="24" t="s">
        <v>2815</v>
      </c>
      <c r="J1632" s="32">
        <v>38.950000000000003</v>
      </c>
      <c r="K1632" s="32">
        <v>-91.94</v>
      </c>
      <c r="L1632" s="32">
        <v>251.9</v>
      </c>
      <c r="R1632" s="44" t="s">
        <v>1928</v>
      </c>
      <c r="S1632" s="44" t="s">
        <v>1858</v>
      </c>
      <c r="T1632" s="44" t="s">
        <v>1143</v>
      </c>
      <c r="U1632" s="44" t="s">
        <v>2006</v>
      </c>
      <c r="V1632" s="44" t="s">
        <v>1377</v>
      </c>
      <c r="W1632" s="44" t="s">
        <v>1377</v>
      </c>
      <c r="X1632" s="44" t="s">
        <v>1377</v>
      </c>
      <c r="Y1632" s="44" t="s">
        <v>1377</v>
      </c>
      <c r="AA1632" s="323"/>
      <c r="AB1632" s="323"/>
      <c r="AC1632" s="32" t="s">
        <v>450</v>
      </c>
      <c r="AG1632" s="32" t="s">
        <v>1358</v>
      </c>
      <c r="AH1632" s="32" t="s">
        <v>1542</v>
      </c>
      <c r="AI1632" s="138" t="s">
        <v>1581</v>
      </c>
      <c r="AJ1632" s="32" t="s">
        <v>158</v>
      </c>
      <c r="AK1632" s="140" t="s">
        <v>158</v>
      </c>
      <c r="AL1632" s="32" t="s">
        <v>119</v>
      </c>
      <c r="AT1632" s="32" t="s">
        <v>1145</v>
      </c>
      <c r="AU1632" s="32" t="s">
        <v>1145</v>
      </c>
      <c r="AV1632" s="32" t="s">
        <v>177</v>
      </c>
      <c r="AW1632" s="24" t="s">
        <v>160</v>
      </c>
      <c r="AX1632" s="32">
        <v>2</v>
      </c>
      <c r="AZ1632" s="32" t="s">
        <v>141</v>
      </c>
      <c r="BP1632" s="397"/>
      <c r="BQ1632" s="397"/>
      <c r="BU1632" s="397"/>
      <c r="BV1632" s="397"/>
      <c r="BZ1632" s="397"/>
      <c r="CA1632" s="397"/>
      <c r="CE1632" s="550"/>
      <c r="CF1632" s="550"/>
      <c r="CG1632" s="550"/>
      <c r="CH1632" s="550"/>
      <c r="ER1632" s="32">
        <v>2454</v>
      </c>
      <c r="ES1632" s="32">
        <v>185</v>
      </c>
      <c r="EV1632" s="32" t="s">
        <v>1147</v>
      </c>
      <c r="EW1632" s="32">
        <v>311</v>
      </c>
      <c r="EX1632" s="32">
        <v>217</v>
      </c>
      <c r="FA1632" s="32" t="s">
        <v>1146</v>
      </c>
    </row>
    <row r="1633" spans="1:157" s="24" customFormat="1" x14ac:dyDescent="0.25">
      <c r="A1633" s="24">
        <v>75</v>
      </c>
      <c r="B1633" s="42" t="s">
        <v>4093</v>
      </c>
      <c r="C1633" s="24" t="s">
        <v>1137</v>
      </c>
      <c r="D1633" s="24" t="s">
        <v>1138</v>
      </c>
      <c r="E1633" s="24">
        <v>1989</v>
      </c>
      <c r="F1633" s="24">
        <v>1985</v>
      </c>
      <c r="G1633" s="24" t="s">
        <v>418</v>
      </c>
      <c r="H1633" s="24" t="s">
        <v>1139</v>
      </c>
      <c r="I1633" s="24" t="s">
        <v>2815</v>
      </c>
      <c r="J1633" s="24">
        <v>38.950000000000003</v>
      </c>
      <c r="K1633" s="24">
        <v>-91.94</v>
      </c>
      <c r="L1633" s="24">
        <v>251.9</v>
      </c>
      <c r="R1633" s="42" t="s">
        <v>1847</v>
      </c>
      <c r="S1633" s="42" t="s">
        <v>1858</v>
      </c>
      <c r="T1633" s="42" t="s">
        <v>1144</v>
      </c>
      <c r="U1633" s="42" t="s">
        <v>2006</v>
      </c>
      <c r="V1633" s="42" t="s">
        <v>1377</v>
      </c>
      <c r="W1633" s="42" t="s">
        <v>1377</v>
      </c>
      <c r="X1633" s="42" t="s">
        <v>1377</v>
      </c>
      <c r="Y1633" s="42" t="s">
        <v>1377</v>
      </c>
      <c r="AA1633" s="321"/>
      <c r="AB1633" s="321"/>
      <c r="AC1633" s="24" t="s">
        <v>450</v>
      </c>
      <c r="AG1633" s="24" t="s">
        <v>1358</v>
      </c>
      <c r="AH1633" s="24" t="s">
        <v>1543</v>
      </c>
      <c r="AI1633" s="138" t="s">
        <v>131</v>
      </c>
      <c r="AJ1633" s="24" t="s">
        <v>158</v>
      </c>
      <c r="AK1633" s="140" t="s">
        <v>158</v>
      </c>
      <c r="AL1633" s="24" t="s">
        <v>119</v>
      </c>
      <c r="AT1633" s="24" t="s">
        <v>1145</v>
      </c>
      <c r="AU1633" s="24" t="s">
        <v>1145</v>
      </c>
      <c r="AV1633" s="24" t="s">
        <v>177</v>
      </c>
      <c r="AW1633" s="24" t="s">
        <v>160</v>
      </c>
      <c r="AX1633" s="24">
        <v>2</v>
      </c>
      <c r="AZ1633" s="24" t="s">
        <v>141</v>
      </c>
      <c r="BP1633" s="395"/>
      <c r="BQ1633" s="395"/>
      <c r="BU1633" s="395"/>
      <c r="BV1633" s="395"/>
      <c r="BZ1633" s="395"/>
      <c r="CA1633" s="395"/>
      <c r="CE1633" s="548"/>
      <c r="CF1633" s="548"/>
      <c r="CG1633" s="548"/>
      <c r="CH1633" s="548"/>
      <c r="ER1633" s="24">
        <v>336</v>
      </c>
      <c r="ES1633" s="24">
        <v>0</v>
      </c>
      <c r="EV1633" s="24" t="s">
        <v>1147</v>
      </c>
      <c r="EW1633" s="24">
        <v>4</v>
      </c>
      <c r="EX1633" s="24">
        <v>0</v>
      </c>
      <c r="FA1633" s="24" t="s">
        <v>1146</v>
      </c>
    </row>
    <row r="1634" spans="1:157" s="24" customFormat="1" x14ac:dyDescent="0.25">
      <c r="A1634" s="24">
        <v>75</v>
      </c>
      <c r="B1634" s="42" t="s">
        <v>4093</v>
      </c>
      <c r="C1634" s="24" t="s">
        <v>1137</v>
      </c>
      <c r="D1634" s="24" t="s">
        <v>1138</v>
      </c>
      <c r="E1634" s="24">
        <v>1989</v>
      </c>
      <c r="F1634" s="24">
        <v>1985</v>
      </c>
      <c r="G1634" s="24" t="s">
        <v>418</v>
      </c>
      <c r="H1634" s="24" t="s">
        <v>1139</v>
      </c>
      <c r="I1634" s="24" t="s">
        <v>2815</v>
      </c>
      <c r="J1634" s="24">
        <v>38.950000000000003</v>
      </c>
      <c r="K1634" s="24">
        <v>-91.94</v>
      </c>
      <c r="L1634" s="24">
        <v>251.9</v>
      </c>
      <c r="R1634" s="42" t="s">
        <v>1847</v>
      </c>
      <c r="S1634" s="42" t="s">
        <v>1858</v>
      </c>
      <c r="T1634" s="42" t="s">
        <v>1140</v>
      </c>
      <c r="U1634" s="42" t="s">
        <v>2006</v>
      </c>
      <c r="V1634" s="42" t="s">
        <v>1377</v>
      </c>
      <c r="W1634" s="42" t="s">
        <v>1377</v>
      </c>
      <c r="X1634" s="42" t="s">
        <v>1377</v>
      </c>
      <c r="Y1634" s="42" t="s">
        <v>1377</v>
      </c>
      <c r="AA1634" s="321"/>
      <c r="AB1634" s="321"/>
      <c r="AC1634" s="24" t="s">
        <v>450</v>
      </c>
      <c r="AG1634" s="24" t="s">
        <v>1358</v>
      </c>
      <c r="AH1634" s="24" t="s">
        <v>1543</v>
      </c>
      <c r="AI1634" s="138" t="s">
        <v>131</v>
      </c>
      <c r="AJ1634" s="24" t="s">
        <v>158</v>
      </c>
      <c r="AK1634" s="140" t="s">
        <v>158</v>
      </c>
      <c r="AL1634" s="24" t="s">
        <v>119</v>
      </c>
      <c r="AT1634" s="24" t="s">
        <v>1145</v>
      </c>
      <c r="AU1634" s="24" t="s">
        <v>1145</v>
      </c>
      <c r="AV1634" s="24" t="s">
        <v>177</v>
      </c>
      <c r="AW1634" s="24" t="s">
        <v>160</v>
      </c>
      <c r="AX1634" s="24">
        <v>2</v>
      </c>
      <c r="AZ1634" s="24" t="s">
        <v>141</v>
      </c>
      <c r="BP1634" s="395"/>
      <c r="BQ1634" s="395"/>
      <c r="BU1634" s="395"/>
      <c r="BV1634" s="395"/>
      <c r="BZ1634" s="395"/>
      <c r="CA1634" s="395"/>
      <c r="CE1634" s="548"/>
      <c r="CF1634" s="548"/>
      <c r="CG1634" s="548"/>
      <c r="CH1634" s="548"/>
      <c r="ER1634" s="24">
        <v>1984</v>
      </c>
      <c r="ES1634" s="24">
        <v>213</v>
      </c>
      <c r="EV1634" s="24" t="s">
        <v>1147</v>
      </c>
      <c r="EW1634" s="24">
        <v>53</v>
      </c>
      <c r="EX1634" s="24">
        <v>25</v>
      </c>
      <c r="FA1634" s="24" t="s">
        <v>1146</v>
      </c>
    </row>
    <row r="1635" spans="1:157" s="24" customFormat="1" x14ac:dyDescent="0.25">
      <c r="A1635" s="24">
        <v>75</v>
      </c>
      <c r="B1635" s="42" t="s">
        <v>4093</v>
      </c>
      <c r="C1635" s="24" t="s">
        <v>1137</v>
      </c>
      <c r="D1635" s="24" t="s">
        <v>1138</v>
      </c>
      <c r="E1635" s="24">
        <v>1989</v>
      </c>
      <c r="F1635" s="24">
        <v>1985</v>
      </c>
      <c r="G1635" s="24" t="s">
        <v>418</v>
      </c>
      <c r="H1635" s="24" t="s">
        <v>1139</v>
      </c>
      <c r="I1635" s="24" t="s">
        <v>2815</v>
      </c>
      <c r="J1635" s="24">
        <v>38.950000000000003</v>
      </c>
      <c r="K1635" s="24">
        <v>-91.94</v>
      </c>
      <c r="L1635" s="24">
        <v>251.9</v>
      </c>
      <c r="R1635" s="42" t="s">
        <v>1847</v>
      </c>
      <c r="S1635" s="42" t="s">
        <v>1858</v>
      </c>
      <c r="T1635" s="42" t="s">
        <v>1141</v>
      </c>
      <c r="U1635" s="42" t="s">
        <v>2006</v>
      </c>
      <c r="V1635" s="42" t="s">
        <v>1377</v>
      </c>
      <c r="W1635" s="42" t="s">
        <v>1377</v>
      </c>
      <c r="X1635" s="42" t="s">
        <v>1377</v>
      </c>
      <c r="Y1635" s="42" t="s">
        <v>1377</v>
      </c>
      <c r="AA1635" s="321"/>
      <c r="AB1635" s="321"/>
      <c r="AC1635" s="24" t="s">
        <v>450</v>
      </c>
      <c r="AG1635" s="24" t="s">
        <v>1358</v>
      </c>
      <c r="AH1635" s="24" t="s">
        <v>1543</v>
      </c>
      <c r="AI1635" s="138" t="s">
        <v>131</v>
      </c>
      <c r="AJ1635" s="24" t="s">
        <v>158</v>
      </c>
      <c r="AK1635" s="140" t="s">
        <v>158</v>
      </c>
      <c r="AL1635" s="24" t="s">
        <v>119</v>
      </c>
      <c r="AT1635" s="24" t="s">
        <v>1145</v>
      </c>
      <c r="AU1635" s="24" t="s">
        <v>1145</v>
      </c>
      <c r="AV1635" s="24" t="s">
        <v>177</v>
      </c>
      <c r="AW1635" s="24" t="s">
        <v>160</v>
      </c>
      <c r="AX1635" s="24">
        <v>2</v>
      </c>
      <c r="AZ1635" s="24" t="s">
        <v>141</v>
      </c>
      <c r="BP1635" s="395"/>
      <c r="BQ1635" s="395"/>
      <c r="BU1635" s="395"/>
      <c r="BV1635" s="395"/>
      <c r="BZ1635" s="395"/>
      <c r="CA1635" s="395"/>
      <c r="CE1635" s="548"/>
      <c r="CF1635" s="548"/>
      <c r="CG1635" s="548"/>
      <c r="CH1635" s="548"/>
      <c r="ER1635" s="24">
        <v>1E-3</v>
      </c>
      <c r="ES1635" s="24">
        <v>0</v>
      </c>
      <c r="EV1635" s="24" t="s">
        <v>1147</v>
      </c>
      <c r="EW1635" s="24">
        <v>3</v>
      </c>
      <c r="EX1635" s="24">
        <v>0</v>
      </c>
      <c r="FA1635" s="24" t="s">
        <v>1146</v>
      </c>
    </row>
    <row r="1636" spans="1:157" s="24" customFormat="1" x14ac:dyDescent="0.25">
      <c r="A1636" s="24">
        <v>75</v>
      </c>
      <c r="B1636" s="42" t="s">
        <v>4093</v>
      </c>
      <c r="C1636" s="24" t="s">
        <v>1137</v>
      </c>
      <c r="D1636" s="24" t="s">
        <v>1138</v>
      </c>
      <c r="E1636" s="24">
        <v>1989</v>
      </c>
      <c r="F1636" s="24">
        <v>1985</v>
      </c>
      <c r="G1636" s="24" t="s">
        <v>418</v>
      </c>
      <c r="H1636" s="24" t="s">
        <v>1139</v>
      </c>
      <c r="I1636" s="24" t="s">
        <v>2815</v>
      </c>
      <c r="J1636" s="24">
        <v>38.950000000000003</v>
      </c>
      <c r="K1636" s="24">
        <v>-91.94</v>
      </c>
      <c r="L1636" s="24">
        <v>251.9</v>
      </c>
      <c r="R1636" s="42" t="s">
        <v>1847</v>
      </c>
      <c r="S1636" s="42" t="s">
        <v>1858</v>
      </c>
      <c r="T1636" s="42" t="s">
        <v>1142</v>
      </c>
      <c r="U1636" s="42" t="s">
        <v>2006</v>
      </c>
      <c r="V1636" s="42" t="s">
        <v>1377</v>
      </c>
      <c r="W1636" s="42" t="s">
        <v>1377</v>
      </c>
      <c r="X1636" s="42" t="s">
        <v>1377</v>
      </c>
      <c r="Y1636" s="42" t="s">
        <v>1377</v>
      </c>
      <c r="AA1636" s="321"/>
      <c r="AB1636" s="321"/>
      <c r="AC1636" s="24" t="s">
        <v>450</v>
      </c>
      <c r="AG1636" s="24" t="s">
        <v>1358</v>
      </c>
      <c r="AH1636" s="24" t="s">
        <v>1543</v>
      </c>
      <c r="AI1636" s="138" t="s">
        <v>131</v>
      </c>
      <c r="AJ1636" s="24" t="s">
        <v>158</v>
      </c>
      <c r="AK1636" s="140" t="s">
        <v>158</v>
      </c>
      <c r="AL1636" s="24" t="s">
        <v>119</v>
      </c>
      <c r="AT1636" s="24" t="s">
        <v>1145</v>
      </c>
      <c r="AU1636" s="24" t="s">
        <v>1145</v>
      </c>
      <c r="AV1636" s="24" t="s">
        <v>177</v>
      </c>
      <c r="AW1636" s="24" t="s">
        <v>160</v>
      </c>
      <c r="AX1636" s="24">
        <v>2</v>
      </c>
      <c r="AZ1636" s="24" t="s">
        <v>141</v>
      </c>
      <c r="BP1636" s="395"/>
      <c r="BQ1636" s="395"/>
      <c r="BU1636" s="395"/>
      <c r="BV1636" s="395"/>
      <c r="BZ1636" s="395"/>
      <c r="CA1636" s="395"/>
      <c r="CE1636" s="548"/>
      <c r="CF1636" s="548"/>
      <c r="CG1636" s="548"/>
      <c r="CH1636" s="548"/>
      <c r="ER1636" s="24">
        <v>1E-3</v>
      </c>
      <c r="ES1636" s="24">
        <v>0</v>
      </c>
      <c r="EV1636" s="24" t="s">
        <v>1147</v>
      </c>
      <c r="EW1636" s="24">
        <v>258</v>
      </c>
      <c r="EX1636" s="24">
        <v>136</v>
      </c>
      <c r="FA1636" s="24" t="s">
        <v>1146</v>
      </c>
    </row>
    <row r="1637" spans="1:157" s="24" customFormat="1" x14ac:dyDescent="0.25">
      <c r="A1637" s="24">
        <v>75</v>
      </c>
      <c r="B1637" s="42" t="s">
        <v>4093</v>
      </c>
      <c r="C1637" s="24" t="s">
        <v>1137</v>
      </c>
      <c r="D1637" s="24" t="s">
        <v>1138</v>
      </c>
      <c r="E1637" s="24">
        <v>1989</v>
      </c>
      <c r="F1637" s="24">
        <v>1985</v>
      </c>
      <c r="G1637" s="24" t="s">
        <v>418</v>
      </c>
      <c r="H1637" s="24" t="s">
        <v>1139</v>
      </c>
      <c r="I1637" s="24" t="s">
        <v>2815</v>
      </c>
      <c r="J1637" s="24">
        <v>38.950000000000003</v>
      </c>
      <c r="K1637" s="24">
        <v>-91.94</v>
      </c>
      <c r="L1637" s="24">
        <v>251.9</v>
      </c>
      <c r="R1637" s="42" t="s">
        <v>1847</v>
      </c>
      <c r="S1637" s="42" t="s">
        <v>1858</v>
      </c>
      <c r="T1637" s="42" t="s">
        <v>1143</v>
      </c>
      <c r="U1637" s="42" t="s">
        <v>2006</v>
      </c>
      <c r="V1637" s="42" t="s">
        <v>1377</v>
      </c>
      <c r="W1637" s="42" t="s">
        <v>1377</v>
      </c>
      <c r="X1637" s="42" t="s">
        <v>1377</v>
      </c>
      <c r="Y1637" s="42" t="s">
        <v>1377</v>
      </c>
      <c r="AA1637" s="321"/>
      <c r="AB1637" s="321"/>
      <c r="AC1637" s="24" t="s">
        <v>450</v>
      </c>
      <c r="AG1637" s="24" t="s">
        <v>1358</v>
      </c>
      <c r="AH1637" s="24" t="s">
        <v>1543</v>
      </c>
      <c r="AI1637" s="138" t="s">
        <v>131</v>
      </c>
      <c r="AJ1637" s="24" t="s">
        <v>158</v>
      </c>
      <c r="AK1637" s="140" t="s">
        <v>158</v>
      </c>
      <c r="AL1637" s="24" t="s">
        <v>119</v>
      </c>
      <c r="AT1637" s="24" t="s">
        <v>1145</v>
      </c>
      <c r="AU1637" s="24" t="s">
        <v>1145</v>
      </c>
      <c r="AV1637" s="24" t="s">
        <v>177</v>
      </c>
      <c r="AW1637" s="24" t="s">
        <v>160</v>
      </c>
      <c r="AX1637" s="24">
        <v>2</v>
      </c>
      <c r="AZ1637" s="24" t="s">
        <v>141</v>
      </c>
      <c r="BP1637" s="395"/>
      <c r="BQ1637" s="395"/>
      <c r="BU1637" s="395"/>
      <c r="BV1637" s="395"/>
      <c r="BZ1637" s="395"/>
      <c r="CA1637" s="395"/>
      <c r="CE1637" s="548"/>
      <c r="CF1637" s="548"/>
      <c r="CG1637" s="548"/>
      <c r="CH1637" s="548"/>
      <c r="ER1637" s="24">
        <v>2454</v>
      </c>
      <c r="ES1637" s="24">
        <v>235</v>
      </c>
      <c r="EV1637" s="24" t="s">
        <v>1147</v>
      </c>
      <c r="EW1637" s="24">
        <v>311</v>
      </c>
      <c r="EX1637" s="24">
        <v>200</v>
      </c>
      <c r="FA1637" s="24" t="s">
        <v>1146</v>
      </c>
    </row>
    <row r="1638" spans="1:157" s="101" customFormat="1" x14ac:dyDescent="0.25">
      <c r="A1638" s="101">
        <v>75</v>
      </c>
      <c r="B1638" s="102" t="s">
        <v>4091</v>
      </c>
      <c r="C1638" s="101" t="s">
        <v>1137</v>
      </c>
      <c r="D1638" s="101" t="s">
        <v>1138</v>
      </c>
      <c r="E1638" s="101">
        <v>1989</v>
      </c>
      <c r="F1638" s="101">
        <v>1986</v>
      </c>
      <c r="G1638" s="101" t="s">
        <v>418</v>
      </c>
      <c r="H1638" s="101" t="s">
        <v>1139</v>
      </c>
      <c r="I1638" s="24" t="s">
        <v>2815</v>
      </c>
      <c r="J1638" s="101">
        <v>38.950000000000003</v>
      </c>
      <c r="K1638" s="101">
        <v>-91.94</v>
      </c>
      <c r="L1638" s="101">
        <v>251.9</v>
      </c>
      <c r="R1638" s="102" t="s">
        <v>1728</v>
      </c>
      <c r="S1638" s="102" t="s">
        <v>1858</v>
      </c>
      <c r="T1638" s="102" t="s">
        <v>1144</v>
      </c>
      <c r="U1638" s="42" t="s">
        <v>2006</v>
      </c>
      <c r="V1638" s="42" t="s">
        <v>1377</v>
      </c>
      <c r="W1638" s="42" t="s">
        <v>1377</v>
      </c>
      <c r="X1638" s="42" t="s">
        <v>1377</v>
      </c>
      <c r="Y1638" s="42" t="s">
        <v>1377</v>
      </c>
      <c r="AA1638" s="352"/>
      <c r="AB1638" s="352"/>
      <c r="AC1638" s="101" t="s">
        <v>450</v>
      </c>
      <c r="AG1638" s="101" t="s">
        <v>1358</v>
      </c>
      <c r="AH1638" s="101" t="s">
        <v>1541</v>
      </c>
      <c r="AI1638" s="138" t="s">
        <v>1584</v>
      </c>
      <c r="AJ1638" s="101" t="s">
        <v>158</v>
      </c>
      <c r="AK1638" s="145" t="s">
        <v>158</v>
      </c>
      <c r="AL1638" s="101" t="s">
        <v>119</v>
      </c>
      <c r="AT1638" s="101" t="s">
        <v>1145</v>
      </c>
      <c r="AU1638" s="101" t="s">
        <v>1145</v>
      </c>
      <c r="AV1638" s="101" t="s">
        <v>177</v>
      </c>
      <c r="AW1638" s="24" t="s">
        <v>160</v>
      </c>
      <c r="AX1638" s="101">
        <v>2</v>
      </c>
      <c r="AZ1638" s="101" t="s">
        <v>141</v>
      </c>
      <c r="BP1638" s="427"/>
      <c r="BQ1638" s="427"/>
      <c r="BU1638" s="427"/>
      <c r="BV1638" s="427"/>
      <c r="BZ1638" s="427"/>
      <c r="CA1638" s="427"/>
      <c r="CE1638" s="580"/>
      <c r="CF1638" s="580"/>
      <c r="CG1638" s="580"/>
      <c r="CH1638" s="580"/>
      <c r="ER1638" s="101">
        <v>562</v>
      </c>
      <c r="ES1638" s="101">
        <v>45</v>
      </c>
      <c r="EV1638" s="101" t="s">
        <v>1147</v>
      </c>
      <c r="EW1638" s="101">
        <v>10</v>
      </c>
      <c r="EX1638" s="101">
        <v>1</v>
      </c>
      <c r="FA1638" s="101" t="s">
        <v>1146</v>
      </c>
    </row>
    <row r="1639" spans="1:157" s="101" customFormat="1" x14ac:dyDescent="0.25">
      <c r="A1639" s="101">
        <v>75</v>
      </c>
      <c r="B1639" s="102" t="s">
        <v>4091</v>
      </c>
      <c r="C1639" s="101" t="s">
        <v>1137</v>
      </c>
      <c r="D1639" s="101" t="s">
        <v>1138</v>
      </c>
      <c r="E1639" s="101">
        <v>1989</v>
      </c>
      <c r="F1639" s="101">
        <v>1986</v>
      </c>
      <c r="G1639" s="101" t="s">
        <v>418</v>
      </c>
      <c r="H1639" s="101" t="s">
        <v>1139</v>
      </c>
      <c r="I1639" s="24" t="s">
        <v>2815</v>
      </c>
      <c r="J1639" s="101">
        <v>38.950000000000003</v>
      </c>
      <c r="K1639" s="101">
        <v>-91.94</v>
      </c>
      <c r="L1639" s="101">
        <v>251.9</v>
      </c>
      <c r="R1639" s="102" t="s">
        <v>1728</v>
      </c>
      <c r="S1639" s="102" t="s">
        <v>1858</v>
      </c>
      <c r="T1639" s="102" t="s">
        <v>1140</v>
      </c>
      <c r="U1639" s="42" t="s">
        <v>2006</v>
      </c>
      <c r="V1639" s="42" t="s">
        <v>1377</v>
      </c>
      <c r="W1639" s="42" t="s">
        <v>1377</v>
      </c>
      <c r="X1639" s="42" t="s">
        <v>1377</v>
      </c>
      <c r="Y1639" s="42" t="s">
        <v>1377</v>
      </c>
      <c r="AA1639" s="352"/>
      <c r="AB1639" s="352"/>
      <c r="AC1639" s="101" t="s">
        <v>450</v>
      </c>
      <c r="AG1639" s="101" t="s">
        <v>1358</v>
      </c>
      <c r="AH1639" s="101" t="s">
        <v>1541</v>
      </c>
      <c r="AI1639" s="138" t="s">
        <v>1584</v>
      </c>
      <c r="AJ1639" s="101" t="s">
        <v>158</v>
      </c>
      <c r="AK1639" s="145" t="s">
        <v>158</v>
      </c>
      <c r="AL1639" s="101" t="s">
        <v>119</v>
      </c>
      <c r="AT1639" s="101" t="s">
        <v>1145</v>
      </c>
      <c r="AU1639" s="101" t="s">
        <v>1145</v>
      </c>
      <c r="AV1639" s="101" t="s">
        <v>177</v>
      </c>
      <c r="AW1639" s="24" t="s">
        <v>160</v>
      </c>
      <c r="AX1639" s="101">
        <v>2</v>
      </c>
      <c r="AZ1639" s="101" t="s">
        <v>141</v>
      </c>
      <c r="BP1639" s="427"/>
      <c r="BQ1639" s="427"/>
      <c r="BU1639" s="427"/>
      <c r="BV1639" s="427"/>
      <c r="BZ1639" s="427"/>
      <c r="CA1639" s="427"/>
      <c r="CE1639" s="580"/>
      <c r="CF1639" s="580"/>
      <c r="CG1639" s="580"/>
      <c r="CH1639" s="580"/>
      <c r="ER1639" s="101">
        <v>1E-3</v>
      </c>
      <c r="ES1639" s="101">
        <v>0</v>
      </c>
      <c r="EV1639" s="101" t="s">
        <v>1147</v>
      </c>
      <c r="EW1639" s="101">
        <v>1</v>
      </c>
      <c r="EX1639" s="101">
        <v>0</v>
      </c>
      <c r="FA1639" s="101" t="s">
        <v>1146</v>
      </c>
    </row>
    <row r="1640" spans="1:157" s="101" customFormat="1" x14ac:dyDescent="0.25">
      <c r="A1640" s="101">
        <v>75</v>
      </c>
      <c r="B1640" s="102" t="s">
        <v>4091</v>
      </c>
      <c r="C1640" s="101" t="s">
        <v>1137</v>
      </c>
      <c r="D1640" s="101" t="s">
        <v>1138</v>
      </c>
      <c r="E1640" s="101">
        <v>1989</v>
      </c>
      <c r="F1640" s="101">
        <v>1986</v>
      </c>
      <c r="G1640" s="101" t="s">
        <v>418</v>
      </c>
      <c r="H1640" s="101" t="s">
        <v>1139</v>
      </c>
      <c r="I1640" s="24" t="s">
        <v>2815</v>
      </c>
      <c r="J1640" s="101">
        <v>38.950000000000003</v>
      </c>
      <c r="K1640" s="101">
        <v>-91.94</v>
      </c>
      <c r="L1640" s="101">
        <v>251.9</v>
      </c>
      <c r="R1640" s="102" t="s">
        <v>1728</v>
      </c>
      <c r="S1640" s="102" t="s">
        <v>1858</v>
      </c>
      <c r="T1640" s="102" t="s">
        <v>1141</v>
      </c>
      <c r="U1640" s="42" t="s">
        <v>2006</v>
      </c>
      <c r="V1640" s="42" t="s">
        <v>1377</v>
      </c>
      <c r="W1640" s="42" t="s">
        <v>1377</v>
      </c>
      <c r="X1640" s="42" t="s">
        <v>1377</v>
      </c>
      <c r="Y1640" s="42" t="s">
        <v>1377</v>
      </c>
      <c r="AA1640" s="352"/>
      <c r="AB1640" s="352"/>
      <c r="AC1640" s="101" t="s">
        <v>450</v>
      </c>
      <c r="AG1640" s="101" t="s">
        <v>1358</v>
      </c>
      <c r="AH1640" s="101" t="s">
        <v>1541</v>
      </c>
      <c r="AI1640" s="138" t="s">
        <v>1584</v>
      </c>
      <c r="AJ1640" s="101" t="s">
        <v>158</v>
      </c>
      <c r="AK1640" s="145" t="s">
        <v>158</v>
      </c>
      <c r="AL1640" s="101" t="s">
        <v>119</v>
      </c>
      <c r="AT1640" s="101" t="s">
        <v>1145</v>
      </c>
      <c r="AU1640" s="101" t="s">
        <v>1145</v>
      </c>
      <c r="AV1640" s="101" t="s">
        <v>177</v>
      </c>
      <c r="AW1640" s="24" t="s">
        <v>160</v>
      </c>
      <c r="AX1640" s="101">
        <v>2</v>
      </c>
      <c r="AZ1640" s="101" t="s">
        <v>141</v>
      </c>
      <c r="BP1640" s="427"/>
      <c r="BQ1640" s="427"/>
      <c r="BU1640" s="427"/>
      <c r="BV1640" s="427"/>
      <c r="BZ1640" s="427"/>
      <c r="CA1640" s="427"/>
      <c r="CE1640" s="580"/>
      <c r="CF1640" s="580"/>
      <c r="CG1640" s="580"/>
      <c r="CH1640" s="580"/>
      <c r="ER1640" s="101">
        <v>1E-3</v>
      </c>
      <c r="ES1640" s="101">
        <v>0</v>
      </c>
      <c r="EV1640" s="101" t="s">
        <v>1147</v>
      </c>
      <c r="EW1640" s="101">
        <v>7</v>
      </c>
      <c r="EX1640" s="101">
        <v>1</v>
      </c>
      <c r="FA1640" s="101" t="s">
        <v>1146</v>
      </c>
    </row>
    <row r="1641" spans="1:157" s="101" customFormat="1" x14ac:dyDescent="0.25">
      <c r="A1641" s="101">
        <v>75</v>
      </c>
      <c r="B1641" s="102" t="s">
        <v>4091</v>
      </c>
      <c r="C1641" s="101" t="s">
        <v>1137</v>
      </c>
      <c r="D1641" s="101" t="s">
        <v>1138</v>
      </c>
      <c r="E1641" s="101">
        <v>1989</v>
      </c>
      <c r="F1641" s="101">
        <v>1986</v>
      </c>
      <c r="G1641" s="101" t="s">
        <v>418</v>
      </c>
      <c r="H1641" s="101" t="s">
        <v>1139</v>
      </c>
      <c r="I1641" s="24" t="s">
        <v>2815</v>
      </c>
      <c r="J1641" s="101">
        <v>38.950000000000003</v>
      </c>
      <c r="K1641" s="101">
        <v>-91.94</v>
      </c>
      <c r="L1641" s="101">
        <v>251.9</v>
      </c>
      <c r="R1641" s="102" t="s">
        <v>1728</v>
      </c>
      <c r="S1641" s="102" t="s">
        <v>1858</v>
      </c>
      <c r="T1641" s="102" t="s">
        <v>1142</v>
      </c>
      <c r="U1641" s="42" t="s">
        <v>2006</v>
      </c>
      <c r="V1641" s="42" t="s">
        <v>1377</v>
      </c>
      <c r="W1641" s="42" t="s">
        <v>1377</v>
      </c>
      <c r="X1641" s="42" t="s">
        <v>1377</v>
      </c>
      <c r="Y1641" s="42" t="s">
        <v>1377</v>
      </c>
      <c r="AA1641" s="352"/>
      <c r="AB1641" s="352"/>
      <c r="AC1641" s="101" t="s">
        <v>450</v>
      </c>
      <c r="AG1641" s="101" t="s">
        <v>1358</v>
      </c>
      <c r="AH1641" s="101" t="s">
        <v>1541</v>
      </c>
      <c r="AI1641" s="138" t="s">
        <v>1584</v>
      </c>
      <c r="AJ1641" s="101" t="s">
        <v>158</v>
      </c>
      <c r="AK1641" s="145" t="s">
        <v>158</v>
      </c>
      <c r="AL1641" s="101" t="s">
        <v>119</v>
      </c>
      <c r="AT1641" s="101" t="s">
        <v>1145</v>
      </c>
      <c r="AU1641" s="101" t="s">
        <v>1145</v>
      </c>
      <c r="AV1641" s="101" t="s">
        <v>177</v>
      </c>
      <c r="AW1641" s="24" t="s">
        <v>160</v>
      </c>
      <c r="AX1641" s="101">
        <v>2</v>
      </c>
      <c r="AZ1641" s="101" t="s">
        <v>141</v>
      </c>
      <c r="BP1641" s="427"/>
      <c r="BQ1641" s="427"/>
      <c r="BU1641" s="427"/>
      <c r="BV1641" s="427"/>
      <c r="BZ1641" s="427"/>
      <c r="CA1641" s="427"/>
      <c r="CE1641" s="580"/>
      <c r="CF1641" s="580"/>
      <c r="CG1641" s="580"/>
      <c r="CH1641" s="580"/>
      <c r="ER1641" s="101">
        <v>1E-3</v>
      </c>
      <c r="ES1641" s="101">
        <v>0</v>
      </c>
      <c r="EV1641" s="101" t="s">
        <v>1147</v>
      </c>
      <c r="EW1641" s="101">
        <v>92</v>
      </c>
      <c r="EX1641" s="101">
        <v>15</v>
      </c>
      <c r="FA1641" s="101" t="s">
        <v>1146</v>
      </c>
    </row>
    <row r="1642" spans="1:157" s="101" customFormat="1" x14ac:dyDescent="0.25">
      <c r="A1642" s="101">
        <v>75</v>
      </c>
      <c r="B1642" s="102" t="s">
        <v>4091</v>
      </c>
      <c r="C1642" s="101" t="s">
        <v>1137</v>
      </c>
      <c r="D1642" s="101" t="s">
        <v>1138</v>
      </c>
      <c r="E1642" s="101">
        <v>1989</v>
      </c>
      <c r="F1642" s="101">
        <v>1986</v>
      </c>
      <c r="G1642" s="101" t="s">
        <v>418</v>
      </c>
      <c r="H1642" s="101" t="s">
        <v>1139</v>
      </c>
      <c r="I1642" s="24" t="s">
        <v>2815</v>
      </c>
      <c r="J1642" s="101">
        <v>38.950000000000003</v>
      </c>
      <c r="K1642" s="101">
        <v>-91.94</v>
      </c>
      <c r="L1642" s="101">
        <v>251.9</v>
      </c>
      <c r="R1642" s="102" t="s">
        <v>1728</v>
      </c>
      <c r="S1642" s="102" t="s">
        <v>1858</v>
      </c>
      <c r="T1642" s="102" t="s">
        <v>1143</v>
      </c>
      <c r="U1642" s="42" t="s">
        <v>2006</v>
      </c>
      <c r="V1642" s="42" t="s">
        <v>1377</v>
      </c>
      <c r="W1642" s="42" t="s">
        <v>1377</v>
      </c>
      <c r="X1642" s="42" t="s">
        <v>1377</v>
      </c>
      <c r="Y1642" s="42" t="s">
        <v>1377</v>
      </c>
      <c r="AA1642" s="352"/>
      <c r="AB1642" s="352"/>
      <c r="AC1642" s="101" t="s">
        <v>450</v>
      </c>
      <c r="AG1642" s="101" t="s">
        <v>1358</v>
      </c>
      <c r="AH1642" s="101" t="s">
        <v>1541</v>
      </c>
      <c r="AI1642" s="138" t="s">
        <v>1584</v>
      </c>
      <c r="AJ1642" s="101" t="s">
        <v>158</v>
      </c>
      <c r="AK1642" s="145" t="s">
        <v>158</v>
      </c>
      <c r="AL1642" s="101" t="s">
        <v>119</v>
      </c>
      <c r="AT1642" s="101" t="s">
        <v>1145</v>
      </c>
      <c r="AU1642" s="101" t="s">
        <v>1145</v>
      </c>
      <c r="AV1642" s="101" t="s">
        <v>177</v>
      </c>
      <c r="AW1642" s="24" t="s">
        <v>160</v>
      </c>
      <c r="AX1642" s="101">
        <v>2</v>
      </c>
      <c r="AZ1642" s="101" t="s">
        <v>141</v>
      </c>
      <c r="BP1642" s="427"/>
      <c r="BQ1642" s="427"/>
      <c r="BU1642" s="427"/>
      <c r="BV1642" s="427"/>
      <c r="BZ1642" s="427"/>
      <c r="CA1642" s="427"/>
      <c r="CE1642" s="580"/>
      <c r="CF1642" s="580"/>
      <c r="CG1642" s="580"/>
      <c r="CH1642" s="580"/>
      <c r="ER1642" s="101">
        <v>562</v>
      </c>
      <c r="ES1642" s="101">
        <v>45</v>
      </c>
      <c r="EV1642" s="101" t="s">
        <v>1147</v>
      </c>
      <c r="EW1642" s="101">
        <v>151</v>
      </c>
      <c r="EX1642" s="101">
        <v>52</v>
      </c>
      <c r="FA1642" s="101" t="s">
        <v>1146</v>
      </c>
    </row>
    <row r="1643" spans="1:157" s="105" customFormat="1" x14ac:dyDescent="0.25">
      <c r="A1643" s="105">
        <v>75</v>
      </c>
      <c r="B1643" s="106" t="s">
        <v>4092</v>
      </c>
      <c r="C1643" s="105" t="s">
        <v>1137</v>
      </c>
      <c r="D1643" s="105" t="s">
        <v>1138</v>
      </c>
      <c r="E1643" s="105">
        <v>1989</v>
      </c>
      <c r="F1643" s="105">
        <v>1986</v>
      </c>
      <c r="G1643" s="105" t="s">
        <v>418</v>
      </c>
      <c r="H1643" s="105" t="s">
        <v>1139</v>
      </c>
      <c r="I1643" s="24" t="s">
        <v>2815</v>
      </c>
      <c r="J1643" s="105">
        <v>38.950000000000003</v>
      </c>
      <c r="K1643" s="105">
        <v>-91.94</v>
      </c>
      <c r="L1643" s="105">
        <v>251.9</v>
      </c>
      <c r="R1643" s="106" t="s">
        <v>1728</v>
      </c>
      <c r="S1643" s="106" t="s">
        <v>1858</v>
      </c>
      <c r="T1643" s="106" t="s">
        <v>1144</v>
      </c>
      <c r="U1643" s="106" t="s">
        <v>2006</v>
      </c>
      <c r="V1643" s="106" t="s">
        <v>1377</v>
      </c>
      <c r="W1643" s="106" t="s">
        <v>1377</v>
      </c>
      <c r="X1643" s="106" t="s">
        <v>1377</v>
      </c>
      <c r="Y1643" s="106" t="s">
        <v>1377</v>
      </c>
      <c r="AA1643" s="354"/>
      <c r="AB1643" s="354"/>
      <c r="AC1643" s="105" t="s">
        <v>450</v>
      </c>
      <c r="AG1643" s="105" t="s">
        <v>1358</v>
      </c>
      <c r="AH1643" s="105" t="s">
        <v>1542</v>
      </c>
      <c r="AI1643" s="138" t="s">
        <v>1581</v>
      </c>
      <c r="AJ1643" s="105" t="s">
        <v>158</v>
      </c>
      <c r="AK1643" s="145" t="s">
        <v>158</v>
      </c>
      <c r="AL1643" s="105" t="s">
        <v>119</v>
      </c>
      <c r="AT1643" s="105" t="s">
        <v>1145</v>
      </c>
      <c r="AU1643" s="105" t="s">
        <v>1145</v>
      </c>
      <c r="AV1643" s="105" t="s">
        <v>177</v>
      </c>
      <c r="AW1643" s="24" t="s">
        <v>160</v>
      </c>
      <c r="AX1643" s="105">
        <v>2</v>
      </c>
      <c r="AZ1643" s="105" t="s">
        <v>141</v>
      </c>
      <c r="BP1643" s="429"/>
      <c r="BQ1643" s="429"/>
      <c r="BU1643" s="429"/>
      <c r="BV1643" s="429"/>
      <c r="BZ1643" s="429"/>
      <c r="CA1643" s="429"/>
      <c r="CE1643" s="582"/>
      <c r="CF1643" s="582"/>
      <c r="CG1643" s="582"/>
      <c r="CH1643" s="582"/>
      <c r="ER1643" s="105">
        <v>562</v>
      </c>
      <c r="ES1643" s="105">
        <v>0</v>
      </c>
      <c r="EV1643" s="105" t="s">
        <v>1147</v>
      </c>
      <c r="EW1643" s="105">
        <v>10</v>
      </c>
      <c r="EX1643" s="105">
        <v>0</v>
      </c>
      <c r="FA1643" s="105" t="s">
        <v>1146</v>
      </c>
    </row>
    <row r="1644" spans="1:157" s="105" customFormat="1" x14ac:dyDescent="0.25">
      <c r="A1644" s="105">
        <v>75</v>
      </c>
      <c r="B1644" s="106" t="s">
        <v>4092</v>
      </c>
      <c r="C1644" s="105" t="s">
        <v>1137</v>
      </c>
      <c r="D1644" s="105" t="s">
        <v>1138</v>
      </c>
      <c r="E1644" s="105">
        <v>1989</v>
      </c>
      <c r="F1644" s="105">
        <v>1986</v>
      </c>
      <c r="G1644" s="105" t="s">
        <v>418</v>
      </c>
      <c r="H1644" s="105" t="s">
        <v>1139</v>
      </c>
      <c r="I1644" s="24" t="s">
        <v>2815</v>
      </c>
      <c r="J1644" s="105">
        <v>38.950000000000003</v>
      </c>
      <c r="K1644" s="105">
        <v>-91.94</v>
      </c>
      <c r="L1644" s="105">
        <v>251.9</v>
      </c>
      <c r="R1644" s="106" t="s">
        <v>1728</v>
      </c>
      <c r="S1644" s="106" t="s">
        <v>1858</v>
      </c>
      <c r="T1644" s="106" t="s">
        <v>1140</v>
      </c>
      <c r="U1644" s="106" t="s">
        <v>2006</v>
      </c>
      <c r="V1644" s="106" t="s">
        <v>1377</v>
      </c>
      <c r="W1644" s="106" t="s">
        <v>1377</v>
      </c>
      <c r="X1644" s="106" t="s">
        <v>1377</v>
      </c>
      <c r="Y1644" s="106" t="s">
        <v>1377</v>
      </c>
      <c r="AA1644" s="354"/>
      <c r="AB1644" s="354"/>
      <c r="AC1644" s="105" t="s">
        <v>450</v>
      </c>
      <c r="AG1644" s="105" t="s">
        <v>1358</v>
      </c>
      <c r="AH1644" s="105" t="s">
        <v>1542</v>
      </c>
      <c r="AI1644" s="138" t="s">
        <v>1581</v>
      </c>
      <c r="AJ1644" s="105" t="s">
        <v>158</v>
      </c>
      <c r="AK1644" s="145" t="s">
        <v>158</v>
      </c>
      <c r="AL1644" s="105" t="s">
        <v>119</v>
      </c>
      <c r="AT1644" s="105" t="s">
        <v>1145</v>
      </c>
      <c r="AU1644" s="105" t="s">
        <v>1145</v>
      </c>
      <c r="AV1644" s="105" t="s">
        <v>177</v>
      </c>
      <c r="AW1644" s="24" t="s">
        <v>160</v>
      </c>
      <c r="AX1644" s="105">
        <v>2</v>
      </c>
      <c r="AZ1644" s="105" t="s">
        <v>141</v>
      </c>
      <c r="BP1644" s="429"/>
      <c r="BQ1644" s="429"/>
      <c r="BU1644" s="429"/>
      <c r="BV1644" s="429"/>
      <c r="BZ1644" s="429"/>
      <c r="CA1644" s="429"/>
      <c r="CE1644" s="582"/>
      <c r="CF1644" s="582"/>
      <c r="CG1644" s="582"/>
      <c r="CH1644" s="582"/>
      <c r="ER1644" s="105">
        <v>1E-3</v>
      </c>
      <c r="ES1644" s="105">
        <v>0</v>
      </c>
      <c r="EV1644" s="105" t="s">
        <v>1147</v>
      </c>
      <c r="EW1644" s="105">
        <v>1</v>
      </c>
      <c r="EX1644" s="105">
        <v>0</v>
      </c>
      <c r="FA1644" s="105" t="s">
        <v>1146</v>
      </c>
    </row>
    <row r="1645" spans="1:157" s="105" customFormat="1" x14ac:dyDescent="0.25">
      <c r="A1645" s="105">
        <v>75</v>
      </c>
      <c r="B1645" s="106" t="s">
        <v>4092</v>
      </c>
      <c r="C1645" s="105" t="s">
        <v>1137</v>
      </c>
      <c r="D1645" s="105" t="s">
        <v>1138</v>
      </c>
      <c r="E1645" s="105">
        <v>1989</v>
      </c>
      <c r="F1645" s="105">
        <v>1986</v>
      </c>
      <c r="G1645" s="105" t="s">
        <v>418</v>
      </c>
      <c r="H1645" s="105" t="s">
        <v>1139</v>
      </c>
      <c r="I1645" s="24" t="s">
        <v>2815</v>
      </c>
      <c r="J1645" s="105">
        <v>38.950000000000003</v>
      </c>
      <c r="K1645" s="105">
        <v>-91.94</v>
      </c>
      <c r="L1645" s="105">
        <v>251.9</v>
      </c>
      <c r="R1645" s="106" t="s">
        <v>1728</v>
      </c>
      <c r="S1645" s="106" t="s">
        <v>1858</v>
      </c>
      <c r="T1645" s="106" t="s">
        <v>1141</v>
      </c>
      <c r="U1645" s="106" t="s">
        <v>2006</v>
      </c>
      <c r="V1645" s="106" t="s">
        <v>1377</v>
      </c>
      <c r="W1645" s="106" t="s">
        <v>1377</v>
      </c>
      <c r="X1645" s="106" t="s">
        <v>1377</v>
      </c>
      <c r="Y1645" s="106" t="s">
        <v>1377</v>
      </c>
      <c r="AA1645" s="354"/>
      <c r="AB1645" s="354"/>
      <c r="AC1645" s="105" t="s">
        <v>450</v>
      </c>
      <c r="AG1645" s="105" t="s">
        <v>1358</v>
      </c>
      <c r="AH1645" s="105" t="s">
        <v>1542</v>
      </c>
      <c r="AI1645" s="138" t="s">
        <v>1581</v>
      </c>
      <c r="AJ1645" s="105" t="s">
        <v>158</v>
      </c>
      <c r="AK1645" s="145" t="s">
        <v>158</v>
      </c>
      <c r="AL1645" s="105" t="s">
        <v>119</v>
      </c>
      <c r="AT1645" s="105" t="s">
        <v>1145</v>
      </c>
      <c r="AU1645" s="105" t="s">
        <v>1145</v>
      </c>
      <c r="AV1645" s="105" t="s">
        <v>177</v>
      </c>
      <c r="AW1645" s="24" t="s">
        <v>160</v>
      </c>
      <c r="AX1645" s="105">
        <v>2</v>
      </c>
      <c r="AZ1645" s="105" t="s">
        <v>141</v>
      </c>
      <c r="BP1645" s="429"/>
      <c r="BQ1645" s="429"/>
      <c r="BU1645" s="429"/>
      <c r="BV1645" s="429"/>
      <c r="BZ1645" s="429"/>
      <c r="CA1645" s="429"/>
      <c r="CE1645" s="582"/>
      <c r="CF1645" s="582"/>
      <c r="CG1645" s="582"/>
      <c r="CH1645" s="582"/>
      <c r="ER1645" s="105">
        <v>1E-3</v>
      </c>
      <c r="ES1645" s="105">
        <v>0</v>
      </c>
      <c r="EV1645" s="105" t="s">
        <v>1147</v>
      </c>
      <c r="EW1645" s="105">
        <v>7</v>
      </c>
      <c r="EX1645" s="105">
        <v>0</v>
      </c>
      <c r="FA1645" s="105" t="s">
        <v>1146</v>
      </c>
    </row>
    <row r="1646" spans="1:157" s="105" customFormat="1" x14ac:dyDescent="0.25">
      <c r="A1646" s="105">
        <v>75</v>
      </c>
      <c r="B1646" s="106" t="s">
        <v>4092</v>
      </c>
      <c r="C1646" s="105" t="s">
        <v>1137</v>
      </c>
      <c r="D1646" s="105" t="s">
        <v>1138</v>
      </c>
      <c r="E1646" s="105">
        <v>1989</v>
      </c>
      <c r="F1646" s="105">
        <v>1986</v>
      </c>
      <c r="G1646" s="105" t="s">
        <v>418</v>
      </c>
      <c r="H1646" s="105" t="s">
        <v>1139</v>
      </c>
      <c r="I1646" s="24" t="s">
        <v>2815</v>
      </c>
      <c r="J1646" s="105">
        <v>38.950000000000003</v>
      </c>
      <c r="K1646" s="105">
        <v>-91.94</v>
      </c>
      <c r="L1646" s="105">
        <v>251.9</v>
      </c>
      <c r="R1646" s="106" t="s">
        <v>1728</v>
      </c>
      <c r="S1646" s="106" t="s">
        <v>1858</v>
      </c>
      <c r="T1646" s="106" t="s">
        <v>1142</v>
      </c>
      <c r="U1646" s="106" t="s">
        <v>2006</v>
      </c>
      <c r="V1646" s="106" t="s">
        <v>1377</v>
      </c>
      <c r="W1646" s="106" t="s">
        <v>1377</v>
      </c>
      <c r="X1646" s="106" t="s">
        <v>1377</v>
      </c>
      <c r="Y1646" s="106" t="s">
        <v>1377</v>
      </c>
      <c r="AA1646" s="354"/>
      <c r="AB1646" s="354"/>
      <c r="AC1646" s="105" t="s">
        <v>450</v>
      </c>
      <c r="AG1646" s="105" t="s">
        <v>1358</v>
      </c>
      <c r="AH1646" s="105" t="s">
        <v>1542</v>
      </c>
      <c r="AI1646" s="138" t="s">
        <v>1581</v>
      </c>
      <c r="AJ1646" s="105" t="s">
        <v>158</v>
      </c>
      <c r="AK1646" s="145" t="s">
        <v>158</v>
      </c>
      <c r="AL1646" s="105" t="s">
        <v>119</v>
      </c>
      <c r="AT1646" s="105" t="s">
        <v>1145</v>
      </c>
      <c r="AU1646" s="105" t="s">
        <v>1145</v>
      </c>
      <c r="AV1646" s="105" t="s">
        <v>177</v>
      </c>
      <c r="AW1646" s="24" t="s">
        <v>160</v>
      </c>
      <c r="AX1646" s="105">
        <v>2</v>
      </c>
      <c r="AZ1646" s="105" t="s">
        <v>141</v>
      </c>
      <c r="BP1646" s="429"/>
      <c r="BQ1646" s="429"/>
      <c r="BU1646" s="429"/>
      <c r="BV1646" s="429"/>
      <c r="BZ1646" s="429"/>
      <c r="CA1646" s="429"/>
      <c r="CE1646" s="582"/>
      <c r="CF1646" s="582"/>
      <c r="CG1646" s="582"/>
      <c r="CH1646" s="582"/>
      <c r="ER1646" s="105">
        <v>1E-3</v>
      </c>
      <c r="ES1646" s="105">
        <v>0</v>
      </c>
      <c r="EV1646" s="105" t="s">
        <v>1147</v>
      </c>
      <c r="EW1646" s="105">
        <v>92</v>
      </c>
      <c r="EX1646" s="105">
        <v>26</v>
      </c>
      <c r="FA1646" s="105" t="s">
        <v>1146</v>
      </c>
    </row>
    <row r="1647" spans="1:157" s="105" customFormat="1" x14ac:dyDescent="0.25">
      <c r="A1647" s="105">
        <v>75</v>
      </c>
      <c r="B1647" s="106" t="s">
        <v>4092</v>
      </c>
      <c r="C1647" s="105" t="s">
        <v>1137</v>
      </c>
      <c r="D1647" s="105" t="s">
        <v>1138</v>
      </c>
      <c r="E1647" s="105">
        <v>1989</v>
      </c>
      <c r="F1647" s="105">
        <v>1986</v>
      </c>
      <c r="G1647" s="105" t="s">
        <v>418</v>
      </c>
      <c r="H1647" s="105" t="s">
        <v>1139</v>
      </c>
      <c r="I1647" s="24" t="s">
        <v>2815</v>
      </c>
      <c r="J1647" s="105">
        <v>38.950000000000003</v>
      </c>
      <c r="K1647" s="105">
        <v>-91.94</v>
      </c>
      <c r="L1647" s="105">
        <v>251.9</v>
      </c>
      <c r="R1647" s="106" t="s">
        <v>1728</v>
      </c>
      <c r="S1647" s="106" t="s">
        <v>1858</v>
      </c>
      <c r="T1647" s="106" t="s">
        <v>1143</v>
      </c>
      <c r="U1647" s="106" t="s">
        <v>2006</v>
      </c>
      <c r="V1647" s="106" t="s">
        <v>1377</v>
      </c>
      <c r="W1647" s="106" t="s">
        <v>1377</v>
      </c>
      <c r="X1647" s="106" t="s">
        <v>1377</v>
      </c>
      <c r="Y1647" s="106" t="s">
        <v>1377</v>
      </c>
      <c r="AA1647" s="354"/>
      <c r="AB1647" s="354"/>
      <c r="AC1647" s="105" t="s">
        <v>450</v>
      </c>
      <c r="AG1647" s="105" t="s">
        <v>1358</v>
      </c>
      <c r="AH1647" s="105" t="s">
        <v>1542</v>
      </c>
      <c r="AI1647" s="138" t="s">
        <v>1581</v>
      </c>
      <c r="AJ1647" s="105" t="s">
        <v>158</v>
      </c>
      <c r="AK1647" s="145" t="s">
        <v>158</v>
      </c>
      <c r="AL1647" s="105" t="s">
        <v>119</v>
      </c>
      <c r="AT1647" s="105" t="s">
        <v>1145</v>
      </c>
      <c r="AU1647" s="105" t="s">
        <v>1145</v>
      </c>
      <c r="AV1647" s="105" t="s">
        <v>177</v>
      </c>
      <c r="AW1647" s="24" t="s">
        <v>160</v>
      </c>
      <c r="AX1647" s="105">
        <v>2</v>
      </c>
      <c r="AZ1647" s="105" t="s">
        <v>141</v>
      </c>
      <c r="BP1647" s="429"/>
      <c r="BQ1647" s="429"/>
      <c r="BU1647" s="429"/>
      <c r="BV1647" s="429"/>
      <c r="BZ1647" s="429"/>
      <c r="CA1647" s="429"/>
      <c r="CE1647" s="582"/>
      <c r="CF1647" s="582"/>
      <c r="CG1647" s="582"/>
      <c r="CH1647" s="582"/>
      <c r="ER1647" s="105">
        <v>562</v>
      </c>
      <c r="ES1647" s="105">
        <v>0</v>
      </c>
      <c r="EV1647" s="105" t="s">
        <v>1147</v>
      </c>
      <c r="EW1647" s="105">
        <v>151</v>
      </c>
      <c r="EX1647" s="105">
        <v>67</v>
      </c>
      <c r="FA1647" s="105" t="s">
        <v>1146</v>
      </c>
    </row>
    <row r="1648" spans="1:157" s="101" customFormat="1" x14ac:dyDescent="0.25">
      <c r="A1648" s="101">
        <v>75</v>
      </c>
      <c r="B1648" s="102" t="s">
        <v>4093</v>
      </c>
      <c r="C1648" s="101" t="s">
        <v>1137</v>
      </c>
      <c r="D1648" s="101" t="s">
        <v>1138</v>
      </c>
      <c r="E1648" s="101">
        <v>1989</v>
      </c>
      <c r="F1648" s="101">
        <v>1986</v>
      </c>
      <c r="G1648" s="101" t="s">
        <v>418</v>
      </c>
      <c r="H1648" s="101" t="s">
        <v>1139</v>
      </c>
      <c r="I1648" s="24" t="s">
        <v>2815</v>
      </c>
      <c r="J1648" s="101">
        <v>38.950000000000003</v>
      </c>
      <c r="K1648" s="101">
        <v>-91.94</v>
      </c>
      <c r="L1648" s="101">
        <v>251.9</v>
      </c>
      <c r="R1648" s="102" t="s">
        <v>1728</v>
      </c>
      <c r="S1648" s="102" t="s">
        <v>1858</v>
      </c>
      <c r="T1648" s="102" t="s">
        <v>1144</v>
      </c>
      <c r="U1648" s="102" t="s">
        <v>2006</v>
      </c>
      <c r="V1648" s="102" t="s">
        <v>1377</v>
      </c>
      <c r="W1648" s="102" t="s">
        <v>1377</v>
      </c>
      <c r="X1648" s="102" t="s">
        <v>1377</v>
      </c>
      <c r="Y1648" s="102" t="s">
        <v>1377</v>
      </c>
      <c r="AA1648" s="352"/>
      <c r="AB1648" s="352"/>
      <c r="AC1648" s="101" t="s">
        <v>450</v>
      </c>
      <c r="AG1648" s="101" t="s">
        <v>1358</v>
      </c>
      <c r="AH1648" s="101" t="s">
        <v>1543</v>
      </c>
      <c r="AI1648" s="138" t="s">
        <v>131</v>
      </c>
      <c r="AJ1648" s="101" t="s">
        <v>158</v>
      </c>
      <c r="AK1648" s="145" t="s">
        <v>158</v>
      </c>
      <c r="AL1648" s="101" t="s">
        <v>119</v>
      </c>
      <c r="AT1648" s="101" t="s">
        <v>1145</v>
      </c>
      <c r="AU1648" s="101" t="s">
        <v>1145</v>
      </c>
      <c r="AV1648" s="101" t="s">
        <v>177</v>
      </c>
      <c r="AW1648" s="24" t="s">
        <v>160</v>
      </c>
      <c r="AX1648" s="101">
        <v>2</v>
      </c>
      <c r="AZ1648" s="101" t="s">
        <v>141</v>
      </c>
      <c r="BP1648" s="427"/>
      <c r="BQ1648" s="427"/>
      <c r="BU1648" s="427"/>
      <c r="BV1648" s="427"/>
      <c r="BZ1648" s="427"/>
      <c r="CA1648" s="427"/>
      <c r="CE1648" s="580"/>
      <c r="CF1648" s="580"/>
      <c r="CG1648" s="580"/>
      <c r="CH1648" s="580"/>
      <c r="ER1648" s="101">
        <v>562</v>
      </c>
      <c r="ES1648" s="101">
        <v>0</v>
      </c>
      <c r="EV1648" s="101" t="s">
        <v>1147</v>
      </c>
      <c r="EW1648" s="101">
        <v>10</v>
      </c>
      <c r="EX1648" s="101">
        <v>0</v>
      </c>
      <c r="FA1648" s="101" t="s">
        <v>1146</v>
      </c>
    </row>
    <row r="1649" spans="1:157" s="101" customFormat="1" x14ac:dyDescent="0.25">
      <c r="A1649" s="101">
        <v>75</v>
      </c>
      <c r="B1649" s="102" t="s">
        <v>4093</v>
      </c>
      <c r="C1649" s="101" t="s">
        <v>1137</v>
      </c>
      <c r="D1649" s="101" t="s">
        <v>1138</v>
      </c>
      <c r="E1649" s="101">
        <v>1989</v>
      </c>
      <c r="F1649" s="101">
        <v>1986</v>
      </c>
      <c r="G1649" s="101" t="s">
        <v>418</v>
      </c>
      <c r="H1649" s="101" t="s">
        <v>1139</v>
      </c>
      <c r="I1649" s="24" t="s">
        <v>2815</v>
      </c>
      <c r="J1649" s="101">
        <v>38.950000000000003</v>
      </c>
      <c r="K1649" s="101">
        <v>-91.94</v>
      </c>
      <c r="L1649" s="101">
        <v>251.9</v>
      </c>
      <c r="R1649" s="102" t="s">
        <v>1728</v>
      </c>
      <c r="S1649" s="102" t="s">
        <v>1858</v>
      </c>
      <c r="T1649" s="102" t="s">
        <v>1140</v>
      </c>
      <c r="U1649" s="102" t="s">
        <v>2006</v>
      </c>
      <c r="V1649" s="102" t="s">
        <v>1377</v>
      </c>
      <c r="W1649" s="102" t="s">
        <v>1377</v>
      </c>
      <c r="X1649" s="102" t="s">
        <v>1377</v>
      </c>
      <c r="Y1649" s="102" t="s">
        <v>1377</v>
      </c>
      <c r="AA1649" s="352"/>
      <c r="AB1649" s="352"/>
      <c r="AC1649" s="101" t="s">
        <v>450</v>
      </c>
      <c r="AG1649" s="101" t="s">
        <v>1358</v>
      </c>
      <c r="AH1649" s="101" t="s">
        <v>1543</v>
      </c>
      <c r="AI1649" s="138" t="s">
        <v>131</v>
      </c>
      <c r="AJ1649" s="101" t="s">
        <v>158</v>
      </c>
      <c r="AK1649" s="145" t="s">
        <v>158</v>
      </c>
      <c r="AL1649" s="101" t="s">
        <v>119</v>
      </c>
      <c r="AT1649" s="101" t="s">
        <v>1145</v>
      </c>
      <c r="AU1649" s="101" t="s">
        <v>1145</v>
      </c>
      <c r="AV1649" s="101" t="s">
        <v>177</v>
      </c>
      <c r="AW1649" s="24" t="s">
        <v>160</v>
      </c>
      <c r="AX1649" s="101">
        <v>2</v>
      </c>
      <c r="AZ1649" s="101" t="s">
        <v>141</v>
      </c>
      <c r="BP1649" s="427"/>
      <c r="BQ1649" s="427"/>
      <c r="BU1649" s="427"/>
      <c r="BV1649" s="427"/>
      <c r="BZ1649" s="427"/>
      <c r="CA1649" s="427"/>
      <c r="CE1649" s="580"/>
      <c r="CF1649" s="580"/>
      <c r="CG1649" s="580"/>
      <c r="CH1649" s="580"/>
      <c r="ER1649" s="101">
        <v>1E-3</v>
      </c>
      <c r="ES1649" s="101">
        <v>0</v>
      </c>
      <c r="EV1649" s="101" t="s">
        <v>1147</v>
      </c>
      <c r="EW1649" s="101">
        <v>1</v>
      </c>
      <c r="EX1649" s="101">
        <v>0</v>
      </c>
      <c r="FA1649" s="101" t="s">
        <v>1146</v>
      </c>
    </row>
    <row r="1650" spans="1:157" s="101" customFormat="1" x14ac:dyDescent="0.25">
      <c r="A1650" s="101">
        <v>75</v>
      </c>
      <c r="B1650" s="102" t="s">
        <v>4093</v>
      </c>
      <c r="C1650" s="101" t="s">
        <v>1137</v>
      </c>
      <c r="D1650" s="101" t="s">
        <v>1138</v>
      </c>
      <c r="E1650" s="101">
        <v>1989</v>
      </c>
      <c r="F1650" s="101">
        <v>1986</v>
      </c>
      <c r="G1650" s="101" t="s">
        <v>418</v>
      </c>
      <c r="H1650" s="101" t="s">
        <v>1139</v>
      </c>
      <c r="I1650" s="24" t="s">
        <v>2815</v>
      </c>
      <c r="J1650" s="101">
        <v>38.950000000000003</v>
      </c>
      <c r="K1650" s="101">
        <v>-91.94</v>
      </c>
      <c r="L1650" s="101">
        <v>251.9</v>
      </c>
      <c r="R1650" s="102" t="s">
        <v>1728</v>
      </c>
      <c r="S1650" s="102" t="s">
        <v>1858</v>
      </c>
      <c r="T1650" s="102" t="s">
        <v>1141</v>
      </c>
      <c r="U1650" s="102" t="s">
        <v>2006</v>
      </c>
      <c r="V1650" s="102" t="s">
        <v>1377</v>
      </c>
      <c r="W1650" s="102" t="s">
        <v>1377</v>
      </c>
      <c r="X1650" s="102" t="s">
        <v>1377</v>
      </c>
      <c r="Y1650" s="102" t="s">
        <v>1377</v>
      </c>
      <c r="AA1650" s="352"/>
      <c r="AB1650" s="352"/>
      <c r="AC1650" s="101" t="s">
        <v>450</v>
      </c>
      <c r="AG1650" s="101" t="s">
        <v>1358</v>
      </c>
      <c r="AH1650" s="101" t="s">
        <v>1543</v>
      </c>
      <c r="AI1650" s="138" t="s">
        <v>131</v>
      </c>
      <c r="AJ1650" s="101" t="s">
        <v>158</v>
      </c>
      <c r="AK1650" s="145" t="s">
        <v>158</v>
      </c>
      <c r="AL1650" s="101" t="s">
        <v>119</v>
      </c>
      <c r="AT1650" s="101" t="s">
        <v>1145</v>
      </c>
      <c r="AU1650" s="101" t="s">
        <v>1145</v>
      </c>
      <c r="AV1650" s="101" t="s">
        <v>177</v>
      </c>
      <c r="AW1650" s="24" t="s">
        <v>160</v>
      </c>
      <c r="AX1650" s="101">
        <v>2</v>
      </c>
      <c r="AZ1650" s="101" t="s">
        <v>141</v>
      </c>
      <c r="BP1650" s="427"/>
      <c r="BQ1650" s="427"/>
      <c r="BU1650" s="427"/>
      <c r="BV1650" s="427"/>
      <c r="BZ1650" s="427"/>
      <c r="CA1650" s="427"/>
      <c r="CE1650" s="580"/>
      <c r="CF1650" s="580"/>
      <c r="CG1650" s="580"/>
      <c r="CH1650" s="580"/>
      <c r="ER1650" s="101">
        <v>1E-3</v>
      </c>
      <c r="ES1650" s="101">
        <v>0</v>
      </c>
      <c r="EV1650" s="101" t="s">
        <v>1147</v>
      </c>
      <c r="EW1650" s="101">
        <v>7</v>
      </c>
      <c r="EX1650" s="101">
        <v>0</v>
      </c>
      <c r="FA1650" s="101" t="s">
        <v>1146</v>
      </c>
    </row>
    <row r="1651" spans="1:157" s="101" customFormat="1" x14ac:dyDescent="0.25">
      <c r="A1651" s="101">
        <v>75</v>
      </c>
      <c r="B1651" s="102" t="s">
        <v>4093</v>
      </c>
      <c r="C1651" s="101" t="s">
        <v>1137</v>
      </c>
      <c r="D1651" s="101" t="s">
        <v>1138</v>
      </c>
      <c r="E1651" s="101">
        <v>1989</v>
      </c>
      <c r="F1651" s="101">
        <v>1986</v>
      </c>
      <c r="G1651" s="101" t="s">
        <v>418</v>
      </c>
      <c r="H1651" s="101" t="s">
        <v>1139</v>
      </c>
      <c r="I1651" s="24" t="s">
        <v>2815</v>
      </c>
      <c r="J1651" s="101">
        <v>38.950000000000003</v>
      </c>
      <c r="K1651" s="101">
        <v>-91.94</v>
      </c>
      <c r="L1651" s="101">
        <v>251.9</v>
      </c>
      <c r="R1651" s="102" t="s">
        <v>1728</v>
      </c>
      <c r="S1651" s="102" t="s">
        <v>1858</v>
      </c>
      <c r="T1651" s="102" t="s">
        <v>1142</v>
      </c>
      <c r="U1651" s="102" t="s">
        <v>2006</v>
      </c>
      <c r="V1651" s="102" t="s">
        <v>1377</v>
      </c>
      <c r="W1651" s="102" t="s">
        <v>1377</v>
      </c>
      <c r="X1651" s="102" t="s">
        <v>1377</v>
      </c>
      <c r="Y1651" s="102" t="s">
        <v>1377</v>
      </c>
      <c r="AA1651" s="352"/>
      <c r="AB1651" s="352"/>
      <c r="AC1651" s="101" t="s">
        <v>450</v>
      </c>
      <c r="AG1651" s="101" t="s">
        <v>1358</v>
      </c>
      <c r="AH1651" s="101" t="s">
        <v>1543</v>
      </c>
      <c r="AI1651" s="138" t="s">
        <v>131</v>
      </c>
      <c r="AJ1651" s="101" t="s">
        <v>158</v>
      </c>
      <c r="AK1651" s="145" t="s">
        <v>158</v>
      </c>
      <c r="AL1651" s="101" t="s">
        <v>119</v>
      </c>
      <c r="AT1651" s="101" t="s">
        <v>1145</v>
      </c>
      <c r="AU1651" s="101" t="s">
        <v>1145</v>
      </c>
      <c r="AV1651" s="101" t="s">
        <v>177</v>
      </c>
      <c r="AW1651" s="24" t="s">
        <v>160</v>
      </c>
      <c r="AX1651" s="101">
        <v>2</v>
      </c>
      <c r="AZ1651" s="101" t="s">
        <v>141</v>
      </c>
      <c r="BP1651" s="427"/>
      <c r="BQ1651" s="427"/>
      <c r="BU1651" s="427"/>
      <c r="BV1651" s="427"/>
      <c r="BZ1651" s="427"/>
      <c r="CA1651" s="427"/>
      <c r="CE1651" s="580"/>
      <c r="CF1651" s="580"/>
      <c r="CG1651" s="580"/>
      <c r="CH1651" s="580"/>
      <c r="ER1651" s="101">
        <v>1E-3</v>
      </c>
      <c r="ES1651" s="101">
        <v>0</v>
      </c>
      <c r="EV1651" s="101" t="s">
        <v>1147</v>
      </c>
      <c r="EW1651" s="101">
        <v>92</v>
      </c>
      <c r="EX1651" s="101">
        <v>15</v>
      </c>
      <c r="FA1651" s="101" t="s">
        <v>1146</v>
      </c>
    </row>
    <row r="1652" spans="1:157" s="101" customFormat="1" x14ac:dyDescent="0.25">
      <c r="A1652" s="101">
        <v>75</v>
      </c>
      <c r="B1652" s="102" t="s">
        <v>4093</v>
      </c>
      <c r="C1652" s="101" t="s">
        <v>1137</v>
      </c>
      <c r="D1652" s="101" t="s">
        <v>1138</v>
      </c>
      <c r="E1652" s="101">
        <v>1989</v>
      </c>
      <c r="F1652" s="101">
        <v>1986</v>
      </c>
      <c r="G1652" s="101" t="s">
        <v>418</v>
      </c>
      <c r="H1652" s="101" t="s">
        <v>1139</v>
      </c>
      <c r="I1652" s="24" t="s">
        <v>2815</v>
      </c>
      <c r="J1652" s="101">
        <v>38.950000000000003</v>
      </c>
      <c r="K1652" s="101">
        <v>-91.94</v>
      </c>
      <c r="L1652" s="101">
        <v>251.9</v>
      </c>
      <c r="R1652" s="102" t="s">
        <v>1728</v>
      </c>
      <c r="S1652" s="102" t="s">
        <v>1858</v>
      </c>
      <c r="T1652" s="102" t="s">
        <v>1143</v>
      </c>
      <c r="U1652" s="102" t="s">
        <v>2006</v>
      </c>
      <c r="V1652" s="102" t="s">
        <v>1377</v>
      </c>
      <c r="W1652" s="102" t="s">
        <v>1377</v>
      </c>
      <c r="X1652" s="102" t="s">
        <v>1377</v>
      </c>
      <c r="Y1652" s="102" t="s">
        <v>1377</v>
      </c>
      <c r="AA1652" s="352"/>
      <c r="AB1652" s="352"/>
      <c r="AC1652" s="101" t="s">
        <v>450</v>
      </c>
      <c r="AG1652" s="101" t="s">
        <v>1358</v>
      </c>
      <c r="AH1652" s="101" t="s">
        <v>1543</v>
      </c>
      <c r="AI1652" s="138" t="s">
        <v>131</v>
      </c>
      <c r="AJ1652" s="101" t="s">
        <v>158</v>
      </c>
      <c r="AK1652" s="145" t="s">
        <v>158</v>
      </c>
      <c r="AL1652" s="101" t="s">
        <v>119</v>
      </c>
      <c r="AT1652" s="101" t="s">
        <v>1145</v>
      </c>
      <c r="AU1652" s="101" t="s">
        <v>1145</v>
      </c>
      <c r="AV1652" s="101" t="s">
        <v>177</v>
      </c>
      <c r="AW1652" s="24" t="s">
        <v>160</v>
      </c>
      <c r="AX1652" s="101">
        <v>2</v>
      </c>
      <c r="AZ1652" s="101" t="s">
        <v>141</v>
      </c>
      <c r="BP1652" s="427"/>
      <c r="BQ1652" s="427"/>
      <c r="BU1652" s="427"/>
      <c r="BV1652" s="427"/>
      <c r="BZ1652" s="427"/>
      <c r="CA1652" s="427"/>
      <c r="CE1652" s="580"/>
      <c r="CF1652" s="580"/>
      <c r="CG1652" s="580"/>
      <c r="CH1652" s="580"/>
      <c r="ER1652" s="101">
        <v>562</v>
      </c>
      <c r="ES1652" s="101">
        <v>0</v>
      </c>
      <c r="EV1652" s="101" t="s">
        <v>1147</v>
      </c>
      <c r="EW1652" s="101">
        <v>151</v>
      </c>
      <c r="EX1652" s="101">
        <v>31</v>
      </c>
      <c r="FA1652" s="101" t="s">
        <v>1146</v>
      </c>
    </row>
    <row r="1653" spans="1:157" s="24" customFormat="1" x14ac:dyDescent="0.25">
      <c r="A1653" s="24">
        <v>75</v>
      </c>
      <c r="B1653" s="42" t="s">
        <v>4091</v>
      </c>
      <c r="C1653" s="24" t="s">
        <v>1137</v>
      </c>
      <c r="D1653" s="24" t="s">
        <v>1138</v>
      </c>
      <c r="E1653" s="24">
        <v>1989</v>
      </c>
      <c r="F1653" s="24">
        <v>1987</v>
      </c>
      <c r="G1653" s="24" t="s">
        <v>418</v>
      </c>
      <c r="H1653" s="24" t="s">
        <v>1139</v>
      </c>
      <c r="I1653" s="24" t="s">
        <v>2815</v>
      </c>
      <c r="J1653" s="24">
        <v>38.950000000000003</v>
      </c>
      <c r="K1653" s="24">
        <v>-91.94</v>
      </c>
      <c r="L1653" s="24">
        <v>251.9</v>
      </c>
      <c r="R1653" s="42" t="s">
        <v>1858</v>
      </c>
      <c r="S1653" s="42" t="s">
        <v>1858</v>
      </c>
      <c r="T1653" s="42" t="s">
        <v>1144</v>
      </c>
      <c r="U1653" s="102" t="s">
        <v>2006</v>
      </c>
      <c r="V1653" s="42" t="s">
        <v>1377</v>
      </c>
      <c r="W1653" s="42" t="s">
        <v>1377</v>
      </c>
      <c r="X1653" s="42" t="s">
        <v>1377</v>
      </c>
      <c r="Y1653" s="42" t="s">
        <v>1377</v>
      </c>
      <c r="AA1653" s="321"/>
      <c r="AB1653" s="321"/>
      <c r="AC1653" s="24" t="s">
        <v>450</v>
      </c>
      <c r="AG1653" s="24" t="s">
        <v>1358</v>
      </c>
      <c r="AH1653" s="24" t="s">
        <v>1541</v>
      </c>
      <c r="AI1653" s="138" t="s">
        <v>1584</v>
      </c>
      <c r="AJ1653" s="24" t="s">
        <v>158</v>
      </c>
      <c r="AK1653" s="140" t="s">
        <v>158</v>
      </c>
      <c r="AL1653" s="24" t="s">
        <v>119</v>
      </c>
      <c r="AT1653" s="24" t="s">
        <v>1145</v>
      </c>
      <c r="AU1653" s="24" t="s">
        <v>1145</v>
      </c>
      <c r="AV1653" s="24" t="s">
        <v>177</v>
      </c>
      <c r="AW1653" s="24" t="s">
        <v>160</v>
      </c>
      <c r="AX1653" s="24">
        <v>2</v>
      </c>
      <c r="AZ1653" s="24" t="s">
        <v>141</v>
      </c>
      <c r="BP1653" s="395"/>
      <c r="BQ1653" s="395"/>
      <c r="BU1653" s="395"/>
      <c r="BV1653" s="395"/>
      <c r="BZ1653" s="395"/>
      <c r="CA1653" s="395"/>
      <c r="CE1653" s="548"/>
      <c r="CF1653" s="548"/>
      <c r="CG1653" s="548"/>
      <c r="CH1653" s="548"/>
      <c r="ER1653" s="24">
        <v>217</v>
      </c>
      <c r="ES1653" s="24">
        <v>0</v>
      </c>
      <c r="EV1653" s="24" t="s">
        <v>1147</v>
      </c>
      <c r="EW1653" s="24">
        <v>2</v>
      </c>
      <c r="EX1653" s="24">
        <v>0</v>
      </c>
      <c r="FA1653" s="24" t="s">
        <v>1146</v>
      </c>
    </row>
    <row r="1654" spans="1:157" s="24" customFormat="1" x14ac:dyDescent="0.25">
      <c r="A1654" s="24">
        <v>75</v>
      </c>
      <c r="B1654" s="42" t="s">
        <v>4091</v>
      </c>
      <c r="C1654" s="24" t="s">
        <v>1137</v>
      </c>
      <c r="D1654" s="24" t="s">
        <v>1138</v>
      </c>
      <c r="E1654" s="24">
        <v>1989</v>
      </c>
      <c r="F1654" s="24">
        <v>1987</v>
      </c>
      <c r="G1654" s="24" t="s">
        <v>418</v>
      </c>
      <c r="H1654" s="24" t="s">
        <v>1139</v>
      </c>
      <c r="I1654" s="24" t="s">
        <v>2815</v>
      </c>
      <c r="J1654" s="24">
        <v>38.950000000000003</v>
      </c>
      <c r="K1654" s="24">
        <v>-91.94</v>
      </c>
      <c r="L1654" s="24">
        <v>251.9</v>
      </c>
      <c r="R1654" s="42" t="s">
        <v>1858</v>
      </c>
      <c r="S1654" s="42" t="s">
        <v>1858</v>
      </c>
      <c r="T1654" s="42" t="s">
        <v>1140</v>
      </c>
      <c r="U1654" s="102" t="s">
        <v>2006</v>
      </c>
      <c r="V1654" s="42" t="s">
        <v>1377</v>
      </c>
      <c r="W1654" s="42" t="s">
        <v>1377</v>
      </c>
      <c r="X1654" s="42" t="s">
        <v>1377</v>
      </c>
      <c r="Y1654" s="42" t="s">
        <v>1377</v>
      </c>
      <c r="AA1654" s="321"/>
      <c r="AB1654" s="321"/>
      <c r="AC1654" s="24" t="s">
        <v>450</v>
      </c>
      <c r="AG1654" s="24" t="s">
        <v>1358</v>
      </c>
      <c r="AH1654" s="24" t="s">
        <v>1541</v>
      </c>
      <c r="AI1654" s="138" t="s">
        <v>1584</v>
      </c>
      <c r="AJ1654" s="24" t="s">
        <v>158</v>
      </c>
      <c r="AK1654" s="140" t="s">
        <v>158</v>
      </c>
      <c r="AL1654" s="24" t="s">
        <v>119</v>
      </c>
      <c r="AT1654" s="24" t="s">
        <v>1145</v>
      </c>
      <c r="AU1654" s="24" t="s">
        <v>1145</v>
      </c>
      <c r="AV1654" s="24" t="s">
        <v>177</v>
      </c>
      <c r="AW1654" s="24" t="s">
        <v>160</v>
      </c>
      <c r="AX1654" s="24">
        <v>2</v>
      </c>
      <c r="AZ1654" s="24" t="s">
        <v>141</v>
      </c>
      <c r="BP1654" s="395"/>
      <c r="BQ1654" s="395"/>
      <c r="BU1654" s="395"/>
      <c r="BV1654" s="395"/>
      <c r="BZ1654" s="395"/>
      <c r="CA1654" s="395"/>
      <c r="CE1654" s="548"/>
      <c r="CF1654" s="548"/>
      <c r="CG1654" s="548"/>
      <c r="CH1654" s="548"/>
      <c r="ER1654" s="24">
        <v>1317</v>
      </c>
      <c r="ES1654" s="24">
        <v>125</v>
      </c>
      <c r="EV1654" s="24" t="s">
        <v>1147</v>
      </c>
      <c r="EW1654" s="24">
        <v>33</v>
      </c>
      <c r="EX1654" s="24">
        <v>8</v>
      </c>
      <c r="FA1654" s="24" t="s">
        <v>1146</v>
      </c>
    </row>
    <row r="1655" spans="1:157" s="24" customFormat="1" x14ac:dyDescent="0.25">
      <c r="A1655" s="24">
        <v>75</v>
      </c>
      <c r="B1655" s="42" t="s">
        <v>4091</v>
      </c>
      <c r="C1655" s="24" t="s">
        <v>1137</v>
      </c>
      <c r="D1655" s="24" t="s">
        <v>1138</v>
      </c>
      <c r="E1655" s="24">
        <v>1989</v>
      </c>
      <c r="F1655" s="24">
        <v>1987</v>
      </c>
      <c r="G1655" s="24" t="s">
        <v>418</v>
      </c>
      <c r="H1655" s="24" t="s">
        <v>1139</v>
      </c>
      <c r="I1655" s="24" t="s">
        <v>2815</v>
      </c>
      <c r="J1655" s="24">
        <v>38.950000000000003</v>
      </c>
      <c r="K1655" s="24">
        <v>-91.94</v>
      </c>
      <c r="L1655" s="24">
        <v>251.9</v>
      </c>
      <c r="R1655" s="42" t="s">
        <v>1858</v>
      </c>
      <c r="S1655" s="42" t="s">
        <v>1858</v>
      </c>
      <c r="T1655" s="42" t="s">
        <v>1141</v>
      </c>
      <c r="U1655" s="102" t="s">
        <v>2006</v>
      </c>
      <c r="V1655" s="42" t="s">
        <v>1377</v>
      </c>
      <c r="W1655" s="42" t="s">
        <v>1377</v>
      </c>
      <c r="X1655" s="42" t="s">
        <v>1377</v>
      </c>
      <c r="Y1655" s="42" t="s">
        <v>1377</v>
      </c>
      <c r="AA1655" s="321"/>
      <c r="AB1655" s="321"/>
      <c r="AC1655" s="24" t="s">
        <v>450</v>
      </c>
      <c r="AG1655" s="24" t="s">
        <v>1358</v>
      </c>
      <c r="AH1655" s="24" t="s">
        <v>1541</v>
      </c>
      <c r="AI1655" s="138" t="s">
        <v>1584</v>
      </c>
      <c r="AJ1655" s="24" t="s">
        <v>158</v>
      </c>
      <c r="AK1655" s="140" t="s">
        <v>158</v>
      </c>
      <c r="AL1655" s="24" t="s">
        <v>119</v>
      </c>
      <c r="AT1655" s="24" t="s">
        <v>1145</v>
      </c>
      <c r="AU1655" s="24" t="s">
        <v>1145</v>
      </c>
      <c r="AV1655" s="24" t="s">
        <v>177</v>
      </c>
      <c r="AW1655" s="24" t="s">
        <v>160</v>
      </c>
      <c r="AX1655" s="24">
        <v>2</v>
      </c>
      <c r="AZ1655" s="24" t="s">
        <v>141</v>
      </c>
      <c r="BP1655" s="395"/>
      <c r="BQ1655" s="395"/>
      <c r="BU1655" s="395"/>
      <c r="BV1655" s="395"/>
      <c r="BZ1655" s="395"/>
      <c r="CA1655" s="395"/>
      <c r="CE1655" s="548"/>
      <c r="CF1655" s="548"/>
      <c r="CG1655" s="548"/>
      <c r="CH1655" s="548"/>
      <c r="ER1655" s="24">
        <v>0</v>
      </c>
      <c r="ES1655" s="24">
        <v>0</v>
      </c>
      <c r="EV1655" s="24" t="s">
        <v>1147</v>
      </c>
      <c r="EW1655" s="24">
        <v>1E-3</v>
      </c>
      <c r="EX1655" s="24">
        <v>0</v>
      </c>
      <c r="FA1655" s="24" t="s">
        <v>1146</v>
      </c>
    </row>
    <row r="1656" spans="1:157" s="24" customFormat="1" x14ac:dyDescent="0.25">
      <c r="A1656" s="24">
        <v>75</v>
      </c>
      <c r="B1656" s="42" t="s">
        <v>4091</v>
      </c>
      <c r="C1656" s="24" t="s">
        <v>1137</v>
      </c>
      <c r="D1656" s="24" t="s">
        <v>1138</v>
      </c>
      <c r="E1656" s="24">
        <v>1989</v>
      </c>
      <c r="F1656" s="24">
        <v>1987</v>
      </c>
      <c r="G1656" s="24" t="s">
        <v>418</v>
      </c>
      <c r="H1656" s="24" t="s">
        <v>1139</v>
      </c>
      <c r="I1656" s="24" t="s">
        <v>2815</v>
      </c>
      <c r="J1656" s="24">
        <v>38.950000000000003</v>
      </c>
      <c r="K1656" s="24">
        <v>-91.94</v>
      </c>
      <c r="L1656" s="24">
        <v>251.9</v>
      </c>
      <c r="R1656" s="42" t="s">
        <v>1858</v>
      </c>
      <c r="S1656" s="42" t="s">
        <v>1858</v>
      </c>
      <c r="T1656" s="42" t="s">
        <v>1142</v>
      </c>
      <c r="U1656" s="102" t="s">
        <v>2006</v>
      </c>
      <c r="V1656" s="42" t="s">
        <v>1377</v>
      </c>
      <c r="W1656" s="42" t="s">
        <v>1377</v>
      </c>
      <c r="X1656" s="42" t="s">
        <v>1377</v>
      </c>
      <c r="Y1656" s="42" t="s">
        <v>1377</v>
      </c>
      <c r="AA1656" s="321"/>
      <c r="AB1656" s="321"/>
      <c r="AC1656" s="24" t="s">
        <v>450</v>
      </c>
      <c r="AG1656" s="24" t="s">
        <v>1358</v>
      </c>
      <c r="AH1656" s="24" t="s">
        <v>1541</v>
      </c>
      <c r="AI1656" s="138" t="s">
        <v>1584</v>
      </c>
      <c r="AJ1656" s="24" t="s">
        <v>158</v>
      </c>
      <c r="AK1656" s="140" t="s">
        <v>158</v>
      </c>
      <c r="AL1656" s="24" t="s">
        <v>119</v>
      </c>
      <c r="AT1656" s="24" t="s">
        <v>1145</v>
      </c>
      <c r="AU1656" s="24" t="s">
        <v>1145</v>
      </c>
      <c r="AV1656" s="24" t="s">
        <v>177</v>
      </c>
      <c r="AW1656" s="24" t="s">
        <v>160</v>
      </c>
      <c r="AX1656" s="24">
        <v>2</v>
      </c>
      <c r="AZ1656" s="24" t="s">
        <v>141</v>
      </c>
      <c r="BP1656" s="395"/>
      <c r="BQ1656" s="395"/>
      <c r="BU1656" s="395"/>
      <c r="BV1656" s="395"/>
      <c r="BZ1656" s="395"/>
      <c r="CA1656" s="395"/>
      <c r="CE1656" s="548"/>
      <c r="CF1656" s="548"/>
      <c r="CG1656" s="548"/>
      <c r="CH1656" s="548"/>
      <c r="ER1656" s="24">
        <v>111</v>
      </c>
      <c r="ES1656" s="24">
        <v>52</v>
      </c>
      <c r="EV1656" s="24" t="s">
        <v>1147</v>
      </c>
      <c r="EW1656" s="24">
        <v>57</v>
      </c>
      <c r="EX1656" s="24">
        <v>36</v>
      </c>
      <c r="FA1656" s="24" t="s">
        <v>1146</v>
      </c>
    </row>
    <row r="1657" spans="1:157" s="24" customFormat="1" x14ac:dyDescent="0.25">
      <c r="A1657" s="24">
        <v>75</v>
      </c>
      <c r="B1657" s="42" t="s">
        <v>4091</v>
      </c>
      <c r="C1657" s="24" t="s">
        <v>1137</v>
      </c>
      <c r="D1657" s="24" t="s">
        <v>1138</v>
      </c>
      <c r="E1657" s="24">
        <v>1989</v>
      </c>
      <c r="F1657" s="24">
        <v>1987</v>
      </c>
      <c r="G1657" s="24" t="s">
        <v>418</v>
      </c>
      <c r="H1657" s="24" t="s">
        <v>1139</v>
      </c>
      <c r="I1657" s="24" t="s">
        <v>2815</v>
      </c>
      <c r="J1657" s="24">
        <v>38.950000000000003</v>
      </c>
      <c r="K1657" s="24">
        <v>-91.94</v>
      </c>
      <c r="L1657" s="24">
        <v>251.9</v>
      </c>
      <c r="R1657" s="42" t="s">
        <v>1858</v>
      </c>
      <c r="S1657" s="42" t="s">
        <v>1858</v>
      </c>
      <c r="T1657" s="42" t="s">
        <v>1143</v>
      </c>
      <c r="U1657" s="102" t="s">
        <v>2006</v>
      </c>
      <c r="V1657" s="42" t="s">
        <v>1377</v>
      </c>
      <c r="W1657" s="42" t="s">
        <v>1377</v>
      </c>
      <c r="X1657" s="42" t="s">
        <v>1377</v>
      </c>
      <c r="Y1657" s="42" t="s">
        <v>1377</v>
      </c>
      <c r="AA1657" s="321"/>
      <c r="AB1657" s="321"/>
      <c r="AC1657" s="24" t="s">
        <v>450</v>
      </c>
      <c r="AG1657" s="24" t="s">
        <v>1358</v>
      </c>
      <c r="AH1657" s="24" t="s">
        <v>1541</v>
      </c>
      <c r="AI1657" s="138" t="s">
        <v>1584</v>
      </c>
      <c r="AJ1657" s="24" t="s">
        <v>158</v>
      </c>
      <c r="AK1657" s="140" t="s">
        <v>158</v>
      </c>
      <c r="AL1657" s="24" t="s">
        <v>119</v>
      </c>
      <c r="AT1657" s="24" t="s">
        <v>1145</v>
      </c>
      <c r="AU1657" s="24" t="s">
        <v>1145</v>
      </c>
      <c r="AV1657" s="24" t="s">
        <v>177</v>
      </c>
      <c r="AW1657" s="24" t="s">
        <v>160</v>
      </c>
      <c r="AX1657" s="24">
        <v>2</v>
      </c>
      <c r="AZ1657" s="24" t="s">
        <v>141</v>
      </c>
      <c r="BP1657" s="395"/>
      <c r="BQ1657" s="395"/>
      <c r="BU1657" s="395"/>
      <c r="BV1657" s="395"/>
      <c r="BZ1657" s="395"/>
      <c r="CA1657" s="395"/>
      <c r="CE1657" s="548"/>
      <c r="CF1657" s="548"/>
      <c r="CG1657" s="548"/>
      <c r="CH1657" s="548"/>
      <c r="ER1657" s="24">
        <v>1534</v>
      </c>
      <c r="ES1657" s="24">
        <v>125</v>
      </c>
      <c r="EV1657" s="24" t="s">
        <v>1147</v>
      </c>
      <c r="EW1657" s="24">
        <v>74</v>
      </c>
      <c r="EX1657" s="24">
        <v>34</v>
      </c>
      <c r="FA1657" s="24" t="s">
        <v>1146</v>
      </c>
    </row>
    <row r="1658" spans="1:157" s="32" customFormat="1" x14ac:dyDescent="0.25">
      <c r="A1658" s="32">
        <v>75</v>
      </c>
      <c r="B1658" s="44" t="s">
        <v>4092</v>
      </c>
      <c r="C1658" s="32" t="s">
        <v>1137</v>
      </c>
      <c r="D1658" s="32" t="s">
        <v>1138</v>
      </c>
      <c r="E1658" s="32">
        <v>1989</v>
      </c>
      <c r="F1658" s="32">
        <v>1987</v>
      </c>
      <c r="G1658" s="32" t="s">
        <v>418</v>
      </c>
      <c r="H1658" s="32" t="s">
        <v>1139</v>
      </c>
      <c r="I1658" s="24" t="s">
        <v>2815</v>
      </c>
      <c r="J1658" s="32">
        <v>38.950000000000003</v>
      </c>
      <c r="K1658" s="32">
        <v>-91.94</v>
      </c>
      <c r="L1658" s="32">
        <v>251.9</v>
      </c>
      <c r="R1658" s="44" t="s">
        <v>1858</v>
      </c>
      <c r="S1658" s="44" t="s">
        <v>1858</v>
      </c>
      <c r="T1658" s="44" t="s">
        <v>1144</v>
      </c>
      <c r="U1658" s="44" t="s">
        <v>2006</v>
      </c>
      <c r="V1658" s="42" t="s">
        <v>1377</v>
      </c>
      <c r="W1658" s="42" t="s">
        <v>1377</v>
      </c>
      <c r="X1658" s="42" t="s">
        <v>1377</v>
      </c>
      <c r="Y1658" s="42" t="s">
        <v>1377</v>
      </c>
      <c r="AA1658" s="323"/>
      <c r="AB1658" s="323"/>
      <c r="AC1658" s="32" t="s">
        <v>450</v>
      </c>
      <c r="AG1658" s="32" t="s">
        <v>1358</v>
      </c>
      <c r="AH1658" s="32" t="s">
        <v>1542</v>
      </c>
      <c r="AI1658" s="138" t="s">
        <v>1581</v>
      </c>
      <c r="AJ1658" s="32" t="s">
        <v>158</v>
      </c>
      <c r="AK1658" s="140" t="s">
        <v>158</v>
      </c>
      <c r="AL1658" s="32" t="s">
        <v>119</v>
      </c>
      <c r="AT1658" s="32" t="s">
        <v>1145</v>
      </c>
      <c r="AU1658" s="32" t="s">
        <v>1145</v>
      </c>
      <c r="AV1658" s="32" t="s">
        <v>177</v>
      </c>
      <c r="AW1658" s="24" t="s">
        <v>160</v>
      </c>
      <c r="AX1658" s="32">
        <v>2</v>
      </c>
      <c r="AZ1658" s="32" t="s">
        <v>141</v>
      </c>
      <c r="BP1658" s="397"/>
      <c r="BQ1658" s="397"/>
      <c r="BU1658" s="397"/>
      <c r="BV1658" s="397"/>
      <c r="BZ1658" s="397"/>
      <c r="CA1658" s="397"/>
      <c r="CE1658" s="550"/>
      <c r="CF1658" s="550"/>
      <c r="CG1658" s="550"/>
      <c r="CH1658" s="550"/>
      <c r="ER1658" s="32">
        <v>217</v>
      </c>
      <c r="ES1658" s="32">
        <v>0</v>
      </c>
      <c r="EV1658" s="32" t="s">
        <v>1147</v>
      </c>
      <c r="EW1658" s="32">
        <v>2</v>
      </c>
      <c r="EX1658" s="32">
        <v>0</v>
      </c>
      <c r="FA1658" s="32" t="s">
        <v>1146</v>
      </c>
    </row>
    <row r="1659" spans="1:157" s="32" customFormat="1" x14ac:dyDescent="0.25">
      <c r="A1659" s="32">
        <v>75</v>
      </c>
      <c r="B1659" s="44" t="s">
        <v>4092</v>
      </c>
      <c r="C1659" s="32" t="s">
        <v>1137</v>
      </c>
      <c r="D1659" s="32" t="s">
        <v>1138</v>
      </c>
      <c r="E1659" s="32">
        <v>1989</v>
      </c>
      <c r="F1659" s="32">
        <v>1987</v>
      </c>
      <c r="G1659" s="32" t="s">
        <v>418</v>
      </c>
      <c r="H1659" s="32" t="s">
        <v>1139</v>
      </c>
      <c r="I1659" s="24" t="s">
        <v>2815</v>
      </c>
      <c r="J1659" s="32">
        <v>38.950000000000003</v>
      </c>
      <c r="K1659" s="32">
        <v>-91.94</v>
      </c>
      <c r="L1659" s="32">
        <v>251.9</v>
      </c>
      <c r="R1659" s="44" t="s">
        <v>1858</v>
      </c>
      <c r="S1659" s="44" t="s">
        <v>1858</v>
      </c>
      <c r="T1659" s="44" t="s">
        <v>1140</v>
      </c>
      <c r="U1659" s="44" t="s">
        <v>2006</v>
      </c>
      <c r="V1659" s="42" t="s">
        <v>1377</v>
      </c>
      <c r="W1659" s="42" t="s">
        <v>1377</v>
      </c>
      <c r="X1659" s="42" t="s">
        <v>1377</v>
      </c>
      <c r="Y1659" s="42" t="s">
        <v>1377</v>
      </c>
      <c r="AA1659" s="323"/>
      <c r="AB1659" s="323"/>
      <c r="AC1659" s="32" t="s">
        <v>450</v>
      </c>
      <c r="AG1659" s="32" t="s">
        <v>1358</v>
      </c>
      <c r="AH1659" s="32" t="s">
        <v>1542</v>
      </c>
      <c r="AI1659" s="138" t="s">
        <v>1581</v>
      </c>
      <c r="AJ1659" s="32" t="s">
        <v>158</v>
      </c>
      <c r="AK1659" s="140" t="s">
        <v>158</v>
      </c>
      <c r="AL1659" s="32" t="s">
        <v>119</v>
      </c>
      <c r="AT1659" s="32" t="s">
        <v>1145</v>
      </c>
      <c r="AU1659" s="32" t="s">
        <v>1145</v>
      </c>
      <c r="AV1659" s="32" t="s">
        <v>177</v>
      </c>
      <c r="AW1659" s="24" t="s">
        <v>160</v>
      </c>
      <c r="AX1659" s="32">
        <v>2</v>
      </c>
      <c r="AZ1659" s="32" t="s">
        <v>141</v>
      </c>
      <c r="BP1659" s="397"/>
      <c r="BQ1659" s="397"/>
      <c r="BU1659" s="397"/>
      <c r="BV1659" s="397"/>
      <c r="BZ1659" s="397"/>
      <c r="CA1659" s="397"/>
      <c r="CE1659" s="550"/>
      <c r="CF1659" s="550"/>
      <c r="CG1659" s="550"/>
      <c r="CH1659" s="550"/>
      <c r="ER1659" s="32">
        <v>1317</v>
      </c>
      <c r="ES1659" s="32">
        <v>0</v>
      </c>
      <c r="EV1659" s="32" t="s">
        <v>1147</v>
      </c>
      <c r="EW1659" s="32">
        <v>33</v>
      </c>
      <c r="EX1659" s="32">
        <v>0</v>
      </c>
      <c r="FA1659" s="32" t="s">
        <v>1146</v>
      </c>
    </row>
    <row r="1660" spans="1:157" s="32" customFormat="1" x14ac:dyDescent="0.25">
      <c r="A1660" s="32">
        <v>75</v>
      </c>
      <c r="B1660" s="44" t="s">
        <v>4092</v>
      </c>
      <c r="C1660" s="32" t="s">
        <v>1137</v>
      </c>
      <c r="D1660" s="32" t="s">
        <v>1138</v>
      </c>
      <c r="E1660" s="32">
        <v>1989</v>
      </c>
      <c r="F1660" s="32">
        <v>1987</v>
      </c>
      <c r="G1660" s="32" t="s">
        <v>418</v>
      </c>
      <c r="H1660" s="32" t="s">
        <v>1139</v>
      </c>
      <c r="I1660" s="24" t="s">
        <v>2815</v>
      </c>
      <c r="J1660" s="32">
        <v>38.950000000000003</v>
      </c>
      <c r="K1660" s="32">
        <v>-91.94</v>
      </c>
      <c r="L1660" s="32">
        <v>251.9</v>
      </c>
      <c r="R1660" s="44" t="s">
        <v>1858</v>
      </c>
      <c r="S1660" s="44" t="s">
        <v>1858</v>
      </c>
      <c r="T1660" s="44" t="s">
        <v>1141</v>
      </c>
      <c r="U1660" s="44" t="s">
        <v>2006</v>
      </c>
      <c r="V1660" s="42" t="s">
        <v>1377</v>
      </c>
      <c r="W1660" s="42" t="s">
        <v>1377</v>
      </c>
      <c r="X1660" s="42" t="s">
        <v>1377</v>
      </c>
      <c r="Y1660" s="42" t="s">
        <v>1377</v>
      </c>
      <c r="AA1660" s="323"/>
      <c r="AB1660" s="323"/>
      <c r="AC1660" s="32" t="s">
        <v>450</v>
      </c>
      <c r="AG1660" s="32" t="s">
        <v>1358</v>
      </c>
      <c r="AH1660" s="32" t="s">
        <v>1542</v>
      </c>
      <c r="AI1660" s="138" t="s">
        <v>1581</v>
      </c>
      <c r="AJ1660" s="32" t="s">
        <v>158</v>
      </c>
      <c r="AK1660" s="140" t="s">
        <v>158</v>
      </c>
      <c r="AL1660" s="32" t="s">
        <v>119</v>
      </c>
      <c r="AT1660" s="32" t="s">
        <v>1145</v>
      </c>
      <c r="AU1660" s="32" t="s">
        <v>1145</v>
      </c>
      <c r="AV1660" s="32" t="s">
        <v>177</v>
      </c>
      <c r="AW1660" s="24" t="s">
        <v>160</v>
      </c>
      <c r="AX1660" s="32">
        <v>2</v>
      </c>
      <c r="AZ1660" s="32" t="s">
        <v>141</v>
      </c>
      <c r="BP1660" s="397"/>
      <c r="BQ1660" s="397"/>
      <c r="BU1660" s="397"/>
      <c r="BV1660" s="397"/>
      <c r="BZ1660" s="397"/>
      <c r="CA1660" s="397"/>
      <c r="CE1660" s="550"/>
      <c r="CF1660" s="550"/>
      <c r="CG1660" s="550"/>
      <c r="CH1660" s="550"/>
      <c r="ER1660" s="32">
        <v>0</v>
      </c>
      <c r="ES1660" s="32">
        <v>0</v>
      </c>
      <c r="EV1660" s="32" t="s">
        <v>1147</v>
      </c>
      <c r="EW1660" s="32">
        <v>1E-3</v>
      </c>
      <c r="EX1660" s="32">
        <v>0</v>
      </c>
      <c r="FA1660" s="32" t="s">
        <v>1146</v>
      </c>
    </row>
    <row r="1661" spans="1:157" s="32" customFormat="1" x14ac:dyDescent="0.25">
      <c r="A1661" s="32">
        <v>75</v>
      </c>
      <c r="B1661" s="44" t="s">
        <v>4092</v>
      </c>
      <c r="C1661" s="32" t="s">
        <v>1137</v>
      </c>
      <c r="D1661" s="32" t="s">
        <v>1138</v>
      </c>
      <c r="E1661" s="32">
        <v>1989</v>
      </c>
      <c r="F1661" s="32">
        <v>1987</v>
      </c>
      <c r="G1661" s="32" t="s">
        <v>418</v>
      </c>
      <c r="H1661" s="32" t="s">
        <v>1139</v>
      </c>
      <c r="I1661" s="24" t="s">
        <v>2815</v>
      </c>
      <c r="J1661" s="32">
        <v>38.950000000000003</v>
      </c>
      <c r="K1661" s="32">
        <v>-91.94</v>
      </c>
      <c r="L1661" s="32">
        <v>251.9</v>
      </c>
      <c r="R1661" s="44" t="s">
        <v>1858</v>
      </c>
      <c r="S1661" s="44" t="s">
        <v>1858</v>
      </c>
      <c r="T1661" s="44" t="s">
        <v>1142</v>
      </c>
      <c r="U1661" s="44" t="s">
        <v>2006</v>
      </c>
      <c r="V1661" s="42" t="s">
        <v>1377</v>
      </c>
      <c r="W1661" s="42" t="s">
        <v>1377</v>
      </c>
      <c r="X1661" s="42" t="s">
        <v>1377</v>
      </c>
      <c r="Y1661" s="42" t="s">
        <v>1377</v>
      </c>
      <c r="AA1661" s="323"/>
      <c r="AB1661" s="323"/>
      <c r="AC1661" s="32" t="s">
        <v>450</v>
      </c>
      <c r="AG1661" s="32" t="s">
        <v>1358</v>
      </c>
      <c r="AH1661" s="32" t="s">
        <v>1542</v>
      </c>
      <c r="AI1661" s="138" t="s">
        <v>1581</v>
      </c>
      <c r="AJ1661" s="32" t="s">
        <v>158</v>
      </c>
      <c r="AK1661" s="140" t="s">
        <v>158</v>
      </c>
      <c r="AL1661" s="32" t="s">
        <v>119</v>
      </c>
      <c r="AT1661" s="32" t="s">
        <v>1145</v>
      </c>
      <c r="AU1661" s="32" t="s">
        <v>1145</v>
      </c>
      <c r="AV1661" s="32" t="s">
        <v>177</v>
      </c>
      <c r="AW1661" s="24" t="s">
        <v>160</v>
      </c>
      <c r="AX1661" s="32">
        <v>2</v>
      </c>
      <c r="AZ1661" s="32" t="s">
        <v>141</v>
      </c>
      <c r="BP1661" s="397"/>
      <c r="BQ1661" s="397"/>
      <c r="BU1661" s="397"/>
      <c r="BV1661" s="397"/>
      <c r="BZ1661" s="397"/>
      <c r="CA1661" s="397"/>
      <c r="CE1661" s="550"/>
      <c r="CF1661" s="550"/>
      <c r="CG1661" s="550"/>
      <c r="CH1661" s="550"/>
      <c r="ER1661" s="32">
        <v>111</v>
      </c>
      <c r="ES1661" s="32">
        <v>0</v>
      </c>
      <c r="EV1661" s="32" t="s">
        <v>1147</v>
      </c>
      <c r="EW1661" s="32">
        <v>57</v>
      </c>
      <c r="EX1661" s="32">
        <v>20</v>
      </c>
      <c r="FA1661" s="32" t="s">
        <v>1146</v>
      </c>
    </row>
    <row r="1662" spans="1:157" s="32" customFormat="1" x14ac:dyDescent="0.25">
      <c r="A1662" s="32">
        <v>75</v>
      </c>
      <c r="B1662" s="44" t="s">
        <v>4092</v>
      </c>
      <c r="C1662" s="32" t="s">
        <v>1137</v>
      </c>
      <c r="D1662" s="32" t="s">
        <v>1138</v>
      </c>
      <c r="E1662" s="32">
        <v>1989</v>
      </c>
      <c r="F1662" s="32">
        <v>1987</v>
      </c>
      <c r="G1662" s="32" t="s">
        <v>418</v>
      </c>
      <c r="H1662" s="32" t="s">
        <v>1139</v>
      </c>
      <c r="I1662" s="24" t="s">
        <v>2815</v>
      </c>
      <c r="J1662" s="32">
        <v>38.950000000000003</v>
      </c>
      <c r="K1662" s="32">
        <v>-91.94</v>
      </c>
      <c r="L1662" s="32">
        <v>251.9</v>
      </c>
      <c r="R1662" s="44" t="s">
        <v>1858</v>
      </c>
      <c r="S1662" s="44" t="s">
        <v>1858</v>
      </c>
      <c r="T1662" s="44" t="s">
        <v>1143</v>
      </c>
      <c r="U1662" s="44" t="s">
        <v>2006</v>
      </c>
      <c r="V1662" s="42" t="s">
        <v>1377</v>
      </c>
      <c r="W1662" s="42" t="s">
        <v>1377</v>
      </c>
      <c r="X1662" s="42" t="s">
        <v>1377</v>
      </c>
      <c r="Y1662" s="42" t="s">
        <v>1377</v>
      </c>
      <c r="AA1662" s="323"/>
      <c r="AB1662" s="323"/>
      <c r="AC1662" s="32" t="s">
        <v>450</v>
      </c>
      <c r="AG1662" s="32" t="s">
        <v>1358</v>
      </c>
      <c r="AH1662" s="32" t="s">
        <v>1542</v>
      </c>
      <c r="AI1662" s="138" t="s">
        <v>1581</v>
      </c>
      <c r="AJ1662" s="32" t="s">
        <v>158</v>
      </c>
      <c r="AK1662" s="140" t="s">
        <v>158</v>
      </c>
      <c r="AL1662" s="32" t="s">
        <v>119</v>
      </c>
      <c r="AT1662" s="32" t="s">
        <v>1145</v>
      </c>
      <c r="AU1662" s="32" t="s">
        <v>1145</v>
      </c>
      <c r="AV1662" s="32" t="s">
        <v>177</v>
      </c>
      <c r="AW1662" s="24" t="s">
        <v>160</v>
      </c>
      <c r="AX1662" s="32">
        <v>2</v>
      </c>
      <c r="AZ1662" s="32" t="s">
        <v>141</v>
      </c>
      <c r="BP1662" s="397"/>
      <c r="BQ1662" s="397"/>
      <c r="BU1662" s="397"/>
      <c r="BV1662" s="397"/>
      <c r="BZ1662" s="397"/>
      <c r="CA1662" s="397"/>
      <c r="CE1662" s="550"/>
      <c r="CF1662" s="550"/>
      <c r="CG1662" s="550"/>
      <c r="CH1662" s="550"/>
      <c r="ER1662" s="32">
        <v>1534</v>
      </c>
      <c r="ES1662" s="32">
        <v>0</v>
      </c>
      <c r="EV1662" s="32" t="s">
        <v>1147</v>
      </c>
      <c r="EW1662" s="32">
        <v>74</v>
      </c>
      <c r="EX1662" s="32">
        <v>12</v>
      </c>
      <c r="FA1662" s="32" t="s">
        <v>1146</v>
      </c>
    </row>
    <row r="1663" spans="1:157" s="24" customFormat="1" x14ac:dyDescent="0.25">
      <c r="A1663" s="24">
        <v>75</v>
      </c>
      <c r="B1663" s="42" t="s">
        <v>4093</v>
      </c>
      <c r="C1663" s="24" t="s">
        <v>1137</v>
      </c>
      <c r="D1663" s="24" t="s">
        <v>1138</v>
      </c>
      <c r="E1663" s="24">
        <v>1989</v>
      </c>
      <c r="F1663" s="24">
        <v>1987</v>
      </c>
      <c r="G1663" s="24" t="s">
        <v>418</v>
      </c>
      <c r="H1663" s="24" t="s">
        <v>1139</v>
      </c>
      <c r="I1663" s="24" t="s">
        <v>2815</v>
      </c>
      <c r="J1663" s="24">
        <v>38.950000000000003</v>
      </c>
      <c r="K1663" s="24">
        <v>-91.94</v>
      </c>
      <c r="L1663" s="24">
        <v>251.9</v>
      </c>
      <c r="R1663" s="42" t="s">
        <v>1858</v>
      </c>
      <c r="S1663" s="42" t="s">
        <v>1858</v>
      </c>
      <c r="T1663" s="42" t="s">
        <v>1144</v>
      </c>
      <c r="U1663" s="42" t="s">
        <v>2006</v>
      </c>
      <c r="V1663" s="42" t="s">
        <v>1377</v>
      </c>
      <c r="W1663" s="42" t="s">
        <v>1377</v>
      </c>
      <c r="X1663" s="42" t="s">
        <v>1377</v>
      </c>
      <c r="Y1663" s="42" t="s">
        <v>1377</v>
      </c>
      <c r="AA1663" s="321"/>
      <c r="AB1663" s="321"/>
      <c r="AC1663" s="24" t="s">
        <v>450</v>
      </c>
      <c r="AG1663" s="24" t="s">
        <v>1358</v>
      </c>
      <c r="AH1663" s="24" t="s">
        <v>1543</v>
      </c>
      <c r="AI1663" s="138" t="s">
        <v>131</v>
      </c>
      <c r="AJ1663" s="24" t="s">
        <v>158</v>
      </c>
      <c r="AK1663" s="140" t="s">
        <v>158</v>
      </c>
      <c r="AL1663" s="24" t="s">
        <v>119</v>
      </c>
      <c r="AT1663" s="24" t="s">
        <v>1145</v>
      </c>
      <c r="AU1663" s="24" t="s">
        <v>1145</v>
      </c>
      <c r="AV1663" s="24" t="s">
        <v>177</v>
      </c>
      <c r="AW1663" s="24" t="s">
        <v>160</v>
      </c>
      <c r="AX1663" s="24">
        <v>2</v>
      </c>
      <c r="AZ1663" s="24" t="s">
        <v>141</v>
      </c>
      <c r="BP1663" s="395"/>
      <c r="BQ1663" s="395"/>
      <c r="BU1663" s="395"/>
      <c r="BV1663" s="395"/>
      <c r="BZ1663" s="395"/>
      <c r="CA1663" s="395"/>
      <c r="CE1663" s="548"/>
      <c r="CF1663" s="548"/>
      <c r="CG1663" s="548"/>
      <c r="CH1663" s="548"/>
      <c r="ER1663" s="24">
        <v>217</v>
      </c>
      <c r="ES1663" s="24">
        <v>0</v>
      </c>
      <c r="EV1663" s="24" t="s">
        <v>1147</v>
      </c>
      <c r="EW1663" s="24">
        <v>2</v>
      </c>
      <c r="EX1663" s="24">
        <v>0</v>
      </c>
      <c r="FA1663" s="24" t="s">
        <v>1146</v>
      </c>
    </row>
    <row r="1664" spans="1:157" s="24" customFormat="1" x14ac:dyDescent="0.25">
      <c r="A1664" s="24">
        <v>75</v>
      </c>
      <c r="B1664" s="42" t="s">
        <v>4093</v>
      </c>
      <c r="C1664" s="24" t="s">
        <v>1137</v>
      </c>
      <c r="D1664" s="24" t="s">
        <v>1138</v>
      </c>
      <c r="E1664" s="24">
        <v>1989</v>
      </c>
      <c r="F1664" s="24">
        <v>1987</v>
      </c>
      <c r="G1664" s="24" t="s">
        <v>418</v>
      </c>
      <c r="H1664" s="24" t="s">
        <v>1139</v>
      </c>
      <c r="I1664" s="24" t="s">
        <v>2815</v>
      </c>
      <c r="J1664" s="24">
        <v>38.950000000000003</v>
      </c>
      <c r="K1664" s="24">
        <v>-91.94</v>
      </c>
      <c r="L1664" s="24">
        <v>251.9</v>
      </c>
      <c r="R1664" s="42" t="s">
        <v>1858</v>
      </c>
      <c r="S1664" s="42" t="s">
        <v>1858</v>
      </c>
      <c r="T1664" s="42" t="s">
        <v>1140</v>
      </c>
      <c r="U1664" s="42" t="s">
        <v>2006</v>
      </c>
      <c r="V1664" s="42" t="s">
        <v>1377</v>
      </c>
      <c r="W1664" s="42" t="s">
        <v>1377</v>
      </c>
      <c r="X1664" s="42" t="s">
        <v>1377</v>
      </c>
      <c r="Y1664" s="42" t="s">
        <v>1377</v>
      </c>
      <c r="AA1664" s="321"/>
      <c r="AB1664" s="321"/>
      <c r="AC1664" s="24" t="s">
        <v>450</v>
      </c>
      <c r="AG1664" s="24" t="s">
        <v>1358</v>
      </c>
      <c r="AH1664" s="24" t="s">
        <v>1543</v>
      </c>
      <c r="AI1664" s="138" t="s">
        <v>131</v>
      </c>
      <c r="AJ1664" s="24" t="s">
        <v>158</v>
      </c>
      <c r="AK1664" s="140" t="s">
        <v>158</v>
      </c>
      <c r="AL1664" s="24" t="s">
        <v>119</v>
      </c>
      <c r="AT1664" s="24" t="s">
        <v>1145</v>
      </c>
      <c r="AU1664" s="24" t="s">
        <v>1145</v>
      </c>
      <c r="AV1664" s="24" t="s">
        <v>177</v>
      </c>
      <c r="AW1664" s="24" t="s">
        <v>160</v>
      </c>
      <c r="AX1664" s="24">
        <v>2</v>
      </c>
      <c r="AZ1664" s="24" t="s">
        <v>141</v>
      </c>
      <c r="BP1664" s="395"/>
      <c r="BQ1664" s="395"/>
      <c r="BU1664" s="395"/>
      <c r="BV1664" s="395"/>
      <c r="BZ1664" s="395"/>
      <c r="CA1664" s="395"/>
      <c r="CE1664" s="548"/>
      <c r="CF1664" s="548"/>
      <c r="CG1664" s="548"/>
      <c r="CH1664" s="548"/>
      <c r="ER1664" s="24">
        <v>1317</v>
      </c>
      <c r="ES1664" s="24">
        <v>0</v>
      </c>
      <c r="EV1664" s="24" t="s">
        <v>1147</v>
      </c>
      <c r="EW1664" s="24">
        <v>33</v>
      </c>
      <c r="EX1664" s="24">
        <v>0</v>
      </c>
      <c r="FA1664" s="24" t="s">
        <v>1146</v>
      </c>
    </row>
    <row r="1665" spans="1:262" s="24" customFormat="1" x14ac:dyDescent="0.25">
      <c r="A1665" s="24">
        <v>75</v>
      </c>
      <c r="B1665" s="42" t="s">
        <v>4093</v>
      </c>
      <c r="C1665" s="24" t="s">
        <v>1137</v>
      </c>
      <c r="D1665" s="24" t="s">
        <v>1138</v>
      </c>
      <c r="E1665" s="24">
        <v>1989</v>
      </c>
      <c r="F1665" s="24">
        <v>1987</v>
      </c>
      <c r="G1665" s="24" t="s">
        <v>418</v>
      </c>
      <c r="H1665" s="24" t="s">
        <v>1139</v>
      </c>
      <c r="I1665" s="24" t="s">
        <v>2815</v>
      </c>
      <c r="J1665" s="24">
        <v>38.950000000000003</v>
      </c>
      <c r="K1665" s="24">
        <v>-91.94</v>
      </c>
      <c r="L1665" s="24">
        <v>251.9</v>
      </c>
      <c r="R1665" s="42" t="s">
        <v>1858</v>
      </c>
      <c r="S1665" s="42" t="s">
        <v>1858</v>
      </c>
      <c r="T1665" s="42" t="s">
        <v>1141</v>
      </c>
      <c r="U1665" s="42" t="s">
        <v>2006</v>
      </c>
      <c r="V1665" s="42" t="s">
        <v>1377</v>
      </c>
      <c r="W1665" s="42" t="s">
        <v>1377</v>
      </c>
      <c r="X1665" s="42" t="s">
        <v>1377</v>
      </c>
      <c r="Y1665" s="42" t="s">
        <v>1377</v>
      </c>
      <c r="AA1665" s="321"/>
      <c r="AB1665" s="321"/>
      <c r="AC1665" s="24" t="s">
        <v>450</v>
      </c>
      <c r="AG1665" s="24" t="s">
        <v>1358</v>
      </c>
      <c r="AH1665" s="24" t="s">
        <v>1543</v>
      </c>
      <c r="AI1665" s="138" t="s">
        <v>131</v>
      </c>
      <c r="AJ1665" s="24" t="s">
        <v>158</v>
      </c>
      <c r="AK1665" s="140" t="s">
        <v>158</v>
      </c>
      <c r="AL1665" s="24" t="s">
        <v>119</v>
      </c>
      <c r="AT1665" s="24" t="s">
        <v>1145</v>
      </c>
      <c r="AU1665" s="24" t="s">
        <v>1145</v>
      </c>
      <c r="AV1665" s="24" t="s">
        <v>177</v>
      </c>
      <c r="AW1665" s="24" t="s">
        <v>160</v>
      </c>
      <c r="AX1665" s="24">
        <v>2</v>
      </c>
      <c r="AZ1665" s="24" t="s">
        <v>141</v>
      </c>
      <c r="BP1665" s="395"/>
      <c r="BQ1665" s="395"/>
      <c r="BU1665" s="395"/>
      <c r="BV1665" s="395"/>
      <c r="BZ1665" s="395"/>
      <c r="CA1665" s="395"/>
      <c r="CE1665" s="548"/>
      <c r="CF1665" s="548"/>
      <c r="CG1665" s="548"/>
      <c r="CH1665" s="548"/>
      <c r="ER1665" s="24">
        <v>0</v>
      </c>
      <c r="ES1665" s="24">
        <v>0</v>
      </c>
      <c r="EV1665" s="24" t="s">
        <v>1147</v>
      </c>
      <c r="EW1665" s="24">
        <v>1E-3</v>
      </c>
      <c r="EX1665" s="24">
        <v>0</v>
      </c>
      <c r="FA1665" s="24" t="s">
        <v>1146</v>
      </c>
    </row>
    <row r="1666" spans="1:262" s="24" customFormat="1" x14ac:dyDescent="0.25">
      <c r="A1666" s="24">
        <v>75</v>
      </c>
      <c r="B1666" s="42" t="s">
        <v>4093</v>
      </c>
      <c r="C1666" s="24" t="s">
        <v>1137</v>
      </c>
      <c r="D1666" s="24" t="s">
        <v>1138</v>
      </c>
      <c r="E1666" s="24">
        <v>1989</v>
      </c>
      <c r="F1666" s="24">
        <v>1987</v>
      </c>
      <c r="G1666" s="24" t="s">
        <v>418</v>
      </c>
      <c r="H1666" s="24" t="s">
        <v>1139</v>
      </c>
      <c r="I1666" s="24" t="s">
        <v>2815</v>
      </c>
      <c r="J1666" s="24">
        <v>38.950000000000003</v>
      </c>
      <c r="K1666" s="24">
        <v>-91.94</v>
      </c>
      <c r="L1666" s="24">
        <v>251.9</v>
      </c>
      <c r="R1666" s="42" t="s">
        <v>1858</v>
      </c>
      <c r="S1666" s="42" t="s">
        <v>1858</v>
      </c>
      <c r="T1666" s="42" t="s">
        <v>1142</v>
      </c>
      <c r="U1666" s="42" t="s">
        <v>2006</v>
      </c>
      <c r="V1666" s="42" t="s">
        <v>1377</v>
      </c>
      <c r="W1666" s="42" t="s">
        <v>1377</v>
      </c>
      <c r="X1666" s="42" t="s">
        <v>1377</v>
      </c>
      <c r="Y1666" s="42" t="s">
        <v>1377</v>
      </c>
      <c r="AA1666" s="321"/>
      <c r="AB1666" s="321"/>
      <c r="AC1666" s="24" t="s">
        <v>450</v>
      </c>
      <c r="AG1666" s="24" t="s">
        <v>1358</v>
      </c>
      <c r="AH1666" s="24" t="s">
        <v>1543</v>
      </c>
      <c r="AI1666" s="138" t="s">
        <v>131</v>
      </c>
      <c r="AJ1666" s="24" t="s">
        <v>158</v>
      </c>
      <c r="AK1666" s="140" t="s">
        <v>158</v>
      </c>
      <c r="AL1666" s="24" t="s">
        <v>119</v>
      </c>
      <c r="AT1666" s="24" t="s">
        <v>1145</v>
      </c>
      <c r="AU1666" s="24" t="s">
        <v>1145</v>
      </c>
      <c r="AV1666" s="24" t="s">
        <v>177</v>
      </c>
      <c r="AW1666" s="24" t="s">
        <v>160</v>
      </c>
      <c r="AX1666" s="24">
        <v>2</v>
      </c>
      <c r="AZ1666" s="24" t="s">
        <v>141</v>
      </c>
      <c r="BP1666" s="395"/>
      <c r="BQ1666" s="395"/>
      <c r="BU1666" s="395"/>
      <c r="BV1666" s="395"/>
      <c r="BZ1666" s="395"/>
      <c r="CA1666" s="395"/>
      <c r="CE1666" s="548"/>
      <c r="CF1666" s="548"/>
      <c r="CG1666" s="548"/>
      <c r="CH1666" s="548"/>
      <c r="ER1666" s="24">
        <v>111</v>
      </c>
      <c r="ES1666" s="24">
        <v>0</v>
      </c>
      <c r="EV1666" s="24" t="s">
        <v>1147</v>
      </c>
      <c r="EW1666" s="24">
        <v>57</v>
      </c>
      <c r="EX1666" s="24">
        <v>36</v>
      </c>
      <c r="FA1666" s="24" t="s">
        <v>1146</v>
      </c>
    </row>
    <row r="1667" spans="1:262" s="24" customFormat="1" x14ac:dyDescent="0.25">
      <c r="A1667" s="24">
        <v>75</v>
      </c>
      <c r="B1667" s="42" t="s">
        <v>4093</v>
      </c>
      <c r="C1667" s="24" t="s">
        <v>1137</v>
      </c>
      <c r="D1667" s="24" t="s">
        <v>1138</v>
      </c>
      <c r="E1667" s="24">
        <v>1989</v>
      </c>
      <c r="F1667" s="24">
        <v>1987</v>
      </c>
      <c r="G1667" s="24" t="s">
        <v>418</v>
      </c>
      <c r="H1667" s="24" t="s">
        <v>1139</v>
      </c>
      <c r="I1667" s="24" t="s">
        <v>2815</v>
      </c>
      <c r="J1667" s="24">
        <v>38.950000000000003</v>
      </c>
      <c r="K1667" s="24">
        <v>-91.94</v>
      </c>
      <c r="L1667" s="24">
        <v>251.9</v>
      </c>
      <c r="R1667" s="42" t="s">
        <v>1858</v>
      </c>
      <c r="S1667" s="42" t="s">
        <v>1858</v>
      </c>
      <c r="T1667" s="42" t="s">
        <v>1143</v>
      </c>
      <c r="U1667" s="42" t="s">
        <v>2006</v>
      </c>
      <c r="V1667" s="42" t="s">
        <v>1377</v>
      </c>
      <c r="W1667" s="42" t="s">
        <v>1377</v>
      </c>
      <c r="X1667" s="42" t="s">
        <v>1377</v>
      </c>
      <c r="Y1667" s="42" t="s">
        <v>1377</v>
      </c>
      <c r="AA1667" s="321"/>
      <c r="AB1667" s="321"/>
      <c r="AC1667" s="24" t="s">
        <v>450</v>
      </c>
      <c r="AG1667" s="24" t="s">
        <v>1358</v>
      </c>
      <c r="AH1667" s="24" t="s">
        <v>1543</v>
      </c>
      <c r="AI1667" s="138" t="s">
        <v>131</v>
      </c>
      <c r="AJ1667" s="24" t="s">
        <v>158</v>
      </c>
      <c r="AK1667" s="140" t="s">
        <v>158</v>
      </c>
      <c r="AL1667" s="24" t="s">
        <v>119</v>
      </c>
      <c r="AT1667" s="24" t="s">
        <v>1145</v>
      </c>
      <c r="AU1667" s="24" t="s">
        <v>1145</v>
      </c>
      <c r="AV1667" s="24" t="s">
        <v>177</v>
      </c>
      <c r="AW1667" s="24" t="s">
        <v>160</v>
      </c>
      <c r="AX1667" s="24">
        <v>2</v>
      </c>
      <c r="AZ1667" s="24" t="s">
        <v>141</v>
      </c>
      <c r="BP1667" s="395"/>
      <c r="BQ1667" s="395"/>
      <c r="BU1667" s="395"/>
      <c r="BV1667" s="395"/>
      <c r="BZ1667" s="395"/>
      <c r="CA1667" s="395"/>
      <c r="CE1667" s="548"/>
      <c r="CF1667" s="548"/>
      <c r="CG1667" s="548"/>
      <c r="CH1667" s="548"/>
      <c r="ER1667" s="24">
        <v>1534</v>
      </c>
      <c r="ES1667" s="24">
        <v>0</v>
      </c>
      <c r="EV1667" s="24" t="s">
        <v>1147</v>
      </c>
      <c r="EW1667" s="24">
        <v>74</v>
      </c>
      <c r="EX1667" s="24">
        <v>23</v>
      </c>
      <c r="FA1667" s="24" t="s">
        <v>1146</v>
      </c>
    </row>
    <row r="1668" spans="1:262" s="28" customFormat="1" x14ac:dyDescent="0.25">
      <c r="A1668" s="28">
        <v>76</v>
      </c>
      <c r="B1668" s="46" t="s">
        <v>4094</v>
      </c>
      <c r="C1668" s="28" t="s">
        <v>1421</v>
      </c>
      <c r="D1668" s="28" t="s">
        <v>1422</v>
      </c>
      <c r="E1668" s="28">
        <v>1992</v>
      </c>
      <c r="F1668" s="28">
        <v>1988</v>
      </c>
      <c r="G1668" s="28" t="s">
        <v>1423</v>
      </c>
      <c r="H1668" s="28" t="s">
        <v>1424</v>
      </c>
      <c r="I1668" s="28" t="s">
        <v>2816</v>
      </c>
      <c r="J1668" s="28">
        <v>47.43</v>
      </c>
      <c r="K1668" s="28">
        <v>-69.92</v>
      </c>
      <c r="L1668" s="28">
        <v>160</v>
      </c>
      <c r="R1668" s="46" t="s">
        <v>1847</v>
      </c>
      <c r="S1668" s="46" t="s">
        <v>1858</v>
      </c>
      <c r="U1668" s="46" t="s">
        <v>2007</v>
      </c>
      <c r="V1668" s="46" t="s">
        <v>1380</v>
      </c>
      <c r="W1668" s="46" t="s">
        <v>1716</v>
      </c>
      <c r="X1668" s="46" t="s">
        <v>1380</v>
      </c>
      <c r="Y1668" s="46" t="s">
        <v>1382</v>
      </c>
      <c r="AA1668" s="326">
        <v>10</v>
      </c>
      <c r="AB1668" s="326">
        <v>30</v>
      </c>
      <c r="AC1668" s="28" t="s">
        <v>796</v>
      </c>
      <c r="AG1668" s="28" t="s">
        <v>1425</v>
      </c>
      <c r="AH1668" s="28" t="s">
        <v>1515</v>
      </c>
      <c r="AI1668" s="138" t="s">
        <v>577</v>
      </c>
      <c r="AJ1668" s="28" t="s">
        <v>1053</v>
      </c>
      <c r="AK1668" s="141" t="s">
        <v>1646</v>
      </c>
      <c r="AL1668" s="28" t="s">
        <v>1097</v>
      </c>
      <c r="AM1668" s="28" t="s">
        <v>1426</v>
      </c>
      <c r="AN1668" s="28" t="s">
        <v>502</v>
      </c>
      <c r="AW1668" s="28" t="s">
        <v>160</v>
      </c>
      <c r="AX1668" s="28">
        <v>4</v>
      </c>
      <c r="AZ1668" s="28" t="s">
        <v>335</v>
      </c>
      <c r="BP1668" s="401"/>
      <c r="BQ1668" s="401"/>
      <c r="BU1668" s="401"/>
      <c r="BV1668" s="401"/>
      <c r="BZ1668" s="401"/>
      <c r="CA1668" s="401"/>
      <c r="CE1668" s="554"/>
      <c r="CF1668" s="554"/>
      <c r="CG1668" s="554"/>
      <c r="CH1668" s="554"/>
      <c r="GU1668" s="28">
        <v>199</v>
      </c>
      <c r="GV1668" s="28">
        <v>230</v>
      </c>
      <c r="GY1668" s="28" t="s">
        <v>1703</v>
      </c>
      <c r="HE1668" s="28">
        <f>0.57*10000</f>
        <v>5699.9999999999991</v>
      </c>
      <c r="HF1668" s="28">
        <f>0.61*10000</f>
        <v>6100</v>
      </c>
      <c r="HI1668" s="28" t="s">
        <v>1427</v>
      </c>
      <c r="IN1668" s="28">
        <f>1.3*10000</f>
        <v>13000</v>
      </c>
      <c r="IO1668" s="28">
        <f>1.6*10000</f>
        <v>16000</v>
      </c>
      <c r="JB1668" s="28" t="s">
        <v>1428</v>
      </c>
    </row>
    <row r="1669" spans="1:262" s="28" customFormat="1" x14ac:dyDescent="0.25">
      <c r="A1669" s="28">
        <v>76</v>
      </c>
      <c r="B1669" s="46" t="s">
        <v>4095</v>
      </c>
      <c r="C1669" s="28" t="s">
        <v>1421</v>
      </c>
      <c r="D1669" s="28" t="s">
        <v>1422</v>
      </c>
      <c r="E1669" s="28">
        <v>1992</v>
      </c>
      <c r="F1669" s="28">
        <v>1988</v>
      </c>
      <c r="G1669" s="28" t="s">
        <v>1423</v>
      </c>
      <c r="H1669" s="28" t="s">
        <v>1424</v>
      </c>
      <c r="I1669" s="28" t="s">
        <v>2816</v>
      </c>
      <c r="J1669" s="28">
        <v>47.43</v>
      </c>
      <c r="K1669" s="28">
        <v>-69.92</v>
      </c>
      <c r="L1669" s="28">
        <v>160</v>
      </c>
      <c r="R1669" s="46" t="s">
        <v>1847</v>
      </c>
      <c r="S1669" s="46" t="s">
        <v>1858</v>
      </c>
      <c r="U1669" s="46" t="s">
        <v>2007</v>
      </c>
      <c r="V1669" s="46" t="s">
        <v>1381</v>
      </c>
      <c r="W1669" s="46" t="s">
        <v>1716</v>
      </c>
      <c r="X1669" s="46" t="s">
        <v>1380</v>
      </c>
      <c r="Y1669" s="46" t="s">
        <v>1382</v>
      </c>
      <c r="AA1669" s="326">
        <v>10</v>
      </c>
      <c r="AB1669" s="326">
        <v>30</v>
      </c>
      <c r="AC1669" s="28" t="s">
        <v>796</v>
      </c>
      <c r="AG1669" s="28" t="s">
        <v>1425</v>
      </c>
      <c r="AH1669" s="28" t="s">
        <v>1515</v>
      </c>
      <c r="AI1669" s="138" t="s">
        <v>577</v>
      </c>
      <c r="AJ1669" s="28" t="s">
        <v>1053</v>
      </c>
      <c r="AK1669" s="141" t="s">
        <v>1646</v>
      </c>
      <c r="AL1669" s="28" t="s">
        <v>1097</v>
      </c>
      <c r="AM1669" s="28" t="s">
        <v>1426</v>
      </c>
      <c r="AN1669" s="28" t="s">
        <v>502</v>
      </c>
      <c r="AW1669" s="28" t="s">
        <v>160</v>
      </c>
      <c r="AX1669" s="28">
        <v>4</v>
      </c>
      <c r="AZ1669" s="28" t="s">
        <v>335</v>
      </c>
      <c r="BP1669" s="401"/>
      <c r="BQ1669" s="401"/>
      <c r="BU1669" s="401"/>
      <c r="BV1669" s="401"/>
      <c r="BZ1669" s="401"/>
      <c r="CA1669" s="401"/>
      <c r="CE1669" s="554"/>
      <c r="CF1669" s="554"/>
      <c r="CG1669" s="554"/>
      <c r="CH1669" s="554"/>
      <c r="GU1669" s="28">
        <v>214</v>
      </c>
      <c r="GV1669" s="28">
        <v>230</v>
      </c>
      <c r="GY1669" s="28" t="s">
        <v>1703</v>
      </c>
      <c r="HE1669" s="28">
        <f>0.58*10000</f>
        <v>5800</v>
      </c>
      <c r="HF1669" s="28">
        <f>0.62*10000</f>
        <v>6200</v>
      </c>
      <c r="HI1669" s="28" t="s">
        <v>1427</v>
      </c>
      <c r="IN1669" s="28">
        <f>1.4*10000</f>
        <v>14000</v>
      </c>
      <c r="IO1669" s="28">
        <f>1.6*10000</f>
        <v>16000</v>
      </c>
      <c r="JB1669" s="28" t="s">
        <v>1428</v>
      </c>
    </row>
    <row r="1670" spans="1:262" s="22" customFormat="1" x14ac:dyDescent="0.25">
      <c r="A1670" s="22">
        <v>77</v>
      </c>
      <c r="B1670" s="45" t="s">
        <v>4096</v>
      </c>
      <c r="C1670" s="22" t="s">
        <v>1429</v>
      </c>
      <c r="D1670" s="22" t="s">
        <v>1430</v>
      </c>
      <c r="E1670" s="22">
        <v>1993</v>
      </c>
      <c r="F1670" s="22">
        <v>1990</v>
      </c>
      <c r="G1670" s="22" t="s">
        <v>1431</v>
      </c>
      <c r="H1670" s="22" t="s">
        <v>1432</v>
      </c>
      <c r="I1670" s="22" t="s">
        <v>2815</v>
      </c>
      <c r="J1670" s="22">
        <f>33+54/60</f>
        <v>33.9</v>
      </c>
      <c r="K1670" s="22">
        <f>-83-24/60</f>
        <v>-83.4</v>
      </c>
      <c r="L1670" s="22">
        <v>185.5</v>
      </c>
      <c r="R1670" s="45" t="s">
        <v>1858</v>
      </c>
      <c r="S1670" s="45" t="s">
        <v>1858</v>
      </c>
      <c r="U1670" s="45" t="s">
        <v>2007</v>
      </c>
      <c r="V1670" s="45" t="s">
        <v>1394</v>
      </c>
      <c r="W1670" s="45" t="s">
        <v>1722</v>
      </c>
      <c r="X1670" s="45" t="s">
        <v>1394</v>
      </c>
      <c r="Y1670" s="45" t="s">
        <v>1394</v>
      </c>
      <c r="AA1670" s="325">
        <f>100-(130+165+71+210+57+110+190)/7*0.1-AB1670</f>
        <v>69.01428571428572</v>
      </c>
      <c r="AB1670" s="325">
        <f>(260+120+127+149+150+210+220)/7*0.1</f>
        <v>17.657142857142858</v>
      </c>
      <c r="AC1670" s="22" t="s">
        <v>240</v>
      </c>
      <c r="AE1670" s="22">
        <f>(24.4+17.8+13+8.3+6.7+12.1+14)/7*0.1</f>
        <v>1.3757142857142857</v>
      </c>
      <c r="AG1670" s="22" t="s">
        <v>1433</v>
      </c>
      <c r="AH1670" s="22" t="s">
        <v>397</v>
      </c>
      <c r="AI1670" s="138" t="s">
        <v>577</v>
      </c>
      <c r="AJ1670" s="22" t="s">
        <v>220</v>
      </c>
      <c r="AK1670" s="142" t="s">
        <v>220</v>
      </c>
      <c r="AL1670" s="22" t="s">
        <v>1097</v>
      </c>
      <c r="AM1670" s="22" t="s">
        <v>1097</v>
      </c>
      <c r="AN1670" s="22" t="s">
        <v>1434</v>
      </c>
      <c r="AO1670" s="22" t="s">
        <v>487</v>
      </c>
      <c r="AP1670" s="22" t="s">
        <v>156</v>
      </c>
      <c r="AS1670" s="22" t="s">
        <v>502</v>
      </c>
      <c r="AW1670" s="22" t="s">
        <v>119</v>
      </c>
      <c r="AX1670" s="22">
        <v>3</v>
      </c>
      <c r="BP1670" s="399"/>
      <c r="BQ1670" s="399"/>
      <c r="BU1670" s="399">
        <f>(9.4+10.2)/2*0.1</f>
        <v>0.98000000000000009</v>
      </c>
      <c r="BV1670" s="399">
        <f>13.2/10</f>
        <v>1.3199999999999998</v>
      </c>
      <c r="BY1670" s="22" t="s">
        <v>163</v>
      </c>
      <c r="BZ1670" s="399"/>
      <c r="CA1670" s="399"/>
      <c r="CD1670" s="22" t="s">
        <v>3120</v>
      </c>
      <c r="CE1670" s="552">
        <v>0.98000000000000009</v>
      </c>
      <c r="CF1670" s="552">
        <v>1.3199999999999998</v>
      </c>
      <c r="CG1670" s="552"/>
      <c r="CH1670" s="552"/>
      <c r="CI1670" s="22" t="s">
        <v>4542</v>
      </c>
      <c r="DS1670" s="22">
        <f>(47+49)/2*10</f>
        <v>480</v>
      </c>
      <c r="DT1670" s="22">
        <f>64*10</f>
        <v>640</v>
      </c>
      <c r="DW1670" s="22" t="s">
        <v>1680</v>
      </c>
      <c r="EH1670" s="22">
        <f>(23.8+22.3)/2</f>
        <v>23.05</v>
      </c>
      <c r="EI1670" s="22">
        <v>46.3</v>
      </c>
    </row>
    <row r="1671" spans="1:262" s="32" customFormat="1" x14ac:dyDescent="0.25">
      <c r="A1671" s="32">
        <v>78</v>
      </c>
      <c r="B1671" s="44" t="s">
        <v>4097</v>
      </c>
      <c r="C1671" s="32" t="s">
        <v>1435</v>
      </c>
      <c r="D1671" s="32" t="s">
        <v>1436</v>
      </c>
      <c r="E1671" s="32">
        <v>2007</v>
      </c>
      <c r="F1671" s="32">
        <v>2005</v>
      </c>
      <c r="G1671" s="32" t="s">
        <v>418</v>
      </c>
      <c r="H1671" s="32" t="s">
        <v>526</v>
      </c>
      <c r="I1671" s="32" t="s">
        <v>2815</v>
      </c>
      <c r="J1671" s="32">
        <f t="shared" ref="J1671:J1674" si="269">40+15/60</f>
        <v>40.25</v>
      </c>
      <c r="K1671" s="32">
        <v>-101.25</v>
      </c>
      <c r="L1671" s="32">
        <v>972</v>
      </c>
      <c r="R1671" s="44" t="s">
        <v>1929</v>
      </c>
      <c r="S1671" s="44" t="s">
        <v>1929</v>
      </c>
      <c r="U1671" s="44" t="s">
        <v>2008</v>
      </c>
      <c r="V1671" s="44" t="s">
        <v>1388</v>
      </c>
      <c r="W1671" s="44" t="s">
        <v>1719</v>
      </c>
      <c r="X1671" s="44" t="s">
        <v>1388</v>
      </c>
      <c r="Y1671" s="44" t="s">
        <v>1438</v>
      </c>
      <c r="AA1671" s="323">
        <v>20</v>
      </c>
      <c r="AB1671" s="323">
        <f>100-20-(22+28+32)/3</f>
        <v>52.666666666666671</v>
      </c>
      <c r="AC1671" s="32" t="s">
        <v>450</v>
      </c>
      <c r="AG1671" s="32" t="s">
        <v>1439</v>
      </c>
      <c r="AH1671" s="32" t="s">
        <v>527</v>
      </c>
      <c r="AI1671" s="138" t="s">
        <v>1581</v>
      </c>
      <c r="AJ1671" s="32" t="s">
        <v>1527</v>
      </c>
      <c r="AK1671" s="140" t="s">
        <v>1623</v>
      </c>
      <c r="AL1671" s="32" t="s">
        <v>1629</v>
      </c>
      <c r="AM1671" s="32" t="s">
        <v>1629</v>
      </c>
      <c r="AN1671" s="32" t="s">
        <v>177</v>
      </c>
      <c r="AW1671" s="32" t="s">
        <v>119</v>
      </c>
      <c r="AX1671" s="32">
        <v>3</v>
      </c>
      <c r="AZ1671" s="32" t="s">
        <v>141</v>
      </c>
      <c r="BP1671" s="397">
        <v>1.36</v>
      </c>
      <c r="BQ1671" s="397">
        <v>1.4</v>
      </c>
      <c r="BU1671" s="397">
        <v>0.82</v>
      </c>
      <c r="BV1671" s="397">
        <v>1.21</v>
      </c>
      <c r="BY1671" s="32" t="s">
        <v>163</v>
      </c>
      <c r="BZ1671" s="397"/>
      <c r="CA1671" s="397"/>
      <c r="CD1671" s="32" t="s">
        <v>3120</v>
      </c>
      <c r="CE1671" s="550">
        <v>0.82</v>
      </c>
      <c r="CF1671" s="550">
        <v>1.21</v>
      </c>
      <c r="CG1671" s="550"/>
      <c r="CH1671" s="550"/>
      <c r="CI1671" s="32" t="s">
        <v>4542</v>
      </c>
      <c r="DS1671" s="32">
        <v>25.8</v>
      </c>
      <c r="DT1671" s="32">
        <v>32.4</v>
      </c>
      <c r="DW1671" s="32" t="s">
        <v>1440</v>
      </c>
      <c r="DX1671" s="32">
        <v>23.3</v>
      </c>
      <c r="DY1671" s="32">
        <v>22.7</v>
      </c>
      <c r="EM1671" s="32">
        <v>2.33</v>
      </c>
      <c r="EN1671" s="32">
        <v>3.58</v>
      </c>
    </row>
    <row r="1672" spans="1:262" s="125" customFormat="1" x14ac:dyDescent="0.25">
      <c r="A1672" s="32">
        <v>78</v>
      </c>
      <c r="B1672" s="44" t="s">
        <v>4097</v>
      </c>
      <c r="C1672" s="123" t="s">
        <v>1435</v>
      </c>
      <c r="D1672" s="123" t="s">
        <v>1436</v>
      </c>
      <c r="E1672" s="123">
        <v>2007</v>
      </c>
      <c r="F1672" s="123">
        <v>2005</v>
      </c>
      <c r="G1672" s="123" t="s">
        <v>418</v>
      </c>
      <c r="H1672" s="123" t="s">
        <v>526</v>
      </c>
      <c r="I1672" s="32" t="s">
        <v>2815</v>
      </c>
      <c r="J1672" s="123">
        <f t="shared" si="269"/>
        <v>40.25</v>
      </c>
      <c r="K1672" s="123">
        <v>-101.25</v>
      </c>
      <c r="L1672" s="32">
        <v>972</v>
      </c>
      <c r="M1672" s="123"/>
      <c r="N1672" s="123"/>
      <c r="O1672" s="123"/>
      <c r="P1672" s="123"/>
      <c r="Q1672" s="123"/>
      <c r="R1672" s="44" t="s">
        <v>1929</v>
      </c>
      <c r="S1672" s="44" t="s">
        <v>1929</v>
      </c>
      <c r="U1672" s="124" t="s">
        <v>2008</v>
      </c>
      <c r="V1672" s="124" t="s">
        <v>1392</v>
      </c>
      <c r="W1672" s="44" t="s">
        <v>1719</v>
      </c>
      <c r="X1672" s="44" t="s">
        <v>1388</v>
      </c>
      <c r="Y1672" s="44" t="s">
        <v>1438</v>
      </c>
      <c r="Z1672" s="123"/>
      <c r="AA1672" s="323">
        <v>20</v>
      </c>
      <c r="AB1672" s="323">
        <f t="shared" ref="AB1672:AB1674" si="270">100-20-(22+28+32)/3</f>
        <v>52.666666666666671</v>
      </c>
      <c r="AC1672" s="123" t="s">
        <v>450</v>
      </c>
      <c r="AD1672" s="123"/>
      <c r="AE1672" s="123"/>
      <c r="AF1672" s="123"/>
      <c r="AG1672" s="32" t="s">
        <v>1439</v>
      </c>
      <c r="AH1672" s="32" t="s">
        <v>527</v>
      </c>
      <c r="AI1672" s="138" t="s">
        <v>1581</v>
      </c>
      <c r="AJ1672" s="123" t="s">
        <v>1527</v>
      </c>
      <c r="AK1672" s="140" t="s">
        <v>1623</v>
      </c>
      <c r="AL1672" s="32" t="s">
        <v>1629</v>
      </c>
      <c r="AM1672" s="32" t="s">
        <v>1629</v>
      </c>
      <c r="AN1672" s="32" t="s">
        <v>177</v>
      </c>
      <c r="AW1672" s="32" t="s">
        <v>119</v>
      </c>
      <c r="AX1672" s="32">
        <v>3</v>
      </c>
      <c r="AY1672" s="32"/>
      <c r="AZ1672" s="32" t="s">
        <v>141</v>
      </c>
      <c r="BP1672" s="397">
        <v>1.36</v>
      </c>
      <c r="BQ1672" s="397">
        <v>1.34</v>
      </c>
      <c r="BU1672" s="462">
        <v>0.57999999999999996</v>
      </c>
      <c r="BV1672" s="462">
        <v>0.59</v>
      </c>
      <c r="BW1672" s="32"/>
      <c r="BX1672" s="32"/>
      <c r="BY1672" s="32" t="s">
        <v>163</v>
      </c>
      <c r="BZ1672" s="462"/>
      <c r="CA1672" s="462"/>
      <c r="CB1672" s="32"/>
      <c r="CC1672" s="32"/>
      <c r="CD1672" s="32" t="s">
        <v>3120</v>
      </c>
      <c r="CE1672" s="550">
        <v>0.57999999999999996</v>
      </c>
      <c r="CF1672" s="550">
        <v>0.59</v>
      </c>
      <c r="CG1672" s="583"/>
      <c r="CH1672" s="583"/>
      <c r="CI1672" s="32" t="s">
        <v>4542</v>
      </c>
      <c r="DS1672" s="125">
        <v>25.8</v>
      </c>
      <c r="DT1672" s="125">
        <v>30.2</v>
      </c>
      <c r="DW1672" s="32" t="s">
        <v>1440</v>
      </c>
      <c r="DX1672" s="32">
        <v>23.2</v>
      </c>
      <c r="DY1672" s="32">
        <v>30.14</v>
      </c>
      <c r="DZ1672" s="32"/>
      <c r="EA1672" s="32"/>
      <c r="EM1672" s="32">
        <v>2.4900000000000002</v>
      </c>
      <c r="EN1672" s="32">
        <v>2.06</v>
      </c>
      <c r="EO1672" s="32"/>
      <c r="EP1672" s="32"/>
      <c r="FL1672" s="32"/>
      <c r="FM1672" s="32"/>
      <c r="FN1672" s="32"/>
      <c r="FO1672" s="32"/>
    </row>
    <row r="1673" spans="1:262" s="32" customFormat="1" x14ac:dyDescent="0.25">
      <c r="A1673" s="32">
        <v>78</v>
      </c>
      <c r="B1673" s="44" t="s">
        <v>4097</v>
      </c>
      <c r="C1673" s="32" t="s">
        <v>1435</v>
      </c>
      <c r="D1673" s="32" t="s">
        <v>1436</v>
      </c>
      <c r="E1673" s="32">
        <v>2007</v>
      </c>
      <c r="F1673" s="32">
        <v>2005</v>
      </c>
      <c r="G1673" s="32" t="s">
        <v>418</v>
      </c>
      <c r="H1673" s="32" t="s">
        <v>526</v>
      </c>
      <c r="I1673" s="32" t="s">
        <v>2815</v>
      </c>
      <c r="J1673" s="32">
        <f t="shared" si="269"/>
        <v>40.25</v>
      </c>
      <c r="K1673" s="32">
        <v>-101.25</v>
      </c>
      <c r="L1673" s="32">
        <v>972</v>
      </c>
      <c r="R1673" s="44" t="s">
        <v>1929</v>
      </c>
      <c r="S1673" s="44" t="s">
        <v>1929</v>
      </c>
      <c r="U1673" s="44" t="s">
        <v>2008</v>
      </c>
      <c r="V1673" s="44" t="s">
        <v>1393</v>
      </c>
      <c r="W1673" s="44" t="s">
        <v>1719</v>
      </c>
      <c r="X1673" s="44" t="s">
        <v>1388</v>
      </c>
      <c r="Y1673" s="44" t="s">
        <v>1438</v>
      </c>
      <c r="AA1673" s="323">
        <v>20</v>
      </c>
      <c r="AB1673" s="323">
        <f t="shared" si="270"/>
        <v>52.666666666666671</v>
      </c>
      <c r="AC1673" s="32" t="s">
        <v>450</v>
      </c>
      <c r="AG1673" s="32" t="s">
        <v>1439</v>
      </c>
      <c r="AH1673" s="32" t="s">
        <v>527</v>
      </c>
      <c r="AI1673" s="138" t="s">
        <v>1581</v>
      </c>
      <c r="AJ1673" s="32" t="s">
        <v>1527</v>
      </c>
      <c r="AK1673" s="140" t="s">
        <v>1623</v>
      </c>
      <c r="AL1673" s="32" t="s">
        <v>1629</v>
      </c>
      <c r="AM1673" s="32" t="s">
        <v>1629</v>
      </c>
      <c r="AN1673" s="32" t="s">
        <v>177</v>
      </c>
      <c r="AW1673" s="32" t="s">
        <v>119</v>
      </c>
      <c r="AX1673" s="32">
        <v>3</v>
      </c>
      <c r="AZ1673" s="32" t="s">
        <v>141</v>
      </c>
      <c r="BP1673" s="397">
        <v>1.23</v>
      </c>
      <c r="BQ1673" s="397">
        <v>1.28</v>
      </c>
      <c r="BU1673" s="397">
        <v>0.46</v>
      </c>
      <c r="BV1673" s="397">
        <v>0.61</v>
      </c>
      <c r="BY1673" s="32" t="s">
        <v>163</v>
      </c>
      <c r="BZ1673" s="397"/>
      <c r="CA1673" s="397"/>
      <c r="CD1673" s="32" t="s">
        <v>3120</v>
      </c>
      <c r="CE1673" s="550">
        <v>0.46</v>
      </c>
      <c r="CF1673" s="550">
        <v>0.61</v>
      </c>
      <c r="CG1673" s="550"/>
      <c r="CH1673" s="550"/>
      <c r="CI1673" s="32" t="s">
        <v>4542</v>
      </c>
      <c r="DS1673" s="32">
        <v>83</v>
      </c>
      <c r="DT1673" s="32">
        <v>120.3</v>
      </c>
      <c r="DW1673" s="32" t="s">
        <v>1440</v>
      </c>
      <c r="DX1673" s="32">
        <v>27.97</v>
      </c>
      <c r="DY1673" s="32">
        <v>29.7</v>
      </c>
      <c r="EM1673" s="32">
        <v>4.01</v>
      </c>
      <c r="EN1673" s="32">
        <v>3.36</v>
      </c>
    </row>
    <row r="1674" spans="1:262" s="32" customFormat="1" x14ac:dyDescent="0.25">
      <c r="A1674" s="32">
        <v>78</v>
      </c>
      <c r="B1674" s="44" t="s">
        <v>4097</v>
      </c>
      <c r="C1674" s="32" t="s">
        <v>1435</v>
      </c>
      <c r="D1674" s="32" t="s">
        <v>1436</v>
      </c>
      <c r="E1674" s="32">
        <v>2007</v>
      </c>
      <c r="F1674" s="32">
        <v>2005</v>
      </c>
      <c r="G1674" s="32" t="s">
        <v>418</v>
      </c>
      <c r="H1674" s="32" t="s">
        <v>526</v>
      </c>
      <c r="I1674" s="32" t="s">
        <v>2815</v>
      </c>
      <c r="J1674" s="32">
        <f t="shared" si="269"/>
        <v>40.25</v>
      </c>
      <c r="K1674" s="32">
        <v>-101.25</v>
      </c>
      <c r="L1674" s="32">
        <v>972</v>
      </c>
      <c r="R1674" s="44" t="s">
        <v>1929</v>
      </c>
      <c r="S1674" s="44" t="s">
        <v>1929</v>
      </c>
      <c r="U1674" s="44" t="s">
        <v>2008</v>
      </c>
      <c r="V1674" s="44" t="s">
        <v>1437</v>
      </c>
      <c r="W1674" s="44" t="s">
        <v>1719</v>
      </c>
      <c r="X1674" s="44" t="s">
        <v>1388</v>
      </c>
      <c r="Y1674" s="44" t="s">
        <v>1438</v>
      </c>
      <c r="AA1674" s="323">
        <v>20</v>
      </c>
      <c r="AB1674" s="323">
        <f t="shared" si="270"/>
        <v>52.666666666666671</v>
      </c>
      <c r="AC1674" s="32" t="s">
        <v>450</v>
      </c>
      <c r="AG1674" s="32" t="s">
        <v>1439</v>
      </c>
      <c r="AH1674" s="32" t="s">
        <v>527</v>
      </c>
      <c r="AI1674" s="138" t="s">
        <v>1581</v>
      </c>
      <c r="AJ1674" s="32" t="s">
        <v>1527</v>
      </c>
      <c r="AK1674" s="140" t="s">
        <v>1623</v>
      </c>
      <c r="AL1674" s="32" t="s">
        <v>1629</v>
      </c>
      <c r="AM1674" s="32" t="s">
        <v>1629</v>
      </c>
      <c r="AN1674" s="32" t="s">
        <v>177</v>
      </c>
      <c r="AW1674" s="32" t="s">
        <v>119</v>
      </c>
      <c r="AX1674" s="32">
        <v>3</v>
      </c>
      <c r="AZ1674" s="32" t="s">
        <v>141</v>
      </c>
      <c r="BP1674" s="397">
        <v>1.34</v>
      </c>
      <c r="BQ1674" s="397">
        <v>1.27</v>
      </c>
      <c r="BU1674" s="397">
        <v>0.6</v>
      </c>
      <c r="BV1674" s="397">
        <v>0.61</v>
      </c>
      <c r="BY1674" s="32" t="s">
        <v>163</v>
      </c>
      <c r="BZ1674" s="397"/>
      <c r="CA1674" s="397"/>
      <c r="CD1674" s="32" t="s">
        <v>3120</v>
      </c>
      <c r="CE1674" s="550">
        <v>0.6</v>
      </c>
      <c r="CF1674" s="550">
        <v>0.61</v>
      </c>
      <c r="CG1674" s="550"/>
      <c r="CH1674" s="550"/>
      <c r="CI1674" s="32" t="s">
        <v>4542</v>
      </c>
      <c r="DS1674" s="32">
        <v>89.56</v>
      </c>
      <c r="DT1674" s="32">
        <v>142.31</v>
      </c>
      <c r="DW1674" s="32" t="s">
        <v>1440</v>
      </c>
      <c r="DX1674" s="32">
        <v>25.8</v>
      </c>
      <c r="DY1674" s="32">
        <v>29.27</v>
      </c>
      <c r="EM1674" s="32">
        <v>2.93</v>
      </c>
      <c r="EN1674" s="32">
        <v>3.14</v>
      </c>
    </row>
    <row r="1675" spans="1:262" s="40" customFormat="1" x14ac:dyDescent="0.25">
      <c r="A1675" s="155">
        <v>79</v>
      </c>
      <c r="B1675" s="158" t="s">
        <v>4098</v>
      </c>
      <c r="C1675" s="160" t="s">
        <v>1744</v>
      </c>
      <c r="D1675" s="156"/>
      <c r="E1675" s="160">
        <v>1998</v>
      </c>
      <c r="F1675" s="161">
        <v>1981</v>
      </c>
      <c r="G1675" s="156" t="s">
        <v>1745</v>
      </c>
      <c r="H1675" s="160" t="s">
        <v>1746</v>
      </c>
      <c r="I1675" s="160" t="s">
        <v>2815</v>
      </c>
      <c r="J1675" s="157">
        <v>41.27</v>
      </c>
      <c r="K1675" s="157">
        <v>-77.349999999999994</v>
      </c>
      <c r="L1675" s="162">
        <v>549</v>
      </c>
      <c r="M1675" s="155"/>
      <c r="N1675" s="155"/>
      <c r="O1675" s="156"/>
      <c r="P1675" s="156"/>
      <c r="Q1675" s="156"/>
      <c r="R1675" s="162">
        <v>1</v>
      </c>
      <c r="S1675" s="162">
        <v>15</v>
      </c>
      <c r="U1675" s="158" t="s">
        <v>2009</v>
      </c>
      <c r="V1675" s="156" t="s">
        <v>1389</v>
      </c>
      <c r="W1675" s="155">
        <v>30</v>
      </c>
      <c r="X1675" s="156" t="s">
        <v>1389</v>
      </c>
      <c r="Y1675" s="156" t="s">
        <v>1389</v>
      </c>
      <c r="Z1675" s="155">
        <v>1.5805100000000001</v>
      </c>
      <c r="AA1675" s="355"/>
      <c r="AB1675" s="382"/>
      <c r="AC1675" s="156"/>
      <c r="AD1675" s="156"/>
      <c r="AE1675" s="156"/>
      <c r="AH1675" s="156" t="s">
        <v>577</v>
      </c>
      <c r="AI1675" s="159" t="s">
        <v>577</v>
      </c>
      <c r="AJ1675" s="156" t="s">
        <v>1594</v>
      </c>
      <c r="AK1675" s="156" t="s">
        <v>1611</v>
      </c>
      <c r="AL1675" s="156" t="s">
        <v>1594</v>
      </c>
      <c r="AM1675" s="156" t="s">
        <v>1594</v>
      </c>
      <c r="AN1675" s="156" t="s">
        <v>177</v>
      </c>
      <c r="AO1675" s="156"/>
      <c r="AP1675" s="156"/>
      <c r="AQ1675" s="156"/>
      <c r="AR1675" s="156"/>
      <c r="AS1675" s="156"/>
      <c r="AT1675" s="156"/>
      <c r="AU1675" s="156"/>
      <c r="AV1675" s="155"/>
      <c r="AW1675" s="156" t="s">
        <v>160</v>
      </c>
      <c r="AX1675" s="156">
        <v>3</v>
      </c>
      <c r="AY1675" s="156"/>
      <c r="AZ1675" s="156"/>
      <c r="BA1675" s="156"/>
      <c r="BB1675" s="156"/>
      <c r="BP1675" s="430"/>
      <c r="BQ1675" s="430"/>
      <c r="BR1675" s="163"/>
      <c r="BS1675" s="163"/>
      <c r="BT1675" s="163"/>
      <c r="BU1675" s="430">
        <v>0.87060395618634967</v>
      </c>
      <c r="BV1675" s="430">
        <v>0.93260917981008684</v>
      </c>
      <c r="BW1675" s="40">
        <f>(4490-4095)/(100*100*30*1.58)*100*SQRT(3)</f>
        <v>0.14433756729740646</v>
      </c>
      <c r="BX1675" s="40">
        <f>(4563-4405)/(100*100*30*1.58)*100*SQRT(3)</f>
        <v>5.7735026918962574E-2</v>
      </c>
      <c r="BZ1675" s="430"/>
      <c r="CA1675" s="430"/>
      <c r="CD1675" s="40" t="s">
        <v>3120</v>
      </c>
      <c r="CE1675" s="569">
        <v>0.87060395618634967</v>
      </c>
      <c r="CF1675" s="569">
        <v>0.93260917981008684</v>
      </c>
      <c r="CG1675" s="569">
        <v>0.14433756729740646</v>
      </c>
      <c r="CH1675" s="569">
        <v>5.7735026918962574E-2</v>
      </c>
      <c r="CI1675" s="40" t="s">
        <v>4546</v>
      </c>
    </row>
    <row r="1676" spans="1:262" s="40" customFormat="1" x14ac:dyDescent="0.25">
      <c r="A1676" s="155">
        <v>79</v>
      </c>
      <c r="B1676" s="158" t="s">
        <v>4099</v>
      </c>
      <c r="C1676" s="160" t="s">
        <v>1744</v>
      </c>
      <c r="D1676" s="156"/>
      <c r="E1676" s="160">
        <v>1998</v>
      </c>
      <c r="F1676" s="161">
        <v>1995</v>
      </c>
      <c r="G1676" s="156" t="s">
        <v>1745</v>
      </c>
      <c r="H1676" s="160" t="s">
        <v>1746</v>
      </c>
      <c r="I1676" s="160" t="s">
        <v>2815</v>
      </c>
      <c r="J1676" s="157">
        <v>41.27</v>
      </c>
      <c r="K1676" s="157">
        <v>-77.349999999999994</v>
      </c>
      <c r="L1676" s="162">
        <v>549</v>
      </c>
      <c r="M1676" s="155"/>
      <c r="N1676" s="155"/>
      <c r="O1676" s="156"/>
      <c r="P1676" s="156"/>
      <c r="Q1676" s="156"/>
      <c r="R1676" s="162">
        <v>15</v>
      </c>
      <c r="S1676" s="162">
        <v>15</v>
      </c>
      <c r="U1676" s="158" t="s">
        <v>2009</v>
      </c>
      <c r="V1676" s="156" t="s">
        <v>1389</v>
      </c>
      <c r="W1676" s="155">
        <v>30</v>
      </c>
      <c r="X1676" s="156" t="s">
        <v>1389</v>
      </c>
      <c r="Y1676" s="156" t="s">
        <v>1389</v>
      </c>
      <c r="Z1676" s="155">
        <v>1.5805100000000001</v>
      </c>
      <c r="AA1676" s="355"/>
      <c r="AB1676" s="382"/>
      <c r="AC1676" s="156"/>
      <c r="AD1676" s="156"/>
      <c r="AE1676" s="156"/>
      <c r="AH1676" s="156" t="s">
        <v>577</v>
      </c>
      <c r="AI1676" s="159" t="s">
        <v>577</v>
      </c>
      <c r="AJ1676" s="156" t="s">
        <v>1594</v>
      </c>
      <c r="AK1676" s="156" t="s">
        <v>1611</v>
      </c>
      <c r="AL1676" s="156" t="s">
        <v>1594</v>
      </c>
      <c r="AM1676" s="156" t="s">
        <v>1594</v>
      </c>
      <c r="AN1676" s="156" t="s">
        <v>177</v>
      </c>
      <c r="AO1676" s="156"/>
      <c r="AP1676" s="156"/>
      <c r="AQ1676" s="156"/>
      <c r="AR1676" s="156"/>
      <c r="AS1676" s="156"/>
      <c r="AT1676" s="156"/>
      <c r="AU1676" s="156"/>
      <c r="AV1676" s="155"/>
      <c r="AW1676" s="156" t="s">
        <v>160</v>
      </c>
      <c r="AX1676" s="156">
        <v>3</v>
      </c>
      <c r="AY1676" s="156"/>
      <c r="AZ1676" s="156"/>
      <c r="BA1676" s="156"/>
      <c r="BB1676" s="156"/>
      <c r="BP1676" s="430"/>
      <c r="BQ1676" s="430"/>
      <c r="BR1676" s="163"/>
      <c r="BS1676" s="163"/>
      <c r="BT1676" s="163"/>
      <c r="BU1676" s="430">
        <v>0.91615881435889135</v>
      </c>
      <c r="BV1676" s="430">
        <v>1.0791861540226626</v>
      </c>
      <c r="BW1676" s="40">
        <f>(4668-4343)/(100*100*30*1.58)*100*SQRT(3)</f>
        <v>0.11875875790292936</v>
      </c>
      <c r="BX1676" s="40">
        <f>(5250-5057)/(100*100*30*1.58)*100*SQRT(3)</f>
        <v>7.0524431616201116E-2</v>
      </c>
      <c r="BZ1676" s="430"/>
      <c r="CA1676" s="430"/>
      <c r="CD1676" s="40" t="s">
        <v>3120</v>
      </c>
      <c r="CE1676" s="569">
        <v>0.91615881435889135</v>
      </c>
      <c r="CF1676" s="569">
        <v>1.0791861540226626</v>
      </c>
      <c r="CG1676" s="569">
        <v>0.11875875790292936</v>
      </c>
      <c r="CH1676" s="569">
        <v>7.0524431616201116E-2</v>
      </c>
      <c r="CI1676" s="40" t="s">
        <v>4546</v>
      </c>
    </row>
    <row r="1677" spans="1:262" s="40" customFormat="1" x14ac:dyDescent="0.25">
      <c r="A1677" s="155">
        <v>79</v>
      </c>
      <c r="B1677" s="158" t="s">
        <v>4100</v>
      </c>
      <c r="C1677" s="160" t="s">
        <v>1744</v>
      </c>
      <c r="D1677" s="156"/>
      <c r="E1677" s="160">
        <v>1998</v>
      </c>
      <c r="F1677" s="161">
        <v>1987</v>
      </c>
      <c r="G1677" s="156" t="s">
        <v>1745</v>
      </c>
      <c r="H1677" s="160" t="s">
        <v>1746</v>
      </c>
      <c r="I1677" s="160" t="s">
        <v>2815</v>
      </c>
      <c r="J1677" s="157">
        <v>41.27</v>
      </c>
      <c r="K1677" s="157">
        <v>-77.349999999999994</v>
      </c>
      <c r="L1677" s="162">
        <v>549</v>
      </c>
      <c r="M1677" s="155"/>
      <c r="N1677" s="155"/>
      <c r="O1677" s="156"/>
      <c r="P1677" s="156"/>
      <c r="Q1677" s="156"/>
      <c r="R1677" s="162">
        <v>7</v>
      </c>
      <c r="S1677" s="162">
        <v>15</v>
      </c>
      <c r="U1677" s="158" t="s">
        <v>2009</v>
      </c>
      <c r="V1677" s="156" t="s">
        <v>1389</v>
      </c>
      <c r="W1677" s="155">
        <v>30</v>
      </c>
      <c r="X1677" s="156" t="s">
        <v>1389</v>
      </c>
      <c r="Y1677" s="156" t="s">
        <v>1389</v>
      </c>
      <c r="Z1677" s="155">
        <v>1.5805100000000001</v>
      </c>
      <c r="AA1677" s="355"/>
      <c r="AB1677" s="382"/>
      <c r="AC1677" s="156"/>
      <c r="AD1677" s="156"/>
      <c r="AE1677" s="156"/>
      <c r="AH1677" s="156" t="s">
        <v>577</v>
      </c>
      <c r="AI1677" s="159" t="s">
        <v>577</v>
      </c>
      <c r="AJ1677" s="156" t="s">
        <v>1594</v>
      </c>
      <c r="AK1677" s="156" t="s">
        <v>1611</v>
      </c>
      <c r="AL1677" s="156" t="s">
        <v>1594</v>
      </c>
      <c r="AM1677" s="156" t="s">
        <v>1594</v>
      </c>
      <c r="AN1677" s="156" t="s">
        <v>177</v>
      </c>
      <c r="AO1677" s="156"/>
      <c r="AP1677" s="156"/>
      <c r="AQ1677" s="156"/>
      <c r="AR1677" s="156"/>
      <c r="AS1677" s="156"/>
      <c r="AT1677" s="156"/>
      <c r="AU1677" s="156"/>
      <c r="AV1677" s="155"/>
      <c r="AW1677" s="156" t="s">
        <v>160</v>
      </c>
      <c r="AX1677" s="156">
        <v>3</v>
      </c>
      <c r="AY1677" s="156"/>
      <c r="AZ1677" s="156"/>
      <c r="BA1677" s="156"/>
      <c r="BB1677" s="156"/>
      <c r="BF1677" s="40">
        <v>75</v>
      </c>
      <c r="BG1677" s="40">
        <v>68</v>
      </c>
      <c r="BJ1677" s="40" t="s">
        <v>1747</v>
      </c>
      <c r="BP1677" s="430"/>
      <c r="BQ1677" s="430"/>
      <c r="BR1677" s="163"/>
      <c r="BS1677" s="163"/>
      <c r="BT1677" s="163"/>
      <c r="BU1677" s="430"/>
      <c r="BV1677" s="430"/>
      <c r="BZ1677" s="430"/>
      <c r="CA1677" s="430"/>
      <c r="CE1677" s="569"/>
      <c r="CF1677" s="569"/>
      <c r="CG1677" s="569"/>
      <c r="CH1677" s="569"/>
      <c r="FB1677" s="40">
        <v>1092.5</v>
      </c>
      <c r="FC1677" s="40">
        <v>927.7</v>
      </c>
      <c r="FF1677" s="40" t="s">
        <v>1748</v>
      </c>
    </row>
    <row r="1678" spans="1:262" s="32" customFormat="1" x14ac:dyDescent="0.25">
      <c r="A1678" s="32">
        <v>80</v>
      </c>
      <c r="B1678" s="44" t="s">
        <v>4101</v>
      </c>
      <c r="C1678" s="32" t="s">
        <v>1445</v>
      </c>
      <c r="D1678" s="32" t="s">
        <v>1446</v>
      </c>
      <c r="E1678" s="32">
        <v>1950</v>
      </c>
      <c r="F1678" s="32">
        <v>1943</v>
      </c>
      <c r="G1678" s="32" t="s">
        <v>302</v>
      </c>
      <c r="H1678" s="32" t="s">
        <v>1447</v>
      </c>
      <c r="I1678" s="32" t="s">
        <v>2815</v>
      </c>
      <c r="J1678" s="32">
        <v>40.479999999999997</v>
      </c>
      <c r="K1678" s="32">
        <v>-74.44</v>
      </c>
      <c r="L1678" s="32">
        <v>40.5</v>
      </c>
      <c r="R1678" s="44">
        <v>5</v>
      </c>
      <c r="S1678" s="44" t="s">
        <v>1860</v>
      </c>
      <c r="U1678" s="44" t="s">
        <v>2010</v>
      </c>
      <c r="V1678" s="44" t="s">
        <v>1377</v>
      </c>
      <c r="W1678" s="44" t="s">
        <v>1377</v>
      </c>
      <c r="X1678" s="44" t="s">
        <v>1377</v>
      </c>
      <c r="Y1678" s="44" t="s">
        <v>1377</v>
      </c>
      <c r="AA1678" s="323"/>
      <c r="AB1678" s="323"/>
      <c r="AC1678" s="32" t="s">
        <v>1608</v>
      </c>
      <c r="AH1678" s="32" t="s">
        <v>131</v>
      </c>
      <c r="AI1678" s="138" t="s">
        <v>131</v>
      </c>
      <c r="AJ1678" s="32" t="s">
        <v>1591</v>
      </c>
      <c r="AK1678" s="140" t="s">
        <v>1613</v>
      </c>
      <c r="AW1678" s="32" t="s">
        <v>160</v>
      </c>
      <c r="AX1678" s="32">
        <v>4</v>
      </c>
      <c r="AZ1678" s="32" t="s">
        <v>141</v>
      </c>
      <c r="BE1678" s="32" t="s">
        <v>883</v>
      </c>
      <c r="BP1678" s="397"/>
      <c r="BQ1678" s="397"/>
      <c r="BU1678" s="397"/>
      <c r="BV1678" s="397"/>
      <c r="BZ1678" s="397"/>
      <c r="CA1678" s="397"/>
      <c r="CE1678" s="550"/>
      <c r="CF1678" s="550"/>
      <c r="CG1678" s="550"/>
      <c r="CH1678" s="550"/>
      <c r="ER1678" s="32">
        <v>503.4</v>
      </c>
      <c r="ES1678" s="32">
        <v>53.84</v>
      </c>
      <c r="EW1678" s="32">
        <v>9.34</v>
      </c>
      <c r="EX1678" s="32">
        <v>1.8</v>
      </c>
      <c r="FA1678" s="32" t="s">
        <v>1452</v>
      </c>
    </row>
    <row r="1679" spans="1:262" s="32" customFormat="1" x14ac:dyDescent="0.25">
      <c r="A1679" s="32">
        <v>80</v>
      </c>
      <c r="B1679" s="44" t="s">
        <v>4101</v>
      </c>
      <c r="C1679" s="32" t="s">
        <v>1445</v>
      </c>
      <c r="D1679" s="32" t="s">
        <v>1446</v>
      </c>
      <c r="E1679" s="32">
        <v>1950</v>
      </c>
      <c r="F1679" s="32">
        <v>1943</v>
      </c>
      <c r="G1679" s="32" t="s">
        <v>302</v>
      </c>
      <c r="H1679" s="32" t="s">
        <v>1447</v>
      </c>
      <c r="I1679" s="32" t="s">
        <v>2815</v>
      </c>
      <c r="J1679" s="32">
        <v>40.479999999999997</v>
      </c>
      <c r="K1679" s="32">
        <v>-74.44</v>
      </c>
      <c r="L1679" s="32">
        <v>40.5</v>
      </c>
      <c r="R1679" s="44">
        <v>5</v>
      </c>
      <c r="S1679" s="44" t="s">
        <v>1860</v>
      </c>
      <c r="U1679" s="44" t="s">
        <v>2010</v>
      </c>
      <c r="V1679" s="44" t="s">
        <v>1377</v>
      </c>
      <c r="W1679" s="44" t="s">
        <v>1377</v>
      </c>
      <c r="X1679" s="44" t="s">
        <v>1377</v>
      </c>
      <c r="Y1679" s="44" t="s">
        <v>1377</v>
      </c>
      <c r="AA1679" s="323"/>
      <c r="AB1679" s="323"/>
      <c r="AC1679" s="32" t="s">
        <v>1608</v>
      </c>
      <c r="AH1679" s="32" t="s">
        <v>131</v>
      </c>
      <c r="AI1679" s="138" t="s">
        <v>131</v>
      </c>
      <c r="AJ1679" s="32" t="s">
        <v>1591</v>
      </c>
      <c r="AK1679" s="140" t="s">
        <v>1613</v>
      </c>
      <c r="AW1679" s="32" t="s">
        <v>160</v>
      </c>
      <c r="AX1679" s="32">
        <v>4</v>
      </c>
      <c r="AZ1679" s="32" t="s">
        <v>141</v>
      </c>
      <c r="BE1679" s="32" t="s">
        <v>983</v>
      </c>
      <c r="BP1679" s="397"/>
      <c r="BQ1679" s="397"/>
      <c r="BU1679" s="397"/>
      <c r="BV1679" s="397"/>
      <c r="BZ1679" s="397"/>
      <c r="CA1679" s="397"/>
      <c r="CE1679" s="550"/>
      <c r="CF1679" s="550"/>
      <c r="CG1679" s="550"/>
      <c r="CH1679" s="550"/>
      <c r="ER1679" s="32">
        <v>121.6</v>
      </c>
      <c r="ES1679" s="32">
        <v>39.74</v>
      </c>
      <c r="EW1679" s="32">
        <v>10.23</v>
      </c>
      <c r="EX1679" s="32">
        <v>11.43</v>
      </c>
      <c r="FA1679" s="32" t="s">
        <v>1452</v>
      </c>
    </row>
    <row r="1680" spans="1:262" s="32" customFormat="1" x14ac:dyDescent="0.25">
      <c r="A1680" s="32">
        <v>80</v>
      </c>
      <c r="B1680" s="44" t="s">
        <v>4101</v>
      </c>
      <c r="C1680" s="32" t="s">
        <v>1445</v>
      </c>
      <c r="D1680" s="32" t="s">
        <v>1446</v>
      </c>
      <c r="E1680" s="32">
        <v>1950</v>
      </c>
      <c r="F1680" s="32">
        <v>1943</v>
      </c>
      <c r="G1680" s="32" t="s">
        <v>302</v>
      </c>
      <c r="H1680" s="32" t="s">
        <v>1447</v>
      </c>
      <c r="I1680" s="32" t="s">
        <v>2815</v>
      </c>
      <c r="J1680" s="32">
        <v>40.479999999999997</v>
      </c>
      <c r="K1680" s="32">
        <v>-74.44</v>
      </c>
      <c r="L1680" s="32">
        <v>40.5</v>
      </c>
      <c r="R1680" s="44">
        <v>5</v>
      </c>
      <c r="S1680" s="44" t="s">
        <v>1860</v>
      </c>
      <c r="U1680" s="44" t="s">
        <v>2010</v>
      </c>
      <c r="V1680" s="44" t="s">
        <v>1377</v>
      </c>
      <c r="W1680" s="44" t="s">
        <v>1377</v>
      </c>
      <c r="X1680" s="44" t="s">
        <v>1377</v>
      </c>
      <c r="Y1680" s="44" t="s">
        <v>1377</v>
      </c>
      <c r="AA1680" s="323"/>
      <c r="AB1680" s="323"/>
      <c r="AC1680" s="32" t="s">
        <v>1608</v>
      </c>
      <c r="AH1680" s="32" t="s">
        <v>131</v>
      </c>
      <c r="AI1680" s="138" t="s">
        <v>131</v>
      </c>
      <c r="AJ1680" s="32" t="s">
        <v>1591</v>
      </c>
      <c r="AK1680" s="140" t="s">
        <v>1613</v>
      </c>
      <c r="AW1680" s="32" t="s">
        <v>160</v>
      </c>
      <c r="AX1680" s="32">
        <v>4</v>
      </c>
      <c r="AZ1680" s="32" t="s">
        <v>141</v>
      </c>
      <c r="BE1680" s="32" t="s">
        <v>984</v>
      </c>
      <c r="BP1680" s="397"/>
      <c r="BQ1680" s="397"/>
      <c r="BU1680" s="397"/>
      <c r="BV1680" s="397"/>
      <c r="BZ1680" s="397"/>
      <c r="CA1680" s="397"/>
      <c r="CE1680" s="550"/>
      <c r="CF1680" s="550"/>
      <c r="CG1680" s="550"/>
      <c r="CH1680" s="550"/>
      <c r="ER1680" s="32">
        <v>311.7</v>
      </c>
      <c r="ES1680" s="32">
        <v>39.21</v>
      </c>
      <c r="EW1680" s="32">
        <v>4.49</v>
      </c>
      <c r="EX1680" s="32">
        <v>2.0699999999999998</v>
      </c>
      <c r="FA1680" s="32" t="s">
        <v>1452</v>
      </c>
    </row>
    <row r="1681" spans="1:212" s="32" customFormat="1" x14ac:dyDescent="0.25">
      <c r="A1681" s="32">
        <v>80</v>
      </c>
      <c r="B1681" s="44" t="s">
        <v>4101</v>
      </c>
      <c r="C1681" s="32" t="s">
        <v>1445</v>
      </c>
      <c r="D1681" s="32" t="s">
        <v>1446</v>
      </c>
      <c r="E1681" s="32">
        <v>1950</v>
      </c>
      <c r="F1681" s="32">
        <v>1943</v>
      </c>
      <c r="G1681" s="32" t="s">
        <v>302</v>
      </c>
      <c r="H1681" s="32" t="s">
        <v>1447</v>
      </c>
      <c r="I1681" s="32" t="s">
        <v>2815</v>
      </c>
      <c r="J1681" s="32">
        <v>40.479999999999997</v>
      </c>
      <c r="K1681" s="32">
        <v>-74.44</v>
      </c>
      <c r="L1681" s="32">
        <v>40.5</v>
      </c>
      <c r="R1681" s="44">
        <v>5</v>
      </c>
      <c r="S1681" s="44" t="s">
        <v>1860</v>
      </c>
      <c r="U1681" s="44" t="s">
        <v>2010</v>
      </c>
      <c r="V1681" s="44" t="s">
        <v>1377</v>
      </c>
      <c r="W1681" s="44" t="s">
        <v>1377</v>
      </c>
      <c r="X1681" s="44" t="s">
        <v>1377</v>
      </c>
      <c r="Y1681" s="44" t="s">
        <v>1377</v>
      </c>
      <c r="AA1681" s="323"/>
      <c r="AB1681" s="323"/>
      <c r="AC1681" s="32" t="s">
        <v>1608</v>
      </c>
      <c r="AH1681" s="32" t="s">
        <v>131</v>
      </c>
      <c r="AI1681" s="138" t="s">
        <v>131</v>
      </c>
      <c r="AJ1681" s="32" t="s">
        <v>1591</v>
      </c>
      <c r="AK1681" s="140" t="s">
        <v>1613</v>
      </c>
      <c r="AW1681" s="32" t="s">
        <v>160</v>
      </c>
      <c r="AX1681" s="32">
        <v>4</v>
      </c>
      <c r="AZ1681" s="32" t="s">
        <v>141</v>
      </c>
      <c r="BE1681" s="32" t="s">
        <v>780</v>
      </c>
      <c r="BP1681" s="397"/>
      <c r="BQ1681" s="397"/>
      <c r="BU1681" s="397"/>
      <c r="BV1681" s="397"/>
      <c r="BZ1681" s="397"/>
      <c r="CA1681" s="397"/>
      <c r="CE1681" s="550"/>
      <c r="CF1681" s="550"/>
      <c r="CG1681" s="550"/>
      <c r="CH1681" s="550"/>
      <c r="ER1681" s="32">
        <v>515.45000000000005</v>
      </c>
      <c r="ES1681" s="32">
        <v>38.659999999999997</v>
      </c>
      <c r="EW1681" s="32">
        <v>3.88</v>
      </c>
      <c r="EX1681" s="32">
        <v>1.46</v>
      </c>
      <c r="FA1681" s="32" t="s">
        <v>1452</v>
      </c>
    </row>
    <row r="1682" spans="1:212" s="32" customFormat="1" x14ac:dyDescent="0.25">
      <c r="A1682" s="32">
        <v>80</v>
      </c>
      <c r="B1682" s="44" t="s">
        <v>4101</v>
      </c>
      <c r="C1682" s="32" t="s">
        <v>1445</v>
      </c>
      <c r="D1682" s="32" t="s">
        <v>1446</v>
      </c>
      <c r="E1682" s="32">
        <v>1950</v>
      </c>
      <c r="F1682" s="32">
        <v>1943</v>
      </c>
      <c r="G1682" s="32" t="s">
        <v>302</v>
      </c>
      <c r="H1682" s="32" t="s">
        <v>1447</v>
      </c>
      <c r="I1682" s="32" t="s">
        <v>2815</v>
      </c>
      <c r="J1682" s="32">
        <v>40.479999999999997</v>
      </c>
      <c r="K1682" s="32">
        <v>-74.44</v>
      </c>
      <c r="L1682" s="32">
        <v>40.5</v>
      </c>
      <c r="R1682" s="44">
        <v>5</v>
      </c>
      <c r="S1682" s="44" t="s">
        <v>1860</v>
      </c>
      <c r="U1682" s="44" t="s">
        <v>2010</v>
      </c>
      <c r="V1682" s="44" t="s">
        <v>1377</v>
      </c>
      <c r="W1682" s="44" t="s">
        <v>1377</v>
      </c>
      <c r="X1682" s="44" t="s">
        <v>1377</v>
      </c>
      <c r="Y1682" s="44" t="s">
        <v>1377</v>
      </c>
      <c r="AA1682" s="323"/>
      <c r="AB1682" s="323"/>
      <c r="AC1682" s="32" t="s">
        <v>1608</v>
      </c>
      <c r="AH1682" s="32" t="s">
        <v>131</v>
      </c>
      <c r="AI1682" s="138" t="s">
        <v>131</v>
      </c>
      <c r="AJ1682" s="32" t="s">
        <v>1591</v>
      </c>
      <c r="AK1682" s="140" t="s">
        <v>1613</v>
      </c>
      <c r="AW1682" s="32" t="s">
        <v>160</v>
      </c>
      <c r="AX1682" s="32">
        <v>4</v>
      </c>
      <c r="AZ1682" s="32" t="s">
        <v>141</v>
      </c>
      <c r="BE1682" s="32" t="s">
        <v>201</v>
      </c>
      <c r="BP1682" s="397"/>
      <c r="BQ1682" s="397"/>
      <c r="BU1682" s="397"/>
      <c r="BV1682" s="397"/>
      <c r="BZ1682" s="397"/>
      <c r="CA1682" s="397"/>
      <c r="CE1682" s="550"/>
      <c r="CF1682" s="550"/>
      <c r="CG1682" s="550"/>
      <c r="CH1682" s="550"/>
      <c r="ER1682" s="32">
        <v>474.09</v>
      </c>
      <c r="ES1682" s="32">
        <v>147.1</v>
      </c>
      <c r="EW1682" s="32">
        <v>4.47</v>
      </c>
      <c r="EX1682" s="32">
        <v>2.0499999999999998</v>
      </c>
      <c r="FA1682" s="32" t="s">
        <v>1452</v>
      </c>
    </row>
    <row r="1683" spans="1:212" s="32" customFormat="1" x14ac:dyDescent="0.25">
      <c r="A1683" s="32">
        <v>80</v>
      </c>
      <c r="B1683" s="44" t="s">
        <v>4101</v>
      </c>
      <c r="C1683" s="32" t="s">
        <v>1445</v>
      </c>
      <c r="D1683" s="32" t="s">
        <v>1446</v>
      </c>
      <c r="E1683" s="32">
        <v>1950</v>
      </c>
      <c r="F1683" s="32">
        <v>1943</v>
      </c>
      <c r="G1683" s="32" t="s">
        <v>302</v>
      </c>
      <c r="H1683" s="32" t="s">
        <v>1447</v>
      </c>
      <c r="I1683" s="32" t="s">
        <v>2815</v>
      </c>
      <c r="J1683" s="32">
        <v>40.479999999999997</v>
      </c>
      <c r="K1683" s="32">
        <v>-74.44</v>
      </c>
      <c r="L1683" s="32">
        <v>40.5</v>
      </c>
      <c r="R1683" s="44">
        <v>5</v>
      </c>
      <c r="S1683" s="44" t="s">
        <v>1860</v>
      </c>
      <c r="U1683" s="44" t="s">
        <v>2010</v>
      </c>
      <c r="V1683" s="44" t="s">
        <v>1377</v>
      </c>
      <c r="W1683" s="44" t="s">
        <v>1377</v>
      </c>
      <c r="X1683" s="44" t="s">
        <v>1377</v>
      </c>
      <c r="Y1683" s="44" t="s">
        <v>1377</v>
      </c>
      <c r="AA1683" s="323"/>
      <c r="AB1683" s="323"/>
      <c r="AC1683" s="32" t="s">
        <v>1608</v>
      </c>
      <c r="AH1683" s="32" t="s">
        <v>131</v>
      </c>
      <c r="AI1683" s="138" t="s">
        <v>131</v>
      </c>
      <c r="AJ1683" s="32" t="s">
        <v>1591</v>
      </c>
      <c r="AK1683" s="140" t="s">
        <v>1613</v>
      </c>
      <c r="AW1683" s="32" t="s">
        <v>160</v>
      </c>
      <c r="AX1683" s="32">
        <v>4</v>
      </c>
      <c r="AZ1683" s="32" t="s">
        <v>141</v>
      </c>
      <c r="BE1683" s="32" t="s">
        <v>884</v>
      </c>
      <c r="BP1683" s="397"/>
      <c r="BQ1683" s="397"/>
      <c r="BU1683" s="397"/>
      <c r="BV1683" s="397"/>
      <c r="BZ1683" s="397"/>
      <c r="CA1683" s="397"/>
      <c r="CE1683" s="550"/>
      <c r="CF1683" s="550"/>
      <c r="CG1683" s="550"/>
      <c r="CH1683" s="550"/>
      <c r="ER1683" s="32">
        <v>1467.26</v>
      </c>
      <c r="ES1683" s="32">
        <v>813.8</v>
      </c>
      <c r="EW1683" s="32">
        <v>12.29</v>
      </c>
      <c r="EX1683" s="32">
        <v>7.16</v>
      </c>
      <c r="FA1683" s="32" t="s">
        <v>1452</v>
      </c>
    </row>
    <row r="1684" spans="1:212" s="32" customFormat="1" x14ac:dyDescent="0.25">
      <c r="A1684" s="32">
        <v>80</v>
      </c>
      <c r="B1684" s="44" t="s">
        <v>4101</v>
      </c>
      <c r="C1684" s="32" t="s">
        <v>1445</v>
      </c>
      <c r="D1684" s="32" t="s">
        <v>1446</v>
      </c>
      <c r="E1684" s="32">
        <v>1950</v>
      </c>
      <c r="F1684" s="32">
        <v>1943</v>
      </c>
      <c r="G1684" s="32" t="s">
        <v>302</v>
      </c>
      <c r="H1684" s="32" t="s">
        <v>1447</v>
      </c>
      <c r="I1684" s="32" t="s">
        <v>2815</v>
      </c>
      <c r="J1684" s="32">
        <v>40.479999999999997</v>
      </c>
      <c r="K1684" s="32">
        <v>-74.44</v>
      </c>
      <c r="L1684" s="32">
        <v>40.5</v>
      </c>
      <c r="R1684" s="44">
        <v>5</v>
      </c>
      <c r="S1684" s="44" t="s">
        <v>1860</v>
      </c>
      <c r="U1684" s="44" t="s">
        <v>2010</v>
      </c>
      <c r="V1684" s="44" t="s">
        <v>1377</v>
      </c>
      <c r="W1684" s="44" t="s">
        <v>1377</v>
      </c>
      <c r="X1684" s="44" t="s">
        <v>1377</v>
      </c>
      <c r="Y1684" s="44" t="s">
        <v>1377</v>
      </c>
      <c r="AA1684" s="323"/>
      <c r="AB1684" s="323"/>
      <c r="AC1684" s="32" t="s">
        <v>1608</v>
      </c>
      <c r="AH1684" s="32" t="s">
        <v>131</v>
      </c>
      <c r="AI1684" s="138" t="s">
        <v>131</v>
      </c>
      <c r="AJ1684" s="32" t="s">
        <v>1591</v>
      </c>
      <c r="AK1684" s="140" t="s">
        <v>1613</v>
      </c>
      <c r="AW1684" s="32" t="s">
        <v>160</v>
      </c>
      <c r="AX1684" s="32">
        <v>4</v>
      </c>
      <c r="AZ1684" s="32" t="s">
        <v>141</v>
      </c>
      <c r="BE1684" s="32" t="s">
        <v>1073</v>
      </c>
      <c r="BP1684" s="397"/>
      <c r="BQ1684" s="397"/>
      <c r="BU1684" s="397"/>
      <c r="BV1684" s="397"/>
      <c r="BZ1684" s="397"/>
      <c r="CA1684" s="397"/>
      <c r="CE1684" s="550"/>
      <c r="CF1684" s="550"/>
      <c r="CG1684" s="550"/>
      <c r="CH1684" s="550"/>
      <c r="ER1684" s="32">
        <v>2147.9499999999998</v>
      </c>
      <c r="ES1684" s="32">
        <v>1112.9000000000001</v>
      </c>
      <c r="EW1684" s="32">
        <v>28.26</v>
      </c>
      <c r="EX1684" s="32">
        <v>21.62</v>
      </c>
      <c r="FA1684" s="32" t="s">
        <v>1452</v>
      </c>
    </row>
    <row r="1685" spans="1:212" s="32" customFormat="1" x14ac:dyDescent="0.25">
      <c r="A1685" s="32">
        <v>80</v>
      </c>
      <c r="B1685" s="44" t="s">
        <v>4101</v>
      </c>
      <c r="C1685" s="32" t="s">
        <v>1445</v>
      </c>
      <c r="D1685" s="32" t="s">
        <v>1446</v>
      </c>
      <c r="E1685" s="32">
        <v>1950</v>
      </c>
      <c r="F1685" s="32">
        <v>1943</v>
      </c>
      <c r="G1685" s="32" t="s">
        <v>302</v>
      </c>
      <c r="H1685" s="32" t="s">
        <v>1447</v>
      </c>
      <c r="I1685" s="32" t="s">
        <v>2815</v>
      </c>
      <c r="J1685" s="32">
        <v>40.479999999999997</v>
      </c>
      <c r="K1685" s="32">
        <v>-74.44</v>
      </c>
      <c r="L1685" s="32">
        <v>40.5</v>
      </c>
      <c r="R1685" s="44">
        <v>5</v>
      </c>
      <c r="S1685" s="44" t="s">
        <v>1860</v>
      </c>
      <c r="U1685" s="44" t="s">
        <v>2010</v>
      </c>
      <c r="V1685" s="44" t="s">
        <v>1377</v>
      </c>
      <c r="W1685" s="44" t="s">
        <v>1377</v>
      </c>
      <c r="X1685" s="44" t="s">
        <v>1377</v>
      </c>
      <c r="Y1685" s="44" t="s">
        <v>1377</v>
      </c>
      <c r="AA1685" s="323"/>
      <c r="AB1685" s="323"/>
      <c r="AC1685" s="32" t="s">
        <v>1608</v>
      </c>
      <c r="AH1685" s="32" t="s">
        <v>131</v>
      </c>
      <c r="AI1685" s="138" t="s">
        <v>131</v>
      </c>
      <c r="AJ1685" s="32" t="s">
        <v>1591</v>
      </c>
      <c r="AK1685" s="140" t="s">
        <v>1613</v>
      </c>
      <c r="AW1685" s="32" t="s">
        <v>160</v>
      </c>
      <c r="AX1685" s="32">
        <v>4</v>
      </c>
      <c r="AZ1685" s="32" t="s">
        <v>141</v>
      </c>
      <c r="BE1685" s="32" t="s">
        <v>887</v>
      </c>
      <c r="BP1685" s="397"/>
      <c r="BQ1685" s="397"/>
      <c r="BU1685" s="397"/>
      <c r="BV1685" s="397"/>
      <c r="BZ1685" s="397"/>
      <c r="CA1685" s="397"/>
      <c r="CE1685" s="550"/>
      <c r="CF1685" s="550"/>
      <c r="CG1685" s="550"/>
      <c r="CH1685" s="550"/>
      <c r="ER1685" s="32">
        <v>962.74</v>
      </c>
      <c r="ES1685" s="32">
        <v>567.65</v>
      </c>
      <c r="EW1685" s="32">
        <v>13.17</v>
      </c>
      <c r="EX1685" s="32">
        <v>8.65</v>
      </c>
      <c r="FA1685" s="32" t="s">
        <v>1452</v>
      </c>
    </row>
    <row r="1686" spans="1:212" s="32" customFormat="1" x14ac:dyDescent="0.25">
      <c r="A1686" s="32">
        <v>80</v>
      </c>
      <c r="B1686" s="44" t="s">
        <v>4101</v>
      </c>
      <c r="C1686" s="32" t="s">
        <v>1445</v>
      </c>
      <c r="D1686" s="32" t="s">
        <v>1446</v>
      </c>
      <c r="E1686" s="32">
        <v>1950</v>
      </c>
      <c r="F1686" s="32">
        <v>1943</v>
      </c>
      <c r="G1686" s="32" t="s">
        <v>302</v>
      </c>
      <c r="H1686" s="32" t="s">
        <v>1447</v>
      </c>
      <c r="I1686" s="32" t="s">
        <v>2815</v>
      </c>
      <c r="J1686" s="32">
        <v>40.479999999999997</v>
      </c>
      <c r="K1686" s="32">
        <v>-74.44</v>
      </c>
      <c r="L1686" s="32">
        <v>40.5</v>
      </c>
      <c r="R1686" s="44">
        <v>5</v>
      </c>
      <c r="S1686" s="44" t="s">
        <v>1860</v>
      </c>
      <c r="U1686" s="44" t="s">
        <v>2010</v>
      </c>
      <c r="V1686" s="44" t="s">
        <v>1377</v>
      </c>
      <c r="W1686" s="44" t="s">
        <v>1377</v>
      </c>
      <c r="X1686" s="44" t="s">
        <v>1377</v>
      </c>
      <c r="Y1686" s="44" t="s">
        <v>1377</v>
      </c>
      <c r="AA1686" s="323"/>
      <c r="AB1686" s="323"/>
      <c r="AC1686" s="32" t="s">
        <v>1608</v>
      </c>
      <c r="AH1686" s="32" t="s">
        <v>131</v>
      </c>
      <c r="AI1686" s="138" t="s">
        <v>131</v>
      </c>
      <c r="AJ1686" s="32" t="s">
        <v>1591</v>
      </c>
      <c r="AK1686" s="140" t="s">
        <v>1613</v>
      </c>
      <c r="AW1686" s="32" t="s">
        <v>160</v>
      </c>
      <c r="AX1686" s="32">
        <v>4</v>
      </c>
      <c r="AZ1686" s="32" t="s">
        <v>141</v>
      </c>
      <c r="BE1686" s="32" t="s">
        <v>885</v>
      </c>
      <c r="BP1686" s="397"/>
      <c r="BQ1686" s="397"/>
      <c r="BU1686" s="397"/>
      <c r="BV1686" s="397"/>
      <c r="BZ1686" s="397"/>
      <c r="CA1686" s="397"/>
      <c r="CE1686" s="550"/>
      <c r="CF1686" s="550"/>
      <c r="CG1686" s="550"/>
      <c r="CH1686" s="550"/>
      <c r="ER1686" s="32">
        <v>757.93</v>
      </c>
      <c r="ES1686" s="32">
        <v>349.23</v>
      </c>
      <c r="EW1686" s="32">
        <v>13.77</v>
      </c>
      <c r="EX1686" s="32">
        <v>7.73</v>
      </c>
      <c r="FA1686" s="32" t="s">
        <v>1452</v>
      </c>
    </row>
    <row r="1687" spans="1:212" s="32" customFormat="1" x14ac:dyDescent="0.25">
      <c r="A1687" s="32">
        <v>80</v>
      </c>
      <c r="B1687" s="44" t="s">
        <v>4101</v>
      </c>
      <c r="C1687" s="32" t="s">
        <v>1445</v>
      </c>
      <c r="D1687" s="32" t="s">
        <v>1446</v>
      </c>
      <c r="E1687" s="32">
        <v>1950</v>
      </c>
      <c r="F1687" s="32">
        <v>1943</v>
      </c>
      <c r="G1687" s="32" t="s">
        <v>302</v>
      </c>
      <c r="H1687" s="32" t="s">
        <v>1447</v>
      </c>
      <c r="I1687" s="32" t="s">
        <v>2815</v>
      </c>
      <c r="J1687" s="32">
        <v>40.479999999999997</v>
      </c>
      <c r="K1687" s="32">
        <v>-74.44</v>
      </c>
      <c r="L1687" s="32">
        <v>40.5</v>
      </c>
      <c r="R1687" s="44">
        <v>5</v>
      </c>
      <c r="S1687" s="44" t="s">
        <v>1860</v>
      </c>
      <c r="U1687" s="44" t="s">
        <v>2010</v>
      </c>
      <c r="V1687" s="44" t="s">
        <v>1377</v>
      </c>
      <c r="W1687" s="44" t="s">
        <v>1377</v>
      </c>
      <c r="X1687" s="44" t="s">
        <v>1377</v>
      </c>
      <c r="Y1687" s="44" t="s">
        <v>1377</v>
      </c>
      <c r="AA1687" s="323"/>
      <c r="AB1687" s="323"/>
      <c r="AC1687" s="32" t="s">
        <v>1608</v>
      </c>
      <c r="AH1687" s="32" t="s">
        <v>131</v>
      </c>
      <c r="AI1687" s="138" t="s">
        <v>131</v>
      </c>
      <c r="AJ1687" s="32" t="s">
        <v>1591</v>
      </c>
      <c r="AK1687" s="140" t="s">
        <v>1613</v>
      </c>
      <c r="AW1687" s="32" t="s">
        <v>160</v>
      </c>
      <c r="AX1687" s="32">
        <v>4</v>
      </c>
      <c r="AZ1687" s="32" t="s">
        <v>141</v>
      </c>
      <c r="BE1687" s="32" t="s">
        <v>886</v>
      </c>
      <c r="BP1687" s="397"/>
      <c r="BQ1687" s="397"/>
      <c r="BU1687" s="397"/>
      <c r="BV1687" s="397"/>
      <c r="BZ1687" s="397"/>
      <c r="CA1687" s="397"/>
      <c r="CE1687" s="550"/>
      <c r="CF1687" s="550"/>
      <c r="CG1687" s="550"/>
      <c r="CH1687" s="550"/>
      <c r="ER1687" s="32">
        <v>811.88</v>
      </c>
      <c r="ES1687" s="32">
        <v>76.38</v>
      </c>
      <c r="EW1687" s="32">
        <v>10.44</v>
      </c>
      <c r="EX1687" s="32">
        <v>3.5</v>
      </c>
      <c r="FA1687" s="32" t="s">
        <v>1452</v>
      </c>
    </row>
    <row r="1688" spans="1:212" s="32" customFormat="1" x14ac:dyDescent="0.25">
      <c r="A1688" s="32">
        <v>80</v>
      </c>
      <c r="B1688" s="44" t="s">
        <v>4101</v>
      </c>
      <c r="C1688" s="32" t="s">
        <v>1445</v>
      </c>
      <c r="D1688" s="32" t="s">
        <v>1446</v>
      </c>
      <c r="E1688" s="32">
        <v>1950</v>
      </c>
      <c r="F1688" s="32">
        <v>1943</v>
      </c>
      <c r="G1688" s="32" t="s">
        <v>302</v>
      </c>
      <c r="H1688" s="32" t="s">
        <v>1447</v>
      </c>
      <c r="I1688" s="32" t="s">
        <v>2815</v>
      </c>
      <c r="J1688" s="32">
        <v>40.479999999999997</v>
      </c>
      <c r="K1688" s="32">
        <v>-74.44</v>
      </c>
      <c r="L1688" s="32">
        <v>40.5</v>
      </c>
      <c r="R1688" s="44">
        <v>5</v>
      </c>
      <c r="S1688" s="44" t="s">
        <v>1860</v>
      </c>
      <c r="U1688" s="44" t="s">
        <v>2010</v>
      </c>
      <c r="V1688" s="44" t="s">
        <v>1377</v>
      </c>
      <c r="W1688" s="44" t="s">
        <v>1377</v>
      </c>
      <c r="X1688" s="44" t="s">
        <v>1377</v>
      </c>
      <c r="Y1688" s="44" t="s">
        <v>1377</v>
      </c>
      <c r="AA1688" s="323"/>
      <c r="AB1688" s="323"/>
      <c r="AC1688" s="32" t="s">
        <v>1608</v>
      </c>
      <c r="AH1688" s="32" t="s">
        <v>131</v>
      </c>
      <c r="AI1688" s="138" t="s">
        <v>131</v>
      </c>
      <c r="AJ1688" s="32" t="s">
        <v>1591</v>
      </c>
      <c r="AK1688" s="140" t="s">
        <v>1613</v>
      </c>
      <c r="AW1688" s="32" t="s">
        <v>160</v>
      </c>
      <c r="AX1688" s="32">
        <v>4</v>
      </c>
      <c r="AZ1688" s="32" t="s">
        <v>141</v>
      </c>
      <c r="BE1688" s="32" t="s">
        <v>781</v>
      </c>
      <c r="BP1688" s="397"/>
      <c r="BQ1688" s="397"/>
      <c r="BU1688" s="397"/>
      <c r="BV1688" s="397"/>
      <c r="BZ1688" s="397"/>
      <c r="CA1688" s="397"/>
      <c r="CE1688" s="550"/>
      <c r="CF1688" s="550"/>
      <c r="CG1688" s="550"/>
      <c r="CH1688" s="550"/>
      <c r="ER1688" s="32">
        <v>702.4</v>
      </c>
      <c r="ES1688" s="32">
        <v>62.23</v>
      </c>
      <c r="EW1688" s="32">
        <v>14.95</v>
      </c>
      <c r="EX1688" s="32">
        <v>1.38</v>
      </c>
      <c r="FA1688" s="32" t="s">
        <v>1452</v>
      </c>
    </row>
    <row r="1689" spans="1:212" s="32" customFormat="1" x14ac:dyDescent="0.25">
      <c r="A1689" s="32">
        <v>80</v>
      </c>
      <c r="B1689" s="44" t="s">
        <v>4101</v>
      </c>
      <c r="C1689" s="32" t="s">
        <v>1445</v>
      </c>
      <c r="D1689" s="32" t="s">
        <v>1446</v>
      </c>
      <c r="E1689" s="32">
        <v>1950</v>
      </c>
      <c r="F1689" s="32">
        <v>1943</v>
      </c>
      <c r="G1689" s="32" t="s">
        <v>302</v>
      </c>
      <c r="H1689" s="32" t="s">
        <v>1447</v>
      </c>
      <c r="I1689" s="32" t="s">
        <v>2815</v>
      </c>
      <c r="J1689" s="32">
        <v>40.479999999999997</v>
      </c>
      <c r="K1689" s="32">
        <v>-74.44</v>
      </c>
      <c r="L1689" s="32">
        <v>40.5</v>
      </c>
      <c r="R1689" s="44">
        <v>5</v>
      </c>
      <c r="S1689" s="44" t="s">
        <v>1860</v>
      </c>
      <c r="U1689" s="44" t="s">
        <v>2010</v>
      </c>
      <c r="V1689" s="44" t="s">
        <v>1377</v>
      </c>
      <c r="W1689" s="44" t="s">
        <v>1377</v>
      </c>
      <c r="X1689" s="44" t="s">
        <v>1377</v>
      </c>
      <c r="Y1689" s="44" t="s">
        <v>1377</v>
      </c>
      <c r="AA1689" s="323"/>
      <c r="AB1689" s="323"/>
      <c r="AC1689" s="32" t="s">
        <v>1608</v>
      </c>
      <c r="AH1689" s="32" t="s">
        <v>131</v>
      </c>
      <c r="AI1689" s="138" t="s">
        <v>131</v>
      </c>
      <c r="AJ1689" s="32" t="s">
        <v>1591</v>
      </c>
      <c r="AK1689" s="140" t="s">
        <v>1613</v>
      </c>
      <c r="AW1689" s="32" t="s">
        <v>160</v>
      </c>
      <c r="AX1689" s="32">
        <v>4</v>
      </c>
      <c r="AZ1689" s="32" t="s">
        <v>141</v>
      </c>
      <c r="BE1689" s="32" t="s">
        <v>985</v>
      </c>
      <c r="BP1689" s="397"/>
      <c r="BQ1689" s="397"/>
      <c r="BU1689" s="397"/>
      <c r="BV1689" s="397"/>
      <c r="BZ1689" s="397"/>
      <c r="CA1689" s="397"/>
      <c r="CE1689" s="550"/>
      <c r="CF1689" s="550"/>
      <c r="CG1689" s="550"/>
      <c r="CH1689" s="550"/>
      <c r="ER1689" s="32">
        <v>48.3</v>
      </c>
      <c r="ES1689" s="32">
        <v>6</v>
      </c>
      <c r="EW1689" s="32">
        <v>1.67</v>
      </c>
      <c r="EX1689" s="32">
        <v>0.14000000000000001</v>
      </c>
      <c r="FA1689" s="32" t="s">
        <v>1452</v>
      </c>
    </row>
    <row r="1690" spans="1:212" s="36" customFormat="1" x14ac:dyDescent="0.25">
      <c r="A1690" s="36">
        <v>81</v>
      </c>
      <c r="B1690" s="51" t="s">
        <v>4102</v>
      </c>
      <c r="C1690" s="36" t="s">
        <v>1453</v>
      </c>
      <c r="D1690" s="36" t="s">
        <v>1454</v>
      </c>
      <c r="E1690" s="36">
        <v>2016</v>
      </c>
      <c r="F1690" s="36">
        <v>1998</v>
      </c>
      <c r="G1690" s="36" t="s">
        <v>1455</v>
      </c>
      <c r="H1690" s="36" t="s">
        <v>2817</v>
      </c>
      <c r="I1690" s="36" t="s">
        <v>2815</v>
      </c>
      <c r="J1690" s="36">
        <v>38.94</v>
      </c>
      <c r="K1690" s="36">
        <v>-92.33</v>
      </c>
      <c r="L1690" s="36">
        <v>225</v>
      </c>
      <c r="R1690" s="51" t="s">
        <v>2012</v>
      </c>
      <c r="S1690" s="51" t="s">
        <v>2012</v>
      </c>
      <c r="U1690" s="51" t="s">
        <v>2011</v>
      </c>
      <c r="V1690" s="51" t="s">
        <v>1388</v>
      </c>
      <c r="W1690" s="51" t="s">
        <v>1719</v>
      </c>
      <c r="X1690" s="51" t="s">
        <v>1388</v>
      </c>
      <c r="Y1690" s="51" t="s">
        <v>1388</v>
      </c>
      <c r="AA1690" s="331"/>
      <c r="AB1690" s="331"/>
      <c r="AC1690" s="36" t="s">
        <v>450</v>
      </c>
      <c r="AH1690" s="36" t="s">
        <v>397</v>
      </c>
      <c r="AI1690" s="138" t="s">
        <v>577</v>
      </c>
      <c r="AJ1690" s="36" t="s">
        <v>1527</v>
      </c>
      <c r="AK1690" s="142" t="s">
        <v>1623</v>
      </c>
      <c r="AW1690" s="36" t="s">
        <v>160</v>
      </c>
      <c r="AZ1690" s="36" t="s">
        <v>141</v>
      </c>
      <c r="BE1690" s="36" t="s">
        <v>1457</v>
      </c>
      <c r="BP1690" s="407"/>
      <c r="BQ1690" s="407"/>
      <c r="BU1690" s="407"/>
      <c r="BV1690" s="407"/>
      <c r="BZ1690" s="407"/>
      <c r="CA1690" s="407"/>
      <c r="CE1690" s="560"/>
      <c r="CF1690" s="560"/>
      <c r="CG1690" s="560"/>
      <c r="CH1690" s="560"/>
      <c r="GZ1690" s="36">
        <v>1.5</v>
      </c>
      <c r="HA1690" s="36">
        <v>2.4300000000000002</v>
      </c>
      <c r="HD1690" s="36" t="s">
        <v>1458</v>
      </c>
    </row>
    <row r="1691" spans="1:212" s="36" customFormat="1" x14ac:dyDescent="0.25">
      <c r="A1691" s="36">
        <v>81</v>
      </c>
      <c r="B1691" s="51" t="s">
        <v>4103</v>
      </c>
      <c r="C1691" s="36" t="s">
        <v>1453</v>
      </c>
      <c r="D1691" s="36" t="s">
        <v>1454</v>
      </c>
      <c r="E1691" s="36">
        <v>2016</v>
      </c>
      <c r="F1691" s="36">
        <v>1998</v>
      </c>
      <c r="G1691" s="36" t="s">
        <v>1455</v>
      </c>
      <c r="H1691" s="36" t="s">
        <v>2817</v>
      </c>
      <c r="I1691" s="36" t="s">
        <v>2815</v>
      </c>
      <c r="J1691" s="36">
        <v>38.94</v>
      </c>
      <c r="K1691" s="36">
        <v>-92.33</v>
      </c>
      <c r="L1691" s="36">
        <v>225</v>
      </c>
      <c r="R1691" s="51" t="s">
        <v>2012</v>
      </c>
      <c r="S1691" s="51" t="s">
        <v>2012</v>
      </c>
      <c r="U1691" s="51" t="s">
        <v>2011</v>
      </c>
      <c r="V1691" s="51" t="s">
        <v>1388</v>
      </c>
      <c r="W1691" s="51" t="s">
        <v>1719</v>
      </c>
      <c r="X1691" s="51" t="s">
        <v>1388</v>
      </c>
      <c r="Y1691" s="51" t="s">
        <v>1388</v>
      </c>
      <c r="AA1691" s="331"/>
      <c r="AB1691" s="331"/>
      <c r="AC1691" s="36" t="s">
        <v>450</v>
      </c>
      <c r="AH1691" s="36" t="s">
        <v>397</v>
      </c>
      <c r="AI1691" s="138" t="s">
        <v>577</v>
      </c>
      <c r="AJ1691" s="36" t="s">
        <v>1456</v>
      </c>
      <c r="AK1691" s="142" t="s">
        <v>1623</v>
      </c>
      <c r="AW1691" s="36" t="s">
        <v>160</v>
      </c>
      <c r="AZ1691" s="36" t="s">
        <v>141</v>
      </c>
      <c r="BE1691" s="36" t="s">
        <v>1457</v>
      </c>
      <c r="BP1691" s="407"/>
      <c r="BQ1691" s="407"/>
      <c r="BU1691" s="407"/>
      <c r="BV1691" s="407"/>
      <c r="BZ1691" s="407"/>
      <c r="CA1691" s="407"/>
      <c r="CE1691" s="560"/>
      <c r="CF1691" s="560"/>
      <c r="CG1691" s="560"/>
      <c r="CH1691" s="560"/>
      <c r="GZ1691" s="36">
        <v>1.97</v>
      </c>
      <c r="HA1691" s="36">
        <v>2.4300000000000002</v>
      </c>
      <c r="HD1691" s="36" t="s">
        <v>1458</v>
      </c>
    </row>
    <row r="1692" spans="1:212" s="36" customFormat="1" x14ac:dyDescent="0.25">
      <c r="A1692" s="36">
        <v>81</v>
      </c>
      <c r="B1692" s="51" t="s">
        <v>4104</v>
      </c>
      <c r="C1692" s="36" t="s">
        <v>1453</v>
      </c>
      <c r="D1692" s="36" t="s">
        <v>1454</v>
      </c>
      <c r="E1692" s="36">
        <v>2016</v>
      </c>
      <c r="F1692" s="36">
        <v>1998</v>
      </c>
      <c r="G1692" s="36" t="s">
        <v>1455</v>
      </c>
      <c r="H1692" s="36" t="s">
        <v>2817</v>
      </c>
      <c r="I1692" s="36" t="s">
        <v>2815</v>
      </c>
      <c r="J1692" s="36">
        <v>38.94</v>
      </c>
      <c r="K1692" s="36">
        <v>-92.33</v>
      </c>
      <c r="L1692" s="36">
        <v>225</v>
      </c>
      <c r="R1692" s="51" t="s">
        <v>2012</v>
      </c>
      <c r="S1692" s="51" t="s">
        <v>2012</v>
      </c>
      <c r="U1692" s="51" t="s">
        <v>2011</v>
      </c>
      <c r="V1692" s="51" t="s">
        <v>1388</v>
      </c>
      <c r="W1692" s="51" t="s">
        <v>1719</v>
      </c>
      <c r="X1692" s="51" t="s">
        <v>1388</v>
      </c>
      <c r="Y1692" s="51" t="s">
        <v>1388</v>
      </c>
      <c r="AA1692" s="331"/>
      <c r="AB1692" s="331"/>
      <c r="AC1692" s="36" t="s">
        <v>450</v>
      </c>
      <c r="AH1692" s="36" t="s">
        <v>397</v>
      </c>
      <c r="AI1692" s="138" t="s">
        <v>577</v>
      </c>
      <c r="AJ1692" s="36" t="s">
        <v>132</v>
      </c>
      <c r="AK1692" s="142" t="s">
        <v>1623</v>
      </c>
      <c r="AW1692" s="36" t="s">
        <v>160</v>
      </c>
      <c r="AZ1692" s="36" t="s">
        <v>141</v>
      </c>
      <c r="BE1692" s="36" t="s">
        <v>1457</v>
      </c>
      <c r="BP1692" s="407"/>
      <c r="BQ1692" s="407"/>
      <c r="BU1692" s="407"/>
      <c r="BV1692" s="407"/>
      <c r="BZ1692" s="407"/>
      <c r="CA1692" s="407"/>
      <c r="CE1692" s="560"/>
      <c r="CF1692" s="560"/>
      <c r="CG1692" s="560"/>
      <c r="CH1692" s="560"/>
      <c r="GZ1692" s="36">
        <v>2.2799999999999998</v>
      </c>
      <c r="HA1692" s="36">
        <v>2.4300000000000002</v>
      </c>
      <c r="HD1692" s="36" t="s">
        <v>1458</v>
      </c>
    </row>
    <row r="1693" spans="1:212" s="32" customFormat="1" x14ac:dyDescent="0.25">
      <c r="A1693" s="32">
        <v>82</v>
      </c>
      <c r="B1693" s="44" t="s">
        <v>4105</v>
      </c>
      <c r="C1693" s="32" t="s">
        <v>1459</v>
      </c>
      <c r="D1693" s="32" t="s">
        <v>1460</v>
      </c>
      <c r="E1693" s="32">
        <v>2007</v>
      </c>
      <c r="F1693" s="32">
        <v>2000</v>
      </c>
      <c r="G1693" s="32" t="s">
        <v>1461</v>
      </c>
      <c r="H1693" s="32" t="s">
        <v>1462</v>
      </c>
      <c r="I1693" s="32" t="s">
        <v>2815</v>
      </c>
      <c r="J1693" s="32">
        <v>42.74</v>
      </c>
      <c r="K1693" s="32">
        <v>-84.48</v>
      </c>
      <c r="L1693" s="32">
        <v>260</v>
      </c>
      <c r="Q1693" s="44"/>
      <c r="R1693" s="44" t="s">
        <v>1847</v>
      </c>
      <c r="S1693" s="44" t="s">
        <v>1728</v>
      </c>
      <c r="U1693" s="44" t="s">
        <v>1965</v>
      </c>
      <c r="V1693" s="44" t="s">
        <v>1389</v>
      </c>
      <c r="W1693" s="44" t="s">
        <v>1720</v>
      </c>
      <c r="X1693" s="44" t="s">
        <v>1389</v>
      </c>
      <c r="Y1693" s="44" t="s">
        <v>1417</v>
      </c>
      <c r="AA1693" s="323"/>
      <c r="AB1693" s="323"/>
      <c r="AC1693" s="32" t="s">
        <v>139</v>
      </c>
      <c r="AH1693" s="32" t="s">
        <v>116</v>
      </c>
      <c r="AI1693" s="138" t="s">
        <v>1581</v>
      </c>
      <c r="AJ1693" s="32" t="s">
        <v>158</v>
      </c>
      <c r="AK1693" s="140" t="s">
        <v>1611</v>
      </c>
      <c r="AL1693" s="32" t="s">
        <v>685</v>
      </c>
      <c r="AM1693" s="32" t="s">
        <v>685</v>
      </c>
      <c r="AN1693" s="32" t="s">
        <v>177</v>
      </c>
      <c r="AW1693" s="32" t="s">
        <v>160</v>
      </c>
      <c r="AX1693" s="32">
        <v>4</v>
      </c>
      <c r="AZ1693" s="32" t="s">
        <v>335</v>
      </c>
      <c r="BP1693" s="397"/>
      <c r="BQ1693" s="397"/>
      <c r="BU1693" s="397"/>
      <c r="BV1693" s="397"/>
      <c r="BZ1693" s="397"/>
      <c r="CA1693" s="397"/>
      <c r="CE1693" s="550"/>
      <c r="CF1693" s="550"/>
      <c r="CG1693" s="550"/>
      <c r="CH1693" s="550"/>
      <c r="CJ1693" s="32">
        <v>1.4</v>
      </c>
      <c r="CK1693" s="32">
        <v>1.1000000000000001</v>
      </c>
      <c r="CN1693" s="32" t="s">
        <v>1674</v>
      </c>
    </row>
    <row r="1694" spans="1:212" s="32" customFormat="1" x14ac:dyDescent="0.25">
      <c r="A1694" s="32">
        <v>82</v>
      </c>
      <c r="B1694" s="44" t="s">
        <v>4106</v>
      </c>
      <c r="C1694" s="32" t="s">
        <v>1459</v>
      </c>
      <c r="D1694" s="32" t="s">
        <v>1460</v>
      </c>
      <c r="E1694" s="32">
        <v>2007</v>
      </c>
      <c r="F1694" s="32">
        <v>2000</v>
      </c>
      <c r="G1694" s="32" t="s">
        <v>1461</v>
      </c>
      <c r="H1694" s="32" t="s">
        <v>1462</v>
      </c>
      <c r="I1694" s="32" t="s">
        <v>2815</v>
      </c>
      <c r="J1694" s="32">
        <v>42.74</v>
      </c>
      <c r="K1694" s="32">
        <v>-84.48</v>
      </c>
      <c r="L1694" s="32">
        <v>260</v>
      </c>
      <c r="Q1694" s="44"/>
      <c r="R1694" s="44" t="s">
        <v>1847</v>
      </c>
      <c r="S1694" s="44" t="s">
        <v>1728</v>
      </c>
      <c r="U1694" s="44" t="s">
        <v>1965</v>
      </c>
      <c r="V1694" s="44" t="s">
        <v>1389</v>
      </c>
      <c r="W1694" s="44" t="s">
        <v>1720</v>
      </c>
      <c r="X1694" s="44" t="s">
        <v>1389</v>
      </c>
      <c r="Y1694" s="44" t="s">
        <v>1417</v>
      </c>
      <c r="AA1694" s="323"/>
      <c r="AB1694" s="323"/>
      <c r="AC1694" s="32" t="s">
        <v>139</v>
      </c>
      <c r="AH1694" s="32" t="s">
        <v>131</v>
      </c>
      <c r="AI1694" s="138" t="s">
        <v>131</v>
      </c>
      <c r="AJ1694" s="32" t="s">
        <v>158</v>
      </c>
      <c r="AK1694" s="140" t="s">
        <v>1611</v>
      </c>
      <c r="AL1694" s="32" t="s">
        <v>685</v>
      </c>
      <c r="AM1694" s="32" t="s">
        <v>685</v>
      </c>
      <c r="AN1694" s="32" t="s">
        <v>177</v>
      </c>
      <c r="AW1694" s="32" t="s">
        <v>160</v>
      </c>
      <c r="AX1694" s="32">
        <v>4</v>
      </c>
      <c r="AZ1694" s="32" t="s">
        <v>335</v>
      </c>
      <c r="BP1694" s="397"/>
      <c r="BQ1694" s="397"/>
      <c r="BU1694" s="397"/>
      <c r="BV1694" s="397"/>
      <c r="BZ1694" s="397"/>
      <c r="CA1694" s="397"/>
      <c r="CE1694" s="550"/>
      <c r="CF1694" s="550"/>
      <c r="CG1694" s="550"/>
      <c r="CH1694" s="550"/>
      <c r="CJ1694" s="32">
        <v>1.4</v>
      </c>
      <c r="CK1694" s="32">
        <v>1.1000000000000001</v>
      </c>
      <c r="CN1694" s="32" t="s">
        <v>1674</v>
      </c>
    </row>
    <row r="1695" spans="1:212" s="32" customFormat="1" x14ac:dyDescent="0.25">
      <c r="A1695" s="32">
        <v>82</v>
      </c>
      <c r="B1695" s="44" t="s">
        <v>4106</v>
      </c>
      <c r="C1695" s="32" t="s">
        <v>1459</v>
      </c>
      <c r="D1695" s="32" t="s">
        <v>1460</v>
      </c>
      <c r="E1695" s="32">
        <v>2007</v>
      </c>
      <c r="F1695" s="32">
        <v>2000</v>
      </c>
      <c r="G1695" s="32" t="s">
        <v>1461</v>
      </c>
      <c r="H1695" s="32" t="s">
        <v>1462</v>
      </c>
      <c r="I1695" s="32" t="s">
        <v>2815</v>
      </c>
      <c r="J1695" s="32">
        <v>42.74</v>
      </c>
      <c r="K1695" s="32">
        <v>-84.48</v>
      </c>
      <c r="L1695" s="32">
        <v>260</v>
      </c>
      <c r="Q1695" s="44"/>
      <c r="R1695" s="44" t="s">
        <v>1847</v>
      </c>
      <c r="S1695" s="44" t="s">
        <v>1728</v>
      </c>
      <c r="U1695" s="44" t="s">
        <v>1965</v>
      </c>
      <c r="V1695" s="44" t="s">
        <v>1389</v>
      </c>
      <c r="W1695" s="44" t="s">
        <v>1720</v>
      </c>
      <c r="X1695" s="44" t="s">
        <v>1389</v>
      </c>
      <c r="Y1695" s="44" t="s">
        <v>1417</v>
      </c>
      <c r="AA1695" s="323"/>
      <c r="AB1695" s="323"/>
      <c r="AC1695" s="32" t="s">
        <v>139</v>
      </c>
      <c r="AH1695" s="32" t="s">
        <v>1545</v>
      </c>
      <c r="AI1695" s="138" t="s">
        <v>131</v>
      </c>
      <c r="AJ1695" s="32" t="s">
        <v>158</v>
      </c>
      <c r="AK1695" s="140" t="s">
        <v>1611</v>
      </c>
      <c r="AL1695" s="32" t="s">
        <v>685</v>
      </c>
      <c r="AM1695" s="32" t="s">
        <v>685</v>
      </c>
      <c r="AN1695" s="32" t="s">
        <v>177</v>
      </c>
      <c r="AW1695" s="32" t="s">
        <v>160</v>
      </c>
      <c r="AX1695" s="32">
        <v>4</v>
      </c>
      <c r="AZ1695" s="32" t="s">
        <v>335</v>
      </c>
      <c r="BP1695" s="397"/>
      <c r="BQ1695" s="397"/>
      <c r="BU1695" s="397"/>
      <c r="BV1695" s="397"/>
      <c r="BZ1695" s="397"/>
      <c r="CA1695" s="397"/>
      <c r="CE1695" s="550"/>
      <c r="CF1695" s="550"/>
      <c r="CG1695" s="550"/>
      <c r="CH1695" s="550"/>
      <c r="CJ1695" s="32">
        <v>1.4</v>
      </c>
      <c r="CK1695" s="32">
        <v>0.9</v>
      </c>
      <c r="CN1695" s="32" t="s">
        <v>1674</v>
      </c>
    </row>
    <row r="1696" spans="1:212" s="32" customFormat="1" x14ac:dyDescent="0.25">
      <c r="A1696" s="32">
        <v>82</v>
      </c>
      <c r="B1696" s="44" t="s">
        <v>4107</v>
      </c>
      <c r="C1696" s="32" t="s">
        <v>1459</v>
      </c>
      <c r="D1696" s="32" t="s">
        <v>1460</v>
      </c>
      <c r="E1696" s="32">
        <v>2007</v>
      </c>
      <c r="F1696" s="32">
        <v>2000</v>
      </c>
      <c r="G1696" s="32" t="s">
        <v>1461</v>
      </c>
      <c r="H1696" s="32" t="s">
        <v>1462</v>
      </c>
      <c r="I1696" s="32" t="s">
        <v>2815</v>
      </c>
      <c r="J1696" s="32">
        <v>42.74</v>
      </c>
      <c r="K1696" s="32">
        <v>-84.48</v>
      </c>
      <c r="L1696" s="32">
        <v>260</v>
      </c>
      <c r="Q1696" s="44"/>
      <c r="R1696" s="44" t="s">
        <v>1847</v>
      </c>
      <c r="S1696" s="44" t="s">
        <v>1728</v>
      </c>
      <c r="U1696" s="44" t="s">
        <v>1965</v>
      </c>
      <c r="V1696" s="44" t="s">
        <v>1389</v>
      </c>
      <c r="W1696" s="44" t="s">
        <v>1720</v>
      </c>
      <c r="X1696" s="44" t="s">
        <v>1389</v>
      </c>
      <c r="Y1696" s="44" t="s">
        <v>1417</v>
      </c>
      <c r="AA1696" s="323"/>
      <c r="AB1696" s="323"/>
      <c r="AC1696" s="32" t="s">
        <v>139</v>
      </c>
      <c r="AH1696" s="32" t="s">
        <v>1546</v>
      </c>
      <c r="AI1696" s="138" t="s">
        <v>1581</v>
      </c>
      <c r="AJ1696" s="32" t="s">
        <v>158</v>
      </c>
      <c r="AK1696" s="140" t="s">
        <v>1611</v>
      </c>
      <c r="AL1696" s="32" t="s">
        <v>685</v>
      </c>
      <c r="AM1696" s="32" t="s">
        <v>685</v>
      </c>
      <c r="AN1696" s="32" t="s">
        <v>177</v>
      </c>
      <c r="AW1696" s="32" t="s">
        <v>160</v>
      </c>
      <c r="AX1696" s="32">
        <v>4</v>
      </c>
      <c r="AZ1696" s="32" t="s">
        <v>335</v>
      </c>
      <c r="BP1696" s="397"/>
      <c r="BQ1696" s="397"/>
      <c r="BU1696" s="397"/>
      <c r="BV1696" s="397"/>
      <c r="BZ1696" s="397"/>
      <c r="CA1696" s="397"/>
      <c r="CE1696" s="550"/>
      <c r="CF1696" s="550"/>
      <c r="CG1696" s="550"/>
      <c r="CH1696" s="550"/>
      <c r="CJ1696" s="32">
        <v>1.4</v>
      </c>
      <c r="CK1696" s="32">
        <v>0.8</v>
      </c>
      <c r="CN1696" s="32" t="s">
        <v>1674</v>
      </c>
    </row>
    <row r="1697" spans="1:92" s="32" customFormat="1" x14ac:dyDescent="0.25">
      <c r="A1697" s="32">
        <v>82</v>
      </c>
      <c r="B1697" s="44" t="s">
        <v>4107</v>
      </c>
      <c r="C1697" s="32" t="s">
        <v>1459</v>
      </c>
      <c r="D1697" s="32" t="s">
        <v>1460</v>
      </c>
      <c r="E1697" s="32">
        <v>2007</v>
      </c>
      <c r="F1697" s="32">
        <v>2000</v>
      </c>
      <c r="G1697" s="32" t="s">
        <v>1461</v>
      </c>
      <c r="H1697" s="32" t="s">
        <v>1462</v>
      </c>
      <c r="I1697" s="32" t="s">
        <v>2815</v>
      </c>
      <c r="J1697" s="32">
        <v>42.74</v>
      </c>
      <c r="K1697" s="32">
        <v>-84.48</v>
      </c>
      <c r="L1697" s="32">
        <v>260</v>
      </c>
      <c r="Q1697" s="44"/>
      <c r="R1697" s="44" t="s">
        <v>1847</v>
      </c>
      <c r="S1697" s="44" t="s">
        <v>1728</v>
      </c>
      <c r="U1697" s="44" t="s">
        <v>1965</v>
      </c>
      <c r="V1697" s="44" t="s">
        <v>1389</v>
      </c>
      <c r="W1697" s="44" t="s">
        <v>1720</v>
      </c>
      <c r="X1697" s="44" t="s">
        <v>1389</v>
      </c>
      <c r="Y1697" s="44" t="s">
        <v>1417</v>
      </c>
      <c r="AA1697" s="323"/>
      <c r="AB1697" s="323"/>
      <c r="AC1697" s="32" t="s">
        <v>139</v>
      </c>
      <c r="AH1697" s="32" t="s">
        <v>1547</v>
      </c>
      <c r="AI1697" s="138" t="s">
        <v>1581</v>
      </c>
      <c r="AJ1697" s="32" t="s">
        <v>158</v>
      </c>
      <c r="AK1697" s="140" t="s">
        <v>1611</v>
      </c>
      <c r="AL1697" s="32" t="s">
        <v>685</v>
      </c>
      <c r="AM1697" s="32" t="s">
        <v>685</v>
      </c>
      <c r="AN1697" s="32" t="s">
        <v>177</v>
      </c>
      <c r="AW1697" s="32" t="s">
        <v>160</v>
      </c>
      <c r="AX1697" s="32">
        <v>4</v>
      </c>
      <c r="AZ1697" s="32" t="s">
        <v>335</v>
      </c>
      <c r="BP1697" s="397"/>
      <c r="BQ1697" s="397"/>
      <c r="BU1697" s="397"/>
      <c r="BV1697" s="397"/>
      <c r="BZ1697" s="397"/>
      <c r="CA1697" s="397"/>
      <c r="CE1697" s="550"/>
      <c r="CF1697" s="550"/>
      <c r="CG1697" s="550"/>
      <c r="CH1697" s="550"/>
      <c r="CJ1697" s="32">
        <v>1.4</v>
      </c>
      <c r="CK1697" s="32">
        <v>0.6</v>
      </c>
      <c r="CN1697" s="32" t="s">
        <v>1674</v>
      </c>
    </row>
    <row r="1698" spans="1:92" s="32" customFormat="1" x14ac:dyDescent="0.25">
      <c r="A1698" s="32">
        <v>82</v>
      </c>
      <c r="B1698" s="44" t="s">
        <v>4107</v>
      </c>
      <c r="C1698" s="32" t="s">
        <v>1459</v>
      </c>
      <c r="D1698" s="32" t="s">
        <v>1460</v>
      </c>
      <c r="E1698" s="32">
        <v>2007</v>
      </c>
      <c r="F1698" s="32">
        <v>2000</v>
      </c>
      <c r="G1698" s="32" t="s">
        <v>1461</v>
      </c>
      <c r="H1698" s="32" t="s">
        <v>1462</v>
      </c>
      <c r="I1698" s="32" t="s">
        <v>2815</v>
      </c>
      <c r="J1698" s="32">
        <v>42.74</v>
      </c>
      <c r="K1698" s="32">
        <v>-84.48</v>
      </c>
      <c r="L1698" s="32">
        <v>260</v>
      </c>
      <c r="Q1698" s="44"/>
      <c r="R1698" s="44" t="s">
        <v>1847</v>
      </c>
      <c r="S1698" s="44" t="s">
        <v>1728</v>
      </c>
      <c r="U1698" s="44" t="s">
        <v>1965</v>
      </c>
      <c r="V1698" s="44" t="s">
        <v>1389</v>
      </c>
      <c r="W1698" s="44" t="s">
        <v>1720</v>
      </c>
      <c r="X1698" s="44" t="s">
        <v>1389</v>
      </c>
      <c r="Y1698" s="44" t="s">
        <v>1417</v>
      </c>
      <c r="AA1698" s="323"/>
      <c r="AB1698" s="323"/>
      <c r="AC1698" s="32" t="s">
        <v>139</v>
      </c>
      <c r="AH1698" s="32" t="s">
        <v>1548</v>
      </c>
      <c r="AI1698" s="138" t="s">
        <v>1581</v>
      </c>
      <c r="AJ1698" s="32" t="s">
        <v>158</v>
      </c>
      <c r="AK1698" s="140" t="s">
        <v>1611</v>
      </c>
      <c r="AL1698" s="32" t="s">
        <v>685</v>
      </c>
      <c r="AM1698" s="32" t="s">
        <v>685</v>
      </c>
      <c r="AN1698" s="32" t="s">
        <v>177</v>
      </c>
      <c r="AW1698" s="32" t="s">
        <v>160</v>
      </c>
      <c r="AX1698" s="32">
        <v>4</v>
      </c>
      <c r="AZ1698" s="32" t="s">
        <v>335</v>
      </c>
      <c r="BP1698" s="397"/>
      <c r="BQ1698" s="397"/>
      <c r="BU1698" s="397"/>
      <c r="BV1698" s="397"/>
      <c r="BZ1698" s="397"/>
      <c r="CA1698" s="397"/>
      <c r="CE1698" s="550"/>
      <c r="CF1698" s="550"/>
      <c r="CG1698" s="550"/>
      <c r="CH1698" s="550"/>
      <c r="CJ1698" s="32">
        <v>1.4</v>
      </c>
      <c r="CK1698" s="32">
        <v>0.8</v>
      </c>
      <c r="CN1698" s="32" t="s">
        <v>1674</v>
      </c>
    </row>
    <row r="1699" spans="1:92" s="32" customFormat="1" x14ac:dyDescent="0.25">
      <c r="A1699" s="32">
        <v>82</v>
      </c>
      <c r="B1699" s="44" t="s">
        <v>4107</v>
      </c>
      <c r="C1699" s="32" t="s">
        <v>1459</v>
      </c>
      <c r="D1699" s="32" t="s">
        <v>1460</v>
      </c>
      <c r="E1699" s="32">
        <v>2007</v>
      </c>
      <c r="F1699" s="32">
        <v>2000</v>
      </c>
      <c r="G1699" s="32" t="s">
        <v>1461</v>
      </c>
      <c r="H1699" s="32" t="s">
        <v>1462</v>
      </c>
      <c r="I1699" s="32" t="s">
        <v>2815</v>
      </c>
      <c r="J1699" s="32">
        <v>42.74</v>
      </c>
      <c r="K1699" s="32">
        <v>-84.48</v>
      </c>
      <c r="L1699" s="32">
        <v>260</v>
      </c>
      <c r="Q1699" s="44"/>
      <c r="R1699" s="44" t="s">
        <v>1847</v>
      </c>
      <c r="S1699" s="44" t="s">
        <v>1728</v>
      </c>
      <c r="U1699" s="44" t="s">
        <v>1965</v>
      </c>
      <c r="V1699" s="44" t="s">
        <v>1389</v>
      </c>
      <c r="W1699" s="44" t="s">
        <v>1720</v>
      </c>
      <c r="X1699" s="44" t="s">
        <v>1389</v>
      </c>
      <c r="Y1699" s="44" t="s">
        <v>1417</v>
      </c>
      <c r="AA1699" s="323"/>
      <c r="AB1699" s="323"/>
      <c r="AC1699" s="32" t="s">
        <v>139</v>
      </c>
      <c r="AH1699" s="32" t="s">
        <v>1549</v>
      </c>
      <c r="AI1699" s="138" t="s">
        <v>1581</v>
      </c>
      <c r="AJ1699" s="32" t="s">
        <v>158</v>
      </c>
      <c r="AK1699" s="140" t="s">
        <v>1611</v>
      </c>
      <c r="AL1699" s="32" t="s">
        <v>685</v>
      </c>
      <c r="AM1699" s="32" t="s">
        <v>685</v>
      </c>
      <c r="AN1699" s="32" t="s">
        <v>177</v>
      </c>
      <c r="AW1699" s="32" t="s">
        <v>160</v>
      </c>
      <c r="AX1699" s="32">
        <v>4</v>
      </c>
      <c r="AZ1699" s="32" t="s">
        <v>335</v>
      </c>
      <c r="BP1699" s="397"/>
      <c r="BQ1699" s="397"/>
      <c r="BU1699" s="397"/>
      <c r="BV1699" s="397"/>
      <c r="BZ1699" s="397"/>
      <c r="CA1699" s="397"/>
      <c r="CE1699" s="550"/>
      <c r="CF1699" s="550"/>
      <c r="CG1699" s="550"/>
      <c r="CH1699" s="550"/>
      <c r="CJ1699" s="32">
        <v>1.4</v>
      </c>
      <c r="CK1699" s="32">
        <v>1.1000000000000001</v>
      </c>
      <c r="CN1699" s="32" t="s">
        <v>1674</v>
      </c>
    </row>
    <row r="1700" spans="1:92" s="134" customFormat="1" x14ac:dyDescent="0.25">
      <c r="A1700" s="134">
        <v>82</v>
      </c>
      <c r="B1700" s="135" t="s">
        <v>4108</v>
      </c>
      <c r="C1700" s="134" t="s">
        <v>1459</v>
      </c>
      <c r="D1700" s="134" t="s">
        <v>1460</v>
      </c>
      <c r="E1700" s="134">
        <v>2007</v>
      </c>
      <c r="F1700" s="134">
        <v>2000</v>
      </c>
      <c r="G1700" s="134" t="s">
        <v>1461</v>
      </c>
      <c r="H1700" s="134" t="s">
        <v>1462</v>
      </c>
      <c r="I1700" s="32" t="s">
        <v>2815</v>
      </c>
      <c r="J1700" s="134">
        <v>42.74</v>
      </c>
      <c r="K1700" s="134">
        <v>-84.48</v>
      </c>
      <c r="L1700" s="134">
        <v>260</v>
      </c>
      <c r="Q1700" s="135"/>
      <c r="R1700" s="135" t="s">
        <v>1847</v>
      </c>
      <c r="S1700" s="44" t="s">
        <v>1728</v>
      </c>
      <c r="U1700" s="44" t="s">
        <v>1965</v>
      </c>
      <c r="V1700" s="135" t="s">
        <v>1402</v>
      </c>
      <c r="W1700" s="135" t="s">
        <v>1720</v>
      </c>
      <c r="X1700" s="135" t="s">
        <v>1389</v>
      </c>
      <c r="Y1700" s="135" t="s">
        <v>1417</v>
      </c>
      <c r="AA1700" s="356"/>
      <c r="AB1700" s="356"/>
      <c r="AC1700" s="134" t="s">
        <v>139</v>
      </c>
      <c r="AH1700" s="134" t="s">
        <v>116</v>
      </c>
      <c r="AI1700" s="138" t="s">
        <v>1581</v>
      </c>
      <c r="AJ1700" s="134" t="s">
        <v>158</v>
      </c>
      <c r="AK1700" s="140" t="s">
        <v>1611</v>
      </c>
      <c r="AL1700" s="32" t="s">
        <v>685</v>
      </c>
      <c r="AM1700" s="32" t="s">
        <v>685</v>
      </c>
      <c r="AN1700" s="32" t="s">
        <v>177</v>
      </c>
      <c r="AW1700" s="32" t="s">
        <v>160</v>
      </c>
      <c r="AX1700" s="32">
        <v>4</v>
      </c>
      <c r="AY1700" s="32"/>
      <c r="AZ1700" s="32" t="s">
        <v>335</v>
      </c>
      <c r="BP1700" s="431"/>
      <c r="BQ1700" s="431"/>
      <c r="BU1700" s="431"/>
      <c r="BV1700" s="431"/>
      <c r="BZ1700" s="431"/>
      <c r="CA1700" s="431"/>
      <c r="CE1700" s="584"/>
      <c r="CF1700" s="584"/>
      <c r="CG1700" s="584"/>
      <c r="CH1700" s="584"/>
      <c r="CJ1700" s="134">
        <v>1.6</v>
      </c>
      <c r="CK1700" s="134">
        <v>0.9</v>
      </c>
      <c r="CL1700" s="32"/>
      <c r="CM1700" s="32"/>
      <c r="CN1700" s="32" t="s">
        <v>1674</v>
      </c>
    </row>
    <row r="1701" spans="1:92" s="134" customFormat="1" x14ac:dyDescent="0.25">
      <c r="A1701" s="134">
        <v>82</v>
      </c>
      <c r="B1701" s="135" t="s">
        <v>4109</v>
      </c>
      <c r="C1701" s="134" t="s">
        <v>1459</v>
      </c>
      <c r="D1701" s="134" t="s">
        <v>1460</v>
      </c>
      <c r="E1701" s="134">
        <v>2007</v>
      </c>
      <c r="F1701" s="134">
        <v>2000</v>
      </c>
      <c r="G1701" s="134" t="s">
        <v>1461</v>
      </c>
      <c r="H1701" s="134" t="s">
        <v>1462</v>
      </c>
      <c r="I1701" s="32" t="s">
        <v>2815</v>
      </c>
      <c r="J1701" s="134">
        <v>42.74</v>
      </c>
      <c r="K1701" s="134">
        <v>-84.48</v>
      </c>
      <c r="L1701" s="134">
        <v>260</v>
      </c>
      <c r="Q1701" s="135"/>
      <c r="R1701" s="135" t="s">
        <v>1847</v>
      </c>
      <c r="S1701" s="44" t="s">
        <v>1728</v>
      </c>
      <c r="U1701" s="44" t="s">
        <v>1965</v>
      </c>
      <c r="V1701" s="135" t="s">
        <v>1402</v>
      </c>
      <c r="W1701" s="135" t="s">
        <v>1720</v>
      </c>
      <c r="X1701" s="135" t="s">
        <v>1389</v>
      </c>
      <c r="Y1701" s="135" t="s">
        <v>1417</v>
      </c>
      <c r="AA1701" s="356"/>
      <c r="AB1701" s="356"/>
      <c r="AC1701" s="134" t="s">
        <v>139</v>
      </c>
      <c r="AH1701" s="134" t="s">
        <v>131</v>
      </c>
      <c r="AI1701" s="138" t="s">
        <v>131</v>
      </c>
      <c r="AJ1701" s="134" t="s">
        <v>158</v>
      </c>
      <c r="AK1701" s="140" t="s">
        <v>1611</v>
      </c>
      <c r="AL1701" s="32" t="s">
        <v>685</v>
      </c>
      <c r="AM1701" s="32" t="s">
        <v>685</v>
      </c>
      <c r="AN1701" s="32" t="s">
        <v>177</v>
      </c>
      <c r="AW1701" s="32" t="s">
        <v>160</v>
      </c>
      <c r="AX1701" s="32">
        <v>4</v>
      </c>
      <c r="AY1701" s="32"/>
      <c r="AZ1701" s="32" t="s">
        <v>335</v>
      </c>
      <c r="BP1701" s="431"/>
      <c r="BQ1701" s="431"/>
      <c r="BU1701" s="431"/>
      <c r="BV1701" s="431"/>
      <c r="BZ1701" s="431"/>
      <c r="CA1701" s="431"/>
      <c r="CE1701" s="584"/>
      <c r="CF1701" s="584"/>
      <c r="CG1701" s="584"/>
      <c r="CH1701" s="584"/>
      <c r="CJ1701" s="134">
        <v>1.6</v>
      </c>
      <c r="CK1701" s="134">
        <v>0.8</v>
      </c>
      <c r="CL1701" s="32"/>
      <c r="CM1701" s="32"/>
      <c r="CN1701" s="32" t="s">
        <v>1674</v>
      </c>
    </row>
    <row r="1702" spans="1:92" s="134" customFormat="1" x14ac:dyDescent="0.25">
      <c r="A1702" s="134">
        <v>82</v>
      </c>
      <c r="B1702" s="135" t="s">
        <v>4109</v>
      </c>
      <c r="C1702" s="134" t="s">
        <v>1459</v>
      </c>
      <c r="D1702" s="134" t="s">
        <v>1460</v>
      </c>
      <c r="E1702" s="134">
        <v>2007</v>
      </c>
      <c r="F1702" s="134">
        <v>2000</v>
      </c>
      <c r="G1702" s="134" t="s">
        <v>1461</v>
      </c>
      <c r="H1702" s="134" t="s">
        <v>1462</v>
      </c>
      <c r="I1702" s="32" t="s">
        <v>2815</v>
      </c>
      <c r="J1702" s="134">
        <v>42.74</v>
      </c>
      <c r="K1702" s="134">
        <v>-84.48</v>
      </c>
      <c r="L1702" s="134">
        <v>260</v>
      </c>
      <c r="Q1702" s="135"/>
      <c r="R1702" s="135" t="s">
        <v>1847</v>
      </c>
      <c r="S1702" s="44" t="s">
        <v>1728</v>
      </c>
      <c r="U1702" s="44" t="s">
        <v>1965</v>
      </c>
      <c r="V1702" s="135" t="s">
        <v>1402</v>
      </c>
      <c r="W1702" s="135" t="s">
        <v>1720</v>
      </c>
      <c r="X1702" s="135" t="s">
        <v>1389</v>
      </c>
      <c r="Y1702" s="135" t="s">
        <v>1417</v>
      </c>
      <c r="AA1702" s="356"/>
      <c r="AB1702" s="356"/>
      <c r="AC1702" s="134" t="s">
        <v>139</v>
      </c>
      <c r="AH1702" s="134" t="s">
        <v>1545</v>
      </c>
      <c r="AI1702" s="138" t="s">
        <v>131</v>
      </c>
      <c r="AJ1702" s="134" t="s">
        <v>158</v>
      </c>
      <c r="AK1702" s="140" t="s">
        <v>1611</v>
      </c>
      <c r="AL1702" s="32" t="s">
        <v>685</v>
      </c>
      <c r="AM1702" s="32" t="s">
        <v>685</v>
      </c>
      <c r="AN1702" s="32" t="s">
        <v>177</v>
      </c>
      <c r="AW1702" s="32" t="s">
        <v>160</v>
      </c>
      <c r="AX1702" s="32">
        <v>4</v>
      </c>
      <c r="AY1702" s="32"/>
      <c r="AZ1702" s="32" t="s">
        <v>335</v>
      </c>
      <c r="BP1702" s="431"/>
      <c r="BQ1702" s="431"/>
      <c r="BU1702" s="431"/>
      <c r="BV1702" s="431"/>
      <c r="BZ1702" s="431"/>
      <c r="CA1702" s="431"/>
      <c r="CE1702" s="584"/>
      <c r="CF1702" s="584"/>
      <c r="CG1702" s="584"/>
      <c r="CH1702" s="584"/>
      <c r="CJ1702" s="134">
        <v>1.6</v>
      </c>
      <c r="CK1702" s="134">
        <v>0.8</v>
      </c>
      <c r="CL1702" s="32"/>
      <c r="CM1702" s="32"/>
      <c r="CN1702" s="32" t="s">
        <v>1674</v>
      </c>
    </row>
    <row r="1703" spans="1:92" s="134" customFormat="1" x14ac:dyDescent="0.25">
      <c r="A1703" s="134">
        <v>82</v>
      </c>
      <c r="B1703" s="135" t="s">
        <v>4110</v>
      </c>
      <c r="C1703" s="134" t="s">
        <v>1459</v>
      </c>
      <c r="D1703" s="134" t="s">
        <v>1460</v>
      </c>
      <c r="E1703" s="134">
        <v>2007</v>
      </c>
      <c r="F1703" s="134">
        <v>2000</v>
      </c>
      <c r="G1703" s="134" t="s">
        <v>1461</v>
      </c>
      <c r="H1703" s="134" t="s">
        <v>1462</v>
      </c>
      <c r="I1703" s="32" t="s">
        <v>2815</v>
      </c>
      <c r="J1703" s="134">
        <v>42.74</v>
      </c>
      <c r="K1703" s="134">
        <v>-84.48</v>
      </c>
      <c r="L1703" s="134">
        <v>260</v>
      </c>
      <c r="Q1703" s="135"/>
      <c r="R1703" s="135" t="s">
        <v>1847</v>
      </c>
      <c r="S1703" s="44" t="s">
        <v>1728</v>
      </c>
      <c r="U1703" s="44" t="s">
        <v>1965</v>
      </c>
      <c r="V1703" s="135" t="s">
        <v>1402</v>
      </c>
      <c r="W1703" s="135" t="s">
        <v>1720</v>
      </c>
      <c r="X1703" s="135" t="s">
        <v>1389</v>
      </c>
      <c r="Y1703" s="135" t="s">
        <v>1417</v>
      </c>
      <c r="AA1703" s="356"/>
      <c r="AB1703" s="356"/>
      <c r="AC1703" s="134" t="s">
        <v>139</v>
      </c>
      <c r="AH1703" s="134" t="s">
        <v>1546</v>
      </c>
      <c r="AI1703" s="138" t="s">
        <v>1581</v>
      </c>
      <c r="AJ1703" s="134" t="s">
        <v>158</v>
      </c>
      <c r="AK1703" s="140" t="s">
        <v>1611</v>
      </c>
      <c r="AL1703" s="32" t="s">
        <v>685</v>
      </c>
      <c r="AM1703" s="32" t="s">
        <v>685</v>
      </c>
      <c r="AN1703" s="32" t="s">
        <v>177</v>
      </c>
      <c r="AW1703" s="32" t="s">
        <v>160</v>
      </c>
      <c r="AX1703" s="32">
        <v>4</v>
      </c>
      <c r="AY1703" s="32"/>
      <c r="AZ1703" s="32" t="s">
        <v>335</v>
      </c>
      <c r="BP1703" s="431"/>
      <c r="BQ1703" s="431"/>
      <c r="BU1703" s="431"/>
      <c r="BV1703" s="431"/>
      <c r="BZ1703" s="431"/>
      <c r="CA1703" s="431"/>
      <c r="CE1703" s="584"/>
      <c r="CF1703" s="584"/>
      <c r="CG1703" s="584"/>
      <c r="CH1703" s="584"/>
      <c r="CJ1703" s="134">
        <v>1.6</v>
      </c>
      <c r="CK1703" s="134">
        <v>0.9</v>
      </c>
      <c r="CL1703" s="32"/>
      <c r="CM1703" s="32"/>
      <c r="CN1703" s="32" t="s">
        <v>1674</v>
      </c>
    </row>
    <row r="1704" spans="1:92" s="134" customFormat="1" x14ac:dyDescent="0.25">
      <c r="A1704" s="134">
        <v>82</v>
      </c>
      <c r="B1704" s="135" t="s">
        <v>4110</v>
      </c>
      <c r="C1704" s="134" t="s">
        <v>1459</v>
      </c>
      <c r="D1704" s="134" t="s">
        <v>1460</v>
      </c>
      <c r="E1704" s="134">
        <v>2007</v>
      </c>
      <c r="F1704" s="134">
        <v>2000</v>
      </c>
      <c r="G1704" s="134" t="s">
        <v>1461</v>
      </c>
      <c r="H1704" s="134" t="s">
        <v>1462</v>
      </c>
      <c r="I1704" s="32" t="s">
        <v>2815</v>
      </c>
      <c r="J1704" s="134">
        <v>42.74</v>
      </c>
      <c r="K1704" s="134">
        <v>-84.48</v>
      </c>
      <c r="L1704" s="134">
        <v>260</v>
      </c>
      <c r="Q1704" s="135"/>
      <c r="R1704" s="135" t="s">
        <v>1847</v>
      </c>
      <c r="S1704" s="44" t="s">
        <v>1728</v>
      </c>
      <c r="U1704" s="44" t="s">
        <v>1965</v>
      </c>
      <c r="V1704" s="135" t="s">
        <v>1402</v>
      </c>
      <c r="W1704" s="135" t="s">
        <v>1720</v>
      </c>
      <c r="X1704" s="135" t="s">
        <v>1389</v>
      </c>
      <c r="Y1704" s="135" t="s">
        <v>1417</v>
      </c>
      <c r="AA1704" s="356"/>
      <c r="AB1704" s="356"/>
      <c r="AC1704" s="134" t="s">
        <v>139</v>
      </c>
      <c r="AH1704" s="134" t="s">
        <v>1547</v>
      </c>
      <c r="AI1704" s="138" t="s">
        <v>1581</v>
      </c>
      <c r="AJ1704" s="134" t="s">
        <v>158</v>
      </c>
      <c r="AK1704" s="140" t="s">
        <v>1611</v>
      </c>
      <c r="AL1704" s="32" t="s">
        <v>685</v>
      </c>
      <c r="AM1704" s="32" t="s">
        <v>685</v>
      </c>
      <c r="AN1704" s="32" t="s">
        <v>177</v>
      </c>
      <c r="AW1704" s="32" t="s">
        <v>160</v>
      </c>
      <c r="AX1704" s="32">
        <v>4</v>
      </c>
      <c r="AY1704" s="32"/>
      <c r="AZ1704" s="32" t="s">
        <v>335</v>
      </c>
      <c r="BP1704" s="431"/>
      <c r="BQ1704" s="431"/>
      <c r="BU1704" s="431"/>
      <c r="BV1704" s="431"/>
      <c r="BZ1704" s="431"/>
      <c r="CA1704" s="431"/>
      <c r="CE1704" s="584"/>
      <c r="CF1704" s="584"/>
      <c r="CG1704" s="584"/>
      <c r="CH1704" s="584"/>
      <c r="CJ1704" s="134">
        <v>1.6</v>
      </c>
      <c r="CK1704" s="134">
        <v>0.6</v>
      </c>
      <c r="CL1704" s="32"/>
      <c r="CM1704" s="32"/>
      <c r="CN1704" s="32" t="s">
        <v>1674</v>
      </c>
    </row>
    <row r="1705" spans="1:92" s="134" customFormat="1" x14ac:dyDescent="0.25">
      <c r="A1705" s="134">
        <v>82</v>
      </c>
      <c r="B1705" s="135" t="s">
        <v>4110</v>
      </c>
      <c r="C1705" s="134" t="s">
        <v>1459</v>
      </c>
      <c r="D1705" s="134" t="s">
        <v>1460</v>
      </c>
      <c r="E1705" s="134">
        <v>2007</v>
      </c>
      <c r="F1705" s="134">
        <v>2000</v>
      </c>
      <c r="G1705" s="134" t="s">
        <v>1461</v>
      </c>
      <c r="H1705" s="134" t="s">
        <v>1462</v>
      </c>
      <c r="I1705" s="32" t="s">
        <v>2815</v>
      </c>
      <c r="J1705" s="134">
        <v>42.74</v>
      </c>
      <c r="K1705" s="134">
        <v>-84.48</v>
      </c>
      <c r="L1705" s="134">
        <v>260</v>
      </c>
      <c r="Q1705" s="135"/>
      <c r="R1705" s="135" t="s">
        <v>1847</v>
      </c>
      <c r="S1705" s="44" t="s">
        <v>1728</v>
      </c>
      <c r="U1705" s="44" t="s">
        <v>1965</v>
      </c>
      <c r="V1705" s="135" t="s">
        <v>1402</v>
      </c>
      <c r="W1705" s="135" t="s">
        <v>1720</v>
      </c>
      <c r="X1705" s="135" t="s">
        <v>1389</v>
      </c>
      <c r="Y1705" s="135" t="s">
        <v>1417</v>
      </c>
      <c r="AA1705" s="356"/>
      <c r="AB1705" s="356"/>
      <c r="AC1705" s="134" t="s">
        <v>139</v>
      </c>
      <c r="AH1705" s="134" t="s">
        <v>1548</v>
      </c>
      <c r="AI1705" s="138" t="s">
        <v>1581</v>
      </c>
      <c r="AJ1705" s="134" t="s">
        <v>158</v>
      </c>
      <c r="AK1705" s="140" t="s">
        <v>1611</v>
      </c>
      <c r="AL1705" s="32" t="s">
        <v>685</v>
      </c>
      <c r="AM1705" s="32" t="s">
        <v>685</v>
      </c>
      <c r="AN1705" s="32" t="s">
        <v>177</v>
      </c>
      <c r="AW1705" s="32" t="s">
        <v>160</v>
      </c>
      <c r="AX1705" s="32">
        <v>4</v>
      </c>
      <c r="AY1705" s="32"/>
      <c r="AZ1705" s="32" t="s">
        <v>335</v>
      </c>
      <c r="BP1705" s="431"/>
      <c r="BQ1705" s="431"/>
      <c r="BU1705" s="431"/>
      <c r="BV1705" s="431"/>
      <c r="BZ1705" s="431"/>
      <c r="CA1705" s="431"/>
      <c r="CE1705" s="584"/>
      <c r="CF1705" s="584"/>
      <c r="CG1705" s="584"/>
      <c r="CH1705" s="584"/>
      <c r="CJ1705" s="134">
        <v>1.6</v>
      </c>
      <c r="CK1705" s="134">
        <v>0.7</v>
      </c>
      <c r="CL1705" s="32"/>
      <c r="CM1705" s="32"/>
      <c r="CN1705" s="32" t="s">
        <v>1674</v>
      </c>
    </row>
    <row r="1706" spans="1:92" s="134" customFormat="1" x14ac:dyDescent="0.25">
      <c r="A1706" s="134">
        <v>82</v>
      </c>
      <c r="B1706" s="135" t="s">
        <v>4110</v>
      </c>
      <c r="C1706" s="134" t="s">
        <v>1459</v>
      </c>
      <c r="D1706" s="134" t="s">
        <v>1460</v>
      </c>
      <c r="E1706" s="134">
        <v>2007</v>
      </c>
      <c r="F1706" s="134">
        <v>2000</v>
      </c>
      <c r="G1706" s="134" t="s">
        <v>1461</v>
      </c>
      <c r="H1706" s="134" t="s">
        <v>1462</v>
      </c>
      <c r="I1706" s="32" t="s">
        <v>2815</v>
      </c>
      <c r="J1706" s="134">
        <v>42.74</v>
      </c>
      <c r="K1706" s="134">
        <v>-84.48</v>
      </c>
      <c r="L1706" s="134">
        <v>260</v>
      </c>
      <c r="Q1706" s="135"/>
      <c r="R1706" s="135" t="s">
        <v>1847</v>
      </c>
      <c r="S1706" s="44" t="s">
        <v>1728</v>
      </c>
      <c r="U1706" s="44" t="s">
        <v>1965</v>
      </c>
      <c r="V1706" s="135" t="s">
        <v>1402</v>
      </c>
      <c r="W1706" s="135" t="s">
        <v>1720</v>
      </c>
      <c r="X1706" s="135" t="s">
        <v>1389</v>
      </c>
      <c r="Y1706" s="135" t="s">
        <v>1417</v>
      </c>
      <c r="AA1706" s="356"/>
      <c r="AB1706" s="356"/>
      <c r="AC1706" s="134" t="s">
        <v>139</v>
      </c>
      <c r="AH1706" s="134" t="s">
        <v>1549</v>
      </c>
      <c r="AI1706" s="138" t="s">
        <v>1581</v>
      </c>
      <c r="AJ1706" s="134" t="s">
        <v>158</v>
      </c>
      <c r="AK1706" s="140" t="s">
        <v>1611</v>
      </c>
      <c r="AL1706" s="32" t="s">
        <v>685</v>
      </c>
      <c r="AM1706" s="32" t="s">
        <v>685</v>
      </c>
      <c r="AN1706" s="32" t="s">
        <v>177</v>
      </c>
      <c r="AW1706" s="32" t="s">
        <v>160</v>
      </c>
      <c r="AX1706" s="32">
        <v>4</v>
      </c>
      <c r="AY1706" s="32"/>
      <c r="AZ1706" s="32" t="s">
        <v>335</v>
      </c>
      <c r="BP1706" s="431"/>
      <c r="BQ1706" s="431"/>
      <c r="BU1706" s="431"/>
      <c r="BV1706" s="431"/>
      <c r="BZ1706" s="431"/>
      <c r="CA1706" s="431"/>
      <c r="CE1706" s="584"/>
      <c r="CF1706" s="584"/>
      <c r="CG1706" s="584"/>
      <c r="CH1706" s="584"/>
      <c r="CJ1706" s="134">
        <v>1.6</v>
      </c>
      <c r="CK1706" s="134">
        <v>0.7</v>
      </c>
      <c r="CL1706" s="32"/>
      <c r="CM1706" s="32"/>
      <c r="CN1706" s="32" t="s">
        <v>1674</v>
      </c>
    </row>
    <row r="1707" spans="1:92" s="32" customFormat="1" x14ac:dyDescent="0.25">
      <c r="A1707" s="32">
        <v>82</v>
      </c>
      <c r="B1707" s="44" t="s">
        <v>4111</v>
      </c>
      <c r="C1707" s="32" t="s">
        <v>1459</v>
      </c>
      <c r="D1707" s="32" t="s">
        <v>1460</v>
      </c>
      <c r="E1707" s="32">
        <v>2007</v>
      </c>
      <c r="F1707" s="32">
        <v>2000</v>
      </c>
      <c r="G1707" s="32" t="s">
        <v>1461</v>
      </c>
      <c r="H1707" s="32" t="s">
        <v>1462</v>
      </c>
      <c r="I1707" s="32" t="s">
        <v>2815</v>
      </c>
      <c r="J1707" s="32">
        <v>42.74</v>
      </c>
      <c r="K1707" s="32">
        <v>-84.48</v>
      </c>
      <c r="L1707" s="32">
        <v>260</v>
      </c>
      <c r="Q1707" s="44"/>
      <c r="R1707" s="44" t="s">
        <v>1847</v>
      </c>
      <c r="S1707" s="44" t="s">
        <v>1728</v>
      </c>
      <c r="U1707" s="44" t="s">
        <v>1965</v>
      </c>
      <c r="V1707" s="44" t="s">
        <v>1403</v>
      </c>
      <c r="W1707" s="44" t="s">
        <v>1720</v>
      </c>
      <c r="X1707" s="44" t="s">
        <v>1389</v>
      </c>
      <c r="Y1707" s="44" t="s">
        <v>1417</v>
      </c>
      <c r="AA1707" s="323"/>
      <c r="AB1707" s="323"/>
      <c r="AC1707" s="32" t="s">
        <v>139</v>
      </c>
      <c r="AH1707" s="32" t="s">
        <v>116</v>
      </c>
      <c r="AI1707" s="138" t="s">
        <v>1581</v>
      </c>
      <c r="AJ1707" s="32" t="s">
        <v>158</v>
      </c>
      <c r="AK1707" s="140" t="s">
        <v>1611</v>
      </c>
      <c r="AL1707" s="32" t="s">
        <v>685</v>
      </c>
      <c r="AM1707" s="32" t="s">
        <v>685</v>
      </c>
      <c r="AN1707" s="32" t="s">
        <v>177</v>
      </c>
      <c r="AW1707" s="32" t="s">
        <v>160</v>
      </c>
      <c r="AX1707" s="32">
        <v>4</v>
      </c>
      <c r="AZ1707" s="32" t="s">
        <v>335</v>
      </c>
      <c r="BP1707" s="397"/>
      <c r="BQ1707" s="397"/>
      <c r="BU1707" s="397"/>
      <c r="BV1707" s="397"/>
      <c r="BZ1707" s="397"/>
      <c r="CA1707" s="397"/>
      <c r="CE1707" s="550"/>
      <c r="CF1707" s="550"/>
      <c r="CG1707" s="550"/>
      <c r="CH1707" s="550"/>
      <c r="CJ1707" s="32">
        <v>1.5</v>
      </c>
      <c r="CK1707" s="32">
        <v>0.6</v>
      </c>
      <c r="CN1707" s="32" t="s">
        <v>1674</v>
      </c>
    </row>
    <row r="1708" spans="1:92" s="32" customFormat="1" x14ac:dyDescent="0.25">
      <c r="A1708" s="32">
        <v>82</v>
      </c>
      <c r="B1708" s="44" t="s">
        <v>4112</v>
      </c>
      <c r="C1708" s="32" t="s">
        <v>1459</v>
      </c>
      <c r="D1708" s="32" t="s">
        <v>1460</v>
      </c>
      <c r="E1708" s="32">
        <v>2007</v>
      </c>
      <c r="F1708" s="32">
        <v>2000</v>
      </c>
      <c r="G1708" s="32" t="s">
        <v>1461</v>
      </c>
      <c r="H1708" s="32" t="s">
        <v>1462</v>
      </c>
      <c r="I1708" s="32" t="s">
        <v>2815</v>
      </c>
      <c r="J1708" s="32">
        <v>42.74</v>
      </c>
      <c r="K1708" s="32">
        <v>-84.48</v>
      </c>
      <c r="L1708" s="32">
        <v>260</v>
      </c>
      <c r="Q1708" s="44"/>
      <c r="R1708" s="44" t="s">
        <v>1847</v>
      </c>
      <c r="S1708" s="44" t="s">
        <v>1728</v>
      </c>
      <c r="U1708" s="44" t="s">
        <v>1965</v>
      </c>
      <c r="V1708" s="44" t="s">
        <v>1403</v>
      </c>
      <c r="W1708" s="44" t="s">
        <v>1720</v>
      </c>
      <c r="X1708" s="44" t="s">
        <v>1389</v>
      </c>
      <c r="Y1708" s="44" t="s">
        <v>1417</v>
      </c>
      <c r="AA1708" s="323"/>
      <c r="AB1708" s="323"/>
      <c r="AC1708" s="32" t="s">
        <v>139</v>
      </c>
      <c r="AH1708" s="32" t="s">
        <v>131</v>
      </c>
      <c r="AI1708" s="138" t="s">
        <v>131</v>
      </c>
      <c r="AJ1708" s="32" t="s">
        <v>158</v>
      </c>
      <c r="AK1708" s="140" t="s">
        <v>1611</v>
      </c>
      <c r="AL1708" s="32" t="s">
        <v>685</v>
      </c>
      <c r="AM1708" s="32" t="s">
        <v>685</v>
      </c>
      <c r="AN1708" s="32" t="s">
        <v>177</v>
      </c>
      <c r="AW1708" s="32" t="s">
        <v>160</v>
      </c>
      <c r="AX1708" s="32">
        <v>4</v>
      </c>
      <c r="AZ1708" s="32" t="s">
        <v>335</v>
      </c>
      <c r="BP1708" s="397"/>
      <c r="BQ1708" s="397"/>
      <c r="BU1708" s="397"/>
      <c r="BV1708" s="397"/>
      <c r="BZ1708" s="397"/>
      <c r="CA1708" s="397"/>
      <c r="CE1708" s="550"/>
      <c r="CF1708" s="550"/>
      <c r="CG1708" s="550"/>
      <c r="CH1708" s="550"/>
      <c r="CJ1708" s="32">
        <v>1.5</v>
      </c>
      <c r="CK1708" s="32">
        <v>0.7</v>
      </c>
      <c r="CN1708" s="32" t="s">
        <v>1674</v>
      </c>
    </row>
    <row r="1709" spans="1:92" s="32" customFormat="1" x14ac:dyDescent="0.25">
      <c r="A1709" s="32">
        <v>82</v>
      </c>
      <c r="B1709" s="44" t="s">
        <v>4112</v>
      </c>
      <c r="C1709" s="32" t="s">
        <v>1459</v>
      </c>
      <c r="D1709" s="32" t="s">
        <v>1460</v>
      </c>
      <c r="E1709" s="32">
        <v>2007</v>
      </c>
      <c r="F1709" s="32">
        <v>2000</v>
      </c>
      <c r="G1709" s="32" t="s">
        <v>1461</v>
      </c>
      <c r="H1709" s="32" t="s">
        <v>1462</v>
      </c>
      <c r="I1709" s="32" t="s">
        <v>2815</v>
      </c>
      <c r="J1709" s="32">
        <v>42.74</v>
      </c>
      <c r="K1709" s="32">
        <v>-84.48</v>
      </c>
      <c r="L1709" s="32">
        <v>260</v>
      </c>
      <c r="Q1709" s="44"/>
      <c r="R1709" s="44" t="s">
        <v>1847</v>
      </c>
      <c r="S1709" s="44" t="s">
        <v>1728</v>
      </c>
      <c r="U1709" s="44" t="s">
        <v>1965</v>
      </c>
      <c r="V1709" s="44" t="s">
        <v>1403</v>
      </c>
      <c r="W1709" s="44" t="s">
        <v>1720</v>
      </c>
      <c r="X1709" s="44" t="s">
        <v>1389</v>
      </c>
      <c r="Y1709" s="44" t="s">
        <v>1417</v>
      </c>
      <c r="AA1709" s="323"/>
      <c r="AB1709" s="323"/>
      <c r="AC1709" s="32" t="s">
        <v>139</v>
      </c>
      <c r="AH1709" s="32" t="s">
        <v>1545</v>
      </c>
      <c r="AI1709" s="138" t="s">
        <v>131</v>
      </c>
      <c r="AJ1709" s="32" t="s">
        <v>158</v>
      </c>
      <c r="AK1709" s="140" t="s">
        <v>1611</v>
      </c>
      <c r="AL1709" s="32" t="s">
        <v>685</v>
      </c>
      <c r="AM1709" s="32" t="s">
        <v>685</v>
      </c>
      <c r="AN1709" s="32" t="s">
        <v>177</v>
      </c>
      <c r="AW1709" s="32" t="s">
        <v>160</v>
      </c>
      <c r="AX1709" s="32">
        <v>4</v>
      </c>
      <c r="AZ1709" s="32" t="s">
        <v>335</v>
      </c>
      <c r="BP1709" s="397"/>
      <c r="BQ1709" s="397"/>
      <c r="BU1709" s="397"/>
      <c r="BV1709" s="397"/>
      <c r="BZ1709" s="397"/>
      <c r="CA1709" s="397"/>
      <c r="CE1709" s="550"/>
      <c r="CF1709" s="550"/>
      <c r="CG1709" s="550"/>
      <c r="CH1709" s="550"/>
      <c r="CJ1709" s="32">
        <v>1.5</v>
      </c>
      <c r="CK1709" s="32">
        <v>1</v>
      </c>
      <c r="CN1709" s="32" t="s">
        <v>1674</v>
      </c>
    </row>
    <row r="1710" spans="1:92" s="32" customFormat="1" x14ac:dyDescent="0.25">
      <c r="A1710" s="32">
        <v>82</v>
      </c>
      <c r="B1710" s="44" t="s">
        <v>4113</v>
      </c>
      <c r="C1710" s="32" t="s">
        <v>1459</v>
      </c>
      <c r="D1710" s="32" t="s">
        <v>1460</v>
      </c>
      <c r="E1710" s="32">
        <v>2007</v>
      </c>
      <c r="F1710" s="32">
        <v>2000</v>
      </c>
      <c r="G1710" s="32" t="s">
        <v>1461</v>
      </c>
      <c r="H1710" s="32" t="s">
        <v>1462</v>
      </c>
      <c r="I1710" s="32" t="s">
        <v>2815</v>
      </c>
      <c r="J1710" s="32">
        <v>42.74</v>
      </c>
      <c r="K1710" s="32">
        <v>-84.48</v>
      </c>
      <c r="L1710" s="32">
        <v>260</v>
      </c>
      <c r="Q1710" s="44"/>
      <c r="R1710" s="44" t="s">
        <v>1847</v>
      </c>
      <c r="S1710" s="44" t="s">
        <v>1728</v>
      </c>
      <c r="U1710" s="44" t="s">
        <v>1965</v>
      </c>
      <c r="V1710" s="44" t="s">
        <v>1403</v>
      </c>
      <c r="W1710" s="44" t="s">
        <v>1720</v>
      </c>
      <c r="X1710" s="44" t="s">
        <v>1389</v>
      </c>
      <c r="Y1710" s="44" t="s">
        <v>1417</v>
      </c>
      <c r="AA1710" s="323"/>
      <c r="AB1710" s="323"/>
      <c r="AC1710" s="32" t="s">
        <v>139</v>
      </c>
      <c r="AH1710" s="32" t="s">
        <v>1546</v>
      </c>
      <c r="AI1710" s="138" t="s">
        <v>1581</v>
      </c>
      <c r="AJ1710" s="32" t="s">
        <v>158</v>
      </c>
      <c r="AK1710" s="140" t="s">
        <v>1611</v>
      </c>
      <c r="AL1710" s="32" t="s">
        <v>685</v>
      </c>
      <c r="AM1710" s="32" t="s">
        <v>685</v>
      </c>
      <c r="AN1710" s="32" t="s">
        <v>177</v>
      </c>
      <c r="AW1710" s="32" t="s">
        <v>160</v>
      </c>
      <c r="AX1710" s="32">
        <v>4</v>
      </c>
      <c r="AZ1710" s="32" t="s">
        <v>335</v>
      </c>
      <c r="BP1710" s="397"/>
      <c r="BQ1710" s="397"/>
      <c r="BU1710" s="397"/>
      <c r="BV1710" s="397"/>
      <c r="BZ1710" s="397"/>
      <c r="CA1710" s="397"/>
      <c r="CE1710" s="550"/>
      <c r="CF1710" s="550"/>
      <c r="CG1710" s="550"/>
      <c r="CH1710" s="550"/>
      <c r="CJ1710" s="32">
        <v>1.5</v>
      </c>
      <c r="CK1710" s="32">
        <v>0.5</v>
      </c>
      <c r="CN1710" s="32" t="s">
        <v>1674</v>
      </c>
    </row>
    <row r="1711" spans="1:92" s="32" customFormat="1" x14ac:dyDescent="0.25">
      <c r="A1711" s="32">
        <v>82</v>
      </c>
      <c r="B1711" s="44" t="s">
        <v>4113</v>
      </c>
      <c r="C1711" s="32" t="s">
        <v>1459</v>
      </c>
      <c r="D1711" s="32" t="s">
        <v>1460</v>
      </c>
      <c r="E1711" s="32">
        <v>2007</v>
      </c>
      <c r="F1711" s="32">
        <v>2000</v>
      </c>
      <c r="G1711" s="32" t="s">
        <v>1461</v>
      </c>
      <c r="H1711" s="32" t="s">
        <v>1462</v>
      </c>
      <c r="I1711" s="32" t="s">
        <v>2815</v>
      </c>
      <c r="J1711" s="32">
        <v>42.74</v>
      </c>
      <c r="K1711" s="32">
        <v>-84.48</v>
      </c>
      <c r="L1711" s="32">
        <v>260</v>
      </c>
      <c r="Q1711" s="44"/>
      <c r="R1711" s="44" t="s">
        <v>1847</v>
      </c>
      <c r="S1711" s="44" t="s">
        <v>1728</v>
      </c>
      <c r="U1711" s="44" t="s">
        <v>1965</v>
      </c>
      <c r="V1711" s="44" t="s">
        <v>1403</v>
      </c>
      <c r="W1711" s="44" t="s">
        <v>1720</v>
      </c>
      <c r="X1711" s="44" t="s">
        <v>1389</v>
      </c>
      <c r="Y1711" s="44" t="s">
        <v>1417</v>
      </c>
      <c r="AA1711" s="323"/>
      <c r="AB1711" s="323"/>
      <c r="AC1711" s="32" t="s">
        <v>139</v>
      </c>
      <c r="AH1711" s="32" t="s">
        <v>1547</v>
      </c>
      <c r="AI1711" s="138" t="s">
        <v>1581</v>
      </c>
      <c r="AJ1711" s="32" t="s">
        <v>158</v>
      </c>
      <c r="AK1711" s="140" t="s">
        <v>1611</v>
      </c>
      <c r="AL1711" s="32" t="s">
        <v>685</v>
      </c>
      <c r="AM1711" s="32" t="s">
        <v>685</v>
      </c>
      <c r="AN1711" s="32" t="s">
        <v>177</v>
      </c>
      <c r="AW1711" s="32" t="s">
        <v>160</v>
      </c>
      <c r="AX1711" s="32">
        <v>4</v>
      </c>
      <c r="AZ1711" s="32" t="s">
        <v>335</v>
      </c>
      <c r="BP1711" s="397"/>
      <c r="BQ1711" s="397"/>
      <c r="BU1711" s="397"/>
      <c r="BV1711" s="397"/>
      <c r="BZ1711" s="397"/>
      <c r="CA1711" s="397"/>
      <c r="CE1711" s="550"/>
      <c r="CF1711" s="550"/>
      <c r="CG1711" s="550"/>
      <c r="CH1711" s="550"/>
      <c r="CJ1711" s="32">
        <v>1.5</v>
      </c>
      <c r="CK1711" s="32">
        <v>0.7</v>
      </c>
      <c r="CN1711" s="32" t="s">
        <v>1674</v>
      </c>
    </row>
    <row r="1712" spans="1:92" s="32" customFormat="1" x14ac:dyDescent="0.25">
      <c r="A1712" s="32">
        <v>82</v>
      </c>
      <c r="B1712" s="44" t="s">
        <v>4113</v>
      </c>
      <c r="C1712" s="32" t="s">
        <v>1459</v>
      </c>
      <c r="D1712" s="32" t="s">
        <v>1460</v>
      </c>
      <c r="E1712" s="32">
        <v>2007</v>
      </c>
      <c r="F1712" s="32">
        <v>2000</v>
      </c>
      <c r="G1712" s="32" t="s">
        <v>1461</v>
      </c>
      <c r="H1712" s="32" t="s">
        <v>1462</v>
      </c>
      <c r="I1712" s="32" t="s">
        <v>2815</v>
      </c>
      <c r="J1712" s="32">
        <v>42.74</v>
      </c>
      <c r="K1712" s="32">
        <v>-84.48</v>
      </c>
      <c r="L1712" s="32">
        <v>260</v>
      </c>
      <c r="Q1712" s="44"/>
      <c r="R1712" s="44" t="s">
        <v>1847</v>
      </c>
      <c r="S1712" s="44" t="s">
        <v>1728</v>
      </c>
      <c r="U1712" s="44" t="s">
        <v>1965</v>
      </c>
      <c r="V1712" s="44" t="s">
        <v>1403</v>
      </c>
      <c r="W1712" s="44" t="s">
        <v>1720</v>
      </c>
      <c r="X1712" s="44" t="s">
        <v>1389</v>
      </c>
      <c r="Y1712" s="44" t="s">
        <v>1417</v>
      </c>
      <c r="AA1712" s="323"/>
      <c r="AB1712" s="323"/>
      <c r="AC1712" s="32" t="s">
        <v>139</v>
      </c>
      <c r="AH1712" s="32" t="s">
        <v>1548</v>
      </c>
      <c r="AI1712" s="138" t="s">
        <v>1581</v>
      </c>
      <c r="AJ1712" s="32" t="s">
        <v>158</v>
      </c>
      <c r="AK1712" s="140" t="s">
        <v>1611</v>
      </c>
      <c r="AL1712" s="32" t="s">
        <v>685</v>
      </c>
      <c r="AM1712" s="32" t="s">
        <v>685</v>
      </c>
      <c r="AN1712" s="32" t="s">
        <v>177</v>
      </c>
      <c r="AW1712" s="32" t="s">
        <v>160</v>
      </c>
      <c r="AX1712" s="32">
        <v>4</v>
      </c>
      <c r="AZ1712" s="32" t="s">
        <v>335</v>
      </c>
      <c r="BP1712" s="397"/>
      <c r="BQ1712" s="397"/>
      <c r="BU1712" s="397"/>
      <c r="BV1712" s="397"/>
      <c r="BZ1712" s="397"/>
      <c r="CA1712" s="397"/>
      <c r="CE1712" s="550"/>
      <c r="CF1712" s="550"/>
      <c r="CG1712" s="550"/>
      <c r="CH1712" s="550"/>
      <c r="CJ1712" s="32">
        <v>1.5</v>
      </c>
      <c r="CK1712" s="32">
        <v>0.8</v>
      </c>
      <c r="CN1712" s="32" t="s">
        <v>1674</v>
      </c>
    </row>
    <row r="1713" spans="1:92" s="32" customFormat="1" x14ac:dyDescent="0.25">
      <c r="A1713" s="32">
        <v>82</v>
      </c>
      <c r="B1713" s="44" t="s">
        <v>4113</v>
      </c>
      <c r="C1713" s="32" t="s">
        <v>1459</v>
      </c>
      <c r="D1713" s="32" t="s">
        <v>1460</v>
      </c>
      <c r="E1713" s="32">
        <v>2007</v>
      </c>
      <c r="F1713" s="32">
        <v>2000</v>
      </c>
      <c r="G1713" s="32" t="s">
        <v>1461</v>
      </c>
      <c r="H1713" s="32" t="s">
        <v>1462</v>
      </c>
      <c r="I1713" s="32" t="s">
        <v>2815</v>
      </c>
      <c r="J1713" s="32">
        <v>42.74</v>
      </c>
      <c r="K1713" s="32">
        <v>-84.48</v>
      </c>
      <c r="L1713" s="32">
        <v>260</v>
      </c>
      <c r="Q1713" s="44"/>
      <c r="R1713" s="44" t="s">
        <v>1847</v>
      </c>
      <c r="S1713" s="44" t="s">
        <v>1728</v>
      </c>
      <c r="U1713" s="44" t="s">
        <v>1965</v>
      </c>
      <c r="V1713" s="44" t="s">
        <v>1403</v>
      </c>
      <c r="W1713" s="44" t="s">
        <v>1720</v>
      </c>
      <c r="X1713" s="44" t="s">
        <v>1389</v>
      </c>
      <c r="Y1713" s="44" t="s">
        <v>1417</v>
      </c>
      <c r="AA1713" s="323"/>
      <c r="AB1713" s="323"/>
      <c r="AC1713" s="32" t="s">
        <v>139</v>
      </c>
      <c r="AH1713" s="32" t="s">
        <v>1549</v>
      </c>
      <c r="AI1713" s="138" t="s">
        <v>1581</v>
      </c>
      <c r="AJ1713" s="32" t="s">
        <v>158</v>
      </c>
      <c r="AK1713" s="140" t="s">
        <v>1611</v>
      </c>
      <c r="AL1713" s="32" t="s">
        <v>685</v>
      </c>
      <c r="AM1713" s="32" t="s">
        <v>685</v>
      </c>
      <c r="AN1713" s="32" t="s">
        <v>177</v>
      </c>
      <c r="AW1713" s="32" t="s">
        <v>160</v>
      </c>
      <c r="AX1713" s="32">
        <v>4</v>
      </c>
      <c r="AZ1713" s="32" t="s">
        <v>335</v>
      </c>
      <c r="BP1713" s="397"/>
      <c r="BQ1713" s="397"/>
      <c r="BU1713" s="397"/>
      <c r="BV1713" s="397"/>
      <c r="BZ1713" s="397"/>
      <c r="CA1713" s="397"/>
      <c r="CE1713" s="550"/>
      <c r="CF1713" s="550"/>
      <c r="CG1713" s="550"/>
      <c r="CH1713" s="550"/>
      <c r="CJ1713" s="32">
        <v>1.5</v>
      </c>
      <c r="CK1713" s="32">
        <v>0.8</v>
      </c>
      <c r="CN1713" s="32" t="s">
        <v>1674</v>
      </c>
    </row>
    <row r="1714" spans="1:92" s="136" customFormat="1" x14ac:dyDescent="0.25">
      <c r="A1714" s="136">
        <v>82</v>
      </c>
      <c r="B1714" s="137" t="s">
        <v>4105</v>
      </c>
      <c r="C1714" s="136" t="s">
        <v>1459</v>
      </c>
      <c r="D1714" s="136" t="s">
        <v>1460</v>
      </c>
      <c r="E1714" s="136">
        <v>2007</v>
      </c>
      <c r="F1714" s="136">
        <v>2001</v>
      </c>
      <c r="G1714" s="136" t="s">
        <v>1461</v>
      </c>
      <c r="H1714" s="136" t="s">
        <v>1462</v>
      </c>
      <c r="I1714" s="136" t="s">
        <v>2815</v>
      </c>
      <c r="J1714" s="136">
        <v>42.74</v>
      </c>
      <c r="K1714" s="136">
        <v>-84.48</v>
      </c>
      <c r="L1714" s="136">
        <v>260</v>
      </c>
      <c r="Q1714" s="137"/>
      <c r="R1714" s="137" t="s">
        <v>1728</v>
      </c>
      <c r="S1714" s="137" t="s">
        <v>1728</v>
      </c>
      <c r="U1714" s="137" t="s">
        <v>1965</v>
      </c>
      <c r="V1714" s="137" t="s">
        <v>1389</v>
      </c>
      <c r="W1714" s="137" t="s">
        <v>1720</v>
      </c>
      <c r="X1714" s="137" t="s">
        <v>1389</v>
      </c>
      <c r="Y1714" s="137" t="s">
        <v>1417</v>
      </c>
      <c r="AA1714" s="357"/>
      <c r="AB1714" s="357"/>
      <c r="AC1714" s="136" t="s">
        <v>139</v>
      </c>
      <c r="AH1714" s="136" t="s">
        <v>116</v>
      </c>
      <c r="AI1714" s="138" t="s">
        <v>1581</v>
      </c>
      <c r="AJ1714" s="136" t="s">
        <v>158</v>
      </c>
      <c r="AK1714" s="140" t="s">
        <v>1611</v>
      </c>
      <c r="AW1714" s="32" t="s">
        <v>160</v>
      </c>
      <c r="AX1714" s="32">
        <v>4</v>
      </c>
      <c r="AY1714" s="32"/>
      <c r="AZ1714" s="32" t="s">
        <v>335</v>
      </c>
      <c r="BP1714" s="432"/>
      <c r="BQ1714" s="432"/>
      <c r="BU1714" s="432"/>
      <c r="BV1714" s="432"/>
      <c r="BZ1714" s="432"/>
      <c r="CA1714" s="432"/>
      <c r="CE1714" s="585"/>
      <c r="CF1714" s="585"/>
      <c r="CG1714" s="585"/>
      <c r="CH1714" s="585"/>
      <c r="CJ1714" s="136">
        <v>2.8</v>
      </c>
      <c r="CK1714" s="136">
        <v>2.7</v>
      </c>
      <c r="CN1714" s="136" t="s">
        <v>1674</v>
      </c>
    </row>
    <row r="1715" spans="1:92" s="136" customFormat="1" x14ac:dyDescent="0.25">
      <c r="A1715" s="136">
        <v>82</v>
      </c>
      <c r="B1715" s="137" t="s">
        <v>4106</v>
      </c>
      <c r="C1715" s="136" t="s">
        <v>1459</v>
      </c>
      <c r="D1715" s="136" t="s">
        <v>1460</v>
      </c>
      <c r="E1715" s="136">
        <v>2007</v>
      </c>
      <c r="F1715" s="136">
        <v>2001</v>
      </c>
      <c r="G1715" s="136" t="s">
        <v>1461</v>
      </c>
      <c r="H1715" s="136" t="s">
        <v>1462</v>
      </c>
      <c r="I1715" s="136" t="s">
        <v>2815</v>
      </c>
      <c r="J1715" s="136">
        <v>42.74</v>
      </c>
      <c r="K1715" s="136">
        <v>-84.48</v>
      </c>
      <c r="L1715" s="136">
        <v>260</v>
      </c>
      <c r="Q1715" s="137"/>
      <c r="R1715" s="137" t="s">
        <v>1728</v>
      </c>
      <c r="S1715" s="137" t="s">
        <v>1728</v>
      </c>
      <c r="U1715" s="137" t="s">
        <v>1965</v>
      </c>
      <c r="V1715" s="137" t="s">
        <v>1389</v>
      </c>
      <c r="W1715" s="137" t="s">
        <v>1720</v>
      </c>
      <c r="X1715" s="137" t="s">
        <v>1389</v>
      </c>
      <c r="Y1715" s="137" t="s">
        <v>1417</v>
      </c>
      <c r="AA1715" s="357"/>
      <c r="AB1715" s="357"/>
      <c r="AC1715" s="136" t="s">
        <v>139</v>
      </c>
      <c r="AH1715" s="136" t="s">
        <v>131</v>
      </c>
      <c r="AI1715" s="138" t="s">
        <v>131</v>
      </c>
      <c r="AJ1715" s="136" t="s">
        <v>158</v>
      </c>
      <c r="AK1715" s="140" t="s">
        <v>1611</v>
      </c>
      <c r="AW1715" s="32" t="s">
        <v>160</v>
      </c>
      <c r="AX1715" s="32">
        <v>4</v>
      </c>
      <c r="AY1715" s="32"/>
      <c r="AZ1715" s="32" t="s">
        <v>335</v>
      </c>
      <c r="BP1715" s="432"/>
      <c r="BQ1715" s="432"/>
      <c r="BU1715" s="432"/>
      <c r="BV1715" s="432"/>
      <c r="BZ1715" s="432"/>
      <c r="CA1715" s="432"/>
      <c r="CE1715" s="585"/>
      <c r="CF1715" s="585"/>
      <c r="CG1715" s="585"/>
      <c r="CH1715" s="585"/>
      <c r="CJ1715" s="136">
        <v>2.8</v>
      </c>
      <c r="CK1715" s="136">
        <v>2.2000000000000002</v>
      </c>
      <c r="CN1715" s="136" t="s">
        <v>1674</v>
      </c>
    </row>
    <row r="1716" spans="1:92" s="136" customFormat="1" x14ac:dyDescent="0.25">
      <c r="A1716" s="136">
        <v>82</v>
      </c>
      <c r="B1716" s="137" t="s">
        <v>4106</v>
      </c>
      <c r="C1716" s="136" t="s">
        <v>1459</v>
      </c>
      <c r="D1716" s="136" t="s">
        <v>1460</v>
      </c>
      <c r="E1716" s="136">
        <v>2007</v>
      </c>
      <c r="F1716" s="136">
        <v>2001</v>
      </c>
      <c r="G1716" s="136" t="s">
        <v>1461</v>
      </c>
      <c r="H1716" s="136" t="s">
        <v>1462</v>
      </c>
      <c r="I1716" s="136" t="s">
        <v>2815</v>
      </c>
      <c r="J1716" s="136">
        <v>42.74</v>
      </c>
      <c r="K1716" s="136">
        <v>-84.48</v>
      </c>
      <c r="L1716" s="136">
        <v>260</v>
      </c>
      <c r="Q1716" s="137"/>
      <c r="R1716" s="137" t="s">
        <v>1728</v>
      </c>
      <c r="S1716" s="137" t="s">
        <v>1728</v>
      </c>
      <c r="U1716" s="137" t="s">
        <v>1965</v>
      </c>
      <c r="V1716" s="137" t="s">
        <v>1389</v>
      </c>
      <c r="W1716" s="137" t="s">
        <v>1720</v>
      </c>
      <c r="X1716" s="137" t="s">
        <v>1389</v>
      </c>
      <c r="Y1716" s="137" t="s">
        <v>1417</v>
      </c>
      <c r="AA1716" s="357"/>
      <c r="AB1716" s="357"/>
      <c r="AC1716" s="136" t="s">
        <v>139</v>
      </c>
      <c r="AH1716" s="136" t="s">
        <v>1545</v>
      </c>
      <c r="AI1716" s="138" t="s">
        <v>131</v>
      </c>
      <c r="AJ1716" s="136" t="s">
        <v>158</v>
      </c>
      <c r="AK1716" s="140" t="s">
        <v>1611</v>
      </c>
      <c r="AW1716" s="32" t="s">
        <v>160</v>
      </c>
      <c r="AX1716" s="32">
        <v>4</v>
      </c>
      <c r="AY1716" s="32"/>
      <c r="AZ1716" s="32" t="s">
        <v>335</v>
      </c>
      <c r="BP1716" s="432"/>
      <c r="BQ1716" s="432"/>
      <c r="BU1716" s="432"/>
      <c r="BV1716" s="432"/>
      <c r="BZ1716" s="432"/>
      <c r="CA1716" s="432"/>
      <c r="CE1716" s="585"/>
      <c r="CF1716" s="585"/>
      <c r="CG1716" s="585"/>
      <c r="CH1716" s="585"/>
      <c r="CJ1716" s="136">
        <v>2.8</v>
      </c>
      <c r="CK1716" s="136">
        <v>2.2999999999999998</v>
      </c>
      <c r="CN1716" s="136" t="s">
        <v>1674</v>
      </c>
    </row>
    <row r="1717" spans="1:92" s="136" customFormat="1" x14ac:dyDescent="0.25">
      <c r="A1717" s="136">
        <v>82</v>
      </c>
      <c r="B1717" s="137" t="s">
        <v>4107</v>
      </c>
      <c r="C1717" s="136" t="s">
        <v>1459</v>
      </c>
      <c r="D1717" s="136" t="s">
        <v>1460</v>
      </c>
      <c r="E1717" s="136">
        <v>2007</v>
      </c>
      <c r="F1717" s="136">
        <v>2001</v>
      </c>
      <c r="G1717" s="136" t="s">
        <v>1461</v>
      </c>
      <c r="H1717" s="136" t="s">
        <v>1462</v>
      </c>
      <c r="I1717" s="136" t="s">
        <v>2815</v>
      </c>
      <c r="J1717" s="136">
        <v>42.74</v>
      </c>
      <c r="K1717" s="136">
        <v>-84.48</v>
      </c>
      <c r="L1717" s="136">
        <v>260</v>
      </c>
      <c r="Q1717" s="137"/>
      <c r="R1717" s="137" t="s">
        <v>1728</v>
      </c>
      <c r="S1717" s="137" t="s">
        <v>1728</v>
      </c>
      <c r="U1717" s="137" t="s">
        <v>1965</v>
      </c>
      <c r="V1717" s="137" t="s">
        <v>1389</v>
      </c>
      <c r="W1717" s="137" t="s">
        <v>1720</v>
      </c>
      <c r="X1717" s="137" t="s">
        <v>1389</v>
      </c>
      <c r="Y1717" s="137" t="s">
        <v>1417</v>
      </c>
      <c r="AA1717" s="357"/>
      <c r="AB1717" s="357"/>
      <c r="AC1717" s="136" t="s">
        <v>139</v>
      </c>
      <c r="AH1717" s="136" t="s">
        <v>1546</v>
      </c>
      <c r="AI1717" s="138" t="s">
        <v>1581</v>
      </c>
      <c r="AJ1717" s="136" t="s">
        <v>158</v>
      </c>
      <c r="AK1717" s="140" t="s">
        <v>1611</v>
      </c>
      <c r="AW1717" s="32" t="s">
        <v>160</v>
      </c>
      <c r="AX1717" s="32">
        <v>4</v>
      </c>
      <c r="AY1717" s="32"/>
      <c r="AZ1717" s="32" t="s">
        <v>335</v>
      </c>
      <c r="BP1717" s="432"/>
      <c r="BQ1717" s="432"/>
      <c r="BU1717" s="432"/>
      <c r="BV1717" s="432"/>
      <c r="BZ1717" s="432"/>
      <c r="CA1717" s="432"/>
      <c r="CE1717" s="585"/>
      <c r="CF1717" s="585"/>
      <c r="CG1717" s="585"/>
      <c r="CH1717" s="585"/>
      <c r="CJ1717" s="136">
        <v>2.8</v>
      </c>
      <c r="CK1717" s="136">
        <v>1.5</v>
      </c>
      <c r="CN1717" s="136" t="s">
        <v>1674</v>
      </c>
    </row>
    <row r="1718" spans="1:92" s="136" customFormat="1" x14ac:dyDescent="0.25">
      <c r="A1718" s="136">
        <v>82</v>
      </c>
      <c r="B1718" s="137" t="s">
        <v>4107</v>
      </c>
      <c r="C1718" s="136" t="s">
        <v>1459</v>
      </c>
      <c r="D1718" s="136" t="s">
        <v>1460</v>
      </c>
      <c r="E1718" s="136">
        <v>2007</v>
      </c>
      <c r="F1718" s="136">
        <v>2001</v>
      </c>
      <c r="G1718" s="136" t="s">
        <v>1461</v>
      </c>
      <c r="H1718" s="136" t="s">
        <v>1462</v>
      </c>
      <c r="I1718" s="136" t="s">
        <v>2815</v>
      </c>
      <c r="J1718" s="136">
        <v>42.74</v>
      </c>
      <c r="K1718" s="136">
        <v>-84.48</v>
      </c>
      <c r="L1718" s="136">
        <v>260</v>
      </c>
      <c r="Q1718" s="137"/>
      <c r="R1718" s="137" t="s">
        <v>1728</v>
      </c>
      <c r="S1718" s="137" t="s">
        <v>1728</v>
      </c>
      <c r="U1718" s="137" t="s">
        <v>1965</v>
      </c>
      <c r="V1718" s="137" t="s">
        <v>1389</v>
      </c>
      <c r="W1718" s="137" t="s">
        <v>1720</v>
      </c>
      <c r="X1718" s="137" t="s">
        <v>1389</v>
      </c>
      <c r="Y1718" s="137" t="s">
        <v>1417</v>
      </c>
      <c r="AA1718" s="357"/>
      <c r="AB1718" s="357"/>
      <c r="AC1718" s="136" t="s">
        <v>139</v>
      </c>
      <c r="AH1718" s="136" t="s">
        <v>1547</v>
      </c>
      <c r="AI1718" s="138" t="s">
        <v>1581</v>
      </c>
      <c r="AJ1718" s="136" t="s">
        <v>158</v>
      </c>
      <c r="AK1718" s="140" t="s">
        <v>1611</v>
      </c>
      <c r="AW1718" s="32" t="s">
        <v>160</v>
      </c>
      <c r="AX1718" s="32">
        <v>4</v>
      </c>
      <c r="AY1718" s="32"/>
      <c r="AZ1718" s="32" t="s">
        <v>335</v>
      </c>
      <c r="BP1718" s="432"/>
      <c r="BQ1718" s="432"/>
      <c r="BU1718" s="432"/>
      <c r="BV1718" s="432"/>
      <c r="BZ1718" s="432"/>
      <c r="CA1718" s="432"/>
      <c r="CE1718" s="585"/>
      <c r="CF1718" s="585"/>
      <c r="CG1718" s="585"/>
      <c r="CH1718" s="585"/>
      <c r="CJ1718" s="136">
        <v>2.8</v>
      </c>
      <c r="CK1718" s="136">
        <v>1.5</v>
      </c>
      <c r="CN1718" s="136" t="s">
        <v>1674</v>
      </c>
    </row>
    <row r="1719" spans="1:92" s="136" customFormat="1" x14ac:dyDescent="0.25">
      <c r="A1719" s="136">
        <v>82</v>
      </c>
      <c r="B1719" s="137" t="s">
        <v>4107</v>
      </c>
      <c r="C1719" s="136" t="s">
        <v>1459</v>
      </c>
      <c r="D1719" s="136" t="s">
        <v>1460</v>
      </c>
      <c r="E1719" s="136">
        <v>2007</v>
      </c>
      <c r="F1719" s="136">
        <v>2001</v>
      </c>
      <c r="G1719" s="136" t="s">
        <v>1461</v>
      </c>
      <c r="H1719" s="136" t="s">
        <v>1462</v>
      </c>
      <c r="I1719" s="136" t="s">
        <v>2815</v>
      </c>
      <c r="J1719" s="136">
        <v>42.74</v>
      </c>
      <c r="K1719" s="136">
        <v>-84.48</v>
      </c>
      <c r="L1719" s="136">
        <v>260</v>
      </c>
      <c r="Q1719" s="137"/>
      <c r="R1719" s="137" t="s">
        <v>1728</v>
      </c>
      <c r="S1719" s="137" t="s">
        <v>1728</v>
      </c>
      <c r="U1719" s="137" t="s">
        <v>1965</v>
      </c>
      <c r="V1719" s="137" t="s">
        <v>1389</v>
      </c>
      <c r="W1719" s="137" t="s">
        <v>1720</v>
      </c>
      <c r="X1719" s="137" t="s">
        <v>1389</v>
      </c>
      <c r="Y1719" s="137" t="s">
        <v>1417</v>
      </c>
      <c r="AA1719" s="357"/>
      <c r="AB1719" s="357"/>
      <c r="AC1719" s="136" t="s">
        <v>139</v>
      </c>
      <c r="AH1719" s="136" t="s">
        <v>1548</v>
      </c>
      <c r="AI1719" s="138" t="s">
        <v>1581</v>
      </c>
      <c r="AJ1719" s="136" t="s">
        <v>158</v>
      </c>
      <c r="AK1719" s="140" t="s">
        <v>1611</v>
      </c>
      <c r="AW1719" s="32" t="s">
        <v>160</v>
      </c>
      <c r="AX1719" s="32">
        <v>4</v>
      </c>
      <c r="AY1719" s="32"/>
      <c r="AZ1719" s="32" t="s">
        <v>335</v>
      </c>
      <c r="BP1719" s="432"/>
      <c r="BQ1719" s="432"/>
      <c r="BU1719" s="432"/>
      <c r="BV1719" s="432"/>
      <c r="BZ1719" s="432"/>
      <c r="CA1719" s="432"/>
      <c r="CE1719" s="585"/>
      <c r="CF1719" s="585"/>
      <c r="CG1719" s="585"/>
      <c r="CH1719" s="585"/>
      <c r="CJ1719" s="136">
        <v>2.8</v>
      </c>
      <c r="CK1719" s="136">
        <v>1.3</v>
      </c>
      <c r="CN1719" s="136" t="s">
        <v>1674</v>
      </c>
    </row>
    <row r="1720" spans="1:92" s="136" customFormat="1" x14ac:dyDescent="0.25">
      <c r="A1720" s="136">
        <v>82</v>
      </c>
      <c r="B1720" s="137" t="s">
        <v>4107</v>
      </c>
      <c r="C1720" s="136" t="s">
        <v>1459</v>
      </c>
      <c r="D1720" s="136" t="s">
        <v>1460</v>
      </c>
      <c r="E1720" s="136">
        <v>2007</v>
      </c>
      <c r="F1720" s="136">
        <v>2001</v>
      </c>
      <c r="G1720" s="136" t="s">
        <v>1461</v>
      </c>
      <c r="H1720" s="136" t="s">
        <v>1462</v>
      </c>
      <c r="I1720" s="136" t="s">
        <v>2815</v>
      </c>
      <c r="J1720" s="136">
        <v>42.74</v>
      </c>
      <c r="K1720" s="136">
        <v>-84.48</v>
      </c>
      <c r="L1720" s="136">
        <v>260</v>
      </c>
      <c r="Q1720" s="137"/>
      <c r="R1720" s="137" t="s">
        <v>1728</v>
      </c>
      <c r="S1720" s="137" t="s">
        <v>1728</v>
      </c>
      <c r="U1720" s="137" t="s">
        <v>1965</v>
      </c>
      <c r="V1720" s="137" t="s">
        <v>1389</v>
      </c>
      <c r="W1720" s="137" t="s">
        <v>1720</v>
      </c>
      <c r="X1720" s="137" t="s">
        <v>1389</v>
      </c>
      <c r="Y1720" s="137" t="s">
        <v>1417</v>
      </c>
      <c r="AA1720" s="357"/>
      <c r="AB1720" s="357"/>
      <c r="AC1720" s="136" t="s">
        <v>139</v>
      </c>
      <c r="AH1720" s="136" t="s">
        <v>1549</v>
      </c>
      <c r="AI1720" s="138" t="s">
        <v>1581</v>
      </c>
      <c r="AJ1720" s="136" t="s">
        <v>158</v>
      </c>
      <c r="AK1720" s="140" t="s">
        <v>1611</v>
      </c>
      <c r="AW1720" s="32" t="s">
        <v>160</v>
      </c>
      <c r="AX1720" s="32">
        <v>4</v>
      </c>
      <c r="AY1720" s="32"/>
      <c r="AZ1720" s="32" t="s">
        <v>335</v>
      </c>
      <c r="BP1720" s="432"/>
      <c r="BQ1720" s="432"/>
      <c r="BU1720" s="432"/>
      <c r="BV1720" s="432"/>
      <c r="BZ1720" s="432"/>
      <c r="CA1720" s="432"/>
      <c r="CE1720" s="585"/>
      <c r="CF1720" s="585"/>
      <c r="CG1720" s="585"/>
      <c r="CH1720" s="585"/>
      <c r="CJ1720" s="136">
        <v>2.8</v>
      </c>
      <c r="CK1720" s="136">
        <v>1.3</v>
      </c>
      <c r="CN1720" s="136" t="s">
        <v>1674</v>
      </c>
    </row>
    <row r="1721" spans="1:92" s="24" customFormat="1" x14ac:dyDescent="0.25">
      <c r="A1721" s="24">
        <v>82</v>
      </c>
      <c r="B1721" s="42" t="s">
        <v>4108</v>
      </c>
      <c r="C1721" s="24" t="s">
        <v>1459</v>
      </c>
      <c r="D1721" s="24" t="s">
        <v>1460</v>
      </c>
      <c r="E1721" s="24">
        <v>2007</v>
      </c>
      <c r="F1721" s="24">
        <v>2001</v>
      </c>
      <c r="G1721" s="24" t="s">
        <v>1461</v>
      </c>
      <c r="H1721" s="24" t="s">
        <v>1462</v>
      </c>
      <c r="I1721" s="136" t="s">
        <v>2815</v>
      </c>
      <c r="J1721" s="24">
        <v>42.74</v>
      </c>
      <c r="K1721" s="24">
        <v>-84.48</v>
      </c>
      <c r="L1721" s="24">
        <v>260</v>
      </c>
      <c r="Q1721" s="42"/>
      <c r="R1721" s="42" t="s">
        <v>1728</v>
      </c>
      <c r="S1721" s="42" t="s">
        <v>1728</v>
      </c>
      <c r="U1721" s="42" t="s">
        <v>1965</v>
      </c>
      <c r="V1721" s="42" t="s">
        <v>1402</v>
      </c>
      <c r="W1721" s="42" t="s">
        <v>1720</v>
      </c>
      <c r="X1721" s="42" t="s">
        <v>1389</v>
      </c>
      <c r="Y1721" s="42" t="s">
        <v>1417</v>
      </c>
      <c r="AA1721" s="321"/>
      <c r="AB1721" s="321"/>
      <c r="AC1721" s="24" t="s">
        <v>139</v>
      </c>
      <c r="AH1721" s="24" t="s">
        <v>116</v>
      </c>
      <c r="AI1721" s="138" t="s">
        <v>1581</v>
      </c>
      <c r="AJ1721" s="24" t="s">
        <v>158</v>
      </c>
      <c r="AK1721" s="140" t="s">
        <v>1611</v>
      </c>
      <c r="AW1721" s="32" t="s">
        <v>160</v>
      </c>
      <c r="AX1721" s="32">
        <v>4</v>
      </c>
      <c r="AY1721" s="32"/>
      <c r="AZ1721" s="32" t="s">
        <v>335</v>
      </c>
      <c r="BP1721" s="395"/>
      <c r="BQ1721" s="395"/>
      <c r="BU1721" s="395"/>
      <c r="BV1721" s="395"/>
      <c r="BZ1721" s="395"/>
      <c r="CA1721" s="395"/>
      <c r="CE1721" s="548"/>
      <c r="CF1721" s="548"/>
      <c r="CG1721" s="548"/>
      <c r="CH1721" s="548"/>
      <c r="CJ1721" s="24">
        <v>3.4</v>
      </c>
      <c r="CK1721" s="24">
        <v>2.4</v>
      </c>
      <c r="CN1721" s="24" t="s">
        <v>1674</v>
      </c>
    </row>
    <row r="1722" spans="1:92" s="24" customFormat="1" x14ac:dyDescent="0.25">
      <c r="A1722" s="24">
        <v>82</v>
      </c>
      <c r="B1722" s="42" t="s">
        <v>4109</v>
      </c>
      <c r="C1722" s="24" t="s">
        <v>1459</v>
      </c>
      <c r="D1722" s="24" t="s">
        <v>1460</v>
      </c>
      <c r="E1722" s="24">
        <v>2007</v>
      </c>
      <c r="F1722" s="24">
        <v>2001</v>
      </c>
      <c r="G1722" s="24" t="s">
        <v>1461</v>
      </c>
      <c r="H1722" s="24" t="s">
        <v>1462</v>
      </c>
      <c r="I1722" s="136" t="s">
        <v>2815</v>
      </c>
      <c r="J1722" s="24">
        <v>42.74</v>
      </c>
      <c r="K1722" s="24">
        <v>-84.48</v>
      </c>
      <c r="L1722" s="24">
        <v>260</v>
      </c>
      <c r="Q1722" s="42"/>
      <c r="R1722" s="42" t="s">
        <v>1728</v>
      </c>
      <c r="S1722" s="42" t="s">
        <v>1728</v>
      </c>
      <c r="U1722" s="42" t="s">
        <v>1965</v>
      </c>
      <c r="V1722" s="42" t="s">
        <v>1402</v>
      </c>
      <c r="W1722" s="42" t="s">
        <v>1720</v>
      </c>
      <c r="X1722" s="42" t="s">
        <v>1389</v>
      </c>
      <c r="Y1722" s="42" t="s">
        <v>1417</v>
      </c>
      <c r="AA1722" s="321"/>
      <c r="AB1722" s="321"/>
      <c r="AC1722" s="24" t="s">
        <v>139</v>
      </c>
      <c r="AH1722" s="24" t="s">
        <v>131</v>
      </c>
      <c r="AI1722" s="138" t="s">
        <v>131</v>
      </c>
      <c r="AJ1722" s="24" t="s">
        <v>158</v>
      </c>
      <c r="AK1722" s="140" t="s">
        <v>1611</v>
      </c>
      <c r="AW1722" s="32" t="s">
        <v>160</v>
      </c>
      <c r="AX1722" s="32">
        <v>4</v>
      </c>
      <c r="AY1722" s="32"/>
      <c r="AZ1722" s="32" t="s">
        <v>335</v>
      </c>
      <c r="BP1722" s="395"/>
      <c r="BQ1722" s="395"/>
      <c r="BU1722" s="395"/>
      <c r="BV1722" s="395"/>
      <c r="BZ1722" s="395"/>
      <c r="CA1722" s="395"/>
      <c r="CE1722" s="548"/>
      <c r="CF1722" s="548"/>
      <c r="CG1722" s="548"/>
      <c r="CH1722" s="548"/>
      <c r="CJ1722" s="24">
        <v>3.4</v>
      </c>
      <c r="CK1722" s="24">
        <v>2</v>
      </c>
      <c r="CN1722" s="24" t="s">
        <v>1674</v>
      </c>
    </row>
    <row r="1723" spans="1:92" s="24" customFormat="1" x14ac:dyDescent="0.25">
      <c r="A1723" s="24">
        <v>82</v>
      </c>
      <c r="B1723" s="42" t="s">
        <v>4109</v>
      </c>
      <c r="C1723" s="24" t="s">
        <v>1459</v>
      </c>
      <c r="D1723" s="24" t="s">
        <v>1460</v>
      </c>
      <c r="E1723" s="24">
        <v>2007</v>
      </c>
      <c r="F1723" s="24">
        <v>2001</v>
      </c>
      <c r="G1723" s="24" t="s">
        <v>1461</v>
      </c>
      <c r="H1723" s="24" t="s">
        <v>1462</v>
      </c>
      <c r="I1723" s="136" t="s">
        <v>2815</v>
      </c>
      <c r="J1723" s="24">
        <v>42.74</v>
      </c>
      <c r="K1723" s="24">
        <v>-84.48</v>
      </c>
      <c r="L1723" s="24">
        <v>260</v>
      </c>
      <c r="Q1723" s="42"/>
      <c r="R1723" s="42" t="s">
        <v>1728</v>
      </c>
      <c r="S1723" s="42" t="s">
        <v>1728</v>
      </c>
      <c r="U1723" s="42" t="s">
        <v>1965</v>
      </c>
      <c r="V1723" s="42" t="s">
        <v>1402</v>
      </c>
      <c r="W1723" s="42" t="s">
        <v>1720</v>
      </c>
      <c r="X1723" s="42" t="s">
        <v>1389</v>
      </c>
      <c r="Y1723" s="42" t="s">
        <v>1417</v>
      </c>
      <c r="AA1723" s="321"/>
      <c r="AB1723" s="321"/>
      <c r="AC1723" s="24" t="s">
        <v>139</v>
      </c>
      <c r="AH1723" s="24" t="s">
        <v>1545</v>
      </c>
      <c r="AI1723" s="138" t="s">
        <v>131</v>
      </c>
      <c r="AJ1723" s="24" t="s">
        <v>158</v>
      </c>
      <c r="AK1723" s="140" t="s">
        <v>1611</v>
      </c>
      <c r="AW1723" s="32" t="s">
        <v>160</v>
      </c>
      <c r="AX1723" s="32">
        <v>4</v>
      </c>
      <c r="AY1723" s="32"/>
      <c r="AZ1723" s="32" t="s">
        <v>335</v>
      </c>
      <c r="BP1723" s="395"/>
      <c r="BQ1723" s="395"/>
      <c r="BU1723" s="395"/>
      <c r="BV1723" s="395"/>
      <c r="BZ1723" s="395"/>
      <c r="CA1723" s="395"/>
      <c r="CE1723" s="548"/>
      <c r="CF1723" s="548"/>
      <c r="CG1723" s="548"/>
      <c r="CH1723" s="548"/>
      <c r="CJ1723" s="24">
        <v>3.4</v>
      </c>
      <c r="CK1723" s="24">
        <v>1.7</v>
      </c>
      <c r="CN1723" s="24" t="s">
        <v>1674</v>
      </c>
    </row>
    <row r="1724" spans="1:92" s="24" customFormat="1" x14ac:dyDescent="0.25">
      <c r="A1724" s="24">
        <v>82</v>
      </c>
      <c r="B1724" s="42" t="s">
        <v>4110</v>
      </c>
      <c r="C1724" s="24" t="s">
        <v>1459</v>
      </c>
      <c r="D1724" s="24" t="s">
        <v>1460</v>
      </c>
      <c r="E1724" s="24">
        <v>2007</v>
      </c>
      <c r="F1724" s="24">
        <v>2001</v>
      </c>
      <c r="G1724" s="24" t="s">
        <v>1461</v>
      </c>
      <c r="H1724" s="24" t="s">
        <v>1462</v>
      </c>
      <c r="I1724" s="136" t="s">
        <v>2815</v>
      </c>
      <c r="J1724" s="24">
        <v>42.74</v>
      </c>
      <c r="K1724" s="24">
        <v>-84.48</v>
      </c>
      <c r="L1724" s="24">
        <v>260</v>
      </c>
      <c r="Q1724" s="42"/>
      <c r="R1724" s="42" t="s">
        <v>1728</v>
      </c>
      <c r="S1724" s="42" t="s">
        <v>1728</v>
      </c>
      <c r="U1724" s="42" t="s">
        <v>1965</v>
      </c>
      <c r="V1724" s="42" t="s">
        <v>1402</v>
      </c>
      <c r="W1724" s="42" t="s">
        <v>1720</v>
      </c>
      <c r="X1724" s="42" t="s">
        <v>1389</v>
      </c>
      <c r="Y1724" s="42" t="s">
        <v>1417</v>
      </c>
      <c r="AA1724" s="321"/>
      <c r="AB1724" s="321"/>
      <c r="AC1724" s="24" t="s">
        <v>139</v>
      </c>
      <c r="AH1724" s="24" t="s">
        <v>1546</v>
      </c>
      <c r="AI1724" s="138" t="s">
        <v>1581</v>
      </c>
      <c r="AJ1724" s="24" t="s">
        <v>158</v>
      </c>
      <c r="AK1724" s="140" t="s">
        <v>1611</v>
      </c>
      <c r="AW1724" s="32" t="s">
        <v>160</v>
      </c>
      <c r="AX1724" s="32">
        <v>4</v>
      </c>
      <c r="AY1724" s="32"/>
      <c r="AZ1724" s="32" t="s">
        <v>335</v>
      </c>
      <c r="BP1724" s="395"/>
      <c r="BQ1724" s="395"/>
      <c r="BU1724" s="395"/>
      <c r="BV1724" s="395"/>
      <c r="BZ1724" s="395"/>
      <c r="CA1724" s="395"/>
      <c r="CE1724" s="548"/>
      <c r="CF1724" s="548"/>
      <c r="CG1724" s="548"/>
      <c r="CH1724" s="548"/>
      <c r="CJ1724" s="24">
        <v>3.4</v>
      </c>
      <c r="CK1724" s="24">
        <v>1.3</v>
      </c>
      <c r="CN1724" s="24" t="s">
        <v>1674</v>
      </c>
    </row>
    <row r="1725" spans="1:92" s="24" customFormat="1" x14ac:dyDescent="0.25">
      <c r="A1725" s="24">
        <v>82</v>
      </c>
      <c r="B1725" s="42" t="s">
        <v>4110</v>
      </c>
      <c r="C1725" s="24" t="s">
        <v>1459</v>
      </c>
      <c r="D1725" s="24" t="s">
        <v>1460</v>
      </c>
      <c r="E1725" s="24">
        <v>2007</v>
      </c>
      <c r="F1725" s="24">
        <v>2001</v>
      </c>
      <c r="G1725" s="24" t="s">
        <v>1461</v>
      </c>
      <c r="H1725" s="24" t="s">
        <v>1462</v>
      </c>
      <c r="I1725" s="136" t="s">
        <v>2815</v>
      </c>
      <c r="J1725" s="24">
        <v>42.74</v>
      </c>
      <c r="K1725" s="24">
        <v>-84.48</v>
      </c>
      <c r="L1725" s="24">
        <v>260</v>
      </c>
      <c r="Q1725" s="42"/>
      <c r="R1725" s="42" t="s">
        <v>1728</v>
      </c>
      <c r="S1725" s="42" t="s">
        <v>1728</v>
      </c>
      <c r="U1725" s="42" t="s">
        <v>1965</v>
      </c>
      <c r="V1725" s="42" t="s">
        <v>1402</v>
      </c>
      <c r="W1725" s="42" t="s">
        <v>1720</v>
      </c>
      <c r="X1725" s="42" t="s">
        <v>1389</v>
      </c>
      <c r="Y1725" s="42" t="s">
        <v>1417</v>
      </c>
      <c r="AA1725" s="321"/>
      <c r="AB1725" s="321"/>
      <c r="AC1725" s="24" t="s">
        <v>139</v>
      </c>
      <c r="AH1725" s="24" t="s">
        <v>1547</v>
      </c>
      <c r="AI1725" s="138" t="s">
        <v>1581</v>
      </c>
      <c r="AJ1725" s="24" t="s">
        <v>158</v>
      </c>
      <c r="AK1725" s="140" t="s">
        <v>1611</v>
      </c>
      <c r="AW1725" s="32" t="s">
        <v>160</v>
      </c>
      <c r="AX1725" s="32">
        <v>4</v>
      </c>
      <c r="AY1725" s="32"/>
      <c r="AZ1725" s="32" t="s">
        <v>335</v>
      </c>
      <c r="BP1725" s="395"/>
      <c r="BQ1725" s="395"/>
      <c r="BU1725" s="395"/>
      <c r="BV1725" s="395"/>
      <c r="BZ1725" s="395"/>
      <c r="CA1725" s="395"/>
      <c r="CE1725" s="548"/>
      <c r="CF1725" s="548"/>
      <c r="CG1725" s="548"/>
      <c r="CH1725" s="548"/>
      <c r="CJ1725" s="24">
        <v>3.4</v>
      </c>
      <c r="CK1725" s="24">
        <v>1.3</v>
      </c>
      <c r="CN1725" s="24" t="s">
        <v>1674</v>
      </c>
    </row>
    <row r="1726" spans="1:92" s="24" customFormat="1" x14ac:dyDescent="0.25">
      <c r="A1726" s="24">
        <v>82</v>
      </c>
      <c r="B1726" s="42" t="s">
        <v>4110</v>
      </c>
      <c r="C1726" s="24" t="s">
        <v>1459</v>
      </c>
      <c r="D1726" s="24" t="s">
        <v>1460</v>
      </c>
      <c r="E1726" s="24">
        <v>2007</v>
      </c>
      <c r="F1726" s="24">
        <v>2001</v>
      </c>
      <c r="G1726" s="24" t="s">
        <v>1461</v>
      </c>
      <c r="H1726" s="24" t="s">
        <v>1462</v>
      </c>
      <c r="I1726" s="136" t="s">
        <v>2815</v>
      </c>
      <c r="J1726" s="24">
        <v>42.74</v>
      </c>
      <c r="K1726" s="24">
        <v>-84.48</v>
      </c>
      <c r="L1726" s="24">
        <v>260</v>
      </c>
      <c r="Q1726" s="42"/>
      <c r="R1726" s="42" t="s">
        <v>1728</v>
      </c>
      <c r="S1726" s="42" t="s">
        <v>1728</v>
      </c>
      <c r="U1726" s="42" t="s">
        <v>1965</v>
      </c>
      <c r="V1726" s="42" t="s">
        <v>1402</v>
      </c>
      <c r="W1726" s="42" t="s">
        <v>1720</v>
      </c>
      <c r="X1726" s="42" t="s">
        <v>1389</v>
      </c>
      <c r="Y1726" s="42" t="s">
        <v>1417</v>
      </c>
      <c r="AA1726" s="321"/>
      <c r="AB1726" s="321"/>
      <c r="AC1726" s="24" t="s">
        <v>139</v>
      </c>
      <c r="AH1726" s="24" t="s">
        <v>1548</v>
      </c>
      <c r="AI1726" s="138" t="s">
        <v>1581</v>
      </c>
      <c r="AJ1726" s="24" t="s">
        <v>158</v>
      </c>
      <c r="AK1726" s="140" t="s">
        <v>1611</v>
      </c>
      <c r="AW1726" s="32" t="s">
        <v>160</v>
      </c>
      <c r="AX1726" s="32">
        <v>4</v>
      </c>
      <c r="AY1726" s="32"/>
      <c r="AZ1726" s="32" t="s">
        <v>335</v>
      </c>
      <c r="BP1726" s="395"/>
      <c r="BQ1726" s="395"/>
      <c r="BU1726" s="395"/>
      <c r="BV1726" s="395"/>
      <c r="BZ1726" s="395"/>
      <c r="CA1726" s="395"/>
      <c r="CE1726" s="548"/>
      <c r="CF1726" s="548"/>
      <c r="CG1726" s="548"/>
      <c r="CH1726" s="548"/>
      <c r="CJ1726" s="24">
        <v>3.4</v>
      </c>
      <c r="CK1726" s="24">
        <v>1.2</v>
      </c>
      <c r="CN1726" s="24" t="s">
        <v>1674</v>
      </c>
    </row>
    <row r="1727" spans="1:92" s="24" customFormat="1" x14ac:dyDescent="0.25">
      <c r="A1727" s="24">
        <v>82</v>
      </c>
      <c r="B1727" s="42" t="s">
        <v>4110</v>
      </c>
      <c r="C1727" s="24" t="s">
        <v>1459</v>
      </c>
      <c r="D1727" s="24" t="s">
        <v>1460</v>
      </c>
      <c r="E1727" s="24">
        <v>2007</v>
      </c>
      <c r="F1727" s="24">
        <v>2001</v>
      </c>
      <c r="G1727" s="24" t="s">
        <v>1461</v>
      </c>
      <c r="H1727" s="24" t="s">
        <v>1462</v>
      </c>
      <c r="I1727" s="136" t="s">
        <v>2815</v>
      </c>
      <c r="J1727" s="24">
        <v>42.74</v>
      </c>
      <c r="K1727" s="24">
        <v>-84.48</v>
      </c>
      <c r="L1727" s="24">
        <v>260</v>
      </c>
      <c r="Q1727" s="42"/>
      <c r="R1727" s="42" t="s">
        <v>1728</v>
      </c>
      <c r="S1727" s="42" t="s">
        <v>1728</v>
      </c>
      <c r="U1727" s="42" t="s">
        <v>1965</v>
      </c>
      <c r="V1727" s="42" t="s">
        <v>1402</v>
      </c>
      <c r="W1727" s="42" t="s">
        <v>1720</v>
      </c>
      <c r="X1727" s="42" t="s">
        <v>1389</v>
      </c>
      <c r="Y1727" s="42" t="s">
        <v>1417</v>
      </c>
      <c r="AA1727" s="321"/>
      <c r="AB1727" s="321"/>
      <c r="AC1727" s="24" t="s">
        <v>139</v>
      </c>
      <c r="AH1727" s="24" t="s">
        <v>1549</v>
      </c>
      <c r="AI1727" s="138" t="s">
        <v>1581</v>
      </c>
      <c r="AJ1727" s="24" t="s">
        <v>158</v>
      </c>
      <c r="AK1727" s="140" t="s">
        <v>1611</v>
      </c>
      <c r="AW1727" s="32" t="s">
        <v>160</v>
      </c>
      <c r="AX1727" s="32">
        <v>4</v>
      </c>
      <c r="AY1727" s="32"/>
      <c r="AZ1727" s="32" t="s">
        <v>335</v>
      </c>
      <c r="BP1727" s="395"/>
      <c r="BQ1727" s="395"/>
      <c r="BU1727" s="395"/>
      <c r="BV1727" s="395"/>
      <c r="BZ1727" s="395"/>
      <c r="CA1727" s="395"/>
      <c r="CE1727" s="548"/>
      <c r="CF1727" s="548"/>
      <c r="CG1727" s="548"/>
      <c r="CH1727" s="548"/>
      <c r="CJ1727" s="24">
        <v>3.4</v>
      </c>
      <c r="CK1727" s="24">
        <v>1.2</v>
      </c>
      <c r="CN1727" s="24" t="s">
        <v>1674</v>
      </c>
    </row>
    <row r="1728" spans="1:92" s="136" customFormat="1" x14ac:dyDescent="0.25">
      <c r="A1728" s="136">
        <v>82</v>
      </c>
      <c r="B1728" s="137" t="s">
        <v>4111</v>
      </c>
      <c r="C1728" s="136" t="s">
        <v>1459</v>
      </c>
      <c r="D1728" s="136" t="s">
        <v>1460</v>
      </c>
      <c r="E1728" s="136">
        <v>2007</v>
      </c>
      <c r="F1728" s="136">
        <v>2001</v>
      </c>
      <c r="G1728" s="136" t="s">
        <v>1461</v>
      </c>
      <c r="H1728" s="136" t="s">
        <v>1462</v>
      </c>
      <c r="I1728" s="136" t="s">
        <v>2815</v>
      </c>
      <c r="J1728" s="136">
        <v>42.74</v>
      </c>
      <c r="K1728" s="136">
        <v>-84.48</v>
      </c>
      <c r="L1728" s="136">
        <v>260</v>
      </c>
      <c r="Q1728" s="137"/>
      <c r="R1728" s="137" t="s">
        <v>1728</v>
      </c>
      <c r="S1728" s="137" t="s">
        <v>1728</v>
      </c>
      <c r="U1728" s="137" t="s">
        <v>1965</v>
      </c>
      <c r="V1728" s="137" t="s">
        <v>1403</v>
      </c>
      <c r="W1728" s="137" t="s">
        <v>1720</v>
      </c>
      <c r="X1728" s="137" t="s">
        <v>1389</v>
      </c>
      <c r="Y1728" s="137" t="s">
        <v>1417</v>
      </c>
      <c r="AA1728" s="357"/>
      <c r="AB1728" s="357"/>
      <c r="AC1728" s="136" t="s">
        <v>139</v>
      </c>
      <c r="AH1728" s="136" t="s">
        <v>116</v>
      </c>
      <c r="AI1728" s="138" t="s">
        <v>1581</v>
      </c>
      <c r="AJ1728" s="136" t="s">
        <v>158</v>
      </c>
      <c r="AK1728" s="140" t="s">
        <v>1611</v>
      </c>
      <c r="AW1728" s="32" t="s">
        <v>160</v>
      </c>
      <c r="AX1728" s="32">
        <v>4</v>
      </c>
      <c r="AY1728" s="32"/>
      <c r="AZ1728" s="32" t="s">
        <v>335</v>
      </c>
      <c r="BP1728" s="432"/>
      <c r="BQ1728" s="432"/>
      <c r="BU1728" s="432"/>
      <c r="BV1728" s="432"/>
      <c r="BZ1728" s="432"/>
      <c r="CA1728" s="432"/>
      <c r="CE1728" s="585"/>
      <c r="CF1728" s="585"/>
      <c r="CG1728" s="585"/>
      <c r="CH1728" s="585"/>
      <c r="CJ1728" s="136">
        <v>2.7</v>
      </c>
      <c r="CK1728" s="136">
        <v>1.9</v>
      </c>
      <c r="CN1728" s="136" t="s">
        <v>1674</v>
      </c>
    </row>
    <row r="1729" spans="1:92" s="136" customFormat="1" x14ac:dyDescent="0.25">
      <c r="A1729" s="136">
        <v>82</v>
      </c>
      <c r="B1729" s="137" t="s">
        <v>4112</v>
      </c>
      <c r="C1729" s="136" t="s">
        <v>1459</v>
      </c>
      <c r="D1729" s="136" t="s">
        <v>1460</v>
      </c>
      <c r="E1729" s="136">
        <v>2007</v>
      </c>
      <c r="F1729" s="136">
        <v>2001</v>
      </c>
      <c r="G1729" s="136" t="s">
        <v>1461</v>
      </c>
      <c r="H1729" s="136" t="s">
        <v>1462</v>
      </c>
      <c r="I1729" s="136" t="s">
        <v>2815</v>
      </c>
      <c r="J1729" s="136">
        <v>42.74</v>
      </c>
      <c r="K1729" s="136">
        <v>-84.48</v>
      </c>
      <c r="L1729" s="136">
        <v>260</v>
      </c>
      <c r="Q1729" s="137"/>
      <c r="R1729" s="137" t="s">
        <v>1728</v>
      </c>
      <c r="S1729" s="137" t="s">
        <v>1728</v>
      </c>
      <c r="U1729" s="137" t="s">
        <v>1965</v>
      </c>
      <c r="V1729" s="137" t="s">
        <v>1403</v>
      </c>
      <c r="W1729" s="137" t="s">
        <v>1720</v>
      </c>
      <c r="X1729" s="137" t="s">
        <v>1389</v>
      </c>
      <c r="Y1729" s="137" t="s">
        <v>1417</v>
      </c>
      <c r="AA1729" s="357"/>
      <c r="AB1729" s="357"/>
      <c r="AC1729" s="136" t="s">
        <v>139</v>
      </c>
      <c r="AH1729" s="136" t="s">
        <v>131</v>
      </c>
      <c r="AI1729" s="138" t="s">
        <v>131</v>
      </c>
      <c r="AJ1729" s="136" t="s">
        <v>158</v>
      </c>
      <c r="AK1729" s="140" t="s">
        <v>1611</v>
      </c>
      <c r="AW1729" s="32" t="s">
        <v>160</v>
      </c>
      <c r="AX1729" s="32">
        <v>4</v>
      </c>
      <c r="AY1729" s="32"/>
      <c r="AZ1729" s="32" t="s">
        <v>335</v>
      </c>
      <c r="BP1729" s="432"/>
      <c r="BQ1729" s="432"/>
      <c r="BU1729" s="432"/>
      <c r="BV1729" s="432"/>
      <c r="BZ1729" s="432"/>
      <c r="CA1729" s="432"/>
      <c r="CE1729" s="585"/>
      <c r="CF1729" s="585"/>
      <c r="CG1729" s="585"/>
      <c r="CH1729" s="585"/>
      <c r="CJ1729" s="136">
        <v>2.7</v>
      </c>
      <c r="CK1729" s="136">
        <v>1.9</v>
      </c>
      <c r="CN1729" s="136" t="s">
        <v>1674</v>
      </c>
    </row>
    <row r="1730" spans="1:92" s="136" customFormat="1" x14ac:dyDescent="0.25">
      <c r="A1730" s="136">
        <v>82</v>
      </c>
      <c r="B1730" s="137" t="s">
        <v>4112</v>
      </c>
      <c r="C1730" s="136" t="s">
        <v>1459</v>
      </c>
      <c r="D1730" s="136" t="s">
        <v>1460</v>
      </c>
      <c r="E1730" s="136">
        <v>2007</v>
      </c>
      <c r="F1730" s="136">
        <v>2001</v>
      </c>
      <c r="G1730" s="136" t="s">
        <v>1461</v>
      </c>
      <c r="H1730" s="136" t="s">
        <v>1462</v>
      </c>
      <c r="I1730" s="136" t="s">
        <v>2815</v>
      </c>
      <c r="J1730" s="136">
        <v>42.74</v>
      </c>
      <c r="K1730" s="136">
        <v>-84.48</v>
      </c>
      <c r="L1730" s="136">
        <v>260</v>
      </c>
      <c r="Q1730" s="137"/>
      <c r="R1730" s="137" t="s">
        <v>1728</v>
      </c>
      <c r="S1730" s="137" t="s">
        <v>1728</v>
      </c>
      <c r="U1730" s="137" t="s">
        <v>1965</v>
      </c>
      <c r="V1730" s="137" t="s">
        <v>1403</v>
      </c>
      <c r="W1730" s="137" t="s">
        <v>1720</v>
      </c>
      <c r="X1730" s="137" t="s">
        <v>1389</v>
      </c>
      <c r="Y1730" s="137" t="s">
        <v>1417</v>
      </c>
      <c r="AA1730" s="357"/>
      <c r="AB1730" s="357"/>
      <c r="AC1730" s="136" t="s">
        <v>139</v>
      </c>
      <c r="AH1730" s="136" t="s">
        <v>1545</v>
      </c>
      <c r="AI1730" s="138" t="s">
        <v>131</v>
      </c>
      <c r="AJ1730" s="136" t="s">
        <v>158</v>
      </c>
      <c r="AK1730" s="140" t="s">
        <v>1611</v>
      </c>
      <c r="AW1730" s="32" t="s">
        <v>160</v>
      </c>
      <c r="AX1730" s="32">
        <v>4</v>
      </c>
      <c r="AY1730" s="32"/>
      <c r="AZ1730" s="32" t="s">
        <v>335</v>
      </c>
      <c r="BP1730" s="432"/>
      <c r="BQ1730" s="432"/>
      <c r="BU1730" s="432"/>
      <c r="BV1730" s="432"/>
      <c r="BZ1730" s="432"/>
      <c r="CA1730" s="432"/>
      <c r="CE1730" s="585"/>
      <c r="CF1730" s="585"/>
      <c r="CG1730" s="585"/>
      <c r="CH1730" s="585"/>
      <c r="CJ1730" s="136">
        <v>2.7</v>
      </c>
      <c r="CK1730" s="136">
        <v>1.8</v>
      </c>
      <c r="CN1730" s="136" t="s">
        <v>1674</v>
      </c>
    </row>
    <row r="1731" spans="1:92" s="136" customFormat="1" x14ac:dyDescent="0.25">
      <c r="A1731" s="136">
        <v>82</v>
      </c>
      <c r="B1731" s="137" t="s">
        <v>4113</v>
      </c>
      <c r="C1731" s="136" t="s">
        <v>1459</v>
      </c>
      <c r="D1731" s="136" t="s">
        <v>1460</v>
      </c>
      <c r="E1731" s="136">
        <v>2007</v>
      </c>
      <c r="F1731" s="136">
        <v>2001</v>
      </c>
      <c r="G1731" s="136" t="s">
        <v>1461</v>
      </c>
      <c r="H1731" s="136" t="s">
        <v>1462</v>
      </c>
      <c r="I1731" s="136" t="s">
        <v>2815</v>
      </c>
      <c r="J1731" s="136">
        <v>42.74</v>
      </c>
      <c r="K1731" s="136">
        <v>-84.48</v>
      </c>
      <c r="L1731" s="136">
        <v>260</v>
      </c>
      <c r="Q1731" s="137"/>
      <c r="R1731" s="137" t="s">
        <v>1728</v>
      </c>
      <c r="S1731" s="137" t="s">
        <v>1728</v>
      </c>
      <c r="U1731" s="137" t="s">
        <v>1965</v>
      </c>
      <c r="V1731" s="137" t="s">
        <v>1403</v>
      </c>
      <c r="W1731" s="137" t="s">
        <v>1720</v>
      </c>
      <c r="X1731" s="137" t="s">
        <v>1389</v>
      </c>
      <c r="Y1731" s="137" t="s">
        <v>1417</v>
      </c>
      <c r="AA1731" s="357"/>
      <c r="AB1731" s="357"/>
      <c r="AC1731" s="136" t="s">
        <v>139</v>
      </c>
      <c r="AH1731" s="136" t="s">
        <v>1546</v>
      </c>
      <c r="AI1731" s="138" t="s">
        <v>1581</v>
      </c>
      <c r="AJ1731" s="136" t="s">
        <v>158</v>
      </c>
      <c r="AK1731" s="140" t="s">
        <v>1611</v>
      </c>
      <c r="AW1731" s="32" t="s">
        <v>160</v>
      </c>
      <c r="AX1731" s="32">
        <v>4</v>
      </c>
      <c r="AY1731" s="32"/>
      <c r="AZ1731" s="32" t="s">
        <v>335</v>
      </c>
      <c r="BP1731" s="432"/>
      <c r="BQ1731" s="432"/>
      <c r="BU1731" s="432"/>
      <c r="BV1731" s="432"/>
      <c r="BZ1731" s="432"/>
      <c r="CA1731" s="432"/>
      <c r="CE1731" s="585"/>
      <c r="CF1731" s="585"/>
      <c r="CG1731" s="585"/>
      <c r="CH1731" s="585"/>
      <c r="CJ1731" s="136">
        <v>2.7</v>
      </c>
      <c r="CK1731" s="136">
        <v>1.7</v>
      </c>
      <c r="CN1731" s="136" t="s">
        <v>1674</v>
      </c>
    </row>
    <row r="1732" spans="1:92" s="136" customFormat="1" x14ac:dyDescent="0.25">
      <c r="A1732" s="136">
        <v>82</v>
      </c>
      <c r="B1732" s="137" t="s">
        <v>4113</v>
      </c>
      <c r="C1732" s="136" t="s">
        <v>1459</v>
      </c>
      <c r="D1732" s="136" t="s">
        <v>1460</v>
      </c>
      <c r="E1732" s="136">
        <v>2007</v>
      </c>
      <c r="F1732" s="136">
        <v>2001</v>
      </c>
      <c r="G1732" s="136" t="s">
        <v>1461</v>
      </c>
      <c r="H1732" s="136" t="s">
        <v>1462</v>
      </c>
      <c r="I1732" s="136" t="s">
        <v>2815</v>
      </c>
      <c r="J1732" s="136">
        <v>42.74</v>
      </c>
      <c r="K1732" s="136">
        <v>-84.48</v>
      </c>
      <c r="L1732" s="136">
        <v>260</v>
      </c>
      <c r="Q1732" s="137"/>
      <c r="R1732" s="137" t="s">
        <v>1728</v>
      </c>
      <c r="S1732" s="137" t="s">
        <v>1728</v>
      </c>
      <c r="U1732" s="137" t="s">
        <v>1965</v>
      </c>
      <c r="V1732" s="137" t="s">
        <v>1403</v>
      </c>
      <c r="W1732" s="137" t="s">
        <v>1720</v>
      </c>
      <c r="X1732" s="137" t="s">
        <v>1389</v>
      </c>
      <c r="Y1732" s="137" t="s">
        <v>1417</v>
      </c>
      <c r="AA1732" s="357"/>
      <c r="AB1732" s="357"/>
      <c r="AC1732" s="136" t="s">
        <v>139</v>
      </c>
      <c r="AH1732" s="136" t="s">
        <v>1547</v>
      </c>
      <c r="AI1732" s="138" t="s">
        <v>1581</v>
      </c>
      <c r="AJ1732" s="136" t="s">
        <v>158</v>
      </c>
      <c r="AK1732" s="140" t="s">
        <v>1611</v>
      </c>
      <c r="AW1732" s="32" t="s">
        <v>160</v>
      </c>
      <c r="AX1732" s="32">
        <v>4</v>
      </c>
      <c r="AY1732" s="32"/>
      <c r="AZ1732" s="32" t="s">
        <v>335</v>
      </c>
      <c r="BP1732" s="432"/>
      <c r="BQ1732" s="432"/>
      <c r="BU1732" s="432"/>
      <c r="BV1732" s="432"/>
      <c r="BZ1732" s="432"/>
      <c r="CA1732" s="432"/>
      <c r="CE1732" s="585"/>
      <c r="CF1732" s="585"/>
      <c r="CG1732" s="585"/>
      <c r="CH1732" s="585"/>
      <c r="CJ1732" s="136">
        <v>2.7</v>
      </c>
      <c r="CK1732" s="136">
        <v>1.6</v>
      </c>
      <c r="CN1732" s="136" t="s">
        <v>1674</v>
      </c>
    </row>
    <row r="1733" spans="1:92" s="136" customFormat="1" x14ac:dyDescent="0.25">
      <c r="A1733" s="136">
        <v>82</v>
      </c>
      <c r="B1733" s="137" t="s">
        <v>4113</v>
      </c>
      <c r="C1733" s="136" t="s">
        <v>1459</v>
      </c>
      <c r="D1733" s="136" t="s">
        <v>1460</v>
      </c>
      <c r="E1733" s="136">
        <v>2007</v>
      </c>
      <c r="F1733" s="136">
        <v>2001</v>
      </c>
      <c r="G1733" s="136" t="s">
        <v>1461</v>
      </c>
      <c r="H1733" s="136" t="s">
        <v>1462</v>
      </c>
      <c r="I1733" s="136" t="s">
        <v>2815</v>
      </c>
      <c r="J1733" s="136">
        <v>42.74</v>
      </c>
      <c r="K1733" s="136">
        <v>-84.48</v>
      </c>
      <c r="L1733" s="136">
        <v>260</v>
      </c>
      <c r="Q1733" s="137"/>
      <c r="R1733" s="137" t="s">
        <v>1728</v>
      </c>
      <c r="S1733" s="137" t="s">
        <v>1728</v>
      </c>
      <c r="U1733" s="137" t="s">
        <v>1965</v>
      </c>
      <c r="V1733" s="137" t="s">
        <v>1403</v>
      </c>
      <c r="W1733" s="137" t="s">
        <v>1720</v>
      </c>
      <c r="X1733" s="137" t="s">
        <v>1389</v>
      </c>
      <c r="Y1733" s="137" t="s">
        <v>1417</v>
      </c>
      <c r="AA1733" s="357"/>
      <c r="AB1733" s="357"/>
      <c r="AC1733" s="136" t="s">
        <v>139</v>
      </c>
      <c r="AH1733" s="136" t="s">
        <v>1548</v>
      </c>
      <c r="AI1733" s="138" t="s">
        <v>1581</v>
      </c>
      <c r="AJ1733" s="136" t="s">
        <v>158</v>
      </c>
      <c r="AK1733" s="140" t="s">
        <v>1611</v>
      </c>
      <c r="AW1733" s="32" t="s">
        <v>160</v>
      </c>
      <c r="AX1733" s="32">
        <v>4</v>
      </c>
      <c r="AY1733" s="32"/>
      <c r="AZ1733" s="32" t="s">
        <v>335</v>
      </c>
      <c r="BP1733" s="432"/>
      <c r="BQ1733" s="432"/>
      <c r="BU1733" s="432"/>
      <c r="BV1733" s="432"/>
      <c r="BZ1733" s="432"/>
      <c r="CA1733" s="432"/>
      <c r="CE1733" s="585"/>
      <c r="CF1733" s="585"/>
      <c r="CG1733" s="585"/>
      <c r="CH1733" s="585"/>
      <c r="CJ1733" s="136">
        <v>2.7</v>
      </c>
      <c r="CK1733" s="136">
        <v>1.6</v>
      </c>
      <c r="CN1733" s="136" t="s">
        <v>1674</v>
      </c>
    </row>
    <row r="1734" spans="1:92" s="136" customFormat="1" x14ac:dyDescent="0.25">
      <c r="A1734" s="136">
        <v>82</v>
      </c>
      <c r="B1734" s="137" t="s">
        <v>4113</v>
      </c>
      <c r="C1734" s="136" t="s">
        <v>1459</v>
      </c>
      <c r="D1734" s="136" t="s">
        <v>1460</v>
      </c>
      <c r="E1734" s="136">
        <v>2007</v>
      </c>
      <c r="F1734" s="136">
        <v>2001</v>
      </c>
      <c r="G1734" s="136" t="s">
        <v>1461</v>
      </c>
      <c r="H1734" s="136" t="s">
        <v>1462</v>
      </c>
      <c r="I1734" s="136" t="s">
        <v>2815</v>
      </c>
      <c r="J1734" s="136">
        <v>42.74</v>
      </c>
      <c r="K1734" s="136">
        <v>-84.48</v>
      </c>
      <c r="L1734" s="136">
        <v>260</v>
      </c>
      <c r="Q1734" s="137"/>
      <c r="R1734" s="137" t="s">
        <v>1728</v>
      </c>
      <c r="S1734" s="137" t="s">
        <v>1728</v>
      </c>
      <c r="U1734" s="137" t="s">
        <v>1965</v>
      </c>
      <c r="V1734" s="137" t="s">
        <v>1403</v>
      </c>
      <c r="W1734" s="137" t="s">
        <v>1720</v>
      </c>
      <c r="X1734" s="137" t="s">
        <v>1389</v>
      </c>
      <c r="Y1734" s="137" t="s">
        <v>1417</v>
      </c>
      <c r="AA1734" s="357"/>
      <c r="AB1734" s="357"/>
      <c r="AC1734" s="136" t="s">
        <v>139</v>
      </c>
      <c r="AH1734" s="136" t="s">
        <v>1549</v>
      </c>
      <c r="AI1734" s="138" t="s">
        <v>1581</v>
      </c>
      <c r="AJ1734" s="136" t="s">
        <v>158</v>
      </c>
      <c r="AK1734" s="140" t="s">
        <v>1611</v>
      </c>
      <c r="AW1734" s="32" t="s">
        <v>160</v>
      </c>
      <c r="AX1734" s="32">
        <v>4</v>
      </c>
      <c r="AY1734" s="32"/>
      <c r="AZ1734" s="32" t="s">
        <v>335</v>
      </c>
      <c r="BP1734" s="432"/>
      <c r="BQ1734" s="432"/>
      <c r="BU1734" s="432"/>
      <c r="BV1734" s="432"/>
      <c r="BZ1734" s="432"/>
      <c r="CA1734" s="432"/>
      <c r="CE1734" s="585"/>
      <c r="CF1734" s="585"/>
      <c r="CG1734" s="585"/>
      <c r="CH1734" s="585"/>
      <c r="CJ1734" s="136">
        <v>2.7</v>
      </c>
      <c r="CK1734" s="136">
        <v>1.6</v>
      </c>
      <c r="CN1734" s="136" t="s">
        <v>1674</v>
      </c>
    </row>
    <row r="1735" spans="1:92" s="32" customFormat="1" x14ac:dyDescent="0.25">
      <c r="A1735" s="32">
        <v>82</v>
      </c>
      <c r="B1735" s="44" t="s">
        <v>4105</v>
      </c>
      <c r="C1735" s="32" t="s">
        <v>1459</v>
      </c>
      <c r="D1735" s="32" t="s">
        <v>1460</v>
      </c>
      <c r="E1735" s="32">
        <v>2007</v>
      </c>
      <c r="F1735" s="32">
        <v>2000</v>
      </c>
      <c r="G1735" s="32" t="s">
        <v>1461</v>
      </c>
      <c r="H1735" s="32" t="s">
        <v>1462</v>
      </c>
      <c r="I1735" s="136" t="s">
        <v>2815</v>
      </c>
      <c r="J1735" s="32">
        <v>42.74</v>
      </c>
      <c r="K1735" s="32">
        <v>-84.48</v>
      </c>
      <c r="L1735" s="32">
        <v>260</v>
      </c>
      <c r="Q1735" s="44"/>
      <c r="R1735" s="44" t="s">
        <v>1847</v>
      </c>
      <c r="S1735" s="44" t="s">
        <v>1728</v>
      </c>
      <c r="U1735" s="44" t="s">
        <v>1965</v>
      </c>
      <c r="V1735" s="44" t="s">
        <v>1389</v>
      </c>
      <c r="W1735" s="44" t="s">
        <v>1720</v>
      </c>
      <c r="X1735" s="44" t="s">
        <v>1389</v>
      </c>
      <c r="Y1735" s="44" t="s">
        <v>1417</v>
      </c>
      <c r="AA1735" s="323"/>
      <c r="AB1735" s="323"/>
      <c r="AC1735" s="32" t="s">
        <v>139</v>
      </c>
      <c r="AH1735" s="32" t="s">
        <v>116</v>
      </c>
      <c r="AI1735" s="138" t="s">
        <v>1581</v>
      </c>
      <c r="AJ1735" s="32" t="s">
        <v>132</v>
      </c>
      <c r="AK1735" s="140" t="s">
        <v>1611</v>
      </c>
      <c r="AW1735" s="32" t="s">
        <v>160</v>
      </c>
      <c r="AX1735" s="32">
        <v>4</v>
      </c>
      <c r="AZ1735" s="32" t="s">
        <v>335</v>
      </c>
      <c r="BP1735" s="397"/>
      <c r="BQ1735" s="397"/>
      <c r="BU1735" s="397"/>
      <c r="BV1735" s="397"/>
      <c r="BZ1735" s="397"/>
      <c r="CA1735" s="397"/>
      <c r="CE1735" s="550"/>
      <c r="CF1735" s="550"/>
      <c r="CG1735" s="550"/>
      <c r="CH1735" s="550"/>
      <c r="CJ1735" s="32">
        <v>6.1</v>
      </c>
      <c r="CK1735" s="32">
        <v>6.4</v>
      </c>
      <c r="CN1735" s="32" t="s">
        <v>1674</v>
      </c>
    </row>
    <row r="1736" spans="1:92" s="32" customFormat="1" x14ac:dyDescent="0.25">
      <c r="A1736" s="32">
        <v>82</v>
      </c>
      <c r="B1736" s="44" t="s">
        <v>4106</v>
      </c>
      <c r="C1736" s="32" t="s">
        <v>1459</v>
      </c>
      <c r="D1736" s="32" t="s">
        <v>1460</v>
      </c>
      <c r="E1736" s="32">
        <v>2007</v>
      </c>
      <c r="F1736" s="32">
        <v>2000</v>
      </c>
      <c r="G1736" s="32" t="s">
        <v>1461</v>
      </c>
      <c r="H1736" s="32" t="s">
        <v>1462</v>
      </c>
      <c r="I1736" s="136" t="s">
        <v>2815</v>
      </c>
      <c r="J1736" s="32">
        <v>42.74</v>
      </c>
      <c r="K1736" s="32">
        <v>-84.48</v>
      </c>
      <c r="L1736" s="32">
        <v>260</v>
      </c>
      <c r="Q1736" s="44"/>
      <c r="R1736" s="44" t="s">
        <v>1847</v>
      </c>
      <c r="S1736" s="44" t="s">
        <v>1728</v>
      </c>
      <c r="U1736" s="44" t="s">
        <v>1965</v>
      </c>
      <c r="V1736" s="44" t="s">
        <v>1389</v>
      </c>
      <c r="W1736" s="44" t="s">
        <v>1720</v>
      </c>
      <c r="X1736" s="44" t="s">
        <v>1389</v>
      </c>
      <c r="Y1736" s="44" t="s">
        <v>1417</v>
      </c>
      <c r="AA1736" s="323"/>
      <c r="AB1736" s="323"/>
      <c r="AC1736" s="32" t="s">
        <v>139</v>
      </c>
      <c r="AH1736" s="32" t="s">
        <v>131</v>
      </c>
      <c r="AI1736" s="138" t="s">
        <v>131</v>
      </c>
      <c r="AJ1736" s="32" t="s">
        <v>132</v>
      </c>
      <c r="AK1736" s="140" t="s">
        <v>1611</v>
      </c>
      <c r="AW1736" s="32" t="s">
        <v>160</v>
      </c>
      <c r="AX1736" s="32">
        <v>4</v>
      </c>
      <c r="AZ1736" s="32" t="s">
        <v>335</v>
      </c>
      <c r="BP1736" s="397"/>
      <c r="BQ1736" s="397"/>
      <c r="BU1736" s="397"/>
      <c r="BV1736" s="397"/>
      <c r="BZ1736" s="397"/>
      <c r="CA1736" s="397"/>
      <c r="CE1736" s="550"/>
      <c r="CF1736" s="550"/>
      <c r="CG1736" s="550"/>
      <c r="CH1736" s="550"/>
      <c r="CJ1736" s="32">
        <v>6.1</v>
      </c>
      <c r="CK1736" s="32">
        <v>6.5</v>
      </c>
      <c r="CN1736" s="32" t="s">
        <v>1674</v>
      </c>
    </row>
    <row r="1737" spans="1:92" s="32" customFormat="1" x14ac:dyDescent="0.25">
      <c r="A1737" s="32">
        <v>82</v>
      </c>
      <c r="B1737" s="44" t="s">
        <v>4106</v>
      </c>
      <c r="C1737" s="32" t="s">
        <v>1459</v>
      </c>
      <c r="D1737" s="32" t="s">
        <v>1460</v>
      </c>
      <c r="E1737" s="32">
        <v>2007</v>
      </c>
      <c r="F1737" s="32">
        <v>2000</v>
      </c>
      <c r="G1737" s="32" t="s">
        <v>1461</v>
      </c>
      <c r="H1737" s="32" t="s">
        <v>1462</v>
      </c>
      <c r="I1737" s="136" t="s">
        <v>2815</v>
      </c>
      <c r="J1737" s="32">
        <v>42.74</v>
      </c>
      <c r="K1737" s="32">
        <v>-84.48</v>
      </c>
      <c r="L1737" s="32">
        <v>260</v>
      </c>
      <c r="Q1737" s="44"/>
      <c r="R1737" s="44" t="s">
        <v>1847</v>
      </c>
      <c r="S1737" s="44" t="s">
        <v>1728</v>
      </c>
      <c r="U1737" s="44" t="s">
        <v>1965</v>
      </c>
      <c r="V1737" s="44" t="s">
        <v>1389</v>
      </c>
      <c r="W1737" s="44" t="s">
        <v>1720</v>
      </c>
      <c r="X1737" s="44" t="s">
        <v>1389</v>
      </c>
      <c r="Y1737" s="44" t="s">
        <v>1417</v>
      </c>
      <c r="AA1737" s="323"/>
      <c r="AB1737" s="323"/>
      <c r="AC1737" s="32" t="s">
        <v>139</v>
      </c>
      <c r="AH1737" s="32" t="s">
        <v>1545</v>
      </c>
      <c r="AI1737" s="138" t="s">
        <v>131</v>
      </c>
      <c r="AJ1737" s="32" t="s">
        <v>132</v>
      </c>
      <c r="AK1737" s="140" t="s">
        <v>1611</v>
      </c>
      <c r="AW1737" s="32" t="s">
        <v>160</v>
      </c>
      <c r="AX1737" s="32">
        <v>4</v>
      </c>
      <c r="AZ1737" s="32" t="s">
        <v>335</v>
      </c>
      <c r="BP1737" s="397"/>
      <c r="BQ1737" s="397"/>
      <c r="BU1737" s="397"/>
      <c r="BV1737" s="397"/>
      <c r="BZ1737" s="397"/>
      <c r="CA1737" s="397"/>
      <c r="CE1737" s="550"/>
      <c r="CF1737" s="550"/>
      <c r="CG1737" s="550"/>
      <c r="CH1737" s="550"/>
      <c r="CJ1737" s="32">
        <v>6.1</v>
      </c>
      <c r="CK1737" s="32">
        <v>9.1</v>
      </c>
      <c r="CN1737" s="32" t="s">
        <v>1674</v>
      </c>
    </row>
    <row r="1738" spans="1:92" s="32" customFormat="1" x14ac:dyDescent="0.25">
      <c r="A1738" s="32">
        <v>82</v>
      </c>
      <c r="B1738" s="44" t="s">
        <v>4107</v>
      </c>
      <c r="C1738" s="32" t="s">
        <v>1459</v>
      </c>
      <c r="D1738" s="32" t="s">
        <v>1460</v>
      </c>
      <c r="E1738" s="32">
        <v>2007</v>
      </c>
      <c r="F1738" s="32">
        <v>2000</v>
      </c>
      <c r="G1738" s="32" t="s">
        <v>1461</v>
      </c>
      <c r="H1738" s="32" t="s">
        <v>1462</v>
      </c>
      <c r="I1738" s="136" t="s">
        <v>2815</v>
      </c>
      <c r="J1738" s="32">
        <v>42.74</v>
      </c>
      <c r="K1738" s="32">
        <v>-84.48</v>
      </c>
      <c r="L1738" s="32">
        <v>260</v>
      </c>
      <c r="Q1738" s="44"/>
      <c r="R1738" s="44" t="s">
        <v>1847</v>
      </c>
      <c r="S1738" s="44" t="s">
        <v>1728</v>
      </c>
      <c r="U1738" s="44" t="s">
        <v>1965</v>
      </c>
      <c r="V1738" s="44" t="s">
        <v>1389</v>
      </c>
      <c r="W1738" s="44" t="s">
        <v>1720</v>
      </c>
      <c r="X1738" s="44" t="s">
        <v>1389</v>
      </c>
      <c r="Y1738" s="44" t="s">
        <v>1417</v>
      </c>
      <c r="AA1738" s="323"/>
      <c r="AB1738" s="323"/>
      <c r="AC1738" s="32" t="s">
        <v>139</v>
      </c>
      <c r="AH1738" s="32" t="s">
        <v>1546</v>
      </c>
      <c r="AI1738" s="138" t="s">
        <v>1581</v>
      </c>
      <c r="AJ1738" s="32" t="s">
        <v>132</v>
      </c>
      <c r="AK1738" s="140" t="s">
        <v>1611</v>
      </c>
      <c r="AW1738" s="32" t="s">
        <v>160</v>
      </c>
      <c r="AX1738" s="32">
        <v>4</v>
      </c>
      <c r="AZ1738" s="32" t="s">
        <v>335</v>
      </c>
      <c r="BP1738" s="397"/>
      <c r="BQ1738" s="397"/>
      <c r="BU1738" s="397"/>
      <c r="BV1738" s="397"/>
      <c r="BZ1738" s="397"/>
      <c r="CA1738" s="397"/>
      <c r="CE1738" s="550"/>
      <c r="CF1738" s="550"/>
      <c r="CG1738" s="550"/>
      <c r="CH1738" s="550"/>
      <c r="CJ1738" s="32">
        <v>6.1</v>
      </c>
      <c r="CK1738" s="32">
        <v>6.7</v>
      </c>
      <c r="CN1738" s="32" t="s">
        <v>1674</v>
      </c>
    </row>
    <row r="1739" spans="1:92" s="32" customFormat="1" x14ac:dyDescent="0.25">
      <c r="A1739" s="32">
        <v>82</v>
      </c>
      <c r="B1739" s="44" t="s">
        <v>4107</v>
      </c>
      <c r="C1739" s="32" t="s">
        <v>1459</v>
      </c>
      <c r="D1739" s="32" t="s">
        <v>1460</v>
      </c>
      <c r="E1739" s="32">
        <v>2007</v>
      </c>
      <c r="F1739" s="32">
        <v>2000</v>
      </c>
      <c r="G1739" s="32" t="s">
        <v>1461</v>
      </c>
      <c r="H1739" s="32" t="s">
        <v>1462</v>
      </c>
      <c r="I1739" s="136" t="s">
        <v>2815</v>
      </c>
      <c r="J1739" s="32">
        <v>42.74</v>
      </c>
      <c r="K1739" s="32">
        <v>-84.48</v>
      </c>
      <c r="L1739" s="32">
        <v>260</v>
      </c>
      <c r="Q1739" s="44"/>
      <c r="R1739" s="44" t="s">
        <v>1847</v>
      </c>
      <c r="S1739" s="44" t="s">
        <v>1728</v>
      </c>
      <c r="U1739" s="44" t="s">
        <v>1965</v>
      </c>
      <c r="V1739" s="44" t="s">
        <v>1389</v>
      </c>
      <c r="W1739" s="44" t="s">
        <v>1720</v>
      </c>
      <c r="X1739" s="44" t="s">
        <v>1389</v>
      </c>
      <c r="Y1739" s="44" t="s">
        <v>1417</v>
      </c>
      <c r="AA1739" s="323"/>
      <c r="AB1739" s="323"/>
      <c r="AC1739" s="32" t="s">
        <v>139</v>
      </c>
      <c r="AH1739" s="32" t="s">
        <v>1547</v>
      </c>
      <c r="AI1739" s="138" t="s">
        <v>1581</v>
      </c>
      <c r="AJ1739" s="32" t="s">
        <v>132</v>
      </c>
      <c r="AK1739" s="140" t="s">
        <v>1611</v>
      </c>
      <c r="AW1739" s="32" t="s">
        <v>160</v>
      </c>
      <c r="AX1739" s="32">
        <v>4</v>
      </c>
      <c r="AZ1739" s="32" t="s">
        <v>335</v>
      </c>
      <c r="BP1739" s="397"/>
      <c r="BQ1739" s="397"/>
      <c r="BU1739" s="397"/>
      <c r="BV1739" s="397"/>
      <c r="BZ1739" s="397"/>
      <c r="CA1739" s="397"/>
      <c r="CE1739" s="550"/>
      <c r="CF1739" s="550"/>
      <c r="CG1739" s="550"/>
      <c r="CH1739" s="550"/>
      <c r="CJ1739" s="32">
        <v>6.1</v>
      </c>
      <c r="CK1739" s="32">
        <v>5.7</v>
      </c>
      <c r="CN1739" s="32" t="s">
        <v>1674</v>
      </c>
    </row>
    <row r="1740" spans="1:92" s="32" customFormat="1" x14ac:dyDescent="0.25">
      <c r="A1740" s="32">
        <v>82</v>
      </c>
      <c r="B1740" s="44" t="s">
        <v>4107</v>
      </c>
      <c r="C1740" s="32" t="s">
        <v>1459</v>
      </c>
      <c r="D1740" s="32" t="s">
        <v>1460</v>
      </c>
      <c r="E1740" s="32">
        <v>2007</v>
      </c>
      <c r="F1740" s="32">
        <v>2000</v>
      </c>
      <c r="G1740" s="32" t="s">
        <v>1461</v>
      </c>
      <c r="H1740" s="32" t="s">
        <v>1462</v>
      </c>
      <c r="I1740" s="136" t="s">
        <v>2815</v>
      </c>
      <c r="J1740" s="32">
        <v>42.74</v>
      </c>
      <c r="K1740" s="32">
        <v>-84.48</v>
      </c>
      <c r="L1740" s="32">
        <v>260</v>
      </c>
      <c r="Q1740" s="44"/>
      <c r="R1740" s="44" t="s">
        <v>1847</v>
      </c>
      <c r="S1740" s="44" t="s">
        <v>1728</v>
      </c>
      <c r="U1740" s="44" t="s">
        <v>1965</v>
      </c>
      <c r="V1740" s="44" t="s">
        <v>1389</v>
      </c>
      <c r="W1740" s="44" t="s">
        <v>1720</v>
      </c>
      <c r="X1740" s="44" t="s">
        <v>1389</v>
      </c>
      <c r="Y1740" s="44" t="s">
        <v>1417</v>
      </c>
      <c r="AA1740" s="323"/>
      <c r="AB1740" s="323"/>
      <c r="AC1740" s="32" t="s">
        <v>139</v>
      </c>
      <c r="AH1740" s="32" t="s">
        <v>1548</v>
      </c>
      <c r="AI1740" s="138" t="s">
        <v>1581</v>
      </c>
      <c r="AJ1740" s="32" t="s">
        <v>132</v>
      </c>
      <c r="AK1740" s="140" t="s">
        <v>1611</v>
      </c>
      <c r="AW1740" s="32" t="s">
        <v>160</v>
      </c>
      <c r="AX1740" s="32">
        <v>4</v>
      </c>
      <c r="AZ1740" s="32" t="s">
        <v>335</v>
      </c>
      <c r="BP1740" s="397"/>
      <c r="BQ1740" s="397"/>
      <c r="BU1740" s="397"/>
      <c r="BV1740" s="397"/>
      <c r="BZ1740" s="397"/>
      <c r="CA1740" s="397"/>
      <c r="CE1740" s="550"/>
      <c r="CF1740" s="550"/>
      <c r="CG1740" s="550"/>
      <c r="CH1740" s="550"/>
      <c r="CJ1740" s="32">
        <v>6.1</v>
      </c>
      <c r="CK1740" s="32">
        <v>5</v>
      </c>
      <c r="CN1740" s="32" t="s">
        <v>1674</v>
      </c>
    </row>
    <row r="1741" spans="1:92" s="32" customFormat="1" x14ac:dyDescent="0.25">
      <c r="A1741" s="32">
        <v>82</v>
      </c>
      <c r="B1741" s="44" t="s">
        <v>4107</v>
      </c>
      <c r="C1741" s="32" t="s">
        <v>1459</v>
      </c>
      <c r="D1741" s="32" t="s">
        <v>1460</v>
      </c>
      <c r="E1741" s="32">
        <v>2007</v>
      </c>
      <c r="F1741" s="32">
        <v>2000</v>
      </c>
      <c r="G1741" s="32" t="s">
        <v>1461</v>
      </c>
      <c r="H1741" s="32" t="s">
        <v>1462</v>
      </c>
      <c r="I1741" s="136" t="s">
        <v>2815</v>
      </c>
      <c r="J1741" s="32">
        <v>42.74</v>
      </c>
      <c r="K1741" s="32">
        <v>-84.48</v>
      </c>
      <c r="L1741" s="32">
        <v>260</v>
      </c>
      <c r="Q1741" s="44"/>
      <c r="R1741" s="44" t="s">
        <v>1847</v>
      </c>
      <c r="S1741" s="44" t="s">
        <v>1728</v>
      </c>
      <c r="U1741" s="44" t="s">
        <v>1965</v>
      </c>
      <c r="V1741" s="44" t="s">
        <v>1389</v>
      </c>
      <c r="W1741" s="44" t="s">
        <v>1720</v>
      </c>
      <c r="X1741" s="44" t="s">
        <v>1389</v>
      </c>
      <c r="Y1741" s="44" t="s">
        <v>1417</v>
      </c>
      <c r="AA1741" s="323"/>
      <c r="AB1741" s="323"/>
      <c r="AC1741" s="32" t="s">
        <v>139</v>
      </c>
      <c r="AH1741" s="32" t="s">
        <v>1549</v>
      </c>
      <c r="AI1741" s="138" t="s">
        <v>1581</v>
      </c>
      <c r="AJ1741" s="32" t="s">
        <v>132</v>
      </c>
      <c r="AK1741" s="140" t="s">
        <v>1611</v>
      </c>
      <c r="AW1741" s="32" t="s">
        <v>160</v>
      </c>
      <c r="AX1741" s="32">
        <v>4</v>
      </c>
      <c r="AZ1741" s="32" t="s">
        <v>335</v>
      </c>
      <c r="BP1741" s="397"/>
      <c r="BQ1741" s="397"/>
      <c r="BU1741" s="397"/>
      <c r="BV1741" s="397"/>
      <c r="BZ1741" s="397"/>
      <c r="CA1741" s="397"/>
      <c r="CE1741" s="550"/>
      <c r="CF1741" s="550"/>
      <c r="CG1741" s="550"/>
      <c r="CH1741" s="550"/>
      <c r="CJ1741" s="32">
        <v>6.1</v>
      </c>
      <c r="CK1741" s="32">
        <v>4.5999999999999996</v>
      </c>
      <c r="CN1741" s="32" t="s">
        <v>1674</v>
      </c>
    </row>
    <row r="1742" spans="1:92" s="134" customFormat="1" x14ac:dyDescent="0.25">
      <c r="A1742" s="134">
        <v>82</v>
      </c>
      <c r="B1742" s="135" t="s">
        <v>4108</v>
      </c>
      <c r="C1742" s="134" t="s">
        <v>1459</v>
      </c>
      <c r="D1742" s="134" t="s">
        <v>1460</v>
      </c>
      <c r="E1742" s="134">
        <v>2007</v>
      </c>
      <c r="F1742" s="134">
        <v>2000</v>
      </c>
      <c r="G1742" s="134" t="s">
        <v>1461</v>
      </c>
      <c r="H1742" s="134" t="s">
        <v>1462</v>
      </c>
      <c r="I1742" s="136" t="s">
        <v>2815</v>
      </c>
      <c r="J1742" s="134">
        <v>42.74</v>
      </c>
      <c r="K1742" s="134">
        <v>-84.48</v>
      </c>
      <c r="L1742" s="134">
        <v>260</v>
      </c>
      <c r="Q1742" s="135"/>
      <c r="R1742" s="135" t="s">
        <v>1847</v>
      </c>
      <c r="S1742" s="44" t="s">
        <v>1728</v>
      </c>
      <c r="U1742" s="44" t="s">
        <v>1965</v>
      </c>
      <c r="V1742" s="135" t="s">
        <v>1402</v>
      </c>
      <c r="W1742" s="135" t="s">
        <v>1720</v>
      </c>
      <c r="X1742" s="135" t="s">
        <v>1389</v>
      </c>
      <c r="Y1742" s="135" t="s">
        <v>1417</v>
      </c>
      <c r="AA1742" s="356"/>
      <c r="AB1742" s="356"/>
      <c r="AC1742" s="134" t="s">
        <v>139</v>
      </c>
      <c r="AH1742" s="134" t="s">
        <v>116</v>
      </c>
      <c r="AI1742" s="138" t="s">
        <v>1581</v>
      </c>
      <c r="AJ1742" s="134" t="s">
        <v>132</v>
      </c>
      <c r="AK1742" s="140" t="s">
        <v>1611</v>
      </c>
      <c r="AW1742" s="32" t="s">
        <v>160</v>
      </c>
      <c r="AX1742" s="32">
        <v>4</v>
      </c>
      <c r="AY1742" s="32"/>
      <c r="AZ1742" s="32" t="s">
        <v>335</v>
      </c>
      <c r="BP1742" s="431"/>
      <c r="BQ1742" s="431"/>
      <c r="BU1742" s="431"/>
      <c r="BV1742" s="431"/>
      <c r="BZ1742" s="431"/>
      <c r="CA1742" s="431"/>
      <c r="CE1742" s="584"/>
      <c r="CF1742" s="584"/>
      <c r="CG1742" s="584"/>
      <c r="CH1742" s="584"/>
      <c r="CJ1742" s="134">
        <v>5.7</v>
      </c>
      <c r="CK1742" s="134">
        <v>5.3</v>
      </c>
      <c r="CL1742" s="32"/>
      <c r="CM1742" s="32"/>
      <c r="CN1742" s="32" t="s">
        <v>1674</v>
      </c>
    </row>
    <row r="1743" spans="1:92" s="134" customFormat="1" x14ac:dyDescent="0.25">
      <c r="A1743" s="134">
        <v>82</v>
      </c>
      <c r="B1743" s="135" t="s">
        <v>4109</v>
      </c>
      <c r="C1743" s="134" t="s">
        <v>1459</v>
      </c>
      <c r="D1743" s="134" t="s">
        <v>1460</v>
      </c>
      <c r="E1743" s="134">
        <v>2007</v>
      </c>
      <c r="F1743" s="134">
        <v>2000</v>
      </c>
      <c r="G1743" s="134" t="s">
        <v>1461</v>
      </c>
      <c r="H1743" s="134" t="s">
        <v>1462</v>
      </c>
      <c r="I1743" s="136" t="s">
        <v>2815</v>
      </c>
      <c r="J1743" s="134">
        <v>42.74</v>
      </c>
      <c r="K1743" s="134">
        <v>-84.48</v>
      </c>
      <c r="L1743" s="134">
        <v>260</v>
      </c>
      <c r="Q1743" s="135"/>
      <c r="R1743" s="135" t="s">
        <v>1847</v>
      </c>
      <c r="S1743" s="44" t="s">
        <v>1728</v>
      </c>
      <c r="U1743" s="44" t="s">
        <v>1965</v>
      </c>
      <c r="V1743" s="135" t="s">
        <v>1402</v>
      </c>
      <c r="W1743" s="135" t="s">
        <v>1720</v>
      </c>
      <c r="X1743" s="135" t="s">
        <v>1389</v>
      </c>
      <c r="Y1743" s="135" t="s">
        <v>1417</v>
      </c>
      <c r="AA1743" s="356"/>
      <c r="AB1743" s="356"/>
      <c r="AC1743" s="134" t="s">
        <v>139</v>
      </c>
      <c r="AH1743" s="134" t="s">
        <v>131</v>
      </c>
      <c r="AI1743" s="138" t="s">
        <v>131</v>
      </c>
      <c r="AJ1743" s="134" t="s">
        <v>132</v>
      </c>
      <c r="AK1743" s="140" t="s">
        <v>1611</v>
      </c>
      <c r="AW1743" s="32" t="s">
        <v>160</v>
      </c>
      <c r="AX1743" s="32">
        <v>4</v>
      </c>
      <c r="AY1743" s="32"/>
      <c r="AZ1743" s="32" t="s">
        <v>335</v>
      </c>
      <c r="BP1743" s="431"/>
      <c r="BQ1743" s="431"/>
      <c r="BU1743" s="431"/>
      <c r="BV1743" s="431"/>
      <c r="BZ1743" s="431"/>
      <c r="CA1743" s="431"/>
      <c r="CE1743" s="584"/>
      <c r="CF1743" s="584"/>
      <c r="CG1743" s="584"/>
      <c r="CH1743" s="584"/>
      <c r="CJ1743" s="134">
        <v>5.7</v>
      </c>
      <c r="CK1743" s="134">
        <v>4.4000000000000004</v>
      </c>
      <c r="CL1743" s="32"/>
      <c r="CM1743" s="32"/>
      <c r="CN1743" s="32" t="s">
        <v>1674</v>
      </c>
    </row>
    <row r="1744" spans="1:92" s="134" customFormat="1" x14ac:dyDescent="0.25">
      <c r="A1744" s="134">
        <v>82</v>
      </c>
      <c r="B1744" s="135" t="s">
        <v>4109</v>
      </c>
      <c r="C1744" s="134" t="s">
        <v>1459</v>
      </c>
      <c r="D1744" s="134" t="s">
        <v>1460</v>
      </c>
      <c r="E1744" s="134">
        <v>2007</v>
      </c>
      <c r="F1744" s="134">
        <v>2000</v>
      </c>
      <c r="G1744" s="134" t="s">
        <v>1461</v>
      </c>
      <c r="H1744" s="134" t="s">
        <v>1462</v>
      </c>
      <c r="I1744" s="136" t="s">
        <v>2815</v>
      </c>
      <c r="J1744" s="134">
        <v>42.74</v>
      </c>
      <c r="K1744" s="134">
        <v>-84.48</v>
      </c>
      <c r="L1744" s="134">
        <v>260</v>
      </c>
      <c r="Q1744" s="135"/>
      <c r="R1744" s="135" t="s">
        <v>1847</v>
      </c>
      <c r="S1744" s="44" t="s">
        <v>1728</v>
      </c>
      <c r="U1744" s="44" t="s">
        <v>1965</v>
      </c>
      <c r="V1744" s="135" t="s">
        <v>1402</v>
      </c>
      <c r="W1744" s="135" t="s">
        <v>1720</v>
      </c>
      <c r="X1744" s="135" t="s">
        <v>1389</v>
      </c>
      <c r="Y1744" s="135" t="s">
        <v>1417</v>
      </c>
      <c r="AA1744" s="356"/>
      <c r="AB1744" s="356"/>
      <c r="AC1744" s="134" t="s">
        <v>139</v>
      </c>
      <c r="AH1744" s="134" t="s">
        <v>1545</v>
      </c>
      <c r="AI1744" s="138" t="s">
        <v>131</v>
      </c>
      <c r="AJ1744" s="134" t="s">
        <v>132</v>
      </c>
      <c r="AK1744" s="140" t="s">
        <v>1611</v>
      </c>
      <c r="AW1744" s="32" t="s">
        <v>160</v>
      </c>
      <c r="AX1744" s="32">
        <v>4</v>
      </c>
      <c r="AY1744" s="32"/>
      <c r="AZ1744" s="32" t="s">
        <v>335</v>
      </c>
      <c r="BP1744" s="431"/>
      <c r="BQ1744" s="431"/>
      <c r="BU1744" s="431"/>
      <c r="BV1744" s="431"/>
      <c r="BZ1744" s="431"/>
      <c r="CA1744" s="431"/>
      <c r="CE1744" s="584"/>
      <c r="CF1744" s="584"/>
      <c r="CG1744" s="584"/>
      <c r="CH1744" s="584"/>
      <c r="CJ1744" s="134">
        <v>5.7</v>
      </c>
      <c r="CK1744" s="134">
        <v>3.2</v>
      </c>
      <c r="CL1744" s="32"/>
      <c r="CM1744" s="32"/>
      <c r="CN1744" s="32" t="s">
        <v>1674</v>
      </c>
    </row>
    <row r="1745" spans="1:92" s="134" customFormat="1" x14ac:dyDescent="0.25">
      <c r="A1745" s="134">
        <v>82</v>
      </c>
      <c r="B1745" s="135" t="s">
        <v>4110</v>
      </c>
      <c r="C1745" s="134" t="s">
        <v>1459</v>
      </c>
      <c r="D1745" s="134" t="s">
        <v>1460</v>
      </c>
      <c r="E1745" s="134">
        <v>2007</v>
      </c>
      <c r="F1745" s="134">
        <v>2000</v>
      </c>
      <c r="G1745" s="134" t="s">
        <v>1461</v>
      </c>
      <c r="H1745" s="134" t="s">
        <v>1462</v>
      </c>
      <c r="I1745" s="136" t="s">
        <v>2815</v>
      </c>
      <c r="J1745" s="134">
        <v>42.74</v>
      </c>
      <c r="K1745" s="134">
        <v>-84.48</v>
      </c>
      <c r="L1745" s="134">
        <v>260</v>
      </c>
      <c r="Q1745" s="135"/>
      <c r="R1745" s="135" t="s">
        <v>1847</v>
      </c>
      <c r="S1745" s="44" t="s">
        <v>1728</v>
      </c>
      <c r="U1745" s="44" t="s">
        <v>1965</v>
      </c>
      <c r="V1745" s="135" t="s">
        <v>1402</v>
      </c>
      <c r="W1745" s="135" t="s">
        <v>1720</v>
      </c>
      <c r="X1745" s="135" t="s">
        <v>1389</v>
      </c>
      <c r="Y1745" s="135" t="s">
        <v>1417</v>
      </c>
      <c r="AA1745" s="356"/>
      <c r="AB1745" s="356"/>
      <c r="AC1745" s="134" t="s">
        <v>139</v>
      </c>
      <c r="AH1745" s="134" t="s">
        <v>1546</v>
      </c>
      <c r="AI1745" s="138" t="s">
        <v>1581</v>
      </c>
      <c r="AJ1745" s="134" t="s">
        <v>132</v>
      </c>
      <c r="AK1745" s="140" t="s">
        <v>1611</v>
      </c>
      <c r="AW1745" s="32" t="s">
        <v>160</v>
      </c>
      <c r="AX1745" s="32">
        <v>4</v>
      </c>
      <c r="AY1745" s="32"/>
      <c r="AZ1745" s="32" t="s">
        <v>335</v>
      </c>
      <c r="BP1745" s="431"/>
      <c r="BQ1745" s="431"/>
      <c r="BU1745" s="431"/>
      <c r="BV1745" s="431"/>
      <c r="BZ1745" s="431"/>
      <c r="CA1745" s="431"/>
      <c r="CE1745" s="584"/>
      <c r="CF1745" s="584"/>
      <c r="CG1745" s="584"/>
      <c r="CH1745" s="584"/>
      <c r="CJ1745" s="134">
        <v>5.7</v>
      </c>
      <c r="CK1745" s="134">
        <v>3.3</v>
      </c>
      <c r="CL1745" s="32"/>
      <c r="CM1745" s="32"/>
      <c r="CN1745" s="32" t="s">
        <v>1674</v>
      </c>
    </row>
    <row r="1746" spans="1:92" s="134" customFormat="1" x14ac:dyDescent="0.25">
      <c r="A1746" s="134">
        <v>82</v>
      </c>
      <c r="B1746" s="135" t="s">
        <v>4110</v>
      </c>
      <c r="C1746" s="134" t="s">
        <v>1459</v>
      </c>
      <c r="D1746" s="134" t="s">
        <v>1460</v>
      </c>
      <c r="E1746" s="134">
        <v>2007</v>
      </c>
      <c r="F1746" s="134">
        <v>2000</v>
      </c>
      <c r="G1746" s="134" t="s">
        <v>1461</v>
      </c>
      <c r="H1746" s="134" t="s">
        <v>1462</v>
      </c>
      <c r="I1746" s="136" t="s">
        <v>2815</v>
      </c>
      <c r="J1746" s="134">
        <v>42.74</v>
      </c>
      <c r="K1746" s="134">
        <v>-84.48</v>
      </c>
      <c r="L1746" s="134">
        <v>260</v>
      </c>
      <c r="Q1746" s="135"/>
      <c r="R1746" s="135" t="s">
        <v>1847</v>
      </c>
      <c r="S1746" s="44" t="s">
        <v>1728</v>
      </c>
      <c r="U1746" s="44" t="s">
        <v>1965</v>
      </c>
      <c r="V1746" s="135" t="s">
        <v>1402</v>
      </c>
      <c r="W1746" s="135" t="s">
        <v>1720</v>
      </c>
      <c r="X1746" s="135" t="s">
        <v>1389</v>
      </c>
      <c r="Y1746" s="135" t="s">
        <v>1417</v>
      </c>
      <c r="AA1746" s="356"/>
      <c r="AB1746" s="356"/>
      <c r="AC1746" s="134" t="s">
        <v>139</v>
      </c>
      <c r="AH1746" s="134" t="s">
        <v>1547</v>
      </c>
      <c r="AI1746" s="138" t="s">
        <v>1581</v>
      </c>
      <c r="AJ1746" s="134" t="s">
        <v>132</v>
      </c>
      <c r="AK1746" s="140" t="s">
        <v>1611</v>
      </c>
      <c r="AW1746" s="32" t="s">
        <v>160</v>
      </c>
      <c r="AX1746" s="32">
        <v>4</v>
      </c>
      <c r="AY1746" s="32"/>
      <c r="AZ1746" s="32" t="s">
        <v>335</v>
      </c>
      <c r="BP1746" s="431"/>
      <c r="BQ1746" s="431"/>
      <c r="BU1746" s="431"/>
      <c r="BV1746" s="431"/>
      <c r="BZ1746" s="431"/>
      <c r="CA1746" s="431"/>
      <c r="CE1746" s="584"/>
      <c r="CF1746" s="584"/>
      <c r="CG1746" s="584"/>
      <c r="CH1746" s="584"/>
      <c r="CJ1746" s="134">
        <v>5.7</v>
      </c>
      <c r="CK1746" s="134">
        <v>2.2999999999999998</v>
      </c>
      <c r="CL1746" s="32"/>
      <c r="CM1746" s="32"/>
      <c r="CN1746" s="32" t="s">
        <v>1674</v>
      </c>
    </row>
    <row r="1747" spans="1:92" s="134" customFormat="1" x14ac:dyDescent="0.25">
      <c r="A1747" s="134">
        <v>82</v>
      </c>
      <c r="B1747" s="135" t="s">
        <v>4110</v>
      </c>
      <c r="C1747" s="134" t="s">
        <v>1459</v>
      </c>
      <c r="D1747" s="134" t="s">
        <v>1460</v>
      </c>
      <c r="E1747" s="134">
        <v>2007</v>
      </c>
      <c r="F1747" s="134">
        <v>2000</v>
      </c>
      <c r="G1747" s="134" t="s">
        <v>1461</v>
      </c>
      <c r="H1747" s="134" t="s">
        <v>1462</v>
      </c>
      <c r="I1747" s="136" t="s">
        <v>2815</v>
      </c>
      <c r="J1747" s="134">
        <v>42.74</v>
      </c>
      <c r="K1747" s="134">
        <v>-84.48</v>
      </c>
      <c r="L1747" s="134">
        <v>260</v>
      </c>
      <c r="Q1747" s="135"/>
      <c r="R1747" s="135" t="s">
        <v>1847</v>
      </c>
      <c r="S1747" s="44" t="s">
        <v>1728</v>
      </c>
      <c r="U1747" s="44" t="s">
        <v>1965</v>
      </c>
      <c r="V1747" s="135" t="s">
        <v>1402</v>
      </c>
      <c r="W1747" s="135" t="s">
        <v>1720</v>
      </c>
      <c r="X1747" s="135" t="s">
        <v>1389</v>
      </c>
      <c r="Y1747" s="135" t="s">
        <v>1417</v>
      </c>
      <c r="AA1747" s="356"/>
      <c r="AB1747" s="356"/>
      <c r="AC1747" s="134" t="s">
        <v>139</v>
      </c>
      <c r="AH1747" s="134" t="s">
        <v>1548</v>
      </c>
      <c r="AI1747" s="138" t="s">
        <v>1581</v>
      </c>
      <c r="AJ1747" s="134" t="s">
        <v>132</v>
      </c>
      <c r="AK1747" s="140" t="s">
        <v>1611</v>
      </c>
      <c r="AW1747" s="32" t="s">
        <v>160</v>
      </c>
      <c r="AX1747" s="32">
        <v>4</v>
      </c>
      <c r="AY1747" s="32"/>
      <c r="AZ1747" s="32" t="s">
        <v>335</v>
      </c>
      <c r="BP1747" s="431"/>
      <c r="BQ1747" s="431"/>
      <c r="BU1747" s="431"/>
      <c r="BV1747" s="431"/>
      <c r="BZ1747" s="431"/>
      <c r="CA1747" s="431"/>
      <c r="CE1747" s="584"/>
      <c r="CF1747" s="584"/>
      <c r="CG1747" s="584"/>
      <c r="CH1747" s="584"/>
      <c r="CJ1747" s="134">
        <v>5.7</v>
      </c>
      <c r="CK1747" s="134">
        <v>2.5</v>
      </c>
      <c r="CL1747" s="32"/>
      <c r="CM1747" s="32"/>
      <c r="CN1747" s="32" t="s">
        <v>1674</v>
      </c>
    </row>
    <row r="1748" spans="1:92" s="134" customFormat="1" x14ac:dyDescent="0.25">
      <c r="A1748" s="134">
        <v>82</v>
      </c>
      <c r="B1748" s="135" t="s">
        <v>4110</v>
      </c>
      <c r="C1748" s="134" t="s">
        <v>1459</v>
      </c>
      <c r="D1748" s="134" t="s">
        <v>1460</v>
      </c>
      <c r="E1748" s="134">
        <v>2007</v>
      </c>
      <c r="F1748" s="134">
        <v>2000</v>
      </c>
      <c r="G1748" s="134" t="s">
        <v>1461</v>
      </c>
      <c r="H1748" s="134" t="s">
        <v>1462</v>
      </c>
      <c r="I1748" s="136" t="s">
        <v>2815</v>
      </c>
      <c r="J1748" s="134">
        <v>42.74</v>
      </c>
      <c r="K1748" s="134">
        <v>-84.48</v>
      </c>
      <c r="L1748" s="134">
        <v>260</v>
      </c>
      <c r="Q1748" s="135"/>
      <c r="R1748" s="135" t="s">
        <v>1847</v>
      </c>
      <c r="S1748" s="44" t="s">
        <v>1728</v>
      </c>
      <c r="U1748" s="44" t="s">
        <v>1965</v>
      </c>
      <c r="V1748" s="135" t="s">
        <v>1402</v>
      </c>
      <c r="W1748" s="135" t="s">
        <v>1720</v>
      </c>
      <c r="X1748" s="135" t="s">
        <v>1389</v>
      </c>
      <c r="Y1748" s="135" t="s">
        <v>1417</v>
      </c>
      <c r="AA1748" s="356"/>
      <c r="AB1748" s="356"/>
      <c r="AC1748" s="134" t="s">
        <v>139</v>
      </c>
      <c r="AH1748" s="134" t="s">
        <v>1549</v>
      </c>
      <c r="AI1748" s="138" t="s">
        <v>1581</v>
      </c>
      <c r="AJ1748" s="134" t="s">
        <v>132</v>
      </c>
      <c r="AK1748" s="140" t="s">
        <v>1611</v>
      </c>
      <c r="AW1748" s="32" t="s">
        <v>160</v>
      </c>
      <c r="AX1748" s="32">
        <v>4</v>
      </c>
      <c r="AY1748" s="32"/>
      <c r="AZ1748" s="32" t="s">
        <v>335</v>
      </c>
      <c r="BP1748" s="431"/>
      <c r="BQ1748" s="431"/>
      <c r="BU1748" s="431"/>
      <c r="BV1748" s="431"/>
      <c r="BZ1748" s="431"/>
      <c r="CA1748" s="431"/>
      <c r="CE1748" s="584"/>
      <c r="CF1748" s="584"/>
      <c r="CG1748" s="584"/>
      <c r="CH1748" s="584"/>
      <c r="CJ1748" s="134">
        <v>5.7</v>
      </c>
      <c r="CK1748" s="134">
        <v>1.8</v>
      </c>
      <c r="CL1748" s="32"/>
      <c r="CM1748" s="32"/>
      <c r="CN1748" s="32" t="s">
        <v>1674</v>
      </c>
    </row>
    <row r="1749" spans="1:92" s="32" customFormat="1" x14ac:dyDescent="0.25">
      <c r="A1749" s="32">
        <v>82</v>
      </c>
      <c r="B1749" s="44" t="s">
        <v>4111</v>
      </c>
      <c r="C1749" s="32" t="s">
        <v>1459</v>
      </c>
      <c r="D1749" s="32" t="s">
        <v>1460</v>
      </c>
      <c r="E1749" s="32">
        <v>2007</v>
      </c>
      <c r="F1749" s="32">
        <v>2000</v>
      </c>
      <c r="G1749" s="32" t="s">
        <v>1461</v>
      </c>
      <c r="H1749" s="32" t="s">
        <v>1462</v>
      </c>
      <c r="I1749" s="136" t="s">
        <v>2815</v>
      </c>
      <c r="J1749" s="32">
        <v>42.74</v>
      </c>
      <c r="K1749" s="32">
        <v>-84.48</v>
      </c>
      <c r="L1749" s="32">
        <v>260</v>
      </c>
      <c r="Q1749" s="44"/>
      <c r="R1749" s="44" t="s">
        <v>1847</v>
      </c>
      <c r="S1749" s="44" t="s">
        <v>1728</v>
      </c>
      <c r="U1749" s="44" t="s">
        <v>1965</v>
      </c>
      <c r="V1749" s="44" t="s">
        <v>1403</v>
      </c>
      <c r="W1749" s="44" t="s">
        <v>1720</v>
      </c>
      <c r="X1749" s="44" t="s">
        <v>1389</v>
      </c>
      <c r="Y1749" s="44" t="s">
        <v>1417</v>
      </c>
      <c r="AA1749" s="323"/>
      <c r="AB1749" s="323"/>
      <c r="AC1749" s="32" t="s">
        <v>139</v>
      </c>
      <c r="AH1749" s="32" t="s">
        <v>116</v>
      </c>
      <c r="AI1749" s="138" t="s">
        <v>1581</v>
      </c>
      <c r="AJ1749" s="32" t="s">
        <v>132</v>
      </c>
      <c r="AK1749" s="140" t="s">
        <v>1611</v>
      </c>
      <c r="AW1749" s="32" t="s">
        <v>160</v>
      </c>
      <c r="AX1749" s="32">
        <v>4</v>
      </c>
      <c r="AZ1749" s="32" t="s">
        <v>335</v>
      </c>
      <c r="BP1749" s="397"/>
      <c r="BQ1749" s="397"/>
      <c r="BU1749" s="397"/>
      <c r="BV1749" s="397"/>
      <c r="BZ1749" s="397"/>
      <c r="CA1749" s="397"/>
      <c r="CE1749" s="550"/>
      <c r="CF1749" s="550"/>
      <c r="CG1749" s="550"/>
      <c r="CH1749" s="550"/>
      <c r="CJ1749" s="32">
        <v>7.8</v>
      </c>
      <c r="CK1749" s="32">
        <v>4.0999999999999996</v>
      </c>
      <c r="CN1749" s="32" t="s">
        <v>1674</v>
      </c>
    </row>
    <row r="1750" spans="1:92" s="32" customFormat="1" x14ac:dyDescent="0.25">
      <c r="A1750" s="32">
        <v>82</v>
      </c>
      <c r="B1750" s="44" t="s">
        <v>4112</v>
      </c>
      <c r="C1750" s="32" t="s">
        <v>1459</v>
      </c>
      <c r="D1750" s="32" t="s">
        <v>1460</v>
      </c>
      <c r="E1750" s="32">
        <v>2007</v>
      </c>
      <c r="F1750" s="32">
        <v>2000</v>
      </c>
      <c r="G1750" s="32" t="s">
        <v>1461</v>
      </c>
      <c r="H1750" s="32" t="s">
        <v>1462</v>
      </c>
      <c r="I1750" s="136" t="s">
        <v>2815</v>
      </c>
      <c r="J1750" s="32">
        <v>42.74</v>
      </c>
      <c r="K1750" s="32">
        <v>-84.48</v>
      </c>
      <c r="L1750" s="32">
        <v>260</v>
      </c>
      <c r="Q1750" s="44"/>
      <c r="R1750" s="44" t="s">
        <v>1847</v>
      </c>
      <c r="S1750" s="44" t="s">
        <v>1728</v>
      </c>
      <c r="U1750" s="44" t="s">
        <v>1965</v>
      </c>
      <c r="V1750" s="44" t="s">
        <v>1403</v>
      </c>
      <c r="W1750" s="44" t="s">
        <v>1720</v>
      </c>
      <c r="X1750" s="44" t="s">
        <v>1389</v>
      </c>
      <c r="Y1750" s="44" t="s">
        <v>1417</v>
      </c>
      <c r="AA1750" s="323"/>
      <c r="AB1750" s="323"/>
      <c r="AC1750" s="32" t="s">
        <v>139</v>
      </c>
      <c r="AH1750" s="32" t="s">
        <v>131</v>
      </c>
      <c r="AI1750" s="138" t="s">
        <v>131</v>
      </c>
      <c r="AJ1750" s="32" t="s">
        <v>132</v>
      </c>
      <c r="AK1750" s="140" t="s">
        <v>1611</v>
      </c>
      <c r="AW1750" s="32" t="s">
        <v>160</v>
      </c>
      <c r="AX1750" s="32">
        <v>4</v>
      </c>
      <c r="AZ1750" s="32" t="s">
        <v>335</v>
      </c>
      <c r="BP1750" s="397"/>
      <c r="BQ1750" s="397"/>
      <c r="BU1750" s="397"/>
      <c r="BV1750" s="397"/>
      <c r="BZ1750" s="397"/>
      <c r="CA1750" s="397"/>
      <c r="CE1750" s="550"/>
      <c r="CF1750" s="550"/>
      <c r="CG1750" s="550"/>
      <c r="CH1750" s="550"/>
      <c r="CJ1750" s="32">
        <v>7.8</v>
      </c>
      <c r="CK1750" s="32">
        <v>2.8</v>
      </c>
      <c r="CN1750" s="32" t="s">
        <v>1674</v>
      </c>
    </row>
    <row r="1751" spans="1:92" s="32" customFormat="1" x14ac:dyDescent="0.25">
      <c r="A1751" s="32">
        <v>82</v>
      </c>
      <c r="B1751" s="44" t="s">
        <v>4112</v>
      </c>
      <c r="C1751" s="32" t="s">
        <v>1459</v>
      </c>
      <c r="D1751" s="32" t="s">
        <v>1460</v>
      </c>
      <c r="E1751" s="32">
        <v>2007</v>
      </c>
      <c r="F1751" s="32">
        <v>2000</v>
      </c>
      <c r="G1751" s="32" t="s">
        <v>1461</v>
      </c>
      <c r="H1751" s="32" t="s">
        <v>1462</v>
      </c>
      <c r="I1751" s="136" t="s">
        <v>2815</v>
      </c>
      <c r="J1751" s="32">
        <v>42.74</v>
      </c>
      <c r="K1751" s="32">
        <v>-84.48</v>
      </c>
      <c r="L1751" s="32">
        <v>260</v>
      </c>
      <c r="Q1751" s="44"/>
      <c r="R1751" s="44" t="s">
        <v>1847</v>
      </c>
      <c r="S1751" s="44" t="s">
        <v>1728</v>
      </c>
      <c r="U1751" s="44" t="s">
        <v>1965</v>
      </c>
      <c r="V1751" s="44" t="s">
        <v>1403</v>
      </c>
      <c r="W1751" s="44" t="s">
        <v>1720</v>
      </c>
      <c r="X1751" s="44" t="s">
        <v>1389</v>
      </c>
      <c r="Y1751" s="44" t="s">
        <v>1417</v>
      </c>
      <c r="AA1751" s="323"/>
      <c r="AB1751" s="323"/>
      <c r="AC1751" s="32" t="s">
        <v>139</v>
      </c>
      <c r="AH1751" s="32" t="s">
        <v>1545</v>
      </c>
      <c r="AI1751" s="138" t="s">
        <v>131</v>
      </c>
      <c r="AJ1751" s="32" t="s">
        <v>132</v>
      </c>
      <c r="AK1751" s="140" t="s">
        <v>1611</v>
      </c>
      <c r="AW1751" s="32" t="s">
        <v>160</v>
      </c>
      <c r="AX1751" s="32">
        <v>4</v>
      </c>
      <c r="AZ1751" s="32" t="s">
        <v>335</v>
      </c>
      <c r="BP1751" s="397"/>
      <c r="BQ1751" s="397"/>
      <c r="BU1751" s="397"/>
      <c r="BV1751" s="397"/>
      <c r="BZ1751" s="397"/>
      <c r="CA1751" s="397"/>
      <c r="CE1751" s="550"/>
      <c r="CF1751" s="550"/>
      <c r="CG1751" s="550"/>
      <c r="CH1751" s="550"/>
      <c r="CJ1751" s="32">
        <v>7.8</v>
      </c>
      <c r="CK1751" s="32">
        <v>1.9</v>
      </c>
      <c r="CN1751" s="32" t="s">
        <v>1674</v>
      </c>
    </row>
    <row r="1752" spans="1:92" s="32" customFormat="1" x14ac:dyDescent="0.25">
      <c r="A1752" s="32">
        <v>82</v>
      </c>
      <c r="B1752" s="44" t="s">
        <v>4113</v>
      </c>
      <c r="C1752" s="32" t="s">
        <v>1459</v>
      </c>
      <c r="D1752" s="32" t="s">
        <v>1460</v>
      </c>
      <c r="E1752" s="32">
        <v>2007</v>
      </c>
      <c r="F1752" s="32">
        <v>2000</v>
      </c>
      <c r="G1752" s="32" t="s">
        <v>1461</v>
      </c>
      <c r="H1752" s="32" t="s">
        <v>1462</v>
      </c>
      <c r="I1752" s="136" t="s">
        <v>2815</v>
      </c>
      <c r="J1752" s="32">
        <v>42.74</v>
      </c>
      <c r="K1752" s="32">
        <v>-84.48</v>
      </c>
      <c r="L1752" s="32">
        <v>260</v>
      </c>
      <c r="Q1752" s="44"/>
      <c r="R1752" s="44" t="s">
        <v>1847</v>
      </c>
      <c r="S1752" s="44" t="s">
        <v>1728</v>
      </c>
      <c r="U1752" s="44" t="s">
        <v>1965</v>
      </c>
      <c r="V1752" s="44" t="s">
        <v>1403</v>
      </c>
      <c r="W1752" s="44" t="s">
        <v>1720</v>
      </c>
      <c r="X1752" s="44" t="s">
        <v>1389</v>
      </c>
      <c r="Y1752" s="44" t="s">
        <v>1417</v>
      </c>
      <c r="AA1752" s="323"/>
      <c r="AB1752" s="323"/>
      <c r="AC1752" s="32" t="s">
        <v>139</v>
      </c>
      <c r="AH1752" s="32" t="s">
        <v>1546</v>
      </c>
      <c r="AI1752" s="138" t="s">
        <v>1581</v>
      </c>
      <c r="AJ1752" s="32" t="s">
        <v>132</v>
      </c>
      <c r="AK1752" s="140" t="s">
        <v>1611</v>
      </c>
      <c r="AW1752" s="32" t="s">
        <v>160</v>
      </c>
      <c r="AX1752" s="32">
        <v>4</v>
      </c>
      <c r="AZ1752" s="32" t="s">
        <v>335</v>
      </c>
      <c r="BP1752" s="397"/>
      <c r="BQ1752" s="397"/>
      <c r="BU1752" s="397"/>
      <c r="BV1752" s="397"/>
      <c r="BZ1752" s="397"/>
      <c r="CA1752" s="397"/>
      <c r="CE1752" s="550"/>
      <c r="CF1752" s="550"/>
      <c r="CG1752" s="550"/>
      <c r="CH1752" s="550"/>
      <c r="CJ1752" s="32">
        <v>7.8</v>
      </c>
      <c r="CK1752" s="32">
        <v>3.4</v>
      </c>
      <c r="CN1752" s="32" t="s">
        <v>1674</v>
      </c>
    </row>
    <row r="1753" spans="1:92" s="32" customFormat="1" x14ac:dyDescent="0.25">
      <c r="A1753" s="32">
        <v>82</v>
      </c>
      <c r="B1753" s="44" t="s">
        <v>4113</v>
      </c>
      <c r="C1753" s="32" t="s">
        <v>1459</v>
      </c>
      <c r="D1753" s="32" t="s">
        <v>1460</v>
      </c>
      <c r="E1753" s="32">
        <v>2007</v>
      </c>
      <c r="F1753" s="32">
        <v>2000</v>
      </c>
      <c r="G1753" s="32" t="s">
        <v>1461</v>
      </c>
      <c r="H1753" s="32" t="s">
        <v>1462</v>
      </c>
      <c r="I1753" s="136" t="s">
        <v>2815</v>
      </c>
      <c r="J1753" s="32">
        <v>42.74</v>
      </c>
      <c r="K1753" s="32">
        <v>-84.48</v>
      </c>
      <c r="L1753" s="32">
        <v>260</v>
      </c>
      <c r="Q1753" s="44"/>
      <c r="R1753" s="44" t="s">
        <v>1847</v>
      </c>
      <c r="S1753" s="44" t="s">
        <v>1728</v>
      </c>
      <c r="U1753" s="44" t="s">
        <v>1965</v>
      </c>
      <c r="V1753" s="44" t="s">
        <v>1403</v>
      </c>
      <c r="W1753" s="44" t="s">
        <v>1720</v>
      </c>
      <c r="X1753" s="44" t="s">
        <v>1389</v>
      </c>
      <c r="Y1753" s="44" t="s">
        <v>1417</v>
      </c>
      <c r="AA1753" s="323"/>
      <c r="AB1753" s="323"/>
      <c r="AC1753" s="32" t="s">
        <v>139</v>
      </c>
      <c r="AH1753" s="32" t="s">
        <v>1547</v>
      </c>
      <c r="AI1753" s="138" t="s">
        <v>1581</v>
      </c>
      <c r="AJ1753" s="32" t="s">
        <v>132</v>
      </c>
      <c r="AK1753" s="140" t="s">
        <v>1611</v>
      </c>
      <c r="AW1753" s="32" t="s">
        <v>160</v>
      </c>
      <c r="AX1753" s="32">
        <v>4</v>
      </c>
      <c r="AZ1753" s="32" t="s">
        <v>335</v>
      </c>
      <c r="BP1753" s="397"/>
      <c r="BQ1753" s="397"/>
      <c r="BU1753" s="397"/>
      <c r="BV1753" s="397"/>
      <c r="BZ1753" s="397"/>
      <c r="CA1753" s="397"/>
      <c r="CE1753" s="550"/>
      <c r="CF1753" s="550"/>
      <c r="CG1753" s="550"/>
      <c r="CH1753" s="550"/>
      <c r="CJ1753" s="32">
        <v>7.8</v>
      </c>
      <c r="CK1753" s="32">
        <v>2.2000000000000002</v>
      </c>
      <c r="CN1753" s="32" t="s">
        <v>1674</v>
      </c>
    </row>
    <row r="1754" spans="1:92" s="32" customFormat="1" x14ac:dyDescent="0.25">
      <c r="A1754" s="32">
        <v>82</v>
      </c>
      <c r="B1754" s="44" t="s">
        <v>4113</v>
      </c>
      <c r="C1754" s="32" t="s">
        <v>1459</v>
      </c>
      <c r="D1754" s="32" t="s">
        <v>1460</v>
      </c>
      <c r="E1754" s="32">
        <v>2007</v>
      </c>
      <c r="F1754" s="32">
        <v>2000</v>
      </c>
      <c r="G1754" s="32" t="s">
        <v>1461</v>
      </c>
      <c r="H1754" s="32" t="s">
        <v>1462</v>
      </c>
      <c r="I1754" s="136" t="s">
        <v>2815</v>
      </c>
      <c r="J1754" s="32">
        <v>42.74</v>
      </c>
      <c r="K1754" s="32">
        <v>-84.48</v>
      </c>
      <c r="L1754" s="32">
        <v>260</v>
      </c>
      <c r="Q1754" s="44"/>
      <c r="R1754" s="44" t="s">
        <v>1847</v>
      </c>
      <c r="S1754" s="44" t="s">
        <v>1728</v>
      </c>
      <c r="U1754" s="44" t="s">
        <v>1965</v>
      </c>
      <c r="V1754" s="44" t="s">
        <v>1403</v>
      </c>
      <c r="W1754" s="44" t="s">
        <v>1720</v>
      </c>
      <c r="X1754" s="44" t="s">
        <v>1389</v>
      </c>
      <c r="Y1754" s="44" t="s">
        <v>1417</v>
      </c>
      <c r="AA1754" s="323"/>
      <c r="AB1754" s="323"/>
      <c r="AC1754" s="32" t="s">
        <v>139</v>
      </c>
      <c r="AH1754" s="32" t="s">
        <v>1548</v>
      </c>
      <c r="AI1754" s="138" t="s">
        <v>1581</v>
      </c>
      <c r="AJ1754" s="32" t="s">
        <v>132</v>
      </c>
      <c r="AK1754" s="140" t="s">
        <v>1611</v>
      </c>
      <c r="AW1754" s="32" t="s">
        <v>160</v>
      </c>
      <c r="AX1754" s="32">
        <v>4</v>
      </c>
      <c r="AZ1754" s="32" t="s">
        <v>335</v>
      </c>
      <c r="BP1754" s="397"/>
      <c r="BQ1754" s="397"/>
      <c r="BU1754" s="397"/>
      <c r="BV1754" s="397"/>
      <c r="BZ1754" s="397"/>
      <c r="CA1754" s="397"/>
      <c r="CE1754" s="550"/>
      <c r="CF1754" s="550"/>
      <c r="CG1754" s="550"/>
      <c r="CH1754" s="550"/>
      <c r="CJ1754" s="32">
        <v>7.8</v>
      </c>
      <c r="CK1754" s="32">
        <v>3.2</v>
      </c>
      <c r="CN1754" s="32" t="s">
        <v>1674</v>
      </c>
    </row>
    <row r="1755" spans="1:92" s="32" customFormat="1" x14ac:dyDescent="0.25">
      <c r="A1755" s="32">
        <v>82</v>
      </c>
      <c r="B1755" s="44" t="s">
        <v>4113</v>
      </c>
      <c r="C1755" s="32" t="s">
        <v>1459</v>
      </c>
      <c r="D1755" s="32" t="s">
        <v>1460</v>
      </c>
      <c r="E1755" s="32">
        <v>2007</v>
      </c>
      <c r="F1755" s="32">
        <v>2000</v>
      </c>
      <c r="G1755" s="32" t="s">
        <v>1461</v>
      </c>
      <c r="H1755" s="32" t="s">
        <v>1462</v>
      </c>
      <c r="I1755" s="136" t="s">
        <v>2815</v>
      </c>
      <c r="J1755" s="32">
        <v>42.74</v>
      </c>
      <c r="K1755" s="32">
        <v>-84.48</v>
      </c>
      <c r="L1755" s="32">
        <v>260</v>
      </c>
      <c r="Q1755" s="44"/>
      <c r="R1755" s="44" t="s">
        <v>1847</v>
      </c>
      <c r="S1755" s="44" t="s">
        <v>1728</v>
      </c>
      <c r="U1755" s="44" t="s">
        <v>1965</v>
      </c>
      <c r="V1755" s="44" t="s">
        <v>1403</v>
      </c>
      <c r="W1755" s="44" t="s">
        <v>1720</v>
      </c>
      <c r="X1755" s="44" t="s">
        <v>1389</v>
      </c>
      <c r="Y1755" s="44" t="s">
        <v>1417</v>
      </c>
      <c r="AA1755" s="323"/>
      <c r="AB1755" s="323"/>
      <c r="AC1755" s="32" t="s">
        <v>139</v>
      </c>
      <c r="AH1755" s="32" t="s">
        <v>1549</v>
      </c>
      <c r="AI1755" s="138" t="s">
        <v>1581</v>
      </c>
      <c r="AJ1755" s="32" t="s">
        <v>132</v>
      </c>
      <c r="AK1755" s="140" t="s">
        <v>1611</v>
      </c>
      <c r="AW1755" s="32" t="s">
        <v>160</v>
      </c>
      <c r="AX1755" s="32">
        <v>4</v>
      </c>
      <c r="AZ1755" s="32" t="s">
        <v>335</v>
      </c>
      <c r="BP1755" s="397"/>
      <c r="BQ1755" s="397"/>
      <c r="BU1755" s="397"/>
      <c r="BV1755" s="397"/>
      <c r="BZ1755" s="397"/>
      <c r="CA1755" s="397"/>
      <c r="CE1755" s="550"/>
      <c r="CF1755" s="550"/>
      <c r="CG1755" s="550"/>
      <c r="CH1755" s="550"/>
      <c r="CJ1755" s="32">
        <v>7.8</v>
      </c>
      <c r="CK1755" s="32">
        <v>2.5</v>
      </c>
      <c r="CN1755" s="32" t="s">
        <v>1674</v>
      </c>
    </row>
    <row r="1756" spans="1:92" s="136" customFormat="1" x14ac:dyDescent="0.25">
      <c r="A1756" s="136">
        <v>82</v>
      </c>
      <c r="B1756" s="137" t="s">
        <v>4105</v>
      </c>
      <c r="C1756" s="136" t="s">
        <v>1459</v>
      </c>
      <c r="D1756" s="136" t="s">
        <v>1460</v>
      </c>
      <c r="E1756" s="136">
        <v>2007</v>
      </c>
      <c r="F1756" s="136">
        <v>2001</v>
      </c>
      <c r="G1756" s="136" t="s">
        <v>1461</v>
      </c>
      <c r="H1756" s="136" t="s">
        <v>1462</v>
      </c>
      <c r="I1756" s="136" t="s">
        <v>2815</v>
      </c>
      <c r="J1756" s="136">
        <v>42.74</v>
      </c>
      <c r="K1756" s="136">
        <v>-84.48</v>
      </c>
      <c r="L1756" s="136">
        <v>260</v>
      </c>
      <c r="Q1756" s="137"/>
      <c r="R1756" s="137" t="s">
        <v>1728</v>
      </c>
      <c r="S1756" s="137" t="s">
        <v>1728</v>
      </c>
      <c r="U1756" s="137" t="s">
        <v>1965</v>
      </c>
      <c r="V1756" s="137" t="s">
        <v>1389</v>
      </c>
      <c r="W1756" s="137" t="s">
        <v>1720</v>
      </c>
      <c r="X1756" s="137" t="s">
        <v>1389</v>
      </c>
      <c r="Y1756" s="137" t="s">
        <v>1417</v>
      </c>
      <c r="AA1756" s="357"/>
      <c r="AB1756" s="357"/>
      <c r="AC1756" s="136" t="s">
        <v>139</v>
      </c>
      <c r="AH1756" s="136" t="s">
        <v>116</v>
      </c>
      <c r="AI1756" s="138" t="s">
        <v>1581</v>
      </c>
      <c r="AJ1756" s="136" t="s">
        <v>132</v>
      </c>
      <c r="AK1756" s="140" t="s">
        <v>1611</v>
      </c>
      <c r="AW1756" s="32" t="s">
        <v>160</v>
      </c>
      <c r="AX1756" s="32">
        <v>4</v>
      </c>
      <c r="AY1756" s="32"/>
      <c r="AZ1756" s="32" t="s">
        <v>335</v>
      </c>
      <c r="BP1756" s="432"/>
      <c r="BQ1756" s="432"/>
      <c r="BU1756" s="432"/>
      <c r="BV1756" s="432"/>
      <c r="BZ1756" s="432"/>
      <c r="CA1756" s="432"/>
      <c r="CE1756" s="585"/>
      <c r="CF1756" s="585"/>
      <c r="CG1756" s="585"/>
      <c r="CH1756" s="585"/>
      <c r="CJ1756" s="136">
        <v>2.9</v>
      </c>
      <c r="CK1756" s="136">
        <v>2.9</v>
      </c>
      <c r="CN1756" s="136" t="s">
        <v>1674</v>
      </c>
    </row>
    <row r="1757" spans="1:92" s="136" customFormat="1" x14ac:dyDescent="0.25">
      <c r="A1757" s="136">
        <v>82</v>
      </c>
      <c r="B1757" s="137" t="s">
        <v>4106</v>
      </c>
      <c r="C1757" s="136" t="s">
        <v>1459</v>
      </c>
      <c r="D1757" s="136" t="s">
        <v>1460</v>
      </c>
      <c r="E1757" s="136">
        <v>2007</v>
      </c>
      <c r="F1757" s="136">
        <v>2001</v>
      </c>
      <c r="G1757" s="136" t="s">
        <v>1461</v>
      </c>
      <c r="H1757" s="136" t="s">
        <v>1462</v>
      </c>
      <c r="I1757" s="136" t="s">
        <v>2815</v>
      </c>
      <c r="J1757" s="136">
        <v>42.74</v>
      </c>
      <c r="K1757" s="136">
        <v>-84.48</v>
      </c>
      <c r="L1757" s="136">
        <v>260</v>
      </c>
      <c r="Q1757" s="137"/>
      <c r="R1757" s="137" t="s">
        <v>1728</v>
      </c>
      <c r="S1757" s="137" t="s">
        <v>1728</v>
      </c>
      <c r="U1757" s="137" t="s">
        <v>1965</v>
      </c>
      <c r="V1757" s="137" t="s">
        <v>1389</v>
      </c>
      <c r="W1757" s="137" t="s">
        <v>1720</v>
      </c>
      <c r="X1757" s="137" t="s">
        <v>1389</v>
      </c>
      <c r="Y1757" s="137" t="s">
        <v>1417</v>
      </c>
      <c r="AA1757" s="357"/>
      <c r="AB1757" s="357"/>
      <c r="AC1757" s="136" t="s">
        <v>139</v>
      </c>
      <c r="AH1757" s="136" t="s">
        <v>131</v>
      </c>
      <c r="AI1757" s="138" t="s">
        <v>131</v>
      </c>
      <c r="AJ1757" s="136" t="s">
        <v>132</v>
      </c>
      <c r="AK1757" s="140" t="s">
        <v>1611</v>
      </c>
      <c r="AW1757" s="32" t="s">
        <v>160</v>
      </c>
      <c r="AX1757" s="32">
        <v>4</v>
      </c>
      <c r="AY1757" s="32"/>
      <c r="AZ1757" s="32" t="s">
        <v>335</v>
      </c>
      <c r="BP1757" s="432"/>
      <c r="BQ1757" s="432"/>
      <c r="BU1757" s="432"/>
      <c r="BV1757" s="432"/>
      <c r="BZ1757" s="432"/>
      <c r="CA1757" s="432"/>
      <c r="CE1757" s="585"/>
      <c r="CF1757" s="585"/>
      <c r="CG1757" s="585"/>
      <c r="CH1757" s="585"/>
      <c r="CJ1757" s="136">
        <v>2.9</v>
      </c>
      <c r="CK1757" s="136">
        <v>2.5</v>
      </c>
      <c r="CN1757" s="136" t="s">
        <v>1674</v>
      </c>
    </row>
    <row r="1758" spans="1:92" s="136" customFormat="1" x14ac:dyDescent="0.25">
      <c r="A1758" s="136">
        <v>82</v>
      </c>
      <c r="B1758" s="137" t="s">
        <v>4106</v>
      </c>
      <c r="C1758" s="136" t="s">
        <v>1459</v>
      </c>
      <c r="D1758" s="136" t="s">
        <v>1460</v>
      </c>
      <c r="E1758" s="136">
        <v>2007</v>
      </c>
      <c r="F1758" s="136">
        <v>2001</v>
      </c>
      <c r="G1758" s="136" t="s">
        <v>1461</v>
      </c>
      <c r="H1758" s="136" t="s">
        <v>1462</v>
      </c>
      <c r="I1758" s="136" t="s">
        <v>2815</v>
      </c>
      <c r="J1758" s="136">
        <v>42.74</v>
      </c>
      <c r="K1758" s="136">
        <v>-84.48</v>
      </c>
      <c r="L1758" s="136">
        <v>260</v>
      </c>
      <c r="Q1758" s="137"/>
      <c r="R1758" s="137" t="s">
        <v>1728</v>
      </c>
      <c r="S1758" s="137" t="s">
        <v>1728</v>
      </c>
      <c r="U1758" s="137" t="s">
        <v>1965</v>
      </c>
      <c r="V1758" s="137" t="s">
        <v>1389</v>
      </c>
      <c r="W1758" s="137" t="s">
        <v>1720</v>
      </c>
      <c r="X1758" s="137" t="s">
        <v>1389</v>
      </c>
      <c r="Y1758" s="137" t="s">
        <v>1417</v>
      </c>
      <c r="AA1758" s="357"/>
      <c r="AB1758" s="357"/>
      <c r="AC1758" s="136" t="s">
        <v>139</v>
      </c>
      <c r="AH1758" s="136" t="s">
        <v>1545</v>
      </c>
      <c r="AI1758" s="138" t="s">
        <v>131</v>
      </c>
      <c r="AJ1758" s="136" t="s">
        <v>132</v>
      </c>
      <c r="AK1758" s="140" t="s">
        <v>1611</v>
      </c>
      <c r="AW1758" s="32" t="s">
        <v>160</v>
      </c>
      <c r="AX1758" s="32">
        <v>4</v>
      </c>
      <c r="AY1758" s="32"/>
      <c r="AZ1758" s="32" t="s">
        <v>335</v>
      </c>
      <c r="BP1758" s="432"/>
      <c r="BQ1758" s="432"/>
      <c r="BU1758" s="432"/>
      <c r="BV1758" s="432"/>
      <c r="BZ1758" s="432"/>
      <c r="CA1758" s="432"/>
      <c r="CE1758" s="585"/>
      <c r="CF1758" s="585"/>
      <c r="CG1758" s="585"/>
      <c r="CH1758" s="585"/>
      <c r="CJ1758" s="136">
        <v>2.9</v>
      </c>
      <c r="CK1758" s="136">
        <v>2.9</v>
      </c>
      <c r="CN1758" s="136" t="s">
        <v>1674</v>
      </c>
    </row>
    <row r="1759" spans="1:92" s="136" customFormat="1" x14ac:dyDescent="0.25">
      <c r="A1759" s="136">
        <v>82</v>
      </c>
      <c r="B1759" s="137" t="s">
        <v>4107</v>
      </c>
      <c r="C1759" s="136" t="s">
        <v>1459</v>
      </c>
      <c r="D1759" s="136" t="s">
        <v>1460</v>
      </c>
      <c r="E1759" s="136">
        <v>2007</v>
      </c>
      <c r="F1759" s="136">
        <v>2001</v>
      </c>
      <c r="G1759" s="136" t="s">
        <v>1461</v>
      </c>
      <c r="H1759" s="136" t="s">
        <v>1462</v>
      </c>
      <c r="I1759" s="136" t="s">
        <v>2815</v>
      </c>
      <c r="J1759" s="136">
        <v>42.74</v>
      </c>
      <c r="K1759" s="136">
        <v>-84.48</v>
      </c>
      <c r="L1759" s="136">
        <v>260</v>
      </c>
      <c r="Q1759" s="137"/>
      <c r="R1759" s="137" t="s">
        <v>1728</v>
      </c>
      <c r="S1759" s="137" t="s">
        <v>1728</v>
      </c>
      <c r="U1759" s="137" t="s">
        <v>1965</v>
      </c>
      <c r="V1759" s="137" t="s">
        <v>1389</v>
      </c>
      <c r="W1759" s="137" t="s">
        <v>1720</v>
      </c>
      <c r="X1759" s="137" t="s">
        <v>1389</v>
      </c>
      <c r="Y1759" s="137" t="s">
        <v>1417</v>
      </c>
      <c r="AA1759" s="357"/>
      <c r="AB1759" s="357"/>
      <c r="AC1759" s="136" t="s">
        <v>139</v>
      </c>
      <c r="AH1759" s="136" t="s">
        <v>1546</v>
      </c>
      <c r="AI1759" s="138" t="s">
        <v>1581</v>
      </c>
      <c r="AJ1759" s="136" t="s">
        <v>132</v>
      </c>
      <c r="AK1759" s="140" t="s">
        <v>1611</v>
      </c>
      <c r="AW1759" s="32" t="s">
        <v>160</v>
      </c>
      <c r="AX1759" s="32">
        <v>4</v>
      </c>
      <c r="AY1759" s="32"/>
      <c r="AZ1759" s="32" t="s">
        <v>335</v>
      </c>
      <c r="BP1759" s="432"/>
      <c r="BQ1759" s="432"/>
      <c r="BU1759" s="432"/>
      <c r="BV1759" s="432"/>
      <c r="BZ1759" s="432"/>
      <c r="CA1759" s="432"/>
      <c r="CE1759" s="585"/>
      <c r="CF1759" s="585"/>
      <c r="CG1759" s="585"/>
      <c r="CH1759" s="585"/>
      <c r="CJ1759" s="136">
        <v>2.9</v>
      </c>
      <c r="CK1759" s="136">
        <v>1.5</v>
      </c>
      <c r="CN1759" s="136" t="s">
        <v>1674</v>
      </c>
    </row>
    <row r="1760" spans="1:92" s="136" customFormat="1" x14ac:dyDescent="0.25">
      <c r="A1760" s="136">
        <v>82</v>
      </c>
      <c r="B1760" s="137" t="s">
        <v>4107</v>
      </c>
      <c r="C1760" s="136" t="s">
        <v>1459</v>
      </c>
      <c r="D1760" s="136" t="s">
        <v>1460</v>
      </c>
      <c r="E1760" s="136">
        <v>2007</v>
      </c>
      <c r="F1760" s="136">
        <v>2001</v>
      </c>
      <c r="G1760" s="136" t="s">
        <v>1461</v>
      </c>
      <c r="H1760" s="136" t="s">
        <v>1462</v>
      </c>
      <c r="I1760" s="136" t="s">
        <v>2815</v>
      </c>
      <c r="J1760" s="136">
        <v>42.74</v>
      </c>
      <c r="K1760" s="136">
        <v>-84.48</v>
      </c>
      <c r="L1760" s="136">
        <v>260</v>
      </c>
      <c r="Q1760" s="137"/>
      <c r="R1760" s="137" t="s">
        <v>1728</v>
      </c>
      <c r="S1760" s="137" t="s">
        <v>1728</v>
      </c>
      <c r="U1760" s="137" t="s">
        <v>1965</v>
      </c>
      <c r="V1760" s="137" t="s">
        <v>1389</v>
      </c>
      <c r="W1760" s="137" t="s">
        <v>1720</v>
      </c>
      <c r="X1760" s="137" t="s">
        <v>1389</v>
      </c>
      <c r="Y1760" s="137" t="s">
        <v>1417</v>
      </c>
      <c r="AA1760" s="357"/>
      <c r="AB1760" s="357"/>
      <c r="AC1760" s="136" t="s">
        <v>139</v>
      </c>
      <c r="AH1760" s="136" t="s">
        <v>1547</v>
      </c>
      <c r="AI1760" s="138" t="s">
        <v>1581</v>
      </c>
      <c r="AJ1760" s="136" t="s">
        <v>132</v>
      </c>
      <c r="AK1760" s="140" t="s">
        <v>1611</v>
      </c>
      <c r="AW1760" s="32" t="s">
        <v>160</v>
      </c>
      <c r="AX1760" s="32">
        <v>4</v>
      </c>
      <c r="AY1760" s="32"/>
      <c r="AZ1760" s="32" t="s">
        <v>335</v>
      </c>
      <c r="BP1760" s="432"/>
      <c r="BQ1760" s="432"/>
      <c r="BU1760" s="432"/>
      <c r="BV1760" s="432"/>
      <c r="BZ1760" s="432"/>
      <c r="CA1760" s="432"/>
      <c r="CE1760" s="585"/>
      <c r="CF1760" s="585"/>
      <c r="CG1760" s="585"/>
      <c r="CH1760" s="585"/>
      <c r="CJ1760" s="136">
        <v>2.9</v>
      </c>
      <c r="CK1760" s="136">
        <v>1.8</v>
      </c>
      <c r="CN1760" s="136" t="s">
        <v>1674</v>
      </c>
    </row>
    <row r="1761" spans="1:92" s="136" customFormat="1" x14ac:dyDescent="0.25">
      <c r="A1761" s="136">
        <v>82</v>
      </c>
      <c r="B1761" s="137" t="s">
        <v>4107</v>
      </c>
      <c r="C1761" s="136" t="s">
        <v>1459</v>
      </c>
      <c r="D1761" s="136" t="s">
        <v>1460</v>
      </c>
      <c r="E1761" s="136">
        <v>2007</v>
      </c>
      <c r="F1761" s="136">
        <v>2001</v>
      </c>
      <c r="G1761" s="136" t="s">
        <v>1461</v>
      </c>
      <c r="H1761" s="136" t="s">
        <v>1462</v>
      </c>
      <c r="I1761" s="136" t="s">
        <v>2815</v>
      </c>
      <c r="J1761" s="136">
        <v>42.74</v>
      </c>
      <c r="K1761" s="136">
        <v>-84.48</v>
      </c>
      <c r="L1761" s="136">
        <v>260</v>
      </c>
      <c r="Q1761" s="137"/>
      <c r="R1761" s="137" t="s">
        <v>1728</v>
      </c>
      <c r="S1761" s="137" t="s">
        <v>1728</v>
      </c>
      <c r="U1761" s="137" t="s">
        <v>1965</v>
      </c>
      <c r="V1761" s="137" t="s">
        <v>1389</v>
      </c>
      <c r="W1761" s="137" t="s">
        <v>1720</v>
      </c>
      <c r="X1761" s="137" t="s">
        <v>1389</v>
      </c>
      <c r="Y1761" s="137" t="s">
        <v>1417</v>
      </c>
      <c r="AA1761" s="357"/>
      <c r="AB1761" s="357"/>
      <c r="AC1761" s="136" t="s">
        <v>139</v>
      </c>
      <c r="AH1761" s="136" t="s">
        <v>1548</v>
      </c>
      <c r="AI1761" s="138" t="s">
        <v>1581</v>
      </c>
      <c r="AJ1761" s="136" t="s">
        <v>132</v>
      </c>
      <c r="AK1761" s="140" t="s">
        <v>1611</v>
      </c>
      <c r="AW1761" s="32" t="s">
        <v>160</v>
      </c>
      <c r="AX1761" s="32">
        <v>4</v>
      </c>
      <c r="AY1761" s="32"/>
      <c r="AZ1761" s="32" t="s">
        <v>335</v>
      </c>
      <c r="BP1761" s="432"/>
      <c r="BQ1761" s="432"/>
      <c r="BU1761" s="432"/>
      <c r="BV1761" s="432"/>
      <c r="BZ1761" s="432"/>
      <c r="CA1761" s="432"/>
      <c r="CE1761" s="585"/>
      <c r="CF1761" s="585"/>
      <c r="CG1761" s="585"/>
      <c r="CH1761" s="585"/>
      <c r="CJ1761" s="136">
        <v>2.9</v>
      </c>
      <c r="CK1761" s="136">
        <v>1.5</v>
      </c>
      <c r="CN1761" s="136" t="s">
        <v>1674</v>
      </c>
    </row>
    <row r="1762" spans="1:92" s="136" customFormat="1" x14ac:dyDescent="0.25">
      <c r="A1762" s="136">
        <v>82</v>
      </c>
      <c r="B1762" s="137" t="s">
        <v>4107</v>
      </c>
      <c r="C1762" s="136" t="s">
        <v>1459</v>
      </c>
      <c r="D1762" s="136" t="s">
        <v>1460</v>
      </c>
      <c r="E1762" s="136">
        <v>2007</v>
      </c>
      <c r="F1762" s="136">
        <v>2001</v>
      </c>
      <c r="G1762" s="136" t="s">
        <v>1461</v>
      </c>
      <c r="H1762" s="136" t="s">
        <v>1462</v>
      </c>
      <c r="I1762" s="136" t="s">
        <v>2815</v>
      </c>
      <c r="J1762" s="136">
        <v>42.74</v>
      </c>
      <c r="K1762" s="136">
        <v>-84.48</v>
      </c>
      <c r="L1762" s="136">
        <v>260</v>
      </c>
      <c r="Q1762" s="137"/>
      <c r="R1762" s="137" t="s">
        <v>1728</v>
      </c>
      <c r="S1762" s="137" t="s">
        <v>1728</v>
      </c>
      <c r="U1762" s="137" t="s">
        <v>1965</v>
      </c>
      <c r="V1762" s="137" t="s">
        <v>1389</v>
      </c>
      <c r="W1762" s="137" t="s">
        <v>1720</v>
      </c>
      <c r="X1762" s="137" t="s">
        <v>1389</v>
      </c>
      <c r="Y1762" s="137" t="s">
        <v>1417</v>
      </c>
      <c r="AA1762" s="357"/>
      <c r="AB1762" s="357"/>
      <c r="AC1762" s="136" t="s">
        <v>139</v>
      </c>
      <c r="AH1762" s="136" t="s">
        <v>1549</v>
      </c>
      <c r="AI1762" s="138" t="s">
        <v>1581</v>
      </c>
      <c r="AJ1762" s="136" t="s">
        <v>132</v>
      </c>
      <c r="AK1762" s="140" t="s">
        <v>1611</v>
      </c>
      <c r="AW1762" s="32" t="s">
        <v>160</v>
      </c>
      <c r="AX1762" s="32">
        <v>4</v>
      </c>
      <c r="AY1762" s="32"/>
      <c r="AZ1762" s="32" t="s">
        <v>335</v>
      </c>
      <c r="BP1762" s="432"/>
      <c r="BQ1762" s="432"/>
      <c r="BU1762" s="432"/>
      <c r="BV1762" s="432"/>
      <c r="BZ1762" s="432"/>
      <c r="CA1762" s="432"/>
      <c r="CE1762" s="585"/>
      <c r="CF1762" s="585"/>
      <c r="CG1762" s="585"/>
      <c r="CH1762" s="585"/>
      <c r="CJ1762" s="136">
        <v>2.9</v>
      </c>
      <c r="CK1762" s="136">
        <v>1.3</v>
      </c>
      <c r="CN1762" s="136" t="s">
        <v>1674</v>
      </c>
    </row>
    <row r="1763" spans="1:92" s="24" customFormat="1" x14ac:dyDescent="0.25">
      <c r="A1763" s="24">
        <v>82</v>
      </c>
      <c r="B1763" s="42" t="s">
        <v>4108</v>
      </c>
      <c r="C1763" s="24" t="s">
        <v>1459</v>
      </c>
      <c r="D1763" s="24" t="s">
        <v>1460</v>
      </c>
      <c r="E1763" s="24">
        <v>2007</v>
      </c>
      <c r="F1763" s="24">
        <v>2001</v>
      </c>
      <c r="G1763" s="24" t="s">
        <v>1461</v>
      </c>
      <c r="H1763" s="24" t="s">
        <v>1462</v>
      </c>
      <c r="I1763" s="136" t="s">
        <v>2815</v>
      </c>
      <c r="J1763" s="24">
        <v>42.74</v>
      </c>
      <c r="K1763" s="24">
        <v>-84.48</v>
      </c>
      <c r="L1763" s="24">
        <v>260</v>
      </c>
      <c r="Q1763" s="42"/>
      <c r="R1763" s="42" t="s">
        <v>1728</v>
      </c>
      <c r="S1763" s="42" t="s">
        <v>1728</v>
      </c>
      <c r="U1763" s="42" t="s">
        <v>1965</v>
      </c>
      <c r="V1763" s="42" t="s">
        <v>1402</v>
      </c>
      <c r="W1763" s="42" t="s">
        <v>1720</v>
      </c>
      <c r="X1763" s="42" t="s">
        <v>1389</v>
      </c>
      <c r="Y1763" s="42" t="s">
        <v>1417</v>
      </c>
      <c r="AA1763" s="321"/>
      <c r="AB1763" s="321"/>
      <c r="AC1763" s="24" t="s">
        <v>139</v>
      </c>
      <c r="AH1763" s="24" t="s">
        <v>116</v>
      </c>
      <c r="AI1763" s="138" t="s">
        <v>1581</v>
      </c>
      <c r="AJ1763" s="24" t="s">
        <v>132</v>
      </c>
      <c r="AK1763" s="140" t="s">
        <v>1611</v>
      </c>
      <c r="AW1763" s="32" t="s">
        <v>160</v>
      </c>
      <c r="AX1763" s="32">
        <v>4</v>
      </c>
      <c r="AY1763" s="32"/>
      <c r="AZ1763" s="32" t="s">
        <v>335</v>
      </c>
      <c r="BP1763" s="395"/>
      <c r="BQ1763" s="395"/>
      <c r="BU1763" s="395"/>
      <c r="BV1763" s="395"/>
      <c r="BZ1763" s="395"/>
      <c r="CA1763" s="395"/>
      <c r="CE1763" s="548"/>
      <c r="CF1763" s="548"/>
      <c r="CG1763" s="548"/>
      <c r="CH1763" s="548"/>
      <c r="CJ1763" s="24">
        <v>3.8</v>
      </c>
      <c r="CK1763" s="24">
        <v>2.2999999999999998</v>
      </c>
      <c r="CL1763" s="136"/>
      <c r="CM1763" s="136"/>
      <c r="CN1763" s="136" t="s">
        <v>1674</v>
      </c>
    </row>
    <row r="1764" spans="1:92" s="24" customFormat="1" x14ac:dyDescent="0.25">
      <c r="A1764" s="24">
        <v>82</v>
      </c>
      <c r="B1764" s="42" t="s">
        <v>4109</v>
      </c>
      <c r="C1764" s="24" t="s">
        <v>1459</v>
      </c>
      <c r="D1764" s="24" t="s">
        <v>1460</v>
      </c>
      <c r="E1764" s="24">
        <v>2007</v>
      </c>
      <c r="F1764" s="24">
        <v>2001</v>
      </c>
      <c r="G1764" s="24" t="s">
        <v>1461</v>
      </c>
      <c r="H1764" s="24" t="s">
        <v>1462</v>
      </c>
      <c r="I1764" s="136" t="s">
        <v>2815</v>
      </c>
      <c r="J1764" s="24">
        <v>42.74</v>
      </c>
      <c r="K1764" s="24">
        <v>-84.48</v>
      </c>
      <c r="L1764" s="24">
        <v>260</v>
      </c>
      <c r="Q1764" s="42"/>
      <c r="R1764" s="42" t="s">
        <v>1728</v>
      </c>
      <c r="S1764" s="42" t="s">
        <v>1728</v>
      </c>
      <c r="U1764" s="42" t="s">
        <v>1965</v>
      </c>
      <c r="V1764" s="42" t="s">
        <v>1402</v>
      </c>
      <c r="W1764" s="42" t="s">
        <v>1720</v>
      </c>
      <c r="X1764" s="42" t="s">
        <v>1389</v>
      </c>
      <c r="Y1764" s="42" t="s">
        <v>1417</v>
      </c>
      <c r="AA1764" s="321"/>
      <c r="AB1764" s="321"/>
      <c r="AC1764" s="24" t="s">
        <v>139</v>
      </c>
      <c r="AH1764" s="24" t="s">
        <v>131</v>
      </c>
      <c r="AI1764" s="138" t="s">
        <v>131</v>
      </c>
      <c r="AJ1764" s="24" t="s">
        <v>132</v>
      </c>
      <c r="AK1764" s="140" t="s">
        <v>1611</v>
      </c>
      <c r="AW1764" s="32" t="s">
        <v>160</v>
      </c>
      <c r="AX1764" s="32">
        <v>4</v>
      </c>
      <c r="AY1764" s="32"/>
      <c r="AZ1764" s="32" t="s">
        <v>335</v>
      </c>
      <c r="BP1764" s="395"/>
      <c r="BQ1764" s="395"/>
      <c r="BU1764" s="395"/>
      <c r="BV1764" s="395"/>
      <c r="BZ1764" s="395"/>
      <c r="CA1764" s="395"/>
      <c r="CE1764" s="548"/>
      <c r="CF1764" s="548"/>
      <c r="CG1764" s="548"/>
      <c r="CH1764" s="548"/>
      <c r="CJ1764" s="24">
        <v>3.8</v>
      </c>
      <c r="CK1764" s="24">
        <v>1.9</v>
      </c>
      <c r="CL1764" s="136"/>
      <c r="CM1764" s="136"/>
      <c r="CN1764" s="136" t="s">
        <v>1674</v>
      </c>
    </row>
    <row r="1765" spans="1:92" s="24" customFormat="1" x14ac:dyDescent="0.25">
      <c r="A1765" s="24">
        <v>82</v>
      </c>
      <c r="B1765" s="42" t="s">
        <v>4109</v>
      </c>
      <c r="C1765" s="24" t="s">
        <v>1459</v>
      </c>
      <c r="D1765" s="24" t="s">
        <v>1460</v>
      </c>
      <c r="E1765" s="24">
        <v>2007</v>
      </c>
      <c r="F1765" s="24">
        <v>2001</v>
      </c>
      <c r="G1765" s="24" t="s">
        <v>1461</v>
      </c>
      <c r="H1765" s="24" t="s">
        <v>1462</v>
      </c>
      <c r="I1765" s="136" t="s">
        <v>2815</v>
      </c>
      <c r="J1765" s="24">
        <v>42.74</v>
      </c>
      <c r="K1765" s="24">
        <v>-84.48</v>
      </c>
      <c r="L1765" s="24">
        <v>260</v>
      </c>
      <c r="Q1765" s="42"/>
      <c r="R1765" s="42" t="s">
        <v>1728</v>
      </c>
      <c r="S1765" s="42" t="s">
        <v>1728</v>
      </c>
      <c r="U1765" s="42" t="s">
        <v>1965</v>
      </c>
      <c r="V1765" s="42" t="s">
        <v>1402</v>
      </c>
      <c r="W1765" s="42" t="s">
        <v>1720</v>
      </c>
      <c r="X1765" s="42" t="s">
        <v>1389</v>
      </c>
      <c r="Y1765" s="42" t="s">
        <v>1417</v>
      </c>
      <c r="AA1765" s="321"/>
      <c r="AB1765" s="321"/>
      <c r="AC1765" s="24" t="s">
        <v>139</v>
      </c>
      <c r="AH1765" s="24" t="s">
        <v>1545</v>
      </c>
      <c r="AI1765" s="138" t="s">
        <v>131</v>
      </c>
      <c r="AJ1765" s="24" t="s">
        <v>132</v>
      </c>
      <c r="AK1765" s="140" t="s">
        <v>1611</v>
      </c>
      <c r="AW1765" s="32" t="s">
        <v>160</v>
      </c>
      <c r="AX1765" s="32">
        <v>4</v>
      </c>
      <c r="AY1765" s="32"/>
      <c r="AZ1765" s="32" t="s">
        <v>335</v>
      </c>
      <c r="BP1765" s="395"/>
      <c r="BQ1765" s="395"/>
      <c r="BU1765" s="395"/>
      <c r="BV1765" s="395"/>
      <c r="BZ1765" s="395"/>
      <c r="CA1765" s="395"/>
      <c r="CE1765" s="548"/>
      <c r="CF1765" s="548"/>
      <c r="CG1765" s="548"/>
      <c r="CH1765" s="548"/>
      <c r="CJ1765" s="24">
        <v>3.8</v>
      </c>
      <c r="CK1765" s="24">
        <v>1.5</v>
      </c>
      <c r="CL1765" s="136"/>
      <c r="CM1765" s="136"/>
      <c r="CN1765" s="136" t="s">
        <v>1674</v>
      </c>
    </row>
    <row r="1766" spans="1:92" s="24" customFormat="1" x14ac:dyDescent="0.25">
      <c r="A1766" s="24">
        <v>82</v>
      </c>
      <c r="B1766" s="42" t="s">
        <v>4110</v>
      </c>
      <c r="C1766" s="24" t="s">
        <v>1459</v>
      </c>
      <c r="D1766" s="24" t="s">
        <v>1460</v>
      </c>
      <c r="E1766" s="24">
        <v>2007</v>
      </c>
      <c r="F1766" s="24">
        <v>2001</v>
      </c>
      <c r="G1766" s="24" t="s">
        <v>1461</v>
      </c>
      <c r="H1766" s="24" t="s">
        <v>1462</v>
      </c>
      <c r="I1766" s="136" t="s">
        <v>2815</v>
      </c>
      <c r="J1766" s="24">
        <v>42.74</v>
      </c>
      <c r="K1766" s="24">
        <v>-84.48</v>
      </c>
      <c r="L1766" s="24">
        <v>260</v>
      </c>
      <c r="Q1766" s="42"/>
      <c r="R1766" s="42" t="s">
        <v>1728</v>
      </c>
      <c r="S1766" s="42" t="s">
        <v>1728</v>
      </c>
      <c r="U1766" s="42" t="s">
        <v>1965</v>
      </c>
      <c r="V1766" s="42" t="s">
        <v>1402</v>
      </c>
      <c r="W1766" s="42" t="s">
        <v>1720</v>
      </c>
      <c r="X1766" s="42" t="s">
        <v>1389</v>
      </c>
      <c r="Y1766" s="42" t="s">
        <v>1417</v>
      </c>
      <c r="AA1766" s="321"/>
      <c r="AB1766" s="321"/>
      <c r="AC1766" s="24" t="s">
        <v>139</v>
      </c>
      <c r="AH1766" s="24" t="s">
        <v>1546</v>
      </c>
      <c r="AI1766" s="138" t="s">
        <v>1581</v>
      </c>
      <c r="AJ1766" s="24" t="s">
        <v>132</v>
      </c>
      <c r="AK1766" s="140" t="s">
        <v>1611</v>
      </c>
      <c r="AW1766" s="32" t="s">
        <v>160</v>
      </c>
      <c r="AX1766" s="32">
        <v>4</v>
      </c>
      <c r="AY1766" s="32"/>
      <c r="AZ1766" s="32" t="s">
        <v>335</v>
      </c>
      <c r="BP1766" s="395"/>
      <c r="BQ1766" s="395"/>
      <c r="BU1766" s="395"/>
      <c r="BV1766" s="395"/>
      <c r="BZ1766" s="395"/>
      <c r="CA1766" s="395"/>
      <c r="CE1766" s="548"/>
      <c r="CF1766" s="548"/>
      <c r="CG1766" s="548"/>
      <c r="CH1766" s="548"/>
      <c r="CJ1766" s="24">
        <v>3.8</v>
      </c>
      <c r="CK1766" s="24">
        <v>1.3</v>
      </c>
      <c r="CL1766" s="136"/>
      <c r="CM1766" s="136"/>
      <c r="CN1766" s="136" t="s">
        <v>1674</v>
      </c>
    </row>
    <row r="1767" spans="1:92" s="24" customFormat="1" x14ac:dyDescent="0.25">
      <c r="A1767" s="24">
        <v>82</v>
      </c>
      <c r="B1767" s="42" t="s">
        <v>4110</v>
      </c>
      <c r="C1767" s="24" t="s">
        <v>1459</v>
      </c>
      <c r="D1767" s="24" t="s">
        <v>1460</v>
      </c>
      <c r="E1767" s="24">
        <v>2007</v>
      </c>
      <c r="F1767" s="24">
        <v>2001</v>
      </c>
      <c r="G1767" s="24" t="s">
        <v>1461</v>
      </c>
      <c r="H1767" s="24" t="s">
        <v>1462</v>
      </c>
      <c r="I1767" s="136" t="s">
        <v>2815</v>
      </c>
      <c r="J1767" s="24">
        <v>42.74</v>
      </c>
      <c r="K1767" s="24">
        <v>-84.48</v>
      </c>
      <c r="L1767" s="24">
        <v>260</v>
      </c>
      <c r="Q1767" s="42"/>
      <c r="R1767" s="42" t="s">
        <v>1728</v>
      </c>
      <c r="S1767" s="42" t="s">
        <v>1728</v>
      </c>
      <c r="U1767" s="42" t="s">
        <v>1965</v>
      </c>
      <c r="V1767" s="42" t="s">
        <v>1402</v>
      </c>
      <c r="W1767" s="42" t="s">
        <v>1720</v>
      </c>
      <c r="X1767" s="42" t="s">
        <v>1389</v>
      </c>
      <c r="Y1767" s="42" t="s">
        <v>1417</v>
      </c>
      <c r="AA1767" s="321"/>
      <c r="AB1767" s="321"/>
      <c r="AC1767" s="24" t="s">
        <v>139</v>
      </c>
      <c r="AH1767" s="24" t="s">
        <v>1547</v>
      </c>
      <c r="AI1767" s="138" t="s">
        <v>1581</v>
      </c>
      <c r="AJ1767" s="24" t="s">
        <v>132</v>
      </c>
      <c r="AK1767" s="140" t="s">
        <v>1611</v>
      </c>
      <c r="AW1767" s="32" t="s">
        <v>160</v>
      </c>
      <c r="AX1767" s="32">
        <v>4</v>
      </c>
      <c r="AY1767" s="32"/>
      <c r="AZ1767" s="32" t="s">
        <v>335</v>
      </c>
      <c r="BP1767" s="395"/>
      <c r="BQ1767" s="395"/>
      <c r="BU1767" s="395"/>
      <c r="BV1767" s="395"/>
      <c r="BZ1767" s="395"/>
      <c r="CA1767" s="395"/>
      <c r="CE1767" s="548"/>
      <c r="CF1767" s="548"/>
      <c r="CG1767" s="548"/>
      <c r="CH1767" s="548"/>
      <c r="CJ1767" s="24">
        <v>3.8</v>
      </c>
      <c r="CK1767" s="24">
        <v>1.4</v>
      </c>
      <c r="CL1767" s="136"/>
      <c r="CM1767" s="136"/>
      <c r="CN1767" s="136" t="s">
        <v>1674</v>
      </c>
    </row>
    <row r="1768" spans="1:92" s="24" customFormat="1" x14ac:dyDescent="0.25">
      <c r="A1768" s="24">
        <v>82</v>
      </c>
      <c r="B1768" s="42" t="s">
        <v>4110</v>
      </c>
      <c r="C1768" s="24" t="s">
        <v>1459</v>
      </c>
      <c r="D1768" s="24" t="s">
        <v>1460</v>
      </c>
      <c r="E1768" s="24">
        <v>2007</v>
      </c>
      <c r="F1768" s="24">
        <v>2001</v>
      </c>
      <c r="G1768" s="24" t="s">
        <v>1461</v>
      </c>
      <c r="H1768" s="24" t="s">
        <v>1462</v>
      </c>
      <c r="I1768" s="136" t="s">
        <v>2815</v>
      </c>
      <c r="J1768" s="24">
        <v>42.74</v>
      </c>
      <c r="K1768" s="24">
        <v>-84.48</v>
      </c>
      <c r="L1768" s="24">
        <v>260</v>
      </c>
      <c r="Q1768" s="42"/>
      <c r="R1768" s="42" t="s">
        <v>1728</v>
      </c>
      <c r="S1768" s="42" t="s">
        <v>1728</v>
      </c>
      <c r="U1768" s="42" t="s">
        <v>1965</v>
      </c>
      <c r="V1768" s="42" t="s">
        <v>1402</v>
      </c>
      <c r="W1768" s="42" t="s">
        <v>1720</v>
      </c>
      <c r="X1768" s="42" t="s">
        <v>1389</v>
      </c>
      <c r="Y1768" s="42" t="s">
        <v>1417</v>
      </c>
      <c r="AA1768" s="321"/>
      <c r="AB1768" s="321"/>
      <c r="AC1768" s="24" t="s">
        <v>139</v>
      </c>
      <c r="AH1768" s="24" t="s">
        <v>1548</v>
      </c>
      <c r="AI1768" s="138" t="s">
        <v>1581</v>
      </c>
      <c r="AJ1768" s="24" t="s">
        <v>132</v>
      </c>
      <c r="AK1768" s="140" t="s">
        <v>1611</v>
      </c>
      <c r="AW1768" s="32" t="s">
        <v>160</v>
      </c>
      <c r="AX1768" s="32">
        <v>4</v>
      </c>
      <c r="AY1768" s="32"/>
      <c r="AZ1768" s="32" t="s">
        <v>335</v>
      </c>
      <c r="BP1768" s="395"/>
      <c r="BQ1768" s="395"/>
      <c r="BU1768" s="395"/>
      <c r="BV1768" s="395"/>
      <c r="BZ1768" s="395"/>
      <c r="CA1768" s="395"/>
      <c r="CE1768" s="548"/>
      <c r="CF1768" s="548"/>
      <c r="CG1768" s="548"/>
      <c r="CH1768" s="548"/>
      <c r="CJ1768" s="24">
        <v>3.8</v>
      </c>
      <c r="CK1768" s="24">
        <v>1.5</v>
      </c>
      <c r="CL1768" s="136"/>
      <c r="CM1768" s="136"/>
      <c r="CN1768" s="136" t="s">
        <v>1674</v>
      </c>
    </row>
    <row r="1769" spans="1:92" s="24" customFormat="1" x14ac:dyDescent="0.25">
      <c r="A1769" s="24">
        <v>82</v>
      </c>
      <c r="B1769" s="42" t="s">
        <v>4110</v>
      </c>
      <c r="C1769" s="24" t="s">
        <v>1459</v>
      </c>
      <c r="D1769" s="24" t="s">
        <v>1460</v>
      </c>
      <c r="E1769" s="24">
        <v>2007</v>
      </c>
      <c r="F1769" s="24">
        <v>2001</v>
      </c>
      <c r="G1769" s="24" t="s">
        <v>1461</v>
      </c>
      <c r="H1769" s="24" t="s">
        <v>1462</v>
      </c>
      <c r="I1769" s="136" t="s">
        <v>2815</v>
      </c>
      <c r="J1769" s="24">
        <v>42.74</v>
      </c>
      <c r="K1769" s="24">
        <v>-84.48</v>
      </c>
      <c r="L1769" s="24">
        <v>260</v>
      </c>
      <c r="Q1769" s="42"/>
      <c r="R1769" s="42" t="s">
        <v>1728</v>
      </c>
      <c r="S1769" s="42" t="s">
        <v>1728</v>
      </c>
      <c r="U1769" s="42" t="s">
        <v>1965</v>
      </c>
      <c r="V1769" s="42" t="s">
        <v>1402</v>
      </c>
      <c r="W1769" s="42" t="s">
        <v>1720</v>
      </c>
      <c r="X1769" s="42" t="s">
        <v>1389</v>
      </c>
      <c r="Y1769" s="42" t="s">
        <v>1417</v>
      </c>
      <c r="AA1769" s="321"/>
      <c r="AB1769" s="321"/>
      <c r="AC1769" s="24" t="s">
        <v>139</v>
      </c>
      <c r="AH1769" s="24" t="s">
        <v>1549</v>
      </c>
      <c r="AI1769" s="138" t="s">
        <v>1581</v>
      </c>
      <c r="AJ1769" s="24" t="s">
        <v>132</v>
      </c>
      <c r="AK1769" s="140" t="s">
        <v>1611</v>
      </c>
      <c r="AW1769" s="32" t="s">
        <v>160</v>
      </c>
      <c r="AX1769" s="32">
        <v>4</v>
      </c>
      <c r="AY1769" s="32"/>
      <c r="AZ1769" s="32" t="s">
        <v>335</v>
      </c>
      <c r="BP1769" s="395"/>
      <c r="BQ1769" s="395"/>
      <c r="BU1769" s="395"/>
      <c r="BV1769" s="395"/>
      <c r="BZ1769" s="395"/>
      <c r="CA1769" s="395"/>
      <c r="CE1769" s="548"/>
      <c r="CF1769" s="548"/>
      <c r="CG1769" s="548"/>
      <c r="CH1769" s="548"/>
      <c r="CJ1769" s="24">
        <v>3.8</v>
      </c>
      <c r="CK1769" s="24">
        <v>1.2</v>
      </c>
      <c r="CL1769" s="136"/>
      <c r="CM1769" s="136"/>
      <c r="CN1769" s="136" t="s">
        <v>1674</v>
      </c>
    </row>
    <row r="1770" spans="1:92" s="136" customFormat="1" x14ac:dyDescent="0.25">
      <c r="A1770" s="136">
        <v>82</v>
      </c>
      <c r="B1770" s="137" t="s">
        <v>4111</v>
      </c>
      <c r="C1770" s="136" t="s">
        <v>1459</v>
      </c>
      <c r="D1770" s="136" t="s">
        <v>1460</v>
      </c>
      <c r="E1770" s="136">
        <v>2007</v>
      </c>
      <c r="F1770" s="136">
        <v>2001</v>
      </c>
      <c r="G1770" s="136" t="s">
        <v>1461</v>
      </c>
      <c r="H1770" s="136" t="s">
        <v>1462</v>
      </c>
      <c r="I1770" s="136" t="s">
        <v>2815</v>
      </c>
      <c r="J1770" s="136">
        <v>42.74</v>
      </c>
      <c r="K1770" s="136">
        <v>-84.48</v>
      </c>
      <c r="L1770" s="136">
        <v>260</v>
      </c>
      <c r="Q1770" s="137"/>
      <c r="R1770" s="137" t="s">
        <v>1728</v>
      </c>
      <c r="S1770" s="137" t="s">
        <v>1728</v>
      </c>
      <c r="U1770" s="137" t="s">
        <v>1965</v>
      </c>
      <c r="V1770" s="137" t="s">
        <v>1403</v>
      </c>
      <c r="W1770" s="137" t="s">
        <v>1720</v>
      </c>
      <c r="X1770" s="137" t="s">
        <v>1389</v>
      </c>
      <c r="Y1770" s="137" t="s">
        <v>1417</v>
      </c>
      <c r="AA1770" s="357"/>
      <c r="AB1770" s="357"/>
      <c r="AC1770" s="136" t="s">
        <v>139</v>
      </c>
      <c r="AH1770" s="136" t="s">
        <v>116</v>
      </c>
      <c r="AI1770" s="138" t="s">
        <v>1581</v>
      </c>
      <c r="AJ1770" s="136" t="s">
        <v>132</v>
      </c>
      <c r="AK1770" s="140" t="s">
        <v>1611</v>
      </c>
      <c r="AW1770" s="32" t="s">
        <v>160</v>
      </c>
      <c r="AX1770" s="32">
        <v>4</v>
      </c>
      <c r="AY1770" s="32"/>
      <c r="AZ1770" s="32" t="s">
        <v>335</v>
      </c>
      <c r="BP1770" s="432"/>
      <c r="BQ1770" s="432"/>
      <c r="BU1770" s="432"/>
      <c r="BV1770" s="432"/>
      <c r="BZ1770" s="432"/>
      <c r="CA1770" s="432"/>
      <c r="CE1770" s="585"/>
      <c r="CF1770" s="585"/>
      <c r="CG1770" s="585"/>
      <c r="CH1770" s="585"/>
      <c r="CJ1770" s="136">
        <v>3.1</v>
      </c>
      <c r="CK1770" s="136">
        <v>1.7</v>
      </c>
      <c r="CN1770" s="136" t="s">
        <v>1674</v>
      </c>
    </row>
    <row r="1771" spans="1:92" s="136" customFormat="1" x14ac:dyDescent="0.25">
      <c r="A1771" s="136">
        <v>82</v>
      </c>
      <c r="B1771" s="137" t="s">
        <v>4112</v>
      </c>
      <c r="C1771" s="136" t="s">
        <v>1459</v>
      </c>
      <c r="D1771" s="136" t="s">
        <v>1460</v>
      </c>
      <c r="E1771" s="136">
        <v>2007</v>
      </c>
      <c r="F1771" s="136">
        <v>2001</v>
      </c>
      <c r="G1771" s="136" t="s">
        <v>1461</v>
      </c>
      <c r="H1771" s="136" t="s">
        <v>1462</v>
      </c>
      <c r="I1771" s="136" t="s">
        <v>2815</v>
      </c>
      <c r="J1771" s="136">
        <v>42.74</v>
      </c>
      <c r="K1771" s="136">
        <v>-84.48</v>
      </c>
      <c r="L1771" s="136">
        <v>260</v>
      </c>
      <c r="Q1771" s="137"/>
      <c r="R1771" s="137" t="s">
        <v>1728</v>
      </c>
      <c r="S1771" s="137" t="s">
        <v>1728</v>
      </c>
      <c r="U1771" s="137" t="s">
        <v>1965</v>
      </c>
      <c r="V1771" s="137" t="s">
        <v>1403</v>
      </c>
      <c r="W1771" s="137" t="s">
        <v>1720</v>
      </c>
      <c r="X1771" s="137" t="s">
        <v>1389</v>
      </c>
      <c r="Y1771" s="137" t="s">
        <v>1417</v>
      </c>
      <c r="AA1771" s="357"/>
      <c r="AB1771" s="357"/>
      <c r="AC1771" s="136" t="s">
        <v>139</v>
      </c>
      <c r="AH1771" s="136" t="s">
        <v>131</v>
      </c>
      <c r="AI1771" s="138" t="s">
        <v>131</v>
      </c>
      <c r="AJ1771" s="136" t="s">
        <v>132</v>
      </c>
      <c r="AK1771" s="140" t="s">
        <v>1611</v>
      </c>
      <c r="AW1771" s="32" t="s">
        <v>160</v>
      </c>
      <c r="AX1771" s="32">
        <v>4</v>
      </c>
      <c r="AY1771" s="32"/>
      <c r="AZ1771" s="32" t="s">
        <v>335</v>
      </c>
      <c r="BP1771" s="432"/>
      <c r="BQ1771" s="432"/>
      <c r="BU1771" s="432"/>
      <c r="BV1771" s="432"/>
      <c r="BZ1771" s="432"/>
      <c r="CA1771" s="432"/>
      <c r="CE1771" s="585"/>
      <c r="CF1771" s="585"/>
      <c r="CG1771" s="585"/>
      <c r="CH1771" s="585"/>
      <c r="CJ1771" s="136">
        <v>3.1</v>
      </c>
      <c r="CK1771" s="136">
        <v>1.8</v>
      </c>
      <c r="CN1771" s="136" t="s">
        <v>1674</v>
      </c>
    </row>
    <row r="1772" spans="1:92" s="136" customFormat="1" x14ac:dyDescent="0.25">
      <c r="A1772" s="136">
        <v>82</v>
      </c>
      <c r="B1772" s="137" t="s">
        <v>4112</v>
      </c>
      <c r="C1772" s="136" t="s">
        <v>1459</v>
      </c>
      <c r="D1772" s="136" t="s">
        <v>1460</v>
      </c>
      <c r="E1772" s="136">
        <v>2007</v>
      </c>
      <c r="F1772" s="136">
        <v>2001</v>
      </c>
      <c r="G1772" s="136" t="s">
        <v>1461</v>
      </c>
      <c r="H1772" s="136" t="s">
        <v>1462</v>
      </c>
      <c r="I1772" s="136" t="s">
        <v>2815</v>
      </c>
      <c r="J1772" s="136">
        <v>42.74</v>
      </c>
      <c r="K1772" s="136">
        <v>-84.48</v>
      </c>
      <c r="L1772" s="136">
        <v>260</v>
      </c>
      <c r="Q1772" s="137"/>
      <c r="R1772" s="137" t="s">
        <v>1728</v>
      </c>
      <c r="S1772" s="137" t="s">
        <v>1728</v>
      </c>
      <c r="U1772" s="137" t="s">
        <v>1965</v>
      </c>
      <c r="V1772" s="137" t="s">
        <v>1403</v>
      </c>
      <c r="W1772" s="137" t="s">
        <v>1720</v>
      </c>
      <c r="X1772" s="137" t="s">
        <v>1389</v>
      </c>
      <c r="Y1772" s="137" t="s">
        <v>1417</v>
      </c>
      <c r="AA1772" s="357"/>
      <c r="AB1772" s="357"/>
      <c r="AC1772" s="136" t="s">
        <v>139</v>
      </c>
      <c r="AH1772" s="136" t="s">
        <v>1545</v>
      </c>
      <c r="AI1772" s="138" t="s">
        <v>131</v>
      </c>
      <c r="AJ1772" s="136" t="s">
        <v>132</v>
      </c>
      <c r="AK1772" s="140" t="s">
        <v>1611</v>
      </c>
      <c r="AW1772" s="32" t="s">
        <v>160</v>
      </c>
      <c r="AX1772" s="32">
        <v>4</v>
      </c>
      <c r="AY1772" s="32"/>
      <c r="AZ1772" s="32" t="s">
        <v>335</v>
      </c>
      <c r="BP1772" s="432"/>
      <c r="BQ1772" s="432"/>
      <c r="BU1772" s="432"/>
      <c r="BV1772" s="432"/>
      <c r="BZ1772" s="432"/>
      <c r="CA1772" s="432"/>
      <c r="CE1772" s="585"/>
      <c r="CF1772" s="585"/>
      <c r="CG1772" s="585"/>
      <c r="CH1772" s="585"/>
      <c r="CJ1772" s="136">
        <v>3.1</v>
      </c>
      <c r="CK1772" s="136">
        <v>1.5</v>
      </c>
      <c r="CN1772" s="136" t="s">
        <v>1674</v>
      </c>
    </row>
    <row r="1773" spans="1:92" s="136" customFormat="1" x14ac:dyDescent="0.25">
      <c r="A1773" s="136">
        <v>82</v>
      </c>
      <c r="B1773" s="137" t="s">
        <v>4113</v>
      </c>
      <c r="C1773" s="136" t="s">
        <v>1459</v>
      </c>
      <c r="D1773" s="136" t="s">
        <v>1460</v>
      </c>
      <c r="E1773" s="136">
        <v>2007</v>
      </c>
      <c r="F1773" s="136">
        <v>2001</v>
      </c>
      <c r="G1773" s="136" t="s">
        <v>1461</v>
      </c>
      <c r="H1773" s="136" t="s">
        <v>1462</v>
      </c>
      <c r="I1773" s="136" t="s">
        <v>2815</v>
      </c>
      <c r="J1773" s="136">
        <v>42.74</v>
      </c>
      <c r="K1773" s="136">
        <v>-84.48</v>
      </c>
      <c r="L1773" s="136">
        <v>260</v>
      </c>
      <c r="Q1773" s="137"/>
      <c r="R1773" s="137" t="s">
        <v>1728</v>
      </c>
      <c r="S1773" s="137" t="s">
        <v>1728</v>
      </c>
      <c r="U1773" s="137" t="s">
        <v>1965</v>
      </c>
      <c r="V1773" s="137" t="s">
        <v>1403</v>
      </c>
      <c r="W1773" s="137" t="s">
        <v>1720</v>
      </c>
      <c r="X1773" s="137" t="s">
        <v>1389</v>
      </c>
      <c r="Y1773" s="137" t="s">
        <v>1417</v>
      </c>
      <c r="AA1773" s="357"/>
      <c r="AB1773" s="357"/>
      <c r="AC1773" s="136" t="s">
        <v>139</v>
      </c>
      <c r="AH1773" s="136" t="s">
        <v>1546</v>
      </c>
      <c r="AI1773" s="138" t="s">
        <v>1581</v>
      </c>
      <c r="AJ1773" s="136" t="s">
        <v>132</v>
      </c>
      <c r="AK1773" s="140" t="s">
        <v>1611</v>
      </c>
      <c r="AW1773" s="32" t="s">
        <v>160</v>
      </c>
      <c r="AX1773" s="32">
        <v>4</v>
      </c>
      <c r="AY1773" s="32"/>
      <c r="AZ1773" s="32" t="s">
        <v>335</v>
      </c>
      <c r="BP1773" s="432"/>
      <c r="BQ1773" s="432"/>
      <c r="BU1773" s="432"/>
      <c r="BV1773" s="432"/>
      <c r="BZ1773" s="432"/>
      <c r="CA1773" s="432"/>
      <c r="CE1773" s="585"/>
      <c r="CF1773" s="585"/>
      <c r="CG1773" s="585"/>
      <c r="CH1773" s="585"/>
      <c r="CJ1773" s="136">
        <v>3.1</v>
      </c>
      <c r="CK1773" s="136">
        <v>1.6</v>
      </c>
      <c r="CN1773" s="136" t="s">
        <v>1674</v>
      </c>
    </row>
    <row r="1774" spans="1:92" s="136" customFormat="1" x14ac:dyDescent="0.25">
      <c r="A1774" s="136">
        <v>82</v>
      </c>
      <c r="B1774" s="137" t="s">
        <v>4113</v>
      </c>
      <c r="C1774" s="136" t="s">
        <v>1459</v>
      </c>
      <c r="D1774" s="136" t="s">
        <v>1460</v>
      </c>
      <c r="E1774" s="136">
        <v>2007</v>
      </c>
      <c r="F1774" s="136">
        <v>2001</v>
      </c>
      <c r="G1774" s="136" t="s">
        <v>1461</v>
      </c>
      <c r="H1774" s="136" t="s">
        <v>1462</v>
      </c>
      <c r="I1774" s="136" t="s">
        <v>2815</v>
      </c>
      <c r="J1774" s="136">
        <v>42.74</v>
      </c>
      <c r="K1774" s="136">
        <v>-84.48</v>
      </c>
      <c r="L1774" s="136">
        <v>260</v>
      </c>
      <c r="Q1774" s="137"/>
      <c r="R1774" s="137" t="s">
        <v>1728</v>
      </c>
      <c r="S1774" s="137" t="s">
        <v>1728</v>
      </c>
      <c r="U1774" s="137" t="s">
        <v>1965</v>
      </c>
      <c r="V1774" s="137" t="s">
        <v>1403</v>
      </c>
      <c r="W1774" s="137" t="s">
        <v>1720</v>
      </c>
      <c r="X1774" s="137" t="s">
        <v>1389</v>
      </c>
      <c r="Y1774" s="137" t="s">
        <v>1417</v>
      </c>
      <c r="AA1774" s="357"/>
      <c r="AB1774" s="357"/>
      <c r="AC1774" s="136" t="s">
        <v>139</v>
      </c>
      <c r="AH1774" s="136" t="s">
        <v>1547</v>
      </c>
      <c r="AI1774" s="138" t="s">
        <v>1581</v>
      </c>
      <c r="AJ1774" s="136" t="s">
        <v>132</v>
      </c>
      <c r="AK1774" s="140" t="s">
        <v>1611</v>
      </c>
      <c r="AW1774" s="32" t="s">
        <v>160</v>
      </c>
      <c r="AX1774" s="32">
        <v>4</v>
      </c>
      <c r="AY1774" s="32"/>
      <c r="AZ1774" s="32" t="s">
        <v>335</v>
      </c>
      <c r="BP1774" s="432"/>
      <c r="BQ1774" s="432"/>
      <c r="BU1774" s="432"/>
      <c r="BV1774" s="432"/>
      <c r="BZ1774" s="432"/>
      <c r="CA1774" s="432"/>
      <c r="CE1774" s="585"/>
      <c r="CF1774" s="585"/>
      <c r="CG1774" s="585"/>
      <c r="CH1774" s="585"/>
      <c r="CJ1774" s="136">
        <v>3.1</v>
      </c>
      <c r="CK1774" s="136">
        <v>1.9</v>
      </c>
      <c r="CN1774" s="136" t="s">
        <v>1674</v>
      </c>
    </row>
    <row r="1775" spans="1:92" s="136" customFormat="1" x14ac:dyDescent="0.25">
      <c r="A1775" s="136">
        <v>82</v>
      </c>
      <c r="B1775" s="137" t="s">
        <v>4113</v>
      </c>
      <c r="C1775" s="136" t="s">
        <v>1459</v>
      </c>
      <c r="D1775" s="136" t="s">
        <v>1460</v>
      </c>
      <c r="E1775" s="136">
        <v>2007</v>
      </c>
      <c r="F1775" s="136">
        <v>2001</v>
      </c>
      <c r="G1775" s="136" t="s">
        <v>1461</v>
      </c>
      <c r="H1775" s="136" t="s">
        <v>1462</v>
      </c>
      <c r="I1775" s="136" t="s">
        <v>2815</v>
      </c>
      <c r="J1775" s="136">
        <v>42.74</v>
      </c>
      <c r="K1775" s="136">
        <v>-84.48</v>
      </c>
      <c r="L1775" s="136">
        <v>260</v>
      </c>
      <c r="Q1775" s="137"/>
      <c r="R1775" s="137" t="s">
        <v>1728</v>
      </c>
      <c r="S1775" s="137" t="s">
        <v>1728</v>
      </c>
      <c r="U1775" s="137" t="s">
        <v>1965</v>
      </c>
      <c r="V1775" s="137" t="s">
        <v>1403</v>
      </c>
      <c r="W1775" s="137" t="s">
        <v>1720</v>
      </c>
      <c r="X1775" s="137" t="s">
        <v>1389</v>
      </c>
      <c r="Y1775" s="137" t="s">
        <v>1417</v>
      </c>
      <c r="AA1775" s="357"/>
      <c r="AB1775" s="357"/>
      <c r="AC1775" s="136" t="s">
        <v>139</v>
      </c>
      <c r="AH1775" s="136" t="s">
        <v>1548</v>
      </c>
      <c r="AI1775" s="138" t="s">
        <v>1581</v>
      </c>
      <c r="AJ1775" s="136" t="s">
        <v>132</v>
      </c>
      <c r="AK1775" s="140" t="s">
        <v>1611</v>
      </c>
      <c r="AW1775" s="32" t="s">
        <v>160</v>
      </c>
      <c r="AX1775" s="32">
        <v>4</v>
      </c>
      <c r="AY1775" s="32"/>
      <c r="AZ1775" s="32" t="s">
        <v>335</v>
      </c>
      <c r="BP1775" s="432"/>
      <c r="BQ1775" s="432"/>
      <c r="BU1775" s="432"/>
      <c r="BV1775" s="432"/>
      <c r="BZ1775" s="432"/>
      <c r="CA1775" s="432"/>
      <c r="CE1775" s="585"/>
      <c r="CF1775" s="585"/>
      <c r="CG1775" s="585"/>
      <c r="CH1775" s="585"/>
      <c r="CJ1775" s="136">
        <v>3.1</v>
      </c>
      <c r="CK1775" s="136">
        <v>1.6</v>
      </c>
      <c r="CN1775" s="136" t="s">
        <v>1674</v>
      </c>
    </row>
    <row r="1776" spans="1:92" s="136" customFormat="1" x14ac:dyDescent="0.25">
      <c r="A1776" s="136">
        <v>82</v>
      </c>
      <c r="B1776" s="137" t="s">
        <v>4113</v>
      </c>
      <c r="C1776" s="136" t="s">
        <v>1459</v>
      </c>
      <c r="D1776" s="136" t="s">
        <v>1460</v>
      </c>
      <c r="E1776" s="136">
        <v>2007</v>
      </c>
      <c r="F1776" s="136">
        <v>2001</v>
      </c>
      <c r="G1776" s="136" t="s">
        <v>1461</v>
      </c>
      <c r="H1776" s="136" t="s">
        <v>1462</v>
      </c>
      <c r="I1776" s="136" t="s">
        <v>2815</v>
      </c>
      <c r="J1776" s="136">
        <v>42.74</v>
      </c>
      <c r="K1776" s="136">
        <v>-84.48</v>
      </c>
      <c r="L1776" s="136">
        <v>260</v>
      </c>
      <c r="Q1776" s="137"/>
      <c r="R1776" s="137" t="s">
        <v>1728</v>
      </c>
      <c r="S1776" s="137" t="s">
        <v>1728</v>
      </c>
      <c r="U1776" s="137" t="s">
        <v>1965</v>
      </c>
      <c r="V1776" s="137" t="s">
        <v>1403</v>
      </c>
      <c r="W1776" s="137" t="s">
        <v>1720</v>
      </c>
      <c r="X1776" s="137" t="s">
        <v>1389</v>
      </c>
      <c r="Y1776" s="137" t="s">
        <v>1417</v>
      </c>
      <c r="AA1776" s="357"/>
      <c r="AB1776" s="357"/>
      <c r="AC1776" s="136" t="s">
        <v>139</v>
      </c>
      <c r="AH1776" s="136" t="s">
        <v>1549</v>
      </c>
      <c r="AI1776" s="138" t="s">
        <v>1581</v>
      </c>
      <c r="AJ1776" s="136" t="s">
        <v>132</v>
      </c>
      <c r="AK1776" s="140" t="s">
        <v>1611</v>
      </c>
      <c r="AW1776" s="32" t="s">
        <v>160</v>
      </c>
      <c r="AX1776" s="32">
        <v>4</v>
      </c>
      <c r="AY1776" s="32"/>
      <c r="AZ1776" s="32" t="s">
        <v>335</v>
      </c>
      <c r="BP1776" s="432"/>
      <c r="BQ1776" s="432"/>
      <c r="BU1776" s="432"/>
      <c r="BV1776" s="432"/>
      <c r="BZ1776" s="432"/>
      <c r="CA1776" s="432"/>
      <c r="CE1776" s="585"/>
      <c r="CF1776" s="585"/>
      <c r="CG1776" s="585"/>
      <c r="CH1776" s="585"/>
      <c r="CJ1776" s="136">
        <v>3.1</v>
      </c>
      <c r="CK1776" s="136">
        <v>1.5</v>
      </c>
      <c r="CN1776" s="136" t="s">
        <v>1674</v>
      </c>
    </row>
    <row r="1777" spans="1:262" s="164" customFormat="1" x14ac:dyDescent="0.25">
      <c r="A1777" s="164">
        <v>83</v>
      </c>
      <c r="B1777" s="165" t="s">
        <v>4114</v>
      </c>
      <c r="C1777" s="164" t="s">
        <v>1750</v>
      </c>
      <c r="D1777" s="164" t="s">
        <v>1755</v>
      </c>
      <c r="E1777" s="164">
        <v>2001</v>
      </c>
      <c r="F1777" s="164">
        <v>1997</v>
      </c>
      <c r="G1777" s="164" t="s">
        <v>1749</v>
      </c>
      <c r="H1777" s="164" t="s">
        <v>1751</v>
      </c>
      <c r="I1777" s="164" t="s">
        <v>2815</v>
      </c>
      <c r="J1777" s="164">
        <f>34+41/60</f>
        <v>34.68333333333333</v>
      </c>
      <c r="K1777" s="164">
        <f>-86-52/60</f>
        <v>-86.86666666666666</v>
      </c>
      <c r="L1777" s="164">
        <v>185</v>
      </c>
      <c r="M1777" s="164">
        <v>15.7</v>
      </c>
      <c r="O1777" s="164">
        <v>1352</v>
      </c>
      <c r="R1777" s="164">
        <v>2</v>
      </c>
      <c r="S1777" s="164">
        <v>3</v>
      </c>
      <c r="U1777" s="165" t="s">
        <v>2013</v>
      </c>
      <c r="V1777" s="164" t="s">
        <v>1382</v>
      </c>
      <c r="W1777" s="164">
        <v>15</v>
      </c>
      <c r="X1777" s="168" t="s">
        <v>1382</v>
      </c>
      <c r="Y1777" s="168" t="s">
        <v>1756</v>
      </c>
      <c r="Z1777" s="166">
        <f t="shared" ref="Z1777:Z1782" si="271">AVERAGE(BP1777:BQ1777)</f>
        <v>1.2606999999999999</v>
      </c>
      <c r="AA1777" s="358">
        <v>35</v>
      </c>
      <c r="AB1777" s="358">
        <v>55</v>
      </c>
      <c r="AC1777" s="164" t="s">
        <v>450</v>
      </c>
      <c r="AG1777" s="164" t="s">
        <v>1752</v>
      </c>
      <c r="AH1777" s="164" t="s">
        <v>1753</v>
      </c>
      <c r="AI1777" s="164" t="s">
        <v>131</v>
      </c>
      <c r="AJ1777" s="164" t="s">
        <v>3558</v>
      </c>
      <c r="AK1777" s="164" t="s">
        <v>1646</v>
      </c>
      <c r="AL1777" s="164" t="s">
        <v>1097</v>
      </c>
      <c r="AM1777" s="164" t="s">
        <v>1097</v>
      </c>
      <c r="AN1777" s="164" t="s">
        <v>177</v>
      </c>
      <c r="AO1777" s="164" t="s">
        <v>1046</v>
      </c>
      <c r="AP1777" s="164" t="s">
        <v>1046</v>
      </c>
      <c r="AQ1777" s="164" t="s">
        <v>2126</v>
      </c>
      <c r="AR1777" s="164" t="s">
        <v>2126</v>
      </c>
      <c r="AS1777" s="164" t="s">
        <v>177</v>
      </c>
      <c r="AT1777" s="170" t="s">
        <v>1754</v>
      </c>
      <c r="AU1777" s="170" t="s">
        <v>1754</v>
      </c>
      <c r="AV1777" s="164" t="s">
        <v>177</v>
      </c>
      <c r="AW1777" s="164" t="s">
        <v>119</v>
      </c>
      <c r="AX1777" s="164">
        <v>4</v>
      </c>
      <c r="AZ1777" s="164" t="s">
        <v>141</v>
      </c>
      <c r="BP1777" s="433">
        <v>1.2955000000000001</v>
      </c>
      <c r="BQ1777" s="433">
        <v>1.2259</v>
      </c>
      <c r="BR1777" s="166"/>
      <c r="BS1777" s="166"/>
      <c r="BT1777" s="166"/>
      <c r="BU1777" s="433">
        <v>1.8</v>
      </c>
      <c r="BV1777" s="433">
        <v>2.2000000000000002</v>
      </c>
      <c r="BZ1777" s="433"/>
      <c r="CA1777" s="433"/>
      <c r="CD1777" s="40" t="s">
        <v>3120</v>
      </c>
      <c r="CE1777" s="586">
        <v>1.8</v>
      </c>
      <c r="CF1777" s="586">
        <v>2.2000000000000002</v>
      </c>
      <c r="CG1777" s="586"/>
      <c r="CH1777" s="586"/>
      <c r="CI1777" s="40" t="s">
        <v>4546</v>
      </c>
      <c r="CJ1777" s="164">
        <v>70.849999999999994</v>
      </c>
      <c r="CK1777" s="164">
        <v>57.49</v>
      </c>
      <c r="CN1777" s="164" t="s">
        <v>1757</v>
      </c>
      <c r="IH1777" s="165"/>
    </row>
    <row r="1778" spans="1:262" s="164" customFormat="1" x14ac:dyDescent="0.25">
      <c r="A1778" s="164">
        <v>83</v>
      </c>
      <c r="B1778" s="165" t="s">
        <v>4115</v>
      </c>
      <c r="C1778" s="164" t="s">
        <v>1750</v>
      </c>
      <c r="D1778" s="164" t="s">
        <v>1755</v>
      </c>
      <c r="E1778" s="164">
        <v>2001</v>
      </c>
      <c r="F1778" s="164">
        <v>1997</v>
      </c>
      <c r="G1778" s="164" t="s">
        <v>1749</v>
      </c>
      <c r="H1778" s="164" t="s">
        <v>1751</v>
      </c>
      <c r="I1778" s="164" t="s">
        <v>2815</v>
      </c>
      <c r="J1778" s="164">
        <f t="shared" ref="J1778:J1782" si="272">34+41/60</f>
        <v>34.68333333333333</v>
      </c>
      <c r="K1778" s="164">
        <f t="shared" ref="K1778:K1782" si="273">-86-52/60</f>
        <v>-86.86666666666666</v>
      </c>
      <c r="L1778" s="164">
        <v>185</v>
      </c>
      <c r="M1778" s="164">
        <v>15.7</v>
      </c>
      <c r="O1778" s="164">
        <v>1352</v>
      </c>
      <c r="R1778" s="164">
        <v>2</v>
      </c>
      <c r="S1778" s="164">
        <v>3</v>
      </c>
      <c r="U1778" s="165" t="s">
        <v>2013</v>
      </c>
      <c r="V1778" s="164" t="s">
        <v>1390</v>
      </c>
      <c r="W1778" s="164">
        <v>15</v>
      </c>
      <c r="X1778" s="168" t="s">
        <v>1382</v>
      </c>
      <c r="Y1778" s="168" t="s">
        <v>1756</v>
      </c>
      <c r="Z1778" s="166">
        <f t="shared" si="271"/>
        <v>1.3564000000000001</v>
      </c>
      <c r="AA1778" s="358">
        <v>35</v>
      </c>
      <c r="AB1778" s="358">
        <v>55</v>
      </c>
      <c r="AC1778" s="164" t="s">
        <v>450</v>
      </c>
      <c r="AG1778" s="164" t="s">
        <v>1752</v>
      </c>
      <c r="AH1778" s="164" t="s">
        <v>1753</v>
      </c>
      <c r="AI1778" s="164" t="s">
        <v>131</v>
      </c>
      <c r="AJ1778" s="164" t="s">
        <v>3558</v>
      </c>
      <c r="AK1778" s="164" t="s">
        <v>1646</v>
      </c>
      <c r="AL1778" s="164" t="s">
        <v>1097</v>
      </c>
      <c r="AM1778" s="164" t="s">
        <v>1097</v>
      </c>
      <c r="AN1778" s="164" t="s">
        <v>177</v>
      </c>
      <c r="AO1778" s="164" t="s">
        <v>1046</v>
      </c>
      <c r="AP1778" s="164" t="s">
        <v>1046</v>
      </c>
      <c r="AQ1778" s="164" t="s">
        <v>2126</v>
      </c>
      <c r="AR1778" s="164" t="s">
        <v>2126</v>
      </c>
      <c r="AS1778" s="164" t="s">
        <v>177</v>
      </c>
      <c r="AT1778" s="170" t="s">
        <v>1754</v>
      </c>
      <c r="AU1778" s="170" t="s">
        <v>1754</v>
      </c>
      <c r="AV1778" s="164" t="s">
        <v>177</v>
      </c>
      <c r="AW1778" s="164" t="s">
        <v>119</v>
      </c>
      <c r="AX1778" s="164">
        <v>4</v>
      </c>
      <c r="AZ1778" s="164" t="s">
        <v>141</v>
      </c>
      <c r="BP1778" s="433">
        <v>1.3999000000000001</v>
      </c>
      <c r="BQ1778" s="433">
        <v>1.3129</v>
      </c>
      <c r="BR1778" s="166"/>
      <c r="BS1778" s="166"/>
      <c r="BT1778" s="166"/>
      <c r="BU1778" s="433">
        <v>1.2</v>
      </c>
      <c r="BV1778" s="433">
        <v>1.7</v>
      </c>
      <c r="BZ1778" s="433"/>
      <c r="CA1778" s="433"/>
      <c r="CD1778" s="40" t="s">
        <v>3120</v>
      </c>
      <c r="CE1778" s="586">
        <v>1.2</v>
      </c>
      <c r="CF1778" s="586">
        <v>1.7</v>
      </c>
      <c r="CG1778" s="586"/>
      <c r="CH1778" s="586"/>
      <c r="CI1778" s="40" t="s">
        <v>4546</v>
      </c>
      <c r="CJ1778" s="164">
        <v>69.64</v>
      </c>
      <c r="CK1778" s="164">
        <v>60.32</v>
      </c>
      <c r="CN1778" s="164" t="s">
        <v>1757</v>
      </c>
      <c r="IH1778" s="165"/>
    </row>
    <row r="1779" spans="1:262" s="164" customFormat="1" x14ac:dyDescent="0.25">
      <c r="A1779" s="164">
        <v>83</v>
      </c>
      <c r="B1779" s="165" t="s">
        <v>4116</v>
      </c>
      <c r="C1779" s="164" t="s">
        <v>1750</v>
      </c>
      <c r="D1779" s="164" t="s">
        <v>1755</v>
      </c>
      <c r="E1779" s="164">
        <v>2001</v>
      </c>
      <c r="F1779" s="164">
        <v>1997</v>
      </c>
      <c r="G1779" s="164" t="s">
        <v>1749</v>
      </c>
      <c r="H1779" s="164" t="s">
        <v>1751</v>
      </c>
      <c r="I1779" s="164" t="s">
        <v>2815</v>
      </c>
      <c r="J1779" s="164">
        <f t="shared" si="272"/>
        <v>34.68333333333333</v>
      </c>
      <c r="K1779" s="164">
        <f t="shared" si="273"/>
        <v>-86.86666666666666</v>
      </c>
      <c r="L1779" s="164">
        <v>185</v>
      </c>
      <c r="M1779" s="164">
        <v>15.7</v>
      </c>
      <c r="O1779" s="164">
        <v>1352</v>
      </c>
      <c r="R1779" s="164">
        <v>2</v>
      </c>
      <c r="S1779" s="164">
        <v>3</v>
      </c>
      <c r="U1779" s="165" t="s">
        <v>2013</v>
      </c>
      <c r="V1779" s="164" t="s">
        <v>1389</v>
      </c>
      <c r="W1779" s="164">
        <v>30</v>
      </c>
      <c r="X1779" s="168" t="s">
        <v>1382</v>
      </c>
      <c r="Y1779" s="168" t="s">
        <v>1756</v>
      </c>
      <c r="Z1779" s="166">
        <f t="shared" si="271"/>
        <v>1.4782000000000002</v>
      </c>
      <c r="AA1779" s="358">
        <v>35</v>
      </c>
      <c r="AB1779" s="358">
        <v>55</v>
      </c>
      <c r="AC1779" s="164" t="s">
        <v>450</v>
      </c>
      <c r="AG1779" s="164" t="s">
        <v>1752</v>
      </c>
      <c r="AH1779" s="164" t="s">
        <v>1753</v>
      </c>
      <c r="AI1779" s="164" t="s">
        <v>131</v>
      </c>
      <c r="AJ1779" s="164" t="s">
        <v>3558</v>
      </c>
      <c r="AK1779" s="164" t="s">
        <v>1646</v>
      </c>
      <c r="AL1779" s="164" t="s">
        <v>1097</v>
      </c>
      <c r="AM1779" s="164" t="s">
        <v>1097</v>
      </c>
      <c r="AN1779" s="164" t="s">
        <v>177</v>
      </c>
      <c r="AO1779" s="164" t="s">
        <v>1046</v>
      </c>
      <c r="AP1779" s="164" t="s">
        <v>1046</v>
      </c>
      <c r="AQ1779" s="164" t="s">
        <v>2126</v>
      </c>
      <c r="AR1779" s="164" t="s">
        <v>2126</v>
      </c>
      <c r="AS1779" s="164" t="s">
        <v>177</v>
      </c>
      <c r="AT1779" s="170" t="s">
        <v>1754</v>
      </c>
      <c r="AU1779" s="170" t="s">
        <v>1754</v>
      </c>
      <c r="AV1779" s="164" t="s">
        <v>177</v>
      </c>
      <c r="AW1779" s="164" t="s">
        <v>119</v>
      </c>
      <c r="AX1779" s="164">
        <v>4</v>
      </c>
      <c r="AZ1779" s="164" t="s">
        <v>141</v>
      </c>
      <c r="BP1779" s="433">
        <v>1.3477000000000001</v>
      </c>
      <c r="BQ1779" s="433">
        <v>1.6087</v>
      </c>
      <c r="BR1779" s="166"/>
      <c r="BS1779" s="166"/>
      <c r="BT1779" s="166"/>
      <c r="BU1779" s="433">
        <v>1.5</v>
      </c>
      <c r="BV1779" s="433">
        <v>1.8286376790086811</v>
      </c>
      <c r="BZ1779" s="433"/>
      <c r="CA1779" s="433"/>
      <c r="CD1779" s="40" t="s">
        <v>3120</v>
      </c>
      <c r="CE1779" s="586">
        <v>1.5</v>
      </c>
      <c r="CF1779" s="586">
        <v>1.8286376790086811</v>
      </c>
      <c r="CG1779" s="586"/>
      <c r="CH1779" s="586"/>
      <c r="CI1779" s="40" t="s">
        <v>4546</v>
      </c>
      <c r="CJ1779" s="164">
        <v>70.25</v>
      </c>
      <c r="CK1779" s="164">
        <v>58.9</v>
      </c>
      <c r="CN1779" s="164" t="s">
        <v>1757</v>
      </c>
      <c r="IH1779" s="165"/>
    </row>
    <row r="1780" spans="1:262" s="164" customFormat="1" x14ac:dyDescent="0.25">
      <c r="A1780" s="164">
        <v>83</v>
      </c>
      <c r="B1780" s="165" t="s">
        <v>4117</v>
      </c>
      <c r="C1780" s="164" t="s">
        <v>1750</v>
      </c>
      <c r="D1780" s="164" t="s">
        <v>1755</v>
      </c>
      <c r="E1780" s="164">
        <v>2001</v>
      </c>
      <c r="F1780" s="164">
        <v>1997</v>
      </c>
      <c r="G1780" s="164" t="s">
        <v>1749</v>
      </c>
      <c r="H1780" s="164" t="s">
        <v>1751</v>
      </c>
      <c r="I1780" s="164" t="s">
        <v>2815</v>
      </c>
      <c r="J1780" s="164">
        <f t="shared" si="272"/>
        <v>34.68333333333333</v>
      </c>
      <c r="K1780" s="164">
        <f t="shared" si="273"/>
        <v>-86.86666666666666</v>
      </c>
      <c r="L1780" s="164">
        <v>185</v>
      </c>
      <c r="M1780" s="164">
        <v>15.7</v>
      </c>
      <c r="O1780" s="164">
        <v>1352</v>
      </c>
      <c r="R1780" s="164">
        <v>2</v>
      </c>
      <c r="S1780" s="164">
        <v>3</v>
      </c>
      <c r="U1780" s="165" t="s">
        <v>2013</v>
      </c>
      <c r="V1780" s="164" t="s">
        <v>1402</v>
      </c>
      <c r="W1780" s="164">
        <v>30</v>
      </c>
      <c r="X1780" s="168" t="s">
        <v>1382</v>
      </c>
      <c r="Y1780" s="168" t="s">
        <v>1756</v>
      </c>
      <c r="Z1780" s="166">
        <f t="shared" si="271"/>
        <v>1.5530604651162792</v>
      </c>
      <c r="AA1780" s="358">
        <v>35</v>
      </c>
      <c r="AB1780" s="358">
        <v>55</v>
      </c>
      <c r="AC1780" s="164" t="s">
        <v>450</v>
      </c>
      <c r="AG1780" s="164" t="s">
        <v>1752</v>
      </c>
      <c r="AH1780" s="164" t="s">
        <v>1753</v>
      </c>
      <c r="AI1780" s="164" t="s">
        <v>131</v>
      </c>
      <c r="AJ1780" s="164" t="s">
        <v>3558</v>
      </c>
      <c r="AK1780" s="164" t="s">
        <v>1646</v>
      </c>
      <c r="AL1780" s="164" t="s">
        <v>1097</v>
      </c>
      <c r="AM1780" s="164" t="s">
        <v>1097</v>
      </c>
      <c r="AN1780" s="164" t="s">
        <v>177</v>
      </c>
      <c r="AO1780" s="164" t="s">
        <v>1046</v>
      </c>
      <c r="AP1780" s="164" t="s">
        <v>1046</v>
      </c>
      <c r="AQ1780" s="164" t="s">
        <v>2126</v>
      </c>
      <c r="AR1780" s="164" t="s">
        <v>2126</v>
      </c>
      <c r="AS1780" s="164" t="s">
        <v>177</v>
      </c>
      <c r="AT1780" s="170" t="s">
        <v>1754</v>
      </c>
      <c r="AU1780" s="170" t="s">
        <v>1754</v>
      </c>
      <c r="AV1780" s="164" t="s">
        <v>177</v>
      </c>
      <c r="AW1780" s="164" t="s">
        <v>119</v>
      </c>
      <c r="AX1780" s="164">
        <v>4</v>
      </c>
      <c r="AZ1780" s="164" t="s">
        <v>141</v>
      </c>
      <c r="BP1780" s="433">
        <v>1.5480023255813955</v>
      </c>
      <c r="BQ1780" s="433">
        <v>1.558118604651163</v>
      </c>
      <c r="BR1780" s="166"/>
      <c r="BS1780" s="166"/>
      <c r="BT1780" s="166"/>
      <c r="BU1780" s="433">
        <v>0.34883720930232498</v>
      </c>
      <c r="BV1780" s="433">
        <v>0.290697674418604</v>
      </c>
      <c r="BZ1780" s="433"/>
      <c r="CA1780" s="433"/>
      <c r="CD1780" s="40" t="s">
        <v>3120</v>
      </c>
      <c r="CE1780" s="586">
        <v>0.34883720930232498</v>
      </c>
      <c r="CF1780" s="586">
        <v>0.290697674418604</v>
      </c>
      <c r="CG1780" s="586"/>
      <c r="CH1780" s="586"/>
      <c r="CI1780" s="40" t="s">
        <v>4546</v>
      </c>
      <c r="CJ1780" s="164">
        <v>42.5</v>
      </c>
      <c r="CK1780" s="164">
        <v>42.5</v>
      </c>
      <c r="CN1780" s="164" t="s">
        <v>1757</v>
      </c>
      <c r="IH1780" s="165"/>
    </row>
    <row r="1781" spans="1:262" s="164" customFormat="1" x14ac:dyDescent="0.25">
      <c r="A1781" s="164">
        <v>83</v>
      </c>
      <c r="B1781" s="165" t="s">
        <v>4118</v>
      </c>
      <c r="C1781" s="164" t="s">
        <v>1750</v>
      </c>
      <c r="D1781" s="164" t="s">
        <v>1755</v>
      </c>
      <c r="E1781" s="164">
        <v>2001</v>
      </c>
      <c r="F1781" s="164">
        <v>1997</v>
      </c>
      <c r="G1781" s="164" t="s">
        <v>1749</v>
      </c>
      <c r="H1781" s="164" t="s">
        <v>1751</v>
      </c>
      <c r="I1781" s="164" t="s">
        <v>2815</v>
      </c>
      <c r="J1781" s="164">
        <f t="shared" si="272"/>
        <v>34.68333333333333</v>
      </c>
      <c r="K1781" s="164">
        <f t="shared" si="273"/>
        <v>-86.86666666666666</v>
      </c>
      <c r="L1781" s="164">
        <v>185</v>
      </c>
      <c r="M1781" s="164">
        <v>15.7</v>
      </c>
      <c r="O1781" s="164">
        <v>1352</v>
      </c>
      <c r="R1781" s="164">
        <v>2</v>
      </c>
      <c r="S1781" s="164">
        <v>3</v>
      </c>
      <c r="U1781" s="165" t="s">
        <v>2013</v>
      </c>
      <c r="V1781" s="164" t="s">
        <v>1403</v>
      </c>
      <c r="W1781" s="164">
        <v>30</v>
      </c>
      <c r="X1781" s="168" t="s">
        <v>1382</v>
      </c>
      <c r="Y1781" s="168" t="s">
        <v>1756</v>
      </c>
      <c r="Z1781" s="166">
        <f t="shared" si="271"/>
        <v>1.5884674418604652</v>
      </c>
      <c r="AA1781" s="358">
        <v>35</v>
      </c>
      <c r="AB1781" s="358">
        <v>55</v>
      </c>
      <c r="AC1781" s="164" t="s">
        <v>450</v>
      </c>
      <c r="AG1781" s="164" t="s">
        <v>1752</v>
      </c>
      <c r="AH1781" s="164" t="s">
        <v>1753</v>
      </c>
      <c r="AI1781" s="164" t="s">
        <v>131</v>
      </c>
      <c r="AJ1781" s="164" t="s">
        <v>3558</v>
      </c>
      <c r="AK1781" s="164" t="s">
        <v>1646</v>
      </c>
      <c r="AL1781" s="164" t="s">
        <v>1097</v>
      </c>
      <c r="AM1781" s="164" t="s">
        <v>1097</v>
      </c>
      <c r="AN1781" s="164" t="s">
        <v>177</v>
      </c>
      <c r="AO1781" s="164" t="s">
        <v>1046</v>
      </c>
      <c r="AP1781" s="164" t="s">
        <v>1046</v>
      </c>
      <c r="AQ1781" s="164" t="s">
        <v>2126</v>
      </c>
      <c r="AR1781" s="164" t="s">
        <v>2126</v>
      </c>
      <c r="AS1781" s="164" t="s">
        <v>177</v>
      </c>
      <c r="AT1781" s="170" t="s">
        <v>1754</v>
      </c>
      <c r="AU1781" s="170" t="s">
        <v>1754</v>
      </c>
      <c r="AV1781" s="164" t="s">
        <v>177</v>
      </c>
      <c r="AW1781" s="164" t="s">
        <v>119</v>
      </c>
      <c r="AX1781" s="164">
        <v>4</v>
      </c>
      <c r="AZ1781" s="164" t="s">
        <v>141</v>
      </c>
      <c r="BP1781" s="433">
        <v>1.5884674418604652</v>
      </c>
      <c r="BQ1781" s="433">
        <v>1.5884674418604652</v>
      </c>
      <c r="BR1781" s="166"/>
      <c r="BS1781" s="166"/>
      <c r="BT1781" s="166"/>
      <c r="BU1781" s="433">
        <v>0.116279069767441</v>
      </c>
      <c r="BV1781" s="433">
        <v>0.116279069767441</v>
      </c>
      <c r="BZ1781" s="433"/>
      <c r="CA1781" s="433"/>
      <c r="CD1781" s="40" t="s">
        <v>3120</v>
      </c>
      <c r="CE1781" s="586">
        <v>0.116279069767441</v>
      </c>
      <c r="CF1781" s="586">
        <v>0.116279069767441</v>
      </c>
      <c r="CG1781" s="586"/>
      <c r="CH1781" s="586"/>
      <c r="CI1781" s="40" t="s">
        <v>4546</v>
      </c>
      <c r="CJ1781" s="164">
        <v>30.77</v>
      </c>
      <c r="CK1781" s="164">
        <v>30.77</v>
      </c>
      <c r="CN1781" s="164" t="s">
        <v>1757</v>
      </c>
      <c r="IH1781" s="165"/>
    </row>
    <row r="1782" spans="1:262" s="164" customFormat="1" x14ac:dyDescent="0.25">
      <c r="A1782" s="164">
        <v>83</v>
      </c>
      <c r="B1782" s="165" t="s">
        <v>4119</v>
      </c>
      <c r="C1782" s="164" t="s">
        <v>1750</v>
      </c>
      <c r="D1782" s="164" t="s">
        <v>1755</v>
      </c>
      <c r="E1782" s="164">
        <v>2001</v>
      </c>
      <c r="F1782" s="164">
        <v>1997</v>
      </c>
      <c r="G1782" s="164" t="s">
        <v>1749</v>
      </c>
      <c r="H1782" s="164" t="s">
        <v>1751</v>
      </c>
      <c r="I1782" s="164" t="s">
        <v>2815</v>
      </c>
      <c r="J1782" s="164">
        <f t="shared" si="272"/>
        <v>34.68333333333333</v>
      </c>
      <c r="K1782" s="164">
        <f t="shared" si="273"/>
        <v>-86.86666666666666</v>
      </c>
      <c r="L1782" s="164">
        <v>185</v>
      </c>
      <c r="M1782" s="164">
        <v>15.7</v>
      </c>
      <c r="O1782" s="164">
        <v>1352</v>
      </c>
      <c r="R1782" s="164">
        <v>2</v>
      </c>
      <c r="S1782" s="164">
        <v>3</v>
      </c>
      <c r="U1782" s="165" t="s">
        <v>2013</v>
      </c>
      <c r="V1782" s="164" t="s">
        <v>1410</v>
      </c>
      <c r="W1782" s="164">
        <v>60</v>
      </c>
      <c r="X1782" s="168" t="s">
        <v>1382</v>
      </c>
      <c r="Y1782" s="168" t="s">
        <v>1756</v>
      </c>
      <c r="Z1782" s="166">
        <f t="shared" si="271"/>
        <v>1.6087</v>
      </c>
      <c r="AA1782" s="358">
        <v>35</v>
      </c>
      <c r="AB1782" s="358">
        <v>55</v>
      </c>
      <c r="AC1782" s="164" t="s">
        <v>450</v>
      </c>
      <c r="AG1782" s="164" t="s">
        <v>1752</v>
      </c>
      <c r="AH1782" s="164" t="s">
        <v>1753</v>
      </c>
      <c r="AI1782" s="164" t="s">
        <v>131</v>
      </c>
      <c r="AJ1782" s="164" t="s">
        <v>3558</v>
      </c>
      <c r="AK1782" s="164" t="s">
        <v>1646</v>
      </c>
      <c r="AL1782" s="164" t="s">
        <v>1097</v>
      </c>
      <c r="AM1782" s="164" t="s">
        <v>1097</v>
      </c>
      <c r="AN1782" s="164" t="s">
        <v>177</v>
      </c>
      <c r="AO1782" s="164" t="s">
        <v>1046</v>
      </c>
      <c r="AP1782" s="164" t="s">
        <v>1046</v>
      </c>
      <c r="AQ1782" s="164" t="s">
        <v>2126</v>
      </c>
      <c r="AR1782" s="164" t="s">
        <v>2126</v>
      </c>
      <c r="AS1782" s="164" t="s">
        <v>177</v>
      </c>
      <c r="AT1782" s="170" t="s">
        <v>1754</v>
      </c>
      <c r="AU1782" s="170" t="s">
        <v>1754</v>
      </c>
      <c r="AV1782" s="164" t="s">
        <v>177</v>
      </c>
      <c r="AW1782" s="164" t="s">
        <v>119</v>
      </c>
      <c r="AX1782" s="164">
        <v>4</v>
      </c>
      <c r="AZ1782" s="164" t="s">
        <v>141</v>
      </c>
      <c r="BP1782" s="433">
        <v>1.6087</v>
      </c>
      <c r="BQ1782" s="433">
        <v>1.6087</v>
      </c>
      <c r="BR1782" s="166"/>
      <c r="BS1782" s="166"/>
      <c r="BT1782" s="166"/>
      <c r="BU1782" s="433">
        <v>1.8861898383372332E-2</v>
      </c>
      <c r="BV1782" s="433">
        <v>1.6515586377609637E-2</v>
      </c>
      <c r="BZ1782" s="433"/>
      <c r="CA1782" s="433"/>
      <c r="CD1782" s="40" t="s">
        <v>3120</v>
      </c>
      <c r="CE1782" s="586">
        <v>1.8861898383372332E-2</v>
      </c>
      <c r="CF1782" s="586">
        <v>1.6515586377609637E-2</v>
      </c>
      <c r="CG1782" s="586"/>
      <c r="CH1782" s="586"/>
      <c r="CI1782" s="40" t="s">
        <v>4546</v>
      </c>
      <c r="CJ1782" s="164">
        <v>36.64</v>
      </c>
      <c r="CK1782" s="164">
        <v>36.64</v>
      </c>
      <c r="CN1782" s="164" t="s">
        <v>1757</v>
      </c>
      <c r="IH1782" s="165"/>
    </row>
    <row r="1783" spans="1:262" s="32" customFormat="1" x14ac:dyDescent="0.25">
      <c r="A1783" s="32">
        <v>84</v>
      </c>
      <c r="B1783" s="44" t="s">
        <v>4120</v>
      </c>
      <c r="C1783" s="32" t="s">
        <v>1467</v>
      </c>
      <c r="D1783" s="32" t="s">
        <v>1468</v>
      </c>
      <c r="E1783" s="32">
        <v>1998</v>
      </c>
      <c r="F1783" s="32">
        <v>1995</v>
      </c>
      <c r="G1783" s="32" t="s">
        <v>1469</v>
      </c>
      <c r="H1783" s="32" t="s">
        <v>1470</v>
      </c>
      <c r="I1783" s="32" t="s">
        <v>2816</v>
      </c>
      <c r="J1783" s="32">
        <f t="shared" ref="J1783:J1794" si="274">58+23/60</f>
        <v>58.383333333333333</v>
      </c>
      <c r="K1783" s="32">
        <f t="shared" ref="K1783:K1794" si="275">-116-2/60</f>
        <v>-116.03333333333333</v>
      </c>
      <c r="L1783" s="32">
        <v>283</v>
      </c>
      <c r="R1783" s="44" t="s">
        <v>1858</v>
      </c>
      <c r="S1783" s="44" t="s">
        <v>1722</v>
      </c>
      <c r="U1783" s="44" t="s">
        <v>2014</v>
      </c>
      <c r="V1783" s="44" t="s">
        <v>1380</v>
      </c>
      <c r="W1783" s="44" t="s">
        <v>1716</v>
      </c>
      <c r="X1783" s="44" t="s">
        <v>1380</v>
      </c>
      <c r="Y1783" s="44" t="s">
        <v>1380</v>
      </c>
      <c r="AA1783" s="323"/>
      <c r="AB1783" s="323"/>
      <c r="AC1783" s="32" t="s">
        <v>240</v>
      </c>
      <c r="AH1783" s="32" t="s">
        <v>1515</v>
      </c>
      <c r="AI1783" s="138" t="s">
        <v>577</v>
      </c>
      <c r="AJ1783" s="32" t="s">
        <v>1602</v>
      </c>
      <c r="AK1783" s="141" t="s">
        <v>1612</v>
      </c>
      <c r="AW1783" s="32" t="s">
        <v>119</v>
      </c>
      <c r="AX1783" s="32">
        <v>3</v>
      </c>
      <c r="AZ1783" s="32" t="s">
        <v>141</v>
      </c>
      <c r="BE1783" s="32" t="s">
        <v>1471</v>
      </c>
      <c r="BP1783" s="397"/>
      <c r="BQ1783" s="397"/>
      <c r="BU1783" s="397"/>
      <c r="BV1783" s="397"/>
      <c r="BZ1783" s="397"/>
      <c r="CA1783" s="397"/>
      <c r="CE1783" s="550"/>
      <c r="CF1783" s="550"/>
      <c r="CG1783" s="550"/>
      <c r="CH1783" s="550"/>
      <c r="GU1783" s="32">
        <v>4.0999999999999996</v>
      </c>
      <c r="GV1783" s="32">
        <v>4.17</v>
      </c>
      <c r="GY1783" s="32" t="s">
        <v>1659</v>
      </c>
      <c r="JB1783" s="32" t="s">
        <v>1474</v>
      </c>
    </row>
    <row r="1784" spans="1:262" s="32" customFormat="1" x14ac:dyDescent="0.25">
      <c r="A1784" s="32">
        <v>84</v>
      </c>
      <c r="B1784" s="44" t="s">
        <v>4120</v>
      </c>
      <c r="C1784" s="32" t="s">
        <v>1467</v>
      </c>
      <c r="D1784" s="32" t="s">
        <v>1468</v>
      </c>
      <c r="E1784" s="32">
        <v>1998</v>
      </c>
      <c r="F1784" s="32">
        <v>1995</v>
      </c>
      <c r="G1784" s="32" t="s">
        <v>1469</v>
      </c>
      <c r="H1784" s="32" t="s">
        <v>1470</v>
      </c>
      <c r="I1784" s="32" t="s">
        <v>2816</v>
      </c>
      <c r="J1784" s="32">
        <f t="shared" si="274"/>
        <v>58.383333333333333</v>
      </c>
      <c r="K1784" s="32">
        <f t="shared" si="275"/>
        <v>-116.03333333333333</v>
      </c>
      <c r="L1784" s="32">
        <v>283</v>
      </c>
      <c r="R1784" s="44" t="s">
        <v>1858</v>
      </c>
      <c r="S1784" s="44" t="s">
        <v>1722</v>
      </c>
      <c r="U1784" s="44" t="s">
        <v>2014</v>
      </c>
      <c r="V1784" s="44" t="s">
        <v>1380</v>
      </c>
      <c r="W1784" s="44" t="s">
        <v>1716</v>
      </c>
      <c r="X1784" s="44" t="s">
        <v>1380</v>
      </c>
      <c r="Y1784" s="44" t="s">
        <v>1380</v>
      </c>
      <c r="AA1784" s="323"/>
      <c r="AB1784" s="323"/>
      <c r="AC1784" s="32" t="s">
        <v>240</v>
      </c>
      <c r="AH1784" s="32" t="s">
        <v>1515</v>
      </c>
      <c r="AI1784" s="138" t="s">
        <v>577</v>
      </c>
      <c r="AJ1784" s="32" t="s">
        <v>1602</v>
      </c>
      <c r="AK1784" s="141" t="s">
        <v>1612</v>
      </c>
      <c r="AW1784" s="32" t="s">
        <v>119</v>
      </c>
      <c r="AX1784" s="32">
        <v>3</v>
      </c>
      <c r="AZ1784" s="32" t="s">
        <v>141</v>
      </c>
      <c r="BE1784" s="32" t="s">
        <v>1472</v>
      </c>
      <c r="BP1784" s="397"/>
      <c r="BQ1784" s="397"/>
      <c r="BU1784" s="397"/>
      <c r="BV1784" s="397"/>
      <c r="BZ1784" s="397"/>
      <c r="CA1784" s="397"/>
      <c r="CE1784" s="550"/>
      <c r="CF1784" s="550"/>
      <c r="CG1784" s="550"/>
      <c r="CH1784" s="550"/>
      <c r="GU1784" s="32">
        <v>85</v>
      </c>
      <c r="GV1784" s="32">
        <v>92</v>
      </c>
      <c r="GY1784" s="32" t="s">
        <v>1660</v>
      </c>
      <c r="JB1784" s="32" t="s">
        <v>1474</v>
      </c>
    </row>
    <row r="1785" spans="1:262" s="32" customFormat="1" x14ac:dyDescent="0.25">
      <c r="A1785" s="32">
        <v>84</v>
      </c>
      <c r="B1785" s="44" t="s">
        <v>4120</v>
      </c>
      <c r="C1785" s="32" t="s">
        <v>1467</v>
      </c>
      <c r="D1785" s="32" t="s">
        <v>1468</v>
      </c>
      <c r="E1785" s="32">
        <v>1998</v>
      </c>
      <c r="F1785" s="32">
        <v>1995</v>
      </c>
      <c r="G1785" s="32" t="s">
        <v>1469</v>
      </c>
      <c r="H1785" s="32" t="s">
        <v>1470</v>
      </c>
      <c r="I1785" s="32" t="s">
        <v>2816</v>
      </c>
      <c r="J1785" s="32">
        <f t="shared" si="274"/>
        <v>58.383333333333333</v>
      </c>
      <c r="K1785" s="32">
        <f t="shared" si="275"/>
        <v>-116.03333333333333</v>
      </c>
      <c r="L1785" s="32">
        <v>283</v>
      </c>
      <c r="R1785" s="44" t="s">
        <v>1858</v>
      </c>
      <c r="S1785" s="44" t="s">
        <v>1722</v>
      </c>
      <c r="U1785" s="44" t="s">
        <v>2014</v>
      </c>
      <c r="V1785" s="44" t="s">
        <v>1380</v>
      </c>
      <c r="W1785" s="44" t="s">
        <v>1716</v>
      </c>
      <c r="X1785" s="44" t="s">
        <v>1380</v>
      </c>
      <c r="Y1785" s="44" t="s">
        <v>1380</v>
      </c>
      <c r="AA1785" s="323"/>
      <c r="AB1785" s="323"/>
      <c r="AC1785" s="32" t="s">
        <v>240</v>
      </c>
      <c r="AH1785" s="32" t="s">
        <v>1515</v>
      </c>
      <c r="AI1785" s="138" t="s">
        <v>577</v>
      </c>
      <c r="AJ1785" s="32" t="s">
        <v>1602</v>
      </c>
      <c r="AK1785" s="141" t="s">
        <v>1612</v>
      </c>
      <c r="AW1785" s="32" t="s">
        <v>119</v>
      </c>
      <c r="AX1785" s="32">
        <v>3</v>
      </c>
      <c r="AZ1785" s="32" t="s">
        <v>141</v>
      </c>
      <c r="BE1785" s="32" t="s">
        <v>1473</v>
      </c>
      <c r="BP1785" s="397"/>
      <c r="BQ1785" s="397"/>
      <c r="BU1785" s="397"/>
      <c r="BV1785" s="397"/>
      <c r="BZ1785" s="397"/>
      <c r="CA1785" s="397"/>
      <c r="CE1785" s="550"/>
      <c r="CF1785" s="550"/>
      <c r="CG1785" s="550"/>
      <c r="CH1785" s="550"/>
      <c r="GU1785" s="32">
        <v>0.93</v>
      </c>
      <c r="GV1785" s="32">
        <v>0.92</v>
      </c>
      <c r="GY1785" s="32" t="s">
        <v>1661</v>
      </c>
      <c r="JB1785" s="32" t="s">
        <v>1474</v>
      </c>
    </row>
    <row r="1786" spans="1:262" s="32" customFormat="1" x14ac:dyDescent="0.25">
      <c r="A1786" s="32">
        <v>84</v>
      </c>
      <c r="B1786" s="44" t="s">
        <v>4120</v>
      </c>
      <c r="C1786" s="32" t="s">
        <v>1467</v>
      </c>
      <c r="D1786" s="32" t="s">
        <v>1468</v>
      </c>
      <c r="E1786" s="32">
        <v>1998</v>
      </c>
      <c r="F1786" s="32">
        <v>1995</v>
      </c>
      <c r="G1786" s="32" t="s">
        <v>1469</v>
      </c>
      <c r="H1786" s="32" t="s">
        <v>1470</v>
      </c>
      <c r="I1786" s="32" t="s">
        <v>2816</v>
      </c>
      <c r="J1786" s="32">
        <f t="shared" si="274"/>
        <v>58.383333333333333</v>
      </c>
      <c r="K1786" s="32">
        <f t="shared" si="275"/>
        <v>-116.03333333333333</v>
      </c>
      <c r="L1786" s="32">
        <v>283</v>
      </c>
      <c r="R1786" s="44" t="s">
        <v>1858</v>
      </c>
      <c r="S1786" s="44" t="s">
        <v>1722</v>
      </c>
      <c r="U1786" s="44" t="s">
        <v>2014</v>
      </c>
      <c r="V1786" s="44" t="s">
        <v>1380</v>
      </c>
      <c r="W1786" s="44" t="s">
        <v>1716</v>
      </c>
      <c r="X1786" s="44" t="s">
        <v>1380</v>
      </c>
      <c r="Y1786" s="44" t="s">
        <v>1380</v>
      </c>
      <c r="AA1786" s="323"/>
      <c r="AB1786" s="323"/>
      <c r="AC1786" s="32" t="s">
        <v>240</v>
      </c>
      <c r="AH1786" s="32" t="s">
        <v>1538</v>
      </c>
      <c r="AI1786" s="138" t="s">
        <v>577</v>
      </c>
      <c r="AJ1786" s="32" t="s">
        <v>1602</v>
      </c>
      <c r="AK1786" s="141" t="s">
        <v>1612</v>
      </c>
      <c r="AW1786" s="32" t="s">
        <v>119</v>
      </c>
      <c r="AX1786" s="32">
        <v>3</v>
      </c>
      <c r="AZ1786" s="32" t="s">
        <v>141</v>
      </c>
      <c r="BE1786" s="32" t="s">
        <v>1471</v>
      </c>
      <c r="BP1786" s="397"/>
      <c r="BQ1786" s="397"/>
      <c r="BU1786" s="397"/>
      <c r="BV1786" s="397"/>
      <c r="BZ1786" s="397"/>
      <c r="CA1786" s="397"/>
      <c r="CE1786" s="550"/>
      <c r="CF1786" s="550"/>
      <c r="CG1786" s="550"/>
      <c r="CH1786" s="550"/>
      <c r="GU1786" s="32">
        <v>4.0999999999999996</v>
      </c>
      <c r="GV1786" s="32">
        <v>4.1100000000000003</v>
      </c>
      <c r="GY1786" s="32" t="s">
        <v>1659</v>
      </c>
      <c r="JB1786" s="32" t="s">
        <v>1474</v>
      </c>
    </row>
    <row r="1787" spans="1:262" s="32" customFormat="1" x14ac:dyDescent="0.25">
      <c r="A1787" s="32">
        <v>84</v>
      </c>
      <c r="B1787" s="44" t="s">
        <v>4120</v>
      </c>
      <c r="C1787" s="32" t="s">
        <v>1467</v>
      </c>
      <c r="D1787" s="32" t="s">
        <v>1468</v>
      </c>
      <c r="E1787" s="32">
        <v>1998</v>
      </c>
      <c r="F1787" s="32">
        <v>1995</v>
      </c>
      <c r="G1787" s="32" t="s">
        <v>1469</v>
      </c>
      <c r="H1787" s="32" t="s">
        <v>1470</v>
      </c>
      <c r="I1787" s="32" t="s">
        <v>2816</v>
      </c>
      <c r="J1787" s="32">
        <f t="shared" si="274"/>
        <v>58.383333333333333</v>
      </c>
      <c r="K1787" s="32">
        <f t="shared" si="275"/>
        <v>-116.03333333333333</v>
      </c>
      <c r="L1787" s="32">
        <v>283</v>
      </c>
      <c r="R1787" s="44" t="s">
        <v>1858</v>
      </c>
      <c r="S1787" s="44" t="s">
        <v>1722</v>
      </c>
      <c r="U1787" s="44" t="s">
        <v>2014</v>
      </c>
      <c r="V1787" s="44" t="s">
        <v>1380</v>
      </c>
      <c r="W1787" s="44" t="s">
        <v>1716</v>
      </c>
      <c r="X1787" s="44" t="s">
        <v>1380</v>
      </c>
      <c r="Y1787" s="44" t="s">
        <v>1380</v>
      </c>
      <c r="AA1787" s="323"/>
      <c r="AB1787" s="323"/>
      <c r="AC1787" s="32" t="s">
        <v>240</v>
      </c>
      <c r="AH1787" s="32" t="s">
        <v>1538</v>
      </c>
      <c r="AI1787" s="138" t="s">
        <v>577</v>
      </c>
      <c r="AJ1787" s="32" t="s">
        <v>1602</v>
      </c>
      <c r="AK1787" s="141" t="s">
        <v>1612</v>
      </c>
      <c r="AW1787" s="32" t="s">
        <v>119</v>
      </c>
      <c r="AX1787" s="32">
        <v>3</v>
      </c>
      <c r="AZ1787" s="32" t="s">
        <v>141</v>
      </c>
      <c r="BE1787" s="32" t="s">
        <v>1472</v>
      </c>
      <c r="BP1787" s="397"/>
      <c r="BQ1787" s="397"/>
      <c r="BU1787" s="397"/>
      <c r="BV1787" s="397"/>
      <c r="BZ1787" s="397"/>
      <c r="CA1787" s="397"/>
      <c r="CE1787" s="550"/>
      <c r="CF1787" s="550"/>
      <c r="CG1787" s="550"/>
      <c r="CH1787" s="550"/>
      <c r="GU1787" s="32">
        <v>85</v>
      </c>
      <c r="GV1787" s="32">
        <v>91</v>
      </c>
      <c r="GY1787" s="32" t="s">
        <v>1660</v>
      </c>
      <c r="JB1787" s="32" t="s">
        <v>1474</v>
      </c>
    </row>
    <row r="1788" spans="1:262" s="32" customFormat="1" x14ac:dyDescent="0.25">
      <c r="A1788" s="32">
        <v>84</v>
      </c>
      <c r="B1788" s="44" t="s">
        <v>4120</v>
      </c>
      <c r="C1788" s="32" t="s">
        <v>1467</v>
      </c>
      <c r="D1788" s="32" t="s">
        <v>1468</v>
      </c>
      <c r="E1788" s="32">
        <v>1998</v>
      </c>
      <c r="F1788" s="32">
        <v>1995</v>
      </c>
      <c r="G1788" s="32" t="s">
        <v>1469</v>
      </c>
      <c r="H1788" s="32" t="s">
        <v>1470</v>
      </c>
      <c r="I1788" s="32" t="s">
        <v>2816</v>
      </c>
      <c r="J1788" s="32">
        <f t="shared" si="274"/>
        <v>58.383333333333333</v>
      </c>
      <c r="K1788" s="32">
        <f t="shared" si="275"/>
        <v>-116.03333333333333</v>
      </c>
      <c r="L1788" s="32">
        <v>283</v>
      </c>
      <c r="R1788" s="44" t="s">
        <v>1858</v>
      </c>
      <c r="S1788" s="44" t="s">
        <v>1722</v>
      </c>
      <c r="U1788" s="44" t="s">
        <v>2014</v>
      </c>
      <c r="V1788" s="44" t="s">
        <v>1380</v>
      </c>
      <c r="W1788" s="44" t="s">
        <v>1716</v>
      </c>
      <c r="X1788" s="44" t="s">
        <v>1380</v>
      </c>
      <c r="Y1788" s="44" t="s">
        <v>1380</v>
      </c>
      <c r="AA1788" s="323"/>
      <c r="AB1788" s="323"/>
      <c r="AC1788" s="32" t="s">
        <v>240</v>
      </c>
      <c r="AH1788" s="32" t="s">
        <v>1538</v>
      </c>
      <c r="AI1788" s="138" t="s">
        <v>577</v>
      </c>
      <c r="AJ1788" s="32" t="s">
        <v>1602</v>
      </c>
      <c r="AK1788" s="141" t="s">
        <v>1612</v>
      </c>
      <c r="AW1788" s="32" t="s">
        <v>119</v>
      </c>
      <c r="AX1788" s="32">
        <v>3</v>
      </c>
      <c r="AZ1788" s="32" t="s">
        <v>141</v>
      </c>
      <c r="BE1788" s="32" t="s">
        <v>1473</v>
      </c>
      <c r="BP1788" s="397"/>
      <c r="BQ1788" s="397"/>
      <c r="BU1788" s="397"/>
      <c r="BV1788" s="397"/>
      <c r="BZ1788" s="397"/>
      <c r="CA1788" s="397"/>
      <c r="CE1788" s="550"/>
      <c r="CF1788" s="550"/>
      <c r="CG1788" s="550"/>
      <c r="CH1788" s="550"/>
      <c r="GU1788" s="32">
        <v>0.93</v>
      </c>
      <c r="GV1788" s="32">
        <v>0.91</v>
      </c>
      <c r="GY1788" s="32" t="s">
        <v>1661</v>
      </c>
      <c r="JB1788" s="32" t="s">
        <v>1474</v>
      </c>
    </row>
    <row r="1789" spans="1:262" s="24" customFormat="1" x14ac:dyDescent="0.25">
      <c r="A1789" s="24">
        <v>84</v>
      </c>
      <c r="B1789" s="42" t="s">
        <v>4120</v>
      </c>
      <c r="C1789" s="24" t="s">
        <v>1467</v>
      </c>
      <c r="D1789" s="24" t="s">
        <v>1468</v>
      </c>
      <c r="E1789" s="24">
        <v>1998</v>
      </c>
      <c r="F1789" s="24">
        <v>1996</v>
      </c>
      <c r="G1789" s="24" t="s">
        <v>1469</v>
      </c>
      <c r="H1789" s="24" t="s">
        <v>1470</v>
      </c>
      <c r="I1789" s="32" t="s">
        <v>2816</v>
      </c>
      <c r="J1789" s="24">
        <f t="shared" si="274"/>
        <v>58.383333333333333</v>
      </c>
      <c r="K1789" s="24">
        <f t="shared" si="275"/>
        <v>-116.03333333333333</v>
      </c>
      <c r="L1789" s="24">
        <v>283</v>
      </c>
      <c r="R1789" s="42" t="s">
        <v>1722</v>
      </c>
      <c r="S1789" s="42" t="s">
        <v>1722</v>
      </c>
      <c r="U1789" s="42" t="s">
        <v>2014</v>
      </c>
      <c r="V1789" s="42" t="s">
        <v>1380</v>
      </c>
      <c r="W1789" s="42" t="s">
        <v>1716</v>
      </c>
      <c r="X1789" s="42" t="s">
        <v>1380</v>
      </c>
      <c r="Y1789" s="42" t="s">
        <v>1380</v>
      </c>
      <c r="AA1789" s="321"/>
      <c r="AB1789" s="321"/>
      <c r="AC1789" s="24" t="s">
        <v>240</v>
      </c>
      <c r="AH1789" s="24" t="s">
        <v>1515</v>
      </c>
      <c r="AI1789" s="138" t="s">
        <v>577</v>
      </c>
      <c r="AJ1789" s="24" t="s">
        <v>1602</v>
      </c>
      <c r="AK1789" s="141" t="s">
        <v>1612</v>
      </c>
      <c r="AW1789" s="24" t="s">
        <v>119</v>
      </c>
      <c r="AX1789" s="24">
        <v>3</v>
      </c>
      <c r="AZ1789" s="24" t="s">
        <v>141</v>
      </c>
      <c r="BE1789" s="24" t="s">
        <v>1471</v>
      </c>
      <c r="BP1789" s="395"/>
      <c r="BQ1789" s="395"/>
      <c r="BU1789" s="395"/>
      <c r="BV1789" s="395"/>
      <c r="BZ1789" s="395"/>
      <c r="CA1789" s="395"/>
      <c r="CE1789" s="548"/>
      <c r="CF1789" s="548"/>
      <c r="CG1789" s="548"/>
      <c r="CH1789" s="548"/>
      <c r="GU1789" s="24">
        <v>3.71</v>
      </c>
      <c r="GV1789" s="24">
        <v>4.09</v>
      </c>
      <c r="GY1789" s="24" t="s">
        <v>1659</v>
      </c>
      <c r="JB1789" s="24" t="s">
        <v>1474</v>
      </c>
    </row>
    <row r="1790" spans="1:262" s="24" customFormat="1" x14ac:dyDescent="0.25">
      <c r="A1790" s="24">
        <v>84</v>
      </c>
      <c r="B1790" s="42" t="s">
        <v>4120</v>
      </c>
      <c r="C1790" s="24" t="s">
        <v>1467</v>
      </c>
      <c r="D1790" s="24" t="s">
        <v>1468</v>
      </c>
      <c r="E1790" s="24">
        <v>1998</v>
      </c>
      <c r="F1790" s="24">
        <v>1996</v>
      </c>
      <c r="G1790" s="24" t="s">
        <v>1469</v>
      </c>
      <c r="H1790" s="24" t="s">
        <v>1470</v>
      </c>
      <c r="I1790" s="32" t="s">
        <v>2816</v>
      </c>
      <c r="J1790" s="24">
        <f t="shared" si="274"/>
        <v>58.383333333333333</v>
      </c>
      <c r="K1790" s="24">
        <f t="shared" si="275"/>
        <v>-116.03333333333333</v>
      </c>
      <c r="L1790" s="24">
        <v>283</v>
      </c>
      <c r="R1790" s="42" t="s">
        <v>1722</v>
      </c>
      <c r="S1790" s="42" t="s">
        <v>1722</v>
      </c>
      <c r="U1790" s="42" t="s">
        <v>2014</v>
      </c>
      <c r="V1790" s="42" t="s">
        <v>1380</v>
      </c>
      <c r="W1790" s="42" t="s">
        <v>1716</v>
      </c>
      <c r="X1790" s="42" t="s">
        <v>1380</v>
      </c>
      <c r="Y1790" s="42" t="s">
        <v>1380</v>
      </c>
      <c r="AA1790" s="321"/>
      <c r="AB1790" s="321"/>
      <c r="AC1790" s="24" t="s">
        <v>240</v>
      </c>
      <c r="AH1790" s="24" t="s">
        <v>1515</v>
      </c>
      <c r="AI1790" s="138" t="s">
        <v>577</v>
      </c>
      <c r="AJ1790" s="24" t="s">
        <v>1602</v>
      </c>
      <c r="AK1790" s="141" t="s">
        <v>1612</v>
      </c>
      <c r="AW1790" s="24" t="s">
        <v>119</v>
      </c>
      <c r="AX1790" s="24">
        <v>3</v>
      </c>
      <c r="AZ1790" s="24" t="s">
        <v>141</v>
      </c>
      <c r="BE1790" s="24" t="s">
        <v>1472</v>
      </c>
      <c r="BP1790" s="395"/>
      <c r="BQ1790" s="395"/>
      <c r="BU1790" s="395"/>
      <c r="BV1790" s="395"/>
      <c r="BZ1790" s="395"/>
      <c r="CA1790" s="395"/>
      <c r="CE1790" s="548"/>
      <c r="CF1790" s="548"/>
      <c r="CG1790" s="548"/>
      <c r="CH1790" s="548"/>
      <c r="GU1790" s="24">
        <v>71</v>
      </c>
      <c r="GV1790" s="24">
        <v>91</v>
      </c>
      <c r="GY1790" s="24" t="s">
        <v>1660</v>
      </c>
      <c r="JB1790" s="24" t="s">
        <v>1474</v>
      </c>
    </row>
    <row r="1791" spans="1:262" s="24" customFormat="1" x14ac:dyDescent="0.25">
      <c r="A1791" s="24">
        <v>84</v>
      </c>
      <c r="B1791" s="42" t="s">
        <v>4120</v>
      </c>
      <c r="C1791" s="24" t="s">
        <v>1467</v>
      </c>
      <c r="D1791" s="24" t="s">
        <v>1468</v>
      </c>
      <c r="E1791" s="24">
        <v>1998</v>
      </c>
      <c r="F1791" s="24">
        <v>1996</v>
      </c>
      <c r="G1791" s="24" t="s">
        <v>1469</v>
      </c>
      <c r="H1791" s="24" t="s">
        <v>1470</v>
      </c>
      <c r="I1791" s="32" t="s">
        <v>2816</v>
      </c>
      <c r="J1791" s="24">
        <f t="shared" si="274"/>
        <v>58.383333333333333</v>
      </c>
      <c r="K1791" s="24">
        <f t="shared" si="275"/>
        <v>-116.03333333333333</v>
      </c>
      <c r="L1791" s="24">
        <v>283</v>
      </c>
      <c r="R1791" s="42" t="s">
        <v>1722</v>
      </c>
      <c r="S1791" s="42" t="s">
        <v>1722</v>
      </c>
      <c r="U1791" s="42" t="s">
        <v>2014</v>
      </c>
      <c r="V1791" s="42" t="s">
        <v>1380</v>
      </c>
      <c r="W1791" s="42" t="s">
        <v>1716</v>
      </c>
      <c r="X1791" s="42" t="s">
        <v>1380</v>
      </c>
      <c r="Y1791" s="42" t="s">
        <v>1380</v>
      </c>
      <c r="AA1791" s="321"/>
      <c r="AB1791" s="321"/>
      <c r="AC1791" s="24" t="s">
        <v>240</v>
      </c>
      <c r="AH1791" s="24" t="s">
        <v>1515</v>
      </c>
      <c r="AI1791" s="138" t="s">
        <v>577</v>
      </c>
      <c r="AJ1791" s="24" t="s">
        <v>1602</v>
      </c>
      <c r="AK1791" s="141" t="s">
        <v>1612</v>
      </c>
      <c r="AW1791" s="24" t="s">
        <v>119</v>
      </c>
      <c r="AX1791" s="24">
        <v>3</v>
      </c>
      <c r="AZ1791" s="24" t="s">
        <v>141</v>
      </c>
      <c r="BE1791" s="24" t="s">
        <v>1473</v>
      </c>
      <c r="BP1791" s="395"/>
      <c r="BQ1791" s="395"/>
      <c r="BU1791" s="395"/>
      <c r="BV1791" s="395"/>
      <c r="BZ1791" s="395"/>
      <c r="CA1791" s="395"/>
      <c r="CE1791" s="548"/>
      <c r="CF1791" s="548"/>
      <c r="CG1791" s="548"/>
      <c r="CH1791" s="548"/>
      <c r="GU1791" s="24">
        <v>0.87</v>
      </c>
      <c r="GV1791" s="24">
        <v>0.91</v>
      </c>
      <c r="GY1791" s="24" t="s">
        <v>1661</v>
      </c>
      <c r="JB1791" s="24" t="s">
        <v>1474</v>
      </c>
    </row>
    <row r="1792" spans="1:262" s="24" customFormat="1" x14ac:dyDescent="0.25">
      <c r="A1792" s="24">
        <v>84</v>
      </c>
      <c r="B1792" s="42" t="s">
        <v>4120</v>
      </c>
      <c r="C1792" s="24" t="s">
        <v>1467</v>
      </c>
      <c r="D1792" s="24" t="s">
        <v>1468</v>
      </c>
      <c r="E1792" s="24">
        <v>1998</v>
      </c>
      <c r="F1792" s="24">
        <v>1996</v>
      </c>
      <c r="G1792" s="24" t="s">
        <v>1469</v>
      </c>
      <c r="H1792" s="24" t="s">
        <v>1470</v>
      </c>
      <c r="I1792" s="32" t="s">
        <v>2816</v>
      </c>
      <c r="J1792" s="24">
        <f t="shared" si="274"/>
        <v>58.383333333333333</v>
      </c>
      <c r="K1792" s="24">
        <f t="shared" si="275"/>
        <v>-116.03333333333333</v>
      </c>
      <c r="L1792" s="24">
        <v>283</v>
      </c>
      <c r="R1792" s="42" t="s">
        <v>1722</v>
      </c>
      <c r="S1792" s="42" t="s">
        <v>1722</v>
      </c>
      <c r="U1792" s="42" t="s">
        <v>2014</v>
      </c>
      <c r="V1792" s="42" t="s">
        <v>1380</v>
      </c>
      <c r="W1792" s="42" t="s">
        <v>1716</v>
      </c>
      <c r="X1792" s="42" t="s">
        <v>1380</v>
      </c>
      <c r="Y1792" s="42" t="s">
        <v>1380</v>
      </c>
      <c r="AA1792" s="321"/>
      <c r="AB1792" s="321"/>
      <c r="AC1792" s="24" t="s">
        <v>240</v>
      </c>
      <c r="AH1792" s="24" t="s">
        <v>1538</v>
      </c>
      <c r="AI1792" s="138" t="s">
        <v>577</v>
      </c>
      <c r="AJ1792" s="24" t="s">
        <v>1602</v>
      </c>
      <c r="AK1792" s="141" t="s">
        <v>1612</v>
      </c>
      <c r="AW1792" s="24" t="s">
        <v>119</v>
      </c>
      <c r="AX1792" s="24">
        <v>3</v>
      </c>
      <c r="AZ1792" s="24" t="s">
        <v>141</v>
      </c>
      <c r="BE1792" s="24" t="s">
        <v>1471</v>
      </c>
      <c r="BP1792" s="395"/>
      <c r="BQ1792" s="395"/>
      <c r="BU1792" s="395"/>
      <c r="BV1792" s="395"/>
      <c r="BZ1792" s="395"/>
      <c r="CA1792" s="395"/>
      <c r="CE1792" s="548"/>
      <c r="CF1792" s="548"/>
      <c r="CG1792" s="548"/>
      <c r="CH1792" s="548"/>
      <c r="GU1792" s="24">
        <v>3.71</v>
      </c>
      <c r="GV1792" s="24">
        <v>4.04</v>
      </c>
      <c r="GY1792" s="24" t="s">
        <v>1659</v>
      </c>
      <c r="JB1792" s="24" t="s">
        <v>1474</v>
      </c>
    </row>
    <row r="1793" spans="1:262" s="24" customFormat="1" x14ac:dyDescent="0.25">
      <c r="A1793" s="24">
        <v>84</v>
      </c>
      <c r="B1793" s="42" t="s">
        <v>4120</v>
      </c>
      <c r="C1793" s="24" t="s">
        <v>1467</v>
      </c>
      <c r="D1793" s="24" t="s">
        <v>1468</v>
      </c>
      <c r="E1793" s="24">
        <v>1998</v>
      </c>
      <c r="F1793" s="24">
        <v>1996</v>
      </c>
      <c r="G1793" s="24" t="s">
        <v>1469</v>
      </c>
      <c r="H1793" s="24" t="s">
        <v>1470</v>
      </c>
      <c r="I1793" s="32" t="s">
        <v>2816</v>
      </c>
      <c r="J1793" s="24">
        <f t="shared" si="274"/>
        <v>58.383333333333333</v>
      </c>
      <c r="K1793" s="24">
        <f t="shared" si="275"/>
        <v>-116.03333333333333</v>
      </c>
      <c r="L1793" s="24">
        <v>283</v>
      </c>
      <c r="R1793" s="42" t="s">
        <v>1722</v>
      </c>
      <c r="S1793" s="42" t="s">
        <v>1722</v>
      </c>
      <c r="U1793" s="42" t="s">
        <v>2014</v>
      </c>
      <c r="V1793" s="42" t="s">
        <v>1380</v>
      </c>
      <c r="W1793" s="42" t="s">
        <v>1716</v>
      </c>
      <c r="X1793" s="42" t="s">
        <v>1380</v>
      </c>
      <c r="Y1793" s="42" t="s">
        <v>1380</v>
      </c>
      <c r="AA1793" s="321"/>
      <c r="AB1793" s="321"/>
      <c r="AC1793" s="24" t="s">
        <v>240</v>
      </c>
      <c r="AH1793" s="24" t="s">
        <v>1538</v>
      </c>
      <c r="AI1793" s="138" t="s">
        <v>577</v>
      </c>
      <c r="AJ1793" s="24" t="s">
        <v>1602</v>
      </c>
      <c r="AK1793" s="141" t="s">
        <v>1612</v>
      </c>
      <c r="AW1793" s="24" t="s">
        <v>119</v>
      </c>
      <c r="AX1793" s="24">
        <v>3</v>
      </c>
      <c r="AZ1793" s="24" t="s">
        <v>141</v>
      </c>
      <c r="BE1793" s="24" t="s">
        <v>1472</v>
      </c>
      <c r="BP1793" s="395"/>
      <c r="BQ1793" s="395"/>
      <c r="BU1793" s="395"/>
      <c r="BV1793" s="395"/>
      <c r="BZ1793" s="395"/>
      <c r="CA1793" s="395"/>
      <c r="CE1793" s="548"/>
      <c r="CF1793" s="548"/>
      <c r="CG1793" s="548"/>
      <c r="CH1793" s="548"/>
      <c r="GU1793" s="24">
        <v>71</v>
      </c>
      <c r="GV1793" s="24">
        <v>88</v>
      </c>
      <c r="GY1793" s="24" t="s">
        <v>1660</v>
      </c>
      <c r="JB1793" s="24" t="s">
        <v>1474</v>
      </c>
    </row>
    <row r="1794" spans="1:262" s="24" customFormat="1" x14ac:dyDescent="0.25">
      <c r="A1794" s="24">
        <v>84</v>
      </c>
      <c r="B1794" s="42" t="s">
        <v>4120</v>
      </c>
      <c r="C1794" s="24" t="s">
        <v>1467</v>
      </c>
      <c r="D1794" s="24" t="s">
        <v>1468</v>
      </c>
      <c r="E1794" s="24">
        <v>1998</v>
      </c>
      <c r="F1794" s="24">
        <v>1996</v>
      </c>
      <c r="G1794" s="24" t="s">
        <v>1469</v>
      </c>
      <c r="H1794" s="24" t="s">
        <v>1470</v>
      </c>
      <c r="I1794" s="32" t="s">
        <v>2816</v>
      </c>
      <c r="J1794" s="24">
        <f t="shared" si="274"/>
        <v>58.383333333333333</v>
      </c>
      <c r="K1794" s="24">
        <f t="shared" si="275"/>
        <v>-116.03333333333333</v>
      </c>
      <c r="L1794" s="24">
        <v>283</v>
      </c>
      <c r="R1794" s="42" t="s">
        <v>1722</v>
      </c>
      <c r="S1794" s="42" t="s">
        <v>1722</v>
      </c>
      <c r="U1794" s="42" t="s">
        <v>2014</v>
      </c>
      <c r="V1794" s="42" t="s">
        <v>1380</v>
      </c>
      <c r="W1794" s="42" t="s">
        <v>1716</v>
      </c>
      <c r="X1794" s="42" t="s">
        <v>1380</v>
      </c>
      <c r="Y1794" s="42" t="s">
        <v>1380</v>
      </c>
      <c r="AA1794" s="321"/>
      <c r="AB1794" s="321"/>
      <c r="AC1794" s="24" t="s">
        <v>240</v>
      </c>
      <c r="AH1794" s="24" t="s">
        <v>1538</v>
      </c>
      <c r="AI1794" s="138" t="s">
        <v>577</v>
      </c>
      <c r="AJ1794" s="24" t="s">
        <v>1602</v>
      </c>
      <c r="AK1794" s="141" t="s">
        <v>1612</v>
      </c>
      <c r="AW1794" s="24" t="s">
        <v>119</v>
      </c>
      <c r="AX1794" s="24">
        <v>3</v>
      </c>
      <c r="AZ1794" s="24" t="s">
        <v>141</v>
      </c>
      <c r="BE1794" s="24" t="s">
        <v>1473</v>
      </c>
      <c r="BP1794" s="395"/>
      <c r="BQ1794" s="395"/>
      <c r="BU1794" s="395"/>
      <c r="BV1794" s="395"/>
      <c r="BZ1794" s="395"/>
      <c r="CA1794" s="395"/>
      <c r="CE1794" s="548"/>
      <c r="CF1794" s="548"/>
      <c r="CG1794" s="548"/>
      <c r="CH1794" s="548"/>
      <c r="GU1794" s="24">
        <v>0.87</v>
      </c>
      <c r="GV1794" s="24">
        <v>0.9</v>
      </c>
      <c r="GY1794" s="24" t="s">
        <v>1661</v>
      </c>
      <c r="JB1794" s="24" t="s">
        <v>1474</v>
      </c>
    </row>
    <row r="1795" spans="1:262" s="36" customFormat="1" x14ac:dyDescent="0.25">
      <c r="A1795" s="36">
        <v>85</v>
      </c>
      <c r="B1795" s="51" t="s">
        <v>4121</v>
      </c>
      <c r="C1795" s="36" t="s">
        <v>1475</v>
      </c>
      <c r="D1795" s="36" t="s">
        <v>1476</v>
      </c>
      <c r="E1795" s="36">
        <v>2018</v>
      </c>
      <c r="F1795" s="36">
        <v>2014</v>
      </c>
      <c r="G1795" s="36" t="s">
        <v>296</v>
      </c>
      <c r="H1795" s="36" t="s">
        <v>1477</v>
      </c>
      <c r="I1795" s="36" t="s">
        <v>2815</v>
      </c>
      <c r="J1795" s="36">
        <v>34.67</v>
      </c>
      <c r="K1795" s="36">
        <v>-82.85</v>
      </c>
      <c r="L1795" s="36">
        <v>191</v>
      </c>
      <c r="R1795" s="51" t="s">
        <v>1847</v>
      </c>
      <c r="S1795" s="51" t="s">
        <v>1728</v>
      </c>
      <c r="U1795" s="51" t="s">
        <v>2015</v>
      </c>
      <c r="V1795" s="51" t="s">
        <v>1382</v>
      </c>
      <c r="W1795" s="51" t="s">
        <v>1717</v>
      </c>
      <c r="X1795" s="51" t="s">
        <v>1382</v>
      </c>
      <c r="Y1795" s="51" t="s">
        <v>1382</v>
      </c>
      <c r="AA1795" s="331"/>
      <c r="AB1795" s="331"/>
      <c r="AC1795" s="36" t="s">
        <v>240</v>
      </c>
      <c r="AH1795" s="36" t="s">
        <v>1580</v>
      </c>
      <c r="AI1795" s="138" t="s">
        <v>1582</v>
      </c>
      <c r="AJ1795" s="36" t="s">
        <v>242</v>
      </c>
      <c r="AK1795" s="142" t="s">
        <v>229</v>
      </c>
      <c r="AL1795" s="36" t="s">
        <v>1097</v>
      </c>
      <c r="AM1795" s="36" t="s">
        <v>1097</v>
      </c>
      <c r="AN1795" s="36" t="s">
        <v>177</v>
      </c>
      <c r="AO1795" s="36" t="s">
        <v>487</v>
      </c>
      <c r="AP1795" s="36" t="s">
        <v>156</v>
      </c>
      <c r="AQ1795" s="36" t="s">
        <v>2125</v>
      </c>
      <c r="AR1795" s="36" t="s">
        <v>2125</v>
      </c>
      <c r="AS1795" s="36" t="s">
        <v>502</v>
      </c>
      <c r="AT1795" s="36" t="s">
        <v>1482</v>
      </c>
      <c r="AU1795" s="36" t="s">
        <v>1482</v>
      </c>
      <c r="AV1795" s="36" t="s">
        <v>177</v>
      </c>
      <c r="AW1795" s="36" t="s">
        <v>160</v>
      </c>
      <c r="AX1795" s="36">
        <v>3</v>
      </c>
      <c r="AZ1795" s="36" t="s">
        <v>335</v>
      </c>
      <c r="BK1795" s="36">
        <f>10.8*1000</f>
        <v>10800</v>
      </c>
      <c r="BL1795" s="36">
        <f>19.7*1000</f>
        <v>19700</v>
      </c>
      <c r="BP1795" s="407"/>
      <c r="BQ1795" s="407"/>
      <c r="BU1795" s="407"/>
      <c r="BV1795" s="407"/>
      <c r="BZ1795" s="407"/>
      <c r="CA1795" s="407"/>
      <c r="CE1795" s="560"/>
      <c r="CF1795" s="560"/>
      <c r="CG1795" s="560"/>
      <c r="CH1795" s="560"/>
      <c r="CJ1795" s="36">
        <v>61.3</v>
      </c>
      <c r="CK1795" s="36">
        <v>74.099999999999994</v>
      </c>
      <c r="CN1795" s="36" t="s">
        <v>1481</v>
      </c>
      <c r="HJ1795" s="36">
        <v>52</v>
      </c>
      <c r="HK1795" s="36">
        <v>61.4</v>
      </c>
      <c r="HN1795" s="36" t="s">
        <v>1478</v>
      </c>
      <c r="IZ1795" s="36">
        <v>99999</v>
      </c>
      <c r="JB1795" s="36" t="s">
        <v>1479</v>
      </c>
    </row>
    <row r="1796" spans="1:262" s="36" customFormat="1" x14ac:dyDescent="0.25">
      <c r="A1796" s="36">
        <v>85</v>
      </c>
      <c r="B1796" s="51" t="s">
        <v>4121</v>
      </c>
      <c r="C1796" s="36" t="s">
        <v>1475</v>
      </c>
      <c r="D1796" s="36" t="s">
        <v>1476</v>
      </c>
      <c r="E1796" s="36">
        <v>2018</v>
      </c>
      <c r="F1796" s="36">
        <v>2015</v>
      </c>
      <c r="G1796" s="36" t="s">
        <v>296</v>
      </c>
      <c r="H1796" s="36" t="s">
        <v>1477</v>
      </c>
      <c r="I1796" s="36" t="s">
        <v>2815</v>
      </c>
      <c r="J1796" s="36">
        <v>34.67</v>
      </c>
      <c r="K1796" s="36">
        <v>-82.85</v>
      </c>
      <c r="L1796" s="36">
        <v>191</v>
      </c>
      <c r="R1796" s="51" t="s">
        <v>1728</v>
      </c>
      <c r="S1796" s="51" t="s">
        <v>1728</v>
      </c>
      <c r="U1796" s="51" t="s">
        <v>2015</v>
      </c>
      <c r="V1796" s="51" t="s">
        <v>1382</v>
      </c>
      <c r="W1796" s="51" t="s">
        <v>1717</v>
      </c>
      <c r="X1796" s="51" t="s">
        <v>1382</v>
      </c>
      <c r="Y1796" s="51" t="s">
        <v>1382</v>
      </c>
      <c r="AA1796" s="331"/>
      <c r="AB1796" s="331"/>
      <c r="AC1796" s="36" t="s">
        <v>240</v>
      </c>
      <c r="AH1796" s="36" t="s">
        <v>1580</v>
      </c>
      <c r="AI1796" s="138" t="s">
        <v>1582</v>
      </c>
      <c r="AJ1796" s="36" t="s">
        <v>242</v>
      </c>
      <c r="AK1796" s="142" t="s">
        <v>229</v>
      </c>
      <c r="AL1796" s="36" t="s">
        <v>1097</v>
      </c>
      <c r="AM1796" s="36" t="s">
        <v>1097</v>
      </c>
      <c r="AN1796" s="36" t="s">
        <v>177</v>
      </c>
      <c r="AO1796" s="36" t="s">
        <v>487</v>
      </c>
      <c r="AP1796" s="36" t="s">
        <v>156</v>
      </c>
      <c r="AQ1796" s="36" t="s">
        <v>2125</v>
      </c>
      <c r="AR1796" s="36" t="s">
        <v>2125</v>
      </c>
      <c r="AS1796" s="36" t="s">
        <v>502</v>
      </c>
      <c r="AT1796" s="36" t="s">
        <v>1482</v>
      </c>
      <c r="AU1796" s="36" t="s">
        <v>1482</v>
      </c>
      <c r="AV1796" s="36" t="s">
        <v>177</v>
      </c>
      <c r="AW1796" s="36" t="s">
        <v>160</v>
      </c>
      <c r="AX1796" s="36">
        <v>3</v>
      </c>
      <c r="AZ1796" s="36" t="s">
        <v>335</v>
      </c>
      <c r="BK1796" s="36">
        <f>31*1000</f>
        <v>31000</v>
      </c>
      <c r="BL1796" s="36">
        <f>21.2*1000</f>
        <v>21200</v>
      </c>
      <c r="BP1796" s="407"/>
      <c r="BQ1796" s="407"/>
      <c r="BU1796" s="407"/>
      <c r="BV1796" s="407"/>
      <c r="BZ1796" s="407"/>
      <c r="CA1796" s="407"/>
      <c r="CE1796" s="560"/>
      <c r="CF1796" s="560"/>
      <c r="CG1796" s="560"/>
      <c r="CH1796" s="560"/>
      <c r="CJ1796" s="36">
        <v>113.4</v>
      </c>
      <c r="CK1796" s="36">
        <v>102.6</v>
      </c>
      <c r="CN1796" s="36" t="s">
        <v>1481</v>
      </c>
      <c r="HJ1796" s="36">
        <v>100.1</v>
      </c>
      <c r="HK1796" s="36">
        <v>95</v>
      </c>
      <c r="HN1796" s="36" t="s">
        <v>1478</v>
      </c>
      <c r="IZ1796" s="36">
        <v>99999</v>
      </c>
      <c r="JB1796" s="36" t="s">
        <v>1479</v>
      </c>
    </row>
    <row r="1797" spans="1:262" s="36" customFormat="1" x14ac:dyDescent="0.25">
      <c r="A1797" s="36">
        <v>85</v>
      </c>
      <c r="B1797" s="51" t="s">
        <v>4121</v>
      </c>
      <c r="C1797" s="36" t="s">
        <v>1475</v>
      </c>
      <c r="D1797" s="36" t="s">
        <v>1476</v>
      </c>
      <c r="E1797" s="36">
        <v>2018</v>
      </c>
      <c r="F1797" s="36">
        <v>2014</v>
      </c>
      <c r="G1797" s="36" t="s">
        <v>296</v>
      </c>
      <c r="H1797" s="36" t="s">
        <v>1477</v>
      </c>
      <c r="I1797" s="36" t="s">
        <v>2815</v>
      </c>
      <c r="J1797" s="36">
        <v>34.67</v>
      </c>
      <c r="K1797" s="36">
        <v>-82.85</v>
      </c>
      <c r="L1797" s="36">
        <v>191</v>
      </c>
      <c r="R1797" s="51" t="s">
        <v>1847</v>
      </c>
      <c r="S1797" s="51" t="s">
        <v>1728</v>
      </c>
      <c r="U1797" s="51" t="s">
        <v>2015</v>
      </c>
      <c r="V1797" s="51" t="s">
        <v>1382</v>
      </c>
      <c r="W1797" s="51" t="s">
        <v>1717</v>
      </c>
      <c r="X1797" s="51" t="s">
        <v>1382</v>
      </c>
      <c r="Y1797" s="51" t="s">
        <v>1382</v>
      </c>
      <c r="AA1797" s="331"/>
      <c r="AB1797" s="331"/>
      <c r="AC1797" s="36" t="s">
        <v>240</v>
      </c>
      <c r="AH1797" s="36" t="s">
        <v>1580</v>
      </c>
      <c r="AI1797" s="138" t="s">
        <v>1582</v>
      </c>
      <c r="AJ1797" s="36" t="s">
        <v>1480</v>
      </c>
      <c r="AK1797" s="142" t="s">
        <v>229</v>
      </c>
      <c r="AL1797" s="36" t="s">
        <v>1097</v>
      </c>
      <c r="AM1797" s="36" t="s">
        <v>1097</v>
      </c>
      <c r="AN1797" s="36" t="s">
        <v>177</v>
      </c>
      <c r="AO1797" s="36" t="s">
        <v>487</v>
      </c>
      <c r="AP1797" s="36" t="s">
        <v>156</v>
      </c>
      <c r="AQ1797" s="36" t="s">
        <v>2125</v>
      </c>
      <c r="AR1797" s="36" t="s">
        <v>2125</v>
      </c>
      <c r="AS1797" s="36" t="s">
        <v>502</v>
      </c>
      <c r="AT1797" s="36" t="s">
        <v>1482</v>
      </c>
      <c r="AU1797" s="36" t="s">
        <v>1482</v>
      </c>
      <c r="AV1797" s="36" t="s">
        <v>177</v>
      </c>
      <c r="AW1797" s="36" t="s">
        <v>160</v>
      </c>
      <c r="AX1797" s="36">
        <v>3</v>
      </c>
      <c r="AZ1797" s="36" t="s">
        <v>335</v>
      </c>
      <c r="BK1797" s="36">
        <f>57.8*1000</f>
        <v>57800</v>
      </c>
      <c r="BL1797" s="36">
        <f>54.5*1000</f>
        <v>54500</v>
      </c>
      <c r="BP1797" s="407"/>
      <c r="BQ1797" s="407"/>
      <c r="BU1797" s="407"/>
      <c r="BV1797" s="407"/>
      <c r="BZ1797" s="407"/>
      <c r="CA1797" s="407"/>
      <c r="CE1797" s="560"/>
      <c r="CF1797" s="560"/>
      <c r="CG1797" s="560"/>
      <c r="CH1797" s="560"/>
      <c r="CJ1797" s="36">
        <v>65.900000000000006</v>
      </c>
      <c r="CK1797" s="36">
        <v>78.599999999999994</v>
      </c>
      <c r="CN1797" s="36" t="s">
        <v>1481</v>
      </c>
      <c r="HJ1797" s="36">
        <v>55</v>
      </c>
      <c r="HK1797" s="36">
        <v>65.2</v>
      </c>
      <c r="HN1797" s="36" t="s">
        <v>1478</v>
      </c>
      <c r="IZ1797" s="36">
        <v>99999</v>
      </c>
      <c r="JB1797" s="36" t="s">
        <v>1479</v>
      </c>
    </row>
    <row r="1798" spans="1:262" s="36" customFormat="1" x14ac:dyDescent="0.25">
      <c r="A1798" s="36">
        <v>85</v>
      </c>
      <c r="B1798" s="51" t="s">
        <v>4121</v>
      </c>
      <c r="C1798" s="36" t="s">
        <v>1475</v>
      </c>
      <c r="D1798" s="36" t="s">
        <v>1476</v>
      </c>
      <c r="E1798" s="36">
        <v>2018</v>
      </c>
      <c r="F1798" s="36">
        <v>2015</v>
      </c>
      <c r="G1798" s="36" t="s">
        <v>296</v>
      </c>
      <c r="H1798" s="36" t="s">
        <v>1477</v>
      </c>
      <c r="I1798" s="36" t="s">
        <v>2815</v>
      </c>
      <c r="J1798" s="36">
        <v>34.67</v>
      </c>
      <c r="K1798" s="36">
        <v>-82.85</v>
      </c>
      <c r="L1798" s="36">
        <v>191</v>
      </c>
      <c r="R1798" s="51" t="s">
        <v>1728</v>
      </c>
      <c r="S1798" s="51" t="s">
        <v>1728</v>
      </c>
      <c r="U1798" s="51" t="s">
        <v>2015</v>
      </c>
      <c r="V1798" s="51" t="s">
        <v>1382</v>
      </c>
      <c r="W1798" s="51" t="s">
        <v>1717</v>
      </c>
      <c r="X1798" s="51" t="s">
        <v>1382</v>
      </c>
      <c r="Y1798" s="51" t="s">
        <v>1382</v>
      </c>
      <c r="AA1798" s="331"/>
      <c r="AB1798" s="331"/>
      <c r="AC1798" s="36" t="s">
        <v>240</v>
      </c>
      <c r="AH1798" s="36" t="s">
        <v>1580</v>
      </c>
      <c r="AI1798" s="138" t="s">
        <v>1582</v>
      </c>
      <c r="AJ1798" s="36" t="s">
        <v>1480</v>
      </c>
      <c r="AK1798" s="142" t="s">
        <v>229</v>
      </c>
      <c r="AL1798" s="36" t="s">
        <v>1097</v>
      </c>
      <c r="AM1798" s="36" t="s">
        <v>1097</v>
      </c>
      <c r="AN1798" s="36" t="s">
        <v>177</v>
      </c>
      <c r="AO1798" s="36" t="s">
        <v>487</v>
      </c>
      <c r="AP1798" s="36" t="s">
        <v>156</v>
      </c>
      <c r="AQ1798" s="36" t="s">
        <v>2125</v>
      </c>
      <c r="AR1798" s="36" t="s">
        <v>2125</v>
      </c>
      <c r="AS1798" s="36" t="s">
        <v>502</v>
      </c>
      <c r="AT1798" s="36" t="s">
        <v>1482</v>
      </c>
      <c r="AU1798" s="36" t="s">
        <v>1482</v>
      </c>
      <c r="AV1798" s="36" t="s">
        <v>177</v>
      </c>
      <c r="AW1798" s="36" t="s">
        <v>160</v>
      </c>
      <c r="AX1798" s="36">
        <v>3</v>
      </c>
      <c r="AZ1798" s="36" t="s">
        <v>335</v>
      </c>
      <c r="BK1798" s="36">
        <f>25.14*1000</f>
        <v>25140</v>
      </c>
      <c r="BL1798" s="36">
        <f>23.32*1000</f>
        <v>23320</v>
      </c>
      <c r="BP1798" s="407"/>
      <c r="BQ1798" s="407"/>
      <c r="BU1798" s="407"/>
      <c r="BV1798" s="407"/>
      <c r="BZ1798" s="407"/>
      <c r="CA1798" s="407"/>
      <c r="CE1798" s="560"/>
      <c r="CF1798" s="560"/>
      <c r="CG1798" s="560"/>
      <c r="CH1798" s="560"/>
      <c r="CJ1798" s="36">
        <v>103.8</v>
      </c>
      <c r="CK1798" s="36">
        <v>100</v>
      </c>
      <c r="CN1798" s="36" t="s">
        <v>1481</v>
      </c>
      <c r="HJ1798" s="36">
        <v>91.8</v>
      </c>
      <c r="HK1798" s="36">
        <v>90.6</v>
      </c>
      <c r="HN1798" s="36" t="s">
        <v>1478</v>
      </c>
      <c r="IZ1798" s="36">
        <v>99999</v>
      </c>
      <c r="JB1798" s="36" t="s">
        <v>1479</v>
      </c>
    </row>
    <row r="1799" spans="1:262" s="32" customFormat="1" x14ac:dyDescent="0.25">
      <c r="A1799" s="32">
        <v>86</v>
      </c>
      <c r="B1799" s="44" t="s">
        <v>4122</v>
      </c>
      <c r="C1799" s="32" t="s">
        <v>1049</v>
      </c>
      <c r="D1799" s="32" t="s">
        <v>1050</v>
      </c>
      <c r="E1799" s="32">
        <v>2006</v>
      </c>
      <c r="F1799" s="32">
        <v>2002</v>
      </c>
      <c r="G1799" s="32" t="s">
        <v>329</v>
      </c>
      <c r="H1799" s="32" t="s">
        <v>1483</v>
      </c>
      <c r="I1799" s="32" t="s">
        <v>2815</v>
      </c>
      <c r="J1799" s="32">
        <v>40.07</v>
      </c>
      <c r="K1799" s="32">
        <v>-82.85</v>
      </c>
      <c r="L1799" s="32">
        <v>223</v>
      </c>
      <c r="R1799" s="44" t="s">
        <v>1722</v>
      </c>
      <c r="S1799" s="44" t="s">
        <v>1843</v>
      </c>
      <c r="U1799" s="44" t="s">
        <v>2016</v>
      </c>
      <c r="V1799" s="44" t="s">
        <v>1394</v>
      </c>
      <c r="W1799" s="44" t="s">
        <v>1722</v>
      </c>
      <c r="X1799" s="44" t="s">
        <v>1394</v>
      </c>
      <c r="Y1799" s="44" t="s">
        <v>1389</v>
      </c>
      <c r="Z1799" s="32">
        <f t="shared" ref="Z1799:Z1822" si="276">(1.32+1.4+1.45+1.45)/4</f>
        <v>1.405</v>
      </c>
      <c r="AA1799" s="323">
        <v>27.3</v>
      </c>
      <c r="AB1799" s="323">
        <v>58.7</v>
      </c>
      <c r="AC1799" s="32" t="s">
        <v>450</v>
      </c>
      <c r="AG1799" s="32" t="s">
        <v>1484</v>
      </c>
      <c r="AH1799" s="32" t="s">
        <v>131</v>
      </c>
      <c r="AI1799" s="138" t="s">
        <v>131</v>
      </c>
      <c r="AJ1799" s="32" t="s">
        <v>1594</v>
      </c>
      <c r="AK1799" s="140" t="s">
        <v>1611</v>
      </c>
      <c r="AL1799" s="32" t="s">
        <v>1485</v>
      </c>
      <c r="AM1799" s="32" t="s">
        <v>1486</v>
      </c>
      <c r="AN1799" s="32" t="s">
        <v>502</v>
      </c>
      <c r="AW1799" s="32" t="s">
        <v>119</v>
      </c>
      <c r="AX1799" s="32">
        <v>4</v>
      </c>
      <c r="AZ1799" s="32" t="s">
        <v>141</v>
      </c>
      <c r="BP1799" s="397">
        <v>1.32</v>
      </c>
      <c r="BQ1799" s="397">
        <v>1.24</v>
      </c>
      <c r="BU1799" s="397">
        <v>4.2</v>
      </c>
      <c r="BV1799" s="397">
        <v>4.4000000000000004</v>
      </c>
      <c r="BY1799" s="32" t="s">
        <v>1007</v>
      </c>
      <c r="BZ1799" s="397"/>
      <c r="CA1799" s="397"/>
      <c r="CD1799" s="32" t="s">
        <v>1670</v>
      </c>
      <c r="CE1799" s="550">
        <v>4.2</v>
      </c>
      <c r="CF1799" s="550">
        <v>4.4000000000000004</v>
      </c>
      <c r="CG1799" s="550"/>
      <c r="CH1799" s="550"/>
      <c r="CI1799" s="32" t="s">
        <v>4545</v>
      </c>
      <c r="CJ1799" s="32">
        <f>10^1</f>
        <v>10</v>
      </c>
      <c r="CK1799" s="32">
        <f>10^1</f>
        <v>10</v>
      </c>
      <c r="CN1799" s="32" t="s">
        <v>1009</v>
      </c>
      <c r="CP1799" s="32">
        <v>5.9</v>
      </c>
      <c r="CS1799" s="32">
        <v>5.3</v>
      </c>
      <c r="DS1799" s="32">
        <v>38</v>
      </c>
      <c r="DT1799" s="32">
        <v>41</v>
      </c>
      <c r="DX1799" s="32">
        <v>39</v>
      </c>
      <c r="DY1799" s="32">
        <v>41</v>
      </c>
      <c r="EB1799" s="32" t="s">
        <v>1017</v>
      </c>
      <c r="EC1799" s="32">
        <v>3.1</v>
      </c>
      <c r="ED1799" s="32">
        <v>3</v>
      </c>
      <c r="FL1799" s="32">
        <v>35.200000000000003</v>
      </c>
      <c r="FM1799" s="32">
        <v>36.4</v>
      </c>
      <c r="FP1799" s="32" t="s">
        <v>1492</v>
      </c>
      <c r="FQ1799" s="32">
        <v>24.3</v>
      </c>
      <c r="FR1799" s="32">
        <v>25.3</v>
      </c>
      <c r="FU1799" s="32" t="s">
        <v>1491</v>
      </c>
      <c r="JB1799" s="32" t="s">
        <v>1489</v>
      </c>
    </row>
    <row r="1800" spans="1:262" s="32" customFormat="1" x14ac:dyDescent="0.25">
      <c r="A1800" s="32">
        <v>86</v>
      </c>
      <c r="B1800" s="44" t="s">
        <v>4122</v>
      </c>
      <c r="C1800" s="32" t="s">
        <v>1049</v>
      </c>
      <c r="D1800" s="32" t="s">
        <v>1050</v>
      </c>
      <c r="E1800" s="32">
        <v>2006</v>
      </c>
      <c r="F1800" s="32">
        <v>2002</v>
      </c>
      <c r="G1800" s="32" t="s">
        <v>329</v>
      </c>
      <c r="H1800" s="32" t="s">
        <v>1483</v>
      </c>
      <c r="I1800" s="32" t="s">
        <v>2815</v>
      </c>
      <c r="J1800" s="32">
        <v>40.07</v>
      </c>
      <c r="K1800" s="32">
        <v>-82.85</v>
      </c>
      <c r="L1800" s="32">
        <v>223</v>
      </c>
      <c r="R1800" s="44" t="s">
        <v>1722</v>
      </c>
      <c r="S1800" s="44" t="s">
        <v>1843</v>
      </c>
      <c r="U1800" s="44" t="s">
        <v>2016</v>
      </c>
      <c r="V1800" s="44" t="s">
        <v>1394</v>
      </c>
      <c r="W1800" s="44" t="s">
        <v>1722</v>
      </c>
      <c r="X1800" s="44" t="s">
        <v>1394</v>
      </c>
      <c r="Y1800" s="44" t="s">
        <v>1389</v>
      </c>
      <c r="Z1800" s="32">
        <f t="shared" si="276"/>
        <v>1.405</v>
      </c>
      <c r="AA1800" s="323">
        <v>27.3</v>
      </c>
      <c r="AB1800" s="323">
        <v>58.7</v>
      </c>
      <c r="AC1800" s="32" t="s">
        <v>450</v>
      </c>
      <c r="AG1800" s="32" t="s">
        <v>1484</v>
      </c>
      <c r="AH1800" s="32" t="s">
        <v>1518</v>
      </c>
      <c r="AI1800" s="138" t="s">
        <v>1582</v>
      </c>
      <c r="AJ1800" s="32" t="s">
        <v>1594</v>
      </c>
      <c r="AK1800" s="140" t="s">
        <v>1611</v>
      </c>
      <c r="AL1800" s="32" t="s">
        <v>1485</v>
      </c>
      <c r="AM1800" s="32" t="s">
        <v>1487</v>
      </c>
      <c r="AN1800" s="32" t="s">
        <v>502</v>
      </c>
      <c r="AW1800" s="32" t="s">
        <v>119</v>
      </c>
      <c r="AX1800" s="32">
        <v>4</v>
      </c>
      <c r="AZ1800" s="32" t="s">
        <v>141</v>
      </c>
      <c r="BP1800" s="397">
        <v>1.32</v>
      </c>
      <c r="BQ1800" s="397">
        <v>1.23</v>
      </c>
      <c r="BU1800" s="397">
        <v>4.2</v>
      </c>
      <c r="BV1800" s="397">
        <v>4.5</v>
      </c>
      <c r="BY1800" s="32" t="s">
        <v>1007</v>
      </c>
      <c r="BZ1800" s="397"/>
      <c r="CA1800" s="397"/>
      <c r="CD1800" s="32" t="s">
        <v>1670</v>
      </c>
      <c r="CE1800" s="550">
        <v>4.2</v>
      </c>
      <c r="CF1800" s="550">
        <v>4.5</v>
      </c>
      <c r="CG1800" s="550"/>
      <c r="CH1800" s="550"/>
      <c r="CI1800" s="32" t="s">
        <v>4545</v>
      </c>
      <c r="CJ1800" s="32">
        <f t="shared" ref="CJ1800:CK1801" si="277">10^1</f>
        <v>10</v>
      </c>
      <c r="CK1800" s="32">
        <f t="shared" si="277"/>
        <v>10</v>
      </c>
      <c r="CN1800" s="32" t="s">
        <v>1009</v>
      </c>
      <c r="EC1800" s="32">
        <v>3.1</v>
      </c>
      <c r="ED1800" s="32">
        <v>3</v>
      </c>
      <c r="JB1800" s="32" t="s">
        <v>1489</v>
      </c>
    </row>
    <row r="1801" spans="1:262" s="32" customFormat="1" x14ac:dyDescent="0.25">
      <c r="A1801" s="32">
        <v>86</v>
      </c>
      <c r="B1801" s="44" t="s">
        <v>4122</v>
      </c>
      <c r="C1801" s="32" t="s">
        <v>1049</v>
      </c>
      <c r="D1801" s="32" t="s">
        <v>1050</v>
      </c>
      <c r="E1801" s="32">
        <v>2006</v>
      </c>
      <c r="F1801" s="32">
        <v>2002</v>
      </c>
      <c r="G1801" s="32" t="s">
        <v>329</v>
      </c>
      <c r="H1801" s="32" t="s">
        <v>1483</v>
      </c>
      <c r="I1801" s="32" t="s">
        <v>2815</v>
      </c>
      <c r="J1801" s="32">
        <v>40.07</v>
      </c>
      <c r="K1801" s="32">
        <v>-82.85</v>
      </c>
      <c r="L1801" s="32">
        <v>223</v>
      </c>
      <c r="R1801" s="44" t="s">
        <v>1722</v>
      </c>
      <c r="S1801" s="44" t="s">
        <v>1843</v>
      </c>
      <c r="U1801" s="44" t="s">
        <v>2016</v>
      </c>
      <c r="V1801" s="44" t="s">
        <v>1394</v>
      </c>
      <c r="W1801" s="44" t="s">
        <v>1722</v>
      </c>
      <c r="X1801" s="44" t="s">
        <v>1394</v>
      </c>
      <c r="Y1801" s="44" t="s">
        <v>1389</v>
      </c>
      <c r="Z1801" s="32">
        <f t="shared" si="276"/>
        <v>1.405</v>
      </c>
      <c r="AA1801" s="323">
        <v>27.3</v>
      </c>
      <c r="AB1801" s="323">
        <v>58.7</v>
      </c>
      <c r="AC1801" s="32" t="s">
        <v>450</v>
      </c>
      <c r="AG1801" s="32" t="s">
        <v>1484</v>
      </c>
      <c r="AH1801" s="32" t="s">
        <v>1579</v>
      </c>
      <c r="AI1801" s="138" t="s">
        <v>635</v>
      </c>
      <c r="AJ1801" s="32" t="s">
        <v>1594</v>
      </c>
      <c r="AK1801" s="140" t="s">
        <v>1611</v>
      </c>
      <c r="AL1801" s="32" t="s">
        <v>1485</v>
      </c>
      <c r="AM1801" s="32" t="s">
        <v>1488</v>
      </c>
      <c r="AN1801" s="32" t="s">
        <v>502</v>
      </c>
      <c r="AW1801" s="32" t="s">
        <v>119</v>
      </c>
      <c r="AX1801" s="32">
        <v>4</v>
      </c>
      <c r="AZ1801" s="32" t="s">
        <v>141</v>
      </c>
      <c r="BP1801" s="397">
        <v>1.32</v>
      </c>
      <c r="BQ1801" s="397">
        <v>1.23</v>
      </c>
      <c r="BU1801" s="397">
        <v>4.2</v>
      </c>
      <c r="BV1801" s="397">
        <v>4.7</v>
      </c>
      <c r="BY1801" s="32" t="s">
        <v>1007</v>
      </c>
      <c r="BZ1801" s="397"/>
      <c r="CA1801" s="397"/>
      <c r="CD1801" s="32" t="s">
        <v>1670</v>
      </c>
      <c r="CE1801" s="550">
        <v>4.2</v>
      </c>
      <c r="CF1801" s="550">
        <v>4.7</v>
      </c>
      <c r="CG1801" s="550"/>
      <c r="CH1801" s="550"/>
      <c r="CI1801" s="32" t="s">
        <v>4545</v>
      </c>
      <c r="CJ1801" s="32">
        <f t="shared" si="277"/>
        <v>10</v>
      </c>
      <c r="CK1801" s="32">
        <f>10^0.9</f>
        <v>7.9432823472428176</v>
      </c>
      <c r="CN1801" s="32" t="s">
        <v>1009</v>
      </c>
      <c r="EC1801" s="32">
        <v>3.1</v>
      </c>
      <c r="ED1801" s="32">
        <v>3.1</v>
      </c>
      <c r="JB1801" s="32" t="s">
        <v>1489</v>
      </c>
    </row>
    <row r="1802" spans="1:262" s="32" customFormat="1" x14ac:dyDescent="0.25">
      <c r="A1802" s="32">
        <v>86</v>
      </c>
      <c r="B1802" s="44" t="s">
        <v>4123</v>
      </c>
      <c r="C1802" s="32" t="s">
        <v>1049</v>
      </c>
      <c r="D1802" s="32" t="s">
        <v>1050</v>
      </c>
      <c r="E1802" s="32">
        <v>2006</v>
      </c>
      <c r="F1802" s="32">
        <v>2002</v>
      </c>
      <c r="G1802" s="32" t="s">
        <v>329</v>
      </c>
      <c r="H1802" s="32" t="s">
        <v>1483</v>
      </c>
      <c r="I1802" s="32" t="s">
        <v>2815</v>
      </c>
      <c r="J1802" s="32">
        <v>40.07</v>
      </c>
      <c r="K1802" s="32">
        <v>-82.85</v>
      </c>
      <c r="L1802" s="32">
        <v>223</v>
      </c>
      <c r="R1802" s="44" t="s">
        <v>1722</v>
      </c>
      <c r="S1802" s="44" t="s">
        <v>1843</v>
      </c>
      <c r="U1802" s="44" t="s">
        <v>2016</v>
      </c>
      <c r="V1802" s="44" t="s">
        <v>1401</v>
      </c>
      <c r="W1802" s="44" t="s">
        <v>1722</v>
      </c>
      <c r="X1802" s="44" t="s">
        <v>1394</v>
      </c>
      <c r="Y1802" s="44" t="s">
        <v>1389</v>
      </c>
      <c r="Z1802" s="32">
        <f t="shared" si="276"/>
        <v>1.405</v>
      </c>
      <c r="AA1802" s="323">
        <v>27.3</v>
      </c>
      <c r="AB1802" s="323">
        <v>58.7</v>
      </c>
      <c r="AC1802" s="32" t="s">
        <v>450</v>
      </c>
      <c r="AG1802" s="32" t="s">
        <v>1484</v>
      </c>
      <c r="AH1802" s="32" t="s">
        <v>131</v>
      </c>
      <c r="AI1802" s="138" t="s">
        <v>131</v>
      </c>
      <c r="AJ1802" s="32" t="s">
        <v>1594</v>
      </c>
      <c r="AK1802" s="140" t="s">
        <v>1611</v>
      </c>
      <c r="AL1802" s="32" t="s">
        <v>1485</v>
      </c>
      <c r="AM1802" s="32" t="s">
        <v>1486</v>
      </c>
      <c r="AN1802" s="32" t="s">
        <v>502</v>
      </c>
      <c r="AW1802" s="32" t="s">
        <v>119</v>
      </c>
      <c r="AX1802" s="32">
        <v>4</v>
      </c>
      <c r="AZ1802" s="32" t="s">
        <v>141</v>
      </c>
      <c r="BP1802" s="397">
        <v>1.4</v>
      </c>
      <c r="BQ1802" s="397">
        <v>1.38</v>
      </c>
      <c r="BU1802" s="397">
        <v>3.3</v>
      </c>
      <c r="BV1802" s="397">
        <v>3.5</v>
      </c>
      <c r="BY1802" s="32" t="s">
        <v>1007</v>
      </c>
      <c r="BZ1802" s="397"/>
      <c r="CA1802" s="397"/>
      <c r="CD1802" s="32" t="s">
        <v>1670</v>
      </c>
      <c r="CE1802" s="550">
        <v>3.3</v>
      </c>
      <c r="CF1802" s="550">
        <v>3.5</v>
      </c>
      <c r="CG1802" s="550"/>
      <c r="CH1802" s="550"/>
      <c r="CI1802" s="32" t="s">
        <v>4545</v>
      </c>
      <c r="CJ1802" s="32">
        <f>10^1.1</f>
        <v>12.58925411794168</v>
      </c>
      <c r="CK1802" s="32">
        <f>10^1</f>
        <v>10</v>
      </c>
      <c r="CN1802" s="32" t="s">
        <v>1009</v>
      </c>
      <c r="CP1802" s="32">
        <v>5.9</v>
      </c>
      <c r="CS1802" s="32">
        <v>5.8</v>
      </c>
      <c r="DS1802" s="32">
        <v>38</v>
      </c>
      <c r="DT1802" s="32">
        <v>43</v>
      </c>
      <c r="DX1802" s="32">
        <v>39</v>
      </c>
      <c r="DY1802" s="32">
        <v>40.299999999999997</v>
      </c>
      <c r="EB1802" s="32" t="s">
        <v>1017</v>
      </c>
      <c r="EC1802" s="32">
        <v>3.3</v>
      </c>
      <c r="ED1802" s="32">
        <v>3.2</v>
      </c>
      <c r="FL1802" s="32">
        <v>35.200000000000003</v>
      </c>
      <c r="FM1802" s="32">
        <v>36.4</v>
      </c>
      <c r="FP1802" s="32" t="s">
        <v>1492</v>
      </c>
      <c r="FQ1802" s="32">
        <v>24.3</v>
      </c>
      <c r="FR1802" s="32">
        <v>25.6</v>
      </c>
      <c r="FU1802" s="32" t="s">
        <v>1491</v>
      </c>
      <c r="JB1802" s="32" t="s">
        <v>1489</v>
      </c>
    </row>
    <row r="1803" spans="1:262" s="32" customFormat="1" x14ac:dyDescent="0.25">
      <c r="A1803" s="32">
        <v>86</v>
      </c>
      <c r="B1803" s="44" t="s">
        <v>4123</v>
      </c>
      <c r="C1803" s="32" t="s">
        <v>1049</v>
      </c>
      <c r="D1803" s="32" t="s">
        <v>1050</v>
      </c>
      <c r="E1803" s="32">
        <v>2006</v>
      </c>
      <c r="F1803" s="32">
        <v>2002</v>
      </c>
      <c r="G1803" s="32" t="s">
        <v>329</v>
      </c>
      <c r="H1803" s="32" t="s">
        <v>1483</v>
      </c>
      <c r="I1803" s="32" t="s">
        <v>2815</v>
      </c>
      <c r="J1803" s="32">
        <v>40.07</v>
      </c>
      <c r="K1803" s="32">
        <v>-82.85</v>
      </c>
      <c r="L1803" s="32">
        <v>223</v>
      </c>
      <c r="R1803" s="44" t="s">
        <v>1722</v>
      </c>
      <c r="S1803" s="44" t="s">
        <v>1843</v>
      </c>
      <c r="U1803" s="44" t="s">
        <v>2016</v>
      </c>
      <c r="V1803" s="44" t="s">
        <v>1401</v>
      </c>
      <c r="W1803" s="44" t="s">
        <v>1722</v>
      </c>
      <c r="X1803" s="44" t="s">
        <v>1394</v>
      </c>
      <c r="Y1803" s="44" t="s">
        <v>1389</v>
      </c>
      <c r="Z1803" s="32">
        <f t="shared" si="276"/>
        <v>1.405</v>
      </c>
      <c r="AA1803" s="323">
        <v>27.3</v>
      </c>
      <c r="AB1803" s="323">
        <v>58.7</v>
      </c>
      <c r="AC1803" s="32" t="s">
        <v>450</v>
      </c>
      <c r="AG1803" s="32" t="s">
        <v>1484</v>
      </c>
      <c r="AH1803" s="32" t="s">
        <v>1518</v>
      </c>
      <c r="AI1803" s="138" t="s">
        <v>1582</v>
      </c>
      <c r="AJ1803" s="32" t="s">
        <v>1594</v>
      </c>
      <c r="AK1803" s="140" t="s">
        <v>1611</v>
      </c>
      <c r="AL1803" s="32" t="s">
        <v>1485</v>
      </c>
      <c r="AM1803" s="32" t="s">
        <v>1487</v>
      </c>
      <c r="AN1803" s="32" t="s">
        <v>502</v>
      </c>
      <c r="AW1803" s="32" t="s">
        <v>119</v>
      </c>
      <c r="AX1803" s="32">
        <v>4</v>
      </c>
      <c r="AZ1803" s="32" t="s">
        <v>141</v>
      </c>
      <c r="BP1803" s="397">
        <v>1.4</v>
      </c>
      <c r="BQ1803" s="397">
        <v>1.35</v>
      </c>
      <c r="BU1803" s="397">
        <v>3.3</v>
      </c>
      <c r="BV1803" s="397">
        <v>3.6</v>
      </c>
      <c r="BY1803" s="32" t="s">
        <v>1007</v>
      </c>
      <c r="BZ1803" s="397"/>
      <c r="CA1803" s="397"/>
      <c r="CD1803" s="32" t="s">
        <v>1670</v>
      </c>
      <c r="CE1803" s="550">
        <v>3.3</v>
      </c>
      <c r="CF1803" s="550">
        <v>3.6</v>
      </c>
      <c r="CG1803" s="550"/>
      <c r="CH1803" s="550"/>
      <c r="CI1803" s="32" t="s">
        <v>4545</v>
      </c>
      <c r="CJ1803" s="32">
        <f t="shared" ref="CJ1803:CJ1807" si="278">10^1.1</f>
        <v>12.58925411794168</v>
      </c>
      <c r="CK1803" s="32">
        <f>10^0.6</f>
        <v>3.9810717055349727</v>
      </c>
      <c r="CN1803" s="32" t="s">
        <v>1009</v>
      </c>
      <c r="EC1803" s="32">
        <v>3.3</v>
      </c>
      <c r="ED1803" s="32">
        <v>3.2</v>
      </c>
      <c r="JB1803" s="32" t="s">
        <v>1489</v>
      </c>
    </row>
    <row r="1804" spans="1:262" s="32" customFormat="1" x14ac:dyDescent="0.25">
      <c r="A1804" s="32">
        <v>86</v>
      </c>
      <c r="B1804" s="44" t="s">
        <v>4123</v>
      </c>
      <c r="C1804" s="32" t="s">
        <v>1049</v>
      </c>
      <c r="D1804" s="32" t="s">
        <v>1050</v>
      </c>
      <c r="E1804" s="32">
        <v>2006</v>
      </c>
      <c r="F1804" s="32">
        <v>2002</v>
      </c>
      <c r="G1804" s="32" t="s">
        <v>329</v>
      </c>
      <c r="H1804" s="32" t="s">
        <v>1483</v>
      </c>
      <c r="I1804" s="32" t="s">
        <v>2815</v>
      </c>
      <c r="J1804" s="32">
        <v>40.07</v>
      </c>
      <c r="K1804" s="32">
        <v>-82.85</v>
      </c>
      <c r="L1804" s="32">
        <v>223</v>
      </c>
      <c r="R1804" s="44" t="s">
        <v>1722</v>
      </c>
      <c r="S1804" s="44" t="s">
        <v>1843</v>
      </c>
      <c r="U1804" s="44" t="s">
        <v>2016</v>
      </c>
      <c r="V1804" s="44" t="s">
        <v>1401</v>
      </c>
      <c r="W1804" s="44" t="s">
        <v>1722</v>
      </c>
      <c r="X1804" s="44" t="s">
        <v>1394</v>
      </c>
      <c r="Y1804" s="44" t="s">
        <v>1389</v>
      </c>
      <c r="Z1804" s="32">
        <f t="shared" si="276"/>
        <v>1.405</v>
      </c>
      <c r="AA1804" s="323">
        <v>27.3</v>
      </c>
      <c r="AB1804" s="323">
        <v>58.7</v>
      </c>
      <c r="AC1804" s="32" t="s">
        <v>450</v>
      </c>
      <c r="AG1804" s="32" t="s">
        <v>1484</v>
      </c>
      <c r="AH1804" s="32" t="s">
        <v>1579</v>
      </c>
      <c r="AI1804" s="138" t="s">
        <v>635</v>
      </c>
      <c r="AJ1804" s="32" t="s">
        <v>1594</v>
      </c>
      <c r="AK1804" s="140" t="s">
        <v>1611</v>
      </c>
      <c r="AL1804" s="32" t="s">
        <v>1485</v>
      </c>
      <c r="AM1804" s="32" t="s">
        <v>1488</v>
      </c>
      <c r="AN1804" s="32" t="s">
        <v>502</v>
      </c>
      <c r="AW1804" s="32" t="s">
        <v>119</v>
      </c>
      <c r="AX1804" s="32">
        <v>4</v>
      </c>
      <c r="AZ1804" s="32" t="s">
        <v>141</v>
      </c>
      <c r="BP1804" s="397">
        <v>1.4</v>
      </c>
      <c r="BQ1804" s="397">
        <v>1.36</v>
      </c>
      <c r="BU1804" s="397">
        <v>3.3</v>
      </c>
      <c r="BV1804" s="397">
        <v>3.8</v>
      </c>
      <c r="BY1804" s="32" t="s">
        <v>1007</v>
      </c>
      <c r="BZ1804" s="397"/>
      <c r="CA1804" s="397"/>
      <c r="CD1804" s="32" t="s">
        <v>1670</v>
      </c>
      <c r="CE1804" s="550">
        <v>3.3</v>
      </c>
      <c r="CF1804" s="550">
        <v>3.8</v>
      </c>
      <c r="CG1804" s="550"/>
      <c r="CH1804" s="550"/>
      <c r="CI1804" s="32" t="s">
        <v>4545</v>
      </c>
      <c r="CJ1804" s="32">
        <f t="shared" si="278"/>
        <v>12.58925411794168</v>
      </c>
      <c r="CK1804" s="32">
        <f>10^0.9</f>
        <v>7.9432823472428176</v>
      </c>
      <c r="CN1804" s="32" t="s">
        <v>1009</v>
      </c>
      <c r="EC1804" s="32">
        <v>3.3</v>
      </c>
      <c r="ED1804" s="32">
        <v>3.2</v>
      </c>
      <c r="JB1804" s="32" t="s">
        <v>1489</v>
      </c>
    </row>
    <row r="1805" spans="1:262" s="32" customFormat="1" x14ac:dyDescent="0.25">
      <c r="A1805" s="32">
        <v>86</v>
      </c>
      <c r="B1805" s="44" t="s">
        <v>4124</v>
      </c>
      <c r="C1805" s="32" t="s">
        <v>1049</v>
      </c>
      <c r="D1805" s="32" t="s">
        <v>1050</v>
      </c>
      <c r="E1805" s="32">
        <v>2006</v>
      </c>
      <c r="F1805" s="32">
        <v>2002</v>
      </c>
      <c r="G1805" s="32" t="s">
        <v>329</v>
      </c>
      <c r="H1805" s="32" t="s">
        <v>1483</v>
      </c>
      <c r="I1805" s="32" t="s">
        <v>2815</v>
      </c>
      <c r="J1805" s="32">
        <v>40.07</v>
      </c>
      <c r="K1805" s="32">
        <v>-82.85</v>
      </c>
      <c r="L1805" s="32">
        <v>223</v>
      </c>
      <c r="R1805" s="44" t="s">
        <v>1722</v>
      </c>
      <c r="S1805" s="44" t="s">
        <v>1843</v>
      </c>
      <c r="U1805" s="44" t="s">
        <v>2016</v>
      </c>
      <c r="V1805" s="44" t="s">
        <v>1409</v>
      </c>
      <c r="W1805" s="44" t="s">
        <v>1722</v>
      </c>
      <c r="X1805" s="44" t="s">
        <v>1394</v>
      </c>
      <c r="Y1805" s="44" t="s">
        <v>1389</v>
      </c>
      <c r="Z1805" s="32">
        <f t="shared" si="276"/>
        <v>1.405</v>
      </c>
      <c r="AA1805" s="323">
        <v>27.3</v>
      </c>
      <c r="AB1805" s="323">
        <v>58.7</v>
      </c>
      <c r="AC1805" s="32" t="s">
        <v>450</v>
      </c>
      <c r="AG1805" s="32" t="s">
        <v>1484</v>
      </c>
      <c r="AH1805" s="32" t="s">
        <v>131</v>
      </c>
      <c r="AI1805" s="138" t="s">
        <v>131</v>
      </c>
      <c r="AJ1805" s="32" t="s">
        <v>1594</v>
      </c>
      <c r="AK1805" s="140" t="s">
        <v>1611</v>
      </c>
      <c r="AL1805" s="32" t="s">
        <v>1485</v>
      </c>
      <c r="AM1805" s="32" t="s">
        <v>1486</v>
      </c>
      <c r="AN1805" s="32" t="s">
        <v>502</v>
      </c>
      <c r="AW1805" s="32" t="s">
        <v>119</v>
      </c>
      <c r="AX1805" s="32">
        <v>4</v>
      </c>
      <c r="AZ1805" s="32" t="s">
        <v>141</v>
      </c>
      <c r="BP1805" s="397">
        <v>1.45</v>
      </c>
      <c r="BQ1805" s="397">
        <v>1.46</v>
      </c>
      <c r="BU1805" s="397">
        <v>3.1</v>
      </c>
      <c r="BV1805" s="397">
        <v>3.3</v>
      </c>
      <c r="BY1805" s="32" t="s">
        <v>1007</v>
      </c>
      <c r="BZ1805" s="397"/>
      <c r="CA1805" s="397"/>
      <c r="CD1805" s="32" t="s">
        <v>1670</v>
      </c>
      <c r="CE1805" s="550">
        <v>3.1</v>
      </c>
      <c r="CF1805" s="550">
        <v>3.3</v>
      </c>
      <c r="CG1805" s="550"/>
      <c r="CH1805" s="550"/>
      <c r="CI1805" s="32" t="s">
        <v>4545</v>
      </c>
      <c r="CJ1805" s="32">
        <f t="shared" si="278"/>
        <v>12.58925411794168</v>
      </c>
      <c r="CK1805" s="32">
        <f>10^0.8</f>
        <v>6.3095734448019343</v>
      </c>
      <c r="CN1805" s="32" t="s">
        <v>1009</v>
      </c>
      <c r="CP1805" s="32">
        <v>5.9</v>
      </c>
      <c r="CS1805" s="32">
        <v>5.5</v>
      </c>
      <c r="DS1805" s="32">
        <v>38</v>
      </c>
      <c r="DT1805" s="32">
        <v>44</v>
      </c>
      <c r="DX1805" s="32">
        <v>39</v>
      </c>
      <c r="DY1805" s="32">
        <v>41.3</v>
      </c>
      <c r="EB1805" s="32" t="s">
        <v>1017</v>
      </c>
      <c r="EC1805" s="32">
        <v>3.2</v>
      </c>
      <c r="ED1805" s="32">
        <v>3.2</v>
      </c>
      <c r="FL1805" s="32">
        <v>35.200000000000003</v>
      </c>
      <c r="FM1805" s="32">
        <v>37.299999999999997</v>
      </c>
      <c r="FP1805" s="32" t="s">
        <v>1492</v>
      </c>
      <c r="FQ1805" s="32">
        <v>24.3</v>
      </c>
      <c r="FR1805" s="32">
        <v>26.4</v>
      </c>
      <c r="FU1805" s="32" t="s">
        <v>1491</v>
      </c>
      <c r="JB1805" s="32" t="s">
        <v>1489</v>
      </c>
    </row>
    <row r="1806" spans="1:262" s="32" customFormat="1" x14ac:dyDescent="0.25">
      <c r="A1806" s="32">
        <v>86</v>
      </c>
      <c r="B1806" s="44" t="s">
        <v>4124</v>
      </c>
      <c r="C1806" s="32" t="s">
        <v>1049</v>
      </c>
      <c r="D1806" s="32" t="s">
        <v>1050</v>
      </c>
      <c r="E1806" s="32">
        <v>2006</v>
      </c>
      <c r="F1806" s="32">
        <v>2002</v>
      </c>
      <c r="G1806" s="32" t="s">
        <v>329</v>
      </c>
      <c r="H1806" s="32" t="s">
        <v>1483</v>
      </c>
      <c r="I1806" s="32" t="s">
        <v>2815</v>
      </c>
      <c r="J1806" s="32">
        <v>40.07</v>
      </c>
      <c r="K1806" s="32">
        <v>-82.85</v>
      </c>
      <c r="L1806" s="32">
        <v>223</v>
      </c>
      <c r="R1806" s="44" t="s">
        <v>1722</v>
      </c>
      <c r="S1806" s="44" t="s">
        <v>1843</v>
      </c>
      <c r="U1806" s="44" t="s">
        <v>2016</v>
      </c>
      <c r="V1806" s="44" t="s">
        <v>1409</v>
      </c>
      <c r="W1806" s="44" t="s">
        <v>1722</v>
      </c>
      <c r="X1806" s="44" t="s">
        <v>1394</v>
      </c>
      <c r="Y1806" s="44" t="s">
        <v>1389</v>
      </c>
      <c r="Z1806" s="32">
        <f t="shared" si="276"/>
        <v>1.405</v>
      </c>
      <c r="AA1806" s="323">
        <v>27.3</v>
      </c>
      <c r="AB1806" s="323">
        <v>58.7</v>
      </c>
      <c r="AC1806" s="32" t="s">
        <v>450</v>
      </c>
      <c r="AG1806" s="32" t="s">
        <v>1484</v>
      </c>
      <c r="AH1806" s="32" t="s">
        <v>1518</v>
      </c>
      <c r="AI1806" s="138" t="s">
        <v>1582</v>
      </c>
      <c r="AJ1806" s="32" t="s">
        <v>1594</v>
      </c>
      <c r="AK1806" s="140" t="s">
        <v>1611</v>
      </c>
      <c r="AL1806" s="32" t="s">
        <v>1485</v>
      </c>
      <c r="AM1806" s="32" t="s">
        <v>1487</v>
      </c>
      <c r="AN1806" s="32" t="s">
        <v>502</v>
      </c>
      <c r="AW1806" s="32" t="s">
        <v>119</v>
      </c>
      <c r="AX1806" s="32">
        <v>4</v>
      </c>
      <c r="AZ1806" s="32" t="s">
        <v>141</v>
      </c>
      <c r="BP1806" s="397">
        <v>1.45</v>
      </c>
      <c r="BQ1806" s="397">
        <v>1.5</v>
      </c>
      <c r="BU1806" s="397">
        <v>3.1</v>
      </c>
      <c r="BV1806" s="397">
        <v>3.4</v>
      </c>
      <c r="BY1806" s="32" t="s">
        <v>1007</v>
      </c>
      <c r="BZ1806" s="397"/>
      <c r="CA1806" s="397"/>
      <c r="CD1806" s="32" t="s">
        <v>1670</v>
      </c>
      <c r="CE1806" s="550">
        <v>3.1</v>
      </c>
      <c r="CF1806" s="550">
        <v>3.4</v>
      </c>
      <c r="CG1806" s="550"/>
      <c r="CH1806" s="550"/>
      <c r="CI1806" s="32" t="s">
        <v>4545</v>
      </c>
      <c r="CJ1806" s="32">
        <f t="shared" si="278"/>
        <v>12.58925411794168</v>
      </c>
      <c r="CK1806" s="32">
        <f>10^0.3</f>
        <v>1.9952623149688797</v>
      </c>
      <c r="CN1806" s="32" t="s">
        <v>1009</v>
      </c>
      <c r="EC1806" s="32">
        <v>3.2</v>
      </c>
      <c r="ED1806" s="32">
        <v>3.3</v>
      </c>
      <c r="JB1806" s="32" t="s">
        <v>1489</v>
      </c>
    </row>
    <row r="1807" spans="1:262" s="32" customFormat="1" x14ac:dyDescent="0.25">
      <c r="A1807" s="32">
        <v>86</v>
      </c>
      <c r="B1807" s="44" t="s">
        <v>4124</v>
      </c>
      <c r="C1807" s="32" t="s">
        <v>1049</v>
      </c>
      <c r="D1807" s="32" t="s">
        <v>1050</v>
      </c>
      <c r="E1807" s="32">
        <v>2006</v>
      </c>
      <c r="F1807" s="32">
        <v>2002</v>
      </c>
      <c r="G1807" s="32" t="s">
        <v>329</v>
      </c>
      <c r="H1807" s="32" t="s">
        <v>1483</v>
      </c>
      <c r="I1807" s="32" t="s">
        <v>2815</v>
      </c>
      <c r="J1807" s="32">
        <v>40.07</v>
      </c>
      <c r="K1807" s="32">
        <v>-82.85</v>
      </c>
      <c r="L1807" s="32">
        <v>223</v>
      </c>
      <c r="R1807" s="44" t="s">
        <v>1722</v>
      </c>
      <c r="S1807" s="44" t="s">
        <v>1843</v>
      </c>
      <c r="U1807" s="44" t="s">
        <v>2016</v>
      </c>
      <c r="V1807" s="44" t="s">
        <v>1409</v>
      </c>
      <c r="W1807" s="44" t="s">
        <v>1722</v>
      </c>
      <c r="X1807" s="44" t="s">
        <v>1394</v>
      </c>
      <c r="Y1807" s="44" t="s">
        <v>1389</v>
      </c>
      <c r="Z1807" s="32">
        <f t="shared" si="276"/>
        <v>1.405</v>
      </c>
      <c r="AA1807" s="323">
        <v>27.3</v>
      </c>
      <c r="AB1807" s="323">
        <v>58.7</v>
      </c>
      <c r="AC1807" s="32" t="s">
        <v>450</v>
      </c>
      <c r="AG1807" s="32" t="s">
        <v>1484</v>
      </c>
      <c r="AH1807" s="32" t="s">
        <v>1579</v>
      </c>
      <c r="AI1807" s="138" t="s">
        <v>635</v>
      </c>
      <c r="AJ1807" s="32" t="s">
        <v>1594</v>
      </c>
      <c r="AK1807" s="140" t="s">
        <v>1611</v>
      </c>
      <c r="AL1807" s="32" t="s">
        <v>1485</v>
      </c>
      <c r="AM1807" s="32" t="s">
        <v>1488</v>
      </c>
      <c r="AN1807" s="32" t="s">
        <v>502</v>
      </c>
      <c r="AW1807" s="32" t="s">
        <v>119</v>
      </c>
      <c r="AX1807" s="32">
        <v>4</v>
      </c>
      <c r="AZ1807" s="32" t="s">
        <v>141</v>
      </c>
      <c r="BP1807" s="397">
        <v>1.45</v>
      </c>
      <c r="BQ1807" s="397">
        <v>1.43</v>
      </c>
      <c r="BU1807" s="397">
        <v>3.1</v>
      </c>
      <c r="BV1807" s="397">
        <v>3.6</v>
      </c>
      <c r="BY1807" s="32" t="s">
        <v>1007</v>
      </c>
      <c r="BZ1807" s="397"/>
      <c r="CA1807" s="397"/>
      <c r="CD1807" s="32" t="s">
        <v>1670</v>
      </c>
      <c r="CE1807" s="550">
        <v>3.1</v>
      </c>
      <c r="CF1807" s="550">
        <v>3.6</v>
      </c>
      <c r="CG1807" s="550"/>
      <c r="CH1807" s="550"/>
      <c r="CI1807" s="32" t="s">
        <v>4545</v>
      </c>
      <c r="CJ1807" s="32">
        <f t="shared" si="278"/>
        <v>12.58925411794168</v>
      </c>
      <c r="CK1807" s="32">
        <f>10^0.8</f>
        <v>6.3095734448019343</v>
      </c>
      <c r="CN1807" s="32" t="s">
        <v>1009</v>
      </c>
      <c r="EC1807" s="32">
        <v>3.2</v>
      </c>
      <c r="ED1807" s="32">
        <v>3.3</v>
      </c>
      <c r="JB1807" s="32" t="s">
        <v>1489</v>
      </c>
    </row>
    <row r="1808" spans="1:262" s="32" customFormat="1" x14ac:dyDescent="0.25">
      <c r="A1808" s="32">
        <v>86</v>
      </c>
      <c r="B1808" s="44" t="s">
        <v>4125</v>
      </c>
      <c r="C1808" s="32" t="s">
        <v>1049</v>
      </c>
      <c r="D1808" s="32" t="s">
        <v>1050</v>
      </c>
      <c r="E1808" s="32">
        <v>2006</v>
      </c>
      <c r="F1808" s="32">
        <v>2002</v>
      </c>
      <c r="G1808" s="32" t="s">
        <v>329</v>
      </c>
      <c r="H1808" s="32" t="s">
        <v>1483</v>
      </c>
      <c r="I1808" s="32" t="s">
        <v>2815</v>
      </c>
      <c r="J1808" s="32">
        <v>40.07</v>
      </c>
      <c r="K1808" s="32">
        <v>-82.85</v>
      </c>
      <c r="L1808" s="32">
        <v>223</v>
      </c>
      <c r="R1808" s="44" t="s">
        <v>1722</v>
      </c>
      <c r="S1808" s="44" t="s">
        <v>1843</v>
      </c>
      <c r="U1808" s="44" t="s">
        <v>2016</v>
      </c>
      <c r="V1808" s="44" t="s">
        <v>1390</v>
      </c>
      <c r="W1808" s="44" t="s">
        <v>1717</v>
      </c>
      <c r="X1808" s="44" t="s">
        <v>1394</v>
      </c>
      <c r="Y1808" s="44" t="s">
        <v>1389</v>
      </c>
      <c r="Z1808" s="32">
        <f t="shared" si="276"/>
        <v>1.405</v>
      </c>
      <c r="AA1808" s="323">
        <v>27.3</v>
      </c>
      <c r="AB1808" s="323">
        <v>58.7</v>
      </c>
      <c r="AC1808" s="32" t="s">
        <v>450</v>
      </c>
      <c r="AG1808" s="32" t="s">
        <v>1484</v>
      </c>
      <c r="AH1808" s="32" t="s">
        <v>131</v>
      </c>
      <c r="AI1808" s="138" t="s">
        <v>131</v>
      </c>
      <c r="AJ1808" s="32" t="s">
        <v>1594</v>
      </c>
      <c r="AK1808" s="140" t="s">
        <v>1611</v>
      </c>
      <c r="AL1808" s="32" t="s">
        <v>1485</v>
      </c>
      <c r="AM1808" s="32" t="s">
        <v>1486</v>
      </c>
      <c r="AN1808" s="32" t="s">
        <v>502</v>
      </c>
      <c r="AW1808" s="32" t="s">
        <v>119</v>
      </c>
      <c r="AX1808" s="32">
        <v>4</v>
      </c>
      <c r="AZ1808" s="32" t="s">
        <v>141</v>
      </c>
      <c r="BP1808" s="397">
        <v>1.45</v>
      </c>
      <c r="BQ1808" s="397">
        <v>1.44</v>
      </c>
      <c r="BU1808" s="397">
        <v>3.5</v>
      </c>
      <c r="BV1808" s="397">
        <v>3.6</v>
      </c>
      <c r="BY1808" s="32" t="s">
        <v>1007</v>
      </c>
      <c r="BZ1808" s="397"/>
      <c r="CA1808" s="397"/>
      <c r="CD1808" s="32" t="s">
        <v>1670</v>
      </c>
      <c r="CE1808" s="550">
        <v>3.5</v>
      </c>
      <c r="CF1808" s="550">
        <v>3.6</v>
      </c>
      <c r="CG1808" s="550"/>
      <c r="CH1808" s="550"/>
      <c r="CI1808" s="32" t="s">
        <v>4545</v>
      </c>
      <c r="CJ1808" s="32">
        <f>10^1</f>
        <v>10</v>
      </c>
      <c r="CK1808" s="32">
        <f>10^0.9</f>
        <v>7.9432823472428176</v>
      </c>
      <c r="CN1808" s="32" t="s">
        <v>1009</v>
      </c>
      <c r="EC1808" s="32">
        <v>3.2</v>
      </c>
      <c r="ED1808" s="32">
        <v>3.2</v>
      </c>
      <c r="JB1808" s="32" t="s">
        <v>1489</v>
      </c>
    </row>
    <row r="1809" spans="1:263" s="32" customFormat="1" x14ac:dyDescent="0.25">
      <c r="A1809" s="32">
        <v>86</v>
      </c>
      <c r="B1809" s="44" t="s">
        <v>4125</v>
      </c>
      <c r="C1809" s="32" t="s">
        <v>1049</v>
      </c>
      <c r="D1809" s="32" t="s">
        <v>1050</v>
      </c>
      <c r="E1809" s="32">
        <v>2006</v>
      </c>
      <c r="F1809" s="32">
        <v>2002</v>
      </c>
      <c r="G1809" s="32" t="s">
        <v>329</v>
      </c>
      <c r="H1809" s="32" t="s">
        <v>1483</v>
      </c>
      <c r="I1809" s="32" t="s">
        <v>2815</v>
      </c>
      <c r="J1809" s="32">
        <v>40.07</v>
      </c>
      <c r="K1809" s="32">
        <v>-82.85</v>
      </c>
      <c r="L1809" s="32">
        <v>223</v>
      </c>
      <c r="R1809" s="44" t="s">
        <v>1722</v>
      </c>
      <c r="S1809" s="44" t="s">
        <v>1843</v>
      </c>
      <c r="U1809" s="44" t="s">
        <v>2016</v>
      </c>
      <c r="V1809" s="44" t="s">
        <v>1390</v>
      </c>
      <c r="W1809" s="44" t="s">
        <v>1717</v>
      </c>
      <c r="X1809" s="44" t="s">
        <v>1394</v>
      </c>
      <c r="Y1809" s="44" t="s">
        <v>1389</v>
      </c>
      <c r="Z1809" s="32">
        <f t="shared" si="276"/>
        <v>1.405</v>
      </c>
      <c r="AA1809" s="323">
        <v>27.3</v>
      </c>
      <c r="AB1809" s="323">
        <v>58.7</v>
      </c>
      <c r="AC1809" s="32" t="s">
        <v>450</v>
      </c>
      <c r="AG1809" s="32" t="s">
        <v>1484</v>
      </c>
      <c r="AH1809" s="32" t="s">
        <v>1518</v>
      </c>
      <c r="AI1809" s="138" t="s">
        <v>1582</v>
      </c>
      <c r="AJ1809" s="32" t="s">
        <v>1594</v>
      </c>
      <c r="AK1809" s="140" t="s">
        <v>1611</v>
      </c>
      <c r="AL1809" s="32" t="s">
        <v>1485</v>
      </c>
      <c r="AM1809" s="32" t="s">
        <v>1487</v>
      </c>
      <c r="AN1809" s="32" t="s">
        <v>502</v>
      </c>
      <c r="AW1809" s="32" t="s">
        <v>119</v>
      </c>
      <c r="AX1809" s="32">
        <v>4</v>
      </c>
      <c r="AZ1809" s="32" t="s">
        <v>141</v>
      </c>
      <c r="BP1809" s="397">
        <v>1.45</v>
      </c>
      <c r="BQ1809" s="397">
        <v>1.42</v>
      </c>
      <c r="BU1809" s="397">
        <v>3.5</v>
      </c>
      <c r="BV1809" s="397">
        <v>3.7</v>
      </c>
      <c r="BY1809" s="32" t="s">
        <v>1007</v>
      </c>
      <c r="BZ1809" s="397"/>
      <c r="CA1809" s="397"/>
      <c r="CD1809" s="32" t="s">
        <v>1670</v>
      </c>
      <c r="CE1809" s="550">
        <v>3.5</v>
      </c>
      <c r="CF1809" s="550">
        <v>3.7</v>
      </c>
      <c r="CG1809" s="550"/>
      <c r="CH1809" s="550"/>
      <c r="CI1809" s="32" t="s">
        <v>4545</v>
      </c>
      <c r="CJ1809" s="32">
        <f t="shared" ref="CJ1809:CJ1810" si="279">10^1</f>
        <v>10</v>
      </c>
      <c r="CK1809" s="32">
        <f>10^0.7</f>
        <v>5.0118723362727229</v>
      </c>
      <c r="CN1809" s="32" t="s">
        <v>1009</v>
      </c>
      <c r="EC1809" s="32">
        <v>3.2</v>
      </c>
      <c r="ED1809" s="32">
        <v>3.2</v>
      </c>
      <c r="JB1809" s="32" t="s">
        <v>1489</v>
      </c>
    </row>
    <row r="1810" spans="1:263" s="32" customFormat="1" x14ac:dyDescent="0.25">
      <c r="A1810" s="32">
        <v>86</v>
      </c>
      <c r="B1810" s="44" t="s">
        <v>4125</v>
      </c>
      <c r="C1810" s="32" t="s">
        <v>1049</v>
      </c>
      <c r="D1810" s="32" t="s">
        <v>1050</v>
      </c>
      <c r="E1810" s="32">
        <v>2006</v>
      </c>
      <c r="F1810" s="32">
        <v>2002</v>
      </c>
      <c r="G1810" s="32" t="s">
        <v>329</v>
      </c>
      <c r="H1810" s="32" t="s">
        <v>1483</v>
      </c>
      <c r="I1810" s="32" t="s">
        <v>2815</v>
      </c>
      <c r="J1810" s="32">
        <v>40.07</v>
      </c>
      <c r="K1810" s="32">
        <v>-82.85</v>
      </c>
      <c r="L1810" s="32">
        <v>223</v>
      </c>
      <c r="R1810" s="44" t="s">
        <v>1722</v>
      </c>
      <c r="S1810" s="44" t="s">
        <v>1843</v>
      </c>
      <c r="U1810" s="44" t="s">
        <v>2016</v>
      </c>
      <c r="V1810" s="44" t="s">
        <v>1390</v>
      </c>
      <c r="W1810" s="44" t="s">
        <v>1717</v>
      </c>
      <c r="X1810" s="44" t="s">
        <v>1394</v>
      </c>
      <c r="Y1810" s="44" t="s">
        <v>1389</v>
      </c>
      <c r="Z1810" s="32">
        <f t="shared" si="276"/>
        <v>1.405</v>
      </c>
      <c r="AA1810" s="323">
        <v>27.3</v>
      </c>
      <c r="AB1810" s="323">
        <v>58.7</v>
      </c>
      <c r="AC1810" s="32" t="s">
        <v>450</v>
      </c>
      <c r="AG1810" s="32" t="s">
        <v>1484</v>
      </c>
      <c r="AH1810" s="32" t="s">
        <v>1579</v>
      </c>
      <c r="AI1810" s="138" t="s">
        <v>635</v>
      </c>
      <c r="AJ1810" s="32" t="s">
        <v>1594</v>
      </c>
      <c r="AK1810" s="140" t="s">
        <v>1611</v>
      </c>
      <c r="AL1810" s="32" t="s">
        <v>1485</v>
      </c>
      <c r="AM1810" s="32" t="s">
        <v>1488</v>
      </c>
      <c r="AN1810" s="32" t="s">
        <v>502</v>
      </c>
      <c r="AW1810" s="32" t="s">
        <v>119</v>
      </c>
      <c r="AX1810" s="32">
        <v>4</v>
      </c>
      <c r="AZ1810" s="32" t="s">
        <v>141</v>
      </c>
      <c r="BP1810" s="397">
        <v>1.45</v>
      </c>
      <c r="BQ1810" s="397">
        <v>1.39</v>
      </c>
      <c r="BU1810" s="397">
        <v>3.5</v>
      </c>
      <c r="BV1810" s="397">
        <v>3.7</v>
      </c>
      <c r="BY1810" s="32" t="s">
        <v>1007</v>
      </c>
      <c r="BZ1810" s="397"/>
      <c r="CA1810" s="397"/>
      <c r="CD1810" s="32" t="s">
        <v>1670</v>
      </c>
      <c r="CE1810" s="550">
        <v>3.5</v>
      </c>
      <c r="CF1810" s="550">
        <v>3.7</v>
      </c>
      <c r="CG1810" s="550"/>
      <c r="CH1810" s="550"/>
      <c r="CI1810" s="32" t="s">
        <v>4545</v>
      </c>
      <c r="CJ1810" s="32">
        <f t="shared" si="279"/>
        <v>10</v>
      </c>
      <c r="CK1810" s="32">
        <f>10^0.8</f>
        <v>6.3095734448019343</v>
      </c>
      <c r="CN1810" s="32" t="s">
        <v>1009</v>
      </c>
      <c r="EC1810" s="32">
        <v>3.2</v>
      </c>
      <c r="ED1810" s="32">
        <v>3.3</v>
      </c>
      <c r="JB1810" s="32" t="s">
        <v>1489</v>
      </c>
    </row>
    <row r="1811" spans="1:263" s="24" customFormat="1" x14ac:dyDescent="0.25">
      <c r="A1811" s="24">
        <v>86</v>
      </c>
      <c r="B1811" s="42" t="s">
        <v>4122</v>
      </c>
      <c r="C1811" s="24" t="s">
        <v>1049</v>
      </c>
      <c r="D1811" s="24" t="s">
        <v>1050</v>
      </c>
      <c r="E1811" s="24">
        <v>2006</v>
      </c>
      <c r="F1811" s="24">
        <v>2003</v>
      </c>
      <c r="G1811" s="24" t="s">
        <v>329</v>
      </c>
      <c r="H1811" s="24" t="s">
        <v>1483</v>
      </c>
      <c r="I1811" s="24" t="s">
        <v>2815</v>
      </c>
      <c r="J1811" s="24">
        <v>40.07</v>
      </c>
      <c r="K1811" s="24">
        <v>-82.85</v>
      </c>
      <c r="L1811" s="24">
        <v>223</v>
      </c>
      <c r="R1811" s="42" t="s">
        <v>1843</v>
      </c>
      <c r="S1811" s="42" t="s">
        <v>1843</v>
      </c>
      <c r="U1811" s="42" t="s">
        <v>2016</v>
      </c>
      <c r="V1811" s="42" t="s">
        <v>1394</v>
      </c>
      <c r="W1811" s="42" t="s">
        <v>1722</v>
      </c>
      <c r="X1811" s="42" t="s">
        <v>1394</v>
      </c>
      <c r="Y1811" s="42" t="s">
        <v>1389</v>
      </c>
      <c r="Z1811" s="24">
        <f t="shared" si="276"/>
        <v>1.405</v>
      </c>
      <c r="AA1811" s="321">
        <v>27.3</v>
      </c>
      <c r="AB1811" s="321">
        <v>58.7</v>
      </c>
      <c r="AC1811" s="24" t="s">
        <v>450</v>
      </c>
      <c r="AG1811" s="24" t="s">
        <v>1484</v>
      </c>
      <c r="AH1811" s="24" t="s">
        <v>131</v>
      </c>
      <c r="AI1811" s="138" t="s">
        <v>131</v>
      </c>
      <c r="AJ1811" s="24" t="s">
        <v>1594</v>
      </c>
      <c r="AK1811" s="140" t="s">
        <v>1611</v>
      </c>
      <c r="AL1811" s="24" t="s">
        <v>1485</v>
      </c>
      <c r="AM1811" s="24" t="s">
        <v>1486</v>
      </c>
      <c r="AN1811" s="24" t="s">
        <v>502</v>
      </c>
      <c r="AW1811" s="24" t="s">
        <v>119</v>
      </c>
      <c r="AX1811" s="24">
        <v>4</v>
      </c>
      <c r="AZ1811" s="24" t="s">
        <v>141</v>
      </c>
      <c r="BP1811" s="395"/>
      <c r="BQ1811" s="395"/>
      <c r="BU1811" s="395">
        <v>4</v>
      </c>
      <c r="BV1811" s="395">
        <v>4.4000000000000004</v>
      </c>
      <c r="BY1811" s="24" t="s">
        <v>1007</v>
      </c>
      <c r="BZ1811" s="395"/>
      <c r="CA1811" s="395"/>
      <c r="CD1811" s="24" t="s">
        <v>1670</v>
      </c>
      <c r="CE1811" s="548">
        <v>4</v>
      </c>
      <c r="CF1811" s="548">
        <v>4.4000000000000004</v>
      </c>
      <c r="CG1811" s="548"/>
      <c r="CH1811" s="548"/>
      <c r="CI1811" s="24" t="s">
        <v>4545</v>
      </c>
      <c r="CJ1811" s="24">
        <f>10^0.9</f>
        <v>7.9432823472428176</v>
      </c>
      <c r="CK1811" s="24">
        <f>10^0.6</f>
        <v>3.9810717055349727</v>
      </c>
      <c r="CN1811" s="24" t="s">
        <v>1009</v>
      </c>
      <c r="EC1811" s="24">
        <v>3.1</v>
      </c>
      <c r="ED1811" s="24">
        <v>3</v>
      </c>
      <c r="JB1811" s="24" t="s">
        <v>1489</v>
      </c>
    </row>
    <row r="1812" spans="1:263" s="24" customFormat="1" x14ac:dyDescent="0.25">
      <c r="A1812" s="24">
        <v>86</v>
      </c>
      <c r="B1812" s="42" t="s">
        <v>4122</v>
      </c>
      <c r="C1812" s="24" t="s">
        <v>1049</v>
      </c>
      <c r="D1812" s="24" t="s">
        <v>1050</v>
      </c>
      <c r="E1812" s="24">
        <v>2006</v>
      </c>
      <c r="F1812" s="24">
        <v>2003</v>
      </c>
      <c r="G1812" s="24" t="s">
        <v>329</v>
      </c>
      <c r="H1812" s="24" t="s">
        <v>1483</v>
      </c>
      <c r="I1812" s="24" t="s">
        <v>2815</v>
      </c>
      <c r="J1812" s="24">
        <v>40.07</v>
      </c>
      <c r="K1812" s="24">
        <v>-82.85</v>
      </c>
      <c r="L1812" s="24">
        <v>223</v>
      </c>
      <c r="R1812" s="42" t="s">
        <v>1843</v>
      </c>
      <c r="S1812" s="42" t="s">
        <v>1843</v>
      </c>
      <c r="U1812" s="42" t="s">
        <v>2016</v>
      </c>
      <c r="V1812" s="42" t="s">
        <v>1394</v>
      </c>
      <c r="W1812" s="42" t="s">
        <v>1722</v>
      </c>
      <c r="X1812" s="42" t="s">
        <v>1394</v>
      </c>
      <c r="Y1812" s="42" t="s">
        <v>1389</v>
      </c>
      <c r="Z1812" s="24">
        <f t="shared" si="276"/>
        <v>1.405</v>
      </c>
      <c r="AA1812" s="321">
        <v>27.3</v>
      </c>
      <c r="AB1812" s="321">
        <v>58.7</v>
      </c>
      <c r="AC1812" s="24" t="s">
        <v>450</v>
      </c>
      <c r="AG1812" s="24" t="s">
        <v>1484</v>
      </c>
      <c r="AH1812" s="24" t="s">
        <v>1518</v>
      </c>
      <c r="AI1812" s="138" t="s">
        <v>1582</v>
      </c>
      <c r="AJ1812" s="24" t="s">
        <v>1594</v>
      </c>
      <c r="AK1812" s="140" t="s">
        <v>1611</v>
      </c>
      <c r="AL1812" s="24" t="s">
        <v>1485</v>
      </c>
      <c r="AM1812" s="24" t="s">
        <v>1487</v>
      </c>
      <c r="AN1812" s="24" t="s">
        <v>502</v>
      </c>
      <c r="AW1812" s="24" t="s">
        <v>119</v>
      </c>
      <c r="AX1812" s="24">
        <v>4</v>
      </c>
      <c r="AZ1812" s="24" t="s">
        <v>141</v>
      </c>
      <c r="BP1812" s="395"/>
      <c r="BQ1812" s="395"/>
      <c r="BU1812" s="395">
        <v>4</v>
      </c>
      <c r="BV1812" s="395">
        <v>4.5999999999999996</v>
      </c>
      <c r="BY1812" s="24" t="s">
        <v>1007</v>
      </c>
      <c r="BZ1812" s="395"/>
      <c r="CA1812" s="395"/>
      <c r="CD1812" s="24" t="s">
        <v>1670</v>
      </c>
      <c r="CE1812" s="548">
        <v>4</v>
      </c>
      <c r="CF1812" s="548">
        <v>4.5999999999999996</v>
      </c>
      <c r="CG1812" s="548"/>
      <c r="CH1812" s="548"/>
      <c r="CI1812" s="24" t="s">
        <v>4545</v>
      </c>
      <c r="CJ1812" s="24">
        <f t="shared" ref="CJ1812:CJ1813" si="280">10^0.9</f>
        <v>7.9432823472428176</v>
      </c>
      <c r="CK1812" s="24">
        <f>10^0.7</f>
        <v>5.0118723362727229</v>
      </c>
      <c r="CN1812" s="24" t="s">
        <v>1009</v>
      </c>
      <c r="EC1812" s="24">
        <v>3.1</v>
      </c>
      <c r="ED1812" s="24">
        <v>3.2</v>
      </c>
      <c r="JB1812" s="24" t="s">
        <v>1489</v>
      </c>
    </row>
    <row r="1813" spans="1:263" s="24" customFormat="1" x14ac:dyDescent="0.25">
      <c r="A1813" s="24">
        <v>86</v>
      </c>
      <c r="B1813" s="42" t="s">
        <v>4122</v>
      </c>
      <c r="C1813" s="24" t="s">
        <v>1049</v>
      </c>
      <c r="D1813" s="24" t="s">
        <v>1050</v>
      </c>
      <c r="E1813" s="24">
        <v>2006</v>
      </c>
      <c r="F1813" s="24">
        <v>2003</v>
      </c>
      <c r="G1813" s="24" t="s">
        <v>329</v>
      </c>
      <c r="H1813" s="24" t="s">
        <v>1483</v>
      </c>
      <c r="I1813" s="24" t="s">
        <v>2815</v>
      </c>
      <c r="J1813" s="24">
        <v>40.07</v>
      </c>
      <c r="K1813" s="24">
        <v>-82.85</v>
      </c>
      <c r="L1813" s="24">
        <v>223</v>
      </c>
      <c r="R1813" s="42" t="s">
        <v>1843</v>
      </c>
      <c r="S1813" s="42" t="s">
        <v>1843</v>
      </c>
      <c r="U1813" s="42" t="s">
        <v>2016</v>
      </c>
      <c r="V1813" s="42" t="s">
        <v>1394</v>
      </c>
      <c r="W1813" s="42" t="s">
        <v>1722</v>
      </c>
      <c r="X1813" s="42" t="s">
        <v>1394</v>
      </c>
      <c r="Y1813" s="42" t="s">
        <v>1389</v>
      </c>
      <c r="Z1813" s="24">
        <f t="shared" si="276"/>
        <v>1.405</v>
      </c>
      <c r="AA1813" s="321">
        <v>27.3</v>
      </c>
      <c r="AB1813" s="321">
        <v>58.7</v>
      </c>
      <c r="AC1813" s="24" t="s">
        <v>450</v>
      </c>
      <c r="AG1813" s="24" t="s">
        <v>1484</v>
      </c>
      <c r="AH1813" s="24" t="s">
        <v>1579</v>
      </c>
      <c r="AI1813" s="138" t="s">
        <v>635</v>
      </c>
      <c r="AJ1813" s="24" t="s">
        <v>1594</v>
      </c>
      <c r="AK1813" s="140" t="s">
        <v>1611</v>
      </c>
      <c r="AL1813" s="24" t="s">
        <v>1485</v>
      </c>
      <c r="AM1813" s="24" t="s">
        <v>1488</v>
      </c>
      <c r="AN1813" s="24" t="s">
        <v>502</v>
      </c>
      <c r="AW1813" s="24" t="s">
        <v>119</v>
      </c>
      <c r="AX1813" s="24">
        <v>4</v>
      </c>
      <c r="AZ1813" s="24" t="s">
        <v>141</v>
      </c>
      <c r="BP1813" s="395"/>
      <c r="BQ1813" s="395"/>
      <c r="BU1813" s="395">
        <v>4</v>
      </c>
      <c r="BV1813" s="395">
        <v>4.7</v>
      </c>
      <c r="BY1813" s="24" t="s">
        <v>1007</v>
      </c>
      <c r="BZ1813" s="395"/>
      <c r="CA1813" s="395"/>
      <c r="CD1813" s="24" t="s">
        <v>1670</v>
      </c>
      <c r="CE1813" s="548">
        <v>4</v>
      </c>
      <c r="CF1813" s="548">
        <v>4.7</v>
      </c>
      <c r="CG1813" s="548"/>
      <c r="CH1813" s="548"/>
      <c r="CI1813" s="24" t="s">
        <v>4545</v>
      </c>
      <c r="CJ1813" s="24">
        <f t="shared" si="280"/>
        <v>7.9432823472428176</v>
      </c>
      <c r="CK1813" s="24">
        <f>10^0.6</f>
        <v>3.9810717055349727</v>
      </c>
      <c r="CN1813" s="24" t="s">
        <v>1009</v>
      </c>
      <c r="EC1813" s="24">
        <v>3.1</v>
      </c>
      <c r="ED1813" s="24">
        <v>3</v>
      </c>
      <c r="JB1813" s="24" t="s">
        <v>1489</v>
      </c>
    </row>
    <row r="1814" spans="1:263" s="24" customFormat="1" x14ac:dyDescent="0.25">
      <c r="A1814" s="24">
        <v>86</v>
      </c>
      <c r="B1814" s="42" t="s">
        <v>4123</v>
      </c>
      <c r="C1814" s="24" t="s">
        <v>1049</v>
      </c>
      <c r="D1814" s="24" t="s">
        <v>1050</v>
      </c>
      <c r="E1814" s="24">
        <v>2006</v>
      </c>
      <c r="F1814" s="24">
        <v>2003</v>
      </c>
      <c r="G1814" s="24" t="s">
        <v>329</v>
      </c>
      <c r="H1814" s="24" t="s">
        <v>1483</v>
      </c>
      <c r="I1814" s="24" t="s">
        <v>2815</v>
      </c>
      <c r="J1814" s="24">
        <v>40.07</v>
      </c>
      <c r="K1814" s="24">
        <v>-82.85</v>
      </c>
      <c r="L1814" s="24">
        <v>223</v>
      </c>
      <c r="R1814" s="42" t="s">
        <v>1843</v>
      </c>
      <c r="S1814" s="42" t="s">
        <v>1843</v>
      </c>
      <c r="U1814" s="42" t="s">
        <v>2016</v>
      </c>
      <c r="V1814" s="42" t="s">
        <v>1401</v>
      </c>
      <c r="W1814" s="42" t="s">
        <v>1722</v>
      </c>
      <c r="X1814" s="42" t="s">
        <v>1394</v>
      </c>
      <c r="Y1814" s="42" t="s">
        <v>1389</v>
      </c>
      <c r="Z1814" s="24">
        <f t="shared" si="276"/>
        <v>1.405</v>
      </c>
      <c r="AA1814" s="321">
        <v>27.3</v>
      </c>
      <c r="AB1814" s="321">
        <v>58.7</v>
      </c>
      <c r="AC1814" s="24" t="s">
        <v>450</v>
      </c>
      <c r="AG1814" s="24" t="s">
        <v>1484</v>
      </c>
      <c r="AH1814" s="24" t="s">
        <v>131</v>
      </c>
      <c r="AI1814" s="138" t="s">
        <v>131</v>
      </c>
      <c r="AJ1814" s="24" t="s">
        <v>1594</v>
      </c>
      <c r="AK1814" s="140" t="s">
        <v>1611</v>
      </c>
      <c r="AL1814" s="24" t="s">
        <v>1485</v>
      </c>
      <c r="AM1814" s="24" t="s">
        <v>1486</v>
      </c>
      <c r="AN1814" s="24" t="s">
        <v>502</v>
      </c>
      <c r="AW1814" s="24" t="s">
        <v>119</v>
      </c>
      <c r="AX1814" s="24">
        <v>4</v>
      </c>
      <c r="AZ1814" s="24" t="s">
        <v>141</v>
      </c>
      <c r="BP1814" s="395"/>
      <c r="BQ1814" s="395"/>
      <c r="BU1814" s="395">
        <v>3.2</v>
      </c>
      <c r="BV1814" s="395">
        <v>3.4</v>
      </c>
      <c r="BY1814" s="24" t="s">
        <v>1007</v>
      </c>
      <c r="BZ1814" s="395"/>
      <c r="CA1814" s="395"/>
      <c r="CD1814" s="24" t="s">
        <v>1670</v>
      </c>
      <c r="CE1814" s="548">
        <v>3.2</v>
      </c>
      <c r="CF1814" s="548">
        <v>3.4</v>
      </c>
      <c r="CG1814" s="548"/>
      <c r="CH1814" s="548"/>
      <c r="CI1814" s="24" t="s">
        <v>4545</v>
      </c>
      <c r="CJ1814" s="24">
        <f>10^0.8</f>
        <v>6.3095734448019343</v>
      </c>
      <c r="CK1814" s="24">
        <f>10^0.7</f>
        <v>5.0118723362727229</v>
      </c>
      <c r="CN1814" s="24" t="s">
        <v>1009</v>
      </c>
      <c r="EC1814" s="24">
        <v>3.3</v>
      </c>
      <c r="ED1814" s="24">
        <v>3.2</v>
      </c>
      <c r="JB1814" s="24" t="s">
        <v>1489</v>
      </c>
    </row>
    <row r="1815" spans="1:263" s="24" customFormat="1" x14ac:dyDescent="0.25">
      <c r="A1815" s="24">
        <v>86</v>
      </c>
      <c r="B1815" s="42" t="s">
        <v>4123</v>
      </c>
      <c r="C1815" s="24" t="s">
        <v>1049</v>
      </c>
      <c r="D1815" s="24" t="s">
        <v>1050</v>
      </c>
      <c r="E1815" s="24">
        <v>2006</v>
      </c>
      <c r="F1815" s="24">
        <v>2003</v>
      </c>
      <c r="G1815" s="24" t="s">
        <v>329</v>
      </c>
      <c r="H1815" s="24" t="s">
        <v>1483</v>
      </c>
      <c r="I1815" s="24" t="s">
        <v>2815</v>
      </c>
      <c r="J1815" s="24">
        <v>40.07</v>
      </c>
      <c r="K1815" s="24">
        <v>-82.85</v>
      </c>
      <c r="L1815" s="24">
        <v>223</v>
      </c>
      <c r="R1815" s="42" t="s">
        <v>1843</v>
      </c>
      <c r="S1815" s="42" t="s">
        <v>1843</v>
      </c>
      <c r="U1815" s="42" t="s">
        <v>2016</v>
      </c>
      <c r="V1815" s="42" t="s">
        <v>1401</v>
      </c>
      <c r="W1815" s="42" t="s">
        <v>1722</v>
      </c>
      <c r="X1815" s="42" t="s">
        <v>1394</v>
      </c>
      <c r="Y1815" s="42" t="s">
        <v>1389</v>
      </c>
      <c r="Z1815" s="24">
        <f t="shared" si="276"/>
        <v>1.405</v>
      </c>
      <c r="AA1815" s="321">
        <v>27.3</v>
      </c>
      <c r="AB1815" s="321">
        <v>58.7</v>
      </c>
      <c r="AC1815" s="24" t="s">
        <v>450</v>
      </c>
      <c r="AG1815" s="24" t="s">
        <v>1484</v>
      </c>
      <c r="AH1815" s="24" t="s">
        <v>1518</v>
      </c>
      <c r="AI1815" s="138" t="s">
        <v>1582</v>
      </c>
      <c r="AJ1815" s="24" t="s">
        <v>1594</v>
      </c>
      <c r="AK1815" s="140" t="s">
        <v>1611</v>
      </c>
      <c r="AL1815" s="24" t="s">
        <v>1485</v>
      </c>
      <c r="AM1815" s="24" t="s">
        <v>1487</v>
      </c>
      <c r="AN1815" s="24" t="s">
        <v>502</v>
      </c>
      <c r="AW1815" s="24" t="s">
        <v>119</v>
      </c>
      <c r="AX1815" s="24">
        <v>4</v>
      </c>
      <c r="AZ1815" s="24" t="s">
        <v>141</v>
      </c>
      <c r="BP1815" s="395"/>
      <c r="BQ1815" s="395"/>
      <c r="BU1815" s="395">
        <v>3.2</v>
      </c>
      <c r="BV1815" s="395">
        <v>3.5</v>
      </c>
      <c r="BY1815" s="24" t="s">
        <v>1007</v>
      </c>
      <c r="BZ1815" s="395"/>
      <c r="CA1815" s="395"/>
      <c r="CD1815" s="24" t="s">
        <v>1670</v>
      </c>
      <c r="CE1815" s="548">
        <v>3.2</v>
      </c>
      <c r="CF1815" s="548">
        <v>3.5</v>
      </c>
      <c r="CG1815" s="548"/>
      <c r="CH1815" s="548"/>
      <c r="CI1815" s="24" t="s">
        <v>4545</v>
      </c>
      <c r="CJ1815" s="24">
        <f t="shared" ref="CJ1815:CJ1816" si="281">10^0.8</f>
        <v>6.3095734448019343</v>
      </c>
      <c r="CK1815" s="24">
        <f>10^0.6</f>
        <v>3.9810717055349727</v>
      </c>
      <c r="CN1815" s="24" t="s">
        <v>1009</v>
      </c>
      <c r="EC1815" s="24">
        <v>3.3</v>
      </c>
      <c r="ED1815" s="24">
        <v>3.3</v>
      </c>
      <c r="JB1815" s="24" t="s">
        <v>1489</v>
      </c>
    </row>
    <row r="1816" spans="1:263" s="24" customFormat="1" x14ac:dyDescent="0.25">
      <c r="A1816" s="24">
        <v>86</v>
      </c>
      <c r="B1816" s="42" t="s">
        <v>4123</v>
      </c>
      <c r="C1816" s="24" t="s">
        <v>1049</v>
      </c>
      <c r="D1816" s="24" t="s">
        <v>1050</v>
      </c>
      <c r="E1816" s="24">
        <v>2006</v>
      </c>
      <c r="F1816" s="24">
        <v>2003</v>
      </c>
      <c r="G1816" s="24" t="s">
        <v>329</v>
      </c>
      <c r="H1816" s="24" t="s">
        <v>1483</v>
      </c>
      <c r="I1816" s="24" t="s">
        <v>2815</v>
      </c>
      <c r="J1816" s="24">
        <v>40.07</v>
      </c>
      <c r="K1816" s="24">
        <v>-82.85</v>
      </c>
      <c r="L1816" s="24">
        <v>223</v>
      </c>
      <c r="R1816" s="42" t="s">
        <v>1843</v>
      </c>
      <c r="S1816" s="42" t="s">
        <v>1843</v>
      </c>
      <c r="U1816" s="42" t="s">
        <v>2016</v>
      </c>
      <c r="V1816" s="42" t="s">
        <v>1401</v>
      </c>
      <c r="W1816" s="42" t="s">
        <v>1722</v>
      </c>
      <c r="X1816" s="42" t="s">
        <v>1394</v>
      </c>
      <c r="Y1816" s="42" t="s">
        <v>1389</v>
      </c>
      <c r="Z1816" s="24">
        <f t="shared" si="276"/>
        <v>1.405</v>
      </c>
      <c r="AA1816" s="321">
        <v>27.3</v>
      </c>
      <c r="AB1816" s="321">
        <v>58.7</v>
      </c>
      <c r="AC1816" s="24" t="s">
        <v>450</v>
      </c>
      <c r="AG1816" s="24" t="s">
        <v>1484</v>
      </c>
      <c r="AH1816" s="24" t="s">
        <v>1579</v>
      </c>
      <c r="AI1816" s="138" t="s">
        <v>635</v>
      </c>
      <c r="AJ1816" s="24" t="s">
        <v>1594</v>
      </c>
      <c r="AK1816" s="140" t="s">
        <v>1611</v>
      </c>
      <c r="AL1816" s="24" t="s">
        <v>1485</v>
      </c>
      <c r="AM1816" s="24" t="s">
        <v>1488</v>
      </c>
      <c r="AN1816" s="24" t="s">
        <v>502</v>
      </c>
      <c r="AW1816" s="24" t="s">
        <v>119</v>
      </c>
      <c r="AX1816" s="24">
        <v>4</v>
      </c>
      <c r="AZ1816" s="24" t="s">
        <v>141</v>
      </c>
      <c r="BP1816" s="395"/>
      <c r="BQ1816" s="395"/>
      <c r="BU1816" s="395">
        <v>3.2</v>
      </c>
      <c r="BV1816" s="395">
        <v>3.5</v>
      </c>
      <c r="BY1816" s="24" t="s">
        <v>1007</v>
      </c>
      <c r="BZ1816" s="395"/>
      <c r="CA1816" s="395"/>
      <c r="CD1816" s="24" t="s">
        <v>1670</v>
      </c>
      <c r="CE1816" s="548">
        <v>3.2</v>
      </c>
      <c r="CF1816" s="548">
        <v>3.5</v>
      </c>
      <c r="CG1816" s="548"/>
      <c r="CH1816" s="548"/>
      <c r="CI1816" s="24" t="s">
        <v>4545</v>
      </c>
      <c r="CJ1816" s="24">
        <f t="shared" si="281"/>
        <v>6.3095734448019343</v>
      </c>
      <c r="CK1816" s="24">
        <f>10^0.6</f>
        <v>3.9810717055349727</v>
      </c>
      <c r="CN1816" s="24" t="s">
        <v>1009</v>
      </c>
      <c r="EC1816" s="24">
        <v>3.3</v>
      </c>
      <c r="ED1816" s="24">
        <v>3.3</v>
      </c>
      <c r="JB1816" s="24" t="s">
        <v>1489</v>
      </c>
    </row>
    <row r="1817" spans="1:263" s="24" customFormat="1" x14ac:dyDescent="0.25">
      <c r="A1817" s="24">
        <v>86</v>
      </c>
      <c r="B1817" s="42" t="s">
        <v>4124</v>
      </c>
      <c r="C1817" s="24" t="s">
        <v>1049</v>
      </c>
      <c r="D1817" s="24" t="s">
        <v>1050</v>
      </c>
      <c r="E1817" s="24">
        <v>2006</v>
      </c>
      <c r="F1817" s="24">
        <v>2003</v>
      </c>
      <c r="G1817" s="24" t="s">
        <v>329</v>
      </c>
      <c r="H1817" s="24" t="s">
        <v>1483</v>
      </c>
      <c r="I1817" s="24" t="s">
        <v>2815</v>
      </c>
      <c r="J1817" s="24">
        <v>40.07</v>
      </c>
      <c r="K1817" s="24">
        <v>-82.85</v>
      </c>
      <c r="L1817" s="24">
        <v>223</v>
      </c>
      <c r="R1817" s="42" t="s">
        <v>1843</v>
      </c>
      <c r="S1817" s="42" t="s">
        <v>1843</v>
      </c>
      <c r="U1817" s="42" t="s">
        <v>2016</v>
      </c>
      <c r="V1817" s="42" t="s">
        <v>1409</v>
      </c>
      <c r="W1817" s="42" t="s">
        <v>1722</v>
      </c>
      <c r="X1817" s="42" t="s">
        <v>1394</v>
      </c>
      <c r="Y1817" s="42" t="s">
        <v>1389</v>
      </c>
      <c r="Z1817" s="24">
        <f t="shared" si="276"/>
        <v>1.405</v>
      </c>
      <c r="AA1817" s="321">
        <v>27.3</v>
      </c>
      <c r="AB1817" s="321">
        <v>58.7</v>
      </c>
      <c r="AC1817" s="24" t="s">
        <v>450</v>
      </c>
      <c r="AG1817" s="24" t="s">
        <v>1484</v>
      </c>
      <c r="AH1817" s="24" t="s">
        <v>131</v>
      </c>
      <c r="AI1817" s="138" t="s">
        <v>131</v>
      </c>
      <c r="AJ1817" s="24" t="s">
        <v>1594</v>
      </c>
      <c r="AK1817" s="140" t="s">
        <v>1611</v>
      </c>
      <c r="AL1817" s="24" t="s">
        <v>1485</v>
      </c>
      <c r="AM1817" s="24" t="s">
        <v>1486</v>
      </c>
      <c r="AN1817" s="24" t="s">
        <v>502</v>
      </c>
      <c r="AW1817" s="24" t="s">
        <v>119</v>
      </c>
      <c r="AX1817" s="24">
        <v>4</v>
      </c>
      <c r="AZ1817" s="24" t="s">
        <v>141</v>
      </c>
      <c r="BP1817" s="395"/>
      <c r="BQ1817" s="395"/>
      <c r="BU1817" s="395">
        <v>3.3</v>
      </c>
      <c r="BV1817" s="395">
        <v>3.3</v>
      </c>
      <c r="BY1817" s="24" t="s">
        <v>1007</v>
      </c>
      <c r="BZ1817" s="395"/>
      <c r="CA1817" s="395"/>
      <c r="CD1817" s="24" t="s">
        <v>1670</v>
      </c>
      <c r="CE1817" s="548">
        <v>3.3</v>
      </c>
      <c r="CF1817" s="548">
        <v>3.3</v>
      </c>
      <c r="CG1817" s="548"/>
      <c r="CH1817" s="548"/>
      <c r="CI1817" s="24" t="s">
        <v>4545</v>
      </c>
      <c r="CJ1817" s="24">
        <f>10^0.4</f>
        <v>2.5118864315095806</v>
      </c>
      <c r="CK1817" s="24">
        <f>10^0.3</f>
        <v>1.9952623149688797</v>
      </c>
      <c r="CN1817" s="24" t="s">
        <v>1009</v>
      </c>
      <c r="EC1817" s="24">
        <v>3.2</v>
      </c>
      <c r="ED1817" s="24">
        <v>3.3</v>
      </c>
      <c r="JB1817" s="24" t="s">
        <v>1489</v>
      </c>
    </row>
    <row r="1818" spans="1:263" s="24" customFormat="1" x14ac:dyDescent="0.25">
      <c r="A1818" s="24">
        <v>86</v>
      </c>
      <c r="B1818" s="42" t="s">
        <v>4124</v>
      </c>
      <c r="C1818" s="24" t="s">
        <v>1049</v>
      </c>
      <c r="D1818" s="24" t="s">
        <v>1050</v>
      </c>
      <c r="E1818" s="24">
        <v>2006</v>
      </c>
      <c r="F1818" s="24">
        <v>2003</v>
      </c>
      <c r="G1818" s="24" t="s">
        <v>329</v>
      </c>
      <c r="H1818" s="24" t="s">
        <v>1483</v>
      </c>
      <c r="I1818" s="24" t="s">
        <v>2815</v>
      </c>
      <c r="J1818" s="24">
        <v>40.07</v>
      </c>
      <c r="K1818" s="24">
        <v>-82.85</v>
      </c>
      <c r="L1818" s="24">
        <v>223</v>
      </c>
      <c r="R1818" s="42" t="s">
        <v>1843</v>
      </c>
      <c r="S1818" s="42" t="s">
        <v>1843</v>
      </c>
      <c r="U1818" s="42" t="s">
        <v>2016</v>
      </c>
      <c r="V1818" s="42" t="s">
        <v>1409</v>
      </c>
      <c r="W1818" s="42" t="s">
        <v>1722</v>
      </c>
      <c r="X1818" s="42" t="s">
        <v>1394</v>
      </c>
      <c r="Y1818" s="42" t="s">
        <v>1389</v>
      </c>
      <c r="Z1818" s="24">
        <f t="shared" si="276"/>
        <v>1.405</v>
      </c>
      <c r="AA1818" s="321">
        <v>27.3</v>
      </c>
      <c r="AB1818" s="321">
        <v>58.7</v>
      </c>
      <c r="AC1818" s="24" t="s">
        <v>450</v>
      </c>
      <c r="AG1818" s="24" t="s">
        <v>1484</v>
      </c>
      <c r="AH1818" s="24" t="s">
        <v>1518</v>
      </c>
      <c r="AI1818" s="138" t="s">
        <v>1582</v>
      </c>
      <c r="AJ1818" s="24" t="s">
        <v>1594</v>
      </c>
      <c r="AK1818" s="140" t="s">
        <v>1611</v>
      </c>
      <c r="AL1818" s="24" t="s">
        <v>1485</v>
      </c>
      <c r="AM1818" s="24" t="s">
        <v>1487</v>
      </c>
      <c r="AN1818" s="24" t="s">
        <v>502</v>
      </c>
      <c r="AW1818" s="24" t="s">
        <v>119</v>
      </c>
      <c r="AX1818" s="24">
        <v>4</v>
      </c>
      <c r="AZ1818" s="24" t="s">
        <v>141</v>
      </c>
      <c r="BP1818" s="395"/>
      <c r="BQ1818" s="395"/>
      <c r="BU1818" s="395">
        <v>3.3</v>
      </c>
      <c r="BV1818" s="395">
        <v>3.3</v>
      </c>
      <c r="BY1818" s="24" t="s">
        <v>1007</v>
      </c>
      <c r="BZ1818" s="395"/>
      <c r="CA1818" s="395"/>
      <c r="CD1818" s="24" t="s">
        <v>1670</v>
      </c>
      <c r="CE1818" s="548">
        <v>3.3</v>
      </c>
      <c r="CF1818" s="548">
        <v>3.3</v>
      </c>
      <c r="CG1818" s="548"/>
      <c r="CH1818" s="548"/>
      <c r="CI1818" s="24" t="s">
        <v>4545</v>
      </c>
      <c r="CJ1818" s="24">
        <f t="shared" ref="CJ1818:CJ1819" si="282">10^0.4</f>
        <v>2.5118864315095806</v>
      </c>
      <c r="CK1818" s="24">
        <f>10^0.6</f>
        <v>3.9810717055349727</v>
      </c>
      <c r="CN1818" s="24" t="s">
        <v>1009</v>
      </c>
      <c r="EC1818" s="24">
        <v>3.2</v>
      </c>
      <c r="ED1818" s="24">
        <v>3.3</v>
      </c>
      <c r="JB1818" s="24" t="s">
        <v>1489</v>
      </c>
    </row>
    <row r="1819" spans="1:263" s="24" customFormat="1" x14ac:dyDescent="0.25">
      <c r="A1819" s="24">
        <v>86</v>
      </c>
      <c r="B1819" s="42" t="s">
        <v>4124</v>
      </c>
      <c r="C1819" s="24" t="s">
        <v>1049</v>
      </c>
      <c r="D1819" s="24" t="s">
        <v>1050</v>
      </c>
      <c r="E1819" s="24">
        <v>2006</v>
      </c>
      <c r="F1819" s="24">
        <v>2003</v>
      </c>
      <c r="G1819" s="24" t="s">
        <v>329</v>
      </c>
      <c r="H1819" s="24" t="s">
        <v>1483</v>
      </c>
      <c r="I1819" s="24" t="s">
        <v>2815</v>
      </c>
      <c r="J1819" s="24">
        <v>40.07</v>
      </c>
      <c r="K1819" s="24">
        <v>-82.85</v>
      </c>
      <c r="L1819" s="24">
        <v>223</v>
      </c>
      <c r="R1819" s="42" t="s">
        <v>1843</v>
      </c>
      <c r="S1819" s="42" t="s">
        <v>1843</v>
      </c>
      <c r="U1819" s="42" t="s">
        <v>2016</v>
      </c>
      <c r="V1819" s="42" t="s">
        <v>1409</v>
      </c>
      <c r="W1819" s="42" t="s">
        <v>1722</v>
      </c>
      <c r="X1819" s="42" t="s">
        <v>1394</v>
      </c>
      <c r="Y1819" s="42" t="s">
        <v>1389</v>
      </c>
      <c r="Z1819" s="24">
        <f t="shared" si="276"/>
        <v>1.405</v>
      </c>
      <c r="AA1819" s="321">
        <v>27.3</v>
      </c>
      <c r="AB1819" s="321">
        <v>58.7</v>
      </c>
      <c r="AC1819" s="24" t="s">
        <v>450</v>
      </c>
      <c r="AG1819" s="24" t="s">
        <v>1484</v>
      </c>
      <c r="AH1819" s="24" t="s">
        <v>1579</v>
      </c>
      <c r="AI1819" s="138" t="s">
        <v>635</v>
      </c>
      <c r="AJ1819" s="24" t="s">
        <v>1594</v>
      </c>
      <c r="AK1819" s="140" t="s">
        <v>1611</v>
      </c>
      <c r="AL1819" s="24" t="s">
        <v>1485</v>
      </c>
      <c r="AM1819" s="24" t="s">
        <v>1488</v>
      </c>
      <c r="AN1819" s="24" t="s">
        <v>502</v>
      </c>
      <c r="AW1819" s="24" t="s">
        <v>119</v>
      </c>
      <c r="AX1819" s="24">
        <v>4</v>
      </c>
      <c r="AZ1819" s="24" t="s">
        <v>141</v>
      </c>
      <c r="BP1819" s="395"/>
      <c r="BQ1819" s="395"/>
      <c r="BU1819" s="395">
        <v>3.3</v>
      </c>
      <c r="BV1819" s="395">
        <v>3.3</v>
      </c>
      <c r="BY1819" s="24" t="s">
        <v>1007</v>
      </c>
      <c r="BZ1819" s="395"/>
      <c r="CA1819" s="395"/>
      <c r="CD1819" s="24" t="s">
        <v>1670</v>
      </c>
      <c r="CE1819" s="548">
        <v>3.3</v>
      </c>
      <c r="CF1819" s="548">
        <v>3.3</v>
      </c>
      <c r="CG1819" s="548"/>
      <c r="CH1819" s="548"/>
      <c r="CI1819" s="24" t="s">
        <v>4545</v>
      </c>
      <c r="CJ1819" s="24">
        <f t="shared" si="282"/>
        <v>2.5118864315095806</v>
      </c>
      <c r="CK1819" s="24">
        <f>10^0.3</f>
        <v>1.9952623149688797</v>
      </c>
      <c r="CN1819" s="24" t="s">
        <v>1009</v>
      </c>
      <c r="EC1819" s="24">
        <v>3.2</v>
      </c>
      <c r="ED1819" s="24">
        <v>3.3</v>
      </c>
      <c r="JB1819" s="24" t="s">
        <v>1489</v>
      </c>
    </row>
    <row r="1820" spans="1:263" s="24" customFormat="1" x14ac:dyDescent="0.25">
      <c r="A1820" s="24">
        <v>86</v>
      </c>
      <c r="B1820" s="42" t="s">
        <v>4125</v>
      </c>
      <c r="C1820" s="24" t="s">
        <v>1049</v>
      </c>
      <c r="D1820" s="24" t="s">
        <v>1050</v>
      </c>
      <c r="E1820" s="24">
        <v>2006</v>
      </c>
      <c r="F1820" s="24">
        <v>2003</v>
      </c>
      <c r="G1820" s="24" t="s">
        <v>329</v>
      </c>
      <c r="H1820" s="24" t="s">
        <v>1483</v>
      </c>
      <c r="I1820" s="24" t="s">
        <v>2815</v>
      </c>
      <c r="J1820" s="24">
        <v>40.07</v>
      </c>
      <c r="K1820" s="24">
        <v>-82.85</v>
      </c>
      <c r="L1820" s="24">
        <v>223</v>
      </c>
      <c r="R1820" s="42" t="s">
        <v>1843</v>
      </c>
      <c r="S1820" s="42" t="s">
        <v>1843</v>
      </c>
      <c r="U1820" s="42" t="s">
        <v>2016</v>
      </c>
      <c r="V1820" s="42" t="s">
        <v>1390</v>
      </c>
      <c r="W1820" s="42" t="s">
        <v>1717</v>
      </c>
      <c r="X1820" s="42" t="s">
        <v>1394</v>
      </c>
      <c r="Y1820" s="42" t="s">
        <v>1389</v>
      </c>
      <c r="Z1820" s="24">
        <f t="shared" si="276"/>
        <v>1.405</v>
      </c>
      <c r="AA1820" s="321">
        <v>27.3</v>
      </c>
      <c r="AB1820" s="321">
        <v>58.7</v>
      </c>
      <c r="AC1820" s="24" t="s">
        <v>450</v>
      </c>
      <c r="AG1820" s="24" t="s">
        <v>1484</v>
      </c>
      <c r="AH1820" s="24" t="s">
        <v>131</v>
      </c>
      <c r="AI1820" s="138" t="s">
        <v>131</v>
      </c>
      <c r="AJ1820" s="24" t="s">
        <v>1594</v>
      </c>
      <c r="AK1820" s="140" t="s">
        <v>1611</v>
      </c>
      <c r="AL1820" s="24" t="s">
        <v>1485</v>
      </c>
      <c r="AM1820" s="24" t="s">
        <v>1486</v>
      </c>
      <c r="AN1820" s="24" t="s">
        <v>502</v>
      </c>
      <c r="AW1820" s="24" t="s">
        <v>119</v>
      </c>
      <c r="AX1820" s="24">
        <v>4</v>
      </c>
      <c r="AZ1820" s="24" t="s">
        <v>141</v>
      </c>
      <c r="BP1820" s="395"/>
      <c r="BQ1820" s="395"/>
      <c r="BU1820" s="395">
        <v>3.7</v>
      </c>
      <c r="BV1820" s="395">
        <v>3.8</v>
      </c>
      <c r="BY1820" s="24" t="s">
        <v>1007</v>
      </c>
      <c r="BZ1820" s="395"/>
      <c r="CA1820" s="395"/>
      <c r="CD1820" s="24" t="s">
        <v>1670</v>
      </c>
      <c r="CE1820" s="548">
        <v>3.7</v>
      </c>
      <c r="CF1820" s="548">
        <v>3.8</v>
      </c>
      <c r="CG1820" s="548"/>
      <c r="CH1820" s="548"/>
      <c r="CI1820" s="24" t="s">
        <v>4545</v>
      </c>
      <c r="CJ1820" s="24">
        <f>10^0.8</f>
        <v>6.3095734448019343</v>
      </c>
      <c r="CK1820" s="24">
        <f>10^0.7</f>
        <v>5.0118723362727229</v>
      </c>
      <c r="CN1820" s="24" t="s">
        <v>1009</v>
      </c>
      <c r="EC1820" s="24">
        <v>3.2</v>
      </c>
      <c r="ED1820" s="24">
        <v>3.2</v>
      </c>
      <c r="JB1820" s="24" t="s">
        <v>1489</v>
      </c>
    </row>
    <row r="1821" spans="1:263" s="24" customFormat="1" x14ac:dyDescent="0.25">
      <c r="A1821" s="24">
        <v>86</v>
      </c>
      <c r="B1821" s="42" t="s">
        <v>4125</v>
      </c>
      <c r="C1821" s="24" t="s">
        <v>1049</v>
      </c>
      <c r="D1821" s="24" t="s">
        <v>1050</v>
      </c>
      <c r="E1821" s="24">
        <v>2006</v>
      </c>
      <c r="F1821" s="24">
        <v>2003</v>
      </c>
      <c r="G1821" s="24" t="s">
        <v>329</v>
      </c>
      <c r="H1821" s="24" t="s">
        <v>1483</v>
      </c>
      <c r="I1821" s="24" t="s">
        <v>2815</v>
      </c>
      <c r="J1821" s="24">
        <v>40.07</v>
      </c>
      <c r="K1821" s="24">
        <v>-82.85</v>
      </c>
      <c r="L1821" s="24">
        <v>223</v>
      </c>
      <c r="R1821" s="42" t="s">
        <v>1843</v>
      </c>
      <c r="S1821" s="42" t="s">
        <v>1843</v>
      </c>
      <c r="U1821" s="42" t="s">
        <v>2016</v>
      </c>
      <c r="V1821" s="42" t="s">
        <v>1390</v>
      </c>
      <c r="W1821" s="42" t="s">
        <v>1717</v>
      </c>
      <c r="X1821" s="42" t="s">
        <v>1394</v>
      </c>
      <c r="Y1821" s="42" t="s">
        <v>1389</v>
      </c>
      <c r="Z1821" s="24">
        <f t="shared" si="276"/>
        <v>1.405</v>
      </c>
      <c r="AA1821" s="321">
        <v>27.3</v>
      </c>
      <c r="AB1821" s="321">
        <v>58.7</v>
      </c>
      <c r="AC1821" s="24" t="s">
        <v>450</v>
      </c>
      <c r="AG1821" s="24" t="s">
        <v>1484</v>
      </c>
      <c r="AH1821" s="24" t="s">
        <v>1518</v>
      </c>
      <c r="AI1821" s="138" t="s">
        <v>1582</v>
      </c>
      <c r="AJ1821" s="24" t="s">
        <v>1594</v>
      </c>
      <c r="AK1821" s="140" t="s">
        <v>1611</v>
      </c>
      <c r="AL1821" s="24" t="s">
        <v>1485</v>
      </c>
      <c r="AM1821" s="24" t="s">
        <v>1487</v>
      </c>
      <c r="AN1821" s="24" t="s">
        <v>502</v>
      </c>
      <c r="AW1821" s="24" t="s">
        <v>119</v>
      </c>
      <c r="AX1821" s="24">
        <v>4</v>
      </c>
      <c r="AZ1821" s="24" t="s">
        <v>141</v>
      </c>
      <c r="BP1821" s="395"/>
      <c r="BQ1821" s="395"/>
      <c r="BU1821" s="395">
        <v>3.7</v>
      </c>
      <c r="BV1821" s="395">
        <v>3.7</v>
      </c>
      <c r="BY1821" s="24" t="s">
        <v>1007</v>
      </c>
      <c r="BZ1821" s="395"/>
      <c r="CA1821" s="395"/>
      <c r="CD1821" s="24" t="s">
        <v>1670</v>
      </c>
      <c r="CE1821" s="548">
        <v>3.7</v>
      </c>
      <c r="CF1821" s="548">
        <v>3.7</v>
      </c>
      <c r="CG1821" s="548"/>
      <c r="CH1821" s="548"/>
      <c r="CI1821" s="24" t="s">
        <v>4545</v>
      </c>
      <c r="CJ1821" s="24">
        <f t="shared" ref="CJ1821:CJ1822" si="283">10^0.8</f>
        <v>6.3095734448019343</v>
      </c>
      <c r="CK1821" s="24">
        <f>10^0.5</f>
        <v>3.1622776601683795</v>
      </c>
      <c r="CN1821" s="24" t="s">
        <v>1009</v>
      </c>
      <c r="EC1821" s="24">
        <v>3.2</v>
      </c>
      <c r="ED1821" s="24">
        <v>3.3</v>
      </c>
      <c r="JB1821" s="24" t="s">
        <v>1489</v>
      </c>
    </row>
    <row r="1822" spans="1:263" s="24" customFormat="1" x14ac:dyDescent="0.25">
      <c r="A1822" s="24">
        <v>86</v>
      </c>
      <c r="B1822" s="42" t="s">
        <v>4125</v>
      </c>
      <c r="C1822" s="24" t="s">
        <v>1049</v>
      </c>
      <c r="D1822" s="24" t="s">
        <v>1050</v>
      </c>
      <c r="E1822" s="24">
        <v>2006</v>
      </c>
      <c r="F1822" s="24">
        <v>2003</v>
      </c>
      <c r="G1822" s="24" t="s">
        <v>329</v>
      </c>
      <c r="H1822" s="24" t="s">
        <v>1483</v>
      </c>
      <c r="I1822" s="24" t="s">
        <v>2815</v>
      </c>
      <c r="J1822" s="24">
        <v>40.07</v>
      </c>
      <c r="K1822" s="24">
        <v>-82.85</v>
      </c>
      <c r="L1822" s="24">
        <v>223</v>
      </c>
      <c r="R1822" s="42" t="s">
        <v>1843</v>
      </c>
      <c r="S1822" s="42" t="s">
        <v>1843</v>
      </c>
      <c r="U1822" s="42" t="s">
        <v>2016</v>
      </c>
      <c r="V1822" s="42" t="s">
        <v>1390</v>
      </c>
      <c r="W1822" s="42" t="s">
        <v>1717</v>
      </c>
      <c r="X1822" s="42" t="s">
        <v>1394</v>
      </c>
      <c r="Y1822" s="42" t="s">
        <v>1389</v>
      </c>
      <c r="Z1822" s="24">
        <f t="shared" si="276"/>
        <v>1.405</v>
      </c>
      <c r="AA1822" s="321">
        <v>27.3</v>
      </c>
      <c r="AB1822" s="321">
        <v>58.7</v>
      </c>
      <c r="AC1822" s="24" t="s">
        <v>450</v>
      </c>
      <c r="AG1822" s="24" t="s">
        <v>1484</v>
      </c>
      <c r="AH1822" s="24" t="s">
        <v>1579</v>
      </c>
      <c r="AI1822" s="138" t="s">
        <v>635</v>
      </c>
      <c r="AJ1822" s="24" t="s">
        <v>1594</v>
      </c>
      <c r="AK1822" s="140" t="s">
        <v>1611</v>
      </c>
      <c r="AL1822" s="24" t="s">
        <v>1485</v>
      </c>
      <c r="AM1822" s="24" t="s">
        <v>1488</v>
      </c>
      <c r="AN1822" s="24" t="s">
        <v>502</v>
      </c>
      <c r="AW1822" s="24" t="s">
        <v>119</v>
      </c>
      <c r="AX1822" s="24">
        <v>4</v>
      </c>
      <c r="AZ1822" s="24" t="s">
        <v>141</v>
      </c>
      <c r="BP1822" s="395"/>
      <c r="BQ1822" s="395"/>
      <c r="BU1822" s="395">
        <v>3.7</v>
      </c>
      <c r="BV1822" s="395">
        <v>4</v>
      </c>
      <c r="BY1822" s="24" t="s">
        <v>1007</v>
      </c>
      <c r="BZ1822" s="395"/>
      <c r="CA1822" s="395"/>
      <c r="CD1822" s="24" t="s">
        <v>1670</v>
      </c>
      <c r="CE1822" s="548">
        <v>3.7</v>
      </c>
      <c r="CF1822" s="548">
        <v>4</v>
      </c>
      <c r="CG1822" s="548"/>
      <c r="CH1822" s="548"/>
      <c r="CI1822" s="24" t="s">
        <v>4545</v>
      </c>
      <c r="CJ1822" s="24">
        <f t="shared" si="283"/>
        <v>6.3095734448019343</v>
      </c>
      <c r="CK1822" s="24">
        <f>10^0.6</f>
        <v>3.9810717055349727</v>
      </c>
      <c r="CN1822" s="24" t="s">
        <v>1009</v>
      </c>
      <c r="EC1822" s="24">
        <v>3.2</v>
      </c>
      <c r="ED1822" s="24">
        <v>3.3</v>
      </c>
      <c r="JB1822" s="24" t="s">
        <v>1489</v>
      </c>
    </row>
    <row r="1823" spans="1:263" x14ac:dyDescent="0.25">
      <c r="A1823" s="164">
        <v>87</v>
      </c>
      <c r="B1823" s="165" t="s">
        <v>4114</v>
      </c>
      <c r="C1823" s="164" t="s">
        <v>2072</v>
      </c>
      <c r="D1823" s="164"/>
      <c r="E1823" s="164">
        <v>1991</v>
      </c>
      <c r="F1823" s="164">
        <v>1982</v>
      </c>
      <c r="G1823" s="164" t="s">
        <v>2055</v>
      </c>
      <c r="H1823" s="164" t="s">
        <v>2071</v>
      </c>
      <c r="I1823" s="164" t="s">
        <v>2815</v>
      </c>
      <c r="J1823" s="164">
        <v>40.82</v>
      </c>
      <c r="K1823" s="164">
        <v>-81.97</v>
      </c>
      <c r="L1823" s="164">
        <v>350</v>
      </c>
      <c r="M1823" s="164">
        <v>9</v>
      </c>
      <c r="N1823" s="164"/>
      <c r="O1823" s="164">
        <v>960</v>
      </c>
      <c r="P1823" s="164"/>
      <c r="Q1823" s="164"/>
      <c r="R1823" s="164">
        <v>2</v>
      </c>
      <c r="S1823" s="165" t="s">
        <v>1858</v>
      </c>
      <c r="U1823" s="165" t="s">
        <v>2088</v>
      </c>
      <c r="V1823" s="164" t="s">
        <v>1379</v>
      </c>
      <c r="W1823" s="168">
        <v>20</v>
      </c>
      <c r="X1823" s="168" t="s">
        <v>1394</v>
      </c>
      <c r="Y1823" s="164" t="s">
        <v>1379</v>
      </c>
      <c r="Z1823" s="166">
        <f>AVERAGE(Sheet1!BP1823:BQ1823)</f>
        <v>1.34074</v>
      </c>
      <c r="AA1823" s="358">
        <v>35</v>
      </c>
      <c r="AB1823" s="358">
        <v>55</v>
      </c>
      <c r="AC1823" s="164" t="s">
        <v>450</v>
      </c>
      <c r="AD1823" s="164">
        <v>5.9</v>
      </c>
      <c r="AE1823" s="164">
        <v>1.48</v>
      </c>
      <c r="AF1823" s="164"/>
      <c r="AG1823" s="164" t="s">
        <v>2070</v>
      </c>
      <c r="AH1823" s="164" t="s">
        <v>1753</v>
      </c>
      <c r="AI1823" s="164" t="s">
        <v>131</v>
      </c>
      <c r="AJ1823" s="164" t="s">
        <v>2019</v>
      </c>
      <c r="AK1823" s="164" t="s">
        <v>132</v>
      </c>
      <c r="AL1823" s="164" t="s">
        <v>2019</v>
      </c>
      <c r="AM1823" s="164"/>
      <c r="AN1823" s="164"/>
      <c r="AO1823" s="164"/>
      <c r="AP1823" s="164"/>
      <c r="AQ1823" s="164"/>
      <c r="AR1823" s="164"/>
      <c r="AS1823" s="185"/>
      <c r="AT1823" s="164"/>
      <c r="AU1823" s="164"/>
      <c r="AV1823" s="164" t="s">
        <v>2081</v>
      </c>
      <c r="AW1823" s="164" t="s">
        <v>160</v>
      </c>
      <c r="AX1823" s="164">
        <v>3</v>
      </c>
      <c r="AY1823" s="164"/>
      <c r="AZ1823" s="164" t="s">
        <v>141</v>
      </c>
      <c r="BA1823" s="164"/>
      <c r="BB1823" s="164"/>
      <c r="BC1823" s="164"/>
      <c r="BD1823" s="164"/>
      <c r="BE1823" s="164"/>
      <c r="BK1823" s="164">
        <v>11900</v>
      </c>
      <c r="BL1823" s="164">
        <v>11100</v>
      </c>
      <c r="BM1823" s="164"/>
      <c r="BP1823" s="433">
        <v>1.35118</v>
      </c>
      <c r="BQ1823" s="433">
        <v>1.3303</v>
      </c>
      <c r="BU1823" s="433">
        <v>1.48</v>
      </c>
      <c r="BV1823" s="433">
        <v>1.6</v>
      </c>
      <c r="BZ1823" s="433"/>
      <c r="CA1823" s="433"/>
      <c r="CD1823" s="37" t="s">
        <v>3120</v>
      </c>
      <c r="CE1823" s="559">
        <v>1.48</v>
      </c>
      <c r="CF1823" s="559">
        <v>1.6</v>
      </c>
      <c r="CG1823" s="556"/>
      <c r="CH1823" s="556"/>
      <c r="CI1823" s="37" t="s">
        <v>4546</v>
      </c>
      <c r="JB1823" s="164" t="s">
        <v>2087</v>
      </c>
      <c r="JC1823" s="164"/>
    </row>
    <row r="1824" spans="1:263" x14ac:dyDescent="0.25">
      <c r="A1824" s="164">
        <v>87</v>
      </c>
      <c r="B1824" s="165" t="s">
        <v>4115</v>
      </c>
      <c r="C1824" s="164" t="s">
        <v>2072</v>
      </c>
      <c r="D1824" s="164"/>
      <c r="E1824" s="164">
        <v>1991</v>
      </c>
      <c r="F1824" s="164">
        <v>1982</v>
      </c>
      <c r="G1824" s="164" t="s">
        <v>2055</v>
      </c>
      <c r="H1824" s="164" t="s">
        <v>2071</v>
      </c>
      <c r="I1824" s="164" t="s">
        <v>2815</v>
      </c>
      <c r="J1824" s="164">
        <v>40.82</v>
      </c>
      <c r="K1824" s="164">
        <v>-81.97</v>
      </c>
      <c r="L1824" s="164">
        <v>350</v>
      </c>
      <c r="M1824" s="164">
        <v>9</v>
      </c>
      <c r="N1824" s="164"/>
      <c r="O1824" s="164">
        <v>960</v>
      </c>
      <c r="P1824" s="164"/>
      <c r="Q1824" s="164"/>
      <c r="R1824" s="164">
        <v>2</v>
      </c>
      <c r="S1824" s="165" t="s">
        <v>1858</v>
      </c>
      <c r="U1824" s="165" t="s">
        <v>2088</v>
      </c>
      <c r="V1824" s="164" t="s">
        <v>1394</v>
      </c>
      <c r="W1824" s="168">
        <v>5</v>
      </c>
      <c r="X1824" s="168" t="s">
        <v>1394</v>
      </c>
      <c r="Y1824" s="164" t="s">
        <v>1379</v>
      </c>
      <c r="Z1824" s="166">
        <f>AVERAGE(Sheet1!BP1824:BQ1824)</f>
        <v>1.32334</v>
      </c>
      <c r="AA1824" s="358">
        <v>35</v>
      </c>
      <c r="AB1824" s="358">
        <v>55</v>
      </c>
      <c r="AC1824" s="164" t="s">
        <v>450</v>
      </c>
      <c r="AD1824" s="164">
        <v>6</v>
      </c>
      <c r="AE1824" s="164">
        <v>1.4</v>
      </c>
      <c r="AF1824" s="164"/>
      <c r="AG1824" s="164" t="s">
        <v>2070</v>
      </c>
      <c r="AH1824" s="164" t="s">
        <v>1753</v>
      </c>
      <c r="AI1824" s="164" t="s">
        <v>131</v>
      </c>
      <c r="AJ1824" s="164" t="s">
        <v>2019</v>
      </c>
      <c r="AK1824" s="164" t="s">
        <v>132</v>
      </c>
      <c r="AL1824" s="164" t="s">
        <v>2019</v>
      </c>
      <c r="AM1824" s="164"/>
      <c r="AN1824" s="164"/>
      <c r="AO1824" s="164"/>
      <c r="AP1824" s="164"/>
      <c r="AQ1824" s="164"/>
      <c r="AR1824" s="164"/>
      <c r="AS1824" s="185"/>
      <c r="AT1824" s="164"/>
      <c r="AU1824" s="164"/>
      <c r="AV1824" s="164" t="s">
        <v>2081</v>
      </c>
      <c r="AW1824" s="164" t="s">
        <v>160</v>
      </c>
      <c r="AX1824" s="164">
        <v>3</v>
      </c>
      <c r="AY1824" s="164"/>
      <c r="AZ1824" s="164" t="s">
        <v>141</v>
      </c>
      <c r="BA1824" s="164"/>
      <c r="BB1824" s="164"/>
      <c r="BC1824" s="164"/>
      <c r="BD1824" s="164"/>
      <c r="BE1824" s="164"/>
      <c r="BK1824" s="164">
        <v>6500</v>
      </c>
      <c r="BL1824" s="164">
        <v>6700</v>
      </c>
      <c r="BM1824" s="164"/>
      <c r="BP1824" s="433">
        <v>1.3651</v>
      </c>
      <c r="BQ1824" s="433">
        <v>1.2815799999999999</v>
      </c>
      <c r="BU1824" s="433">
        <v>1.4</v>
      </c>
      <c r="BV1824" s="433">
        <v>1.8800000000000001</v>
      </c>
      <c r="BZ1824" s="433"/>
      <c r="CA1824" s="433"/>
      <c r="CD1824" s="37" t="s">
        <v>3120</v>
      </c>
      <c r="CE1824" s="559">
        <v>1.4</v>
      </c>
      <c r="CF1824" s="559">
        <v>1.8800000000000001</v>
      </c>
      <c r="CG1824" s="556"/>
      <c r="CH1824" s="556"/>
      <c r="CI1824" s="37" t="s">
        <v>4546</v>
      </c>
      <c r="JB1824" s="164" t="s">
        <v>2087</v>
      </c>
      <c r="JC1824" s="164"/>
    </row>
    <row r="1825" spans="1:264" x14ac:dyDescent="0.25">
      <c r="A1825" s="164">
        <v>87</v>
      </c>
      <c r="B1825" s="165" t="s">
        <v>4116</v>
      </c>
      <c r="C1825" s="164" t="s">
        <v>2072</v>
      </c>
      <c r="D1825" s="164"/>
      <c r="E1825" s="164">
        <v>1991</v>
      </c>
      <c r="F1825" s="164">
        <v>1982</v>
      </c>
      <c r="G1825" s="164" t="s">
        <v>2055</v>
      </c>
      <c r="H1825" s="164" t="s">
        <v>2071</v>
      </c>
      <c r="I1825" s="164" t="s">
        <v>2815</v>
      </c>
      <c r="J1825" s="164">
        <v>40.82</v>
      </c>
      <c r="K1825" s="164">
        <v>-81.97</v>
      </c>
      <c r="L1825" s="164">
        <v>350</v>
      </c>
      <c r="M1825" s="164">
        <v>9</v>
      </c>
      <c r="N1825" s="164"/>
      <c r="O1825" s="164">
        <v>960</v>
      </c>
      <c r="P1825" s="164"/>
      <c r="Q1825" s="164"/>
      <c r="R1825" s="164">
        <v>2</v>
      </c>
      <c r="S1825" s="165" t="s">
        <v>1858</v>
      </c>
      <c r="U1825" s="165" t="s">
        <v>2088</v>
      </c>
      <c r="V1825" s="164" t="s">
        <v>1401</v>
      </c>
      <c r="W1825" s="168">
        <v>5</v>
      </c>
      <c r="X1825" s="168" t="s">
        <v>1394</v>
      </c>
      <c r="Y1825" s="164" t="s">
        <v>1379</v>
      </c>
      <c r="Z1825" s="166">
        <f>AVERAGE(Sheet1!BP1825:BQ1825)</f>
        <v>1.34335</v>
      </c>
      <c r="AA1825" s="358">
        <v>35</v>
      </c>
      <c r="AB1825" s="358">
        <v>55</v>
      </c>
      <c r="AC1825" s="164" t="s">
        <v>450</v>
      </c>
      <c r="AD1825" s="164">
        <v>5.8</v>
      </c>
      <c r="AE1825" s="164">
        <v>1.48</v>
      </c>
      <c r="AF1825" s="164"/>
      <c r="AG1825" s="164" t="s">
        <v>2070</v>
      </c>
      <c r="AH1825" s="164" t="s">
        <v>1753</v>
      </c>
      <c r="AI1825" s="164" t="s">
        <v>131</v>
      </c>
      <c r="AJ1825" s="164" t="s">
        <v>2019</v>
      </c>
      <c r="AK1825" s="164" t="s">
        <v>132</v>
      </c>
      <c r="AL1825" s="164" t="s">
        <v>2019</v>
      </c>
      <c r="AM1825" s="164"/>
      <c r="AN1825" s="164"/>
      <c r="AO1825" s="164"/>
      <c r="AP1825" s="164"/>
      <c r="AQ1825" s="164"/>
      <c r="AR1825" s="164"/>
      <c r="AS1825" s="185"/>
      <c r="AT1825" s="164"/>
      <c r="AU1825" s="164"/>
      <c r="AV1825" s="164" t="s">
        <v>2081</v>
      </c>
      <c r="AW1825" s="164" t="s">
        <v>160</v>
      </c>
      <c r="AX1825" s="164">
        <v>3</v>
      </c>
      <c r="AY1825" s="164"/>
      <c r="AZ1825" s="164" t="s">
        <v>141</v>
      </c>
      <c r="BA1825" s="164"/>
      <c r="BB1825" s="164"/>
      <c r="BC1825" s="164"/>
      <c r="BD1825" s="164"/>
      <c r="BE1825" s="164"/>
      <c r="BK1825" s="164">
        <v>11100</v>
      </c>
      <c r="BL1825" s="164">
        <v>10100</v>
      </c>
      <c r="BM1825" s="164"/>
      <c r="BP1825" s="433">
        <v>1.35118</v>
      </c>
      <c r="BQ1825" s="433">
        <v>1.33552</v>
      </c>
      <c r="BU1825" s="433">
        <v>1.48</v>
      </c>
      <c r="BV1825" s="433">
        <v>1.5699999999999998</v>
      </c>
      <c r="BZ1825" s="433"/>
      <c r="CA1825" s="433"/>
      <c r="CD1825" s="37" t="s">
        <v>3120</v>
      </c>
      <c r="CE1825" s="559">
        <v>1.48</v>
      </c>
      <c r="CF1825" s="559">
        <v>1.5699999999999998</v>
      </c>
      <c r="CG1825" s="556"/>
      <c r="CH1825" s="556"/>
      <c r="CI1825" s="37" t="s">
        <v>4546</v>
      </c>
      <c r="JB1825" s="164" t="s">
        <v>2087</v>
      </c>
      <c r="JC1825" s="164"/>
    </row>
    <row r="1826" spans="1:264" x14ac:dyDescent="0.25">
      <c r="A1826" s="164">
        <v>87</v>
      </c>
      <c r="B1826" s="165" t="s">
        <v>4117</v>
      </c>
      <c r="C1826" s="164" t="s">
        <v>2072</v>
      </c>
      <c r="D1826" s="164"/>
      <c r="E1826" s="164">
        <v>1991</v>
      </c>
      <c r="F1826" s="164">
        <v>1982</v>
      </c>
      <c r="G1826" s="164" t="s">
        <v>2055</v>
      </c>
      <c r="H1826" s="164" t="s">
        <v>2071</v>
      </c>
      <c r="I1826" s="164" t="s">
        <v>2815</v>
      </c>
      <c r="J1826" s="164">
        <v>40.82</v>
      </c>
      <c r="K1826" s="164">
        <v>-81.97</v>
      </c>
      <c r="L1826" s="164">
        <v>350</v>
      </c>
      <c r="M1826" s="164">
        <v>9</v>
      </c>
      <c r="N1826" s="164"/>
      <c r="O1826" s="164">
        <v>960</v>
      </c>
      <c r="P1826" s="164"/>
      <c r="Q1826" s="164"/>
      <c r="R1826" s="164">
        <v>2</v>
      </c>
      <c r="S1826" s="165" t="s">
        <v>1858</v>
      </c>
      <c r="U1826" s="165" t="s">
        <v>2088</v>
      </c>
      <c r="V1826" s="164" t="s">
        <v>1409</v>
      </c>
      <c r="W1826" s="168">
        <v>5</v>
      </c>
      <c r="X1826" s="168" t="s">
        <v>1394</v>
      </c>
      <c r="Y1826" s="164" t="s">
        <v>1379</v>
      </c>
      <c r="Z1826" s="166">
        <f>AVERAGE(Sheet1!BP1826:BQ1826)</f>
        <v>1.3398700000000001</v>
      </c>
      <c r="AA1826" s="358">
        <v>35</v>
      </c>
      <c r="AB1826" s="358">
        <v>55</v>
      </c>
      <c r="AC1826" s="164" t="s">
        <v>450</v>
      </c>
      <c r="AD1826" s="164">
        <v>5.8</v>
      </c>
      <c r="AE1826" s="164">
        <v>1.56</v>
      </c>
      <c r="AF1826" s="164"/>
      <c r="AG1826" s="164" t="s">
        <v>2070</v>
      </c>
      <c r="AH1826" s="164" t="s">
        <v>1753</v>
      </c>
      <c r="AI1826" s="164" t="s">
        <v>131</v>
      </c>
      <c r="AJ1826" s="164" t="s">
        <v>2019</v>
      </c>
      <c r="AK1826" s="164" t="s">
        <v>132</v>
      </c>
      <c r="AL1826" s="164" t="s">
        <v>2019</v>
      </c>
      <c r="AM1826" s="164"/>
      <c r="AN1826" s="164"/>
      <c r="AO1826" s="164"/>
      <c r="AP1826" s="164"/>
      <c r="AQ1826" s="164"/>
      <c r="AR1826" s="164"/>
      <c r="AS1826" s="185"/>
      <c r="AT1826" s="164"/>
      <c r="AU1826" s="164"/>
      <c r="AV1826" s="164" t="s">
        <v>2081</v>
      </c>
      <c r="AW1826" s="164" t="s">
        <v>160</v>
      </c>
      <c r="AX1826" s="164">
        <v>3</v>
      </c>
      <c r="AY1826" s="164"/>
      <c r="AZ1826" s="164" t="s">
        <v>141</v>
      </c>
      <c r="BA1826" s="164"/>
      <c r="BB1826" s="164"/>
      <c r="BC1826" s="164"/>
      <c r="BD1826" s="164"/>
      <c r="BE1826" s="164"/>
      <c r="BK1826" s="164">
        <v>10300</v>
      </c>
      <c r="BL1826" s="164">
        <v>8900</v>
      </c>
      <c r="BM1826" s="164"/>
      <c r="BP1826" s="433">
        <v>1.3372600000000001</v>
      </c>
      <c r="BQ1826" s="433">
        <v>1.3424800000000001</v>
      </c>
      <c r="BU1826" s="433">
        <v>1.56</v>
      </c>
      <c r="BV1826" s="433">
        <v>1.53</v>
      </c>
      <c r="BZ1826" s="433"/>
      <c r="CA1826" s="433"/>
      <c r="CD1826" s="37" t="s">
        <v>3120</v>
      </c>
      <c r="CE1826" s="559">
        <v>1.56</v>
      </c>
      <c r="CF1826" s="559">
        <v>1.53</v>
      </c>
      <c r="CG1826" s="556"/>
      <c r="CH1826" s="556"/>
      <c r="CI1826" s="37" t="s">
        <v>4546</v>
      </c>
      <c r="JB1826" s="164" t="s">
        <v>2087</v>
      </c>
      <c r="JC1826" s="164"/>
    </row>
    <row r="1827" spans="1:264" x14ac:dyDescent="0.25">
      <c r="A1827" s="164">
        <v>87</v>
      </c>
      <c r="B1827" s="165" t="s">
        <v>4118</v>
      </c>
      <c r="C1827" s="164" t="s">
        <v>2072</v>
      </c>
      <c r="D1827" s="164"/>
      <c r="E1827" s="164">
        <v>1991</v>
      </c>
      <c r="F1827" s="164">
        <v>1982</v>
      </c>
      <c r="G1827" s="164" t="s">
        <v>2055</v>
      </c>
      <c r="H1827" s="164" t="s">
        <v>2071</v>
      </c>
      <c r="I1827" s="164" t="s">
        <v>2815</v>
      </c>
      <c r="J1827" s="164">
        <v>40.82</v>
      </c>
      <c r="K1827" s="164">
        <v>-81.97</v>
      </c>
      <c r="L1827" s="164">
        <v>350</v>
      </c>
      <c r="M1827" s="164">
        <v>9</v>
      </c>
      <c r="N1827" s="164"/>
      <c r="O1827" s="164">
        <v>960</v>
      </c>
      <c r="P1827" s="164"/>
      <c r="Q1827" s="164"/>
      <c r="R1827" s="164">
        <v>2</v>
      </c>
      <c r="S1827" s="165" t="s">
        <v>1858</v>
      </c>
      <c r="U1827" s="165" t="s">
        <v>2088</v>
      </c>
      <c r="V1827" s="164" t="s">
        <v>2076</v>
      </c>
      <c r="W1827" s="168">
        <v>5</v>
      </c>
      <c r="X1827" s="168" t="s">
        <v>1394</v>
      </c>
      <c r="Y1827" s="164" t="s">
        <v>1379</v>
      </c>
      <c r="Z1827" s="166">
        <f>AVERAGE(Sheet1!BP1827:BQ1827)</f>
        <v>1.3564000000000001</v>
      </c>
      <c r="AA1827" s="358">
        <v>35</v>
      </c>
      <c r="AB1827" s="358">
        <v>55</v>
      </c>
      <c r="AC1827" s="164" t="s">
        <v>450</v>
      </c>
      <c r="AD1827" s="164">
        <v>6</v>
      </c>
      <c r="AE1827" s="164">
        <v>1.46</v>
      </c>
      <c r="AF1827" s="164"/>
      <c r="AG1827" s="164" t="s">
        <v>2070</v>
      </c>
      <c r="AH1827" s="164" t="s">
        <v>1753</v>
      </c>
      <c r="AI1827" s="164" t="s">
        <v>131</v>
      </c>
      <c r="AJ1827" s="164" t="s">
        <v>2019</v>
      </c>
      <c r="AK1827" s="164" t="s">
        <v>132</v>
      </c>
      <c r="AL1827" s="164" t="s">
        <v>2019</v>
      </c>
      <c r="AM1827" s="164"/>
      <c r="AN1827" s="164"/>
      <c r="AO1827" s="164"/>
      <c r="AP1827" s="164"/>
      <c r="AQ1827" s="164"/>
      <c r="AR1827" s="164"/>
      <c r="AS1827" s="185"/>
      <c r="AT1827" s="164"/>
      <c r="AU1827" s="164"/>
      <c r="AV1827" s="164" t="s">
        <v>2081</v>
      </c>
      <c r="AW1827" s="164" t="s">
        <v>160</v>
      </c>
      <c r="AX1827" s="164">
        <v>3</v>
      </c>
      <c r="AY1827" s="164"/>
      <c r="AZ1827" s="164" t="s">
        <v>141</v>
      </c>
      <c r="BA1827" s="164"/>
      <c r="BB1827" s="164"/>
      <c r="BC1827" s="164"/>
      <c r="BD1827" s="164"/>
      <c r="BE1827" s="164"/>
      <c r="BM1827" s="164"/>
      <c r="BP1827" s="433">
        <v>1.35466</v>
      </c>
      <c r="BQ1827" s="433">
        <v>1.3581400000000001</v>
      </c>
      <c r="BU1827" s="433">
        <v>1.46</v>
      </c>
      <c r="BV1827" s="433">
        <v>1.44</v>
      </c>
      <c r="BZ1827" s="433"/>
      <c r="CA1827" s="433"/>
      <c r="CD1827" s="37" t="s">
        <v>3120</v>
      </c>
      <c r="CE1827" s="559">
        <v>1.46</v>
      </c>
      <c r="CF1827" s="559">
        <v>1.44</v>
      </c>
      <c r="CG1827" s="556"/>
      <c r="CH1827" s="556"/>
      <c r="CI1827" s="37" t="s">
        <v>4546</v>
      </c>
      <c r="JB1827" s="164" t="s">
        <v>2087</v>
      </c>
      <c r="JC1827" s="164"/>
    </row>
    <row r="1828" spans="1:264" s="221" customFormat="1" x14ac:dyDescent="0.25">
      <c r="A1828" s="216">
        <v>87</v>
      </c>
      <c r="B1828" s="165" t="s">
        <v>4119</v>
      </c>
      <c r="C1828" s="216" t="s">
        <v>2072</v>
      </c>
      <c r="D1828" s="216"/>
      <c r="E1828" s="216">
        <v>1991</v>
      </c>
      <c r="F1828" s="216">
        <v>1982</v>
      </c>
      <c r="G1828" s="216" t="s">
        <v>2055</v>
      </c>
      <c r="H1828" s="216" t="s">
        <v>2071</v>
      </c>
      <c r="I1828" s="164" t="s">
        <v>2815</v>
      </c>
      <c r="J1828" s="216">
        <v>40.82</v>
      </c>
      <c r="K1828" s="216">
        <v>-81.97</v>
      </c>
      <c r="L1828" s="216">
        <v>350</v>
      </c>
      <c r="M1828" s="216">
        <v>9</v>
      </c>
      <c r="N1828" s="216"/>
      <c r="O1828" s="216">
        <v>960</v>
      </c>
      <c r="P1828" s="216"/>
      <c r="Q1828" s="216"/>
      <c r="R1828" s="216">
        <v>2</v>
      </c>
      <c r="S1828" s="217" t="s">
        <v>1858</v>
      </c>
      <c r="U1828" s="217" t="s">
        <v>2088</v>
      </c>
      <c r="V1828" s="216" t="s">
        <v>1379</v>
      </c>
      <c r="W1828" s="218">
        <v>20</v>
      </c>
      <c r="X1828" s="218" t="s">
        <v>1394</v>
      </c>
      <c r="Y1828" s="216" t="s">
        <v>1379</v>
      </c>
      <c r="Z1828" s="219">
        <f>AVERAGE(Sheet1!BP1828:BQ1828)</f>
        <v>2.6962700000000002</v>
      </c>
      <c r="AA1828" s="359">
        <v>35</v>
      </c>
      <c r="AB1828" s="359">
        <v>55</v>
      </c>
      <c r="AC1828" s="216" t="s">
        <v>450</v>
      </c>
      <c r="AD1828" s="216">
        <v>5.9</v>
      </c>
      <c r="AE1828" s="216">
        <v>1.48</v>
      </c>
      <c r="AF1828" s="216"/>
      <c r="AG1828" s="216" t="s">
        <v>2070</v>
      </c>
      <c r="AH1828" s="216" t="s">
        <v>1753</v>
      </c>
      <c r="AI1828" s="216" t="s">
        <v>131</v>
      </c>
      <c r="AJ1828" s="216" t="s">
        <v>2080</v>
      </c>
      <c r="AK1828" s="216" t="s">
        <v>158</v>
      </c>
      <c r="AL1828" s="216" t="s">
        <v>2080</v>
      </c>
      <c r="AM1828" s="216"/>
      <c r="AN1828" s="216"/>
      <c r="AO1828" s="216"/>
      <c r="AP1828" s="216"/>
      <c r="AQ1828" s="216"/>
      <c r="AR1828" s="216"/>
      <c r="AS1828" s="220"/>
      <c r="AT1828" s="216"/>
      <c r="AU1828" s="216"/>
      <c r="AV1828" s="216" t="s">
        <v>2079</v>
      </c>
      <c r="AW1828" s="164" t="s">
        <v>160</v>
      </c>
      <c r="AX1828" s="216">
        <v>3</v>
      </c>
      <c r="AY1828" s="216"/>
      <c r="AZ1828" s="216" t="s">
        <v>141</v>
      </c>
      <c r="BA1828" s="216"/>
      <c r="BB1828" s="216"/>
      <c r="BC1828" s="216"/>
      <c r="BD1828" s="216"/>
      <c r="BE1828" s="216"/>
      <c r="BK1828" s="216">
        <v>12300</v>
      </c>
      <c r="BL1828" s="216">
        <v>12100</v>
      </c>
      <c r="BM1828" s="216"/>
      <c r="BP1828" s="434">
        <v>2.6919200000000001</v>
      </c>
      <c r="BQ1828" s="434">
        <v>2.7006200000000002</v>
      </c>
      <c r="BU1828" s="434">
        <v>1.4750000000000001</v>
      </c>
      <c r="BV1828" s="434">
        <v>1.48</v>
      </c>
      <c r="BZ1828" s="434"/>
      <c r="CA1828" s="434"/>
      <c r="CD1828" s="37" t="s">
        <v>3120</v>
      </c>
      <c r="CE1828" s="587">
        <v>1.4750000000000001</v>
      </c>
      <c r="CF1828" s="587">
        <v>1.48</v>
      </c>
      <c r="CG1828" s="587"/>
      <c r="CH1828" s="587"/>
      <c r="CI1828" s="37" t="s">
        <v>4546</v>
      </c>
      <c r="JB1828" s="216" t="s">
        <v>2087</v>
      </c>
      <c r="JC1828" s="216"/>
      <c r="JD1828" s="222"/>
    </row>
    <row r="1829" spans="1:264" s="221" customFormat="1" x14ac:dyDescent="0.25">
      <c r="A1829" s="216">
        <v>87</v>
      </c>
      <c r="B1829" s="165" t="s">
        <v>4126</v>
      </c>
      <c r="C1829" s="216" t="s">
        <v>2072</v>
      </c>
      <c r="D1829" s="216"/>
      <c r="E1829" s="216">
        <v>1991</v>
      </c>
      <c r="F1829" s="216">
        <v>1982</v>
      </c>
      <c r="G1829" s="216" t="s">
        <v>2055</v>
      </c>
      <c r="H1829" s="216" t="s">
        <v>2071</v>
      </c>
      <c r="I1829" s="164" t="s">
        <v>2815</v>
      </c>
      <c r="J1829" s="216">
        <v>40.82</v>
      </c>
      <c r="K1829" s="216">
        <v>-81.97</v>
      </c>
      <c r="L1829" s="216">
        <v>350</v>
      </c>
      <c r="M1829" s="216">
        <v>9</v>
      </c>
      <c r="N1829" s="216"/>
      <c r="O1829" s="216">
        <v>960</v>
      </c>
      <c r="P1829" s="216"/>
      <c r="Q1829" s="216"/>
      <c r="R1829" s="216">
        <v>2</v>
      </c>
      <c r="S1829" s="217" t="s">
        <v>1858</v>
      </c>
      <c r="U1829" s="217" t="s">
        <v>2088</v>
      </c>
      <c r="V1829" s="216" t="s">
        <v>1394</v>
      </c>
      <c r="W1829" s="218">
        <v>5</v>
      </c>
      <c r="X1829" s="218" t="s">
        <v>1394</v>
      </c>
      <c r="Y1829" s="216" t="s">
        <v>1379</v>
      </c>
      <c r="Z1829" s="219">
        <f>AVERAGE(Sheet1!BP1829:BQ1829)</f>
        <v>1.33117</v>
      </c>
      <c r="AA1829" s="359">
        <v>35</v>
      </c>
      <c r="AB1829" s="359">
        <v>55</v>
      </c>
      <c r="AC1829" s="216" t="s">
        <v>450</v>
      </c>
      <c r="AD1829" s="216">
        <v>6</v>
      </c>
      <c r="AE1829" s="216">
        <v>1.4</v>
      </c>
      <c r="AF1829" s="216"/>
      <c r="AG1829" s="216" t="s">
        <v>2070</v>
      </c>
      <c r="AH1829" s="216" t="s">
        <v>1753</v>
      </c>
      <c r="AI1829" s="216" t="s">
        <v>131</v>
      </c>
      <c r="AJ1829" s="216" t="s">
        <v>2080</v>
      </c>
      <c r="AK1829" s="216" t="s">
        <v>158</v>
      </c>
      <c r="AL1829" s="216" t="s">
        <v>2080</v>
      </c>
      <c r="AM1829" s="216"/>
      <c r="AN1829" s="216"/>
      <c r="AO1829" s="216"/>
      <c r="AP1829" s="216"/>
      <c r="AQ1829" s="216"/>
      <c r="AR1829" s="216"/>
      <c r="AS1829" s="220"/>
      <c r="AT1829" s="216"/>
      <c r="AU1829" s="216"/>
      <c r="AV1829" s="216" t="s">
        <v>2079</v>
      </c>
      <c r="AW1829" s="164" t="s">
        <v>160</v>
      </c>
      <c r="AX1829" s="216">
        <v>3</v>
      </c>
      <c r="AY1829" s="216"/>
      <c r="AZ1829" s="216" t="s">
        <v>141</v>
      </c>
      <c r="BA1829" s="216"/>
      <c r="BB1829" s="216"/>
      <c r="BC1829" s="216"/>
      <c r="BD1829" s="216"/>
      <c r="BE1829" s="216"/>
      <c r="BK1829" s="216">
        <v>6600</v>
      </c>
      <c r="BL1829" s="216">
        <v>7700</v>
      </c>
      <c r="BM1829" s="216"/>
      <c r="BP1829" s="434">
        <v>1.34944</v>
      </c>
      <c r="BQ1829" s="434">
        <v>1.3129</v>
      </c>
      <c r="BU1829" s="434">
        <v>1.49</v>
      </c>
      <c r="BV1829" s="434">
        <v>1.7</v>
      </c>
      <c r="BZ1829" s="434"/>
      <c r="CA1829" s="434"/>
      <c r="CD1829" s="37" t="s">
        <v>3120</v>
      </c>
      <c r="CE1829" s="587">
        <v>1.49</v>
      </c>
      <c r="CF1829" s="587">
        <v>1.7</v>
      </c>
      <c r="CG1829" s="587"/>
      <c r="CH1829" s="587"/>
      <c r="CI1829" s="37" t="s">
        <v>4546</v>
      </c>
      <c r="JB1829" s="216" t="s">
        <v>2087</v>
      </c>
      <c r="JC1829" s="216"/>
      <c r="JD1829" s="222"/>
    </row>
    <row r="1830" spans="1:264" s="221" customFormat="1" x14ac:dyDescent="0.25">
      <c r="A1830" s="216">
        <v>87</v>
      </c>
      <c r="B1830" s="165" t="s">
        <v>4127</v>
      </c>
      <c r="C1830" s="216" t="s">
        <v>2072</v>
      </c>
      <c r="D1830" s="216"/>
      <c r="E1830" s="216">
        <v>1991</v>
      </c>
      <c r="F1830" s="216">
        <v>1982</v>
      </c>
      <c r="G1830" s="216" t="s">
        <v>2055</v>
      </c>
      <c r="H1830" s="216" t="s">
        <v>2071</v>
      </c>
      <c r="I1830" s="164" t="s">
        <v>2815</v>
      </c>
      <c r="J1830" s="216">
        <v>40.82</v>
      </c>
      <c r="K1830" s="216">
        <v>-81.97</v>
      </c>
      <c r="L1830" s="216">
        <v>350</v>
      </c>
      <c r="M1830" s="216">
        <v>9</v>
      </c>
      <c r="N1830" s="216"/>
      <c r="O1830" s="216">
        <v>960</v>
      </c>
      <c r="P1830" s="216"/>
      <c r="Q1830" s="216"/>
      <c r="R1830" s="216">
        <v>2</v>
      </c>
      <c r="S1830" s="217" t="s">
        <v>1858</v>
      </c>
      <c r="U1830" s="217" t="s">
        <v>2088</v>
      </c>
      <c r="V1830" s="216" t="s">
        <v>1401</v>
      </c>
      <c r="W1830" s="218">
        <v>5</v>
      </c>
      <c r="X1830" s="218" t="s">
        <v>1394</v>
      </c>
      <c r="Y1830" s="216" t="s">
        <v>1379</v>
      </c>
      <c r="Z1830" s="219">
        <f>AVERAGE(Sheet1!BP1830:BQ1830)</f>
        <v>1.35205</v>
      </c>
      <c r="AA1830" s="359">
        <v>35</v>
      </c>
      <c r="AB1830" s="359">
        <v>55</v>
      </c>
      <c r="AC1830" s="216" t="s">
        <v>450</v>
      </c>
      <c r="AD1830" s="216">
        <v>5.8</v>
      </c>
      <c r="AE1830" s="216">
        <v>1.48</v>
      </c>
      <c r="AF1830" s="216"/>
      <c r="AG1830" s="216" t="s">
        <v>2070</v>
      </c>
      <c r="AH1830" s="216" t="s">
        <v>1753</v>
      </c>
      <c r="AI1830" s="216" t="s">
        <v>131</v>
      </c>
      <c r="AJ1830" s="216" t="s">
        <v>2080</v>
      </c>
      <c r="AK1830" s="216" t="s">
        <v>158</v>
      </c>
      <c r="AL1830" s="216" t="s">
        <v>2080</v>
      </c>
      <c r="AM1830" s="216"/>
      <c r="AN1830" s="216"/>
      <c r="AO1830" s="216"/>
      <c r="AP1830" s="216"/>
      <c r="AQ1830" s="216"/>
      <c r="AR1830" s="216"/>
      <c r="AS1830" s="220"/>
      <c r="AT1830" s="216"/>
      <c r="AU1830" s="216"/>
      <c r="AV1830" s="216" t="s">
        <v>2079</v>
      </c>
      <c r="AW1830" s="164" t="s">
        <v>160</v>
      </c>
      <c r="AX1830" s="216">
        <v>3</v>
      </c>
      <c r="AY1830" s="216"/>
      <c r="AZ1830" s="216" t="s">
        <v>141</v>
      </c>
      <c r="BA1830" s="216"/>
      <c r="BB1830" s="216"/>
      <c r="BC1830" s="216"/>
      <c r="BD1830" s="216"/>
      <c r="BE1830" s="216"/>
      <c r="BK1830" s="216">
        <v>11900</v>
      </c>
      <c r="BL1830" s="216">
        <v>11700</v>
      </c>
      <c r="BM1830" s="216"/>
      <c r="BP1830" s="434">
        <v>1.339</v>
      </c>
      <c r="BQ1830" s="434">
        <v>1.3651</v>
      </c>
      <c r="BU1830" s="434">
        <v>1.55</v>
      </c>
      <c r="BV1830" s="434">
        <v>1.4</v>
      </c>
      <c r="BZ1830" s="434"/>
      <c r="CA1830" s="434"/>
      <c r="CD1830" s="37" t="s">
        <v>3120</v>
      </c>
      <c r="CE1830" s="587">
        <v>1.55</v>
      </c>
      <c r="CF1830" s="587">
        <v>1.4</v>
      </c>
      <c r="CG1830" s="587"/>
      <c r="CH1830" s="587"/>
      <c r="CI1830" s="37" t="s">
        <v>4546</v>
      </c>
      <c r="JB1830" s="216" t="s">
        <v>2087</v>
      </c>
      <c r="JC1830" s="216"/>
      <c r="JD1830" s="222"/>
    </row>
    <row r="1831" spans="1:264" s="221" customFormat="1" x14ac:dyDescent="0.25">
      <c r="A1831" s="216">
        <v>87</v>
      </c>
      <c r="B1831" s="165" t="s">
        <v>4128</v>
      </c>
      <c r="C1831" s="216" t="s">
        <v>2072</v>
      </c>
      <c r="D1831" s="216"/>
      <c r="E1831" s="216">
        <v>1991</v>
      </c>
      <c r="F1831" s="216">
        <v>1982</v>
      </c>
      <c r="G1831" s="216" t="s">
        <v>2055</v>
      </c>
      <c r="H1831" s="216" t="s">
        <v>2071</v>
      </c>
      <c r="I1831" s="164" t="s">
        <v>2815</v>
      </c>
      <c r="J1831" s="216">
        <v>40.82</v>
      </c>
      <c r="K1831" s="216">
        <v>-81.97</v>
      </c>
      <c r="L1831" s="216">
        <v>350</v>
      </c>
      <c r="M1831" s="216">
        <v>9</v>
      </c>
      <c r="N1831" s="216"/>
      <c r="O1831" s="216">
        <v>960</v>
      </c>
      <c r="P1831" s="216"/>
      <c r="Q1831" s="216"/>
      <c r="R1831" s="216">
        <v>2</v>
      </c>
      <c r="S1831" s="217" t="s">
        <v>1858</v>
      </c>
      <c r="U1831" s="217" t="s">
        <v>2088</v>
      </c>
      <c r="V1831" s="216" t="s">
        <v>1409</v>
      </c>
      <c r="W1831" s="218">
        <v>5</v>
      </c>
      <c r="X1831" s="218" t="s">
        <v>1394</v>
      </c>
      <c r="Y1831" s="216" t="s">
        <v>1379</v>
      </c>
      <c r="Z1831" s="219">
        <f>AVERAGE(Sheet1!BP1831:BQ1831)</f>
        <v>1.32769</v>
      </c>
      <c r="AA1831" s="359">
        <v>35</v>
      </c>
      <c r="AB1831" s="359">
        <v>55</v>
      </c>
      <c r="AC1831" s="216" t="s">
        <v>450</v>
      </c>
      <c r="AD1831" s="216">
        <v>5.8</v>
      </c>
      <c r="AE1831" s="216">
        <v>1.56</v>
      </c>
      <c r="AF1831" s="216"/>
      <c r="AG1831" s="216" t="s">
        <v>2070</v>
      </c>
      <c r="AH1831" s="216" t="s">
        <v>1753</v>
      </c>
      <c r="AI1831" s="216" t="s">
        <v>131</v>
      </c>
      <c r="AJ1831" s="216" t="s">
        <v>2080</v>
      </c>
      <c r="AK1831" s="216" t="s">
        <v>158</v>
      </c>
      <c r="AL1831" s="216" t="s">
        <v>2080</v>
      </c>
      <c r="AM1831" s="216"/>
      <c r="AN1831" s="216"/>
      <c r="AO1831" s="216"/>
      <c r="AP1831" s="216"/>
      <c r="AQ1831" s="216"/>
      <c r="AR1831" s="216"/>
      <c r="AS1831" s="220"/>
      <c r="AT1831" s="216"/>
      <c r="AU1831" s="216"/>
      <c r="AV1831" s="216" t="s">
        <v>2079</v>
      </c>
      <c r="AW1831" s="164" t="s">
        <v>160</v>
      </c>
      <c r="AX1831" s="216">
        <v>3</v>
      </c>
      <c r="AY1831" s="216"/>
      <c r="AZ1831" s="216" t="s">
        <v>141</v>
      </c>
      <c r="BA1831" s="216"/>
      <c r="BB1831" s="216"/>
      <c r="BC1831" s="216"/>
      <c r="BD1831" s="216"/>
      <c r="BE1831" s="216"/>
      <c r="BK1831" s="216">
        <v>12100</v>
      </c>
      <c r="BL1831" s="216">
        <v>12100</v>
      </c>
      <c r="BM1831" s="216"/>
      <c r="BP1831" s="434">
        <v>1.30246</v>
      </c>
      <c r="BQ1831" s="434">
        <v>1.3529200000000001</v>
      </c>
      <c r="BU1831" s="434">
        <v>1.7600000000000002</v>
      </c>
      <c r="BV1831" s="434">
        <v>1.47</v>
      </c>
      <c r="BZ1831" s="434"/>
      <c r="CA1831" s="434"/>
      <c r="CD1831" s="37" t="s">
        <v>3120</v>
      </c>
      <c r="CE1831" s="587">
        <v>1.7600000000000002</v>
      </c>
      <c r="CF1831" s="587">
        <v>1.47</v>
      </c>
      <c r="CG1831" s="587"/>
      <c r="CH1831" s="587"/>
      <c r="CI1831" s="37" t="s">
        <v>4546</v>
      </c>
      <c r="JB1831" s="216" t="s">
        <v>2087</v>
      </c>
      <c r="JC1831" s="216"/>
      <c r="JD1831" s="222"/>
    </row>
    <row r="1832" spans="1:264" s="221" customFormat="1" x14ac:dyDescent="0.25">
      <c r="A1832" s="216">
        <v>87</v>
      </c>
      <c r="B1832" s="165" t="s">
        <v>4129</v>
      </c>
      <c r="C1832" s="216" t="s">
        <v>2072</v>
      </c>
      <c r="D1832" s="216"/>
      <c r="E1832" s="216">
        <v>1991</v>
      </c>
      <c r="F1832" s="216">
        <v>1982</v>
      </c>
      <c r="G1832" s="216" t="s">
        <v>2055</v>
      </c>
      <c r="H1832" s="216" t="s">
        <v>2071</v>
      </c>
      <c r="I1832" s="164" t="s">
        <v>2815</v>
      </c>
      <c r="J1832" s="216">
        <v>40.82</v>
      </c>
      <c r="K1832" s="216">
        <v>-81.97</v>
      </c>
      <c r="L1832" s="216">
        <v>350</v>
      </c>
      <c r="M1832" s="216">
        <v>9</v>
      </c>
      <c r="N1832" s="216"/>
      <c r="O1832" s="216">
        <v>960</v>
      </c>
      <c r="P1832" s="216"/>
      <c r="Q1832" s="216"/>
      <c r="R1832" s="216">
        <v>2</v>
      </c>
      <c r="S1832" s="217" t="s">
        <v>1858</v>
      </c>
      <c r="U1832" s="217" t="s">
        <v>2088</v>
      </c>
      <c r="V1832" s="216" t="s">
        <v>2076</v>
      </c>
      <c r="W1832" s="218">
        <v>5</v>
      </c>
      <c r="X1832" s="218" t="s">
        <v>1394</v>
      </c>
      <c r="Y1832" s="216" t="s">
        <v>1379</v>
      </c>
      <c r="Z1832" s="219">
        <f>AVERAGE(Sheet1!BP1832:BQ1832)</f>
        <v>1.37032</v>
      </c>
      <c r="AA1832" s="359">
        <v>35</v>
      </c>
      <c r="AB1832" s="359">
        <v>55</v>
      </c>
      <c r="AC1832" s="216" t="s">
        <v>450</v>
      </c>
      <c r="AD1832" s="216">
        <v>6</v>
      </c>
      <c r="AE1832" s="216">
        <v>1.46</v>
      </c>
      <c r="AF1832" s="216"/>
      <c r="AG1832" s="216" t="s">
        <v>2070</v>
      </c>
      <c r="AH1832" s="216" t="s">
        <v>1753</v>
      </c>
      <c r="AI1832" s="216" t="s">
        <v>131</v>
      </c>
      <c r="AJ1832" s="216" t="s">
        <v>2080</v>
      </c>
      <c r="AK1832" s="216" t="s">
        <v>158</v>
      </c>
      <c r="AL1832" s="216" t="s">
        <v>2080</v>
      </c>
      <c r="AM1832" s="216"/>
      <c r="AN1832" s="216"/>
      <c r="AO1832" s="216"/>
      <c r="AP1832" s="216"/>
      <c r="AQ1832" s="216"/>
      <c r="AR1832" s="216"/>
      <c r="AS1832" s="220"/>
      <c r="AT1832" s="216"/>
      <c r="AU1832" s="216"/>
      <c r="AV1832" s="216" t="s">
        <v>2079</v>
      </c>
      <c r="AW1832" s="164" t="s">
        <v>160</v>
      </c>
      <c r="AX1832" s="216">
        <v>3</v>
      </c>
      <c r="AY1832" s="216"/>
      <c r="AZ1832" s="216" t="s">
        <v>141</v>
      </c>
      <c r="BA1832" s="216"/>
      <c r="BB1832" s="216"/>
      <c r="BC1832" s="216"/>
      <c r="BD1832" s="216"/>
      <c r="BE1832" s="216"/>
      <c r="BL1832" s="216"/>
      <c r="BM1832" s="216"/>
      <c r="BP1832" s="434">
        <v>1.3685800000000001</v>
      </c>
      <c r="BQ1832" s="434">
        <v>1.3720600000000001</v>
      </c>
      <c r="BU1832" s="434">
        <v>1.3800000000000001</v>
      </c>
      <c r="BV1832" s="434">
        <v>1.3599999999999999</v>
      </c>
      <c r="BZ1832" s="434"/>
      <c r="CA1832" s="434"/>
      <c r="CD1832" s="37" t="s">
        <v>3120</v>
      </c>
      <c r="CE1832" s="587">
        <v>1.3800000000000001</v>
      </c>
      <c r="CF1832" s="587">
        <v>1.3599999999999999</v>
      </c>
      <c r="CG1832" s="587"/>
      <c r="CH1832" s="587"/>
      <c r="CI1832" s="37" t="s">
        <v>4546</v>
      </c>
      <c r="JB1832" s="216" t="s">
        <v>2087</v>
      </c>
      <c r="JC1832" s="216"/>
      <c r="JD1832" s="222"/>
    </row>
    <row r="1833" spans="1:264" x14ac:dyDescent="0.25">
      <c r="A1833" s="164">
        <v>87</v>
      </c>
      <c r="B1833" s="165" t="s">
        <v>4130</v>
      </c>
      <c r="C1833" s="164" t="s">
        <v>2072</v>
      </c>
      <c r="D1833" s="164"/>
      <c r="E1833" s="164">
        <v>1991</v>
      </c>
      <c r="F1833" s="164">
        <v>1982</v>
      </c>
      <c r="G1833" s="164" t="s">
        <v>2055</v>
      </c>
      <c r="H1833" s="164" t="s">
        <v>2071</v>
      </c>
      <c r="I1833" s="164" t="s">
        <v>2815</v>
      </c>
      <c r="J1833" s="164">
        <v>40.82</v>
      </c>
      <c r="K1833" s="164">
        <v>-81.97</v>
      </c>
      <c r="L1833" s="164">
        <v>350</v>
      </c>
      <c r="M1833" s="164">
        <v>9</v>
      </c>
      <c r="N1833" s="164"/>
      <c r="O1833" s="164">
        <v>960</v>
      </c>
      <c r="P1833" s="164"/>
      <c r="Q1833" s="164"/>
      <c r="R1833" s="164">
        <v>2</v>
      </c>
      <c r="S1833" s="165" t="s">
        <v>1858</v>
      </c>
      <c r="U1833" s="165" t="s">
        <v>2088</v>
      </c>
      <c r="V1833" s="164" t="s">
        <v>1379</v>
      </c>
      <c r="W1833" s="168">
        <v>20</v>
      </c>
      <c r="X1833" s="168" t="s">
        <v>1394</v>
      </c>
      <c r="Y1833" s="164" t="s">
        <v>1379</v>
      </c>
      <c r="Z1833" s="166">
        <f>AVERAGE(Sheet1!BP1833:BQ1833)</f>
        <v>1.338565</v>
      </c>
      <c r="AA1833" s="358">
        <v>35</v>
      </c>
      <c r="AB1833" s="358">
        <v>55</v>
      </c>
      <c r="AC1833" s="164" t="s">
        <v>450</v>
      </c>
      <c r="AD1833" s="164">
        <v>6.1</v>
      </c>
      <c r="AE1833" s="164">
        <v>1.55</v>
      </c>
      <c r="AF1833" s="164"/>
      <c r="AG1833" s="164" t="s">
        <v>2070</v>
      </c>
      <c r="AH1833" s="164" t="s">
        <v>1753</v>
      </c>
      <c r="AI1833" s="164" t="s">
        <v>131</v>
      </c>
      <c r="AJ1833" s="164" t="s">
        <v>2074</v>
      </c>
      <c r="AK1833" s="164" t="s">
        <v>1611</v>
      </c>
      <c r="AL1833" s="164" t="s">
        <v>2074</v>
      </c>
      <c r="AM1833" s="164"/>
      <c r="AN1833" s="164"/>
      <c r="AO1833" s="164"/>
      <c r="AP1833" s="164"/>
      <c r="AQ1833" s="164"/>
      <c r="AR1833" s="164"/>
      <c r="AS1833" s="185"/>
      <c r="AT1833" s="164"/>
      <c r="AU1833" s="164"/>
      <c r="AV1833" s="164" t="s">
        <v>2078</v>
      </c>
      <c r="AW1833" s="164" t="s">
        <v>160</v>
      </c>
      <c r="AX1833" s="164">
        <v>3</v>
      </c>
      <c r="AY1833" s="164"/>
      <c r="AZ1833" s="164" t="s">
        <v>141</v>
      </c>
      <c r="BA1833" s="164"/>
      <c r="BB1833" s="164"/>
      <c r="BC1833" s="164"/>
      <c r="BD1833" s="164"/>
      <c r="BE1833" s="164"/>
      <c r="BK1833" s="216">
        <v>2900</v>
      </c>
      <c r="BL1833" s="164">
        <v>3000</v>
      </c>
      <c r="BM1833" s="164"/>
      <c r="BP1833" s="433">
        <v>1.3398700000000001</v>
      </c>
      <c r="BQ1833" s="433">
        <v>1.3372600000000001</v>
      </c>
      <c r="BU1833" s="433">
        <v>1.5449999999999999</v>
      </c>
      <c r="BV1833" s="433">
        <v>1.56</v>
      </c>
      <c r="BZ1833" s="433"/>
      <c r="CA1833" s="433"/>
      <c r="CD1833" s="37" t="s">
        <v>3120</v>
      </c>
      <c r="CE1833" s="559">
        <v>1.5449999999999999</v>
      </c>
      <c r="CF1833" s="559">
        <v>1.56</v>
      </c>
      <c r="CG1833" s="556"/>
      <c r="CH1833" s="556"/>
      <c r="CI1833" s="37" t="s">
        <v>4546</v>
      </c>
      <c r="JB1833" s="164" t="s">
        <v>2087</v>
      </c>
      <c r="JC1833" s="164"/>
    </row>
    <row r="1834" spans="1:264" x14ac:dyDescent="0.25">
      <c r="A1834" s="164">
        <v>87</v>
      </c>
      <c r="B1834" s="165" t="s">
        <v>4131</v>
      </c>
      <c r="C1834" s="164" t="s">
        <v>2072</v>
      </c>
      <c r="D1834" s="164"/>
      <c r="E1834" s="164">
        <v>1991</v>
      </c>
      <c r="F1834" s="164">
        <v>1982</v>
      </c>
      <c r="G1834" s="164" t="s">
        <v>2055</v>
      </c>
      <c r="H1834" s="164" t="s">
        <v>2071</v>
      </c>
      <c r="I1834" s="164" t="s">
        <v>2815</v>
      </c>
      <c r="J1834" s="164">
        <v>40.82</v>
      </c>
      <c r="K1834" s="164">
        <v>-81.97</v>
      </c>
      <c r="L1834" s="164">
        <v>350</v>
      </c>
      <c r="M1834" s="164">
        <v>9</v>
      </c>
      <c r="N1834" s="164"/>
      <c r="O1834" s="164">
        <v>960</v>
      </c>
      <c r="P1834" s="164"/>
      <c r="Q1834" s="164"/>
      <c r="R1834" s="164">
        <v>2</v>
      </c>
      <c r="S1834" s="165" t="s">
        <v>1858</v>
      </c>
      <c r="U1834" s="165" t="s">
        <v>2088</v>
      </c>
      <c r="V1834" s="164" t="s">
        <v>1394</v>
      </c>
      <c r="W1834" s="168">
        <v>5</v>
      </c>
      <c r="X1834" s="168" t="s">
        <v>1394</v>
      </c>
      <c r="Y1834" s="164" t="s">
        <v>1379</v>
      </c>
      <c r="Z1834" s="166">
        <f>AVERAGE(Sheet1!BP1834:BQ1834)</f>
        <v>1.32769</v>
      </c>
      <c r="AA1834" s="358">
        <v>35</v>
      </c>
      <c r="AB1834" s="358">
        <v>55</v>
      </c>
      <c r="AC1834" s="164" t="s">
        <v>450</v>
      </c>
      <c r="AD1834" s="164">
        <v>6.1</v>
      </c>
      <c r="AE1834" s="164">
        <v>1.49</v>
      </c>
      <c r="AF1834" s="164"/>
      <c r="AG1834" s="164" t="s">
        <v>2070</v>
      </c>
      <c r="AH1834" s="164" t="s">
        <v>1753</v>
      </c>
      <c r="AI1834" s="164" t="s">
        <v>131</v>
      </c>
      <c r="AJ1834" s="164" t="s">
        <v>2074</v>
      </c>
      <c r="AK1834" s="164" t="s">
        <v>1611</v>
      </c>
      <c r="AL1834" s="164" t="s">
        <v>2074</v>
      </c>
      <c r="AM1834" s="164"/>
      <c r="AN1834" s="164"/>
      <c r="AO1834" s="164"/>
      <c r="AP1834" s="164"/>
      <c r="AQ1834" s="164"/>
      <c r="AR1834" s="164"/>
      <c r="AS1834" s="185"/>
      <c r="AT1834" s="164"/>
      <c r="AU1834" s="164"/>
      <c r="AV1834" s="164" t="s">
        <v>2078</v>
      </c>
      <c r="AW1834" s="164" t="s">
        <v>160</v>
      </c>
      <c r="AX1834" s="164">
        <v>3</v>
      </c>
      <c r="AY1834" s="164"/>
      <c r="AZ1834" s="164" t="s">
        <v>141</v>
      </c>
      <c r="BA1834" s="164"/>
      <c r="BB1834" s="164"/>
      <c r="BC1834" s="164"/>
      <c r="BD1834" s="164"/>
      <c r="BE1834" s="164"/>
      <c r="BK1834" s="164">
        <v>1900</v>
      </c>
      <c r="BL1834" s="164">
        <v>1700</v>
      </c>
      <c r="BM1834" s="164"/>
      <c r="BP1834" s="433">
        <v>1.34944</v>
      </c>
      <c r="BQ1834" s="433">
        <v>1.3059400000000001</v>
      </c>
      <c r="BU1834" s="433">
        <v>1.49</v>
      </c>
      <c r="BV1834" s="433">
        <v>1.7399999999999998</v>
      </c>
      <c r="BZ1834" s="433"/>
      <c r="CA1834" s="433"/>
      <c r="CD1834" s="37" t="s">
        <v>3120</v>
      </c>
      <c r="CE1834" s="559">
        <v>1.49</v>
      </c>
      <c r="CF1834" s="559">
        <v>1.7399999999999998</v>
      </c>
      <c r="CG1834" s="556"/>
      <c r="CH1834" s="556"/>
      <c r="CI1834" s="37" t="s">
        <v>4546</v>
      </c>
      <c r="JB1834" s="164" t="s">
        <v>2087</v>
      </c>
      <c r="JC1834" s="164"/>
    </row>
    <row r="1835" spans="1:264" x14ac:dyDescent="0.25">
      <c r="A1835" s="164">
        <v>87</v>
      </c>
      <c r="B1835" s="165" t="s">
        <v>4132</v>
      </c>
      <c r="C1835" s="164" t="s">
        <v>2072</v>
      </c>
      <c r="D1835" s="164"/>
      <c r="E1835" s="164">
        <v>1991</v>
      </c>
      <c r="F1835" s="164">
        <v>1982</v>
      </c>
      <c r="G1835" s="164" t="s">
        <v>2055</v>
      </c>
      <c r="H1835" s="164" t="s">
        <v>2071</v>
      </c>
      <c r="I1835" s="164" t="s">
        <v>2815</v>
      </c>
      <c r="J1835" s="164">
        <v>40.82</v>
      </c>
      <c r="K1835" s="164">
        <v>-81.97</v>
      </c>
      <c r="L1835" s="164">
        <v>350</v>
      </c>
      <c r="M1835" s="164">
        <v>9</v>
      </c>
      <c r="N1835" s="164"/>
      <c r="O1835" s="164">
        <v>960</v>
      </c>
      <c r="P1835" s="164"/>
      <c r="Q1835" s="164"/>
      <c r="R1835" s="164">
        <v>2</v>
      </c>
      <c r="S1835" s="165" t="s">
        <v>1858</v>
      </c>
      <c r="U1835" s="165" t="s">
        <v>2088</v>
      </c>
      <c r="V1835" s="164" t="s">
        <v>1401</v>
      </c>
      <c r="W1835" s="168">
        <v>5</v>
      </c>
      <c r="X1835" s="168" t="s">
        <v>1394</v>
      </c>
      <c r="Y1835" s="164" t="s">
        <v>1379</v>
      </c>
      <c r="Z1835" s="166">
        <f>AVERAGE(Sheet1!BP1835:BQ1835)</f>
        <v>1.3424800000000001</v>
      </c>
      <c r="AA1835" s="358">
        <v>35</v>
      </c>
      <c r="AB1835" s="358">
        <v>55</v>
      </c>
      <c r="AC1835" s="164" t="s">
        <v>450</v>
      </c>
      <c r="AD1835" s="164">
        <v>6.1</v>
      </c>
      <c r="AE1835" s="164">
        <v>1.55</v>
      </c>
      <c r="AF1835" s="164"/>
      <c r="AG1835" s="164" t="s">
        <v>2070</v>
      </c>
      <c r="AH1835" s="164" t="s">
        <v>1753</v>
      </c>
      <c r="AI1835" s="164" t="s">
        <v>131</v>
      </c>
      <c r="AJ1835" s="164" t="s">
        <v>2074</v>
      </c>
      <c r="AK1835" s="164" t="s">
        <v>1611</v>
      </c>
      <c r="AL1835" s="164" t="s">
        <v>2074</v>
      </c>
      <c r="AM1835" s="164"/>
      <c r="AN1835" s="164"/>
      <c r="AO1835" s="164"/>
      <c r="AP1835" s="164"/>
      <c r="AQ1835" s="164"/>
      <c r="AR1835" s="164"/>
      <c r="AS1835" s="185"/>
      <c r="AT1835" s="164"/>
      <c r="AU1835" s="164"/>
      <c r="AV1835" s="164" t="s">
        <v>2078</v>
      </c>
      <c r="AW1835" s="164" t="s">
        <v>160</v>
      </c>
      <c r="AX1835" s="164">
        <v>3</v>
      </c>
      <c r="AY1835" s="164"/>
      <c r="AZ1835" s="164" t="s">
        <v>141</v>
      </c>
      <c r="BA1835" s="164"/>
      <c r="BB1835" s="164"/>
      <c r="BC1835" s="164"/>
      <c r="BD1835" s="164"/>
      <c r="BE1835" s="164"/>
      <c r="BK1835" s="164">
        <v>2600</v>
      </c>
      <c r="BL1835" s="164">
        <v>2700</v>
      </c>
      <c r="BM1835" s="164"/>
      <c r="BP1835" s="433">
        <v>1.339</v>
      </c>
      <c r="BQ1835" s="433">
        <v>1.34596</v>
      </c>
      <c r="BU1835" s="433">
        <v>1.55</v>
      </c>
      <c r="BV1835" s="433">
        <v>1.51</v>
      </c>
      <c r="BZ1835" s="433"/>
      <c r="CA1835" s="433"/>
      <c r="CD1835" s="37" t="s">
        <v>3120</v>
      </c>
      <c r="CE1835" s="559">
        <v>1.55</v>
      </c>
      <c r="CF1835" s="559">
        <v>1.51</v>
      </c>
      <c r="CG1835" s="556"/>
      <c r="CH1835" s="556"/>
      <c r="CI1835" s="37" t="s">
        <v>4546</v>
      </c>
      <c r="JB1835" s="164" t="s">
        <v>2087</v>
      </c>
      <c r="JC1835" s="164"/>
    </row>
    <row r="1836" spans="1:264" x14ac:dyDescent="0.25">
      <c r="A1836" s="164">
        <v>87</v>
      </c>
      <c r="B1836" s="165" t="s">
        <v>4133</v>
      </c>
      <c r="C1836" s="164" t="s">
        <v>2072</v>
      </c>
      <c r="D1836" s="164"/>
      <c r="E1836" s="164">
        <v>1991</v>
      </c>
      <c r="F1836" s="164">
        <v>1982</v>
      </c>
      <c r="G1836" s="164" t="s">
        <v>2055</v>
      </c>
      <c r="H1836" s="164" t="s">
        <v>2071</v>
      </c>
      <c r="I1836" s="164" t="s">
        <v>2815</v>
      </c>
      <c r="J1836" s="164">
        <v>40.82</v>
      </c>
      <c r="K1836" s="164">
        <v>-81.97</v>
      </c>
      <c r="L1836" s="164">
        <v>350</v>
      </c>
      <c r="M1836" s="164">
        <v>9</v>
      </c>
      <c r="N1836" s="164"/>
      <c r="O1836" s="164">
        <v>960</v>
      </c>
      <c r="P1836" s="164"/>
      <c r="Q1836" s="164"/>
      <c r="R1836" s="164">
        <v>2</v>
      </c>
      <c r="S1836" s="165" t="s">
        <v>1858</v>
      </c>
      <c r="U1836" s="165" t="s">
        <v>2088</v>
      </c>
      <c r="V1836" s="164" t="s">
        <v>1409</v>
      </c>
      <c r="W1836" s="168">
        <v>5</v>
      </c>
      <c r="X1836" s="168" t="s">
        <v>1394</v>
      </c>
      <c r="Y1836" s="164" t="s">
        <v>1379</v>
      </c>
      <c r="Z1836" s="166">
        <f>AVERAGE(Sheet1!BP1836:BQ1836)</f>
        <v>1.32073</v>
      </c>
      <c r="AA1836" s="358">
        <v>35</v>
      </c>
      <c r="AB1836" s="358">
        <v>55</v>
      </c>
      <c r="AC1836" s="164" t="s">
        <v>450</v>
      </c>
      <c r="AD1836" s="164">
        <v>6</v>
      </c>
      <c r="AE1836" s="164">
        <v>1.76</v>
      </c>
      <c r="AF1836" s="164"/>
      <c r="AG1836" s="164" t="s">
        <v>2070</v>
      </c>
      <c r="AH1836" s="164" t="s">
        <v>1753</v>
      </c>
      <c r="AI1836" s="164" t="s">
        <v>131</v>
      </c>
      <c r="AJ1836" s="164" t="s">
        <v>2074</v>
      </c>
      <c r="AK1836" s="164" t="s">
        <v>1611</v>
      </c>
      <c r="AL1836" s="164" t="s">
        <v>2074</v>
      </c>
      <c r="AM1836" s="164"/>
      <c r="AN1836" s="164"/>
      <c r="AO1836" s="164"/>
      <c r="AP1836" s="164"/>
      <c r="AQ1836" s="164"/>
      <c r="AR1836" s="164"/>
      <c r="AS1836" s="185"/>
      <c r="AT1836" s="164"/>
      <c r="AU1836" s="164"/>
      <c r="AV1836" s="164" t="s">
        <v>2078</v>
      </c>
      <c r="AW1836" s="164" t="s">
        <v>160</v>
      </c>
      <c r="AX1836" s="164">
        <v>3</v>
      </c>
      <c r="AY1836" s="164"/>
      <c r="AZ1836" s="164" t="s">
        <v>141</v>
      </c>
      <c r="BA1836" s="164"/>
      <c r="BB1836" s="164"/>
      <c r="BC1836" s="164"/>
      <c r="BD1836" s="164"/>
      <c r="BE1836" s="164"/>
      <c r="BK1836" s="164">
        <v>2300</v>
      </c>
      <c r="BL1836" s="164">
        <v>2000</v>
      </c>
      <c r="BM1836" s="164"/>
      <c r="BP1836" s="433">
        <v>1.30246</v>
      </c>
      <c r="BQ1836" s="433">
        <v>1.339</v>
      </c>
      <c r="BU1836" s="433">
        <v>1.7600000000000002</v>
      </c>
      <c r="BV1836" s="433">
        <v>1.55</v>
      </c>
      <c r="BZ1836" s="433"/>
      <c r="CA1836" s="433"/>
      <c r="CD1836" s="37" t="s">
        <v>3120</v>
      </c>
      <c r="CE1836" s="559">
        <v>1.7600000000000002</v>
      </c>
      <c r="CF1836" s="559">
        <v>1.55</v>
      </c>
      <c r="CG1836" s="556"/>
      <c r="CH1836" s="556"/>
      <c r="CI1836" s="37" t="s">
        <v>4546</v>
      </c>
      <c r="JB1836" s="164" t="s">
        <v>2087</v>
      </c>
      <c r="JC1836" s="164"/>
    </row>
    <row r="1837" spans="1:264" x14ac:dyDescent="0.25">
      <c r="A1837" s="164">
        <v>87</v>
      </c>
      <c r="B1837" s="165" t="s">
        <v>4134</v>
      </c>
      <c r="C1837" s="164" t="s">
        <v>2072</v>
      </c>
      <c r="D1837" s="164"/>
      <c r="E1837" s="164">
        <v>1991</v>
      </c>
      <c r="F1837" s="164">
        <v>1982</v>
      </c>
      <c r="G1837" s="164" t="s">
        <v>2055</v>
      </c>
      <c r="H1837" s="164" t="s">
        <v>2071</v>
      </c>
      <c r="I1837" s="164" t="s">
        <v>2815</v>
      </c>
      <c r="J1837" s="164">
        <v>40.82</v>
      </c>
      <c r="K1837" s="164">
        <v>-81.97</v>
      </c>
      <c r="L1837" s="164">
        <v>350</v>
      </c>
      <c r="M1837" s="164">
        <v>9</v>
      </c>
      <c r="N1837" s="164"/>
      <c r="O1837" s="164">
        <v>960</v>
      </c>
      <c r="P1837" s="164"/>
      <c r="Q1837" s="164"/>
      <c r="R1837" s="164">
        <v>2</v>
      </c>
      <c r="S1837" s="165" t="s">
        <v>1858</v>
      </c>
      <c r="U1837" s="165" t="s">
        <v>2088</v>
      </c>
      <c r="V1837" s="164" t="s">
        <v>2076</v>
      </c>
      <c r="W1837" s="168">
        <v>5</v>
      </c>
      <c r="X1837" s="168" t="s">
        <v>1394</v>
      </c>
      <c r="Y1837" s="164" t="s">
        <v>1379</v>
      </c>
      <c r="Z1837" s="166">
        <f>AVERAGE(Sheet1!BP1837:BQ1837)</f>
        <v>1.3616200000000001</v>
      </c>
      <c r="AA1837" s="358">
        <v>35</v>
      </c>
      <c r="AB1837" s="358">
        <v>55</v>
      </c>
      <c r="AC1837" s="164" t="s">
        <v>450</v>
      </c>
      <c r="AD1837" s="164">
        <v>6.1</v>
      </c>
      <c r="AE1837" s="164">
        <v>1.38</v>
      </c>
      <c r="AF1837" s="164"/>
      <c r="AG1837" s="164" t="s">
        <v>2070</v>
      </c>
      <c r="AH1837" s="164" t="s">
        <v>1753</v>
      </c>
      <c r="AI1837" s="164" t="s">
        <v>131</v>
      </c>
      <c r="AJ1837" s="164" t="s">
        <v>2074</v>
      </c>
      <c r="AK1837" s="164" t="s">
        <v>1611</v>
      </c>
      <c r="AL1837" s="164" t="s">
        <v>2074</v>
      </c>
      <c r="AM1837" s="164"/>
      <c r="AN1837" s="164"/>
      <c r="AO1837" s="164"/>
      <c r="AP1837" s="164"/>
      <c r="AQ1837" s="164"/>
      <c r="AR1837" s="164"/>
      <c r="AS1837" s="185"/>
      <c r="AT1837" s="164"/>
      <c r="AU1837" s="164"/>
      <c r="AV1837" s="164" t="s">
        <v>2078</v>
      </c>
      <c r="AW1837" s="164" t="s">
        <v>160</v>
      </c>
      <c r="AX1837" s="164">
        <v>3</v>
      </c>
      <c r="AY1837" s="164"/>
      <c r="AZ1837" s="164" t="s">
        <v>141</v>
      </c>
      <c r="BA1837" s="164"/>
      <c r="BB1837" s="164"/>
      <c r="BC1837" s="164"/>
      <c r="BD1837" s="164"/>
      <c r="BE1837" s="164"/>
      <c r="BK1837" s="164"/>
      <c r="BL1837" s="164"/>
      <c r="BM1837" s="164"/>
      <c r="BP1837" s="433">
        <v>1.3685800000000001</v>
      </c>
      <c r="BQ1837" s="433">
        <v>1.35466</v>
      </c>
      <c r="BU1837" s="433">
        <v>1.3800000000000001</v>
      </c>
      <c r="BV1837" s="433">
        <v>1.46</v>
      </c>
      <c r="BZ1837" s="433"/>
      <c r="CA1837" s="433"/>
      <c r="CD1837" s="37" t="s">
        <v>3120</v>
      </c>
      <c r="CE1837" s="559">
        <v>1.3800000000000001</v>
      </c>
      <c r="CF1837" s="559">
        <v>1.46</v>
      </c>
      <c r="CG1837" s="556"/>
      <c r="CH1837" s="556"/>
      <c r="CI1837" s="37" t="s">
        <v>4546</v>
      </c>
      <c r="JB1837" s="164" t="s">
        <v>2087</v>
      </c>
      <c r="JC1837" s="164"/>
    </row>
    <row r="1838" spans="1:264" x14ac:dyDescent="0.25">
      <c r="A1838" s="164">
        <v>87</v>
      </c>
      <c r="B1838" s="165" t="s">
        <v>4135</v>
      </c>
      <c r="C1838" s="164" t="s">
        <v>2072</v>
      </c>
      <c r="D1838" s="164"/>
      <c r="E1838" s="164">
        <v>1991</v>
      </c>
      <c r="F1838" s="164">
        <v>1982</v>
      </c>
      <c r="G1838" s="164" t="s">
        <v>2055</v>
      </c>
      <c r="H1838" s="164" t="s">
        <v>2071</v>
      </c>
      <c r="I1838" s="164" t="s">
        <v>2815</v>
      </c>
      <c r="J1838" s="164">
        <v>40.82</v>
      </c>
      <c r="K1838" s="164">
        <v>-81.97</v>
      </c>
      <c r="L1838" s="164">
        <v>350</v>
      </c>
      <c r="M1838" s="164">
        <v>9</v>
      </c>
      <c r="N1838" s="164"/>
      <c r="O1838" s="164">
        <v>960</v>
      </c>
      <c r="P1838" s="164"/>
      <c r="Q1838" s="164"/>
      <c r="R1838" s="164">
        <v>2</v>
      </c>
      <c r="S1838" s="165" t="s">
        <v>1858</v>
      </c>
      <c r="U1838" s="165" t="s">
        <v>2088</v>
      </c>
      <c r="V1838" s="164" t="s">
        <v>1379</v>
      </c>
      <c r="W1838" s="168">
        <v>20</v>
      </c>
      <c r="X1838" s="168" t="s">
        <v>1394</v>
      </c>
      <c r="Y1838" s="164" t="s">
        <v>1379</v>
      </c>
      <c r="Z1838" s="166">
        <f>AVERAGE(Sheet1!BP1838:BQ1838)</f>
        <v>1.4742850000000001</v>
      </c>
      <c r="AA1838" s="358">
        <v>35</v>
      </c>
      <c r="AB1838" s="358">
        <v>55</v>
      </c>
      <c r="AC1838" s="164" t="s">
        <v>450</v>
      </c>
      <c r="AD1838" s="164">
        <v>6.1</v>
      </c>
      <c r="AE1838" s="164">
        <v>1.55</v>
      </c>
      <c r="AF1838" s="164"/>
      <c r="AG1838" s="164" t="s">
        <v>2070</v>
      </c>
      <c r="AH1838" s="164" t="s">
        <v>1753</v>
      </c>
      <c r="AI1838" s="164" t="s">
        <v>131</v>
      </c>
      <c r="AJ1838" s="164" t="s">
        <v>2074</v>
      </c>
      <c r="AK1838" s="164" t="s">
        <v>1611</v>
      </c>
      <c r="AL1838" s="164" t="s">
        <v>2074</v>
      </c>
      <c r="AM1838" s="164"/>
      <c r="AN1838" s="164"/>
      <c r="AO1838" s="164"/>
      <c r="AP1838" s="164"/>
      <c r="AQ1838" s="164"/>
      <c r="AR1838" s="164"/>
      <c r="AS1838" s="185"/>
      <c r="AT1838" s="164"/>
      <c r="AU1838" s="164"/>
      <c r="AV1838" s="164"/>
      <c r="AW1838" s="164" t="s">
        <v>160</v>
      </c>
      <c r="AX1838" s="164">
        <v>3</v>
      </c>
      <c r="AY1838" s="164"/>
      <c r="AZ1838" s="164" t="s">
        <v>141</v>
      </c>
      <c r="BA1838" s="164"/>
      <c r="BB1838" s="164"/>
      <c r="BC1838" s="164"/>
      <c r="BD1838" s="164"/>
      <c r="BE1838" s="164"/>
      <c r="BK1838" s="164"/>
      <c r="BL1838" s="164"/>
      <c r="BM1838" s="164"/>
      <c r="BP1838" s="433">
        <v>1.3398700000000001</v>
      </c>
      <c r="BQ1838" s="433">
        <v>1.6087</v>
      </c>
      <c r="BU1838" s="433">
        <v>1.5449999999999999</v>
      </c>
      <c r="BV1838" s="433">
        <v>1.5594775612559428</v>
      </c>
      <c r="BZ1838" s="433"/>
      <c r="CA1838" s="433"/>
      <c r="CD1838" s="37" t="s">
        <v>3120</v>
      </c>
      <c r="CE1838" s="559">
        <v>1.5449999999999999</v>
      </c>
      <c r="CF1838" s="559">
        <v>1.5594775612559428</v>
      </c>
      <c r="CG1838" s="556"/>
      <c r="CH1838" s="556"/>
      <c r="CI1838" s="37" t="s">
        <v>4546</v>
      </c>
      <c r="JB1838" s="164"/>
      <c r="JC1838" s="164"/>
    </row>
    <row r="1839" spans="1:264" s="213" customFormat="1" x14ac:dyDescent="0.25">
      <c r="A1839" s="208">
        <v>87</v>
      </c>
      <c r="B1839" s="165" t="s">
        <v>4136</v>
      </c>
      <c r="C1839" s="208" t="s">
        <v>2072</v>
      </c>
      <c r="D1839" s="208"/>
      <c r="E1839" s="208">
        <v>1991</v>
      </c>
      <c r="F1839" s="208">
        <v>1982</v>
      </c>
      <c r="G1839" s="208" t="s">
        <v>2055</v>
      </c>
      <c r="H1839" s="208" t="s">
        <v>2077</v>
      </c>
      <c r="I1839" s="164" t="s">
        <v>2815</v>
      </c>
      <c r="J1839" s="208">
        <v>41.2</v>
      </c>
      <c r="K1839" s="208">
        <v>-83.81</v>
      </c>
      <c r="L1839" s="208">
        <v>213</v>
      </c>
      <c r="M1839" s="208">
        <v>9.8000000000000007</v>
      </c>
      <c r="N1839" s="208"/>
      <c r="O1839" s="208">
        <v>849</v>
      </c>
      <c r="P1839" s="208"/>
      <c r="Q1839" s="208"/>
      <c r="R1839" s="208">
        <v>1</v>
      </c>
      <c r="S1839" s="210" t="s">
        <v>1858</v>
      </c>
      <c r="U1839" s="210" t="s">
        <v>2088</v>
      </c>
      <c r="V1839" s="208" t="s">
        <v>1394</v>
      </c>
      <c r="W1839" s="211">
        <v>5</v>
      </c>
      <c r="X1839" s="211" t="s">
        <v>1394</v>
      </c>
      <c r="Y1839" s="208" t="s">
        <v>1379</v>
      </c>
      <c r="Z1839" s="212">
        <f>AVERAGE(Sheet1!BP1839:BQ1839)</f>
        <v>1.18066</v>
      </c>
      <c r="AA1839" s="360">
        <v>10</v>
      </c>
      <c r="AB1839" s="360">
        <v>55</v>
      </c>
      <c r="AC1839" s="208" t="s">
        <v>547</v>
      </c>
      <c r="AD1839" s="208">
        <v>6.1</v>
      </c>
      <c r="AE1839" s="208">
        <v>1.55</v>
      </c>
      <c r="AF1839" s="208"/>
      <c r="AG1839" s="208" t="s">
        <v>2075</v>
      </c>
      <c r="AH1839" s="208" t="s">
        <v>1753</v>
      </c>
      <c r="AI1839" s="208" t="s">
        <v>131</v>
      </c>
      <c r="AJ1839" s="208" t="s">
        <v>2074</v>
      </c>
      <c r="AK1839" s="208" t="s">
        <v>1611</v>
      </c>
      <c r="AL1839" s="208" t="s">
        <v>2074</v>
      </c>
      <c r="AM1839" s="208"/>
      <c r="AN1839" s="208"/>
      <c r="AO1839" s="208"/>
      <c r="AP1839" s="208"/>
      <c r="AQ1839" s="208"/>
      <c r="AR1839" s="208"/>
      <c r="AS1839" s="215"/>
      <c r="AT1839" s="208"/>
      <c r="AU1839" s="208"/>
      <c r="AV1839" s="208" t="s">
        <v>2073</v>
      </c>
      <c r="AW1839" s="164" t="s">
        <v>160</v>
      </c>
      <c r="AX1839" s="208">
        <v>3</v>
      </c>
      <c r="AY1839" s="208"/>
      <c r="AZ1839" s="208" t="s">
        <v>141</v>
      </c>
      <c r="BA1839" s="208"/>
      <c r="BB1839" s="208"/>
      <c r="BC1839" s="208"/>
      <c r="BD1839" s="208"/>
      <c r="BE1839" s="208"/>
      <c r="BK1839" s="213">
        <v>9300</v>
      </c>
      <c r="BL1839" s="213">
        <v>8900</v>
      </c>
      <c r="BM1839" s="208"/>
      <c r="BP1839" s="435">
        <v>1.1876200000000001</v>
      </c>
      <c r="BQ1839" s="435">
        <v>1.1737000000000002</v>
      </c>
      <c r="BU1839" s="435">
        <v>2.42</v>
      </c>
      <c r="BV1839" s="435">
        <v>2.5</v>
      </c>
      <c r="BZ1839" s="435"/>
      <c r="CA1839" s="435"/>
      <c r="CD1839" s="37" t="s">
        <v>3120</v>
      </c>
      <c r="CE1839" s="588">
        <v>2.42</v>
      </c>
      <c r="CF1839" s="588">
        <v>2.5</v>
      </c>
      <c r="CG1839" s="588"/>
      <c r="CH1839" s="588"/>
      <c r="CI1839" s="37" t="s">
        <v>4546</v>
      </c>
      <c r="JB1839" s="208" t="s">
        <v>2087</v>
      </c>
      <c r="JC1839" s="208"/>
      <c r="JD1839" s="214"/>
    </row>
    <row r="1840" spans="1:264" s="213" customFormat="1" x14ac:dyDescent="0.25">
      <c r="A1840" s="208">
        <v>87</v>
      </c>
      <c r="B1840" s="165" t="s">
        <v>4137</v>
      </c>
      <c r="C1840" s="208" t="s">
        <v>2072</v>
      </c>
      <c r="D1840" s="208"/>
      <c r="E1840" s="208">
        <v>1991</v>
      </c>
      <c r="F1840" s="208">
        <v>1983</v>
      </c>
      <c r="G1840" s="208" t="s">
        <v>2055</v>
      </c>
      <c r="H1840" s="208" t="s">
        <v>2077</v>
      </c>
      <c r="I1840" s="164" t="s">
        <v>2815</v>
      </c>
      <c r="J1840" s="208">
        <v>41.2</v>
      </c>
      <c r="K1840" s="208">
        <v>-83.81</v>
      </c>
      <c r="L1840" s="208">
        <v>213</v>
      </c>
      <c r="M1840" s="208">
        <v>9.8000000000000007</v>
      </c>
      <c r="N1840" s="208"/>
      <c r="O1840" s="208">
        <v>849</v>
      </c>
      <c r="P1840" s="208"/>
      <c r="Q1840" s="208"/>
      <c r="R1840" s="208">
        <v>2</v>
      </c>
      <c r="S1840" s="210" t="s">
        <v>1858</v>
      </c>
      <c r="U1840" s="210" t="s">
        <v>2088</v>
      </c>
      <c r="V1840" s="208" t="s">
        <v>1401</v>
      </c>
      <c r="W1840" s="211">
        <v>5</v>
      </c>
      <c r="X1840" s="211" t="s">
        <v>1394</v>
      </c>
      <c r="Y1840" s="208" t="s">
        <v>1379</v>
      </c>
      <c r="Z1840" s="212">
        <f>AVERAGE(Sheet1!BP1840:BQ1840)</f>
        <v>1.2267700000000001</v>
      </c>
      <c r="AA1840" s="360">
        <v>10</v>
      </c>
      <c r="AB1840" s="360">
        <v>55</v>
      </c>
      <c r="AC1840" s="208" t="s">
        <v>547</v>
      </c>
      <c r="AD1840" s="208">
        <v>6.1</v>
      </c>
      <c r="AE1840" s="208">
        <v>1.49</v>
      </c>
      <c r="AF1840" s="208"/>
      <c r="AG1840" s="208" t="s">
        <v>2075</v>
      </c>
      <c r="AH1840" s="208" t="s">
        <v>1753</v>
      </c>
      <c r="AI1840" s="208" t="s">
        <v>131</v>
      </c>
      <c r="AJ1840" s="208" t="s">
        <v>2074</v>
      </c>
      <c r="AK1840" s="208" t="s">
        <v>1611</v>
      </c>
      <c r="AL1840" s="208" t="s">
        <v>2074</v>
      </c>
      <c r="AM1840" s="208"/>
      <c r="AN1840" s="208"/>
      <c r="AO1840" s="208"/>
      <c r="AP1840" s="208"/>
      <c r="AQ1840" s="208"/>
      <c r="AR1840" s="208"/>
      <c r="AS1840" s="215"/>
      <c r="AT1840" s="208"/>
      <c r="AU1840" s="208"/>
      <c r="AV1840" s="208" t="s">
        <v>2073</v>
      </c>
      <c r="AW1840" s="164" t="s">
        <v>160</v>
      </c>
      <c r="AX1840" s="208">
        <v>3</v>
      </c>
      <c r="AY1840" s="208"/>
      <c r="AZ1840" s="208" t="s">
        <v>141</v>
      </c>
      <c r="BA1840" s="208"/>
      <c r="BB1840" s="208"/>
      <c r="BC1840" s="208"/>
      <c r="BD1840" s="208"/>
      <c r="BE1840" s="208"/>
      <c r="BK1840" s="213">
        <v>7600</v>
      </c>
      <c r="BL1840" s="213">
        <v>6300</v>
      </c>
      <c r="BM1840" s="208"/>
      <c r="BP1840" s="435">
        <v>1.24156</v>
      </c>
      <c r="BQ1840" s="435">
        <v>1.2119800000000001</v>
      </c>
      <c r="BU1840" s="435">
        <v>2.1100000000000003</v>
      </c>
      <c r="BV1840" s="435">
        <v>2.2800000000000002</v>
      </c>
      <c r="BZ1840" s="435"/>
      <c r="CA1840" s="435"/>
      <c r="CD1840" s="37" t="s">
        <v>3120</v>
      </c>
      <c r="CE1840" s="588">
        <v>2.1100000000000003</v>
      </c>
      <c r="CF1840" s="588">
        <v>2.2800000000000002</v>
      </c>
      <c r="CG1840" s="588"/>
      <c r="CH1840" s="588"/>
      <c r="CI1840" s="37" t="s">
        <v>4546</v>
      </c>
      <c r="JB1840" s="208" t="s">
        <v>2087</v>
      </c>
      <c r="JC1840" s="208"/>
      <c r="JD1840" s="214"/>
    </row>
    <row r="1841" spans="1:264" s="213" customFormat="1" x14ac:dyDescent="0.25">
      <c r="A1841" s="208">
        <v>87</v>
      </c>
      <c r="B1841" s="165" t="s">
        <v>4138</v>
      </c>
      <c r="C1841" s="208" t="s">
        <v>2072</v>
      </c>
      <c r="D1841" s="208"/>
      <c r="E1841" s="208">
        <v>1991</v>
      </c>
      <c r="F1841" s="208">
        <v>1984</v>
      </c>
      <c r="G1841" s="208" t="s">
        <v>2055</v>
      </c>
      <c r="H1841" s="208" t="s">
        <v>2077</v>
      </c>
      <c r="I1841" s="164" t="s">
        <v>2815</v>
      </c>
      <c r="J1841" s="208">
        <v>41.2</v>
      </c>
      <c r="K1841" s="208">
        <v>-83.81</v>
      </c>
      <c r="L1841" s="208">
        <v>213</v>
      </c>
      <c r="M1841" s="208">
        <v>9.8000000000000007</v>
      </c>
      <c r="N1841" s="208"/>
      <c r="O1841" s="208">
        <v>849</v>
      </c>
      <c r="P1841" s="208"/>
      <c r="Q1841" s="208"/>
      <c r="R1841" s="208">
        <v>3</v>
      </c>
      <c r="S1841" s="210" t="s">
        <v>1858</v>
      </c>
      <c r="U1841" s="210" t="s">
        <v>2088</v>
      </c>
      <c r="V1841" s="208" t="s">
        <v>1409</v>
      </c>
      <c r="W1841" s="211">
        <v>5</v>
      </c>
      <c r="X1841" s="211" t="s">
        <v>1394</v>
      </c>
      <c r="Y1841" s="208" t="s">
        <v>1379</v>
      </c>
      <c r="Z1841" s="212">
        <f>AVERAGE(Sheet1!BP1841:BQ1841)</f>
        <v>1.23112</v>
      </c>
      <c r="AA1841" s="360">
        <v>10</v>
      </c>
      <c r="AB1841" s="360">
        <v>55</v>
      </c>
      <c r="AC1841" s="208" t="s">
        <v>547</v>
      </c>
      <c r="AD1841" s="208">
        <v>6.1</v>
      </c>
      <c r="AE1841" s="208">
        <v>1.55</v>
      </c>
      <c r="AF1841" s="208"/>
      <c r="AG1841" s="208" t="s">
        <v>2075</v>
      </c>
      <c r="AH1841" s="208" t="s">
        <v>1753</v>
      </c>
      <c r="AI1841" s="208" t="s">
        <v>131</v>
      </c>
      <c r="AJ1841" s="208" t="s">
        <v>2074</v>
      </c>
      <c r="AK1841" s="208" t="s">
        <v>1611</v>
      </c>
      <c r="AL1841" s="208" t="s">
        <v>2074</v>
      </c>
      <c r="AM1841" s="208"/>
      <c r="AN1841" s="208"/>
      <c r="AO1841" s="208"/>
      <c r="AP1841" s="208"/>
      <c r="AQ1841" s="208"/>
      <c r="AR1841" s="208"/>
      <c r="AS1841" s="215"/>
      <c r="AT1841" s="208"/>
      <c r="AU1841" s="208"/>
      <c r="AV1841" s="208" t="s">
        <v>2073</v>
      </c>
      <c r="AW1841" s="164" t="s">
        <v>160</v>
      </c>
      <c r="AX1841" s="208">
        <v>3</v>
      </c>
      <c r="AY1841" s="208"/>
      <c r="AZ1841" s="208" t="s">
        <v>141</v>
      </c>
      <c r="BA1841" s="208"/>
      <c r="BB1841" s="208"/>
      <c r="BC1841" s="208"/>
      <c r="BD1841" s="208"/>
      <c r="BE1841" s="208"/>
      <c r="BK1841" s="213">
        <v>11700</v>
      </c>
      <c r="BL1841" s="213">
        <v>12000</v>
      </c>
      <c r="BM1841" s="208"/>
      <c r="BP1841" s="435">
        <v>1.2398199999999999</v>
      </c>
      <c r="BQ1841" s="435">
        <v>1.2224200000000001</v>
      </c>
      <c r="BU1841" s="435">
        <v>2.12</v>
      </c>
      <c r="BV1841" s="435">
        <v>2.2199999999999998</v>
      </c>
      <c r="BZ1841" s="435"/>
      <c r="CA1841" s="435"/>
      <c r="CD1841" s="37" t="s">
        <v>3120</v>
      </c>
      <c r="CE1841" s="588">
        <v>2.12</v>
      </c>
      <c r="CF1841" s="588">
        <v>2.2199999999999998</v>
      </c>
      <c r="CG1841" s="588"/>
      <c r="CH1841" s="588"/>
      <c r="CI1841" s="37" t="s">
        <v>4546</v>
      </c>
      <c r="JB1841" s="208" t="s">
        <v>2087</v>
      </c>
      <c r="JC1841" s="208"/>
      <c r="JD1841" s="214"/>
    </row>
    <row r="1842" spans="1:264" s="213" customFormat="1" x14ac:dyDescent="0.25">
      <c r="A1842" s="208">
        <v>87</v>
      </c>
      <c r="B1842" s="165" t="s">
        <v>4139</v>
      </c>
      <c r="C1842" s="208" t="s">
        <v>2072</v>
      </c>
      <c r="D1842" s="208"/>
      <c r="E1842" s="208">
        <v>1991</v>
      </c>
      <c r="F1842" s="208">
        <v>1985</v>
      </c>
      <c r="G1842" s="208" t="s">
        <v>2055</v>
      </c>
      <c r="H1842" s="208" t="s">
        <v>2077</v>
      </c>
      <c r="I1842" s="164" t="s">
        <v>2815</v>
      </c>
      <c r="J1842" s="208">
        <v>41.2</v>
      </c>
      <c r="K1842" s="208">
        <v>-83.81</v>
      </c>
      <c r="L1842" s="208">
        <v>213</v>
      </c>
      <c r="M1842" s="208">
        <v>9.8000000000000007</v>
      </c>
      <c r="N1842" s="208"/>
      <c r="O1842" s="208">
        <v>849</v>
      </c>
      <c r="P1842" s="208"/>
      <c r="Q1842" s="208"/>
      <c r="R1842" s="208">
        <v>4</v>
      </c>
      <c r="S1842" s="210" t="s">
        <v>1858</v>
      </c>
      <c r="U1842" s="210" t="s">
        <v>2088</v>
      </c>
      <c r="V1842" s="208" t="s">
        <v>2076</v>
      </c>
      <c r="W1842" s="211">
        <v>5</v>
      </c>
      <c r="X1842" s="211" t="s">
        <v>1394</v>
      </c>
      <c r="Y1842" s="208" t="s">
        <v>1379</v>
      </c>
      <c r="Z1842" s="212">
        <f>AVERAGE(Sheet1!BP1842:BQ1842)</f>
        <v>1.23112</v>
      </c>
      <c r="AA1842" s="360">
        <v>10</v>
      </c>
      <c r="AB1842" s="360">
        <v>55</v>
      </c>
      <c r="AC1842" s="208" t="s">
        <v>547</v>
      </c>
      <c r="AD1842" s="208">
        <v>6</v>
      </c>
      <c r="AE1842" s="208">
        <v>1.76</v>
      </c>
      <c r="AF1842" s="208"/>
      <c r="AG1842" s="208" t="s">
        <v>2075</v>
      </c>
      <c r="AH1842" s="208" t="s">
        <v>1753</v>
      </c>
      <c r="AI1842" s="208" t="s">
        <v>131</v>
      </c>
      <c r="AJ1842" s="208" t="s">
        <v>2074</v>
      </c>
      <c r="AK1842" s="208" t="s">
        <v>1611</v>
      </c>
      <c r="AL1842" s="208" t="s">
        <v>2074</v>
      </c>
      <c r="AM1842" s="208"/>
      <c r="AN1842" s="208"/>
      <c r="AO1842" s="208"/>
      <c r="AP1842" s="208"/>
      <c r="AQ1842" s="208"/>
      <c r="AR1842" s="208"/>
      <c r="AS1842" s="215"/>
      <c r="AT1842" s="208"/>
      <c r="AU1842" s="208"/>
      <c r="AV1842" s="208" t="s">
        <v>2073</v>
      </c>
      <c r="AW1842" s="164" t="s">
        <v>160</v>
      </c>
      <c r="AX1842" s="208">
        <v>3</v>
      </c>
      <c r="AY1842" s="208"/>
      <c r="AZ1842" s="208" t="s">
        <v>141</v>
      </c>
      <c r="BA1842" s="208"/>
      <c r="BB1842" s="208"/>
      <c r="BC1842" s="208"/>
      <c r="BD1842" s="208"/>
      <c r="BE1842" s="208"/>
      <c r="BK1842" s="213">
        <v>9900</v>
      </c>
      <c r="BL1842" s="213">
        <v>8500</v>
      </c>
      <c r="BM1842" s="208"/>
      <c r="BP1842" s="435">
        <v>1.2398199999999999</v>
      </c>
      <c r="BQ1842" s="435">
        <v>1.2224200000000001</v>
      </c>
      <c r="BU1842" s="435">
        <v>2.12</v>
      </c>
      <c r="BV1842" s="435">
        <v>2.2199999999999998</v>
      </c>
      <c r="BZ1842" s="435"/>
      <c r="CA1842" s="435"/>
      <c r="CD1842" s="37" t="s">
        <v>3120</v>
      </c>
      <c r="CE1842" s="588">
        <v>2.12</v>
      </c>
      <c r="CF1842" s="588">
        <v>2.2199999999999998</v>
      </c>
      <c r="CG1842" s="588"/>
      <c r="CH1842" s="588"/>
      <c r="CI1842" s="37" t="s">
        <v>4546</v>
      </c>
      <c r="JB1842" s="208" t="s">
        <v>2087</v>
      </c>
      <c r="JC1842" s="208"/>
      <c r="JD1842" s="214"/>
    </row>
    <row r="1843" spans="1:264" s="221" customFormat="1" x14ac:dyDescent="0.25">
      <c r="A1843" s="216">
        <v>87</v>
      </c>
      <c r="B1843" s="165" t="s">
        <v>4140</v>
      </c>
      <c r="C1843" s="216" t="s">
        <v>2072</v>
      </c>
      <c r="D1843" s="216"/>
      <c r="E1843" s="216">
        <v>1991</v>
      </c>
      <c r="F1843" s="216">
        <v>1982</v>
      </c>
      <c r="G1843" s="216" t="s">
        <v>2055</v>
      </c>
      <c r="H1843" s="216" t="s">
        <v>2071</v>
      </c>
      <c r="I1843" s="164" t="s">
        <v>2815</v>
      </c>
      <c r="J1843" s="216">
        <v>41.2</v>
      </c>
      <c r="K1843" s="216">
        <v>-83.81</v>
      </c>
      <c r="L1843" s="216">
        <v>350</v>
      </c>
      <c r="M1843" s="216">
        <v>9</v>
      </c>
      <c r="N1843" s="216"/>
      <c r="O1843" s="216">
        <v>960</v>
      </c>
      <c r="P1843" s="216"/>
      <c r="Q1843" s="216"/>
      <c r="R1843" s="216">
        <v>2</v>
      </c>
      <c r="S1843" s="217" t="s">
        <v>1858</v>
      </c>
      <c r="U1843" s="217" t="s">
        <v>2088</v>
      </c>
      <c r="V1843" s="216" t="s">
        <v>1379</v>
      </c>
      <c r="W1843" s="218">
        <v>20</v>
      </c>
      <c r="X1843" s="218" t="s">
        <v>1394</v>
      </c>
      <c r="Y1843" s="216" t="s">
        <v>1379</v>
      </c>
      <c r="Z1843" s="219"/>
      <c r="AA1843" s="359">
        <v>10</v>
      </c>
      <c r="AB1843" s="359">
        <v>55</v>
      </c>
      <c r="AC1843" s="216" t="s">
        <v>547</v>
      </c>
      <c r="AD1843" s="216">
        <v>6.1</v>
      </c>
      <c r="AE1843" s="216">
        <v>1.38</v>
      </c>
      <c r="AF1843" s="216"/>
      <c r="AG1843" s="216" t="s">
        <v>2070</v>
      </c>
      <c r="AH1843" s="216"/>
      <c r="AI1843" s="216" t="s">
        <v>131</v>
      </c>
      <c r="AJ1843" s="216" t="s">
        <v>2074</v>
      </c>
      <c r="AK1843" s="216" t="s">
        <v>1611</v>
      </c>
      <c r="AL1843" s="216" t="s">
        <v>2074</v>
      </c>
      <c r="AM1843" s="216"/>
      <c r="AN1843" s="216"/>
      <c r="AO1843" s="216"/>
      <c r="AP1843" s="216"/>
      <c r="AQ1843" s="216"/>
      <c r="AR1843" s="216"/>
      <c r="AS1843" s="220"/>
      <c r="AT1843" s="216"/>
      <c r="AU1843" s="216"/>
      <c r="AV1843" s="216"/>
      <c r="AW1843" s="164" t="s">
        <v>160</v>
      </c>
      <c r="AX1843" s="216">
        <v>3</v>
      </c>
      <c r="AY1843" s="216"/>
      <c r="AZ1843" s="216" t="s">
        <v>141</v>
      </c>
      <c r="BA1843" s="216"/>
      <c r="BB1843" s="216"/>
      <c r="BC1843" s="216"/>
      <c r="BD1843" s="216"/>
      <c r="BE1843" s="216"/>
      <c r="BK1843" s="216"/>
      <c r="BL1843" s="216"/>
      <c r="BM1843" s="216"/>
      <c r="BP1843" s="434"/>
      <c r="BQ1843" s="434"/>
      <c r="BU1843" s="434"/>
      <c r="BV1843" s="434"/>
      <c r="BZ1843" s="434"/>
      <c r="CA1843" s="434"/>
      <c r="CE1843" s="587"/>
      <c r="CF1843" s="587"/>
      <c r="CG1843" s="587"/>
      <c r="CH1843" s="587"/>
      <c r="CI1843" s="37"/>
      <c r="JB1843" s="216"/>
      <c r="JC1843" s="216"/>
      <c r="JD1843" s="222"/>
    </row>
    <row r="1844" spans="1:264" s="191" customFormat="1" x14ac:dyDescent="0.25">
      <c r="A1844" s="187">
        <v>88</v>
      </c>
      <c r="B1844" s="188" t="s">
        <v>4141</v>
      </c>
      <c r="C1844" s="187" t="s">
        <v>2067</v>
      </c>
      <c r="D1844" s="187"/>
      <c r="E1844" s="187">
        <v>1997</v>
      </c>
      <c r="F1844" s="187">
        <v>1994</v>
      </c>
      <c r="G1844" s="187" t="s">
        <v>1749</v>
      </c>
      <c r="H1844" s="187" t="s">
        <v>2066</v>
      </c>
      <c r="I1844" s="187" t="s">
        <v>2816</v>
      </c>
      <c r="J1844" s="187">
        <v>49.09</v>
      </c>
      <c r="K1844" s="187">
        <v>-123.03</v>
      </c>
      <c r="L1844" s="187">
        <v>2</v>
      </c>
      <c r="M1844" s="187">
        <v>10</v>
      </c>
      <c r="N1844" s="187"/>
      <c r="O1844" s="187">
        <v>1167</v>
      </c>
      <c r="P1844" s="187"/>
      <c r="Q1844" s="187"/>
      <c r="R1844" s="187">
        <v>2</v>
      </c>
      <c r="S1844" s="187">
        <v>2</v>
      </c>
      <c r="U1844" s="188" t="s">
        <v>2089</v>
      </c>
      <c r="V1844" s="187" t="s">
        <v>1394</v>
      </c>
      <c r="W1844" s="189">
        <v>5</v>
      </c>
      <c r="X1844" s="187" t="s">
        <v>1394</v>
      </c>
      <c r="Y1844" s="187" t="s">
        <v>1394</v>
      </c>
      <c r="Z1844" s="190">
        <f>AVERAGE(Sheet1!BP1844:BQ1844)</f>
        <v>1.2951519999999999</v>
      </c>
      <c r="AA1844" s="361">
        <v>3.6</v>
      </c>
      <c r="AB1844" s="361">
        <v>66.5</v>
      </c>
      <c r="AC1844" s="187" t="s">
        <v>1052</v>
      </c>
      <c r="AD1844" s="187">
        <v>5</v>
      </c>
      <c r="AE1844" s="187">
        <v>1.6719999999999999</v>
      </c>
      <c r="AF1844" s="187"/>
      <c r="AG1844" s="187" t="s">
        <v>2065</v>
      </c>
      <c r="AH1844" s="187" t="s">
        <v>2069</v>
      </c>
      <c r="AI1844" s="187" t="s">
        <v>1581</v>
      </c>
      <c r="AJ1844" s="187" t="s">
        <v>2064</v>
      </c>
      <c r="AK1844" s="187" t="s">
        <v>1646</v>
      </c>
      <c r="AL1844" s="187"/>
      <c r="AM1844" s="187"/>
      <c r="AN1844" s="187"/>
      <c r="AO1844" s="187" t="s">
        <v>1046</v>
      </c>
      <c r="AP1844" s="187" t="s">
        <v>1046</v>
      </c>
      <c r="AQ1844" s="187" t="s">
        <v>2126</v>
      </c>
      <c r="AR1844" s="187" t="s">
        <v>2126</v>
      </c>
      <c r="AS1844" s="191" t="s">
        <v>177</v>
      </c>
      <c r="AT1844" s="187"/>
      <c r="AU1844" s="187"/>
      <c r="AV1844" s="187" t="s">
        <v>2062</v>
      </c>
      <c r="AW1844" s="187" t="s">
        <v>119</v>
      </c>
      <c r="AX1844" s="187">
        <v>5</v>
      </c>
      <c r="AY1844" s="187"/>
      <c r="AZ1844" s="187" t="s">
        <v>141</v>
      </c>
      <c r="BA1844" s="187"/>
      <c r="BB1844" s="187"/>
      <c r="BC1844" s="187"/>
      <c r="BD1844" s="187"/>
      <c r="BE1844" s="187"/>
      <c r="BK1844" s="187"/>
      <c r="BL1844" s="187"/>
      <c r="BM1844" s="187"/>
      <c r="BP1844" s="436">
        <v>1.307158</v>
      </c>
      <c r="BQ1844" s="436">
        <v>1.2831459999999999</v>
      </c>
      <c r="BU1844" s="436">
        <v>1.7329999999999999</v>
      </c>
      <c r="BV1844" s="436">
        <v>1.871</v>
      </c>
      <c r="BZ1844" s="436"/>
      <c r="CA1844" s="436"/>
      <c r="CD1844" s="191" t="s">
        <v>3120</v>
      </c>
      <c r="CE1844" s="589">
        <v>1.7329999999999999</v>
      </c>
      <c r="CF1844" s="589">
        <v>1.871</v>
      </c>
      <c r="CG1844" s="589"/>
      <c r="CH1844" s="589"/>
      <c r="CI1844" s="191" t="s">
        <v>4546</v>
      </c>
      <c r="FL1844" s="191">
        <v>14.6</v>
      </c>
      <c r="FM1844" s="191">
        <v>18</v>
      </c>
      <c r="FP1844" s="191" t="s">
        <v>2092</v>
      </c>
      <c r="JB1844" s="187"/>
      <c r="JC1844" s="187"/>
      <c r="JD1844" s="192"/>
    </row>
    <row r="1845" spans="1:264" s="191" customFormat="1" x14ac:dyDescent="0.25">
      <c r="A1845" s="187">
        <v>88</v>
      </c>
      <c r="B1845" s="188" t="s">
        <v>4142</v>
      </c>
      <c r="C1845" s="187" t="s">
        <v>2067</v>
      </c>
      <c r="D1845" s="187"/>
      <c r="E1845" s="187">
        <v>1997</v>
      </c>
      <c r="F1845" s="187">
        <v>1994</v>
      </c>
      <c r="G1845" s="187" t="s">
        <v>1749</v>
      </c>
      <c r="H1845" s="187" t="s">
        <v>2066</v>
      </c>
      <c r="I1845" s="187" t="s">
        <v>2816</v>
      </c>
      <c r="J1845" s="187">
        <v>49.09</v>
      </c>
      <c r="K1845" s="187">
        <v>-123.03</v>
      </c>
      <c r="L1845" s="187">
        <v>2</v>
      </c>
      <c r="M1845" s="187">
        <v>10</v>
      </c>
      <c r="N1845" s="187"/>
      <c r="O1845" s="187">
        <v>1167</v>
      </c>
      <c r="P1845" s="187"/>
      <c r="Q1845" s="187"/>
      <c r="R1845" s="187">
        <v>2</v>
      </c>
      <c r="S1845" s="187">
        <v>2</v>
      </c>
      <c r="U1845" s="188" t="s">
        <v>2089</v>
      </c>
      <c r="V1845" s="187" t="s">
        <v>1394</v>
      </c>
      <c r="W1845" s="189">
        <v>5</v>
      </c>
      <c r="X1845" s="187" t="s">
        <v>1394</v>
      </c>
      <c r="Y1845" s="187" t="s">
        <v>1394</v>
      </c>
      <c r="Z1845" s="190">
        <f>AVERAGE(Sheet1!BP1845:BQ1845)</f>
        <v>1.3043740000000001</v>
      </c>
      <c r="AA1845" s="361">
        <v>3.6</v>
      </c>
      <c r="AB1845" s="361">
        <v>66.5</v>
      </c>
      <c r="AC1845" s="187" t="s">
        <v>1052</v>
      </c>
      <c r="AD1845" s="187">
        <v>5</v>
      </c>
      <c r="AE1845" s="187">
        <v>1.6719999999999999</v>
      </c>
      <c r="AF1845" s="187"/>
      <c r="AG1845" s="187" t="s">
        <v>2065</v>
      </c>
      <c r="AH1845" s="187" t="s">
        <v>2069</v>
      </c>
      <c r="AI1845" s="187" t="s">
        <v>1581</v>
      </c>
      <c r="AJ1845" s="187" t="s">
        <v>2064</v>
      </c>
      <c r="AK1845" s="187" t="s">
        <v>1646</v>
      </c>
      <c r="AL1845" s="187"/>
      <c r="AM1845" s="187"/>
      <c r="AN1845" s="187"/>
      <c r="AO1845" s="187" t="s">
        <v>2063</v>
      </c>
      <c r="AP1845" s="187" t="s">
        <v>2063</v>
      </c>
      <c r="AQ1845" s="187" t="s">
        <v>2125</v>
      </c>
      <c r="AR1845" s="187" t="s">
        <v>2125</v>
      </c>
      <c r="AS1845" s="191" t="s">
        <v>177</v>
      </c>
      <c r="AT1845" s="187"/>
      <c r="AU1845" s="187"/>
      <c r="AV1845" s="187" t="s">
        <v>2062</v>
      </c>
      <c r="AW1845" s="187" t="s">
        <v>119</v>
      </c>
      <c r="AX1845" s="187">
        <v>5</v>
      </c>
      <c r="AY1845" s="187"/>
      <c r="AZ1845" s="187" t="s">
        <v>141</v>
      </c>
      <c r="BA1845" s="187"/>
      <c r="BB1845" s="187"/>
      <c r="BC1845" s="187"/>
      <c r="BD1845" s="187"/>
      <c r="BE1845" s="187"/>
      <c r="BK1845" s="187"/>
      <c r="BL1845" s="187"/>
      <c r="BM1845" s="187"/>
      <c r="BP1845" s="436">
        <v>1.3153360000000001</v>
      </c>
      <c r="BQ1845" s="436">
        <v>1.293412</v>
      </c>
      <c r="BU1845" s="436">
        <v>1.6859999999999999</v>
      </c>
      <c r="BV1845" s="436">
        <v>1.8120000000000001</v>
      </c>
      <c r="BZ1845" s="436"/>
      <c r="CA1845" s="436"/>
      <c r="CD1845" s="191" t="s">
        <v>3120</v>
      </c>
      <c r="CE1845" s="589">
        <v>1.6859999999999999</v>
      </c>
      <c r="CF1845" s="589">
        <v>1.8120000000000001</v>
      </c>
      <c r="CG1845" s="589"/>
      <c r="CH1845" s="589"/>
      <c r="CI1845" s="191" t="s">
        <v>4546</v>
      </c>
      <c r="FL1845" s="191">
        <v>14.6</v>
      </c>
      <c r="FM1845" s="191">
        <v>24.9</v>
      </c>
      <c r="FP1845" s="191" t="s">
        <v>2092</v>
      </c>
      <c r="JB1845" s="187"/>
      <c r="JC1845" s="187"/>
      <c r="JD1845" s="192"/>
    </row>
    <row r="1846" spans="1:264" s="191" customFormat="1" x14ac:dyDescent="0.25">
      <c r="A1846" s="187">
        <v>88</v>
      </c>
      <c r="B1846" s="188" t="s">
        <v>4143</v>
      </c>
      <c r="C1846" s="187" t="s">
        <v>2067</v>
      </c>
      <c r="D1846" s="187"/>
      <c r="E1846" s="187">
        <v>1997</v>
      </c>
      <c r="F1846" s="187">
        <v>1994</v>
      </c>
      <c r="G1846" s="187" t="s">
        <v>1749</v>
      </c>
      <c r="H1846" s="187" t="s">
        <v>2066</v>
      </c>
      <c r="I1846" s="187" t="s">
        <v>2816</v>
      </c>
      <c r="J1846" s="187">
        <v>49.09</v>
      </c>
      <c r="K1846" s="187">
        <v>-123.03</v>
      </c>
      <c r="L1846" s="187">
        <v>2</v>
      </c>
      <c r="M1846" s="187">
        <v>10</v>
      </c>
      <c r="N1846" s="187"/>
      <c r="O1846" s="187">
        <v>1167</v>
      </c>
      <c r="P1846" s="187"/>
      <c r="Q1846" s="187"/>
      <c r="R1846" s="187">
        <v>2</v>
      </c>
      <c r="S1846" s="187">
        <v>2</v>
      </c>
      <c r="U1846" s="188" t="s">
        <v>2089</v>
      </c>
      <c r="V1846" s="187" t="s">
        <v>1394</v>
      </c>
      <c r="W1846" s="189">
        <v>5</v>
      </c>
      <c r="X1846" s="187" t="s">
        <v>1394</v>
      </c>
      <c r="Y1846" s="187" t="s">
        <v>1394</v>
      </c>
      <c r="Z1846" s="190">
        <f>AVERAGE(Sheet1!BP1846:BQ1846)</f>
        <v>1.2988059999999999</v>
      </c>
      <c r="AA1846" s="361">
        <v>3.6</v>
      </c>
      <c r="AB1846" s="361">
        <v>66.5</v>
      </c>
      <c r="AC1846" s="187" t="s">
        <v>1052</v>
      </c>
      <c r="AD1846" s="187">
        <v>5</v>
      </c>
      <c r="AE1846" s="187">
        <v>1.6719999999999999</v>
      </c>
      <c r="AF1846" s="187"/>
      <c r="AG1846" s="187" t="s">
        <v>2065</v>
      </c>
      <c r="AH1846" s="187" t="s">
        <v>2068</v>
      </c>
      <c r="AI1846" s="187" t="s">
        <v>131</v>
      </c>
      <c r="AJ1846" s="187" t="s">
        <v>2064</v>
      </c>
      <c r="AK1846" s="187" t="s">
        <v>1646</v>
      </c>
      <c r="AL1846" s="187"/>
      <c r="AM1846" s="187"/>
      <c r="AN1846" s="187"/>
      <c r="AO1846" s="187" t="s">
        <v>1046</v>
      </c>
      <c r="AP1846" s="187" t="s">
        <v>1046</v>
      </c>
      <c r="AQ1846" s="187" t="s">
        <v>2126</v>
      </c>
      <c r="AR1846" s="187" t="s">
        <v>2126</v>
      </c>
      <c r="AS1846" s="191" t="s">
        <v>177</v>
      </c>
      <c r="AT1846" s="187"/>
      <c r="AU1846" s="187"/>
      <c r="AV1846" s="187" t="s">
        <v>2062</v>
      </c>
      <c r="AW1846" s="187" t="s">
        <v>119</v>
      </c>
      <c r="AX1846" s="187">
        <v>5</v>
      </c>
      <c r="AY1846" s="187"/>
      <c r="AZ1846" s="187" t="s">
        <v>141</v>
      </c>
      <c r="BA1846" s="187"/>
      <c r="BB1846" s="187"/>
      <c r="BC1846" s="187"/>
      <c r="BD1846" s="187"/>
      <c r="BE1846" s="187"/>
      <c r="BK1846" s="187"/>
      <c r="BL1846" s="187"/>
      <c r="BM1846" s="187"/>
      <c r="BP1846" s="436">
        <v>1.307158</v>
      </c>
      <c r="BQ1846" s="436">
        <v>1.290454</v>
      </c>
      <c r="BU1846" s="436">
        <v>1.7329999999999999</v>
      </c>
      <c r="BV1846" s="436">
        <v>1.829</v>
      </c>
      <c r="BZ1846" s="436"/>
      <c r="CA1846" s="436"/>
      <c r="CD1846" s="191" t="s">
        <v>3120</v>
      </c>
      <c r="CE1846" s="589">
        <v>1.7329999999999999</v>
      </c>
      <c r="CF1846" s="589">
        <v>1.829</v>
      </c>
      <c r="CG1846" s="589"/>
      <c r="CH1846" s="589"/>
      <c r="CI1846" s="191" t="s">
        <v>4546</v>
      </c>
      <c r="FL1846" s="191">
        <v>14.6</v>
      </c>
      <c r="FM1846" s="191">
        <v>28</v>
      </c>
      <c r="FP1846" s="191" t="s">
        <v>2092</v>
      </c>
      <c r="JB1846" s="187"/>
      <c r="JC1846" s="187"/>
      <c r="JD1846" s="192"/>
    </row>
    <row r="1847" spans="1:264" s="191" customFormat="1" x14ac:dyDescent="0.25">
      <c r="A1847" s="187">
        <v>88</v>
      </c>
      <c r="B1847" s="188" t="s">
        <v>4144</v>
      </c>
      <c r="C1847" s="187" t="s">
        <v>2067</v>
      </c>
      <c r="D1847" s="187"/>
      <c r="E1847" s="187">
        <v>1997</v>
      </c>
      <c r="F1847" s="187">
        <v>1994</v>
      </c>
      <c r="G1847" s="187" t="s">
        <v>1749</v>
      </c>
      <c r="H1847" s="187" t="s">
        <v>2066</v>
      </c>
      <c r="I1847" s="187" t="s">
        <v>2816</v>
      </c>
      <c r="J1847" s="187">
        <v>49.09</v>
      </c>
      <c r="K1847" s="187">
        <v>-123.03</v>
      </c>
      <c r="L1847" s="187">
        <v>2</v>
      </c>
      <c r="M1847" s="187">
        <v>10</v>
      </c>
      <c r="N1847" s="187"/>
      <c r="O1847" s="187">
        <v>1167</v>
      </c>
      <c r="P1847" s="187"/>
      <c r="Q1847" s="187"/>
      <c r="R1847" s="187">
        <v>2</v>
      </c>
      <c r="S1847" s="187">
        <v>2</v>
      </c>
      <c r="U1847" s="188" t="s">
        <v>2089</v>
      </c>
      <c r="V1847" s="187" t="s">
        <v>1394</v>
      </c>
      <c r="W1847" s="189">
        <v>5</v>
      </c>
      <c r="X1847" s="187" t="s">
        <v>1394</v>
      </c>
      <c r="Y1847" s="187" t="s">
        <v>1394</v>
      </c>
      <c r="Z1847" s="190">
        <f>AVERAGE(Sheet1!BP1847:BQ1847)</f>
        <v>1.3249059999999999</v>
      </c>
      <c r="AA1847" s="361">
        <v>3.6</v>
      </c>
      <c r="AB1847" s="361">
        <v>66.5</v>
      </c>
      <c r="AC1847" s="187" t="s">
        <v>1052</v>
      </c>
      <c r="AD1847" s="187">
        <v>5</v>
      </c>
      <c r="AE1847" s="187">
        <v>1.6719999999999999</v>
      </c>
      <c r="AF1847" s="187"/>
      <c r="AG1847" s="187" t="s">
        <v>2065</v>
      </c>
      <c r="AH1847" s="187" t="s">
        <v>2068</v>
      </c>
      <c r="AI1847" s="187" t="s">
        <v>131</v>
      </c>
      <c r="AJ1847" s="187" t="s">
        <v>2064</v>
      </c>
      <c r="AK1847" s="187" t="s">
        <v>1646</v>
      </c>
      <c r="AL1847" s="187"/>
      <c r="AM1847" s="187"/>
      <c r="AN1847" s="187"/>
      <c r="AO1847" s="187" t="s">
        <v>2063</v>
      </c>
      <c r="AP1847" s="187" t="s">
        <v>2063</v>
      </c>
      <c r="AQ1847" s="187" t="s">
        <v>2125</v>
      </c>
      <c r="AR1847" s="187" t="s">
        <v>2125</v>
      </c>
      <c r="AS1847" s="191" t="s">
        <v>177</v>
      </c>
      <c r="AT1847" s="187"/>
      <c r="AU1847" s="187"/>
      <c r="AV1847" s="187" t="s">
        <v>2062</v>
      </c>
      <c r="AW1847" s="187" t="s">
        <v>119</v>
      </c>
      <c r="AX1847" s="187">
        <v>5</v>
      </c>
      <c r="AY1847" s="187"/>
      <c r="AZ1847" s="187" t="s">
        <v>141</v>
      </c>
      <c r="BA1847" s="187"/>
      <c r="BB1847" s="187"/>
      <c r="BC1847" s="187"/>
      <c r="BD1847" s="187"/>
      <c r="BE1847" s="187"/>
      <c r="BK1847" s="187"/>
      <c r="BL1847" s="187"/>
      <c r="BM1847" s="187"/>
      <c r="BP1847" s="436">
        <v>1.3153360000000001</v>
      </c>
      <c r="BQ1847" s="436">
        <v>1.334476</v>
      </c>
      <c r="BU1847" s="436">
        <v>1.6859999999999999</v>
      </c>
      <c r="BV1847" s="436">
        <v>1.5760000000000001</v>
      </c>
      <c r="BZ1847" s="436"/>
      <c r="CA1847" s="436"/>
      <c r="CD1847" s="191" t="s">
        <v>3120</v>
      </c>
      <c r="CE1847" s="589">
        <v>1.6859999999999999</v>
      </c>
      <c r="CF1847" s="589">
        <v>1.5760000000000001</v>
      </c>
      <c r="CG1847" s="589"/>
      <c r="CH1847" s="589"/>
      <c r="CI1847" s="191" t="s">
        <v>4546</v>
      </c>
      <c r="FL1847" s="191">
        <v>14.2</v>
      </c>
      <c r="FM1847" s="191">
        <v>14.7</v>
      </c>
      <c r="FP1847" s="191" t="s">
        <v>2093</v>
      </c>
      <c r="JB1847" s="187"/>
      <c r="JC1847" s="187"/>
      <c r="JD1847" s="192"/>
    </row>
    <row r="1848" spans="1:264" s="191" customFormat="1" x14ac:dyDescent="0.25">
      <c r="A1848" s="187">
        <v>88</v>
      </c>
      <c r="B1848" s="188" t="s">
        <v>4145</v>
      </c>
      <c r="C1848" s="187" t="s">
        <v>2067</v>
      </c>
      <c r="D1848" s="187"/>
      <c r="E1848" s="187">
        <v>1997</v>
      </c>
      <c r="F1848" s="187">
        <v>1994</v>
      </c>
      <c r="G1848" s="187" t="s">
        <v>1749</v>
      </c>
      <c r="H1848" s="187" t="s">
        <v>2066</v>
      </c>
      <c r="I1848" s="187" t="s">
        <v>2816</v>
      </c>
      <c r="J1848" s="187">
        <v>49.09</v>
      </c>
      <c r="K1848" s="187">
        <v>-123.03</v>
      </c>
      <c r="L1848" s="187">
        <v>2</v>
      </c>
      <c r="M1848" s="187">
        <v>10</v>
      </c>
      <c r="N1848" s="187"/>
      <c r="O1848" s="187">
        <v>1167</v>
      </c>
      <c r="P1848" s="187"/>
      <c r="Q1848" s="187"/>
      <c r="R1848" s="187">
        <v>2</v>
      </c>
      <c r="S1848" s="187">
        <v>2</v>
      </c>
      <c r="U1848" s="188" t="s">
        <v>2089</v>
      </c>
      <c r="V1848" s="187" t="s">
        <v>1394</v>
      </c>
      <c r="W1848" s="189">
        <v>5</v>
      </c>
      <c r="X1848" s="187" t="s">
        <v>1394</v>
      </c>
      <c r="Y1848" s="187" t="s">
        <v>1394</v>
      </c>
      <c r="Z1848" s="190">
        <f>AVERAGE(Sheet1!BP1848:BQ1848)</f>
        <v>1.2947169999999999</v>
      </c>
      <c r="AA1848" s="361">
        <v>3.6</v>
      </c>
      <c r="AB1848" s="361">
        <v>66.5</v>
      </c>
      <c r="AC1848" s="187" t="s">
        <v>1052</v>
      </c>
      <c r="AD1848" s="187">
        <v>5</v>
      </c>
      <c r="AE1848" s="187">
        <v>1.6719999999999999</v>
      </c>
      <c r="AF1848" s="187"/>
      <c r="AG1848" s="187" t="s">
        <v>2065</v>
      </c>
      <c r="AH1848" s="187" t="s">
        <v>2060</v>
      </c>
      <c r="AI1848" s="187" t="s">
        <v>131</v>
      </c>
      <c r="AJ1848" s="187" t="s">
        <v>2064</v>
      </c>
      <c r="AK1848" s="187" t="s">
        <v>1646</v>
      </c>
      <c r="AL1848" s="187"/>
      <c r="AM1848" s="187"/>
      <c r="AN1848" s="187"/>
      <c r="AO1848" s="187" t="s">
        <v>1046</v>
      </c>
      <c r="AP1848" s="187" t="s">
        <v>1046</v>
      </c>
      <c r="AQ1848" s="187" t="s">
        <v>2126</v>
      </c>
      <c r="AR1848" s="187" t="s">
        <v>2126</v>
      </c>
      <c r="AS1848" s="191" t="s">
        <v>177</v>
      </c>
      <c r="AT1848" s="187"/>
      <c r="AU1848" s="187"/>
      <c r="AV1848" s="187" t="s">
        <v>2062</v>
      </c>
      <c r="AW1848" s="187" t="s">
        <v>119</v>
      </c>
      <c r="AX1848" s="187">
        <v>5</v>
      </c>
      <c r="AY1848" s="187"/>
      <c r="AZ1848" s="187" t="s">
        <v>141</v>
      </c>
      <c r="BA1848" s="187"/>
      <c r="BB1848" s="187"/>
      <c r="BC1848" s="187"/>
      <c r="BD1848" s="187"/>
      <c r="BE1848" s="187"/>
      <c r="BK1848" s="187"/>
      <c r="BL1848" s="187"/>
      <c r="BM1848" s="187"/>
      <c r="BP1848" s="436">
        <v>1.307158</v>
      </c>
      <c r="BQ1848" s="436">
        <v>1.282276</v>
      </c>
      <c r="BU1848" s="436">
        <v>1.7329999999999999</v>
      </c>
      <c r="BV1848" s="436">
        <v>1.8760000000000001</v>
      </c>
      <c r="BZ1848" s="436"/>
      <c r="CA1848" s="436"/>
      <c r="CD1848" s="191" t="s">
        <v>3120</v>
      </c>
      <c r="CE1848" s="589">
        <v>1.7329999999999999</v>
      </c>
      <c r="CF1848" s="589">
        <v>1.8760000000000001</v>
      </c>
      <c r="CG1848" s="589"/>
      <c r="CH1848" s="589"/>
      <c r="CI1848" s="191" t="s">
        <v>4546</v>
      </c>
      <c r="FL1848" s="191">
        <v>14.2</v>
      </c>
      <c r="FM1848" s="191">
        <v>18</v>
      </c>
      <c r="FP1848" s="191" t="s">
        <v>2093</v>
      </c>
      <c r="JB1848" s="187"/>
      <c r="JC1848" s="187"/>
      <c r="JD1848" s="192"/>
    </row>
    <row r="1849" spans="1:264" s="191" customFormat="1" x14ac:dyDescent="0.25">
      <c r="A1849" s="187">
        <v>88</v>
      </c>
      <c r="B1849" s="188" t="s">
        <v>4146</v>
      </c>
      <c r="C1849" s="187" t="s">
        <v>2067</v>
      </c>
      <c r="D1849" s="187"/>
      <c r="E1849" s="187">
        <v>1997</v>
      </c>
      <c r="F1849" s="187">
        <v>1994</v>
      </c>
      <c r="G1849" s="187" t="s">
        <v>1749</v>
      </c>
      <c r="H1849" s="187" t="s">
        <v>2066</v>
      </c>
      <c r="I1849" s="187" t="s">
        <v>2816</v>
      </c>
      <c r="J1849" s="187">
        <v>49.09</v>
      </c>
      <c r="K1849" s="187">
        <v>-123.03</v>
      </c>
      <c r="L1849" s="187">
        <v>2</v>
      </c>
      <c r="M1849" s="187">
        <v>10</v>
      </c>
      <c r="N1849" s="187"/>
      <c r="O1849" s="187">
        <v>1167</v>
      </c>
      <c r="P1849" s="187"/>
      <c r="Q1849" s="187"/>
      <c r="R1849" s="187">
        <v>2</v>
      </c>
      <c r="S1849" s="187">
        <v>2</v>
      </c>
      <c r="U1849" s="188" t="s">
        <v>2089</v>
      </c>
      <c r="V1849" s="187" t="s">
        <v>1394</v>
      </c>
      <c r="W1849" s="189">
        <v>5</v>
      </c>
      <c r="X1849" s="187" t="s">
        <v>1394</v>
      </c>
      <c r="Y1849" s="187" t="s">
        <v>1394</v>
      </c>
      <c r="Z1849" s="190">
        <f>AVERAGE(Sheet1!BP1849:BQ1849)</f>
        <v>1.2921070000000001</v>
      </c>
      <c r="AA1849" s="361">
        <v>3.6</v>
      </c>
      <c r="AB1849" s="361">
        <v>66.5</v>
      </c>
      <c r="AC1849" s="187" t="s">
        <v>1052</v>
      </c>
      <c r="AD1849" s="187">
        <v>5</v>
      </c>
      <c r="AE1849" s="187">
        <v>1.6719999999999999</v>
      </c>
      <c r="AF1849" s="187"/>
      <c r="AG1849" s="187" t="s">
        <v>2065</v>
      </c>
      <c r="AH1849" s="187" t="s">
        <v>2060</v>
      </c>
      <c r="AI1849" s="187" t="s">
        <v>131</v>
      </c>
      <c r="AJ1849" s="187" t="s">
        <v>2064</v>
      </c>
      <c r="AK1849" s="187" t="s">
        <v>1646</v>
      </c>
      <c r="AL1849" s="187"/>
      <c r="AM1849" s="187"/>
      <c r="AN1849" s="187"/>
      <c r="AO1849" s="187" t="s">
        <v>2063</v>
      </c>
      <c r="AP1849" s="187" t="s">
        <v>2063</v>
      </c>
      <c r="AQ1849" s="187" t="s">
        <v>2125</v>
      </c>
      <c r="AR1849" s="187" t="s">
        <v>2125</v>
      </c>
      <c r="AS1849" s="191" t="s">
        <v>177</v>
      </c>
      <c r="AT1849" s="187"/>
      <c r="AU1849" s="187"/>
      <c r="AV1849" s="187" t="s">
        <v>2062</v>
      </c>
      <c r="AW1849" s="187" t="s">
        <v>119</v>
      </c>
      <c r="AX1849" s="187">
        <v>5</v>
      </c>
      <c r="AY1849" s="187"/>
      <c r="AZ1849" s="187" t="s">
        <v>141</v>
      </c>
      <c r="BA1849" s="187"/>
      <c r="BB1849" s="187"/>
      <c r="BC1849" s="187"/>
      <c r="BD1849" s="187"/>
      <c r="BE1849" s="187"/>
      <c r="BK1849" s="187"/>
      <c r="BL1849" s="187"/>
      <c r="BM1849" s="187"/>
      <c r="BP1849" s="436">
        <v>1.3153360000000001</v>
      </c>
      <c r="BQ1849" s="436">
        <v>1.268878</v>
      </c>
      <c r="BU1849" s="436">
        <v>1.6859999999999999</v>
      </c>
      <c r="BV1849" s="436">
        <v>1.9530000000000001</v>
      </c>
      <c r="BZ1849" s="436"/>
      <c r="CA1849" s="436"/>
      <c r="CD1849" s="191" t="s">
        <v>3120</v>
      </c>
      <c r="CE1849" s="589">
        <v>1.6859999999999999</v>
      </c>
      <c r="CF1849" s="589">
        <v>1.9530000000000001</v>
      </c>
      <c r="CG1849" s="589"/>
      <c r="CH1849" s="589"/>
      <c r="CI1849" s="191" t="s">
        <v>4546</v>
      </c>
      <c r="FL1849" s="191">
        <v>14.2</v>
      </c>
      <c r="FM1849" s="191">
        <v>21.1</v>
      </c>
      <c r="FP1849" s="191" t="s">
        <v>2093</v>
      </c>
      <c r="JB1849" s="187"/>
      <c r="JC1849" s="187"/>
      <c r="JD1849" s="192"/>
    </row>
    <row r="1850" spans="1:264" x14ac:dyDescent="0.25">
      <c r="A1850" s="164">
        <v>89</v>
      </c>
      <c r="B1850" s="165" t="s">
        <v>4147</v>
      </c>
      <c r="C1850" s="164" t="s">
        <v>2056</v>
      </c>
      <c r="D1850" s="164"/>
      <c r="E1850" s="164">
        <v>1997</v>
      </c>
      <c r="F1850" s="164">
        <v>1992</v>
      </c>
      <c r="G1850" s="164" t="s">
        <v>2055</v>
      </c>
      <c r="H1850" s="164" t="s">
        <v>2054</v>
      </c>
      <c r="I1850" s="164" t="s">
        <v>2815</v>
      </c>
      <c r="J1850" s="164">
        <v>47.87</v>
      </c>
      <c r="K1850" s="164">
        <v>-121.82</v>
      </c>
      <c r="L1850" s="169">
        <v>114</v>
      </c>
      <c r="M1850" s="169">
        <v>10.7</v>
      </c>
      <c r="N1850" s="164"/>
      <c r="O1850" s="169">
        <v>1633</v>
      </c>
      <c r="P1850" s="164"/>
      <c r="Q1850" s="164"/>
      <c r="R1850" s="164">
        <v>6</v>
      </c>
      <c r="S1850" s="165" t="s">
        <v>1982</v>
      </c>
      <c r="U1850" s="165" t="s">
        <v>2091</v>
      </c>
      <c r="V1850" s="164" t="s">
        <v>1382</v>
      </c>
      <c r="W1850" s="168">
        <v>15</v>
      </c>
      <c r="X1850" s="168" t="s">
        <v>1382</v>
      </c>
      <c r="Y1850" s="168" t="s">
        <v>1389</v>
      </c>
      <c r="Z1850" s="166">
        <f>AVERAGE(Sheet1!BP1850:BQ1850)</f>
        <v>1.32769</v>
      </c>
      <c r="AA1850" s="358">
        <v>35</v>
      </c>
      <c r="AB1850" s="358">
        <v>55</v>
      </c>
      <c r="AC1850" s="164" t="s">
        <v>450</v>
      </c>
      <c r="AD1850" s="164"/>
      <c r="AE1850" s="164"/>
      <c r="AF1850" s="164"/>
      <c r="AG1850" s="164" t="s">
        <v>2053</v>
      </c>
      <c r="AH1850" s="164" t="s">
        <v>1753</v>
      </c>
      <c r="AI1850" s="164" t="s">
        <v>131</v>
      </c>
      <c r="AJ1850" s="164" t="s">
        <v>2058</v>
      </c>
      <c r="AK1850" s="164" t="s">
        <v>229</v>
      </c>
      <c r="AL1850" s="164"/>
      <c r="AM1850" s="164"/>
      <c r="AN1850" s="164"/>
      <c r="AO1850" s="164" t="s">
        <v>2018</v>
      </c>
      <c r="AP1850" s="164" t="s">
        <v>2018</v>
      </c>
      <c r="AQ1850" s="164" t="s">
        <v>2125</v>
      </c>
      <c r="AR1850" s="164" t="s">
        <v>2125</v>
      </c>
      <c r="AS1850" s="37" t="s">
        <v>177</v>
      </c>
      <c r="AT1850" s="164" t="s">
        <v>2057</v>
      </c>
      <c r="AU1850" s="164"/>
      <c r="AW1850" s="164" t="s">
        <v>119</v>
      </c>
      <c r="AX1850" s="164">
        <v>3</v>
      </c>
      <c r="AY1850" s="164"/>
      <c r="AZ1850" s="164" t="s">
        <v>141</v>
      </c>
      <c r="BA1850" s="164"/>
      <c r="BB1850" s="164">
        <v>4050</v>
      </c>
      <c r="BC1850" s="164">
        <v>32</v>
      </c>
      <c r="BD1850" s="164"/>
      <c r="BE1850" s="164"/>
      <c r="BK1850" s="164"/>
      <c r="BL1850" s="164"/>
      <c r="BM1850" s="164"/>
      <c r="BP1850" s="433">
        <v>1.33552</v>
      </c>
      <c r="BQ1850" s="433">
        <v>1.31986</v>
      </c>
      <c r="BU1850" s="433">
        <v>1.5699999999999998</v>
      </c>
      <c r="BV1850" s="433">
        <v>1.6600000000000001</v>
      </c>
      <c r="BZ1850" s="433"/>
      <c r="CA1850" s="433"/>
      <c r="CD1850" s="37" t="s">
        <v>3120</v>
      </c>
      <c r="CE1850" s="559">
        <v>1.5699999999999998</v>
      </c>
      <c r="CF1850" s="559">
        <v>1.6600000000000001</v>
      </c>
      <c r="CG1850" s="556"/>
      <c r="CH1850" s="556"/>
      <c r="CI1850" s="37" t="s">
        <v>4546</v>
      </c>
      <c r="JB1850" s="164" t="s">
        <v>2086</v>
      </c>
      <c r="JC1850" s="164"/>
    </row>
    <row r="1851" spans="1:264" x14ac:dyDescent="0.25">
      <c r="A1851" s="164">
        <v>89</v>
      </c>
      <c r="B1851" s="165" t="s">
        <v>4148</v>
      </c>
      <c r="C1851" s="164" t="s">
        <v>2056</v>
      </c>
      <c r="D1851" s="164"/>
      <c r="E1851" s="164">
        <v>1997</v>
      </c>
      <c r="F1851" s="164">
        <v>1992</v>
      </c>
      <c r="G1851" s="164" t="s">
        <v>2055</v>
      </c>
      <c r="H1851" s="164" t="s">
        <v>2054</v>
      </c>
      <c r="I1851" s="164" t="s">
        <v>2815</v>
      </c>
      <c r="J1851" s="164">
        <v>47.87</v>
      </c>
      <c r="K1851" s="164">
        <v>-121.82</v>
      </c>
      <c r="L1851" s="169">
        <v>114</v>
      </c>
      <c r="M1851" s="169">
        <v>10.7</v>
      </c>
      <c r="N1851" s="164"/>
      <c r="O1851" s="169">
        <v>1633</v>
      </c>
      <c r="P1851" s="164"/>
      <c r="Q1851" s="164"/>
      <c r="R1851" s="164">
        <v>6</v>
      </c>
      <c r="S1851" s="165" t="s">
        <v>1982</v>
      </c>
      <c r="U1851" s="165" t="s">
        <v>2091</v>
      </c>
      <c r="V1851" s="164" t="s">
        <v>1390</v>
      </c>
      <c r="W1851" s="168">
        <v>15</v>
      </c>
      <c r="X1851" s="168" t="s">
        <v>1382</v>
      </c>
      <c r="Y1851" s="168" t="s">
        <v>1389</v>
      </c>
      <c r="Z1851" s="166">
        <f>AVERAGE(Sheet1!BP1851:BQ1851)</f>
        <v>1.3372600000000001</v>
      </c>
      <c r="AA1851" s="358">
        <v>35</v>
      </c>
      <c r="AB1851" s="358">
        <v>55</v>
      </c>
      <c r="AC1851" s="164" t="s">
        <v>450</v>
      </c>
      <c r="AD1851" s="164"/>
      <c r="AE1851" s="164"/>
      <c r="AF1851" s="164"/>
      <c r="AG1851" s="164" t="s">
        <v>2053</v>
      </c>
      <c r="AH1851" s="164" t="s">
        <v>1753</v>
      </c>
      <c r="AI1851" s="164" t="s">
        <v>131</v>
      </c>
      <c r="AJ1851" s="164" t="s">
        <v>2058</v>
      </c>
      <c r="AK1851" s="164" t="s">
        <v>229</v>
      </c>
      <c r="AL1851" s="164"/>
      <c r="AM1851" s="164"/>
      <c r="AN1851" s="164"/>
      <c r="AO1851" s="164" t="s">
        <v>2018</v>
      </c>
      <c r="AP1851" s="164" t="s">
        <v>2018</v>
      </c>
      <c r="AQ1851" s="164" t="s">
        <v>2125</v>
      </c>
      <c r="AR1851" s="164" t="s">
        <v>2125</v>
      </c>
      <c r="AS1851" s="37" t="s">
        <v>177</v>
      </c>
      <c r="AT1851" s="164" t="s">
        <v>2057</v>
      </c>
      <c r="AU1851" s="164"/>
      <c r="AW1851" s="164" t="s">
        <v>119</v>
      </c>
      <c r="AX1851" s="164">
        <v>3</v>
      </c>
      <c r="AY1851" s="164"/>
      <c r="AZ1851" s="164" t="s">
        <v>141</v>
      </c>
      <c r="BA1851" s="164"/>
      <c r="BB1851" s="164"/>
      <c r="BC1851" s="164"/>
      <c r="BD1851" s="164"/>
      <c r="BE1851" s="164"/>
      <c r="BK1851" s="164"/>
      <c r="BL1851" s="164"/>
      <c r="BM1851" s="164"/>
      <c r="BP1851" s="433">
        <v>1.3477000000000001</v>
      </c>
      <c r="BQ1851" s="433">
        <v>1.3268200000000001</v>
      </c>
      <c r="BU1851" s="433">
        <v>1.5</v>
      </c>
      <c r="BV1851" s="433">
        <v>1.6199999999999999</v>
      </c>
      <c r="BZ1851" s="433"/>
      <c r="CA1851" s="433"/>
      <c r="CD1851" s="37" t="s">
        <v>3120</v>
      </c>
      <c r="CE1851" s="559">
        <v>1.5</v>
      </c>
      <c r="CF1851" s="559">
        <v>1.6199999999999999</v>
      </c>
      <c r="CG1851" s="556"/>
      <c r="CH1851" s="556"/>
      <c r="CI1851" s="37" t="s">
        <v>4546</v>
      </c>
      <c r="JB1851" s="164" t="s">
        <v>2086</v>
      </c>
      <c r="JC1851" s="164"/>
    </row>
    <row r="1852" spans="1:264" x14ac:dyDescent="0.25">
      <c r="A1852" s="164">
        <v>89</v>
      </c>
      <c r="B1852" s="165" t="s">
        <v>4149</v>
      </c>
      <c r="C1852" s="164" t="s">
        <v>2056</v>
      </c>
      <c r="D1852" s="164"/>
      <c r="E1852" s="164">
        <v>1997</v>
      </c>
      <c r="F1852" s="164">
        <v>1992</v>
      </c>
      <c r="G1852" s="164" t="s">
        <v>2055</v>
      </c>
      <c r="H1852" s="164" t="s">
        <v>2054</v>
      </c>
      <c r="I1852" s="164" t="s">
        <v>2815</v>
      </c>
      <c r="J1852" s="164">
        <v>47.87</v>
      </c>
      <c r="K1852" s="164">
        <v>-121.82</v>
      </c>
      <c r="L1852" s="169">
        <v>114</v>
      </c>
      <c r="M1852" s="169">
        <v>10.7</v>
      </c>
      <c r="N1852" s="164"/>
      <c r="O1852" s="169">
        <v>1633</v>
      </c>
      <c r="P1852" s="164"/>
      <c r="Q1852" s="164"/>
      <c r="R1852" s="164">
        <v>6</v>
      </c>
      <c r="S1852" s="165" t="s">
        <v>1982</v>
      </c>
      <c r="U1852" s="165" t="s">
        <v>2091</v>
      </c>
      <c r="V1852" s="164" t="s">
        <v>1389</v>
      </c>
      <c r="W1852" s="168">
        <v>30</v>
      </c>
      <c r="X1852" s="168" t="s">
        <v>1382</v>
      </c>
      <c r="Y1852" s="168" t="s">
        <v>1389</v>
      </c>
      <c r="Z1852" s="166">
        <f>AVERAGE(Sheet1!BP1852:BQ1852)</f>
        <v>2.6649500000000002</v>
      </c>
      <c r="AA1852" s="358">
        <v>35</v>
      </c>
      <c r="AB1852" s="358">
        <v>55</v>
      </c>
      <c r="AC1852" s="164" t="s">
        <v>450</v>
      </c>
      <c r="AD1852" s="164"/>
      <c r="AE1852" s="164"/>
      <c r="AF1852" s="164"/>
      <c r="AG1852" s="164" t="s">
        <v>2053</v>
      </c>
      <c r="AH1852" s="164"/>
      <c r="AI1852" s="164" t="s">
        <v>131</v>
      </c>
      <c r="AJ1852" s="164" t="s">
        <v>2058</v>
      </c>
      <c r="AK1852" s="164" t="s">
        <v>229</v>
      </c>
      <c r="AL1852" s="164"/>
      <c r="AM1852" s="164"/>
      <c r="AN1852" s="164"/>
      <c r="AO1852" s="164" t="s">
        <v>2018</v>
      </c>
      <c r="AP1852" s="164" t="s">
        <v>2018</v>
      </c>
      <c r="AQ1852" s="164" t="s">
        <v>2125</v>
      </c>
      <c r="AR1852" s="164" t="s">
        <v>2125</v>
      </c>
      <c r="AS1852" s="37" t="s">
        <v>177</v>
      </c>
      <c r="AT1852" s="164" t="s">
        <v>2057</v>
      </c>
      <c r="AU1852" s="164"/>
      <c r="AW1852" s="164" t="s">
        <v>119</v>
      </c>
      <c r="AX1852" s="164">
        <v>3</v>
      </c>
      <c r="AY1852" s="164"/>
      <c r="AZ1852" s="164" t="s">
        <v>141</v>
      </c>
      <c r="BA1852" s="164"/>
      <c r="BB1852" s="164"/>
      <c r="BC1852" s="164"/>
      <c r="BD1852" s="164"/>
      <c r="BE1852" s="164"/>
      <c r="BK1852" s="164"/>
      <c r="BL1852" s="164"/>
      <c r="BM1852" s="164"/>
      <c r="BP1852" s="433">
        <v>2.6832200000000004</v>
      </c>
      <c r="BQ1852" s="433">
        <v>2.6466799999999999</v>
      </c>
      <c r="BU1852" s="433">
        <v>0.76</v>
      </c>
      <c r="BV1852" s="433">
        <v>0.80880732850828474</v>
      </c>
      <c r="BZ1852" s="433"/>
      <c r="CA1852" s="433"/>
      <c r="CD1852" s="37" t="s">
        <v>3120</v>
      </c>
      <c r="CE1852" s="559">
        <v>0.76</v>
      </c>
      <c r="CF1852" s="559">
        <v>0.80880732850828474</v>
      </c>
      <c r="CG1852" s="556"/>
      <c r="CH1852" s="556"/>
      <c r="CI1852" s="37" t="s">
        <v>4546</v>
      </c>
      <c r="JB1852" s="164"/>
      <c r="JC1852" s="164"/>
    </row>
    <row r="1853" spans="1:264" x14ac:dyDescent="0.25">
      <c r="A1853" s="164">
        <v>89</v>
      </c>
      <c r="B1853" s="165" t="s">
        <v>4147</v>
      </c>
      <c r="C1853" s="164" t="s">
        <v>2056</v>
      </c>
      <c r="D1853" s="164"/>
      <c r="E1853" s="164">
        <v>1997</v>
      </c>
      <c r="F1853" s="164">
        <v>1993</v>
      </c>
      <c r="G1853" s="164" t="s">
        <v>2055</v>
      </c>
      <c r="H1853" s="164" t="s">
        <v>2054</v>
      </c>
      <c r="I1853" s="164" t="s">
        <v>2815</v>
      </c>
      <c r="J1853" s="164">
        <v>47.87</v>
      </c>
      <c r="K1853" s="164">
        <v>-121.82</v>
      </c>
      <c r="L1853" s="169">
        <v>114</v>
      </c>
      <c r="M1853" s="169">
        <v>10.7</v>
      </c>
      <c r="N1853" s="164"/>
      <c r="O1853" s="169">
        <v>1633</v>
      </c>
      <c r="P1853" s="164"/>
      <c r="Q1853" s="164"/>
      <c r="R1853" s="164">
        <v>7</v>
      </c>
      <c r="S1853" s="165" t="s">
        <v>1982</v>
      </c>
      <c r="U1853" s="165" t="s">
        <v>2091</v>
      </c>
      <c r="V1853" s="164" t="s">
        <v>1382</v>
      </c>
      <c r="W1853" s="168">
        <v>15</v>
      </c>
      <c r="X1853" s="168" t="s">
        <v>1382</v>
      </c>
      <c r="Y1853" s="168" t="s">
        <v>1389</v>
      </c>
      <c r="Z1853" s="166">
        <f>AVERAGE(Sheet1!BP1853:BQ1853)</f>
        <v>1.33552</v>
      </c>
      <c r="AA1853" s="358">
        <v>35</v>
      </c>
      <c r="AB1853" s="358">
        <v>55</v>
      </c>
      <c r="AC1853" s="164" t="s">
        <v>450</v>
      </c>
      <c r="AD1853" s="164"/>
      <c r="AE1853" s="164"/>
      <c r="AF1853" s="164"/>
      <c r="AG1853" s="164" t="s">
        <v>2053</v>
      </c>
      <c r="AH1853" s="164" t="s">
        <v>1753</v>
      </c>
      <c r="AI1853" s="164" t="s">
        <v>131</v>
      </c>
      <c r="AJ1853" s="164" t="s">
        <v>2058</v>
      </c>
      <c r="AK1853" s="164" t="s">
        <v>229</v>
      </c>
      <c r="AL1853" s="164"/>
      <c r="AM1853" s="164"/>
      <c r="AN1853" s="164"/>
      <c r="AO1853" s="164" t="s">
        <v>2018</v>
      </c>
      <c r="AP1853" s="164" t="s">
        <v>2018</v>
      </c>
      <c r="AQ1853" s="164" t="s">
        <v>2125</v>
      </c>
      <c r="AR1853" s="164" t="s">
        <v>2125</v>
      </c>
      <c r="AS1853" s="37" t="s">
        <v>177</v>
      </c>
      <c r="AT1853" s="164" t="s">
        <v>2057</v>
      </c>
      <c r="AU1853" s="164"/>
      <c r="AW1853" s="164" t="s">
        <v>119</v>
      </c>
      <c r="AX1853" s="164">
        <v>3</v>
      </c>
      <c r="AY1853" s="164"/>
      <c r="AZ1853" s="164" t="s">
        <v>141</v>
      </c>
      <c r="BA1853" s="164"/>
      <c r="BB1853" s="164">
        <v>4190</v>
      </c>
      <c r="BC1853" s="164">
        <v>37</v>
      </c>
      <c r="BD1853" s="164"/>
      <c r="BE1853" s="164"/>
      <c r="BK1853" s="164"/>
      <c r="BL1853" s="164"/>
      <c r="BM1853" s="164"/>
      <c r="BP1853" s="433">
        <v>1.34422</v>
      </c>
      <c r="BQ1853" s="433">
        <v>1.3268200000000001</v>
      </c>
      <c r="BU1853" s="433">
        <v>1.52</v>
      </c>
      <c r="BV1853" s="433">
        <v>1.6199999999999999</v>
      </c>
      <c r="BZ1853" s="433"/>
      <c r="CA1853" s="433"/>
      <c r="CD1853" s="37" t="s">
        <v>3120</v>
      </c>
      <c r="CE1853" s="559">
        <v>1.52</v>
      </c>
      <c r="CF1853" s="559">
        <v>1.6199999999999999</v>
      </c>
      <c r="CG1853" s="556"/>
      <c r="CH1853" s="556"/>
      <c r="CI1853" s="37" t="s">
        <v>4546</v>
      </c>
      <c r="JB1853" s="164" t="s">
        <v>2086</v>
      </c>
      <c r="JC1853" s="164"/>
    </row>
    <row r="1854" spans="1:264" x14ac:dyDescent="0.25">
      <c r="A1854" s="164">
        <v>89</v>
      </c>
      <c r="B1854" s="165" t="s">
        <v>4148</v>
      </c>
      <c r="C1854" s="164" t="s">
        <v>2056</v>
      </c>
      <c r="D1854" s="164"/>
      <c r="E1854" s="164">
        <v>1997</v>
      </c>
      <c r="F1854" s="164">
        <v>1993</v>
      </c>
      <c r="G1854" s="164" t="s">
        <v>2055</v>
      </c>
      <c r="H1854" s="164" t="s">
        <v>2054</v>
      </c>
      <c r="I1854" s="164" t="s">
        <v>2815</v>
      </c>
      <c r="J1854" s="164">
        <v>47.87</v>
      </c>
      <c r="K1854" s="164">
        <v>-121.82</v>
      </c>
      <c r="L1854" s="169">
        <v>114</v>
      </c>
      <c r="M1854" s="169">
        <v>10.7</v>
      </c>
      <c r="N1854" s="164"/>
      <c r="O1854" s="169">
        <v>1633</v>
      </c>
      <c r="P1854" s="164"/>
      <c r="Q1854" s="164"/>
      <c r="R1854" s="164">
        <v>7</v>
      </c>
      <c r="S1854" s="165" t="s">
        <v>1982</v>
      </c>
      <c r="U1854" s="165" t="s">
        <v>2091</v>
      </c>
      <c r="V1854" s="164" t="s">
        <v>1390</v>
      </c>
      <c r="W1854" s="168">
        <v>15</v>
      </c>
      <c r="X1854" s="168" t="s">
        <v>1382</v>
      </c>
      <c r="Y1854" s="168" t="s">
        <v>1389</v>
      </c>
      <c r="Z1854" s="166">
        <f>AVERAGE(Sheet1!BP1854:BQ1854)</f>
        <v>1.34422</v>
      </c>
      <c r="AA1854" s="358">
        <v>35</v>
      </c>
      <c r="AB1854" s="358">
        <v>55</v>
      </c>
      <c r="AC1854" s="164" t="s">
        <v>450</v>
      </c>
      <c r="AD1854" s="164"/>
      <c r="AE1854" s="164"/>
      <c r="AF1854" s="164"/>
      <c r="AG1854" s="164" t="s">
        <v>2053</v>
      </c>
      <c r="AH1854" s="164" t="s">
        <v>1753</v>
      </c>
      <c r="AI1854" s="164" t="s">
        <v>131</v>
      </c>
      <c r="AJ1854" s="164" t="s">
        <v>2058</v>
      </c>
      <c r="AK1854" s="164" t="s">
        <v>229</v>
      </c>
      <c r="AL1854" s="164"/>
      <c r="AM1854" s="164"/>
      <c r="AN1854" s="164"/>
      <c r="AO1854" s="164" t="s">
        <v>2018</v>
      </c>
      <c r="AP1854" s="164" t="s">
        <v>2018</v>
      </c>
      <c r="AQ1854" s="164" t="s">
        <v>2125</v>
      </c>
      <c r="AR1854" s="164" t="s">
        <v>2125</v>
      </c>
      <c r="AS1854" s="37" t="s">
        <v>177</v>
      </c>
      <c r="AT1854" s="164" t="s">
        <v>2057</v>
      </c>
      <c r="AU1854" s="164"/>
      <c r="AW1854" s="164" t="s">
        <v>119</v>
      </c>
      <c r="AX1854" s="164">
        <v>3</v>
      </c>
      <c r="AY1854" s="164"/>
      <c r="AZ1854" s="164" t="s">
        <v>141</v>
      </c>
      <c r="BA1854" s="164"/>
      <c r="BB1854" s="164"/>
      <c r="BC1854" s="164"/>
      <c r="BD1854" s="164"/>
      <c r="BE1854" s="164"/>
      <c r="BK1854" s="164"/>
      <c r="BL1854" s="164"/>
      <c r="BM1854" s="164"/>
      <c r="BP1854" s="433">
        <v>1.35118</v>
      </c>
      <c r="BQ1854" s="433">
        <v>1.3372600000000001</v>
      </c>
      <c r="BU1854" s="433">
        <v>1.48</v>
      </c>
      <c r="BV1854" s="433">
        <v>1.56</v>
      </c>
      <c r="BZ1854" s="433"/>
      <c r="CA1854" s="433"/>
      <c r="CD1854" s="37" t="s">
        <v>3120</v>
      </c>
      <c r="CE1854" s="559">
        <v>1.48</v>
      </c>
      <c r="CF1854" s="559">
        <v>1.56</v>
      </c>
      <c r="CG1854" s="556"/>
      <c r="CH1854" s="556"/>
      <c r="CI1854" s="37" t="s">
        <v>4546</v>
      </c>
      <c r="JB1854" s="164" t="s">
        <v>2086</v>
      </c>
      <c r="JC1854" s="164"/>
    </row>
    <row r="1855" spans="1:264" x14ac:dyDescent="0.25">
      <c r="A1855" s="164">
        <v>89</v>
      </c>
      <c r="B1855" s="165" t="s">
        <v>4149</v>
      </c>
      <c r="C1855" s="164" t="s">
        <v>2056</v>
      </c>
      <c r="D1855" s="164"/>
      <c r="E1855" s="164">
        <v>1997</v>
      </c>
      <c r="F1855" s="164">
        <v>1993</v>
      </c>
      <c r="G1855" s="164" t="s">
        <v>2055</v>
      </c>
      <c r="H1855" s="164" t="s">
        <v>2054</v>
      </c>
      <c r="I1855" s="164" t="s">
        <v>2815</v>
      </c>
      <c r="J1855" s="164">
        <v>47.87</v>
      </c>
      <c r="K1855" s="164">
        <v>-121.82</v>
      </c>
      <c r="L1855" s="169">
        <v>114</v>
      </c>
      <c r="M1855" s="169">
        <v>10.7</v>
      </c>
      <c r="N1855" s="164"/>
      <c r="O1855" s="169">
        <v>1633</v>
      </c>
      <c r="P1855" s="164"/>
      <c r="Q1855" s="164"/>
      <c r="R1855" s="164">
        <v>7</v>
      </c>
      <c r="S1855" s="165" t="s">
        <v>1982</v>
      </c>
      <c r="U1855" s="165" t="s">
        <v>2091</v>
      </c>
      <c r="V1855" s="164" t="s">
        <v>1389</v>
      </c>
      <c r="W1855" s="168">
        <v>30</v>
      </c>
      <c r="X1855" s="168" t="s">
        <v>1382</v>
      </c>
      <c r="Y1855" s="168" t="s">
        <v>1389</v>
      </c>
      <c r="Z1855" s="166">
        <f>AVERAGE(Sheet1!BP1855:BQ1855)</f>
        <v>2.6797400000000002</v>
      </c>
      <c r="AA1855" s="358">
        <v>35</v>
      </c>
      <c r="AB1855" s="358">
        <v>55</v>
      </c>
      <c r="AC1855" s="164" t="s">
        <v>450</v>
      </c>
      <c r="AD1855" s="164"/>
      <c r="AE1855" s="164"/>
      <c r="AF1855" s="164"/>
      <c r="AG1855" s="164" t="s">
        <v>2053</v>
      </c>
      <c r="AH1855" s="164"/>
      <c r="AI1855" s="164" t="s">
        <v>131</v>
      </c>
      <c r="AJ1855" s="164" t="s">
        <v>2058</v>
      </c>
      <c r="AK1855" s="164" t="s">
        <v>229</v>
      </c>
      <c r="AL1855" s="164"/>
      <c r="AM1855" s="164"/>
      <c r="AN1855" s="164"/>
      <c r="AO1855" s="164" t="s">
        <v>2018</v>
      </c>
      <c r="AP1855" s="164" t="s">
        <v>2018</v>
      </c>
      <c r="AQ1855" s="164" t="s">
        <v>2125</v>
      </c>
      <c r="AR1855" s="164" t="s">
        <v>2125</v>
      </c>
      <c r="AS1855" s="37" t="s">
        <v>177</v>
      </c>
      <c r="AT1855" s="164" t="s">
        <v>2057</v>
      </c>
      <c r="AU1855" s="164"/>
      <c r="AW1855" s="164" t="s">
        <v>119</v>
      </c>
      <c r="AX1855" s="164">
        <v>3</v>
      </c>
      <c r="AY1855" s="164"/>
      <c r="AZ1855" s="164" t="s">
        <v>141</v>
      </c>
      <c r="BA1855" s="164"/>
      <c r="BB1855" s="164"/>
      <c r="BC1855" s="164"/>
      <c r="BD1855" s="164"/>
      <c r="BE1855" s="164"/>
      <c r="BK1855" s="164"/>
      <c r="BL1855" s="164"/>
      <c r="BM1855" s="164"/>
      <c r="BP1855" s="433">
        <v>2.6954000000000002</v>
      </c>
      <c r="BQ1855" s="433">
        <v>2.6640800000000002</v>
      </c>
      <c r="BU1855" s="433">
        <v>0.74</v>
      </c>
      <c r="BV1855" s="433">
        <v>0.78570416264747334</v>
      </c>
      <c r="BZ1855" s="433"/>
      <c r="CA1855" s="433"/>
      <c r="CD1855" s="37" t="s">
        <v>3120</v>
      </c>
      <c r="CE1855" s="559">
        <v>0.74</v>
      </c>
      <c r="CF1855" s="559">
        <v>0.78570416264747334</v>
      </c>
      <c r="CG1855" s="556"/>
      <c r="CH1855" s="556"/>
      <c r="CI1855" s="37" t="s">
        <v>4546</v>
      </c>
      <c r="JB1855" s="164"/>
      <c r="JC1855" s="164"/>
    </row>
    <row r="1856" spans="1:264" s="213" customFormat="1" x14ac:dyDescent="0.25">
      <c r="A1856" s="208">
        <v>89</v>
      </c>
      <c r="B1856" s="210" t="s">
        <v>4150</v>
      </c>
      <c r="C1856" s="208" t="s">
        <v>2056</v>
      </c>
      <c r="D1856" s="208"/>
      <c r="E1856" s="208">
        <v>1997</v>
      </c>
      <c r="F1856" s="208">
        <v>1992</v>
      </c>
      <c r="G1856" s="208" t="s">
        <v>2055</v>
      </c>
      <c r="H1856" s="208" t="s">
        <v>2054</v>
      </c>
      <c r="I1856" s="164" t="s">
        <v>2815</v>
      </c>
      <c r="J1856" s="208">
        <v>47.87</v>
      </c>
      <c r="K1856" s="208">
        <v>-121.82</v>
      </c>
      <c r="L1856" s="209">
        <v>114</v>
      </c>
      <c r="M1856" s="209">
        <v>10.7</v>
      </c>
      <c r="N1856" s="208"/>
      <c r="O1856" s="209">
        <v>1633</v>
      </c>
      <c r="P1856" s="208"/>
      <c r="Q1856" s="208"/>
      <c r="R1856" s="164">
        <v>6</v>
      </c>
      <c r="S1856" s="165" t="s">
        <v>1982</v>
      </c>
      <c r="U1856" s="165" t="s">
        <v>2091</v>
      </c>
      <c r="V1856" s="208" t="s">
        <v>1382</v>
      </c>
      <c r="W1856" s="211">
        <v>15</v>
      </c>
      <c r="X1856" s="211" t="s">
        <v>1382</v>
      </c>
      <c r="Y1856" s="211" t="s">
        <v>1389</v>
      </c>
      <c r="Z1856" s="212">
        <f>AVERAGE(Sheet1!BP1856:BQ1856)</f>
        <v>1.33291</v>
      </c>
      <c r="AA1856" s="360">
        <v>35</v>
      </c>
      <c r="AB1856" s="360">
        <v>55</v>
      </c>
      <c r="AC1856" s="208" t="s">
        <v>450</v>
      </c>
      <c r="AD1856" s="208"/>
      <c r="AE1856" s="208"/>
      <c r="AF1856" s="208"/>
      <c r="AG1856" s="208" t="s">
        <v>2053</v>
      </c>
      <c r="AH1856" s="208" t="s">
        <v>2061</v>
      </c>
      <c r="AI1856" s="208" t="s">
        <v>577</v>
      </c>
      <c r="AJ1856" s="208" t="s">
        <v>2058</v>
      </c>
      <c r="AK1856" s="164" t="s">
        <v>229</v>
      </c>
      <c r="AL1856" s="208"/>
      <c r="AM1856" s="208"/>
      <c r="AN1856" s="208"/>
      <c r="AO1856" s="208" t="s">
        <v>2018</v>
      </c>
      <c r="AP1856" s="208" t="s">
        <v>2018</v>
      </c>
      <c r="AQ1856" s="164" t="s">
        <v>2125</v>
      </c>
      <c r="AR1856" s="164" t="s">
        <v>2125</v>
      </c>
      <c r="AS1856" s="37" t="s">
        <v>177</v>
      </c>
      <c r="AT1856" s="208" t="s">
        <v>2057</v>
      </c>
      <c r="AU1856" s="208"/>
      <c r="AW1856" s="164" t="s">
        <v>119</v>
      </c>
      <c r="AX1856" s="208">
        <v>3</v>
      </c>
      <c r="AY1856" s="208"/>
      <c r="AZ1856" s="208" t="s">
        <v>141</v>
      </c>
      <c r="BA1856" s="208"/>
      <c r="BB1856" s="208">
        <v>2860</v>
      </c>
      <c r="BC1856" s="208">
        <v>14</v>
      </c>
      <c r="BD1856" s="208"/>
      <c r="BE1856" s="208"/>
      <c r="BK1856" s="208"/>
      <c r="BL1856" s="208"/>
      <c r="BM1856" s="208"/>
      <c r="BP1856" s="435">
        <v>1.33552</v>
      </c>
      <c r="BQ1856" s="435">
        <v>1.3303</v>
      </c>
      <c r="BU1856" s="435">
        <v>1.5699999999999998</v>
      </c>
      <c r="BV1856" s="435">
        <v>1.6</v>
      </c>
      <c r="BZ1856" s="435"/>
      <c r="CA1856" s="435"/>
      <c r="CD1856" s="37" t="s">
        <v>3120</v>
      </c>
      <c r="CE1856" s="588">
        <v>1.5699999999999998</v>
      </c>
      <c r="CF1856" s="588">
        <v>1.6</v>
      </c>
      <c r="CG1856" s="588"/>
      <c r="CH1856" s="588"/>
      <c r="CI1856" s="37" t="s">
        <v>4546</v>
      </c>
      <c r="JB1856" s="208" t="s">
        <v>2086</v>
      </c>
      <c r="JC1856" s="208"/>
      <c r="JD1856" s="214"/>
    </row>
    <row r="1857" spans="1:264" s="213" customFormat="1" x14ac:dyDescent="0.25">
      <c r="A1857" s="208">
        <v>89</v>
      </c>
      <c r="B1857" s="210" t="s">
        <v>4151</v>
      </c>
      <c r="C1857" s="208" t="s">
        <v>2056</v>
      </c>
      <c r="D1857" s="208"/>
      <c r="E1857" s="208">
        <v>1997</v>
      </c>
      <c r="F1857" s="208">
        <v>1992</v>
      </c>
      <c r="G1857" s="208" t="s">
        <v>2055</v>
      </c>
      <c r="H1857" s="208" t="s">
        <v>2054</v>
      </c>
      <c r="I1857" s="164" t="s">
        <v>2815</v>
      </c>
      <c r="J1857" s="208">
        <v>47.87</v>
      </c>
      <c r="K1857" s="208">
        <v>-121.82</v>
      </c>
      <c r="L1857" s="209">
        <v>114</v>
      </c>
      <c r="M1857" s="209">
        <v>10.7</v>
      </c>
      <c r="N1857" s="208"/>
      <c r="O1857" s="209">
        <v>1633</v>
      </c>
      <c r="P1857" s="208"/>
      <c r="Q1857" s="208"/>
      <c r="R1857" s="164">
        <v>6</v>
      </c>
      <c r="S1857" s="165" t="s">
        <v>1982</v>
      </c>
      <c r="U1857" s="165" t="s">
        <v>2091</v>
      </c>
      <c r="V1857" s="208" t="s">
        <v>1390</v>
      </c>
      <c r="W1857" s="211">
        <v>15</v>
      </c>
      <c r="X1857" s="211" t="s">
        <v>1382</v>
      </c>
      <c r="Y1857" s="211" t="s">
        <v>1389</v>
      </c>
      <c r="Z1857" s="212">
        <f>AVERAGE(Sheet1!BP1857:BQ1857)</f>
        <v>1.34422</v>
      </c>
      <c r="AA1857" s="360">
        <v>35</v>
      </c>
      <c r="AB1857" s="360">
        <v>55</v>
      </c>
      <c r="AC1857" s="208" t="s">
        <v>450</v>
      </c>
      <c r="AD1857" s="208"/>
      <c r="AE1857" s="208"/>
      <c r="AF1857" s="208"/>
      <c r="AG1857" s="208" t="s">
        <v>2053</v>
      </c>
      <c r="AH1857" s="208" t="s">
        <v>2061</v>
      </c>
      <c r="AI1857" s="208" t="s">
        <v>577</v>
      </c>
      <c r="AJ1857" s="208" t="s">
        <v>2058</v>
      </c>
      <c r="AK1857" s="164" t="s">
        <v>229</v>
      </c>
      <c r="AL1857" s="208"/>
      <c r="AM1857" s="208"/>
      <c r="AN1857" s="208"/>
      <c r="AO1857" s="208" t="s">
        <v>2018</v>
      </c>
      <c r="AP1857" s="208" t="s">
        <v>2018</v>
      </c>
      <c r="AQ1857" s="164" t="s">
        <v>2125</v>
      </c>
      <c r="AR1857" s="164" t="s">
        <v>2125</v>
      </c>
      <c r="AS1857" s="37" t="s">
        <v>177</v>
      </c>
      <c r="AT1857" s="208" t="s">
        <v>2057</v>
      </c>
      <c r="AU1857" s="208"/>
      <c r="AW1857" s="164" t="s">
        <v>119</v>
      </c>
      <c r="AX1857" s="208">
        <v>3</v>
      </c>
      <c r="AY1857" s="208"/>
      <c r="AZ1857" s="208" t="s">
        <v>141</v>
      </c>
      <c r="BA1857" s="208"/>
      <c r="BB1857" s="208"/>
      <c r="BC1857" s="208"/>
      <c r="BD1857" s="208"/>
      <c r="BE1857" s="208"/>
      <c r="BK1857" s="208"/>
      <c r="BL1857" s="208"/>
      <c r="BM1857" s="208"/>
      <c r="BP1857" s="435">
        <v>1.3477000000000001</v>
      </c>
      <c r="BQ1857" s="435">
        <v>1.34074</v>
      </c>
      <c r="BU1857" s="435">
        <v>1.5</v>
      </c>
      <c r="BV1857" s="435">
        <v>1.54</v>
      </c>
      <c r="BZ1857" s="435"/>
      <c r="CA1857" s="435"/>
      <c r="CD1857" s="37" t="s">
        <v>3120</v>
      </c>
      <c r="CE1857" s="588">
        <v>1.5</v>
      </c>
      <c r="CF1857" s="588">
        <v>1.54</v>
      </c>
      <c r="CG1857" s="588"/>
      <c r="CH1857" s="588"/>
      <c r="CI1857" s="37" t="s">
        <v>4546</v>
      </c>
      <c r="JB1857" s="208" t="s">
        <v>2086</v>
      </c>
      <c r="JC1857" s="208"/>
      <c r="JD1857" s="214"/>
    </row>
    <row r="1858" spans="1:264" s="213" customFormat="1" x14ac:dyDescent="0.25">
      <c r="A1858" s="208">
        <v>89</v>
      </c>
      <c r="B1858" s="210" t="s">
        <v>4152</v>
      </c>
      <c r="C1858" s="208" t="s">
        <v>2056</v>
      </c>
      <c r="D1858" s="208"/>
      <c r="E1858" s="208">
        <v>1997</v>
      </c>
      <c r="F1858" s="208">
        <v>1992</v>
      </c>
      <c r="G1858" s="208" t="s">
        <v>2055</v>
      </c>
      <c r="H1858" s="208" t="s">
        <v>2054</v>
      </c>
      <c r="I1858" s="164" t="s">
        <v>2815</v>
      </c>
      <c r="J1858" s="208">
        <v>47.87</v>
      </c>
      <c r="K1858" s="208">
        <v>-121.82</v>
      </c>
      <c r="L1858" s="209">
        <v>114</v>
      </c>
      <c r="M1858" s="209">
        <v>10.7</v>
      </c>
      <c r="N1858" s="208"/>
      <c r="O1858" s="209">
        <v>1633</v>
      </c>
      <c r="P1858" s="208"/>
      <c r="Q1858" s="208"/>
      <c r="R1858" s="164">
        <v>6</v>
      </c>
      <c r="S1858" s="165" t="s">
        <v>1982</v>
      </c>
      <c r="U1858" s="165" t="s">
        <v>2091</v>
      </c>
      <c r="V1858" s="208" t="s">
        <v>1389</v>
      </c>
      <c r="W1858" s="211">
        <v>30</v>
      </c>
      <c r="X1858" s="211" t="s">
        <v>1382</v>
      </c>
      <c r="Y1858" s="211" t="s">
        <v>1389</v>
      </c>
      <c r="Z1858" s="212">
        <f>AVERAGE(Sheet1!BP1858:BQ1858)</f>
        <v>2.67713</v>
      </c>
      <c r="AA1858" s="360">
        <v>35</v>
      </c>
      <c r="AB1858" s="360">
        <v>55</v>
      </c>
      <c r="AC1858" s="208" t="s">
        <v>450</v>
      </c>
      <c r="AD1858" s="208"/>
      <c r="AE1858" s="208"/>
      <c r="AF1858" s="208"/>
      <c r="AG1858" s="208" t="s">
        <v>2053</v>
      </c>
      <c r="AH1858" s="208"/>
      <c r="AI1858" s="208" t="s">
        <v>577</v>
      </c>
      <c r="AJ1858" s="208" t="s">
        <v>2058</v>
      </c>
      <c r="AK1858" s="164" t="s">
        <v>229</v>
      </c>
      <c r="AL1858" s="208"/>
      <c r="AM1858" s="208"/>
      <c r="AN1858" s="208"/>
      <c r="AO1858" s="208" t="s">
        <v>2018</v>
      </c>
      <c r="AP1858" s="208" t="s">
        <v>2018</v>
      </c>
      <c r="AQ1858" s="164" t="s">
        <v>2125</v>
      </c>
      <c r="AR1858" s="164" t="s">
        <v>2125</v>
      </c>
      <c r="AS1858" s="37" t="s">
        <v>177</v>
      </c>
      <c r="AT1858" s="208" t="s">
        <v>2057</v>
      </c>
      <c r="AU1858" s="208"/>
      <c r="AW1858" s="164" t="s">
        <v>119</v>
      </c>
      <c r="AX1858" s="208">
        <v>3</v>
      </c>
      <c r="AY1858" s="208"/>
      <c r="AZ1858" s="208" t="s">
        <v>141</v>
      </c>
      <c r="BA1858" s="208"/>
      <c r="BB1858" s="208"/>
      <c r="BC1858" s="208"/>
      <c r="BD1858" s="208"/>
      <c r="BE1858" s="208"/>
      <c r="BK1858" s="208"/>
      <c r="BL1858" s="208"/>
      <c r="BM1858" s="208"/>
      <c r="BP1858" s="435">
        <v>2.6832200000000004</v>
      </c>
      <c r="BQ1858" s="435">
        <v>2.6710400000000001</v>
      </c>
      <c r="BU1858" s="435">
        <v>0.76</v>
      </c>
      <c r="BV1858" s="435">
        <v>0.78137826939274446</v>
      </c>
      <c r="BZ1858" s="435"/>
      <c r="CA1858" s="435"/>
      <c r="CD1858" s="37" t="s">
        <v>3120</v>
      </c>
      <c r="CE1858" s="588">
        <v>0.76</v>
      </c>
      <c r="CF1858" s="588">
        <v>0.78137826939274446</v>
      </c>
      <c r="CG1858" s="588"/>
      <c r="CH1858" s="588"/>
      <c r="CI1858" s="37" t="s">
        <v>4546</v>
      </c>
      <c r="JB1858" s="208"/>
      <c r="JC1858" s="208"/>
      <c r="JD1858" s="214"/>
    </row>
    <row r="1859" spans="1:264" s="213" customFormat="1" x14ac:dyDescent="0.25">
      <c r="A1859" s="208">
        <v>89</v>
      </c>
      <c r="B1859" s="210" t="s">
        <v>4150</v>
      </c>
      <c r="C1859" s="208" t="s">
        <v>2056</v>
      </c>
      <c r="D1859" s="208"/>
      <c r="E1859" s="208">
        <v>1997</v>
      </c>
      <c r="F1859" s="208">
        <v>1993</v>
      </c>
      <c r="G1859" s="208" t="s">
        <v>2055</v>
      </c>
      <c r="H1859" s="208" t="s">
        <v>2054</v>
      </c>
      <c r="I1859" s="164" t="s">
        <v>2815</v>
      </c>
      <c r="J1859" s="208">
        <v>47.87</v>
      </c>
      <c r="K1859" s="208">
        <v>-121.82</v>
      </c>
      <c r="L1859" s="209">
        <v>114</v>
      </c>
      <c r="M1859" s="209">
        <v>10.7</v>
      </c>
      <c r="N1859" s="208"/>
      <c r="O1859" s="209">
        <v>1633</v>
      </c>
      <c r="P1859" s="208"/>
      <c r="Q1859" s="208"/>
      <c r="R1859" s="164">
        <v>7</v>
      </c>
      <c r="S1859" s="165" t="s">
        <v>1982</v>
      </c>
      <c r="U1859" s="165" t="s">
        <v>2091</v>
      </c>
      <c r="V1859" s="208" t="s">
        <v>1382</v>
      </c>
      <c r="W1859" s="211">
        <v>15</v>
      </c>
      <c r="X1859" s="211" t="s">
        <v>1382</v>
      </c>
      <c r="Y1859" s="211" t="s">
        <v>1389</v>
      </c>
      <c r="Z1859" s="212">
        <f>AVERAGE(Sheet1!BP1859:BQ1859)</f>
        <v>1.34161</v>
      </c>
      <c r="AA1859" s="360">
        <v>35</v>
      </c>
      <c r="AB1859" s="360">
        <v>55</v>
      </c>
      <c r="AC1859" s="208" t="s">
        <v>450</v>
      </c>
      <c r="AD1859" s="208"/>
      <c r="AE1859" s="208"/>
      <c r="AF1859" s="208"/>
      <c r="AG1859" s="208" t="s">
        <v>2053</v>
      </c>
      <c r="AH1859" s="208" t="s">
        <v>2061</v>
      </c>
      <c r="AI1859" s="208" t="s">
        <v>577</v>
      </c>
      <c r="AJ1859" s="208" t="s">
        <v>2058</v>
      </c>
      <c r="AK1859" s="164" t="s">
        <v>229</v>
      </c>
      <c r="AL1859" s="208"/>
      <c r="AM1859" s="208"/>
      <c r="AN1859" s="208"/>
      <c r="AO1859" s="208" t="s">
        <v>2018</v>
      </c>
      <c r="AP1859" s="208" t="s">
        <v>2018</v>
      </c>
      <c r="AQ1859" s="164" t="s">
        <v>2125</v>
      </c>
      <c r="AR1859" s="164" t="s">
        <v>2125</v>
      </c>
      <c r="AS1859" s="37" t="s">
        <v>177</v>
      </c>
      <c r="AT1859" s="208" t="s">
        <v>2057</v>
      </c>
      <c r="AU1859" s="208"/>
      <c r="AW1859" s="164" t="s">
        <v>119</v>
      </c>
      <c r="AX1859" s="208">
        <v>3</v>
      </c>
      <c r="AY1859" s="208"/>
      <c r="AZ1859" s="208" t="s">
        <v>141</v>
      </c>
      <c r="BA1859" s="208"/>
      <c r="BB1859" s="208">
        <v>2270</v>
      </c>
      <c r="BC1859" s="208">
        <v>23</v>
      </c>
      <c r="BD1859" s="208"/>
      <c r="BE1859" s="208"/>
      <c r="BK1859" s="208"/>
      <c r="BL1859" s="208"/>
      <c r="BM1859" s="208"/>
      <c r="BP1859" s="435">
        <v>1.34422</v>
      </c>
      <c r="BQ1859" s="435">
        <v>1.339</v>
      </c>
      <c r="BU1859" s="435">
        <v>1.52</v>
      </c>
      <c r="BV1859" s="435">
        <v>1.55</v>
      </c>
      <c r="BZ1859" s="435"/>
      <c r="CA1859" s="435"/>
      <c r="CD1859" s="37" t="s">
        <v>3120</v>
      </c>
      <c r="CE1859" s="588">
        <v>1.52</v>
      </c>
      <c r="CF1859" s="588">
        <v>1.55</v>
      </c>
      <c r="CG1859" s="588"/>
      <c r="CH1859" s="588"/>
      <c r="CI1859" s="37" t="s">
        <v>4546</v>
      </c>
      <c r="JB1859" s="208" t="s">
        <v>2086</v>
      </c>
      <c r="JC1859" s="208"/>
      <c r="JD1859" s="214"/>
    </row>
    <row r="1860" spans="1:264" s="213" customFormat="1" x14ac:dyDescent="0.25">
      <c r="A1860" s="208">
        <v>89</v>
      </c>
      <c r="B1860" s="210" t="s">
        <v>4151</v>
      </c>
      <c r="C1860" s="208" t="s">
        <v>2056</v>
      </c>
      <c r="D1860" s="208"/>
      <c r="E1860" s="208">
        <v>1997</v>
      </c>
      <c r="F1860" s="208">
        <v>1993</v>
      </c>
      <c r="G1860" s="208" t="s">
        <v>2055</v>
      </c>
      <c r="H1860" s="208" t="s">
        <v>2054</v>
      </c>
      <c r="I1860" s="164" t="s">
        <v>2815</v>
      </c>
      <c r="J1860" s="208">
        <v>47.87</v>
      </c>
      <c r="K1860" s="208">
        <v>-121.82</v>
      </c>
      <c r="L1860" s="209">
        <v>114</v>
      </c>
      <c r="M1860" s="209">
        <v>10.7</v>
      </c>
      <c r="N1860" s="208"/>
      <c r="O1860" s="209">
        <v>1633</v>
      </c>
      <c r="P1860" s="208"/>
      <c r="Q1860" s="208"/>
      <c r="R1860" s="164">
        <v>7</v>
      </c>
      <c r="S1860" s="165" t="s">
        <v>1982</v>
      </c>
      <c r="U1860" s="165" t="s">
        <v>2091</v>
      </c>
      <c r="V1860" s="208" t="s">
        <v>1390</v>
      </c>
      <c r="W1860" s="211">
        <v>15</v>
      </c>
      <c r="X1860" s="211" t="s">
        <v>1382</v>
      </c>
      <c r="Y1860" s="211" t="s">
        <v>1389</v>
      </c>
      <c r="Z1860" s="212">
        <f>AVERAGE(Sheet1!BP1860:BQ1860)</f>
        <v>1.34944</v>
      </c>
      <c r="AA1860" s="360">
        <v>35</v>
      </c>
      <c r="AB1860" s="360">
        <v>55</v>
      </c>
      <c r="AC1860" s="208" t="s">
        <v>450</v>
      </c>
      <c r="AD1860" s="208"/>
      <c r="AE1860" s="208"/>
      <c r="AF1860" s="208"/>
      <c r="AG1860" s="208" t="s">
        <v>2053</v>
      </c>
      <c r="AH1860" s="208" t="s">
        <v>2061</v>
      </c>
      <c r="AI1860" s="208" t="s">
        <v>577</v>
      </c>
      <c r="AJ1860" s="208" t="s">
        <v>2058</v>
      </c>
      <c r="AK1860" s="164" t="s">
        <v>229</v>
      </c>
      <c r="AL1860" s="208"/>
      <c r="AM1860" s="208"/>
      <c r="AN1860" s="208"/>
      <c r="AO1860" s="208" t="s">
        <v>2018</v>
      </c>
      <c r="AP1860" s="208" t="s">
        <v>2018</v>
      </c>
      <c r="AQ1860" s="164" t="s">
        <v>2125</v>
      </c>
      <c r="AR1860" s="164" t="s">
        <v>2125</v>
      </c>
      <c r="AS1860" s="37" t="s">
        <v>177</v>
      </c>
      <c r="AT1860" s="208" t="s">
        <v>2057</v>
      </c>
      <c r="AU1860" s="208"/>
      <c r="AW1860" s="164" t="s">
        <v>119</v>
      </c>
      <c r="AX1860" s="208">
        <v>3</v>
      </c>
      <c r="AY1860" s="208"/>
      <c r="AZ1860" s="208" t="s">
        <v>141</v>
      </c>
      <c r="BA1860" s="208"/>
      <c r="BB1860" s="208"/>
      <c r="BC1860" s="208"/>
      <c r="BD1860" s="208"/>
      <c r="BE1860" s="208"/>
      <c r="BK1860" s="208"/>
      <c r="BL1860" s="208"/>
      <c r="BM1860" s="208"/>
      <c r="BP1860" s="435">
        <v>1.35118</v>
      </c>
      <c r="BQ1860" s="435">
        <v>1.3477000000000001</v>
      </c>
      <c r="BU1860" s="435">
        <v>1.48</v>
      </c>
      <c r="BV1860" s="435">
        <v>1.5</v>
      </c>
      <c r="BZ1860" s="435"/>
      <c r="CA1860" s="435"/>
      <c r="CD1860" s="37" t="s">
        <v>3120</v>
      </c>
      <c r="CE1860" s="588">
        <v>1.48</v>
      </c>
      <c r="CF1860" s="588">
        <v>1.5</v>
      </c>
      <c r="CG1860" s="588"/>
      <c r="CH1860" s="588"/>
      <c r="CI1860" s="37" t="s">
        <v>4546</v>
      </c>
      <c r="JB1860" s="208" t="s">
        <v>2086</v>
      </c>
      <c r="JC1860" s="208"/>
      <c r="JD1860" s="214"/>
    </row>
    <row r="1861" spans="1:264" s="213" customFormat="1" x14ac:dyDescent="0.25">
      <c r="A1861" s="208">
        <v>89</v>
      </c>
      <c r="B1861" s="210" t="s">
        <v>4152</v>
      </c>
      <c r="C1861" s="208" t="s">
        <v>2056</v>
      </c>
      <c r="D1861" s="208"/>
      <c r="E1861" s="208">
        <v>1997</v>
      </c>
      <c r="F1861" s="208">
        <v>1993</v>
      </c>
      <c r="G1861" s="208" t="s">
        <v>2055</v>
      </c>
      <c r="H1861" s="208" t="s">
        <v>2054</v>
      </c>
      <c r="I1861" s="164" t="s">
        <v>2815</v>
      </c>
      <c r="J1861" s="208">
        <v>47.87</v>
      </c>
      <c r="K1861" s="208">
        <v>-121.82</v>
      </c>
      <c r="L1861" s="209">
        <v>114</v>
      </c>
      <c r="M1861" s="209">
        <v>10.7</v>
      </c>
      <c r="N1861" s="208"/>
      <c r="O1861" s="209">
        <v>1633</v>
      </c>
      <c r="P1861" s="208"/>
      <c r="Q1861" s="208"/>
      <c r="R1861" s="164">
        <v>7</v>
      </c>
      <c r="S1861" s="165" t="s">
        <v>1982</v>
      </c>
      <c r="U1861" s="165" t="s">
        <v>2091</v>
      </c>
      <c r="V1861" s="208" t="s">
        <v>1389</v>
      </c>
      <c r="W1861" s="211">
        <v>30</v>
      </c>
      <c r="X1861" s="211" t="s">
        <v>1382</v>
      </c>
      <c r="Y1861" s="211" t="s">
        <v>1389</v>
      </c>
      <c r="Z1861" s="212">
        <f>AVERAGE(Sheet1!BP1861:BQ1861)</f>
        <v>2.6910500000000002</v>
      </c>
      <c r="AA1861" s="360">
        <v>35</v>
      </c>
      <c r="AB1861" s="360">
        <v>55</v>
      </c>
      <c r="AC1861" s="208" t="s">
        <v>450</v>
      </c>
      <c r="AD1861" s="208"/>
      <c r="AE1861" s="208"/>
      <c r="AF1861" s="208"/>
      <c r="AG1861" s="208" t="s">
        <v>2053</v>
      </c>
      <c r="AH1861" s="208"/>
      <c r="AI1861" s="208" t="s">
        <v>577</v>
      </c>
      <c r="AJ1861" s="208" t="s">
        <v>2058</v>
      </c>
      <c r="AK1861" s="164" t="s">
        <v>229</v>
      </c>
      <c r="AL1861" s="208"/>
      <c r="AM1861" s="208"/>
      <c r="AN1861" s="208"/>
      <c r="AO1861" s="208" t="s">
        <v>2018</v>
      </c>
      <c r="AP1861" s="208" t="s">
        <v>2018</v>
      </c>
      <c r="AQ1861" s="164" t="s">
        <v>2125</v>
      </c>
      <c r="AR1861" s="164" t="s">
        <v>2125</v>
      </c>
      <c r="AS1861" s="37" t="s">
        <v>177</v>
      </c>
      <c r="AT1861" s="208" t="s">
        <v>2057</v>
      </c>
      <c r="AU1861" s="208"/>
      <c r="AW1861" s="164" t="s">
        <v>119</v>
      </c>
      <c r="AX1861" s="208">
        <v>3</v>
      </c>
      <c r="AY1861" s="208"/>
      <c r="AZ1861" s="208" t="s">
        <v>141</v>
      </c>
      <c r="BA1861" s="208"/>
      <c r="BB1861" s="208"/>
      <c r="BC1861" s="208"/>
      <c r="BD1861" s="208"/>
      <c r="BE1861" s="208"/>
      <c r="BK1861" s="208"/>
      <c r="BL1861" s="208"/>
      <c r="BM1861" s="208"/>
      <c r="BP1861" s="435">
        <v>2.6954000000000002</v>
      </c>
      <c r="BQ1861" s="435">
        <v>2.6867000000000001</v>
      </c>
      <c r="BU1861" s="435">
        <v>0.75</v>
      </c>
      <c r="BV1861" s="435">
        <v>0.7599985159902054</v>
      </c>
      <c r="BZ1861" s="435"/>
      <c r="CA1861" s="435"/>
      <c r="CD1861" s="37" t="s">
        <v>3120</v>
      </c>
      <c r="CE1861" s="588">
        <v>0.75</v>
      </c>
      <c r="CF1861" s="588">
        <v>0.7599985159902054</v>
      </c>
      <c r="CG1861" s="588"/>
      <c r="CH1861" s="588"/>
      <c r="CI1861" s="37" t="s">
        <v>4546</v>
      </c>
      <c r="JB1861" s="208"/>
      <c r="JC1861" s="208"/>
      <c r="JD1861" s="214"/>
    </row>
    <row r="1862" spans="1:264" x14ac:dyDescent="0.25">
      <c r="A1862" s="164">
        <v>89</v>
      </c>
      <c r="B1862" s="165" t="s">
        <v>4147</v>
      </c>
      <c r="C1862" s="164" t="s">
        <v>2056</v>
      </c>
      <c r="D1862" s="164"/>
      <c r="E1862" s="164">
        <v>1997</v>
      </c>
      <c r="F1862" s="164">
        <v>1992</v>
      </c>
      <c r="G1862" s="164" t="s">
        <v>2055</v>
      </c>
      <c r="H1862" s="164" t="s">
        <v>2054</v>
      </c>
      <c r="I1862" s="164" t="s">
        <v>2815</v>
      </c>
      <c r="J1862" s="164">
        <v>47.87</v>
      </c>
      <c r="K1862" s="164">
        <v>-121.82</v>
      </c>
      <c r="L1862" s="169">
        <v>114</v>
      </c>
      <c r="M1862" s="169">
        <v>10.7</v>
      </c>
      <c r="N1862" s="164"/>
      <c r="O1862" s="169">
        <v>1633</v>
      </c>
      <c r="P1862" s="164"/>
      <c r="Q1862" s="164"/>
      <c r="R1862" s="164">
        <v>6</v>
      </c>
      <c r="S1862" s="165" t="s">
        <v>1982</v>
      </c>
      <c r="U1862" s="165" t="s">
        <v>2091</v>
      </c>
      <c r="V1862" s="164" t="s">
        <v>1382</v>
      </c>
      <c r="W1862" s="168">
        <v>15</v>
      </c>
      <c r="X1862" s="168" t="s">
        <v>1382</v>
      </c>
      <c r="Y1862" s="168" t="s">
        <v>1389</v>
      </c>
      <c r="Z1862" s="166">
        <f>AVERAGE(Sheet1!BP1862:BQ1862)</f>
        <v>1.32769</v>
      </c>
      <c r="AA1862" s="358">
        <v>35</v>
      </c>
      <c r="AB1862" s="358">
        <v>55</v>
      </c>
      <c r="AC1862" s="164" t="s">
        <v>450</v>
      </c>
      <c r="AD1862" s="164"/>
      <c r="AE1862" s="164"/>
      <c r="AF1862" s="164"/>
      <c r="AG1862" s="164" t="s">
        <v>2053</v>
      </c>
      <c r="AH1862" s="164" t="s">
        <v>2060</v>
      </c>
      <c r="AI1862" s="164" t="s">
        <v>131</v>
      </c>
      <c r="AJ1862" s="164" t="s">
        <v>2058</v>
      </c>
      <c r="AK1862" s="164" t="s">
        <v>229</v>
      </c>
      <c r="AL1862" s="164"/>
      <c r="AM1862" s="164"/>
      <c r="AN1862" s="164"/>
      <c r="AO1862" s="164" t="s">
        <v>2018</v>
      </c>
      <c r="AP1862" s="164" t="s">
        <v>2018</v>
      </c>
      <c r="AQ1862" s="164" t="s">
        <v>2125</v>
      </c>
      <c r="AR1862" s="164" t="s">
        <v>2125</v>
      </c>
      <c r="AS1862" s="37" t="s">
        <v>177</v>
      </c>
      <c r="AT1862" s="164" t="s">
        <v>2057</v>
      </c>
      <c r="AU1862" s="164"/>
      <c r="AW1862" s="164" t="s">
        <v>119</v>
      </c>
      <c r="AX1862" s="164">
        <v>3</v>
      </c>
      <c r="AY1862" s="164"/>
      <c r="AZ1862" s="164" t="s">
        <v>141</v>
      </c>
      <c r="BA1862" s="164"/>
      <c r="BB1862" s="164">
        <v>4650</v>
      </c>
      <c r="BC1862" s="164">
        <v>47</v>
      </c>
      <c r="BD1862" s="164"/>
      <c r="BE1862" s="164"/>
      <c r="BK1862" s="164"/>
      <c r="BL1862" s="164"/>
      <c r="BM1862" s="164"/>
      <c r="BP1862" s="433">
        <v>1.33552</v>
      </c>
      <c r="BQ1862" s="433">
        <v>1.31986</v>
      </c>
      <c r="BU1862" s="433">
        <v>1.5699999999999998</v>
      </c>
      <c r="BV1862" s="433">
        <v>1.6600000000000001</v>
      </c>
      <c r="BZ1862" s="433"/>
      <c r="CA1862" s="433"/>
      <c r="CD1862" s="37" t="s">
        <v>3120</v>
      </c>
      <c r="CE1862" s="559">
        <v>1.5699999999999998</v>
      </c>
      <c r="CF1862" s="559">
        <v>1.6600000000000001</v>
      </c>
      <c r="CG1862" s="556"/>
      <c r="CH1862" s="556"/>
      <c r="CI1862" s="37" t="s">
        <v>4546</v>
      </c>
      <c r="JB1862" s="164" t="s">
        <v>2086</v>
      </c>
      <c r="JC1862" s="164"/>
    </row>
    <row r="1863" spans="1:264" x14ac:dyDescent="0.25">
      <c r="A1863" s="164">
        <v>89</v>
      </c>
      <c r="B1863" s="165" t="s">
        <v>4148</v>
      </c>
      <c r="C1863" s="164" t="s">
        <v>2056</v>
      </c>
      <c r="D1863" s="164"/>
      <c r="E1863" s="164">
        <v>1997</v>
      </c>
      <c r="F1863" s="164">
        <v>1992</v>
      </c>
      <c r="G1863" s="164" t="s">
        <v>2055</v>
      </c>
      <c r="H1863" s="164" t="s">
        <v>2054</v>
      </c>
      <c r="I1863" s="164" t="s">
        <v>2815</v>
      </c>
      <c r="J1863" s="164">
        <v>47.87</v>
      </c>
      <c r="K1863" s="164">
        <v>-121.82</v>
      </c>
      <c r="L1863" s="169">
        <v>114</v>
      </c>
      <c r="M1863" s="169">
        <v>10.7</v>
      </c>
      <c r="N1863" s="164"/>
      <c r="O1863" s="169">
        <v>1633</v>
      </c>
      <c r="P1863" s="164"/>
      <c r="Q1863" s="164"/>
      <c r="R1863" s="164">
        <v>6</v>
      </c>
      <c r="S1863" s="165" t="s">
        <v>1982</v>
      </c>
      <c r="U1863" s="165" t="s">
        <v>2091</v>
      </c>
      <c r="V1863" s="164" t="s">
        <v>1390</v>
      </c>
      <c r="W1863" s="168">
        <v>15</v>
      </c>
      <c r="X1863" s="168" t="s">
        <v>1382</v>
      </c>
      <c r="Y1863" s="168" t="s">
        <v>1389</v>
      </c>
      <c r="Z1863" s="166">
        <f>AVERAGE(Sheet1!BP1863:BQ1863)</f>
        <v>1.34335</v>
      </c>
      <c r="AA1863" s="358">
        <v>35</v>
      </c>
      <c r="AB1863" s="358">
        <v>55</v>
      </c>
      <c r="AC1863" s="164" t="s">
        <v>450</v>
      </c>
      <c r="AD1863" s="164"/>
      <c r="AE1863" s="164"/>
      <c r="AF1863" s="164"/>
      <c r="AG1863" s="164" t="s">
        <v>2053</v>
      </c>
      <c r="AH1863" s="164" t="s">
        <v>2060</v>
      </c>
      <c r="AI1863" s="164" t="s">
        <v>131</v>
      </c>
      <c r="AJ1863" s="164" t="s">
        <v>2058</v>
      </c>
      <c r="AK1863" s="164" t="s">
        <v>229</v>
      </c>
      <c r="AL1863" s="164"/>
      <c r="AM1863" s="164"/>
      <c r="AN1863" s="164"/>
      <c r="AO1863" s="164" t="s">
        <v>2018</v>
      </c>
      <c r="AP1863" s="164" t="s">
        <v>2018</v>
      </c>
      <c r="AQ1863" s="164" t="s">
        <v>2125</v>
      </c>
      <c r="AR1863" s="164" t="s">
        <v>2125</v>
      </c>
      <c r="AS1863" s="37" t="s">
        <v>177</v>
      </c>
      <c r="AT1863" s="164" t="s">
        <v>2057</v>
      </c>
      <c r="AU1863" s="164"/>
      <c r="AW1863" s="164" t="s">
        <v>119</v>
      </c>
      <c r="AX1863" s="164">
        <v>3</v>
      </c>
      <c r="AY1863" s="164"/>
      <c r="AZ1863" s="164" t="s">
        <v>141</v>
      </c>
      <c r="BA1863" s="164"/>
      <c r="BB1863" s="164"/>
      <c r="BD1863" s="164"/>
      <c r="BE1863" s="164"/>
      <c r="BK1863" s="164"/>
      <c r="BL1863" s="164"/>
      <c r="BM1863" s="164"/>
      <c r="BP1863" s="433">
        <v>1.3477000000000001</v>
      </c>
      <c r="BQ1863" s="433">
        <v>1.339</v>
      </c>
      <c r="BU1863" s="433">
        <v>1.5</v>
      </c>
      <c r="BV1863" s="433">
        <v>1.55</v>
      </c>
      <c r="BZ1863" s="433"/>
      <c r="CA1863" s="433"/>
      <c r="CD1863" s="37" t="s">
        <v>3120</v>
      </c>
      <c r="CE1863" s="559">
        <v>1.5</v>
      </c>
      <c r="CF1863" s="559">
        <v>1.55</v>
      </c>
      <c r="CG1863" s="556"/>
      <c r="CH1863" s="556"/>
      <c r="CI1863" s="37" t="s">
        <v>4546</v>
      </c>
      <c r="JB1863" s="164" t="s">
        <v>2086</v>
      </c>
      <c r="JC1863" s="164"/>
    </row>
    <row r="1864" spans="1:264" x14ac:dyDescent="0.25">
      <c r="A1864" s="164">
        <v>89</v>
      </c>
      <c r="B1864" s="165" t="s">
        <v>4149</v>
      </c>
      <c r="C1864" s="164" t="s">
        <v>2056</v>
      </c>
      <c r="D1864" s="164"/>
      <c r="E1864" s="164">
        <v>1997</v>
      </c>
      <c r="F1864" s="164">
        <v>1992</v>
      </c>
      <c r="G1864" s="164" t="s">
        <v>2055</v>
      </c>
      <c r="H1864" s="164" t="s">
        <v>2054</v>
      </c>
      <c r="I1864" s="164" t="s">
        <v>2815</v>
      </c>
      <c r="J1864" s="164">
        <v>47.87</v>
      </c>
      <c r="K1864" s="164">
        <v>-121.82</v>
      </c>
      <c r="L1864" s="169">
        <v>114</v>
      </c>
      <c r="M1864" s="169">
        <v>10.7</v>
      </c>
      <c r="N1864" s="164"/>
      <c r="O1864" s="169">
        <v>1633</v>
      </c>
      <c r="P1864" s="164"/>
      <c r="Q1864" s="164"/>
      <c r="R1864" s="164">
        <v>6</v>
      </c>
      <c r="S1864" s="165" t="s">
        <v>1982</v>
      </c>
      <c r="U1864" s="165" t="s">
        <v>2091</v>
      </c>
      <c r="V1864" s="164" t="s">
        <v>1389</v>
      </c>
      <c r="W1864" s="168">
        <v>30</v>
      </c>
      <c r="X1864" s="168" t="s">
        <v>1382</v>
      </c>
      <c r="Y1864" s="168" t="s">
        <v>1389</v>
      </c>
      <c r="Z1864" s="166">
        <f>AVERAGE(Sheet1!BP1864:BQ1864)</f>
        <v>2.6710400000000001</v>
      </c>
      <c r="AA1864" s="358">
        <v>35</v>
      </c>
      <c r="AB1864" s="358">
        <v>55</v>
      </c>
      <c r="AC1864" s="164" t="s">
        <v>450</v>
      </c>
      <c r="AD1864" s="164"/>
      <c r="AE1864" s="164"/>
      <c r="AF1864" s="164"/>
      <c r="AG1864" s="164" t="s">
        <v>2053</v>
      </c>
      <c r="AH1864" s="164"/>
      <c r="AI1864" s="164" t="s">
        <v>131</v>
      </c>
      <c r="AJ1864" s="164" t="s">
        <v>2058</v>
      </c>
      <c r="AK1864" s="164" t="s">
        <v>229</v>
      </c>
      <c r="AL1864" s="164"/>
      <c r="AM1864" s="164"/>
      <c r="AN1864" s="164"/>
      <c r="AO1864" s="164" t="s">
        <v>2018</v>
      </c>
      <c r="AP1864" s="164" t="s">
        <v>2018</v>
      </c>
      <c r="AQ1864" s="164" t="s">
        <v>2125</v>
      </c>
      <c r="AR1864" s="164" t="s">
        <v>2125</v>
      </c>
      <c r="AS1864" s="37" t="s">
        <v>177</v>
      </c>
      <c r="AT1864" s="164" t="s">
        <v>2057</v>
      </c>
      <c r="AU1864" s="164"/>
      <c r="AW1864" s="164" t="s">
        <v>119</v>
      </c>
      <c r="AX1864" s="164">
        <v>3</v>
      </c>
      <c r="AY1864" s="164"/>
      <c r="AZ1864" s="164" t="s">
        <v>141</v>
      </c>
      <c r="BA1864" s="164"/>
      <c r="BB1864" s="164"/>
      <c r="BD1864" s="164"/>
      <c r="BE1864" s="164"/>
      <c r="BK1864" s="164"/>
      <c r="BL1864" s="164"/>
      <c r="BM1864" s="164"/>
      <c r="BP1864" s="433">
        <v>2.6832200000000004</v>
      </c>
      <c r="BQ1864" s="433">
        <v>2.6588599999999998</v>
      </c>
      <c r="BU1864" s="433">
        <v>0.76</v>
      </c>
      <c r="BV1864" s="433">
        <v>0.79501822437220948</v>
      </c>
      <c r="BZ1864" s="433"/>
      <c r="CA1864" s="433"/>
      <c r="CD1864" s="37" t="s">
        <v>3120</v>
      </c>
      <c r="CE1864" s="559">
        <v>0.76</v>
      </c>
      <c r="CF1864" s="559">
        <v>0.79501822437220948</v>
      </c>
      <c r="CG1864" s="556"/>
      <c r="CH1864" s="556"/>
      <c r="CI1864" s="37" t="s">
        <v>4546</v>
      </c>
      <c r="JB1864" s="164"/>
      <c r="JC1864" s="164"/>
    </row>
    <row r="1865" spans="1:264" x14ac:dyDescent="0.25">
      <c r="A1865" s="164">
        <v>89</v>
      </c>
      <c r="B1865" s="165" t="s">
        <v>4147</v>
      </c>
      <c r="C1865" s="164" t="s">
        <v>2056</v>
      </c>
      <c r="D1865" s="164"/>
      <c r="E1865" s="164">
        <v>1997</v>
      </c>
      <c r="F1865" s="164">
        <v>1993</v>
      </c>
      <c r="G1865" s="164" t="s">
        <v>2055</v>
      </c>
      <c r="H1865" s="164" t="s">
        <v>2054</v>
      </c>
      <c r="I1865" s="164" t="s">
        <v>2815</v>
      </c>
      <c r="J1865" s="164">
        <v>47.87</v>
      </c>
      <c r="K1865" s="164">
        <v>-121.82</v>
      </c>
      <c r="L1865" s="169">
        <v>114</v>
      </c>
      <c r="M1865" s="169">
        <v>10.7</v>
      </c>
      <c r="N1865" s="164"/>
      <c r="O1865" s="169">
        <v>1633</v>
      </c>
      <c r="P1865" s="164"/>
      <c r="Q1865" s="164"/>
      <c r="R1865" s="164">
        <v>7</v>
      </c>
      <c r="S1865" s="165" t="s">
        <v>1982</v>
      </c>
      <c r="U1865" s="165" t="s">
        <v>2091</v>
      </c>
      <c r="V1865" s="164" t="s">
        <v>1382</v>
      </c>
      <c r="W1865" s="168">
        <v>15</v>
      </c>
      <c r="X1865" s="168" t="s">
        <v>1382</v>
      </c>
      <c r="Y1865" s="168" t="s">
        <v>1389</v>
      </c>
      <c r="Z1865" s="166">
        <f>AVERAGE(Sheet1!BP1865:BQ1865)</f>
        <v>1.339</v>
      </c>
      <c r="AA1865" s="358">
        <v>35</v>
      </c>
      <c r="AB1865" s="358">
        <v>55</v>
      </c>
      <c r="AC1865" s="164" t="s">
        <v>450</v>
      </c>
      <c r="AD1865" s="164"/>
      <c r="AE1865" s="164"/>
      <c r="AF1865" s="164"/>
      <c r="AG1865" s="164" t="s">
        <v>2053</v>
      </c>
      <c r="AH1865" s="164" t="s">
        <v>2060</v>
      </c>
      <c r="AI1865" s="164" t="s">
        <v>131</v>
      </c>
      <c r="AJ1865" s="164" t="s">
        <v>2058</v>
      </c>
      <c r="AK1865" s="164" t="s">
        <v>229</v>
      </c>
      <c r="AL1865" s="164"/>
      <c r="AM1865" s="164"/>
      <c r="AN1865" s="164"/>
      <c r="AO1865" s="164" t="s">
        <v>2018</v>
      </c>
      <c r="AP1865" s="164" t="s">
        <v>2018</v>
      </c>
      <c r="AQ1865" s="164" t="s">
        <v>2125</v>
      </c>
      <c r="AR1865" s="164" t="s">
        <v>2125</v>
      </c>
      <c r="AS1865" s="37" t="s">
        <v>177</v>
      </c>
      <c r="AT1865" s="164" t="s">
        <v>2057</v>
      </c>
      <c r="AU1865" s="164"/>
      <c r="AW1865" s="164" t="s">
        <v>119</v>
      </c>
      <c r="AX1865" s="164">
        <v>3</v>
      </c>
      <c r="AY1865" s="164"/>
      <c r="AZ1865" s="164" t="s">
        <v>141</v>
      </c>
      <c r="BA1865" s="164"/>
      <c r="BB1865" s="164">
        <v>4420</v>
      </c>
      <c r="BC1865" s="37">
        <v>54</v>
      </c>
      <c r="BD1865" s="164"/>
      <c r="BE1865" s="164"/>
      <c r="BK1865" s="164"/>
      <c r="BL1865" s="164"/>
      <c r="BM1865" s="164"/>
      <c r="BP1865" s="433">
        <v>1.34422</v>
      </c>
      <c r="BQ1865" s="433">
        <v>1.33378</v>
      </c>
      <c r="BU1865" s="433">
        <v>1.52</v>
      </c>
      <c r="BV1865" s="433">
        <v>1.58</v>
      </c>
      <c r="BZ1865" s="433"/>
      <c r="CA1865" s="433"/>
      <c r="CD1865" s="37" t="s">
        <v>3120</v>
      </c>
      <c r="CE1865" s="559">
        <v>1.52</v>
      </c>
      <c r="CF1865" s="559">
        <v>1.58</v>
      </c>
      <c r="CG1865" s="556"/>
      <c r="CH1865" s="556"/>
      <c r="CI1865" s="37" t="s">
        <v>4546</v>
      </c>
      <c r="JB1865" s="164" t="s">
        <v>2086</v>
      </c>
      <c r="JC1865" s="164"/>
    </row>
    <row r="1866" spans="1:264" x14ac:dyDescent="0.25">
      <c r="A1866" s="164">
        <v>89</v>
      </c>
      <c r="B1866" s="165" t="s">
        <v>4148</v>
      </c>
      <c r="C1866" s="164" t="s">
        <v>2056</v>
      </c>
      <c r="D1866" s="164"/>
      <c r="E1866" s="164">
        <v>1997</v>
      </c>
      <c r="F1866" s="164">
        <v>1993</v>
      </c>
      <c r="G1866" s="164" t="s">
        <v>2055</v>
      </c>
      <c r="H1866" s="164" t="s">
        <v>2054</v>
      </c>
      <c r="I1866" s="164" t="s">
        <v>2815</v>
      </c>
      <c r="J1866" s="164">
        <v>47.87</v>
      </c>
      <c r="K1866" s="164">
        <v>-121.82</v>
      </c>
      <c r="L1866" s="169">
        <v>114</v>
      </c>
      <c r="M1866" s="169">
        <v>10.7</v>
      </c>
      <c r="N1866" s="164"/>
      <c r="O1866" s="169">
        <v>1633</v>
      </c>
      <c r="P1866" s="164"/>
      <c r="Q1866" s="164"/>
      <c r="R1866" s="164">
        <v>7</v>
      </c>
      <c r="S1866" s="165" t="s">
        <v>1982</v>
      </c>
      <c r="U1866" s="165" t="s">
        <v>2091</v>
      </c>
      <c r="V1866" s="164" t="s">
        <v>1390</v>
      </c>
      <c r="W1866" s="168">
        <v>15</v>
      </c>
      <c r="X1866" s="168" t="s">
        <v>1382</v>
      </c>
      <c r="Y1866" s="168" t="s">
        <v>1389</v>
      </c>
      <c r="Z1866" s="166">
        <f>AVERAGE(Sheet1!BP1866:BQ1866)</f>
        <v>1.3468300000000002</v>
      </c>
      <c r="AA1866" s="358">
        <v>35</v>
      </c>
      <c r="AB1866" s="358">
        <v>55</v>
      </c>
      <c r="AC1866" s="164" t="s">
        <v>450</v>
      </c>
      <c r="AD1866" s="164"/>
      <c r="AE1866" s="164"/>
      <c r="AF1866" s="164"/>
      <c r="AG1866" s="164" t="s">
        <v>2053</v>
      </c>
      <c r="AH1866" s="164" t="s">
        <v>2060</v>
      </c>
      <c r="AI1866" s="164" t="s">
        <v>131</v>
      </c>
      <c r="AJ1866" s="164" t="s">
        <v>2058</v>
      </c>
      <c r="AK1866" s="164" t="s">
        <v>229</v>
      </c>
      <c r="AL1866" s="164"/>
      <c r="AM1866" s="164"/>
      <c r="AN1866" s="164"/>
      <c r="AO1866" s="164" t="s">
        <v>2018</v>
      </c>
      <c r="AP1866" s="164" t="s">
        <v>2018</v>
      </c>
      <c r="AQ1866" s="164" t="s">
        <v>2125</v>
      </c>
      <c r="AR1866" s="164" t="s">
        <v>2125</v>
      </c>
      <c r="AS1866" s="37" t="s">
        <v>177</v>
      </c>
      <c r="AT1866" s="164" t="s">
        <v>2057</v>
      </c>
      <c r="AU1866" s="164"/>
      <c r="AW1866" s="164" t="s">
        <v>119</v>
      </c>
      <c r="AX1866" s="164">
        <v>3</v>
      </c>
      <c r="AY1866" s="164"/>
      <c r="AZ1866" s="164" t="s">
        <v>141</v>
      </c>
      <c r="BA1866" s="164"/>
      <c r="BB1866" s="164"/>
      <c r="BD1866" s="164"/>
      <c r="BE1866" s="164"/>
      <c r="BK1866" s="164"/>
      <c r="BL1866" s="164"/>
      <c r="BM1866" s="164"/>
      <c r="BP1866" s="433">
        <v>1.35118</v>
      </c>
      <c r="BQ1866" s="433">
        <v>1.3424800000000001</v>
      </c>
      <c r="BU1866" s="433">
        <v>1.48</v>
      </c>
      <c r="BV1866" s="433">
        <v>1.53</v>
      </c>
      <c r="BZ1866" s="433"/>
      <c r="CA1866" s="433"/>
      <c r="CD1866" s="37" t="s">
        <v>3120</v>
      </c>
      <c r="CE1866" s="559">
        <v>1.48</v>
      </c>
      <c r="CF1866" s="559">
        <v>1.53</v>
      </c>
      <c r="CG1866" s="556"/>
      <c r="CH1866" s="556"/>
      <c r="CI1866" s="37" t="s">
        <v>4546</v>
      </c>
      <c r="JB1866" s="164" t="s">
        <v>2086</v>
      </c>
      <c r="JC1866" s="164"/>
    </row>
    <row r="1867" spans="1:264" x14ac:dyDescent="0.25">
      <c r="A1867" s="164">
        <v>89</v>
      </c>
      <c r="B1867" s="165" t="s">
        <v>4149</v>
      </c>
      <c r="C1867" s="164" t="s">
        <v>2056</v>
      </c>
      <c r="D1867" s="164"/>
      <c r="E1867" s="164">
        <v>1997</v>
      </c>
      <c r="F1867" s="164">
        <v>1993</v>
      </c>
      <c r="G1867" s="164" t="s">
        <v>2055</v>
      </c>
      <c r="H1867" s="164" t="s">
        <v>2054</v>
      </c>
      <c r="I1867" s="164" t="s">
        <v>2815</v>
      </c>
      <c r="J1867" s="164">
        <v>47.87</v>
      </c>
      <c r="K1867" s="164">
        <v>-121.82</v>
      </c>
      <c r="L1867" s="169">
        <v>114</v>
      </c>
      <c r="M1867" s="169">
        <v>10.7</v>
      </c>
      <c r="N1867" s="164"/>
      <c r="O1867" s="169">
        <v>1633</v>
      </c>
      <c r="P1867" s="164"/>
      <c r="Q1867" s="164"/>
      <c r="R1867" s="164">
        <v>7</v>
      </c>
      <c r="S1867" s="165" t="s">
        <v>1982</v>
      </c>
      <c r="U1867" s="165" t="s">
        <v>2091</v>
      </c>
      <c r="V1867" s="164" t="s">
        <v>1389</v>
      </c>
      <c r="W1867" s="168">
        <v>30</v>
      </c>
      <c r="X1867" s="168" t="s">
        <v>1382</v>
      </c>
      <c r="Y1867" s="168" t="s">
        <v>1389</v>
      </c>
      <c r="Z1867" s="166">
        <f>AVERAGE(Sheet1!BP1867:BQ1867)</f>
        <v>2.6858300000000002</v>
      </c>
      <c r="AA1867" s="358">
        <v>35</v>
      </c>
      <c r="AB1867" s="358">
        <v>55</v>
      </c>
      <c r="AC1867" s="164" t="s">
        <v>450</v>
      </c>
      <c r="AD1867" s="164"/>
      <c r="AE1867" s="164"/>
      <c r="AF1867" s="164"/>
      <c r="AG1867" s="164" t="s">
        <v>2053</v>
      </c>
      <c r="AH1867" s="164"/>
      <c r="AI1867" s="164" t="s">
        <v>131</v>
      </c>
      <c r="AJ1867" s="164" t="s">
        <v>2058</v>
      </c>
      <c r="AK1867" s="164" t="s">
        <v>229</v>
      </c>
      <c r="AL1867" s="164"/>
      <c r="AM1867" s="164"/>
      <c r="AN1867" s="164"/>
      <c r="AO1867" s="164" t="s">
        <v>2018</v>
      </c>
      <c r="AP1867" s="164" t="s">
        <v>2018</v>
      </c>
      <c r="AQ1867" s="164" t="s">
        <v>2125</v>
      </c>
      <c r="AR1867" s="164" t="s">
        <v>2125</v>
      </c>
      <c r="AS1867" s="37" t="s">
        <v>177</v>
      </c>
      <c r="AT1867" s="164" t="s">
        <v>2057</v>
      </c>
      <c r="AU1867" s="164"/>
      <c r="AW1867" s="164" t="s">
        <v>119</v>
      </c>
      <c r="AX1867" s="164">
        <v>3</v>
      </c>
      <c r="AY1867" s="164"/>
      <c r="AZ1867" s="164" t="s">
        <v>141</v>
      </c>
      <c r="BA1867" s="164"/>
      <c r="BB1867" s="164"/>
      <c r="BD1867" s="164"/>
      <c r="BE1867" s="164"/>
      <c r="BK1867" s="164"/>
      <c r="BL1867" s="164"/>
      <c r="BM1867" s="164"/>
      <c r="BP1867" s="433">
        <v>2.6954000000000002</v>
      </c>
      <c r="BQ1867" s="433">
        <v>2.6762600000000001</v>
      </c>
      <c r="BU1867" s="433">
        <v>0.74</v>
      </c>
      <c r="BV1867" s="433">
        <v>0.77193863619499892</v>
      </c>
      <c r="BZ1867" s="433"/>
      <c r="CA1867" s="433"/>
      <c r="CD1867" s="37" t="s">
        <v>3120</v>
      </c>
      <c r="CE1867" s="559">
        <v>0.74</v>
      </c>
      <c r="CF1867" s="559">
        <v>0.77193863619499892</v>
      </c>
      <c r="CG1867" s="556"/>
      <c r="CH1867" s="556"/>
      <c r="CI1867" s="37" t="s">
        <v>4546</v>
      </c>
      <c r="JB1867" s="164"/>
      <c r="JC1867" s="164"/>
    </row>
    <row r="1868" spans="1:264" s="213" customFormat="1" x14ac:dyDescent="0.25">
      <c r="A1868" s="208">
        <v>89</v>
      </c>
      <c r="B1868" s="210" t="s">
        <v>4150</v>
      </c>
      <c r="C1868" s="208" t="s">
        <v>2056</v>
      </c>
      <c r="D1868" s="208"/>
      <c r="E1868" s="208">
        <v>1997</v>
      </c>
      <c r="F1868" s="208">
        <v>1992</v>
      </c>
      <c r="G1868" s="208" t="s">
        <v>2055</v>
      </c>
      <c r="H1868" s="208" t="s">
        <v>2054</v>
      </c>
      <c r="I1868" s="164" t="s">
        <v>2815</v>
      </c>
      <c r="J1868" s="208">
        <v>47.87</v>
      </c>
      <c r="K1868" s="208">
        <v>-121.82</v>
      </c>
      <c r="L1868" s="209">
        <v>114</v>
      </c>
      <c r="M1868" s="209">
        <v>10.7</v>
      </c>
      <c r="N1868" s="208"/>
      <c r="O1868" s="209">
        <v>1633</v>
      </c>
      <c r="P1868" s="208"/>
      <c r="Q1868" s="208"/>
      <c r="R1868" s="164">
        <v>6</v>
      </c>
      <c r="S1868" s="165" t="s">
        <v>1982</v>
      </c>
      <c r="U1868" s="165" t="s">
        <v>2091</v>
      </c>
      <c r="V1868" s="208" t="s">
        <v>1382</v>
      </c>
      <c r="W1868" s="211">
        <v>15</v>
      </c>
      <c r="X1868" s="211" t="s">
        <v>1382</v>
      </c>
      <c r="Y1868" s="211" t="s">
        <v>1389</v>
      </c>
      <c r="Z1868" s="212">
        <f>AVERAGE(Sheet1!BP1868:BQ1868)</f>
        <v>1.3346499999999999</v>
      </c>
      <c r="AA1868" s="360">
        <v>35</v>
      </c>
      <c r="AB1868" s="360">
        <v>55</v>
      </c>
      <c r="AC1868" s="208" t="s">
        <v>450</v>
      </c>
      <c r="AD1868" s="208"/>
      <c r="AE1868" s="208"/>
      <c r="AF1868" s="208"/>
      <c r="AG1868" s="208" t="s">
        <v>2053</v>
      </c>
      <c r="AH1868" s="208" t="s">
        <v>2024</v>
      </c>
      <c r="AI1868" s="208" t="s">
        <v>577</v>
      </c>
      <c r="AJ1868" s="208" t="s">
        <v>2058</v>
      </c>
      <c r="AK1868" s="164" t="s">
        <v>229</v>
      </c>
      <c r="AL1868" s="208"/>
      <c r="AM1868" s="208"/>
      <c r="AN1868" s="208"/>
      <c r="AO1868" s="208" t="s">
        <v>2018</v>
      </c>
      <c r="AP1868" s="208" t="s">
        <v>2018</v>
      </c>
      <c r="AQ1868" s="164" t="s">
        <v>2125</v>
      </c>
      <c r="AR1868" s="164" t="s">
        <v>2125</v>
      </c>
      <c r="AS1868" s="37" t="s">
        <v>177</v>
      </c>
      <c r="AT1868" s="208" t="s">
        <v>2057</v>
      </c>
      <c r="AU1868" s="208"/>
      <c r="AW1868" s="164" t="s">
        <v>119</v>
      </c>
      <c r="AX1868" s="208">
        <v>3</v>
      </c>
      <c r="AY1868" s="208"/>
      <c r="AZ1868" s="208" t="s">
        <v>141</v>
      </c>
      <c r="BA1868" s="208"/>
      <c r="BB1868" s="208">
        <v>2700</v>
      </c>
      <c r="BC1868" s="213">
        <v>10</v>
      </c>
      <c r="BD1868" s="208"/>
      <c r="BE1868" s="208"/>
      <c r="BK1868" s="208"/>
      <c r="BL1868" s="208"/>
      <c r="BM1868" s="208"/>
      <c r="BP1868" s="435">
        <v>1.33552</v>
      </c>
      <c r="BQ1868" s="435">
        <v>1.33378</v>
      </c>
      <c r="BU1868" s="435">
        <v>1.5699999999999998</v>
      </c>
      <c r="BV1868" s="435">
        <v>1.58</v>
      </c>
      <c r="BZ1868" s="435"/>
      <c r="CA1868" s="435"/>
      <c r="CD1868" s="37" t="s">
        <v>3120</v>
      </c>
      <c r="CE1868" s="588">
        <v>1.5699999999999998</v>
      </c>
      <c r="CF1868" s="588">
        <v>1.58</v>
      </c>
      <c r="CG1868" s="588"/>
      <c r="CH1868" s="588"/>
      <c r="CI1868" s="37" t="s">
        <v>4546</v>
      </c>
      <c r="JB1868" s="208" t="s">
        <v>2086</v>
      </c>
      <c r="JC1868" s="208"/>
      <c r="JD1868" s="214"/>
    </row>
    <row r="1869" spans="1:264" s="213" customFormat="1" x14ac:dyDescent="0.25">
      <c r="A1869" s="208">
        <v>89</v>
      </c>
      <c r="B1869" s="210" t="s">
        <v>4151</v>
      </c>
      <c r="C1869" s="208" t="s">
        <v>2056</v>
      </c>
      <c r="D1869" s="208"/>
      <c r="E1869" s="208">
        <v>1997</v>
      </c>
      <c r="F1869" s="208">
        <v>1992</v>
      </c>
      <c r="G1869" s="208" t="s">
        <v>2055</v>
      </c>
      <c r="H1869" s="208" t="s">
        <v>2054</v>
      </c>
      <c r="I1869" s="164" t="s">
        <v>2815</v>
      </c>
      <c r="J1869" s="208">
        <v>47.87</v>
      </c>
      <c r="K1869" s="208">
        <v>-121.82</v>
      </c>
      <c r="L1869" s="209">
        <v>114</v>
      </c>
      <c r="M1869" s="209">
        <v>10.7</v>
      </c>
      <c r="N1869" s="208"/>
      <c r="O1869" s="209">
        <v>1633</v>
      </c>
      <c r="P1869" s="208"/>
      <c r="Q1869" s="208"/>
      <c r="R1869" s="164">
        <v>6</v>
      </c>
      <c r="S1869" s="165" t="s">
        <v>1982</v>
      </c>
      <c r="U1869" s="165" t="s">
        <v>2091</v>
      </c>
      <c r="V1869" s="208" t="s">
        <v>1390</v>
      </c>
      <c r="W1869" s="211">
        <v>15</v>
      </c>
      <c r="X1869" s="211" t="s">
        <v>1382</v>
      </c>
      <c r="Y1869" s="211" t="s">
        <v>1389</v>
      </c>
      <c r="Z1869" s="212">
        <f>AVERAGE(Sheet1!BP1869:BQ1869)</f>
        <v>1.34857</v>
      </c>
      <c r="AA1869" s="360">
        <v>35</v>
      </c>
      <c r="AB1869" s="360">
        <v>55</v>
      </c>
      <c r="AC1869" s="208" t="s">
        <v>450</v>
      </c>
      <c r="AD1869" s="208"/>
      <c r="AE1869" s="208"/>
      <c r="AF1869" s="208"/>
      <c r="AG1869" s="208" t="s">
        <v>2053</v>
      </c>
      <c r="AH1869" s="208" t="s">
        <v>2024</v>
      </c>
      <c r="AI1869" s="208" t="s">
        <v>577</v>
      </c>
      <c r="AJ1869" s="208" t="s">
        <v>2058</v>
      </c>
      <c r="AK1869" s="164" t="s">
        <v>229</v>
      </c>
      <c r="AL1869" s="208"/>
      <c r="AM1869" s="208"/>
      <c r="AN1869" s="208"/>
      <c r="AO1869" s="208" t="s">
        <v>2018</v>
      </c>
      <c r="AP1869" s="208" t="s">
        <v>2018</v>
      </c>
      <c r="AQ1869" s="164" t="s">
        <v>2125</v>
      </c>
      <c r="AR1869" s="164" t="s">
        <v>2125</v>
      </c>
      <c r="AS1869" s="37" t="s">
        <v>177</v>
      </c>
      <c r="AT1869" s="208" t="s">
        <v>2057</v>
      </c>
      <c r="AU1869" s="208"/>
      <c r="AW1869" s="164" t="s">
        <v>119</v>
      </c>
      <c r="AX1869" s="208">
        <v>3</v>
      </c>
      <c r="AY1869" s="208"/>
      <c r="AZ1869" s="208" t="s">
        <v>141</v>
      </c>
      <c r="BA1869" s="208"/>
      <c r="BB1869" s="208"/>
      <c r="BC1869" s="208"/>
      <c r="BD1869" s="208"/>
      <c r="BE1869" s="208"/>
      <c r="BK1869" s="208"/>
      <c r="BL1869" s="208"/>
      <c r="BM1869" s="208"/>
      <c r="BP1869" s="435">
        <v>1.3477000000000001</v>
      </c>
      <c r="BQ1869" s="435">
        <v>1.34944</v>
      </c>
      <c r="BU1869" s="435">
        <v>1.5</v>
      </c>
      <c r="BV1869" s="435">
        <v>1.49</v>
      </c>
      <c r="BZ1869" s="435"/>
      <c r="CA1869" s="435"/>
      <c r="CD1869" s="37" t="s">
        <v>3120</v>
      </c>
      <c r="CE1869" s="588">
        <v>1.5</v>
      </c>
      <c r="CF1869" s="588">
        <v>1.49</v>
      </c>
      <c r="CG1869" s="588"/>
      <c r="CH1869" s="588"/>
      <c r="CI1869" s="37" t="s">
        <v>4546</v>
      </c>
      <c r="JB1869" s="208" t="s">
        <v>2086</v>
      </c>
      <c r="JC1869" s="208"/>
      <c r="JD1869" s="214"/>
    </row>
    <row r="1870" spans="1:264" s="213" customFormat="1" x14ac:dyDescent="0.25">
      <c r="A1870" s="208">
        <v>89</v>
      </c>
      <c r="B1870" s="210" t="s">
        <v>4152</v>
      </c>
      <c r="C1870" s="208" t="s">
        <v>2056</v>
      </c>
      <c r="D1870" s="208"/>
      <c r="E1870" s="208">
        <v>1997</v>
      </c>
      <c r="F1870" s="208">
        <v>1992</v>
      </c>
      <c r="G1870" s="208" t="s">
        <v>2055</v>
      </c>
      <c r="H1870" s="208" t="s">
        <v>2054</v>
      </c>
      <c r="I1870" s="164" t="s">
        <v>2815</v>
      </c>
      <c r="J1870" s="208">
        <v>47.87</v>
      </c>
      <c r="K1870" s="208">
        <v>-121.82</v>
      </c>
      <c r="L1870" s="209">
        <v>114</v>
      </c>
      <c r="M1870" s="209">
        <v>10.7</v>
      </c>
      <c r="N1870" s="208"/>
      <c r="O1870" s="209">
        <v>1633</v>
      </c>
      <c r="P1870" s="208"/>
      <c r="Q1870" s="208"/>
      <c r="R1870" s="164">
        <v>6</v>
      </c>
      <c r="S1870" s="165" t="s">
        <v>1982</v>
      </c>
      <c r="U1870" s="165" t="s">
        <v>2091</v>
      </c>
      <c r="V1870" s="208" t="s">
        <v>1389</v>
      </c>
      <c r="W1870" s="211">
        <v>30</v>
      </c>
      <c r="X1870" s="211" t="s">
        <v>1382</v>
      </c>
      <c r="Y1870" s="211" t="s">
        <v>1389</v>
      </c>
      <c r="Z1870" s="212">
        <f>AVERAGE(Sheet1!BP1870:BQ1870)</f>
        <v>1.475155</v>
      </c>
      <c r="AA1870" s="360">
        <v>35</v>
      </c>
      <c r="AB1870" s="360">
        <v>55</v>
      </c>
      <c r="AC1870" s="208" t="s">
        <v>450</v>
      </c>
      <c r="AD1870" s="208"/>
      <c r="AE1870" s="208"/>
      <c r="AF1870" s="208"/>
      <c r="AG1870" s="208" t="s">
        <v>2053</v>
      </c>
      <c r="AH1870" s="208"/>
      <c r="AI1870" s="208" t="s">
        <v>577</v>
      </c>
      <c r="AJ1870" s="208" t="s">
        <v>2058</v>
      </c>
      <c r="AK1870" s="164" t="s">
        <v>229</v>
      </c>
      <c r="AL1870" s="208"/>
      <c r="AM1870" s="208"/>
      <c r="AN1870" s="208"/>
      <c r="AO1870" s="208" t="s">
        <v>2018</v>
      </c>
      <c r="AP1870" s="208" t="s">
        <v>2018</v>
      </c>
      <c r="AQ1870" s="164" t="s">
        <v>2125</v>
      </c>
      <c r="AR1870" s="164" t="s">
        <v>2125</v>
      </c>
      <c r="AS1870" s="37" t="s">
        <v>177</v>
      </c>
      <c r="AT1870" s="208" t="s">
        <v>2057</v>
      </c>
      <c r="AU1870" s="208"/>
      <c r="AW1870" s="164" t="s">
        <v>119</v>
      </c>
      <c r="AX1870" s="208">
        <v>3</v>
      </c>
      <c r="AY1870" s="208"/>
      <c r="AZ1870" s="208" t="s">
        <v>141</v>
      </c>
      <c r="BA1870" s="208"/>
      <c r="BB1870" s="208"/>
      <c r="BC1870" s="208"/>
      <c r="BD1870" s="208"/>
      <c r="BE1870" s="208"/>
      <c r="BK1870" s="208"/>
      <c r="BL1870" s="208"/>
      <c r="BM1870" s="208"/>
      <c r="BP1870" s="435">
        <v>1.34161</v>
      </c>
      <c r="BQ1870" s="435">
        <v>1.6087</v>
      </c>
      <c r="BU1870" s="435">
        <v>1.5349999999999999</v>
      </c>
      <c r="BV1870" s="435">
        <v>1.5347373677894471</v>
      </c>
      <c r="BZ1870" s="435"/>
      <c r="CA1870" s="435"/>
      <c r="CD1870" s="37" t="s">
        <v>3120</v>
      </c>
      <c r="CE1870" s="588">
        <v>1.5349999999999999</v>
      </c>
      <c r="CF1870" s="588">
        <v>1.5347373677894471</v>
      </c>
      <c r="CG1870" s="588"/>
      <c r="CH1870" s="588"/>
      <c r="CI1870" s="37" t="s">
        <v>4546</v>
      </c>
      <c r="JB1870" s="208"/>
      <c r="JC1870" s="208"/>
      <c r="JD1870" s="214"/>
    </row>
    <row r="1871" spans="1:264" s="213" customFormat="1" x14ac:dyDescent="0.25">
      <c r="A1871" s="208">
        <v>89</v>
      </c>
      <c r="B1871" s="210" t="s">
        <v>4150</v>
      </c>
      <c r="C1871" s="208" t="s">
        <v>2056</v>
      </c>
      <c r="D1871" s="208"/>
      <c r="E1871" s="208">
        <v>1997</v>
      </c>
      <c r="F1871" s="208">
        <v>1993</v>
      </c>
      <c r="G1871" s="208" t="s">
        <v>2055</v>
      </c>
      <c r="H1871" s="208" t="s">
        <v>2054</v>
      </c>
      <c r="I1871" s="164" t="s">
        <v>2815</v>
      </c>
      <c r="J1871" s="208">
        <v>47.87</v>
      </c>
      <c r="K1871" s="208">
        <v>-121.82</v>
      </c>
      <c r="L1871" s="209">
        <v>114</v>
      </c>
      <c r="M1871" s="209">
        <v>10.7</v>
      </c>
      <c r="N1871" s="208"/>
      <c r="O1871" s="209">
        <v>1633</v>
      </c>
      <c r="P1871" s="208"/>
      <c r="Q1871" s="208"/>
      <c r="R1871" s="164">
        <v>7</v>
      </c>
      <c r="S1871" s="165" t="s">
        <v>1982</v>
      </c>
      <c r="U1871" s="165" t="s">
        <v>2091</v>
      </c>
      <c r="V1871" s="208" t="s">
        <v>1382</v>
      </c>
      <c r="W1871" s="211">
        <v>15</v>
      </c>
      <c r="X1871" s="211" t="s">
        <v>1382</v>
      </c>
      <c r="Y1871" s="211" t="s">
        <v>1389</v>
      </c>
      <c r="Z1871" s="212">
        <f>AVERAGE(Sheet1!BP1871:BQ1871)</f>
        <v>1.3424800000000001</v>
      </c>
      <c r="AA1871" s="360">
        <v>35</v>
      </c>
      <c r="AB1871" s="360">
        <v>55</v>
      </c>
      <c r="AC1871" s="208" t="s">
        <v>450</v>
      </c>
      <c r="AD1871" s="208"/>
      <c r="AE1871" s="208"/>
      <c r="AF1871" s="208"/>
      <c r="AG1871" s="208" t="s">
        <v>2053</v>
      </c>
      <c r="AH1871" s="208" t="s">
        <v>2024</v>
      </c>
      <c r="AI1871" s="208" t="s">
        <v>577</v>
      </c>
      <c r="AJ1871" s="208" t="s">
        <v>2058</v>
      </c>
      <c r="AK1871" s="164" t="s">
        <v>229</v>
      </c>
      <c r="AL1871" s="208"/>
      <c r="AM1871" s="208"/>
      <c r="AN1871" s="208"/>
      <c r="AO1871" s="208" t="s">
        <v>2018</v>
      </c>
      <c r="AP1871" s="208" t="s">
        <v>2018</v>
      </c>
      <c r="AQ1871" s="164" t="s">
        <v>2125</v>
      </c>
      <c r="AR1871" s="164" t="s">
        <v>2125</v>
      </c>
      <c r="AS1871" s="37" t="s">
        <v>177</v>
      </c>
      <c r="AT1871" s="208" t="s">
        <v>2057</v>
      </c>
      <c r="AU1871" s="208"/>
      <c r="AW1871" s="164" t="s">
        <v>119</v>
      </c>
      <c r="AX1871" s="208">
        <v>3</v>
      </c>
      <c r="AY1871" s="208"/>
      <c r="AZ1871" s="208" t="s">
        <v>141</v>
      </c>
      <c r="BA1871" s="208"/>
      <c r="BB1871" s="208">
        <v>3480</v>
      </c>
      <c r="BC1871" s="208">
        <v>10</v>
      </c>
      <c r="BD1871" s="208"/>
      <c r="BE1871" s="208"/>
      <c r="BK1871" s="208"/>
      <c r="BL1871" s="208"/>
      <c r="BM1871" s="208"/>
      <c r="BP1871" s="435">
        <v>1.34422</v>
      </c>
      <c r="BQ1871" s="435">
        <v>1.34074</v>
      </c>
      <c r="BU1871" s="435">
        <v>1.52</v>
      </c>
      <c r="BV1871" s="435">
        <v>1.54</v>
      </c>
      <c r="BZ1871" s="435"/>
      <c r="CA1871" s="435"/>
      <c r="CD1871" s="37" t="s">
        <v>3120</v>
      </c>
      <c r="CE1871" s="588">
        <v>1.52</v>
      </c>
      <c r="CF1871" s="588">
        <v>1.54</v>
      </c>
      <c r="CG1871" s="588"/>
      <c r="CH1871" s="588"/>
      <c r="CI1871" s="37" t="s">
        <v>4546</v>
      </c>
      <c r="JB1871" s="208" t="s">
        <v>2086</v>
      </c>
      <c r="JC1871" s="208"/>
      <c r="JD1871" s="214"/>
    </row>
    <row r="1872" spans="1:264" s="213" customFormat="1" x14ac:dyDescent="0.25">
      <c r="A1872" s="208">
        <v>89</v>
      </c>
      <c r="B1872" s="210" t="s">
        <v>4151</v>
      </c>
      <c r="C1872" s="208" t="s">
        <v>2056</v>
      </c>
      <c r="D1872" s="208"/>
      <c r="E1872" s="208">
        <v>1997</v>
      </c>
      <c r="F1872" s="208">
        <v>1993</v>
      </c>
      <c r="G1872" s="208" t="s">
        <v>2055</v>
      </c>
      <c r="H1872" s="208" t="s">
        <v>2054</v>
      </c>
      <c r="I1872" s="164" t="s">
        <v>2815</v>
      </c>
      <c r="J1872" s="208">
        <v>47.87</v>
      </c>
      <c r="K1872" s="208">
        <v>-121.82</v>
      </c>
      <c r="L1872" s="209">
        <v>114</v>
      </c>
      <c r="M1872" s="209">
        <v>10.7</v>
      </c>
      <c r="N1872" s="208"/>
      <c r="O1872" s="209">
        <v>1633</v>
      </c>
      <c r="P1872" s="208"/>
      <c r="Q1872" s="208"/>
      <c r="R1872" s="164">
        <v>7</v>
      </c>
      <c r="S1872" s="165" t="s">
        <v>1982</v>
      </c>
      <c r="U1872" s="165" t="s">
        <v>2091</v>
      </c>
      <c r="V1872" s="208" t="s">
        <v>1390</v>
      </c>
      <c r="W1872" s="211">
        <v>15</v>
      </c>
      <c r="X1872" s="211" t="s">
        <v>1382</v>
      </c>
      <c r="Y1872" s="211" t="s">
        <v>1389</v>
      </c>
      <c r="Z1872" s="212">
        <f>AVERAGE(Sheet1!BP1872:BQ1872)</f>
        <v>1.35379</v>
      </c>
      <c r="AA1872" s="360">
        <v>35</v>
      </c>
      <c r="AB1872" s="360">
        <v>55</v>
      </c>
      <c r="AC1872" s="208" t="s">
        <v>450</v>
      </c>
      <c r="AD1872" s="208"/>
      <c r="AE1872" s="208"/>
      <c r="AF1872" s="208"/>
      <c r="AG1872" s="208" t="s">
        <v>2053</v>
      </c>
      <c r="AH1872" s="208" t="s">
        <v>2024</v>
      </c>
      <c r="AI1872" s="208" t="s">
        <v>577</v>
      </c>
      <c r="AJ1872" s="208" t="s">
        <v>2058</v>
      </c>
      <c r="AK1872" s="164" t="s">
        <v>229</v>
      </c>
      <c r="AL1872" s="208"/>
      <c r="AM1872" s="208"/>
      <c r="AN1872" s="208"/>
      <c r="AO1872" s="208" t="s">
        <v>2018</v>
      </c>
      <c r="AP1872" s="208" t="s">
        <v>2018</v>
      </c>
      <c r="AQ1872" s="164" t="s">
        <v>2125</v>
      </c>
      <c r="AR1872" s="164" t="s">
        <v>2125</v>
      </c>
      <c r="AS1872" s="37" t="s">
        <v>177</v>
      </c>
      <c r="AT1872" s="208" t="s">
        <v>2057</v>
      </c>
      <c r="AU1872" s="208"/>
      <c r="AW1872" s="164" t="s">
        <v>119</v>
      </c>
      <c r="AX1872" s="208">
        <v>3</v>
      </c>
      <c r="AY1872" s="208"/>
      <c r="AZ1872" s="208" t="s">
        <v>141</v>
      </c>
      <c r="BA1872" s="208"/>
      <c r="BB1872" s="208"/>
      <c r="BC1872" s="208"/>
      <c r="BD1872" s="208"/>
      <c r="BE1872" s="208"/>
      <c r="BK1872" s="208"/>
      <c r="BL1872" s="208"/>
      <c r="BM1872" s="208"/>
      <c r="BP1872" s="435">
        <v>1.35118</v>
      </c>
      <c r="BQ1872" s="435">
        <v>1.3564000000000001</v>
      </c>
      <c r="BU1872" s="435">
        <v>1.48</v>
      </c>
      <c r="BV1872" s="435">
        <v>1.45</v>
      </c>
      <c r="BZ1872" s="435"/>
      <c r="CA1872" s="435"/>
      <c r="CD1872" s="37" t="s">
        <v>3120</v>
      </c>
      <c r="CE1872" s="588">
        <v>1.48</v>
      </c>
      <c r="CF1872" s="588">
        <v>1.45</v>
      </c>
      <c r="CG1872" s="588"/>
      <c r="CH1872" s="588"/>
      <c r="CI1872" s="37" t="s">
        <v>4546</v>
      </c>
      <c r="JB1872" s="208" t="s">
        <v>2086</v>
      </c>
      <c r="JC1872" s="208"/>
      <c r="JD1872" s="214"/>
    </row>
    <row r="1873" spans="1:264" s="213" customFormat="1" x14ac:dyDescent="0.25">
      <c r="A1873" s="208">
        <v>89</v>
      </c>
      <c r="B1873" s="210" t="s">
        <v>4152</v>
      </c>
      <c r="C1873" s="208" t="s">
        <v>2056</v>
      </c>
      <c r="D1873" s="208"/>
      <c r="E1873" s="208">
        <v>1997</v>
      </c>
      <c r="F1873" s="208">
        <v>1993</v>
      </c>
      <c r="G1873" s="208" t="s">
        <v>2055</v>
      </c>
      <c r="H1873" s="208" t="s">
        <v>2054</v>
      </c>
      <c r="I1873" s="164" t="s">
        <v>2815</v>
      </c>
      <c r="J1873" s="208">
        <v>47.87</v>
      </c>
      <c r="K1873" s="208">
        <v>-121.82</v>
      </c>
      <c r="L1873" s="209">
        <v>114</v>
      </c>
      <c r="M1873" s="209">
        <v>10.7</v>
      </c>
      <c r="N1873" s="208"/>
      <c r="O1873" s="209">
        <v>1633</v>
      </c>
      <c r="P1873" s="208"/>
      <c r="Q1873" s="208"/>
      <c r="R1873" s="164">
        <v>7</v>
      </c>
      <c r="S1873" s="165" t="s">
        <v>1982</v>
      </c>
      <c r="U1873" s="165" t="s">
        <v>2091</v>
      </c>
      <c r="V1873" s="208" t="s">
        <v>1389</v>
      </c>
      <c r="W1873" s="211">
        <v>30</v>
      </c>
      <c r="X1873" s="211" t="s">
        <v>1382</v>
      </c>
      <c r="Y1873" s="211" t="s">
        <v>1389</v>
      </c>
      <c r="Z1873" s="212">
        <f>AVERAGE(Sheet1!BP1873:BQ1873)</f>
        <v>1.4782000000000002</v>
      </c>
      <c r="AA1873" s="360">
        <v>35</v>
      </c>
      <c r="AB1873" s="360">
        <v>55</v>
      </c>
      <c r="AC1873" s="208" t="s">
        <v>450</v>
      </c>
      <c r="AD1873" s="208"/>
      <c r="AE1873" s="208"/>
      <c r="AF1873" s="208"/>
      <c r="AG1873" s="208" t="s">
        <v>2053</v>
      </c>
      <c r="AH1873" s="208"/>
      <c r="AI1873" s="208" t="s">
        <v>577</v>
      </c>
      <c r="AJ1873" s="208" t="s">
        <v>2058</v>
      </c>
      <c r="AK1873" s="164" t="s">
        <v>229</v>
      </c>
      <c r="AL1873" s="208"/>
      <c r="AM1873" s="208"/>
      <c r="AN1873" s="208"/>
      <c r="AO1873" s="208" t="s">
        <v>2018</v>
      </c>
      <c r="AP1873" s="208" t="s">
        <v>2018</v>
      </c>
      <c r="AQ1873" s="164" t="s">
        <v>2125</v>
      </c>
      <c r="AR1873" s="164" t="s">
        <v>2125</v>
      </c>
      <c r="AS1873" s="37" t="s">
        <v>177</v>
      </c>
      <c r="AT1873" s="208" t="s">
        <v>2057</v>
      </c>
      <c r="AU1873" s="208"/>
      <c r="AW1873" s="164" t="s">
        <v>119</v>
      </c>
      <c r="AX1873" s="208">
        <v>3</v>
      </c>
      <c r="AY1873" s="208"/>
      <c r="AZ1873" s="208" t="s">
        <v>141</v>
      </c>
      <c r="BA1873" s="208"/>
      <c r="BB1873" s="208"/>
      <c r="BC1873" s="208"/>
      <c r="BD1873" s="208"/>
      <c r="BE1873" s="208"/>
      <c r="BK1873" s="208"/>
      <c r="BL1873" s="208"/>
      <c r="BM1873" s="208"/>
      <c r="BP1873" s="435">
        <v>1.3477000000000001</v>
      </c>
      <c r="BQ1873" s="435">
        <v>1.6087</v>
      </c>
      <c r="BU1873" s="435">
        <v>1.5</v>
      </c>
      <c r="BV1873" s="435">
        <v>1.4957036432440454</v>
      </c>
      <c r="BZ1873" s="435"/>
      <c r="CA1873" s="435"/>
      <c r="CD1873" s="37" t="s">
        <v>3120</v>
      </c>
      <c r="CE1873" s="588">
        <v>1.5</v>
      </c>
      <c r="CF1873" s="588">
        <v>1.4957036432440454</v>
      </c>
      <c r="CG1873" s="588"/>
      <c r="CH1873" s="588"/>
      <c r="CI1873" s="37" t="s">
        <v>4546</v>
      </c>
      <c r="JB1873" s="208"/>
      <c r="JC1873" s="208"/>
      <c r="JD1873" s="214"/>
    </row>
    <row r="1874" spans="1:264" x14ac:dyDescent="0.25">
      <c r="A1874" s="164">
        <v>89</v>
      </c>
      <c r="B1874" s="165" t="s">
        <v>4153</v>
      </c>
      <c r="C1874" s="164" t="s">
        <v>2056</v>
      </c>
      <c r="D1874" s="164"/>
      <c r="E1874" s="164">
        <v>1997</v>
      </c>
      <c r="F1874" s="164">
        <v>1992</v>
      </c>
      <c r="G1874" s="164" t="s">
        <v>2055</v>
      </c>
      <c r="H1874" s="164" t="s">
        <v>2054</v>
      </c>
      <c r="I1874" s="164" t="s">
        <v>2815</v>
      </c>
      <c r="J1874" s="164">
        <v>47.87</v>
      </c>
      <c r="K1874" s="164">
        <v>-121.82</v>
      </c>
      <c r="L1874" s="169">
        <v>114</v>
      </c>
      <c r="M1874" s="169">
        <v>10.7</v>
      </c>
      <c r="N1874" s="164"/>
      <c r="O1874" s="169">
        <v>1633</v>
      </c>
      <c r="P1874" s="164"/>
      <c r="Q1874" s="164"/>
      <c r="R1874" s="164">
        <v>6</v>
      </c>
      <c r="S1874" s="165" t="s">
        <v>1982</v>
      </c>
      <c r="U1874" s="165" t="s">
        <v>2091</v>
      </c>
      <c r="V1874" s="164" t="s">
        <v>1382</v>
      </c>
      <c r="W1874" s="168">
        <v>15</v>
      </c>
      <c r="X1874" s="168" t="s">
        <v>1382</v>
      </c>
      <c r="Y1874" s="168" t="s">
        <v>1389</v>
      </c>
      <c r="Z1874" s="166">
        <f>AVERAGE(Sheet1!BP1874:BQ1874)</f>
        <v>1.33813</v>
      </c>
      <c r="AA1874" s="358">
        <v>35</v>
      </c>
      <c r="AB1874" s="358">
        <v>55</v>
      </c>
      <c r="AC1874" s="164" t="s">
        <v>450</v>
      </c>
      <c r="AD1874" s="164"/>
      <c r="AE1874" s="164"/>
      <c r="AF1874" s="164"/>
      <c r="AG1874" s="164" t="s">
        <v>2053</v>
      </c>
      <c r="AH1874" s="164" t="s">
        <v>2059</v>
      </c>
      <c r="AI1874" s="164" t="s">
        <v>1129</v>
      </c>
      <c r="AJ1874" s="164" t="s">
        <v>2058</v>
      </c>
      <c r="AK1874" s="164" t="s">
        <v>229</v>
      </c>
      <c r="AL1874" s="164"/>
      <c r="AM1874" s="164"/>
      <c r="AN1874" s="164"/>
      <c r="AO1874" s="164" t="s">
        <v>2018</v>
      </c>
      <c r="AP1874" s="164" t="s">
        <v>2018</v>
      </c>
      <c r="AQ1874" s="164" t="s">
        <v>2125</v>
      </c>
      <c r="AR1874" s="164" t="s">
        <v>2125</v>
      </c>
      <c r="AS1874" s="37" t="s">
        <v>177</v>
      </c>
      <c r="AT1874" s="164" t="s">
        <v>2057</v>
      </c>
      <c r="AU1874" s="164"/>
      <c r="AW1874" s="164" t="s">
        <v>119</v>
      </c>
      <c r="AX1874" s="164">
        <v>3</v>
      </c>
      <c r="AY1874" s="164"/>
      <c r="AZ1874" s="164" t="s">
        <v>141</v>
      </c>
      <c r="BA1874" s="164"/>
      <c r="BB1874" s="164">
        <v>2590</v>
      </c>
      <c r="BC1874" s="164">
        <v>28</v>
      </c>
      <c r="BD1874" s="164"/>
      <c r="BE1874" s="164"/>
      <c r="BK1874" s="164"/>
      <c r="BL1874" s="164"/>
      <c r="BM1874" s="164"/>
      <c r="BP1874" s="433">
        <v>1.33552</v>
      </c>
      <c r="BQ1874" s="433">
        <v>1.34074</v>
      </c>
      <c r="BU1874" s="433">
        <v>1.5699999999999998</v>
      </c>
      <c r="BV1874" s="433">
        <v>1.54</v>
      </c>
      <c r="BZ1874" s="433"/>
      <c r="CA1874" s="433"/>
      <c r="CD1874" s="37" t="s">
        <v>3120</v>
      </c>
      <c r="CE1874" s="559">
        <v>1.5699999999999998</v>
      </c>
      <c r="CF1874" s="559">
        <v>1.54</v>
      </c>
      <c r="CG1874" s="556"/>
      <c r="CH1874" s="556"/>
      <c r="CI1874" s="37" t="s">
        <v>4546</v>
      </c>
      <c r="JB1874" s="164" t="s">
        <v>2086</v>
      </c>
      <c r="JC1874" s="164"/>
    </row>
    <row r="1875" spans="1:264" x14ac:dyDescent="0.25">
      <c r="A1875" s="164">
        <v>89</v>
      </c>
      <c r="B1875" s="165" t="s">
        <v>4154</v>
      </c>
      <c r="C1875" s="164" t="s">
        <v>2056</v>
      </c>
      <c r="D1875" s="164"/>
      <c r="E1875" s="164">
        <v>1997</v>
      </c>
      <c r="F1875" s="164">
        <v>1992</v>
      </c>
      <c r="G1875" s="164" t="s">
        <v>2055</v>
      </c>
      <c r="H1875" s="164" t="s">
        <v>2054</v>
      </c>
      <c r="I1875" s="164" t="s">
        <v>2815</v>
      </c>
      <c r="J1875" s="164">
        <v>47.87</v>
      </c>
      <c r="K1875" s="164">
        <v>-121.82</v>
      </c>
      <c r="L1875" s="169">
        <v>114</v>
      </c>
      <c r="M1875" s="169">
        <v>10.7</v>
      </c>
      <c r="N1875" s="164"/>
      <c r="O1875" s="169">
        <v>1633</v>
      </c>
      <c r="P1875" s="164"/>
      <c r="Q1875" s="164"/>
      <c r="R1875" s="164">
        <v>6</v>
      </c>
      <c r="S1875" s="165" t="s">
        <v>1982</v>
      </c>
      <c r="U1875" s="165" t="s">
        <v>2091</v>
      </c>
      <c r="V1875" s="164" t="s">
        <v>1390</v>
      </c>
      <c r="W1875" s="168">
        <v>15</v>
      </c>
      <c r="X1875" s="168" t="s">
        <v>1382</v>
      </c>
      <c r="Y1875" s="168" t="s">
        <v>1389</v>
      </c>
      <c r="Z1875" s="166">
        <f>AVERAGE(Sheet1!BP1875:BQ1875)</f>
        <v>1.3529200000000001</v>
      </c>
      <c r="AA1875" s="358">
        <v>35</v>
      </c>
      <c r="AB1875" s="358">
        <v>55</v>
      </c>
      <c r="AC1875" s="164" t="s">
        <v>450</v>
      </c>
      <c r="AD1875" s="164"/>
      <c r="AE1875" s="164"/>
      <c r="AF1875" s="164"/>
      <c r="AG1875" s="164" t="s">
        <v>2053</v>
      </c>
      <c r="AH1875" s="164" t="s">
        <v>2059</v>
      </c>
      <c r="AI1875" s="164" t="s">
        <v>1129</v>
      </c>
      <c r="AJ1875" s="164" t="s">
        <v>2058</v>
      </c>
      <c r="AK1875" s="164" t="s">
        <v>229</v>
      </c>
      <c r="AL1875" s="164"/>
      <c r="AM1875" s="164"/>
      <c r="AN1875" s="164"/>
      <c r="AO1875" s="164" t="s">
        <v>2018</v>
      </c>
      <c r="AP1875" s="164" t="s">
        <v>2018</v>
      </c>
      <c r="AQ1875" s="164" t="s">
        <v>2125</v>
      </c>
      <c r="AR1875" s="164" t="s">
        <v>2125</v>
      </c>
      <c r="AS1875" s="37" t="s">
        <v>177</v>
      </c>
      <c r="AT1875" s="164" t="s">
        <v>2057</v>
      </c>
      <c r="AU1875" s="164"/>
      <c r="AW1875" s="164" t="s">
        <v>119</v>
      </c>
      <c r="AX1875" s="164">
        <v>3</v>
      </c>
      <c r="AY1875" s="164"/>
      <c r="AZ1875" s="164" t="s">
        <v>141</v>
      </c>
      <c r="BA1875" s="164"/>
      <c r="BB1875" s="164"/>
      <c r="BC1875" s="164"/>
      <c r="BD1875" s="164"/>
      <c r="BE1875" s="164"/>
      <c r="BK1875" s="164"/>
      <c r="BL1875" s="164"/>
      <c r="BM1875" s="164"/>
      <c r="BP1875" s="433">
        <v>1.3477000000000001</v>
      </c>
      <c r="BQ1875" s="433">
        <v>1.3581400000000001</v>
      </c>
      <c r="BU1875" s="433">
        <v>1.5</v>
      </c>
      <c r="BV1875" s="433">
        <v>1.44</v>
      </c>
      <c r="BZ1875" s="433"/>
      <c r="CA1875" s="433"/>
      <c r="CD1875" s="37" t="s">
        <v>3120</v>
      </c>
      <c r="CE1875" s="559">
        <v>1.5</v>
      </c>
      <c r="CF1875" s="559">
        <v>1.44</v>
      </c>
      <c r="CG1875" s="556"/>
      <c r="CH1875" s="556"/>
      <c r="CI1875" s="37" t="s">
        <v>4546</v>
      </c>
      <c r="JB1875" s="164" t="s">
        <v>2086</v>
      </c>
      <c r="JC1875" s="164"/>
    </row>
    <row r="1876" spans="1:264" x14ac:dyDescent="0.25">
      <c r="A1876" s="164">
        <v>89</v>
      </c>
      <c r="B1876" s="165" t="s">
        <v>4155</v>
      </c>
      <c r="C1876" s="164" t="s">
        <v>2056</v>
      </c>
      <c r="D1876" s="164"/>
      <c r="E1876" s="164">
        <v>1997</v>
      </c>
      <c r="F1876" s="164">
        <v>1992</v>
      </c>
      <c r="G1876" s="164" t="s">
        <v>2055</v>
      </c>
      <c r="H1876" s="164" t="s">
        <v>2054</v>
      </c>
      <c r="I1876" s="164" t="s">
        <v>2815</v>
      </c>
      <c r="J1876" s="164">
        <v>47.87</v>
      </c>
      <c r="K1876" s="164">
        <v>-121.82</v>
      </c>
      <c r="L1876" s="169">
        <v>114</v>
      </c>
      <c r="M1876" s="169">
        <v>10.7</v>
      </c>
      <c r="N1876" s="164"/>
      <c r="O1876" s="169">
        <v>1633</v>
      </c>
      <c r="P1876" s="164"/>
      <c r="Q1876" s="164"/>
      <c r="R1876" s="164">
        <v>6</v>
      </c>
      <c r="S1876" s="165" t="s">
        <v>1982</v>
      </c>
      <c r="U1876" s="165" t="s">
        <v>2091</v>
      </c>
      <c r="V1876" s="164" t="s">
        <v>1389</v>
      </c>
      <c r="W1876" s="168">
        <v>30</v>
      </c>
      <c r="X1876" s="168" t="s">
        <v>1382</v>
      </c>
      <c r="Y1876" s="168" t="s">
        <v>1389</v>
      </c>
      <c r="Z1876" s="166">
        <f>AVERAGE(Sheet1!BP1876:BQ1876)</f>
        <v>1.475155</v>
      </c>
      <c r="AA1876" s="358">
        <v>35</v>
      </c>
      <c r="AB1876" s="358">
        <v>55</v>
      </c>
      <c r="AC1876" s="164" t="s">
        <v>450</v>
      </c>
      <c r="AD1876" s="164"/>
      <c r="AE1876" s="164"/>
      <c r="AF1876" s="164"/>
      <c r="AG1876" s="164" t="s">
        <v>2053</v>
      </c>
      <c r="AH1876" s="164"/>
      <c r="AI1876" s="164" t="s">
        <v>1129</v>
      </c>
      <c r="AJ1876" s="164" t="s">
        <v>2058</v>
      </c>
      <c r="AK1876" s="164" t="s">
        <v>229</v>
      </c>
      <c r="AL1876" s="164"/>
      <c r="AM1876" s="164"/>
      <c r="AN1876" s="164"/>
      <c r="AO1876" s="164" t="s">
        <v>2018</v>
      </c>
      <c r="AP1876" s="164" t="s">
        <v>2018</v>
      </c>
      <c r="AQ1876" s="164" t="s">
        <v>2125</v>
      </c>
      <c r="AR1876" s="164" t="s">
        <v>2125</v>
      </c>
      <c r="AS1876" s="37" t="s">
        <v>177</v>
      </c>
      <c r="AT1876" s="164" t="s">
        <v>2057</v>
      </c>
      <c r="AU1876" s="164"/>
      <c r="AW1876" s="164" t="s">
        <v>119</v>
      </c>
      <c r="AX1876" s="164">
        <v>3</v>
      </c>
      <c r="AY1876" s="164"/>
      <c r="AZ1876" s="164" t="s">
        <v>141</v>
      </c>
      <c r="BA1876" s="164"/>
      <c r="BB1876" s="164"/>
      <c r="BC1876" s="164"/>
      <c r="BD1876" s="164"/>
      <c r="BE1876" s="164"/>
      <c r="BK1876" s="164"/>
      <c r="BL1876" s="164"/>
      <c r="BM1876" s="164"/>
      <c r="BP1876" s="433">
        <v>1.34161</v>
      </c>
      <c r="BQ1876" s="433">
        <v>1.6087</v>
      </c>
      <c r="BU1876" s="433">
        <v>1.5349999999999999</v>
      </c>
      <c r="BV1876" s="433">
        <v>1.4983718070079981</v>
      </c>
      <c r="BZ1876" s="433"/>
      <c r="CA1876" s="433"/>
      <c r="CD1876" s="37" t="s">
        <v>3120</v>
      </c>
      <c r="CE1876" s="559">
        <v>1.5349999999999999</v>
      </c>
      <c r="CF1876" s="559">
        <v>1.4983718070079981</v>
      </c>
      <c r="CG1876" s="556"/>
      <c r="CH1876" s="556"/>
      <c r="CI1876" s="37" t="s">
        <v>4546</v>
      </c>
      <c r="JB1876" s="164"/>
      <c r="JC1876" s="164"/>
    </row>
    <row r="1877" spans="1:264" x14ac:dyDescent="0.25">
      <c r="A1877" s="164">
        <v>89</v>
      </c>
      <c r="B1877" s="165" t="s">
        <v>4153</v>
      </c>
      <c r="C1877" s="164" t="s">
        <v>2056</v>
      </c>
      <c r="D1877" s="164"/>
      <c r="E1877" s="164">
        <v>1997</v>
      </c>
      <c r="F1877" s="164">
        <v>1993</v>
      </c>
      <c r="G1877" s="164" t="s">
        <v>2055</v>
      </c>
      <c r="H1877" s="164" t="s">
        <v>2054</v>
      </c>
      <c r="I1877" s="164" t="s">
        <v>2815</v>
      </c>
      <c r="J1877" s="164">
        <v>47.87</v>
      </c>
      <c r="K1877" s="164">
        <v>-121.82</v>
      </c>
      <c r="L1877" s="169">
        <v>114</v>
      </c>
      <c r="M1877" s="169">
        <v>10.7</v>
      </c>
      <c r="N1877" s="164"/>
      <c r="O1877" s="169">
        <v>1633</v>
      </c>
      <c r="P1877" s="164"/>
      <c r="Q1877" s="164"/>
      <c r="R1877" s="164">
        <v>7</v>
      </c>
      <c r="S1877" s="165" t="s">
        <v>1982</v>
      </c>
      <c r="U1877" s="165" t="s">
        <v>2091</v>
      </c>
      <c r="V1877" s="164" t="s">
        <v>1382</v>
      </c>
      <c r="W1877" s="168">
        <v>15</v>
      </c>
      <c r="X1877" s="168" t="s">
        <v>1382</v>
      </c>
      <c r="Y1877" s="168" t="s">
        <v>1389</v>
      </c>
      <c r="Z1877" s="166">
        <f>AVERAGE(Sheet1!BP1877:BQ1877)</f>
        <v>1.34944</v>
      </c>
      <c r="AA1877" s="358">
        <v>35</v>
      </c>
      <c r="AB1877" s="358">
        <v>55</v>
      </c>
      <c r="AC1877" s="164" t="s">
        <v>450</v>
      </c>
      <c r="AD1877" s="164"/>
      <c r="AE1877" s="164"/>
      <c r="AF1877" s="164"/>
      <c r="AG1877" s="164" t="s">
        <v>2053</v>
      </c>
      <c r="AH1877" s="164" t="s">
        <v>2059</v>
      </c>
      <c r="AI1877" s="164" t="s">
        <v>1129</v>
      </c>
      <c r="AJ1877" s="164" t="s">
        <v>2058</v>
      </c>
      <c r="AK1877" s="164" t="s">
        <v>229</v>
      </c>
      <c r="AL1877" s="164"/>
      <c r="AM1877" s="164"/>
      <c r="AN1877" s="164"/>
      <c r="AO1877" s="164" t="s">
        <v>2018</v>
      </c>
      <c r="AP1877" s="164" t="s">
        <v>2018</v>
      </c>
      <c r="AQ1877" s="164" t="s">
        <v>2125</v>
      </c>
      <c r="AR1877" s="164" t="s">
        <v>2125</v>
      </c>
      <c r="AS1877" s="37" t="s">
        <v>177</v>
      </c>
      <c r="AT1877" s="164" t="s">
        <v>2057</v>
      </c>
      <c r="AU1877" s="164"/>
      <c r="AW1877" s="164" t="s">
        <v>119</v>
      </c>
      <c r="AX1877" s="164">
        <v>3</v>
      </c>
      <c r="AY1877" s="164"/>
      <c r="AZ1877" s="164" t="s">
        <v>141</v>
      </c>
      <c r="BA1877" s="164"/>
      <c r="BB1877" s="164"/>
      <c r="BC1877" s="164">
        <v>23</v>
      </c>
      <c r="BD1877" s="164"/>
      <c r="BE1877" s="164"/>
      <c r="BK1877" s="164"/>
      <c r="BL1877" s="164"/>
      <c r="BM1877" s="164"/>
      <c r="BP1877" s="433">
        <v>1.34422</v>
      </c>
      <c r="BQ1877" s="433">
        <v>1.35466</v>
      </c>
      <c r="BU1877" s="433">
        <v>1.52</v>
      </c>
      <c r="BV1877" s="433">
        <v>1.46</v>
      </c>
      <c r="BZ1877" s="433"/>
      <c r="CA1877" s="433"/>
      <c r="CD1877" s="37" t="s">
        <v>3120</v>
      </c>
      <c r="CE1877" s="559">
        <v>1.52</v>
      </c>
      <c r="CF1877" s="559">
        <v>1.46</v>
      </c>
      <c r="CG1877" s="556"/>
      <c r="CH1877" s="556"/>
      <c r="CI1877" s="37" t="s">
        <v>4546</v>
      </c>
      <c r="JB1877" s="164" t="s">
        <v>2086</v>
      </c>
      <c r="JC1877" s="164"/>
    </row>
    <row r="1878" spans="1:264" x14ac:dyDescent="0.25">
      <c r="A1878" s="164">
        <v>89</v>
      </c>
      <c r="B1878" s="165" t="s">
        <v>4154</v>
      </c>
      <c r="C1878" s="164" t="s">
        <v>2056</v>
      </c>
      <c r="D1878" s="164"/>
      <c r="E1878" s="164">
        <v>1997</v>
      </c>
      <c r="F1878" s="164">
        <v>1993</v>
      </c>
      <c r="G1878" s="164" t="s">
        <v>2055</v>
      </c>
      <c r="H1878" s="164" t="s">
        <v>2054</v>
      </c>
      <c r="I1878" s="164" t="s">
        <v>2815</v>
      </c>
      <c r="J1878" s="164">
        <v>47.87</v>
      </c>
      <c r="K1878" s="164">
        <v>-121.82</v>
      </c>
      <c r="L1878" s="169">
        <v>114</v>
      </c>
      <c r="M1878" s="169">
        <v>10.7</v>
      </c>
      <c r="N1878" s="164"/>
      <c r="O1878" s="169">
        <v>1633</v>
      </c>
      <c r="P1878" s="164"/>
      <c r="Q1878" s="164"/>
      <c r="R1878" s="164">
        <v>7</v>
      </c>
      <c r="S1878" s="165" t="s">
        <v>1982</v>
      </c>
      <c r="U1878" s="165" t="s">
        <v>2091</v>
      </c>
      <c r="V1878" s="164" t="s">
        <v>1390</v>
      </c>
      <c r="W1878" s="168">
        <v>15</v>
      </c>
      <c r="X1878" s="168" t="s">
        <v>1382</v>
      </c>
      <c r="Y1878" s="168" t="s">
        <v>1389</v>
      </c>
      <c r="Z1878" s="166">
        <f>AVERAGE(Sheet1!BP1878:BQ1878)</f>
        <v>1.3581400000000001</v>
      </c>
      <c r="AA1878" s="358">
        <v>35</v>
      </c>
      <c r="AB1878" s="358">
        <v>55</v>
      </c>
      <c r="AC1878" s="164" t="s">
        <v>450</v>
      </c>
      <c r="AD1878" s="164"/>
      <c r="AE1878" s="164"/>
      <c r="AF1878" s="164"/>
      <c r="AG1878" s="164" t="s">
        <v>2053</v>
      </c>
      <c r="AH1878" s="164" t="s">
        <v>2059</v>
      </c>
      <c r="AI1878" s="164" t="s">
        <v>1129</v>
      </c>
      <c r="AJ1878" s="164" t="s">
        <v>2058</v>
      </c>
      <c r="AK1878" s="164" t="s">
        <v>229</v>
      </c>
      <c r="AL1878" s="164"/>
      <c r="AM1878" s="164"/>
      <c r="AN1878" s="164"/>
      <c r="AO1878" s="164" t="s">
        <v>2018</v>
      </c>
      <c r="AP1878" s="164" t="s">
        <v>2018</v>
      </c>
      <c r="AQ1878" s="164" t="s">
        <v>2125</v>
      </c>
      <c r="AR1878" s="164" t="s">
        <v>2125</v>
      </c>
      <c r="AS1878" s="37" t="s">
        <v>177</v>
      </c>
      <c r="AT1878" s="164" t="s">
        <v>2057</v>
      </c>
      <c r="AU1878" s="164"/>
      <c r="AW1878" s="164" t="s">
        <v>119</v>
      </c>
      <c r="AX1878" s="164">
        <v>3</v>
      </c>
      <c r="AY1878" s="164"/>
      <c r="AZ1878" s="164" t="s">
        <v>141</v>
      </c>
      <c r="BA1878" s="164"/>
      <c r="BB1878" s="164"/>
      <c r="BC1878" s="164"/>
      <c r="BD1878" s="164"/>
      <c r="BE1878" s="164"/>
      <c r="BK1878" s="164"/>
      <c r="BL1878" s="164"/>
      <c r="BM1878" s="164"/>
      <c r="BP1878" s="433">
        <v>1.35118</v>
      </c>
      <c r="BQ1878" s="433">
        <v>1.3651</v>
      </c>
      <c r="BU1878" s="433">
        <v>1.48</v>
      </c>
      <c r="BV1878" s="433">
        <v>1.4</v>
      </c>
      <c r="BZ1878" s="433"/>
      <c r="CA1878" s="433"/>
      <c r="CD1878" s="37" t="s">
        <v>3120</v>
      </c>
      <c r="CE1878" s="559">
        <v>1.48</v>
      </c>
      <c r="CF1878" s="559">
        <v>1.4</v>
      </c>
      <c r="CG1878" s="556"/>
      <c r="CH1878" s="556"/>
      <c r="CI1878" s="37" t="s">
        <v>4546</v>
      </c>
      <c r="JB1878" s="164" t="s">
        <v>2086</v>
      </c>
      <c r="JC1878" s="164"/>
    </row>
    <row r="1879" spans="1:264" x14ac:dyDescent="0.25">
      <c r="A1879" s="164">
        <v>89</v>
      </c>
      <c r="B1879" s="165" t="s">
        <v>4155</v>
      </c>
      <c r="C1879" s="164" t="s">
        <v>2056</v>
      </c>
      <c r="D1879" s="164"/>
      <c r="E1879" s="164">
        <v>1997</v>
      </c>
      <c r="F1879" s="164">
        <v>1993</v>
      </c>
      <c r="G1879" s="164" t="s">
        <v>2055</v>
      </c>
      <c r="H1879" s="164" t="s">
        <v>2054</v>
      </c>
      <c r="I1879" s="164" t="s">
        <v>2815</v>
      </c>
      <c r="J1879" s="164">
        <v>47.87</v>
      </c>
      <c r="K1879" s="164">
        <v>-121.82</v>
      </c>
      <c r="L1879" s="169">
        <v>114</v>
      </c>
      <c r="M1879" s="169">
        <v>10.7</v>
      </c>
      <c r="N1879" s="164"/>
      <c r="O1879" s="169">
        <v>1633</v>
      </c>
      <c r="P1879" s="164"/>
      <c r="Q1879" s="164"/>
      <c r="R1879" s="164">
        <v>7</v>
      </c>
      <c r="S1879" s="165" t="s">
        <v>1982</v>
      </c>
      <c r="U1879" s="165" t="s">
        <v>2091</v>
      </c>
      <c r="V1879" s="164" t="s">
        <v>1389</v>
      </c>
      <c r="W1879" s="168">
        <v>30</v>
      </c>
      <c r="X1879" s="168" t="s">
        <v>1382</v>
      </c>
      <c r="Y1879" s="168" t="s">
        <v>1389</v>
      </c>
      <c r="Z1879" s="166">
        <f>AVERAGE(Sheet1!BP1879:BQ1879)</f>
        <v>1.4782000000000002</v>
      </c>
      <c r="AA1879" s="358">
        <v>35</v>
      </c>
      <c r="AB1879" s="358">
        <v>55</v>
      </c>
      <c r="AC1879" s="164" t="s">
        <v>450</v>
      </c>
      <c r="AD1879" s="164"/>
      <c r="AE1879" s="164"/>
      <c r="AF1879" s="164"/>
      <c r="AG1879" s="164" t="s">
        <v>2053</v>
      </c>
      <c r="AH1879" s="164"/>
      <c r="AI1879" s="164" t="s">
        <v>1129</v>
      </c>
      <c r="AJ1879" s="164" t="s">
        <v>2058</v>
      </c>
      <c r="AK1879" s="164" t="s">
        <v>229</v>
      </c>
      <c r="AL1879" s="164"/>
      <c r="AM1879" s="164"/>
      <c r="AN1879" s="164"/>
      <c r="AO1879" s="164" t="s">
        <v>2018</v>
      </c>
      <c r="AP1879" s="164" t="s">
        <v>2018</v>
      </c>
      <c r="AQ1879" s="164" t="s">
        <v>2125</v>
      </c>
      <c r="AR1879" s="164" t="s">
        <v>2125</v>
      </c>
      <c r="AS1879" s="37" t="s">
        <v>177</v>
      </c>
      <c r="AT1879" s="164" t="s">
        <v>2057</v>
      </c>
      <c r="AU1879" s="164"/>
      <c r="AW1879" s="164" t="s">
        <v>119</v>
      </c>
      <c r="AX1879" s="164">
        <v>3</v>
      </c>
      <c r="AY1879" s="164"/>
      <c r="AZ1879" s="164" t="s">
        <v>141</v>
      </c>
      <c r="BA1879" s="164"/>
      <c r="BB1879" s="164"/>
      <c r="BC1879" s="164"/>
      <c r="BD1879" s="164"/>
      <c r="BE1879" s="164"/>
      <c r="BK1879" s="164"/>
      <c r="BL1879" s="164"/>
      <c r="BM1879" s="164"/>
      <c r="BP1879" s="433">
        <v>1.3477000000000001</v>
      </c>
      <c r="BQ1879" s="433">
        <v>1.6087</v>
      </c>
      <c r="BU1879" s="433">
        <v>1.5</v>
      </c>
      <c r="BV1879" s="433">
        <v>1.4428075981301474</v>
      </c>
      <c r="BZ1879" s="433"/>
      <c r="CA1879" s="433"/>
      <c r="CD1879" s="37" t="s">
        <v>3120</v>
      </c>
      <c r="CE1879" s="559">
        <v>1.5</v>
      </c>
      <c r="CF1879" s="559">
        <v>1.4428075981301474</v>
      </c>
      <c r="CG1879" s="556"/>
      <c r="CH1879" s="556"/>
      <c r="CI1879" s="37" t="s">
        <v>4546</v>
      </c>
      <c r="JB1879" s="164"/>
      <c r="JC1879" s="164"/>
    </row>
    <row r="1880" spans="1:264" s="24" customFormat="1" x14ac:dyDescent="0.25">
      <c r="A1880" s="245">
        <v>90</v>
      </c>
      <c r="B1880" s="246" t="s">
        <v>4156</v>
      </c>
      <c r="C1880" s="245" t="s">
        <v>2052</v>
      </c>
      <c r="D1880" s="245"/>
      <c r="E1880" s="245">
        <v>1996</v>
      </c>
      <c r="F1880" s="245">
        <v>1994</v>
      </c>
      <c r="G1880" s="245" t="s">
        <v>2051</v>
      </c>
      <c r="H1880" s="250" t="s">
        <v>2050</v>
      </c>
      <c r="I1880" s="250" t="s">
        <v>2815</v>
      </c>
      <c r="J1880" s="245">
        <v>30.55</v>
      </c>
      <c r="K1880" s="245">
        <v>-87.88</v>
      </c>
      <c r="L1880" s="245">
        <v>235</v>
      </c>
      <c r="M1880" s="245">
        <v>18</v>
      </c>
      <c r="N1880" s="245"/>
      <c r="O1880" s="245">
        <v>1339</v>
      </c>
      <c r="P1880" s="245"/>
      <c r="Q1880" s="245"/>
      <c r="R1880" s="245">
        <v>19</v>
      </c>
      <c r="S1880" s="246" t="s">
        <v>2090</v>
      </c>
      <c r="U1880" s="246"/>
      <c r="V1880" s="245" t="s">
        <v>1389</v>
      </c>
      <c r="W1880" s="247">
        <v>30</v>
      </c>
      <c r="X1880" s="247" t="s">
        <v>1389</v>
      </c>
      <c r="Y1880" s="247" t="s">
        <v>1389</v>
      </c>
      <c r="Z1880" s="248">
        <f>AVERAGE(Sheet1!BP1880:BQ1880)</f>
        <v>1.8450000000000002</v>
      </c>
      <c r="AA1880" s="362">
        <v>68</v>
      </c>
      <c r="AB1880" s="362">
        <v>18.5</v>
      </c>
      <c r="AC1880" s="245" t="s">
        <v>240</v>
      </c>
      <c r="AD1880" s="245"/>
      <c r="AE1880" s="245"/>
      <c r="AF1880" s="245"/>
      <c r="AG1880" s="245" t="s">
        <v>2049</v>
      </c>
      <c r="AH1880" s="245" t="s">
        <v>2048</v>
      </c>
      <c r="AI1880" s="245" t="s">
        <v>577</v>
      </c>
      <c r="AJ1880" s="245" t="s">
        <v>2047</v>
      </c>
      <c r="AK1880" s="245" t="s">
        <v>1646</v>
      </c>
      <c r="AL1880" s="245"/>
      <c r="AM1880" s="245"/>
      <c r="AN1880" s="245"/>
      <c r="AO1880" s="245"/>
      <c r="AP1880" s="245"/>
      <c r="AQ1880" s="245"/>
      <c r="AR1880" s="245"/>
      <c r="AS1880" s="244"/>
      <c r="AT1880" s="245"/>
      <c r="AU1880" s="245"/>
      <c r="AV1880" s="251" t="s">
        <v>2046</v>
      </c>
      <c r="AW1880" s="245"/>
      <c r="AX1880" s="245"/>
      <c r="AY1880" s="245"/>
      <c r="AZ1880" s="245"/>
      <c r="BA1880" s="245"/>
      <c r="BB1880" s="245"/>
      <c r="BC1880" s="245"/>
      <c r="BD1880" s="245"/>
      <c r="BE1880" s="245"/>
      <c r="BK1880" s="245">
        <f>1.04*1000</f>
        <v>1040</v>
      </c>
      <c r="BL1880" s="245">
        <v>2500</v>
      </c>
      <c r="BM1880" s="245"/>
      <c r="BP1880" s="437">
        <v>1.84</v>
      </c>
      <c r="BQ1880" s="437">
        <v>1.85</v>
      </c>
      <c r="BU1880" s="437">
        <v>5.7999999999999996E-2</v>
      </c>
      <c r="BV1880" s="437">
        <v>0.20400000000000001</v>
      </c>
      <c r="BZ1880" s="437"/>
      <c r="CA1880" s="437"/>
      <c r="CD1880" s="24" t="s">
        <v>3120</v>
      </c>
      <c r="CE1880" s="548">
        <v>5.7999999999999996E-2</v>
      </c>
      <c r="CF1880" s="548">
        <v>0.20400000000000001</v>
      </c>
      <c r="CG1880" s="548"/>
      <c r="CH1880" s="548"/>
      <c r="CI1880" s="24" t="s">
        <v>4546</v>
      </c>
      <c r="JB1880" s="245" t="s">
        <v>2085</v>
      </c>
      <c r="JC1880" s="245"/>
      <c r="JD1880" s="249"/>
    </row>
    <row r="1881" spans="1:264" s="92" customFormat="1" x14ac:dyDescent="0.25">
      <c r="A1881" s="252">
        <v>91</v>
      </c>
      <c r="B1881" s="539" t="s">
        <v>4157</v>
      </c>
      <c r="C1881" s="252" t="s">
        <v>768</v>
      </c>
      <c r="D1881" s="253" t="s">
        <v>2118</v>
      </c>
      <c r="E1881" s="252">
        <v>2006</v>
      </c>
      <c r="F1881" s="253">
        <v>1999</v>
      </c>
      <c r="G1881" s="252" t="s">
        <v>946</v>
      </c>
      <c r="H1881" s="252" t="s">
        <v>2032</v>
      </c>
      <c r="I1881" s="252" t="s">
        <v>2815</v>
      </c>
      <c r="J1881" s="253">
        <v>32.56</v>
      </c>
      <c r="K1881" s="253">
        <v>-83.91</v>
      </c>
      <c r="L1881" s="254">
        <v>16</v>
      </c>
      <c r="M1881" s="254">
        <v>18.100000000000001</v>
      </c>
      <c r="N1881" s="253"/>
      <c r="O1881" s="254">
        <v>1258</v>
      </c>
      <c r="P1881" s="253"/>
      <c r="Q1881" s="253"/>
      <c r="R1881" s="254">
        <v>6</v>
      </c>
      <c r="S1881" s="255" t="s">
        <v>1975</v>
      </c>
      <c r="U1881" s="255" t="s">
        <v>2102</v>
      </c>
      <c r="V1881" s="256" t="s">
        <v>1388</v>
      </c>
      <c r="W1881" s="256">
        <v>10</v>
      </c>
      <c r="X1881" s="256" t="s">
        <v>1388</v>
      </c>
      <c r="Y1881" s="256" t="s">
        <v>1417</v>
      </c>
      <c r="Z1881" s="257">
        <f>AVERAGE(Sheet1!BP1881:BQ1881)</f>
        <v>1.421</v>
      </c>
      <c r="AA1881" s="363">
        <v>65</v>
      </c>
      <c r="AB1881" s="363">
        <v>25</v>
      </c>
      <c r="AC1881" s="253" t="s">
        <v>240</v>
      </c>
      <c r="AD1881" s="253"/>
      <c r="AE1881" s="253"/>
      <c r="AF1881" s="253"/>
      <c r="AG1881" s="252" t="s">
        <v>2029</v>
      </c>
      <c r="AH1881" s="254" t="s">
        <v>131</v>
      </c>
      <c r="AI1881" s="254" t="s">
        <v>131</v>
      </c>
      <c r="AJ1881" s="254" t="s">
        <v>2027</v>
      </c>
      <c r="AK1881" s="253" t="s">
        <v>1646</v>
      </c>
      <c r="AL1881" s="253"/>
      <c r="AM1881" s="253"/>
      <c r="AN1881" s="253"/>
      <c r="AO1881" s="254" t="s">
        <v>1046</v>
      </c>
      <c r="AP1881" s="254" t="s">
        <v>1046</v>
      </c>
      <c r="AQ1881" s="254" t="s">
        <v>2126</v>
      </c>
      <c r="AR1881" s="254" t="s">
        <v>2126</v>
      </c>
      <c r="AS1881" s="92" t="s">
        <v>177</v>
      </c>
      <c r="AT1881" s="253" t="s">
        <v>161</v>
      </c>
      <c r="AU1881" s="253"/>
      <c r="AV1881" s="258" t="s">
        <v>2025</v>
      </c>
      <c r="AW1881" s="253" t="s">
        <v>160</v>
      </c>
      <c r="AX1881" s="254">
        <v>4</v>
      </c>
      <c r="AY1881" s="254">
        <v>4</v>
      </c>
      <c r="AZ1881" s="253" t="s">
        <v>141</v>
      </c>
      <c r="BA1881" s="253"/>
      <c r="BB1881" s="254">
        <f>1/3*12160</f>
        <v>4053.333333333333</v>
      </c>
      <c r="BC1881" s="253"/>
      <c r="BD1881" s="253"/>
      <c r="BE1881" s="253"/>
      <c r="BL1881" s="254"/>
      <c r="BM1881" s="253"/>
      <c r="BP1881" s="438">
        <f t="shared" ref="BP1881:BP1925" si="284">BQ1881</f>
        <v>1.421</v>
      </c>
      <c r="BQ1881" s="439">
        <v>1.421</v>
      </c>
      <c r="BU1881" s="438">
        <v>0.74595355383532724</v>
      </c>
      <c r="BV1881" s="438">
        <v>0.78184377199155519</v>
      </c>
      <c r="BW1881" s="92">
        <f t="shared" ref="BW1881:BX1885" si="285">BU1881*(CB1881/BZ1881)</f>
        <v>7.0372976776917673E-2</v>
      </c>
      <c r="BX1881" s="92">
        <f t="shared" si="285"/>
        <v>7.0372976776917659E-2</v>
      </c>
      <c r="BZ1881" s="92">
        <v>10.6</v>
      </c>
      <c r="CA1881" s="92">
        <v>11.11</v>
      </c>
      <c r="CB1881" s="92">
        <v>1</v>
      </c>
      <c r="CC1881" s="92">
        <v>1</v>
      </c>
      <c r="CD1881" s="92" t="s">
        <v>992</v>
      </c>
      <c r="CE1881" s="577">
        <v>10.6</v>
      </c>
      <c r="CF1881" s="577">
        <v>11.11</v>
      </c>
      <c r="CG1881" s="577">
        <v>1</v>
      </c>
      <c r="CH1881" s="577">
        <v>1</v>
      </c>
      <c r="CI1881" s="92" t="s">
        <v>4546</v>
      </c>
      <c r="JB1881" s="254" t="s">
        <v>2083</v>
      </c>
      <c r="JC1881" s="253"/>
      <c r="JD1881" s="259"/>
    </row>
    <row r="1882" spans="1:264" s="92" customFormat="1" x14ac:dyDescent="0.25">
      <c r="A1882" s="252">
        <v>91</v>
      </c>
      <c r="B1882" s="539" t="s">
        <v>4158</v>
      </c>
      <c r="C1882" s="252" t="s">
        <v>768</v>
      </c>
      <c r="D1882" s="253" t="s">
        <v>2118</v>
      </c>
      <c r="E1882" s="252">
        <v>2006</v>
      </c>
      <c r="F1882" s="253">
        <v>1999</v>
      </c>
      <c r="G1882" s="252" t="s">
        <v>946</v>
      </c>
      <c r="H1882" s="252" t="s">
        <v>2032</v>
      </c>
      <c r="I1882" s="252" t="s">
        <v>2815</v>
      </c>
      <c r="J1882" s="253">
        <v>32.56</v>
      </c>
      <c r="K1882" s="253">
        <v>-83.91</v>
      </c>
      <c r="L1882" s="254">
        <v>16</v>
      </c>
      <c r="M1882" s="254">
        <v>18.100000000000001</v>
      </c>
      <c r="N1882" s="253"/>
      <c r="O1882" s="254">
        <v>1258</v>
      </c>
      <c r="P1882" s="253"/>
      <c r="Q1882" s="253"/>
      <c r="R1882" s="254">
        <v>6</v>
      </c>
      <c r="S1882" s="255" t="s">
        <v>1975</v>
      </c>
      <c r="U1882" s="255" t="s">
        <v>2102</v>
      </c>
      <c r="V1882" s="256" t="s">
        <v>1408</v>
      </c>
      <c r="W1882" s="256">
        <v>20</v>
      </c>
      <c r="X1882" s="256" t="s">
        <v>1388</v>
      </c>
      <c r="Y1882" s="256" t="s">
        <v>1417</v>
      </c>
      <c r="Z1882" s="257">
        <f>AVERAGE(Sheet1!BP1882:BQ1882)</f>
        <v>1.5469999999999999</v>
      </c>
      <c r="AA1882" s="363">
        <v>65</v>
      </c>
      <c r="AB1882" s="363">
        <v>25</v>
      </c>
      <c r="AC1882" s="253" t="s">
        <v>240</v>
      </c>
      <c r="AD1882" s="253"/>
      <c r="AE1882" s="253"/>
      <c r="AF1882" s="253"/>
      <c r="AG1882" s="252" t="s">
        <v>2029</v>
      </c>
      <c r="AH1882" s="254" t="s">
        <v>131</v>
      </c>
      <c r="AI1882" s="254" t="s">
        <v>131</v>
      </c>
      <c r="AJ1882" s="254" t="s">
        <v>2027</v>
      </c>
      <c r="AK1882" s="253" t="s">
        <v>1646</v>
      </c>
      <c r="AL1882" s="253"/>
      <c r="AM1882" s="253"/>
      <c r="AN1882" s="253"/>
      <c r="AO1882" s="254" t="s">
        <v>1046</v>
      </c>
      <c r="AP1882" s="254" t="s">
        <v>1046</v>
      </c>
      <c r="AQ1882" s="254" t="s">
        <v>2126</v>
      </c>
      <c r="AR1882" s="254" t="s">
        <v>2126</v>
      </c>
      <c r="AS1882" s="92" t="s">
        <v>2115</v>
      </c>
      <c r="AT1882" s="253" t="s">
        <v>161</v>
      </c>
      <c r="AU1882" s="253"/>
      <c r="AV1882" s="258" t="s">
        <v>2025</v>
      </c>
      <c r="AW1882" s="253" t="s">
        <v>160</v>
      </c>
      <c r="AX1882" s="254">
        <v>4</v>
      </c>
      <c r="AY1882" s="254">
        <v>4</v>
      </c>
      <c r="AZ1882" s="253" t="s">
        <v>141</v>
      </c>
      <c r="BA1882" s="253"/>
      <c r="BB1882" s="254"/>
      <c r="BC1882" s="253"/>
      <c r="BD1882" s="253"/>
      <c r="BE1882" s="253"/>
      <c r="BL1882" s="254"/>
      <c r="BM1882" s="253"/>
      <c r="BP1882" s="438">
        <f t="shared" si="284"/>
        <v>1.5469999999999999</v>
      </c>
      <c r="BQ1882" s="439">
        <v>1.5469999999999999</v>
      </c>
      <c r="BU1882" s="438">
        <v>0.45248868778280549</v>
      </c>
      <c r="BV1882" s="438">
        <v>0.45572074983839694</v>
      </c>
      <c r="BW1882" s="92">
        <f t="shared" si="285"/>
        <v>7.4337427278603749E-2</v>
      </c>
      <c r="BX1882" s="92">
        <f t="shared" si="285"/>
        <v>7.4337427278603763E-2</v>
      </c>
      <c r="BZ1882" s="92">
        <v>14.000000000000002</v>
      </c>
      <c r="CA1882" s="92">
        <v>14.099999999999998</v>
      </c>
      <c r="CB1882" s="92">
        <v>2.2999999999999998</v>
      </c>
      <c r="CC1882" s="92">
        <v>2.2999999999999998</v>
      </c>
      <c r="CD1882" s="92" t="s">
        <v>992</v>
      </c>
      <c r="CE1882" s="577">
        <v>14.000000000000002</v>
      </c>
      <c r="CF1882" s="577">
        <v>14.099999999999998</v>
      </c>
      <c r="CG1882" s="577">
        <v>2.2999999999999998</v>
      </c>
      <c r="CH1882" s="577">
        <v>2.2999999999999998</v>
      </c>
      <c r="CI1882" s="92" t="s">
        <v>4546</v>
      </c>
      <c r="JB1882" s="254" t="s">
        <v>2083</v>
      </c>
      <c r="JC1882" s="253"/>
      <c r="JD1882" s="259"/>
    </row>
    <row r="1883" spans="1:264" s="92" customFormat="1" x14ac:dyDescent="0.25">
      <c r="A1883" s="252">
        <v>91</v>
      </c>
      <c r="B1883" s="539" t="s">
        <v>4159</v>
      </c>
      <c r="C1883" s="252" t="s">
        <v>768</v>
      </c>
      <c r="D1883" s="253" t="s">
        <v>2118</v>
      </c>
      <c r="E1883" s="252">
        <v>2006</v>
      </c>
      <c r="F1883" s="253">
        <v>1999</v>
      </c>
      <c r="G1883" s="252" t="s">
        <v>946</v>
      </c>
      <c r="H1883" s="252" t="s">
        <v>2032</v>
      </c>
      <c r="I1883" s="252" t="s">
        <v>2815</v>
      </c>
      <c r="J1883" s="253">
        <v>32.56</v>
      </c>
      <c r="K1883" s="253">
        <v>-83.91</v>
      </c>
      <c r="L1883" s="254">
        <v>16</v>
      </c>
      <c r="M1883" s="254">
        <v>18.100000000000001</v>
      </c>
      <c r="N1883" s="253"/>
      <c r="O1883" s="254">
        <v>1258</v>
      </c>
      <c r="P1883" s="253"/>
      <c r="Q1883" s="253"/>
      <c r="R1883" s="254">
        <v>6</v>
      </c>
      <c r="S1883" s="255" t="s">
        <v>1975</v>
      </c>
      <c r="U1883" s="255" t="s">
        <v>2102</v>
      </c>
      <c r="V1883" s="256" t="s">
        <v>1402</v>
      </c>
      <c r="W1883" s="256">
        <v>30</v>
      </c>
      <c r="X1883" s="256" t="s">
        <v>1388</v>
      </c>
      <c r="Y1883" s="256" t="s">
        <v>1417</v>
      </c>
      <c r="Z1883" s="257">
        <f>AVERAGE(Sheet1!BP1883:BQ1883)</f>
        <v>1.3979999999999999</v>
      </c>
      <c r="AA1883" s="363">
        <v>65</v>
      </c>
      <c r="AB1883" s="363">
        <v>25</v>
      </c>
      <c r="AC1883" s="253" t="s">
        <v>240</v>
      </c>
      <c r="AD1883" s="253"/>
      <c r="AE1883" s="253"/>
      <c r="AF1883" s="253"/>
      <c r="AG1883" s="252" t="s">
        <v>2029</v>
      </c>
      <c r="AH1883" s="254" t="s">
        <v>131</v>
      </c>
      <c r="AI1883" s="254" t="s">
        <v>131</v>
      </c>
      <c r="AJ1883" s="254" t="s">
        <v>2027</v>
      </c>
      <c r="AK1883" s="253" t="s">
        <v>1646</v>
      </c>
      <c r="AL1883" s="253"/>
      <c r="AM1883" s="253"/>
      <c r="AN1883" s="253"/>
      <c r="AO1883" s="254" t="s">
        <v>1046</v>
      </c>
      <c r="AP1883" s="254" t="s">
        <v>1046</v>
      </c>
      <c r="AQ1883" s="254" t="s">
        <v>2126</v>
      </c>
      <c r="AR1883" s="254" t="s">
        <v>2126</v>
      </c>
      <c r="AS1883" s="92" t="s">
        <v>177</v>
      </c>
      <c r="AT1883" s="253" t="s">
        <v>161</v>
      </c>
      <c r="AU1883" s="253"/>
      <c r="AV1883" s="258" t="s">
        <v>2025</v>
      </c>
      <c r="AW1883" s="253" t="s">
        <v>160</v>
      </c>
      <c r="AX1883" s="254">
        <v>4</v>
      </c>
      <c r="AY1883" s="254">
        <v>4</v>
      </c>
      <c r="AZ1883" s="253" t="s">
        <v>141</v>
      </c>
      <c r="BA1883" s="253"/>
      <c r="BB1883" s="254"/>
      <c r="BC1883" s="253"/>
      <c r="BD1883" s="253"/>
      <c r="BE1883" s="253"/>
      <c r="BL1883" s="254"/>
      <c r="BM1883" s="253"/>
      <c r="BP1883" s="438">
        <f t="shared" si="284"/>
        <v>1.3979999999999999</v>
      </c>
      <c r="BQ1883" s="439">
        <v>1.3979999999999999</v>
      </c>
      <c r="BU1883" s="438">
        <v>0.24082021936099188</v>
      </c>
      <c r="BV1883" s="438">
        <v>0.24558893657606107</v>
      </c>
      <c r="BW1883" s="92">
        <f t="shared" si="285"/>
        <v>8.10681926561755E-2</v>
      </c>
      <c r="BX1883" s="92">
        <f t="shared" si="285"/>
        <v>8.1068192656175486E-2</v>
      </c>
      <c r="BZ1883" s="92">
        <v>10.099999999999998</v>
      </c>
      <c r="CA1883" s="92">
        <v>10.3</v>
      </c>
      <c r="CB1883" s="92">
        <v>3.4</v>
      </c>
      <c r="CC1883" s="92">
        <v>3.4</v>
      </c>
      <c r="CD1883" s="92" t="s">
        <v>992</v>
      </c>
      <c r="CE1883" s="577">
        <v>10.099999999999998</v>
      </c>
      <c r="CF1883" s="577">
        <v>10.3</v>
      </c>
      <c r="CG1883" s="577">
        <v>3.4</v>
      </c>
      <c r="CH1883" s="577">
        <v>3.4</v>
      </c>
      <c r="CI1883" s="92" t="s">
        <v>4546</v>
      </c>
      <c r="JB1883" s="254" t="s">
        <v>2083</v>
      </c>
      <c r="JC1883" s="253"/>
      <c r="JD1883" s="259"/>
    </row>
    <row r="1884" spans="1:264" s="92" customFormat="1" x14ac:dyDescent="0.25">
      <c r="A1884" s="252">
        <v>91</v>
      </c>
      <c r="B1884" s="539" t="s">
        <v>4160</v>
      </c>
      <c r="C1884" s="252" t="s">
        <v>768</v>
      </c>
      <c r="D1884" s="253" t="s">
        <v>2118</v>
      </c>
      <c r="E1884" s="252">
        <v>2006</v>
      </c>
      <c r="F1884" s="253">
        <v>1999</v>
      </c>
      <c r="G1884" s="252" t="s">
        <v>946</v>
      </c>
      <c r="H1884" s="252" t="s">
        <v>2032</v>
      </c>
      <c r="I1884" s="252" t="s">
        <v>2815</v>
      </c>
      <c r="J1884" s="253">
        <v>32.56</v>
      </c>
      <c r="K1884" s="253">
        <v>-83.91</v>
      </c>
      <c r="L1884" s="254">
        <v>16</v>
      </c>
      <c r="M1884" s="254">
        <v>18.100000000000001</v>
      </c>
      <c r="N1884" s="253"/>
      <c r="O1884" s="254">
        <v>1258</v>
      </c>
      <c r="P1884" s="253"/>
      <c r="Q1884" s="253"/>
      <c r="R1884" s="254">
        <v>6</v>
      </c>
      <c r="S1884" s="255" t="s">
        <v>1975</v>
      </c>
      <c r="U1884" s="255" t="s">
        <v>2102</v>
      </c>
      <c r="V1884" s="256" t="s">
        <v>1403</v>
      </c>
      <c r="W1884" s="256">
        <v>30</v>
      </c>
      <c r="X1884" s="256" t="s">
        <v>1388</v>
      </c>
      <c r="Y1884" s="256" t="s">
        <v>1417</v>
      </c>
      <c r="Z1884" s="257">
        <f>AVERAGE(Sheet1!BP1884:BQ1884)</f>
        <v>1.6160000000000001</v>
      </c>
      <c r="AA1884" s="363">
        <v>65</v>
      </c>
      <c r="AB1884" s="363">
        <v>25</v>
      </c>
      <c r="AC1884" s="253" t="s">
        <v>240</v>
      </c>
      <c r="AD1884" s="253"/>
      <c r="AE1884" s="253"/>
      <c r="AF1884" s="253"/>
      <c r="AG1884" s="252" t="s">
        <v>2029</v>
      </c>
      <c r="AH1884" s="254" t="s">
        <v>131</v>
      </c>
      <c r="AI1884" s="254" t="s">
        <v>131</v>
      </c>
      <c r="AJ1884" s="254" t="s">
        <v>2027</v>
      </c>
      <c r="AK1884" s="253" t="s">
        <v>1646</v>
      </c>
      <c r="AL1884" s="253"/>
      <c r="AM1884" s="253"/>
      <c r="AN1884" s="253"/>
      <c r="AO1884" s="254" t="s">
        <v>1046</v>
      </c>
      <c r="AP1884" s="254" t="s">
        <v>1046</v>
      </c>
      <c r="AQ1884" s="254" t="s">
        <v>2126</v>
      </c>
      <c r="AR1884" s="254" t="s">
        <v>2126</v>
      </c>
      <c r="AS1884" s="92" t="s">
        <v>2115</v>
      </c>
      <c r="AT1884" s="253" t="s">
        <v>161</v>
      </c>
      <c r="AU1884" s="253"/>
      <c r="AV1884" s="258" t="s">
        <v>2025</v>
      </c>
      <c r="AW1884" s="253" t="s">
        <v>160</v>
      </c>
      <c r="AX1884" s="254">
        <v>4</v>
      </c>
      <c r="AY1884" s="254">
        <v>4</v>
      </c>
      <c r="AZ1884" s="253" t="s">
        <v>141</v>
      </c>
      <c r="BA1884" s="253"/>
      <c r="BB1884" s="254"/>
      <c r="BC1884" s="253"/>
      <c r="BD1884" s="253"/>
      <c r="BE1884" s="253"/>
      <c r="BL1884" s="254"/>
      <c r="BM1884" s="253"/>
      <c r="BP1884" s="438">
        <f t="shared" si="284"/>
        <v>1.6160000000000001</v>
      </c>
      <c r="BQ1884" s="439">
        <v>1.6160000000000001</v>
      </c>
      <c r="BU1884" s="438">
        <v>0.17326732673267325</v>
      </c>
      <c r="BV1884" s="438">
        <v>0.16295379537953794</v>
      </c>
      <c r="BW1884" s="92">
        <f t="shared" si="285"/>
        <v>7.013201320132012E-2</v>
      </c>
      <c r="BX1884" s="92">
        <f t="shared" si="285"/>
        <v>7.013201320132012E-2</v>
      </c>
      <c r="BZ1884" s="92">
        <v>8.4</v>
      </c>
      <c r="CA1884" s="92">
        <v>7.9</v>
      </c>
      <c r="CB1884" s="92">
        <v>3.4</v>
      </c>
      <c r="CC1884" s="92">
        <v>3.4</v>
      </c>
      <c r="CD1884" s="92" t="s">
        <v>992</v>
      </c>
      <c r="CE1884" s="577">
        <v>8.4</v>
      </c>
      <c r="CF1884" s="577">
        <v>7.9</v>
      </c>
      <c r="CG1884" s="577">
        <v>3.4</v>
      </c>
      <c r="CH1884" s="577">
        <v>3.4</v>
      </c>
      <c r="CI1884" s="92" t="s">
        <v>4546</v>
      </c>
      <c r="JB1884" s="254" t="s">
        <v>2083</v>
      </c>
      <c r="JC1884" s="253"/>
      <c r="JD1884" s="259"/>
    </row>
    <row r="1885" spans="1:264" s="92" customFormat="1" x14ac:dyDescent="0.25">
      <c r="A1885" s="252">
        <v>91</v>
      </c>
      <c r="B1885" s="539" t="s">
        <v>4161</v>
      </c>
      <c r="C1885" s="252" t="s">
        <v>768</v>
      </c>
      <c r="D1885" s="253" t="s">
        <v>2118</v>
      </c>
      <c r="E1885" s="252">
        <v>2006</v>
      </c>
      <c r="F1885" s="253">
        <v>1999</v>
      </c>
      <c r="G1885" s="252" t="s">
        <v>946</v>
      </c>
      <c r="H1885" s="252" t="s">
        <v>2032</v>
      </c>
      <c r="I1885" s="252" t="s">
        <v>2815</v>
      </c>
      <c r="J1885" s="253">
        <v>32.56</v>
      </c>
      <c r="K1885" s="253">
        <v>-83.91</v>
      </c>
      <c r="L1885" s="254">
        <v>16</v>
      </c>
      <c r="M1885" s="254">
        <v>18.100000000000001</v>
      </c>
      <c r="N1885" s="253"/>
      <c r="O1885" s="254">
        <v>1258</v>
      </c>
      <c r="P1885" s="253"/>
      <c r="Q1885" s="253"/>
      <c r="R1885" s="254">
        <v>6</v>
      </c>
      <c r="S1885" s="255" t="s">
        <v>1975</v>
      </c>
      <c r="U1885" s="255" t="s">
        <v>2102</v>
      </c>
      <c r="V1885" s="256" t="s">
        <v>1415</v>
      </c>
      <c r="W1885" s="256">
        <v>30</v>
      </c>
      <c r="X1885" s="256" t="s">
        <v>1388</v>
      </c>
      <c r="Y1885" s="256" t="s">
        <v>1417</v>
      </c>
      <c r="Z1885" s="257">
        <f>AVERAGE(Sheet1!BP1885:BQ1885)</f>
        <v>1.6279999999999999</v>
      </c>
      <c r="AA1885" s="363">
        <v>65</v>
      </c>
      <c r="AB1885" s="363">
        <v>25</v>
      </c>
      <c r="AC1885" s="253" t="s">
        <v>240</v>
      </c>
      <c r="AD1885" s="253"/>
      <c r="AE1885" s="253"/>
      <c r="AF1885" s="253"/>
      <c r="AG1885" s="252" t="s">
        <v>2029</v>
      </c>
      <c r="AH1885" s="254" t="s">
        <v>131</v>
      </c>
      <c r="AI1885" s="254" t="s">
        <v>131</v>
      </c>
      <c r="AJ1885" s="254" t="s">
        <v>2027</v>
      </c>
      <c r="AK1885" s="253" t="s">
        <v>1646</v>
      </c>
      <c r="AL1885" s="253"/>
      <c r="AM1885" s="253"/>
      <c r="AN1885" s="253"/>
      <c r="AO1885" s="254" t="s">
        <v>1046</v>
      </c>
      <c r="AP1885" s="254" t="s">
        <v>1046</v>
      </c>
      <c r="AQ1885" s="254" t="s">
        <v>2126</v>
      </c>
      <c r="AR1885" s="254" t="s">
        <v>2126</v>
      </c>
      <c r="AS1885" s="92" t="s">
        <v>177</v>
      </c>
      <c r="AT1885" s="253" t="s">
        <v>161</v>
      </c>
      <c r="AU1885" s="253"/>
      <c r="AV1885" s="258" t="s">
        <v>2025</v>
      </c>
      <c r="AW1885" s="253" t="s">
        <v>160</v>
      </c>
      <c r="AX1885" s="254">
        <v>4</v>
      </c>
      <c r="AY1885" s="254">
        <v>4</v>
      </c>
      <c r="AZ1885" s="253" t="s">
        <v>141</v>
      </c>
      <c r="BA1885" s="253"/>
      <c r="BB1885" s="254"/>
      <c r="BC1885" s="253"/>
      <c r="BD1885" s="253"/>
      <c r="BE1885" s="253"/>
      <c r="BL1885" s="254"/>
      <c r="BM1885" s="253"/>
      <c r="BP1885" s="438">
        <f t="shared" si="284"/>
        <v>1.6279999999999999</v>
      </c>
      <c r="BQ1885" s="439">
        <v>1.6279999999999999</v>
      </c>
      <c r="BU1885" s="438">
        <v>0.14332514332514337</v>
      </c>
      <c r="BV1885" s="438">
        <v>0.10851760851760854</v>
      </c>
      <c r="BW1885" s="92">
        <f t="shared" si="285"/>
        <v>4.504504504504505E-2</v>
      </c>
      <c r="BX1885" s="92">
        <f t="shared" si="285"/>
        <v>4.504504504504505E-2</v>
      </c>
      <c r="BZ1885" s="92">
        <v>7.0000000000000018</v>
      </c>
      <c r="CA1885" s="92">
        <v>5.3000000000000007</v>
      </c>
      <c r="CB1885" s="92">
        <v>2.2000000000000002</v>
      </c>
      <c r="CC1885" s="92">
        <v>2.2000000000000002</v>
      </c>
      <c r="CD1885" s="92" t="s">
        <v>992</v>
      </c>
      <c r="CE1885" s="577">
        <v>7.0000000000000018</v>
      </c>
      <c r="CF1885" s="577">
        <v>5.3000000000000007</v>
      </c>
      <c r="CG1885" s="577">
        <v>2.2000000000000002</v>
      </c>
      <c r="CH1885" s="577">
        <v>2.2000000000000002</v>
      </c>
      <c r="CI1885" s="92" t="s">
        <v>4546</v>
      </c>
      <c r="JB1885" s="254" t="s">
        <v>2083</v>
      </c>
      <c r="JC1885" s="253"/>
      <c r="JD1885" s="259"/>
    </row>
    <row r="1886" spans="1:264" s="36" customFormat="1" x14ac:dyDescent="0.25">
      <c r="A1886" s="223">
        <v>91</v>
      </c>
      <c r="B1886" s="540" t="s">
        <v>4162</v>
      </c>
      <c r="C1886" s="223" t="s">
        <v>768</v>
      </c>
      <c r="D1886" s="224" t="s">
        <v>2118</v>
      </c>
      <c r="E1886" s="223">
        <v>2006</v>
      </c>
      <c r="F1886" s="224">
        <v>1999</v>
      </c>
      <c r="G1886" s="223" t="s">
        <v>946</v>
      </c>
      <c r="H1886" s="223" t="s">
        <v>2032</v>
      </c>
      <c r="I1886" s="252" t="s">
        <v>2815</v>
      </c>
      <c r="J1886" s="224">
        <v>32.56</v>
      </c>
      <c r="K1886" s="224">
        <v>-83.91</v>
      </c>
      <c r="L1886" s="225">
        <v>16</v>
      </c>
      <c r="M1886" s="225">
        <v>18.100000000000001</v>
      </c>
      <c r="N1886" s="224"/>
      <c r="O1886" s="225">
        <v>1258</v>
      </c>
      <c r="P1886" s="224"/>
      <c r="Q1886" s="224"/>
      <c r="R1886" s="225">
        <v>6</v>
      </c>
      <c r="S1886" s="226" t="s">
        <v>1975</v>
      </c>
      <c r="U1886" s="226" t="s">
        <v>2102</v>
      </c>
      <c r="V1886" s="227" t="s">
        <v>1388</v>
      </c>
      <c r="W1886" s="227">
        <v>10</v>
      </c>
      <c r="X1886" s="227" t="s">
        <v>1388</v>
      </c>
      <c r="Y1886" s="227" t="s">
        <v>1417</v>
      </c>
      <c r="Z1886" s="228">
        <f>AVERAGE(Sheet1!BP1886:BQ1886)</f>
        <v>1.421</v>
      </c>
      <c r="AA1886" s="364">
        <v>65</v>
      </c>
      <c r="AB1886" s="364">
        <v>25</v>
      </c>
      <c r="AC1886" s="224" t="s">
        <v>240</v>
      </c>
      <c r="AD1886" s="224"/>
      <c r="AE1886" s="224"/>
      <c r="AF1886" s="224"/>
      <c r="AG1886" s="223" t="s">
        <v>2029</v>
      </c>
      <c r="AH1886" s="225" t="s">
        <v>131</v>
      </c>
      <c r="AI1886" s="225" t="s">
        <v>131</v>
      </c>
      <c r="AJ1886" s="225" t="s">
        <v>2027</v>
      </c>
      <c r="AK1886" s="253" t="s">
        <v>1646</v>
      </c>
      <c r="AL1886" s="224"/>
      <c r="AM1886" s="224"/>
      <c r="AN1886" s="224"/>
      <c r="AO1886" s="225" t="s">
        <v>1046</v>
      </c>
      <c r="AP1886" s="225" t="s">
        <v>1046</v>
      </c>
      <c r="AQ1886" s="254" t="s">
        <v>2126</v>
      </c>
      <c r="AR1886" s="254" t="s">
        <v>2126</v>
      </c>
      <c r="AS1886" s="92" t="s">
        <v>2115</v>
      </c>
      <c r="AT1886" s="224" t="s">
        <v>2031</v>
      </c>
      <c r="AU1886" s="224"/>
      <c r="AV1886" s="229" t="s">
        <v>2025</v>
      </c>
      <c r="AW1886" s="253" t="s">
        <v>160</v>
      </c>
      <c r="AX1886" s="225">
        <v>4</v>
      </c>
      <c r="AY1886" s="225">
        <v>4</v>
      </c>
      <c r="AZ1886" s="224" t="s">
        <v>141</v>
      </c>
      <c r="BA1886" s="224"/>
      <c r="BB1886" s="225">
        <f>1/3*13740</f>
        <v>4580</v>
      </c>
      <c r="BC1886" s="224"/>
      <c r="BD1886" s="224"/>
      <c r="BE1886" s="224"/>
      <c r="BL1886" s="225"/>
      <c r="BM1886" s="224"/>
      <c r="BP1886" s="440">
        <f t="shared" si="284"/>
        <v>1.421</v>
      </c>
      <c r="BQ1886" s="440">
        <v>1.421</v>
      </c>
      <c r="BU1886" s="441">
        <v>0.74595355383532724</v>
      </c>
      <c r="BV1886" s="441">
        <v>0.78114004222378608</v>
      </c>
      <c r="BZ1886" s="36">
        <v>10.6</v>
      </c>
      <c r="CA1886" s="36">
        <v>11.100000000000001</v>
      </c>
      <c r="CB1886" s="36">
        <v>1</v>
      </c>
      <c r="CC1886" s="36">
        <v>1</v>
      </c>
      <c r="CD1886" s="92" t="s">
        <v>992</v>
      </c>
      <c r="CE1886" s="560">
        <v>10.6</v>
      </c>
      <c r="CF1886" s="560">
        <v>11.100000000000001</v>
      </c>
      <c r="CG1886" s="560"/>
      <c r="CH1886" s="560"/>
      <c r="CI1886" s="92" t="s">
        <v>4546</v>
      </c>
      <c r="JB1886" s="225" t="s">
        <v>2083</v>
      </c>
      <c r="JC1886" s="224"/>
      <c r="JD1886" s="230"/>
    </row>
    <row r="1887" spans="1:264" s="36" customFormat="1" x14ac:dyDescent="0.25">
      <c r="A1887" s="223">
        <v>91</v>
      </c>
      <c r="B1887" s="540" t="s">
        <v>4163</v>
      </c>
      <c r="C1887" s="223" t="s">
        <v>768</v>
      </c>
      <c r="D1887" s="224" t="s">
        <v>2118</v>
      </c>
      <c r="E1887" s="223">
        <v>2006</v>
      </c>
      <c r="F1887" s="224">
        <v>1999</v>
      </c>
      <c r="G1887" s="223" t="s">
        <v>946</v>
      </c>
      <c r="H1887" s="223" t="s">
        <v>2032</v>
      </c>
      <c r="I1887" s="252" t="s">
        <v>2815</v>
      </c>
      <c r="J1887" s="224">
        <v>32.56</v>
      </c>
      <c r="K1887" s="224">
        <v>-83.91</v>
      </c>
      <c r="L1887" s="225">
        <v>16</v>
      </c>
      <c r="M1887" s="225">
        <v>18.100000000000001</v>
      </c>
      <c r="N1887" s="224"/>
      <c r="O1887" s="225">
        <v>1258</v>
      </c>
      <c r="P1887" s="224"/>
      <c r="Q1887" s="224"/>
      <c r="R1887" s="225">
        <v>6</v>
      </c>
      <c r="S1887" s="226" t="s">
        <v>1975</v>
      </c>
      <c r="U1887" s="226" t="s">
        <v>2102</v>
      </c>
      <c r="V1887" s="227" t="s">
        <v>1408</v>
      </c>
      <c r="W1887" s="227">
        <v>20</v>
      </c>
      <c r="X1887" s="227" t="s">
        <v>1388</v>
      </c>
      <c r="Y1887" s="227" t="s">
        <v>1417</v>
      </c>
      <c r="Z1887" s="228">
        <f>AVERAGE(Sheet1!BP1887:BQ1887)</f>
        <v>1.5469999999999999</v>
      </c>
      <c r="AA1887" s="364">
        <v>65</v>
      </c>
      <c r="AB1887" s="364">
        <v>25</v>
      </c>
      <c r="AC1887" s="224" t="s">
        <v>240</v>
      </c>
      <c r="AD1887" s="224"/>
      <c r="AE1887" s="224"/>
      <c r="AF1887" s="224"/>
      <c r="AG1887" s="223" t="s">
        <v>2029</v>
      </c>
      <c r="AH1887" s="225" t="s">
        <v>131</v>
      </c>
      <c r="AI1887" s="225" t="s">
        <v>131</v>
      </c>
      <c r="AJ1887" s="225" t="s">
        <v>2027</v>
      </c>
      <c r="AK1887" s="253" t="s">
        <v>1646</v>
      </c>
      <c r="AL1887" s="224"/>
      <c r="AM1887" s="224"/>
      <c r="AN1887" s="224"/>
      <c r="AO1887" s="225" t="s">
        <v>1046</v>
      </c>
      <c r="AP1887" s="225" t="s">
        <v>1046</v>
      </c>
      <c r="AQ1887" s="254" t="s">
        <v>2126</v>
      </c>
      <c r="AR1887" s="254" t="s">
        <v>2126</v>
      </c>
      <c r="AS1887" s="92" t="s">
        <v>177</v>
      </c>
      <c r="AT1887" s="224" t="s">
        <v>2031</v>
      </c>
      <c r="AU1887" s="224"/>
      <c r="AV1887" s="229" t="s">
        <v>2025</v>
      </c>
      <c r="AW1887" s="253" t="s">
        <v>160</v>
      </c>
      <c r="AX1887" s="225">
        <v>4</v>
      </c>
      <c r="AY1887" s="225">
        <v>4</v>
      </c>
      <c r="AZ1887" s="224" t="s">
        <v>141</v>
      </c>
      <c r="BA1887" s="224"/>
      <c r="BB1887" s="225"/>
      <c r="BC1887" s="224"/>
      <c r="BD1887" s="224"/>
      <c r="BE1887" s="224"/>
      <c r="BL1887" s="225"/>
      <c r="BM1887" s="224"/>
      <c r="BP1887" s="440">
        <f t="shared" si="284"/>
        <v>1.5469999999999999</v>
      </c>
      <c r="BQ1887" s="440">
        <v>1.5469999999999999</v>
      </c>
      <c r="BU1887" s="441">
        <v>0.44602456367162258</v>
      </c>
      <c r="BV1887" s="441">
        <v>0.50420168067226889</v>
      </c>
      <c r="BZ1887" s="36">
        <v>13.8</v>
      </c>
      <c r="CA1887" s="36">
        <v>15.599999999999998</v>
      </c>
      <c r="CB1887" s="36">
        <v>2.2999999999999998</v>
      </c>
      <c r="CC1887" s="36">
        <v>2.2999999999999998</v>
      </c>
      <c r="CD1887" s="92" t="s">
        <v>992</v>
      </c>
      <c r="CE1887" s="560">
        <v>13.8</v>
      </c>
      <c r="CF1887" s="560">
        <v>15.599999999999998</v>
      </c>
      <c r="CG1887" s="560"/>
      <c r="CH1887" s="560"/>
      <c r="CI1887" s="92" t="s">
        <v>4546</v>
      </c>
      <c r="JB1887" s="225" t="s">
        <v>2083</v>
      </c>
      <c r="JC1887" s="224"/>
      <c r="JD1887" s="230"/>
    </row>
    <row r="1888" spans="1:264" s="36" customFormat="1" x14ac:dyDescent="0.25">
      <c r="A1888" s="223">
        <v>91</v>
      </c>
      <c r="B1888" s="540" t="s">
        <v>4164</v>
      </c>
      <c r="C1888" s="223" t="s">
        <v>768</v>
      </c>
      <c r="D1888" s="224" t="s">
        <v>2118</v>
      </c>
      <c r="E1888" s="223">
        <v>2006</v>
      </c>
      <c r="F1888" s="224">
        <v>1999</v>
      </c>
      <c r="G1888" s="223" t="s">
        <v>946</v>
      </c>
      <c r="H1888" s="223" t="s">
        <v>2032</v>
      </c>
      <c r="I1888" s="252" t="s">
        <v>2815</v>
      </c>
      <c r="J1888" s="224">
        <v>32.56</v>
      </c>
      <c r="K1888" s="224">
        <v>-83.91</v>
      </c>
      <c r="L1888" s="225">
        <v>16</v>
      </c>
      <c r="M1888" s="225">
        <v>18.100000000000001</v>
      </c>
      <c r="N1888" s="224"/>
      <c r="O1888" s="225">
        <v>1258</v>
      </c>
      <c r="P1888" s="224"/>
      <c r="Q1888" s="224"/>
      <c r="R1888" s="225">
        <v>6</v>
      </c>
      <c r="S1888" s="226" t="s">
        <v>1975</v>
      </c>
      <c r="U1888" s="226" t="s">
        <v>2102</v>
      </c>
      <c r="V1888" s="227" t="s">
        <v>1402</v>
      </c>
      <c r="W1888" s="227">
        <v>30</v>
      </c>
      <c r="X1888" s="227" t="s">
        <v>1388</v>
      </c>
      <c r="Y1888" s="227" t="s">
        <v>1417</v>
      </c>
      <c r="Z1888" s="228">
        <f>AVERAGE(Sheet1!BP1888:BQ1888)</f>
        <v>1.3979999999999999</v>
      </c>
      <c r="AA1888" s="364">
        <v>65</v>
      </c>
      <c r="AB1888" s="364">
        <v>25</v>
      </c>
      <c r="AC1888" s="224" t="s">
        <v>240</v>
      </c>
      <c r="AD1888" s="224"/>
      <c r="AE1888" s="224"/>
      <c r="AF1888" s="224"/>
      <c r="AG1888" s="223" t="s">
        <v>2029</v>
      </c>
      <c r="AH1888" s="225" t="s">
        <v>131</v>
      </c>
      <c r="AI1888" s="225" t="s">
        <v>131</v>
      </c>
      <c r="AJ1888" s="225" t="s">
        <v>2027</v>
      </c>
      <c r="AK1888" s="253" t="s">
        <v>1646</v>
      </c>
      <c r="AL1888" s="224"/>
      <c r="AM1888" s="224"/>
      <c r="AN1888" s="224"/>
      <c r="AO1888" s="225" t="s">
        <v>1046</v>
      </c>
      <c r="AP1888" s="225" t="s">
        <v>1046</v>
      </c>
      <c r="AQ1888" s="254" t="s">
        <v>2126</v>
      </c>
      <c r="AR1888" s="254" t="s">
        <v>2126</v>
      </c>
      <c r="AS1888" s="92" t="s">
        <v>2115</v>
      </c>
      <c r="AT1888" s="224" t="s">
        <v>2031</v>
      </c>
      <c r="AU1888" s="224"/>
      <c r="AV1888" s="229" t="s">
        <v>2025</v>
      </c>
      <c r="AW1888" s="253" t="s">
        <v>160</v>
      </c>
      <c r="AX1888" s="225">
        <v>4</v>
      </c>
      <c r="AY1888" s="225">
        <v>4</v>
      </c>
      <c r="AZ1888" s="224" t="s">
        <v>141</v>
      </c>
      <c r="BA1888" s="224"/>
      <c r="BB1888" s="225"/>
      <c r="BC1888" s="224"/>
      <c r="BD1888" s="224"/>
      <c r="BE1888" s="224"/>
      <c r="BL1888" s="225"/>
      <c r="BM1888" s="224"/>
      <c r="BP1888" s="440">
        <f t="shared" si="284"/>
        <v>1.3979999999999999</v>
      </c>
      <c r="BQ1888" s="440">
        <v>1.3979999999999999</v>
      </c>
      <c r="BU1888" s="441">
        <v>0.27896995708154504</v>
      </c>
      <c r="BV1888" s="441">
        <v>0.24558893657606107</v>
      </c>
      <c r="BZ1888" s="36">
        <v>11.700000000000001</v>
      </c>
      <c r="CA1888" s="36">
        <v>10.3</v>
      </c>
      <c r="CB1888" s="36">
        <v>3.4</v>
      </c>
      <c r="CC1888" s="36">
        <v>3.4</v>
      </c>
      <c r="CD1888" s="92" t="s">
        <v>992</v>
      </c>
      <c r="CE1888" s="560">
        <v>11.700000000000001</v>
      </c>
      <c r="CF1888" s="560">
        <v>10.3</v>
      </c>
      <c r="CG1888" s="560"/>
      <c r="CH1888" s="560"/>
      <c r="CI1888" s="92" t="s">
        <v>4546</v>
      </c>
      <c r="JB1888" s="225" t="s">
        <v>2083</v>
      </c>
      <c r="JC1888" s="224"/>
      <c r="JD1888" s="230"/>
    </row>
    <row r="1889" spans="1:264" s="36" customFormat="1" x14ac:dyDescent="0.25">
      <c r="A1889" s="223">
        <v>91</v>
      </c>
      <c r="B1889" s="540" t="s">
        <v>4165</v>
      </c>
      <c r="C1889" s="223" t="s">
        <v>768</v>
      </c>
      <c r="D1889" s="224" t="s">
        <v>2118</v>
      </c>
      <c r="E1889" s="223">
        <v>2006</v>
      </c>
      <c r="F1889" s="224">
        <v>1999</v>
      </c>
      <c r="G1889" s="223" t="s">
        <v>946</v>
      </c>
      <c r="H1889" s="223" t="s">
        <v>2032</v>
      </c>
      <c r="I1889" s="252" t="s">
        <v>2815</v>
      </c>
      <c r="J1889" s="224">
        <v>32.56</v>
      </c>
      <c r="K1889" s="224">
        <v>-83.91</v>
      </c>
      <c r="L1889" s="225">
        <v>16</v>
      </c>
      <c r="M1889" s="225">
        <v>18.100000000000001</v>
      </c>
      <c r="N1889" s="224"/>
      <c r="O1889" s="225">
        <v>1258</v>
      </c>
      <c r="P1889" s="224"/>
      <c r="Q1889" s="224"/>
      <c r="R1889" s="225">
        <v>6</v>
      </c>
      <c r="S1889" s="226" t="s">
        <v>1975</v>
      </c>
      <c r="U1889" s="226" t="s">
        <v>2102</v>
      </c>
      <c r="V1889" s="227" t="s">
        <v>1403</v>
      </c>
      <c r="W1889" s="227">
        <v>30</v>
      </c>
      <c r="X1889" s="227" t="s">
        <v>1388</v>
      </c>
      <c r="Y1889" s="227" t="s">
        <v>1417</v>
      </c>
      <c r="Z1889" s="228">
        <f>AVERAGE(Sheet1!BP1889:BQ1889)</f>
        <v>1.6160000000000001</v>
      </c>
      <c r="AA1889" s="364">
        <v>65</v>
      </c>
      <c r="AB1889" s="364">
        <v>25</v>
      </c>
      <c r="AC1889" s="224" t="s">
        <v>240</v>
      </c>
      <c r="AD1889" s="224"/>
      <c r="AE1889" s="224"/>
      <c r="AF1889" s="224"/>
      <c r="AG1889" s="223" t="s">
        <v>2029</v>
      </c>
      <c r="AH1889" s="225" t="s">
        <v>131</v>
      </c>
      <c r="AI1889" s="225" t="s">
        <v>131</v>
      </c>
      <c r="AJ1889" s="225" t="s">
        <v>2027</v>
      </c>
      <c r="AK1889" s="253" t="s">
        <v>1646</v>
      </c>
      <c r="AL1889" s="224"/>
      <c r="AM1889" s="224"/>
      <c r="AN1889" s="224"/>
      <c r="AO1889" s="225" t="s">
        <v>1046</v>
      </c>
      <c r="AP1889" s="225" t="s">
        <v>1046</v>
      </c>
      <c r="AQ1889" s="254" t="s">
        <v>2126</v>
      </c>
      <c r="AR1889" s="254" t="s">
        <v>2126</v>
      </c>
      <c r="AS1889" s="92" t="s">
        <v>177</v>
      </c>
      <c r="AT1889" s="224" t="s">
        <v>2031</v>
      </c>
      <c r="AU1889" s="224"/>
      <c r="AV1889" s="229" t="s">
        <v>2025</v>
      </c>
      <c r="AW1889" s="253" t="s">
        <v>160</v>
      </c>
      <c r="AX1889" s="225">
        <v>4</v>
      </c>
      <c r="AY1889" s="225">
        <v>4</v>
      </c>
      <c r="AZ1889" s="224" t="s">
        <v>141</v>
      </c>
      <c r="BA1889" s="224"/>
      <c r="BB1889" s="225"/>
      <c r="BC1889" s="224"/>
      <c r="BD1889" s="224"/>
      <c r="BE1889" s="224"/>
      <c r="BL1889" s="225"/>
      <c r="BM1889" s="224"/>
      <c r="BP1889" s="440">
        <f t="shared" si="284"/>
        <v>1.6160000000000001</v>
      </c>
      <c r="BQ1889" s="440">
        <v>1.6160000000000001</v>
      </c>
      <c r="BU1889" s="441">
        <v>0.19389438943894385</v>
      </c>
      <c r="BV1889" s="441">
        <v>0.16707920792079203</v>
      </c>
      <c r="BZ1889" s="36">
        <v>9.3999999999999986</v>
      </c>
      <c r="CA1889" s="36">
        <v>8.0999999999999979</v>
      </c>
      <c r="CB1889" s="36">
        <v>3.4</v>
      </c>
      <c r="CC1889" s="36">
        <v>3.4</v>
      </c>
      <c r="CD1889" s="92" t="s">
        <v>992</v>
      </c>
      <c r="CE1889" s="560">
        <v>9.3999999999999986</v>
      </c>
      <c r="CF1889" s="560">
        <v>8.0999999999999979</v>
      </c>
      <c r="CG1889" s="560"/>
      <c r="CH1889" s="560"/>
      <c r="CI1889" s="92" t="s">
        <v>4546</v>
      </c>
      <c r="JB1889" s="225" t="s">
        <v>2083</v>
      </c>
      <c r="JC1889" s="224"/>
      <c r="JD1889" s="230"/>
    </row>
    <row r="1890" spans="1:264" s="36" customFormat="1" x14ac:dyDescent="0.25">
      <c r="A1890" s="223">
        <v>91</v>
      </c>
      <c r="B1890" s="540" t="s">
        <v>4166</v>
      </c>
      <c r="C1890" s="223" t="s">
        <v>768</v>
      </c>
      <c r="D1890" s="224" t="s">
        <v>2118</v>
      </c>
      <c r="E1890" s="223">
        <v>2006</v>
      </c>
      <c r="F1890" s="224">
        <v>1999</v>
      </c>
      <c r="G1890" s="223" t="s">
        <v>946</v>
      </c>
      <c r="H1890" s="223" t="s">
        <v>2032</v>
      </c>
      <c r="I1890" s="252" t="s">
        <v>2815</v>
      </c>
      <c r="J1890" s="224">
        <v>32.56</v>
      </c>
      <c r="K1890" s="224">
        <v>-83.91</v>
      </c>
      <c r="L1890" s="225">
        <v>16</v>
      </c>
      <c r="M1890" s="225">
        <v>18.100000000000001</v>
      </c>
      <c r="N1890" s="224"/>
      <c r="O1890" s="225">
        <v>1258</v>
      </c>
      <c r="P1890" s="224"/>
      <c r="Q1890" s="224"/>
      <c r="R1890" s="225">
        <v>6</v>
      </c>
      <c r="S1890" s="226" t="s">
        <v>1975</v>
      </c>
      <c r="U1890" s="226" t="s">
        <v>2102</v>
      </c>
      <c r="V1890" s="227" t="s">
        <v>1415</v>
      </c>
      <c r="W1890" s="227">
        <v>30</v>
      </c>
      <c r="X1890" s="227" t="s">
        <v>1388</v>
      </c>
      <c r="Y1890" s="227" t="s">
        <v>1417</v>
      </c>
      <c r="Z1890" s="228">
        <f>AVERAGE(Sheet1!BP1890:BQ1890)</f>
        <v>1.6279999999999999</v>
      </c>
      <c r="AA1890" s="364">
        <v>65</v>
      </c>
      <c r="AB1890" s="364">
        <v>25</v>
      </c>
      <c r="AC1890" s="224" t="s">
        <v>240</v>
      </c>
      <c r="AD1890" s="224"/>
      <c r="AE1890" s="224"/>
      <c r="AF1890" s="224"/>
      <c r="AG1890" s="223" t="s">
        <v>2029</v>
      </c>
      <c r="AH1890" s="225" t="s">
        <v>131</v>
      </c>
      <c r="AI1890" s="225" t="s">
        <v>131</v>
      </c>
      <c r="AJ1890" s="225" t="s">
        <v>2027</v>
      </c>
      <c r="AK1890" s="253" t="s">
        <v>1646</v>
      </c>
      <c r="AL1890" s="224"/>
      <c r="AM1890" s="224"/>
      <c r="AN1890" s="224"/>
      <c r="AO1890" s="225" t="s">
        <v>1046</v>
      </c>
      <c r="AP1890" s="225" t="s">
        <v>1046</v>
      </c>
      <c r="AQ1890" s="254" t="s">
        <v>2126</v>
      </c>
      <c r="AR1890" s="254" t="s">
        <v>2126</v>
      </c>
      <c r="AS1890" s="92" t="s">
        <v>2115</v>
      </c>
      <c r="AT1890" s="224" t="s">
        <v>2031</v>
      </c>
      <c r="AU1890" s="224"/>
      <c r="AV1890" s="229" t="s">
        <v>2025</v>
      </c>
      <c r="AW1890" s="253" t="s">
        <v>160</v>
      </c>
      <c r="AX1890" s="225">
        <v>4</v>
      </c>
      <c r="AY1890" s="225">
        <v>4</v>
      </c>
      <c r="AZ1890" s="224" t="s">
        <v>141</v>
      </c>
      <c r="BA1890" s="224"/>
      <c r="BB1890" s="225"/>
      <c r="BC1890" s="224"/>
      <c r="BD1890" s="224"/>
      <c r="BE1890" s="224"/>
      <c r="BL1890" s="225"/>
      <c r="BM1890" s="224"/>
      <c r="BP1890" s="440">
        <f t="shared" si="284"/>
        <v>1.6279999999999999</v>
      </c>
      <c r="BQ1890" s="440">
        <v>1.6279999999999999</v>
      </c>
      <c r="BU1890" s="441">
        <v>0.13104013104013107</v>
      </c>
      <c r="BV1890" s="441">
        <v>0.11875511875511877</v>
      </c>
      <c r="BZ1890" s="36">
        <v>6.4</v>
      </c>
      <c r="CA1890" s="36">
        <v>5.8</v>
      </c>
      <c r="CB1890" s="36">
        <v>2.2000000000000002</v>
      </c>
      <c r="CC1890" s="36">
        <v>2.2000000000000002</v>
      </c>
      <c r="CD1890" s="92" t="s">
        <v>992</v>
      </c>
      <c r="CE1890" s="560">
        <v>6.4</v>
      </c>
      <c r="CF1890" s="560">
        <v>5.8</v>
      </c>
      <c r="CG1890" s="560"/>
      <c r="CH1890" s="560"/>
      <c r="CI1890" s="92" t="s">
        <v>4546</v>
      </c>
      <c r="JB1890" s="225" t="s">
        <v>2083</v>
      </c>
      <c r="JC1890" s="224"/>
      <c r="JD1890" s="230"/>
    </row>
    <row r="1891" spans="1:264" s="92" customFormat="1" x14ac:dyDescent="0.25">
      <c r="A1891" s="252">
        <v>91</v>
      </c>
      <c r="B1891" s="539" t="s">
        <v>4167</v>
      </c>
      <c r="C1891" s="252" t="s">
        <v>768</v>
      </c>
      <c r="D1891" s="253" t="s">
        <v>2118</v>
      </c>
      <c r="E1891" s="252">
        <v>2006</v>
      </c>
      <c r="F1891" s="253">
        <v>1999</v>
      </c>
      <c r="G1891" s="252" t="s">
        <v>946</v>
      </c>
      <c r="H1891" s="252" t="s">
        <v>2032</v>
      </c>
      <c r="I1891" s="252" t="s">
        <v>2815</v>
      </c>
      <c r="J1891" s="253">
        <v>32.56</v>
      </c>
      <c r="K1891" s="253">
        <v>-83.91</v>
      </c>
      <c r="L1891" s="254">
        <v>16</v>
      </c>
      <c r="M1891" s="254">
        <v>18.100000000000001</v>
      </c>
      <c r="N1891" s="253"/>
      <c r="O1891" s="254">
        <v>1258</v>
      </c>
      <c r="P1891" s="253"/>
      <c r="Q1891" s="253"/>
      <c r="R1891" s="254">
        <v>6</v>
      </c>
      <c r="S1891" s="255" t="s">
        <v>1975</v>
      </c>
      <c r="U1891" s="255" t="s">
        <v>2102</v>
      </c>
      <c r="V1891" s="256" t="s">
        <v>1388</v>
      </c>
      <c r="W1891" s="256">
        <v>10</v>
      </c>
      <c r="X1891" s="256" t="s">
        <v>1388</v>
      </c>
      <c r="Y1891" s="256" t="s">
        <v>1417</v>
      </c>
      <c r="Z1891" s="257">
        <f>AVERAGE(Sheet1!BP1891:BQ1891)</f>
        <v>1.421</v>
      </c>
      <c r="AA1891" s="363">
        <v>65</v>
      </c>
      <c r="AB1891" s="363">
        <v>25</v>
      </c>
      <c r="AC1891" s="253" t="s">
        <v>240</v>
      </c>
      <c r="AD1891" s="253"/>
      <c r="AE1891" s="253"/>
      <c r="AF1891" s="253"/>
      <c r="AG1891" s="252" t="s">
        <v>2029</v>
      </c>
      <c r="AH1891" s="254" t="s">
        <v>131</v>
      </c>
      <c r="AI1891" s="254" t="s">
        <v>131</v>
      </c>
      <c r="AJ1891" s="254" t="s">
        <v>2027</v>
      </c>
      <c r="AK1891" s="253" t="s">
        <v>1646</v>
      </c>
      <c r="AL1891" s="253"/>
      <c r="AM1891" s="253"/>
      <c r="AN1891" s="253"/>
      <c r="AO1891" s="254" t="s">
        <v>1046</v>
      </c>
      <c r="AP1891" s="254" t="s">
        <v>1046</v>
      </c>
      <c r="AQ1891" s="254" t="s">
        <v>2126</v>
      </c>
      <c r="AR1891" s="254" t="s">
        <v>2126</v>
      </c>
      <c r="AS1891" s="92" t="s">
        <v>177</v>
      </c>
      <c r="AT1891" s="253" t="s">
        <v>2026</v>
      </c>
      <c r="AU1891" s="253"/>
      <c r="AV1891" s="258" t="s">
        <v>2025</v>
      </c>
      <c r="AW1891" s="253" t="s">
        <v>160</v>
      </c>
      <c r="AX1891" s="254">
        <v>4</v>
      </c>
      <c r="AY1891" s="254">
        <v>4</v>
      </c>
      <c r="AZ1891" s="253" t="s">
        <v>141</v>
      </c>
      <c r="BA1891" s="253"/>
      <c r="BB1891" s="254">
        <f>1/3*14820</f>
        <v>4940</v>
      </c>
      <c r="BC1891" s="253"/>
      <c r="BD1891" s="253"/>
      <c r="BE1891" s="253"/>
      <c r="BL1891" s="254"/>
      <c r="BM1891" s="253"/>
      <c r="BP1891" s="439">
        <f t="shared" si="284"/>
        <v>1.421</v>
      </c>
      <c r="BQ1891" s="439">
        <v>1.421</v>
      </c>
      <c r="BU1891" s="438">
        <v>0.7670654468684025</v>
      </c>
      <c r="BV1891" s="438">
        <v>0.80928923293455313</v>
      </c>
      <c r="BZ1891" s="92">
        <v>10.9</v>
      </c>
      <c r="CA1891" s="92">
        <v>11.5</v>
      </c>
      <c r="CB1891" s="92">
        <v>1</v>
      </c>
      <c r="CC1891" s="92">
        <v>1</v>
      </c>
      <c r="CD1891" s="92" t="s">
        <v>992</v>
      </c>
      <c r="CE1891" s="577">
        <v>10.9</v>
      </c>
      <c r="CF1891" s="577">
        <v>11.5</v>
      </c>
      <c r="CG1891" s="577"/>
      <c r="CH1891" s="577"/>
      <c r="CI1891" s="92" t="s">
        <v>4546</v>
      </c>
      <c r="JB1891" s="254" t="s">
        <v>2083</v>
      </c>
      <c r="JC1891" s="253"/>
      <c r="JD1891" s="259"/>
    </row>
    <row r="1892" spans="1:264" s="92" customFormat="1" x14ac:dyDescent="0.25">
      <c r="A1892" s="252">
        <v>91</v>
      </c>
      <c r="B1892" s="539" t="s">
        <v>4168</v>
      </c>
      <c r="C1892" s="252" t="s">
        <v>768</v>
      </c>
      <c r="D1892" s="253" t="s">
        <v>2118</v>
      </c>
      <c r="E1892" s="252">
        <v>2006</v>
      </c>
      <c r="F1892" s="253">
        <v>1999</v>
      </c>
      <c r="G1892" s="252" t="s">
        <v>946</v>
      </c>
      <c r="H1892" s="252" t="s">
        <v>2032</v>
      </c>
      <c r="I1892" s="252" t="s">
        <v>2815</v>
      </c>
      <c r="J1892" s="253">
        <v>32.56</v>
      </c>
      <c r="K1892" s="253">
        <v>-83.91</v>
      </c>
      <c r="L1892" s="254">
        <v>16</v>
      </c>
      <c r="M1892" s="254">
        <v>18.100000000000001</v>
      </c>
      <c r="N1892" s="253"/>
      <c r="O1892" s="254">
        <v>1258</v>
      </c>
      <c r="P1892" s="253"/>
      <c r="Q1892" s="253"/>
      <c r="R1892" s="254">
        <v>6</v>
      </c>
      <c r="S1892" s="255" t="s">
        <v>1975</v>
      </c>
      <c r="U1892" s="255" t="s">
        <v>2102</v>
      </c>
      <c r="V1892" s="256" t="s">
        <v>1408</v>
      </c>
      <c r="W1892" s="256">
        <v>20</v>
      </c>
      <c r="X1892" s="256" t="s">
        <v>1388</v>
      </c>
      <c r="Y1892" s="256" t="s">
        <v>1417</v>
      </c>
      <c r="Z1892" s="257">
        <f>AVERAGE(Sheet1!BP1892:BQ1892)</f>
        <v>1.5469999999999999</v>
      </c>
      <c r="AA1892" s="363">
        <v>65</v>
      </c>
      <c r="AB1892" s="363">
        <v>25</v>
      </c>
      <c r="AC1892" s="253" t="s">
        <v>240</v>
      </c>
      <c r="AD1892" s="253"/>
      <c r="AE1892" s="253"/>
      <c r="AF1892" s="253"/>
      <c r="AG1892" s="252" t="s">
        <v>2029</v>
      </c>
      <c r="AH1892" s="254" t="s">
        <v>131</v>
      </c>
      <c r="AI1892" s="254" t="s">
        <v>131</v>
      </c>
      <c r="AJ1892" s="254" t="s">
        <v>2027</v>
      </c>
      <c r="AK1892" s="253" t="s">
        <v>1646</v>
      </c>
      <c r="AL1892" s="253"/>
      <c r="AM1892" s="253"/>
      <c r="AN1892" s="253"/>
      <c r="AO1892" s="254" t="s">
        <v>1046</v>
      </c>
      <c r="AP1892" s="254" t="s">
        <v>1046</v>
      </c>
      <c r="AQ1892" s="254" t="s">
        <v>2126</v>
      </c>
      <c r="AR1892" s="254" t="s">
        <v>2126</v>
      </c>
      <c r="AS1892" s="92" t="s">
        <v>2115</v>
      </c>
      <c r="AT1892" s="253" t="s">
        <v>2026</v>
      </c>
      <c r="AU1892" s="253"/>
      <c r="AV1892" s="258" t="s">
        <v>2025</v>
      </c>
      <c r="AW1892" s="253" t="s">
        <v>160</v>
      </c>
      <c r="AX1892" s="254">
        <v>4</v>
      </c>
      <c r="AY1892" s="254">
        <v>4</v>
      </c>
      <c r="AZ1892" s="253" t="s">
        <v>141</v>
      </c>
      <c r="BA1892" s="253"/>
      <c r="BB1892" s="254"/>
      <c r="BC1892" s="253"/>
      <c r="BD1892" s="253"/>
      <c r="BE1892" s="253"/>
      <c r="BL1892" s="254"/>
      <c r="BM1892" s="253"/>
      <c r="BP1892" s="439">
        <f t="shared" si="284"/>
        <v>1.5469999999999999</v>
      </c>
      <c r="BQ1892" s="439">
        <v>1.5469999999999999</v>
      </c>
      <c r="BU1892" s="438">
        <v>0.42986425339366519</v>
      </c>
      <c r="BV1892" s="438">
        <v>0.55268261150614095</v>
      </c>
      <c r="BZ1892" s="92">
        <v>13.3</v>
      </c>
      <c r="CA1892" s="92">
        <v>17.100000000000001</v>
      </c>
      <c r="CB1892" s="92">
        <v>2.2999999999999998</v>
      </c>
      <c r="CC1892" s="92">
        <v>2.2999999999999998</v>
      </c>
      <c r="CD1892" s="92" t="s">
        <v>992</v>
      </c>
      <c r="CE1892" s="577">
        <v>13.3</v>
      </c>
      <c r="CF1892" s="577">
        <v>17.100000000000001</v>
      </c>
      <c r="CG1892" s="577"/>
      <c r="CH1892" s="577"/>
      <c r="CI1892" s="92" t="s">
        <v>4546</v>
      </c>
      <c r="JB1892" s="254" t="s">
        <v>2083</v>
      </c>
      <c r="JC1892" s="253"/>
      <c r="JD1892" s="259"/>
    </row>
    <row r="1893" spans="1:264" s="92" customFormat="1" x14ac:dyDescent="0.25">
      <c r="A1893" s="252">
        <v>91</v>
      </c>
      <c r="B1893" s="539" t="s">
        <v>4169</v>
      </c>
      <c r="C1893" s="252" t="s">
        <v>768</v>
      </c>
      <c r="D1893" s="253" t="s">
        <v>2118</v>
      </c>
      <c r="E1893" s="252">
        <v>2006</v>
      </c>
      <c r="F1893" s="253">
        <v>1999</v>
      </c>
      <c r="G1893" s="252" t="s">
        <v>946</v>
      </c>
      <c r="H1893" s="252" t="s">
        <v>2032</v>
      </c>
      <c r="I1893" s="252" t="s">
        <v>2815</v>
      </c>
      <c r="J1893" s="253">
        <v>32.56</v>
      </c>
      <c r="K1893" s="253">
        <v>-83.91</v>
      </c>
      <c r="L1893" s="254">
        <v>16</v>
      </c>
      <c r="M1893" s="254">
        <v>18.100000000000001</v>
      </c>
      <c r="N1893" s="253"/>
      <c r="O1893" s="254">
        <v>1258</v>
      </c>
      <c r="P1893" s="253"/>
      <c r="Q1893" s="253"/>
      <c r="R1893" s="254">
        <v>6</v>
      </c>
      <c r="S1893" s="255" t="s">
        <v>1975</v>
      </c>
      <c r="U1893" s="255" t="s">
        <v>2102</v>
      </c>
      <c r="V1893" s="256" t="s">
        <v>1402</v>
      </c>
      <c r="W1893" s="256">
        <v>30</v>
      </c>
      <c r="X1893" s="256" t="s">
        <v>1388</v>
      </c>
      <c r="Y1893" s="256" t="s">
        <v>1417</v>
      </c>
      <c r="Z1893" s="257">
        <f>AVERAGE(Sheet1!BP1893:BQ1893)</f>
        <v>1.3979999999999999</v>
      </c>
      <c r="AA1893" s="363">
        <v>65</v>
      </c>
      <c r="AB1893" s="363">
        <v>25</v>
      </c>
      <c r="AC1893" s="253" t="s">
        <v>240</v>
      </c>
      <c r="AD1893" s="253"/>
      <c r="AE1893" s="253"/>
      <c r="AF1893" s="253"/>
      <c r="AG1893" s="252" t="s">
        <v>2029</v>
      </c>
      <c r="AH1893" s="254" t="s">
        <v>131</v>
      </c>
      <c r="AI1893" s="254" t="s">
        <v>131</v>
      </c>
      <c r="AJ1893" s="254" t="s">
        <v>2027</v>
      </c>
      <c r="AK1893" s="253" t="s">
        <v>1646</v>
      </c>
      <c r="AL1893" s="253"/>
      <c r="AM1893" s="253"/>
      <c r="AN1893" s="253"/>
      <c r="AO1893" s="254" t="s">
        <v>1046</v>
      </c>
      <c r="AP1893" s="254" t="s">
        <v>1046</v>
      </c>
      <c r="AQ1893" s="254" t="s">
        <v>2126</v>
      </c>
      <c r="AR1893" s="254" t="s">
        <v>2126</v>
      </c>
      <c r="AS1893" s="92" t="s">
        <v>177</v>
      </c>
      <c r="AT1893" s="253" t="s">
        <v>2026</v>
      </c>
      <c r="AU1893" s="253"/>
      <c r="AV1893" s="258" t="s">
        <v>2025</v>
      </c>
      <c r="AW1893" s="253" t="s">
        <v>160</v>
      </c>
      <c r="AX1893" s="254">
        <v>4</v>
      </c>
      <c r="AY1893" s="254">
        <v>4</v>
      </c>
      <c r="AZ1893" s="253" t="s">
        <v>141</v>
      </c>
      <c r="BA1893" s="253"/>
      <c r="BB1893" s="254"/>
      <c r="BC1893" s="253"/>
      <c r="BD1893" s="253"/>
      <c r="BE1893" s="253"/>
      <c r="BL1893" s="254"/>
      <c r="BM1893" s="253"/>
      <c r="BP1893" s="439">
        <f t="shared" si="284"/>
        <v>1.3979999999999999</v>
      </c>
      <c r="BQ1893" s="439">
        <v>1.3979999999999999</v>
      </c>
      <c r="BU1893" s="438">
        <v>0.25035765379113017</v>
      </c>
      <c r="BV1893" s="438">
        <v>0.26943252265140677</v>
      </c>
      <c r="BZ1893" s="92">
        <v>10.499999999999996</v>
      </c>
      <c r="CA1893" s="92">
        <v>11.299999999999997</v>
      </c>
      <c r="CB1893" s="92">
        <v>3.4</v>
      </c>
      <c r="CC1893" s="92">
        <v>3.4</v>
      </c>
      <c r="CD1893" s="92" t="s">
        <v>992</v>
      </c>
      <c r="CE1893" s="577">
        <v>10.499999999999996</v>
      </c>
      <c r="CF1893" s="577">
        <v>11.299999999999997</v>
      </c>
      <c r="CG1893" s="577"/>
      <c r="CH1893" s="577"/>
      <c r="CI1893" s="92" t="s">
        <v>4546</v>
      </c>
      <c r="JB1893" s="254" t="s">
        <v>2083</v>
      </c>
      <c r="JC1893" s="253"/>
      <c r="JD1893" s="259"/>
    </row>
    <row r="1894" spans="1:264" s="92" customFormat="1" x14ac:dyDescent="0.25">
      <c r="A1894" s="252">
        <v>91</v>
      </c>
      <c r="B1894" s="539" t="s">
        <v>4170</v>
      </c>
      <c r="C1894" s="252" t="s">
        <v>768</v>
      </c>
      <c r="D1894" s="253" t="s">
        <v>2118</v>
      </c>
      <c r="E1894" s="252">
        <v>2006</v>
      </c>
      <c r="F1894" s="253">
        <v>1999</v>
      </c>
      <c r="G1894" s="252" t="s">
        <v>946</v>
      </c>
      <c r="H1894" s="252" t="s">
        <v>2032</v>
      </c>
      <c r="I1894" s="252" t="s">
        <v>2815</v>
      </c>
      <c r="J1894" s="253">
        <v>32.56</v>
      </c>
      <c r="K1894" s="253">
        <v>-83.91</v>
      </c>
      <c r="L1894" s="254">
        <v>16</v>
      </c>
      <c r="M1894" s="254">
        <v>18.100000000000001</v>
      </c>
      <c r="N1894" s="253"/>
      <c r="O1894" s="254">
        <v>1258</v>
      </c>
      <c r="P1894" s="253"/>
      <c r="Q1894" s="253"/>
      <c r="R1894" s="254">
        <v>6</v>
      </c>
      <c r="S1894" s="255" t="s">
        <v>1975</v>
      </c>
      <c r="U1894" s="255" t="s">
        <v>2102</v>
      </c>
      <c r="V1894" s="256" t="s">
        <v>1403</v>
      </c>
      <c r="W1894" s="256">
        <v>30</v>
      </c>
      <c r="X1894" s="256" t="s">
        <v>1388</v>
      </c>
      <c r="Y1894" s="256" t="s">
        <v>1417</v>
      </c>
      <c r="Z1894" s="257">
        <f>AVERAGE(Sheet1!BP1894:BQ1894)</f>
        <v>1.6160000000000001</v>
      </c>
      <c r="AA1894" s="363">
        <v>65</v>
      </c>
      <c r="AB1894" s="363">
        <v>25</v>
      </c>
      <c r="AC1894" s="253" t="s">
        <v>240</v>
      </c>
      <c r="AD1894" s="253"/>
      <c r="AE1894" s="253"/>
      <c r="AF1894" s="253"/>
      <c r="AG1894" s="252" t="s">
        <v>2029</v>
      </c>
      <c r="AH1894" s="254" t="s">
        <v>131</v>
      </c>
      <c r="AI1894" s="254" t="s">
        <v>131</v>
      </c>
      <c r="AJ1894" s="254" t="s">
        <v>2027</v>
      </c>
      <c r="AK1894" s="253" t="s">
        <v>1646</v>
      </c>
      <c r="AL1894" s="253"/>
      <c r="AM1894" s="253"/>
      <c r="AN1894" s="253"/>
      <c r="AO1894" s="254" t="s">
        <v>1046</v>
      </c>
      <c r="AP1894" s="254" t="s">
        <v>1046</v>
      </c>
      <c r="AQ1894" s="254" t="s">
        <v>2126</v>
      </c>
      <c r="AR1894" s="254" t="s">
        <v>2126</v>
      </c>
      <c r="AS1894" s="92" t="s">
        <v>2115</v>
      </c>
      <c r="AT1894" s="253" t="s">
        <v>2026</v>
      </c>
      <c r="AU1894" s="253"/>
      <c r="AV1894" s="258" t="s">
        <v>2025</v>
      </c>
      <c r="AW1894" s="253" t="s">
        <v>160</v>
      </c>
      <c r="AX1894" s="254">
        <v>4</v>
      </c>
      <c r="AY1894" s="254">
        <v>4</v>
      </c>
      <c r="AZ1894" s="253" t="s">
        <v>141</v>
      </c>
      <c r="BA1894" s="253"/>
      <c r="BB1894" s="254"/>
      <c r="BC1894" s="253"/>
      <c r="BD1894" s="253"/>
      <c r="BE1894" s="253"/>
      <c r="BL1894" s="254"/>
      <c r="BM1894" s="253"/>
      <c r="BP1894" s="439">
        <f t="shared" si="284"/>
        <v>1.6160000000000001</v>
      </c>
      <c r="BQ1894" s="439">
        <v>1.6160000000000001</v>
      </c>
      <c r="BU1894" s="438">
        <v>0.14438943894389436</v>
      </c>
      <c r="BV1894" s="438">
        <v>0.13613861386138612</v>
      </c>
      <c r="BZ1894" s="92">
        <v>6.9999999999999991</v>
      </c>
      <c r="CA1894" s="92">
        <v>6.6</v>
      </c>
      <c r="CB1894" s="92">
        <v>3.4</v>
      </c>
      <c r="CC1894" s="92">
        <v>3.4</v>
      </c>
      <c r="CD1894" s="92" t="s">
        <v>992</v>
      </c>
      <c r="CE1894" s="577">
        <v>6.9999999999999991</v>
      </c>
      <c r="CF1894" s="577">
        <v>6.6</v>
      </c>
      <c r="CG1894" s="577"/>
      <c r="CH1894" s="577"/>
      <c r="CI1894" s="92" t="s">
        <v>4546</v>
      </c>
      <c r="JB1894" s="254" t="s">
        <v>2083</v>
      </c>
      <c r="JC1894" s="253"/>
      <c r="JD1894" s="259"/>
    </row>
    <row r="1895" spans="1:264" s="92" customFormat="1" x14ac:dyDescent="0.25">
      <c r="A1895" s="252">
        <v>91</v>
      </c>
      <c r="B1895" s="539" t="s">
        <v>4171</v>
      </c>
      <c r="C1895" s="252" t="s">
        <v>768</v>
      </c>
      <c r="D1895" s="253" t="s">
        <v>2118</v>
      </c>
      <c r="E1895" s="252">
        <v>2006</v>
      </c>
      <c r="F1895" s="253">
        <v>1999</v>
      </c>
      <c r="G1895" s="252" t="s">
        <v>946</v>
      </c>
      <c r="H1895" s="252" t="s">
        <v>2032</v>
      </c>
      <c r="I1895" s="252" t="s">
        <v>2815</v>
      </c>
      <c r="J1895" s="253">
        <v>32.56</v>
      </c>
      <c r="K1895" s="253">
        <v>-83.91</v>
      </c>
      <c r="L1895" s="254">
        <v>16</v>
      </c>
      <c r="M1895" s="254">
        <v>18.100000000000001</v>
      </c>
      <c r="N1895" s="253"/>
      <c r="O1895" s="254">
        <v>1258</v>
      </c>
      <c r="P1895" s="253"/>
      <c r="Q1895" s="253"/>
      <c r="R1895" s="254">
        <v>6</v>
      </c>
      <c r="S1895" s="255" t="s">
        <v>1975</v>
      </c>
      <c r="U1895" s="255" t="s">
        <v>2102</v>
      </c>
      <c r="V1895" s="256" t="s">
        <v>1415</v>
      </c>
      <c r="W1895" s="256">
        <v>30</v>
      </c>
      <c r="X1895" s="256" t="s">
        <v>1388</v>
      </c>
      <c r="Y1895" s="256" t="s">
        <v>1417</v>
      </c>
      <c r="Z1895" s="257">
        <f>AVERAGE(Sheet1!BP1895:BQ1895)</f>
        <v>1.6279999999999999</v>
      </c>
      <c r="AA1895" s="363">
        <v>65</v>
      </c>
      <c r="AB1895" s="363">
        <v>25</v>
      </c>
      <c r="AC1895" s="253" t="s">
        <v>240</v>
      </c>
      <c r="AD1895" s="253"/>
      <c r="AE1895" s="253"/>
      <c r="AF1895" s="253"/>
      <c r="AG1895" s="252" t="s">
        <v>2029</v>
      </c>
      <c r="AH1895" s="254" t="s">
        <v>131</v>
      </c>
      <c r="AI1895" s="254" t="s">
        <v>131</v>
      </c>
      <c r="AJ1895" s="254" t="s">
        <v>2027</v>
      </c>
      <c r="AK1895" s="253" t="s">
        <v>1646</v>
      </c>
      <c r="AL1895" s="253"/>
      <c r="AM1895" s="253"/>
      <c r="AN1895" s="253"/>
      <c r="AO1895" s="254" t="s">
        <v>1046</v>
      </c>
      <c r="AP1895" s="254" t="s">
        <v>1046</v>
      </c>
      <c r="AQ1895" s="254" t="s">
        <v>2126</v>
      </c>
      <c r="AR1895" s="254" t="s">
        <v>2126</v>
      </c>
      <c r="AS1895" s="92" t="s">
        <v>177</v>
      </c>
      <c r="AT1895" s="253" t="s">
        <v>2026</v>
      </c>
      <c r="AU1895" s="253"/>
      <c r="AV1895" s="258" t="s">
        <v>2025</v>
      </c>
      <c r="AW1895" s="253" t="s">
        <v>160</v>
      </c>
      <c r="AX1895" s="254">
        <v>4</v>
      </c>
      <c r="AY1895" s="254">
        <v>4</v>
      </c>
      <c r="AZ1895" s="253" t="s">
        <v>141</v>
      </c>
      <c r="BA1895" s="253"/>
      <c r="BB1895" s="254"/>
      <c r="BC1895" s="253"/>
      <c r="BD1895" s="253"/>
      <c r="BE1895" s="253"/>
      <c r="BL1895" s="254"/>
      <c r="BM1895" s="253"/>
      <c r="BP1895" s="439">
        <f t="shared" si="284"/>
        <v>1.6279999999999999</v>
      </c>
      <c r="BQ1895" s="439">
        <v>1.6279999999999999</v>
      </c>
      <c r="BU1895" s="438">
        <v>0.11466011466011466</v>
      </c>
      <c r="BV1895" s="438">
        <v>0.13923013923013927</v>
      </c>
      <c r="BZ1895" s="92">
        <v>5.6000000000000005</v>
      </c>
      <c r="CA1895" s="92">
        <v>6.8000000000000016</v>
      </c>
      <c r="CB1895" s="92">
        <v>2.2000000000000002</v>
      </c>
      <c r="CC1895" s="92">
        <v>2.2000000000000002</v>
      </c>
      <c r="CD1895" s="92" t="s">
        <v>992</v>
      </c>
      <c r="CE1895" s="577">
        <v>5.6000000000000005</v>
      </c>
      <c r="CF1895" s="577">
        <v>6.8000000000000016</v>
      </c>
      <c r="CG1895" s="577"/>
      <c r="CH1895" s="577"/>
      <c r="CI1895" s="92" t="s">
        <v>4546</v>
      </c>
      <c r="JB1895" s="254" t="s">
        <v>2083</v>
      </c>
      <c r="JC1895" s="253"/>
      <c r="JD1895" s="259"/>
    </row>
    <row r="1896" spans="1:264" s="36" customFormat="1" x14ac:dyDescent="0.25">
      <c r="A1896" s="223">
        <v>91</v>
      </c>
      <c r="B1896" s="540" t="s">
        <v>4172</v>
      </c>
      <c r="C1896" s="223" t="s">
        <v>768</v>
      </c>
      <c r="D1896" s="224" t="s">
        <v>2118</v>
      </c>
      <c r="E1896" s="223">
        <v>2006</v>
      </c>
      <c r="F1896" s="224">
        <v>1999</v>
      </c>
      <c r="G1896" s="223" t="s">
        <v>946</v>
      </c>
      <c r="H1896" s="223" t="s">
        <v>2032</v>
      </c>
      <c r="I1896" s="252" t="s">
        <v>2815</v>
      </c>
      <c r="J1896" s="224">
        <v>32.56</v>
      </c>
      <c r="K1896" s="224">
        <v>-83.91</v>
      </c>
      <c r="L1896" s="225">
        <v>16</v>
      </c>
      <c r="M1896" s="225">
        <v>18.100000000000001</v>
      </c>
      <c r="N1896" s="224"/>
      <c r="O1896" s="225">
        <v>1258</v>
      </c>
      <c r="P1896" s="224"/>
      <c r="Q1896" s="224"/>
      <c r="R1896" s="225">
        <v>6</v>
      </c>
      <c r="S1896" s="226" t="s">
        <v>1975</v>
      </c>
      <c r="U1896" s="226" t="s">
        <v>2102</v>
      </c>
      <c r="V1896" s="227" t="s">
        <v>1388</v>
      </c>
      <c r="W1896" s="227">
        <v>10</v>
      </c>
      <c r="X1896" s="227" t="s">
        <v>1388</v>
      </c>
      <c r="Y1896" s="227" t="s">
        <v>1417</v>
      </c>
      <c r="Z1896" s="228">
        <f>AVERAGE(Sheet1!BP1896:BQ1896)</f>
        <v>1.421</v>
      </c>
      <c r="AA1896" s="364">
        <v>65</v>
      </c>
      <c r="AB1896" s="364">
        <v>25</v>
      </c>
      <c r="AC1896" s="224" t="s">
        <v>240</v>
      </c>
      <c r="AD1896" s="224"/>
      <c r="AE1896" s="224"/>
      <c r="AF1896" s="224"/>
      <c r="AG1896" s="223" t="s">
        <v>2029</v>
      </c>
      <c r="AH1896" s="225" t="s">
        <v>243</v>
      </c>
      <c r="AI1896" s="224" t="s">
        <v>577</v>
      </c>
      <c r="AJ1896" s="225" t="s">
        <v>2027</v>
      </c>
      <c r="AK1896" s="253" t="s">
        <v>1646</v>
      </c>
      <c r="AL1896" s="224"/>
      <c r="AM1896" s="224"/>
      <c r="AN1896" s="224"/>
      <c r="AO1896" s="225" t="s">
        <v>1046</v>
      </c>
      <c r="AP1896" s="225" t="s">
        <v>1046</v>
      </c>
      <c r="AQ1896" s="254" t="s">
        <v>2126</v>
      </c>
      <c r="AR1896" s="254" t="s">
        <v>2126</v>
      </c>
      <c r="AS1896" s="92" t="s">
        <v>2115</v>
      </c>
      <c r="AT1896" s="224" t="s">
        <v>161</v>
      </c>
      <c r="AU1896" s="224"/>
      <c r="AV1896" s="229" t="s">
        <v>2025</v>
      </c>
      <c r="AW1896" s="253" t="s">
        <v>160</v>
      </c>
      <c r="AX1896" s="225">
        <v>4</v>
      </c>
      <c r="AY1896" s="225">
        <v>4</v>
      </c>
      <c r="AZ1896" s="224" t="s">
        <v>141</v>
      </c>
      <c r="BA1896" s="224"/>
      <c r="BB1896" s="225">
        <f>1/3*16440</f>
        <v>5480</v>
      </c>
      <c r="BC1896" s="224"/>
      <c r="BD1896" s="224"/>
      <c r="BE1896" s="224"/>
      <c r="BL1896" s="225"/>
      <c r="BM1896" s="224"/>
      <c r="BP1896" s="441">
        <f t="shared" si="284"/>
        <v>1.421</v>
      </c>
      <c r="BQ1896" s="440">
        <v>1.421</v>
      </c>
      <c r="BU1896" s="441">
        <v>0.74595355383532724</v>
      </c>
      <c r="BV1896" s="441">
        <v>0.83040112596762838</v>
      </c>
      <c r="BZ1896" s="36">
        <v>10.6</v>
      </c>
      <c r="CA1896" s="36">
        <v>11.799999999999999</v>
      </c>
      <c r="CB1896" s="36">
        <v>1</v>
      </c>
      <c r="CC1896" s="36">
        <v>1</v>
      </c>
      <c r="CD1896" s="92" t="s">
        <v>992</v>
      </c>
      <c r="CE1896" s="560">
        <v>10.6</v>
      </c>
      <c r="CF1896" s="560">
        <v>11.799999999999999</v>
      </c>
      <c r="CG1896" s="560"/>
      <c r="CH1896" s="560"/>
      <c r="CI1896" s="92" t="s">
        <v>4546</v>
      </c>
      <c r="JB1896" s="225" t="s">
        <v>2083</v>
      </c>
      <c r="JC1896" s="224"/>
      <c r="JD1896" s="230"/>
    </row>
    <row r="1897" spans="1:264" s="36" customFormat="1" x14ac:dyDescent="0.25">
      <c r="A1897" s="223">
        <v>91</v>
      </c>
      <c r="B1897" s="540" t="s">
        <v>4173</v>
      </c>
      <c r="C1897" s="223" t="s">
        <v>768</v>
      </c>
      <c r="D1897" s="224" t="s">
        <v>2118</v>
      </c>
      <c r="E1897" s="223">
        <v>2006</v>
      </c>
      <c r="F1897" s="224">
        <v>1999</v>
      </c>
      <c r="G1897" s="223" t="s">
        <v>946</v>
      </c>
      <c r="H1897" s="223" t="s">
        <v>2032</v>
      </c>
      <c r="I1897" s="252" t="s">
        <v>2815</v>
      </c>
      <c r="J1897" s="224">
        <v>32.56</v>
      </c>
      <c r="K1897" s="224">
        <v>-83.91</v>
      </c>
      <c r="L1897" s="225">
        <v>16</v>
      </c>
      <c r="M1897" s="225">
        <v>18.100000000000001</v>
      </c>
      <c r="N1897" s="224"/>
      <c r="O1897" s="225">
        <v>1258</v>
      </c>
      <c r="P1897" s="224"/>
      <c r="Q1897" s="224"/>
      <c r="R1897" s="225">
        <v>6</v>
      </c>
      <c r="S1897" s="226" t="s">
        <v>1975</v>
      </c>
      <c r="U1897" s="226" t="s">
        <v>2102</v>
      </c>
      <c r="V1897" s="227" t="s">
        <v>1408</v>
      </c>
      <c r="W1897" s="227">
        <v>20</v>
      </c>
      <c r="X1897" s="227" t="s">
        <v>1388</v>
      </c>
      <c r="Y1897" s="227" t="s">
        <v>1417</v>
      </c>
      <c r="Z1897" s="228">
        <f>AVERAGE(Sheet1!BP1897:BQ1897)</f>
        <v>1.5469999999999999</v>
      </c>
      <c r="AA1897" s="364">
        <v>65</v>
      </c>
      <c r="AB1897" s="364">
        <v>25</v>
      </c>
      <c r="AC1897" s="224" t="s">
        <v>240</v>
      </c>
      <c r="AD1897" s="224"/>
      <c r="AE1897" s="224"/>
      <c r="AF1897" s="224"/>
      <c r="AG1897" s="223" t="s">
        <v>2029</v>
      </c>
      <c r="AH1897" s="225" t="s">
        <v>243</v>
      </c>
      <c r="AI1897" s="224" t="s">
        <v>577</v>
      </c>
      <c r="AJ1897" s="225" t="s">
        <v>2027</v>
      </c>
      <c r="AK1897" s="253" t="s">
        <v>1646</v>
      </c>
      <c r="AL1897" s="224"/>
      <c r="AM1897" s="224"/>
      <c r="AN1897" s="224"/>
      <c r="AO1897" s="225" t="s">
        <v>1046</v>
      </c>
      <c r="AP1897" s="225" t="s">
        <v>1046</v>
      </c>
      <c r="AQ1897" s="254" t="s">
        <v>2126</v>
      </c>
      <c r="AR1897" s="254" t="s">
        <v>2126</v>
      </c>
      <c r="AS1897" s="92" t="s">
        <v>177</v>
      </c>
      <c r="AT1897" s="224" t="s">
        <v>161</v>
      </c>
      <c r="AU1897" s="224"/>
      <c r="AV1897" s="229" t="s">
        <v>2025</v>
      </c>
      <c r="AW1897" s="253" t="s">
        <v>160</v>
      </c>
      <c r="AX1897" s="225">
        <v>4</v>
      </c>
      <c r="AY1897" s="225">
        <v>4</v>
      </c>
      <c r="AZ1897" s="224" t="s">
        <v>141</v>
      </c>
      <c r="BA1897" s="224"/>
      <c r="BB1897" s="224"/>
      <c r="BC1897" s="224"/>
      <c r="BD1897" s="224"/>
      <c r="BE1897" s="224"/>
      <c r="BK1897" s="225"/>
      <c r="BL1897" s="225"/>
      <c r="BM1897" s="224"/>
      <c r="BP1897" s="441">
        <f t="shared" si="284"/>
        <v>1.5469999999999999</v>
      </c>
      <c r="BQ1897" s="440">
        <v>1.5469999999999999</v>
      </c>
      <c r="BU1897" s="441">
        <v>0.45248868778280549</v>
      </c>
      <c r="BV1897" s="441">
        <v>0.46541693600517131</v>
      </c>
      <c r="BZ1897" s="36">
        <v>14.000000000000002</v>
      </c>
      <c r="CA1897" s="36">
        <v>14.399999999999999</v>
      </c>
      <c r="CB1897" s="36">
        <v>2.2999999999999998</v>
      </c>
      <c r="CC1897" s="36">
        <v>2.2999999999999998</v>
      </c>
      <c r="CD1897" s="92" t="s">
        <v>992</v>
      </c>
      <c r="CE1897" s="560">
        <v>14.000000000000002</v>
      </c>
      <c r="CF1897" s="560">
        <v>14.399999999999999</v>
      </c>
      <c r="CG1897" s="560"/>
      <c r="CH1897" s="560"/>
      <c r="CI1897" s="92" t="s">
        <v>4546</v>
      </c>
      <c r="JB1897" s="225" t="s">
        <v>2083</v>
      </c>
      <c r="JC1897" s="224"/>
      <c r="JD1897" s="230"/>
    </row>
    <row r="1898" spans="1:264" s="36" customFormat="1" x14ac:dyDescent="0.25">
      <c r="A1898" s="223">
        <v>91</v>
      </c>
      <c r="B1898" s="540" t="s">
        <v>4174</v>
      </c>
      <c r="C1898" s="223" t="s">
        <v>768</v>
      </c>
      <c r="D1898" s="224" t="s">
        <v>2118</v>
      </c>
      <c r="E1898" s="223">
        <v>2006</v>
      </c>
      <c r="F1898" s="224">
        <v>1999</v>
      </c>
      <c r="G1898" s="223" t="s">
        <v>946</v>
      </c>
      <c r="H1898" s="223" t="s">
        <v>2032</v>
      </c>
      <c r="I1898" s="252" t="s">
        <v>2815</v>
      </c>
      <c r="J1898" s="224">
        <v>32.56</v>
      </c>
      <c r="K1898" s="224">
        <v>-83.91</v>
      </c>
      <c r="L1898" s="225">
        <v>16</v>
      </c>
      <c r="M1898" s="225">
        <v>18.100000000000001</v>
      </c>
      <c r="N1898" s="224"/>
      <c r="O1898" s="225">
        <v>1258</v>
      </c>
      <c r="P1898" s="224"/>
      <c r="Q1898" s="224"/>
      <c r="R1898" s="225">
        <v>6</v>
      </c>
      <c r="S1898" s="226" t="s">
        <v>1975</v>
      </c>
      <c r="U1898" s="226" t="s">
        <v>2102</v>
      </c>
      <c r="V1898" s="227" t="s">
        <v>1402</v>
      </c>
      <c r="W1898" s="227">
        <v>30</v>
      </c>
      <c r="X1898" s="227" t="s">
        <v>1388</v>
      </c>
      <c r="Y1898" s="227" t="s">
        <v>1417</v>
      </c>
      <c r="Z1898" s="228">
        <f>AVERAGE(Sheet1!BP1898:BQ1898)</f>
        <v>1.3979999999999999</v>
      </c>
      <c r="AA1898" s="364">
        <v>65</v>
      </c>
      <c r="AB1898" s="364">
        <v>25</v>
      </c>
      <c r="AC1898" s="224" t="s">
        <v>240</v>
      </c>
      <c r="AD1898" s="224"/>
      <c r="AE1898" s="224"/>
      <c r="AF1898" s="224"/>
      <c r="AG1898" s="223" t="s">
        <v>2029</v>
      </c>
      <c r="AH1898" s="225" t="s">
        <v>243</v>
      </c>
      <c r="AI1898" s="224" t="s">
        <v>577</v>
      </c>
      <c r="AJ1898" s="225" t="s">
        <v>2027</v>
      </c>
      <c r="AK1898" s="253" t="s">
        <v>1646</v>
      </c>
      <c r="AL1898" s="224"/>
      <c r="AM1898" s="224"/>
      <c r="AN1898" s="224"/>
      <c r="AO1898" s="225" t="s">
        <v>1046</v>
      </c>
      <c r="AP1898" s="225" t="s">
        <v>1046</v>
      </c>
      <c r="AQ1898" s="254" t="s">
        <v>2126</v>
      </c>
      <c r="AR1898" s="254" t="s">
        <v>2126</v>
      </c>
      <c r="AS1898" s="92" t="s">
        <v>2115</v>
      </c>
      <c r="AT1898" s="224" t="s">
        <v>161</v>
      </c>
      <c r="AU1898" s="224"/>
      <c r="AV1898" s="229" t="s">
        <v>2025</v>
      </c>
      <c r="AW1898" s="253" t="s">
        <v>160</v>
      </c>
      <c r="AX1898" s="225">
        <v>4</v>
      </c>
      <c r="AY1898" s="225">
        <v>4</v>
      </c>
      <c r="AZ1898" s="224" t="s">
        <v>141</v>
      </c>
      <c r="BA1898" s="224"/>
      <c r="BB1898" s="224"/>
      <c r="BC1898" s="224"/>
      <c r="BD1898" s="224"/>
      <c r="BE1898" s="224"/>
      <c r="BK1898" s="225"/>
      <c r="BL1898" s="225"/>
      <c r="BM1898" s="224"/>
      <c r="BP1898" s="441">
        <f t="shared" si="284"/>
        <v>1.3979999999999999</v>
      </c>
      <c r="BQ1898" s="440">
        <v>1.3979999999999999</v>
      </c>
      <c r="BU1898" s="441">
        <v>0.24082021936099188</v>
      </c>
      <c r="BV1898" s="441">
        <v>0.27896995708154504</v>
      </c>
      <c r="BZ1898" s="36">
        <v>10.099999999999998</v>
      </c>
      <c r="CA1898" s="36">
        <v>11.700000000000001</v>
      </c>
      <c r="CB1898" s="36">
        <v>3.4</v>
      </c>
      <c r="CC1898" s="36">
        <v>3.4</v>
      </c>
      <c r="CD1898" s="92" t="s">
        <v>992</v>
      </c>
      <c r="CE1898" s="560">
        <v>10.099999999999998</v>
      </c>
      <c r="CF1898" s="560">
        <v>11.700000000000001</v>
      </c>
      <c r="CG1898" s="560"/>
      <c r="CH1898" s="560"/>
      <c r="CI1898" s="92" t="s">
        <v>4546</v>
      </c>
      <c r="JB1898" s="225" t="s">
        <v>2083</v>
      </c>
      <c r="JC1898" s="224"/>
      <c r="JD1898" s="230"/>
    </row>
    <row r="1899" spans="1:264" s="36" customFormat="1" x14ac:dyDescent="0.25">
      <c r="A1899" s="223">
        <v>91</v>
      </c>
      <c r="B1899" s="540" t="s">
        <v>4175</v>
      </c>
      <c r="C1899" s="223" t="s">
        <v>768</v>
      </c>
      <c r="D1899" s="224" t="s">
        <v>2118</v>
      </c>
      <c r="E1899" s="223">
        <v>2006</v>
      </c>
      <c r="F1899" s="224">
        <v>1999</v>
      </c>
      <c r="G1899" s="223" t="s">
        <v>946</v>
      </c>
      <c r="H1899" s="223" t="s">
        <v>2032</v>
      </c>
      <c r="I1899" s="252" t="s">
        <v>2815</v>
      </c>
      <c r="J1899" s="224">
        <v>32.56</v>
      </c>
      <c r="K1899" s="224">
        <v>-83.91</v>
      </c>
      <c r="L1899" s="225">
        <v>16</v>
      </c>
      <c r="M1899" s="225">
        <v>18.100000000000001</v>
      </c>
      <c r="N1899" s="224"/>
      <c r="O1899" s="225">
        <v>1258</v>
      </c>
      <c r="P1899" s="224"/>
      <c r="Q1899" s="224"/>
      <c r="R1899" s="225">
        <v>6</v>
      </c>
      <c r="S1899" s="226" t="s">
        <v>1975</v>
      </c>
      <c r="U1899" s="226" t="s">
        <v>2102</v>
      </c>
      <c r="V1899" s="227" t="s">
        <v>1403</v>
      </c>
      <c r="W1899" s="227">
        <v>30</v>
      </c>
      <c r="X1899" s="227" t="s">
        <v>1388</v>
      </c>
      <c r="Y1899" s="227" t="s">
        <v>1417</v>
      </c>
      <c r="Z1899" s="228">
        <f>AVERAGE(Sheet1!BP1899:BQ1899)</f>
        <v>1.6160000000000001</v>
      </c>
      <c r="AA1899" s="364">
        <v>65</v>
      </c>
      <c r="AB1899" s="364">
        <v>25</v>
      </c>
      <c r="AC1899" s="224" t="s">
        <v>240</v>
      </c>
      <c r="AD1899" s="224"/>
      <c r="AE1899" s="224"/>
      <c r="AF1899" s="224"/>
      <c r="AG1899" s="223" t="s">
        <v>2029</v>
      </c>
      <c r="AH1899" s="225" t="s">
        <v>243</v>
      </c>
      <c r="AI1899" s="224" t="s">
        <v>577</v>
      </c>
      <c r="AJ1899" s="225" t="s">
        <v>2027</v>
      </c>
      <c r="AK1899" s="253" t="s">
        <v>1646</v>
      </c>
      <c r="AL1899" s="224"/>
      <c r="AM1899" s="224"/>
      <c r="AN1899" s="224"/>
      <c r="AO1899" s="225" t="s">
        <v>1046</v>
      </c>
      <c r="AP1899" s="225" t="s">
        <v>1046</v>
      </c>
      <c r="AQ1899" s="254" t="s">
        <v>2126</v>
      </c>
      <c r="AR1899" s="254" t="s">
        <v>2126</v>
      </c>
      <c r="AS1899" s="92" t="s">
        <v>177</v>
      </c>
      <c r="AT1899" s="224" t="s">
        <v>161</v>
      </c>
      <c r="AU1899" s="224"/>
      <c r="AV1899" s="229" t="s">
        <v>2025</v>
      </c>
      <c r="AW1899" s="253" t="s">
        <v>160</v>
      </c>
      <c r="AX1899" s="225">
        <v>4</v>
      </c>
      <c r="AY1899" s="225">
        <v>4</v>
      </c>
      <c r="AZ1899" s="224" t="s">
        <v>141</v>
      </c>
      <c r="BA1899" s="224"/>
      <c r="BB1899" s="224"/>
      <c r="BC1899" s="224"/>
      <c r="BD1899" s="224"/>
      <c r="BE1899" s="224"/>
      <c r="BK1899" s="225"/>
      <c r="BL1899" s="225"/>
      <c r="BM1899" s="224"/>
      <c r="BP1899" s="441">
        <f t="shared" si="284"/>
        <v>1.6160000000000001</v>
      </c>
      <c r="BQ1899" s="440">
        <v>1.6160000000000001</v>
      </c>
      <c r="BU1899" s="441">
        <v>0.17326732673267325</v>
      </c>
      <c r="BV1899" s="441">
        <v>0.19183168316831681</v>
      </c>
      <c r="BZ1899" s="36">
        <v>8.4</v>
      </c>
      <c r="CA1899" s="36">
        <v>9.2999999999999989</v>
      </c>
      <c r="CB1899" s="36">
        <v>3.4</v>
      </c>
      <c r="CC1899" s="36">
        <v>3.4</v>
      </c>
      <c r="CD1899" s="92" t="s">
        <v>992</v>
      </c>
      <c r="CE1899" s="560">
        <v>8.4</v>
      </c>
      <c r="CF1899" s="560">
        <v>9.2999999999999989</v>
      </c>
      <c r="CG1899" s="560"/>
      <c r="CH1899" s="560"/>
      <c r="CI1899" s="92" t="s">
        <v>4546</v>
      </c>
      <c r="JB1899" s="225" t="s">
        <v>2083</v>
      </c>
      <c r="JC1899" s="224"/>
      <c r="JD1899" s="230"/>
    </row>
    <row r="1900" spans="1:264" s="36" customFormat="1" x14ac:dyDescent="0.25">
      <c r="A1900" s="223">
        <v>91</v>
      </c>
      <c r="B1900" s="540" t="s">
        <v>4176</v>
      </c>
      <c r="C1900" s="223" t="s">
        <v>768</v>
      </c>
      <c r="D1900" s="224" t="s">
        <v>2118</v>
      </c>
      <c r="E1900" s="223">
        <v>2006</v>
      </c>
      <c r="F1900" s="224">
        <v>1999</v>
      </c>
      <c r="G1900" s="223" t="s">
        <v>946</v>
      </c>
      <c r="H1900" s="223" t="s">
        <v>2032</v>
      </c>
      <c r="I1900" s="252" t="s">
        <v>2815</v>
      </c>
      <c r="J1900" s="224">
        <v>32.56</v>
      </c>
      <c r="K1900" s="224">
        <v>-83.91</v>
      </c>
      <c r="L1900" s="225">
        <v>16</v>
      </c>
      <c r="M1900" s="225">
        <v>18.100000000000001</v>
      </c>
      <c r="N1900" s="224"/>
      <c r="O1900" s="225">
        <v>1258</v>
      </c>
      <c r="P1900" s="224"/>
      <c r="Q1900" s="224"/>
      <c r="R1900" s="225">
        <v>6</v>
      </c>
      <c r="S1900" s="226" t="s">
        <v>1975</v>
      </c>
      <c r="U1900" s="226" t="s">
        <v>2102</v>
      </c>
      <c r="V1900" s="227" t="s">
        <v>1415</v>
      </c>
      <c r="W1900" s="227">
        <v>30</v>
      </c>
      <c r="X1900" s="227" t="s">
        <v>1388</v>
      </c>
      <c r="Y1900" s="227" t="s">
        <v>1417</v>
      </c>
      <c r="Z1900" s="228">
        <f>AVERAGE(Sheet1!BP1900:BQ1900)</f>
        <v>1.6279999999999999</v>
      </c>
      <c r="AA1900" s="364">
        <v>65</v>
      </c>
      <c r="AB1900" s="364">
        <v>25</v>
      </c>
      <c r="AC1900" s="224" t="s">
        <v>240</v>
      </c>
      <c r="AD1900" s="224"/>
      <c r="AE1900" s="224"/>
      <c r="AF1900" s="224"/>
      <c r="AG1900" s="223" t="s">
        <v>2029</v>
      </c>
      <c r="AH1900" s="225" t="s">
        <v>243</v>
      </c>
      <c r="AI1900" s="224" t="s">
        <v>577</v>
      </c>
      <c r="AJ1900" s="225" t="s">
        <v>2027</v>
      </c>
      <c r="AK1900" s="253" t="s">
        <v>1646</v>
      </c>
      <c r="AL1900" s="224"/>
      <c r="AM1900" s="224"/>
      <c r="AN1900" s="224"/>
      <c r="AO1900" s="225" t="s">
        <v>1046</v>
      </c>
      <c r="AP1900" s="225" t="s">
        <v>1046</v>
      </c>
      <c r="AQ1900" s="254" t="s">
        <v>2126</v>
      </c>
      <c r="AR1900" s="254" t="s">
        <v>2126</v>
      </c>
      <c r="AS1900" s="92" t="s">
        <v>2115</v>
      </c>
      <c r="AT1900" s="224" t="s">
        <v>161</v>
      </c>
      <c r="AU1900" s="224"/>
      <c r="AV1900" s="229" t="s">
        <v>2025</v>
      </c>
      <c r="AW1900" s="253" t="s">
        <v>160</v>
      </c>
      <c r="AX1900" s="225">
        <v>4</v>
      </c>
      <c r="AY1900" s="225">
        <v>4</v>
      </c>
      <c r="AZ1900" s="224" t="s">
        <v>141</v>
      </c>
      <c r="BA1900" s="224"/>
      <c r="BB1900" s="224"/>
      <c r="BC1900" s="224"/>
      <c r="BD1900" s="224"/>
      <c r="BE1900" s="224"/>
      <c r="BK1900" s="225"/>
      <c r="BL1900" s="225"/>
      <c r="BM1900" s="224"/>
      <c r="BP1900" s="441">
        <f t="shared" si="284"/>
        <v>1.6279999999999999</v>
      </c>
      <c r="BQ1900" s="440">
        <v>1.6279999999999999</v>
      </c>
      <c r="BU1900" s="441">
        <v>0.14332514332514337</v>
      </c>
      <c r="BV1900" s="441">
        <v>0.12285012285012287</v>
      </c>
      <c r="BZ1900" s="36">
        <v>7.0000000000000018</v>
      </c>
      <c r="CA1900" s="36">
        <v>5.9999999999999991</v>
      </c>
      <c r="CB1900" s="36">
        <v>2.2000000000000002</v>
      </c>
      <c r="CC1900" s="36">
        <v>2.2000000000000002</v>
      </c>
      <c r="CD1900" s="92" t="s">
        <v>992</v>
      </c>
      <c r="CE1900" s="560">
        <v>7.0000000000000018</v>
      </c>
      <c r="CF1900" s="560">
        <v>5.9999999999999991</v>
      </c>
      <c r="CG1900" s="560"/>
      <c r="CH1900" s="560"/>
      <c r="CI1900" s="92" t="s">
        <v>4546</v>
      </c>
      <c r="JB1900" s="225" t="s">
        <v>2083</v>
      </c>
      <c r="JC1900" s="224"/>
      <c r="JD1900" s="230"/>
    </row>
    <row r="1901" spans="1:264" s="92" customFormat="1" x14ac:dyDescent="0.25">
      <c r="A1901" s="252">
        <v>91</v>
      </c>
      <c r="B1901" s="539" t="s">
        <v>4177</v>
      </c>
      <c r="C1901" s="252" t="s">
        <v>768</v>
      </c>
      <c r="D1901" s="253" t="s">
        <v>2118</v>
      </c>
      <c r="E1901" s="252">
        <v>2006</v>
      </c>
      <c r="F1901" s="253">
        <v>1999</v>
      </c>
      <c r="G1901" s="252" t="s">
        <v>946</v>
      </c>
      <c r="H1901" s="252" t="s">
        <v>2032</v>
      </c>
      <c r="I1901" s="252" t="s">
        <v>2815</v>
      </c>
      <c r="J1901" s="253">
        <v>32.56</v>
      </c>
      <c r="K1901" s="253">
        <v>-83.91</v>
      </c>
      <c r="L1901" s="254">
        <v>16</v>
      </c>
      <c r="M1901" s="254">
        <v>18.100000000000001</v>
      </c>
      <c r="N1901" s="253"/>
      <c r="O1901" s="254">
        <v>1258</v>
      </c>
      <c r="P1901" s="253"/>
      <c r="Q1901" s="253"/>
      <c r="R1901" s="254">
        <v>6</v>
      </c>
      <c r="S1901" s="255" t="s">
        <v>1975</v>
      </c>
      <c r="U1901" s="255" t="s">
        <v>2102</v>
      </c>
      <c r="V1901" s="256" t="s">
        <v>1388</v>
      </c>
      <c r="W1901" s="256">
        <v>10</v>
      </c>
      <c r="X1901" s="256" t="s">
        <v>1388</v>
      </c>
      <c r="Y1901" s="256" t="s">
        <v>1417</v>
      </c>
      <c r="Z1901" s="257">
        <f>AVERAGE(Sheet1!BP1901:BQ1901)</f>
        <v>1.421</v>
      </c>
      <c r="AA1901" s="363">
        <v>65</v>
      </c>
      <c r="AB1901" s="363">
        <v>25</v>
      </c>
      <c r="AC1901" s="253" t="s">
        <v>240</v>
      </c>
      <c r="AD1901" s="253"/>
      <c r="AE1901" s="253"/>
      <c r="AF1901" s="253"/>
      <c r="AG1901" s="252" t="s">
        <v>2029</v>
      </c>
      <c r="AH1901" s="254" t="s">
        <v>243</v>
      </c>
      <c r="AI1901" s="253" t="s">
        <v>577</v>
      </c>
      <c r="AJ1901" s="254" t="s">
        <v>2027</v>
      </c>
      <c r="AK1901" s="253" t="s">
        <v>1646</v>
      </c>
      <c r="AL1901" s="253"/>
      <c r="AM1901" s="253"/>
      <c r="AN1901" s="253"/>
      <c r="AO1901" s="254" t="s">
        <v>1046</v>
      </c>
      <c r="AP1901" s="254" t="s">
        <v>1046</v>
      </c>
      <c r="AQ1901" s="254" t="s">
        <v>2126</v>
      </c>
      <c r="AR1901" s="254" t="s">
        <v>2126</v>
      </c>
      <c r="AS1901" s="92" t="s">
        <v>177</v>
      </c>
      <c r="AT1901" s="253" t="s">
        <v>2031</v>
      </c>
      <c r="AU1901" s="253"/>
      <c r="AV1901" s="258" t="s">
        <v>2025</v>
      </c>
      <c r="AW1901" s="253" t="s">
        <v>160</v>
      </c>
      <c r="AX1901" s="254">
        <v>4</v>
      </c>
      <c r="AY1901" s="254">
        <v>4</v>
      </c>
      <c r="AZ1901" s="253" t="s">
        <v>141</v>
      </c>
      <c r="BA1901" s="253"/>
      <c r="BB1901" s="253">
        <f>1/3*16170</f>
        <v>5390</v>
      </c>
      <c r="BC1901" s="253"/>
      <c r="BD1901" s="253"/>
      <c r="BE1901" s="253"/>
      <c r="BK1901" s="254"/>
      <c r="BL1901" s="254"/>
      <c r="BM1901" s="253"/>
      <c r="BP1901" s="439">
        <f t="shared" si="284"/>
        <v>1.421</v>
      </c>
      <c r="BQ1901" s="439">
        <v>1.421</v>
      </c>
      <c r="BU1901" s="438">
        <v>0.74595355383532724</v>
      </c>
      <c r="BV1901" s="438">
        <v>0.78817733990147776</v>
      </c>
      <c r="BZ1901" s="92">
        <v>10.6</v>
      </c>
      <c r="CA1901" s="92">
        <v>11.200000000000001</v>
      </c>
      <c r="CB1901" s="92">
        <v>1</v>
      </c>
      <c r="CC1901" s="92">
        <v>1</v>
      </c>
      <c r="CD1901" s="92" t="s">
        <v>992</v>
      </c>
      <c r="CE1901" s="577">
        <v>10.6</v>
      </c>
      <c r="CF1901" s="577">
        <v>11.200000000000001</v>
      </c>
      <c r="CG1901" s="577"/>
      <c r="CH1901" s="577"/>
      <c r="CI1901" s="92" t="s">
        <v>4546</v>
      </c>
      <c r="JB1901" s="254" t="s">
        <v>2083</v>
      </c>
      <c r="JC1901" s="253"/>
      <c r="JD1901" s="259"/>
    </row>
    <row r="1902" spans="1:264" s="92" customFormat="1" x14ac:dyDescent="0.25">
      <c r="A1902" s="252">
        <v>91</v>
      </c>
      <c r="B1902" s="539" t="s">
        <v>4178</v>
      </c>
      <c r="C1902" s="252" t="s">
        <v>768</v>
      </c>
      <c r="D1902" s="253" t="s">
        <v>2118</v>
      </c>
      <c r="E1902" s="252">
        <v>2006</v>
      </c>
      <c r="F1902" s="253">
        <v>1999</v>
      </c>
      <c r="G1902" s="252" t="s">
        <v>946</v>
      </c>
      <c r="H1902" s="252" t="s">
        <v>2032</v>
      </c>
      <c r="I1902" s="252" t="s">
        <v>2815</v>
      </c>
      <c r="J1902" s="253">
        <v>32.56</v>
      </c>
      <c r="K1902" s="253">
        <v>-83.91</v>
      </c>
      <c r="L1902" s="254">
        <v>16</v>
      </c>
      <c r="M1902" s="254">
        <v>18.100000000000001</v>
      </c>
      <c r="N1902" s="253"/>
      <c r="O1902" s="254">
        <v>1258</v>
      </c>
      <c r="P1902" s="253"/>
      <c r="Q1902" s="253"/>
      <c r="R1902" s="254">
        <v>6</v>
      </c>
      <c r="S1902" s="255" t="s">
        <v>1975</v>
      </c>
      <c r="U1902" s="255" t="s">
        <v>2102</v>
      </c>
      <c r="V1902" s="256" t="s">
        <v>1408</v>
      </c>
      <c r="W1902" s="256">
        <v>20</v>
      </c>
      <c r="X1902" s="256" t="s">
        <v>1388</v>
      </c>
      <c r="Y1902" s="256" t="s">
        <v>1417</v>
      </c>
      <c r="Z1902" s="257">
        <f>AVERAGE(Sheet1!BP1902:BQ1902)</f>
        <v>1.5469999999999999</v>
      </c>
      <c r="AA1902" s="363">
        <v>65</v>
      </c>
      <c r="AB1902" s="363">
        <v>25</v>
      </c>
      <c r="AC1902" s="253" t="s">
        <v>240</v>
      </c>
      <c r="AD1902" s="253"/>
      <c r="AE1902" s="253"/>
      <c r="AF1902" s="253"/>
      <c r="AG1902" s="252" t="s">
        <v>2029</v>
      </c>
      <c r="AH1902" s="254" t="s">
        <v>243</v>
      </c>
      <c r="AI1902" s="253" t="s">
        <v>577</v>
      </c>
      <c r="AJ1902" s="254" t="s">
        <v>2027</v>
      </c>
      <c r="AK1902" s="253" t="s">
        <v>1646</v>
      </c>
      <c r="AL1902" s="253"/>
      <c r="AM1902" s="253"/>
      <c r="AN1902" s="253"/>
      <c r="AO1902" s="254" t="s">
        <v>1046</v>
      </c>
      <c r="AP1902" s="254" t="s">
        <v>1046</v>
      </c>
      <c r="AQ1902" s="254" t="s">
        <v>2126</v>
      </c>
      <c r="AR1902" s="254" t="s">
        <v>2126</v>
      </c>
      <c r="AS1902" s="92" t="s">
        <v>2115</v>
      </c>
      <c r="AT1902" s="253" t="s">
        <v>2031</v>
      </c>
      <c r="AU1902" s="253"/>
      <c r="AV1902" s="258" t="s">
        <v>2025</v>
      </c>
      <c r="AW1902" s="253" t="s">
        <v>160</v>
      </c>
      <c r="AX1902" s="254">
        <v>4</v>
      </c>
      <c r="AY1902" s="254">
        <v>4</v>
      </c>
      <c r="AZ1902" s="253" t="s">
        <v>141</v>
      </c>
      <c r="BA1902" s="253"/>
      <c r="BB1902" s="253"/>
      <c r="BC1902" s="253"/>
      <c r="BD1902" s="253"/>
      <c r="BE1902" s="253"/>
      <c r="BK1902" s="254"/>
      <c r="BL1902" s="254"/>
      <c r="BM1902" s="253"/>
      <c r="BP1902" s="439">
        <f t="shared" si="284"/>
        <v>1.5469999999999999</v>
      </c>
      <c r="BQ1902" s="439">
        <v>1.5469999999999999</v>
      </c>
      <c r="BU1902" s="438">
        <v>0.44602456367162258</v>
      </c>
      <c r="BV1902" s="438">
        <v>0.52036199095022628</v>
      </c>
      <c r="BZ1902" s="92">
        <v>13.8</v>
      </c>
      <c r="CA1902" s="92">
        <v>16.100000000000001</v>
      </c>
      <c r="CB1902" s="92">
        <v>2.2999999999999998</v>
      </c>
      <c r="CC1902" s="92">
        <v>2.2999999999999998</v>
      </c>
      <c r="CD1902" s="92" t="s">
        <v>992</v>
      </c>
      <c r="CE1902" s="577">
        <v>13.8</v>
      </c>
      <c r="CF1902" s="577">
        <v>16.100000000000001</v>
      </c>
      <c r="CG1902" s="577"/>
      <c r="CH1902" s="577"/>
      <c r="CI1902" s="92" t="s">
        <v>4546</v>
      </c>
      <c r="JB1902" s="254" t="s">
        <v>2083</v>
      </c>
      <c r="JC1902" s="253"/>
      <c r="JD1902" s="259"/>
    </row>
    <row r="1903" spans="1:264" s="92" customFormat="1" x14ac:dyDescent="0.25">
      <c r="A1903" s="252">
        <v>91</v>
      </c>
      <c r="B1903" s="539" t="s">
        <v>4179</v>
      </c>
      <c r="C1903" s="252" t="s">
        <v>768</v>
      </c>
      <c r="D1903" s="253" t="s">
        <v>2118</v>
      </c>
      <c r="E1903" s="252">
        <v>2006</v>
      </c>
      <c r="F1903" s="253">
        <v>1999</v>
      </c>
      <c r="G1903" s="252" t="s">
        <v>946</v>
      </c>
      <c r="H1903" s="252" t="s">
        <v>2032</v>
      </c>
      <c r="I1903" s="252" t="s">
        <v>2815</v>
      </c>
      <c r="J1903" s="253">
        <v>32.56</v>
      </c>
      <c r="K1903" s="253">
        <v>-83.91</v>
      </c>
      <c r="L1903" s="254">
        <v>16</v>
      </c>
      <c r="M1903" s="254">
        <v>18.100000000000001</v>
      </c>
      <c r="N1903" s="253"/>
      <c r="O1903" s="254">
        <v>1258</v>
      </c>
      <c r="P1903" s="253"/>
      <c r="Q1903" s="253"/>
      <c r="R1903" s="254">
        <v>6</v>
      </c>
      <c r="S1903" s="255" t="s">
        <v>1975</v>
      </c>
      <c r="U1903" s="255" t="s">
        <v>2102</v>
      </c>
      <c r="V1903" s="256" t="s">
        <v>1402</v>
      </c>
      <c r="W1903" s="256">
        <v>30</v>
      </c>
      <c r="X1903" s="256" t="s">
        <v>1388</v>
      </c>
      <c r="Y1903" s="256" t="s">
        <v>1417</v>
      </c>
      <c r="Z1903" s="257">
        <f>AVERAGE(Sheet1!BP1903:BQ1903)</f>
        <v>1.3979999999999999</v>
      </c>
      <c r="AA1903" s="363">
        <v>65</v>
      </c>
      <c r="AB1903" s="363">
        <v>25</v>
      </c>
      <c r="AC1903" s="253" t="s">
        <v>240</v>
      </c>
      <c r="AD1903" s="253"/>
      <c r="AE1903" s="253"/>
      <c r="AF1903" s="253"/>
      <c r="AG1903" s="252" t="s">
        <v>2029</v>
      </c>
      <c r="AH1903" s="254" t="s">
        <v>243</v>
      </c>
      <c r="AI1903" s="253" t="s">
        <v>577</v>
      </c>
      <c r="AJ1903" s="254" t="s">
        <v>2027</v>
      </c>
      <c r="AK1903" s="253" t="s">
        <v>1646</v>
      </c>
      <c r="AL1903" s="253"/>
      <c r="AM1903" s="253"/>
      <c r="AN1903" s="253"/>
      <c r="AO1903" s="254" t="s">
        <v>1046</v>
      </c>
      <c r="AP1903" s="254" t="s">
        <v>1046</v>
      </c>
      <c r="AQ1903" s="254" t="s">
        <v>2126</v>
      </c>
      <c r="AR1903" s="254" t="s">
        <v>2126</v>
      </c>
      <c r="AS1903" s="92" t="s">
        <v>177</v>
      </c>
      <c r="AT1903" s="253" t="s">
        <v>2031</v>
      </c>
      <c r="AU1903" s="253"/>
      <c r="AV1903" s="258" t="s">
        <v>2025</v>
      </c>
      <c r="AW1903" s="253" t="s">
        <v>160</v>
      </c>
      <c r="AX1903" s="254">
        <v>4</v>
      </c>
      <c r="AY1903" s="254">
        <v>4</v>
      </c>
      <c r="AZ1903" s="253" t="s">
        <v>141</v>
      </c>
      <c r="BA1903" s="253"/>
      <c r="BB1903" s="253"/>
      <c r="BC1903" s="253"/>
      <c r="BD1903" s="253"/>
      <c r="BE1903" s="253"/>
      <c r="BK1903" s="254"/>
      <c r="BL1903" s="254"/>
      <c r="BM1903" s="253"/>
      <c r="BP1903" s="439">
        <f t="shared" si="284"/>
        <v>1.3979999999999999</v>
      </c>
      <c r="BQ1903" s="439">
        <v>1.3979999999999999</v>
      </c>
      <c r="BU1903" s="438">
        <v>0.27896995708154504</v>
      </c>
      <c r="BV1903" s="438">
        <v>0.30758226037195996</v>
      </c>
      <c r="BZ1903" s="92">
        <v>11.700000000000001</v>
      </c>
      <c r="CA1903" s="92">
        <v>12.900000000000002</v>
      </c>
      <c r="CB1903" s="92">
        <v>3.4</v>
      </c>
      <c r="CC1903" s="92">
        <v>3.4</v>
      </c>
      <c r="CD1903" s="92" t="s">
        <v>992</v>
      </c>
      <c r="CE1903" s="577">
        <v>11.700000000000001</v>
      </c>
      <c r="CF1903" s="577">
        <v>12.900000000000002</v>
      </c>
      <c r="CG1903" s="577"/>
      <c r="CH1903" s="577"/>
      <c r="CI1903" s="92" t="s">
        <v>4546</v>
      </c>
      <c r="JB1903" s="254" t="s">
        <v>2083</v>
      </c>
      <c r="JC1903" s="253"/>
      <c r="JD1903" s="259"/>
    </row>
    <row r="1904" spans="1:264" s="92" customFormat="1" x14ac:dyDescent="0.25">
      <c r="A1904" s="252">
        <v>91</v>
      </c>
      <c r="B1904" s="539" t="s">
        <v>4180</v>
      </c>
      <c r="C1904" s="252" t="s">
        <v>768</v>
      </c>
      <c r="D1904" s="253" t="s">
        <v>2118</v>
      </c>
      <c r="E1904" s="252">
        <v>2006</v>
      </c>
      <c r="F1904" s="253">
        <v>1999</v>
      </c>
      <c r="G1904" s="252" t="s">
        <v>946</v>
      </c>
      <c r="H1904" s="252" t="s">
        <v>2032</v>
      </c>
      <c r="I1904" s="252" t="s">
        <v>2815</v>
      </c>
      <c r="J1904" s="253">
        <v>32.56</v>
      </c>
      <c r="K1904" s="253">
        <v>-83.91</v>
      </c>
      <c r="L1904" s="254">
        <v>16</v>
      </c>
      <c r="M1904" s="254">
        <v>18.100000000000001</v>
      </c>
      <c r="N1904" s="253"/>
      <c r="O1904" s="254">
        <v>1258</v>
      </c>
      <c r="P1904" s="253"/>
      <c r="Q1904" s="253"/>
      <c r="R1904" s="254">
        <v>6</v>
      </c>
      <c r="S1904" s="255" t="s">
        <v>1975</v>
      </c>
      <c r="U1904" s="255" t="s">
        <v>2102</v>
      </c>
      <c r="V1904" s="256" t="s">
        <v>1403</v>
      </c>
      <c r="W1904" s="256">
        <v>30</v>
      </c>
      <c r="X1904" s="256" t="s">
        <v>1388</v>
      </c>
      <c r="Y1904" s="256" t="s">
        <v>1417</v>
      </c>
      <c r="Z1904" s="257">
        <f>AVERAGE(Sheet1!BP1904:BQ1904)</f>
        <v>1.6160000000000001</v>
      </c>
      <c r="AA1904" s="363">
        <v>65</v>
      </c>
      <c r="AB1904" s="363">
        <v>25</v>
      </c>
      <c r="AC1904" s="253" t="s">
        <v>240</v>
      </c>
      <c r="AD1904" s="253"/>
      <c r="AE1904" s="253"/>
      <c r="AF1904" s="253"/>
      <c r="AG1904" s="252" t="s">
        <v>2029</v>
      </c>
      <c r="AH1904" s="254" t="s">
        <v>243</v>
      </c>
      <c r="AI1904" s="253" t="s">
        <v>577</v>
      </c>
      <c r="AJ1904" s="254" t="s">
        <v>2027</v>
      </c>
      <c r="AK1904" s="253" t="s">
        <v>1646</v>
      </c>
      <c r="AL1904" s="253"/>
      <c r="AM1904" s="253"/>
      <c r="AN1904" s="253"/>
      <c r="AO1904" s="254" t="s">
        <v>1046</v>
      </c>
      <c r="AP1904" s="254" t="s">
        <v>1046</v>
      </c>
      <c r="AQ1904" s="254" t="s">
        <v>2126</v>
      </c>
      <c r="AR1904" s="254" t="s">
        <v>2126</v>
      </c>
      <c r="AS1904" s="92" t="s">
        <v>2115</v>
      </c>
      <c r="AT1904" s="253" t="s">
        <v>2031</v>
      </c>
      <c r="AU1904" s="253"/>
      <c r="AV1904" s="258" t="s">
        <v>2025</v>
      </c>
      <c r="AW1904" s="253" t="s">
        <v>160</v>
      </c>
      <c r="AX1904" s="254">
        <v>4</v>
      </c>
      <c r="AY1904" s="254">
        <v>4</v>
      </c>
      <c r="AZ1904" s="253" t="s">
        <v>141</v>
      </c>
      <c r="BA1904" s="253"/>
      <c r="BB1904" s="253"/>
      <c r="BC1904" s="253"/>
      <c r="BD1904" s="253"/>
      <c r="BE1904" s="253"/>
      <c r="BK1904" s="254"/>
      <c r="BL1904" s="254"/>
      <c r="BM1904" s="253"/>
      <c r="BP1904" s="439">
        <f t="shared" si="284"/>
        <v>1.6160000000000001</v>
      </c>
      <c r="BQ1904" s="439">
        <v>1.6160000000000001</v>
      </c>
      <c r="BU1904" s="438">
        <v>0.19389438943894385</v>
      </c>
      <c r="BV1904" s="438">
        <v>0.16707920792079203</v>
      </c>
      <c r="BZ1904" s="92">
        <v>9.3999999999999986</v>
      </c>
      <c r="CA1904" s="92">
        <v>8.0999999999999979</v>
      </c>
      <c r="CB1904" s="92">
        <v>3.4</v>
      </c>
      <c r="CC1904" s="92">
        <v>3.4</v>
      </c>
      <c r="CD1904" s="92" t="s">
        <v>992</v>
      </c>
      <c r="CE1904" s="577">
        <v>9.3999999999999986</v>
      </c>
      <c r="CF1904" s="577">
        <v>8.0999999999999979</v>
      </c>
      <c r="CG1904" s="577"/>
      <c r="CH1904" s="577"/>
      <c r="CI1904" s="92" t="s">
        <v>4546</v>
      </c>
      <c r="JB1904" s="254" t="s">
        <v>2083</v>
      </c>
      <c r="JC1904" s="253"/>
      <c r="JD1904" s="259"/>
    </row>
    <row r="1905" spans="1:264" s="92" customFormat="1" x14ac:dyDescent="0.25">
      <c r="A1905" s="252">
        <v>91</v>
      </c>
      <c r="B1905" s="539" t="s">
        <v>4181</v>
      </c>
      <c r="C1905" s="252" t="s">
        <v>768</v>
      </c>
      <c r="D1905" s="253" t="s">
        <v>2118</v>
      </c>
      <c r="E1905" s="252">
        <v>2006</v>
      </c>
      <c r="F1905" s="253">
        <v>1999</v>
      </c>
      <c r="G1905" s="252" t="s">
        <v>946</v>
      </c>
      <c r="H1905" s="252" t="s">
        <v>2032</v>
      </c>
      <c r="I1905" s="252" t="s">
        <v>2815</v>
      </c>
      <c r="J1905" s="253">
        <v>32.56</v>
      </c>
      <c r="K1905" s="253">
        <v>-83.91</v>
      </c>
      <c r="L1905" s="254">
        <v>16</v>
      </c>
      <c r="M1905" s="254">
        <v>18.100000000000001</v>
      </c>
      <c r="N1905" s="253"/>
      <c r="O1905" s="254">
        <v>1258</v>
      </c>
      <c r="P1905" s="253"/>
      <c r="Q1905" s="253"/>
      <c r="R1905" s="254">
        <v>6</v>
      </c>
      <c r="S1905" s="255" t="s">
        <v>1975</v>
      </c>
      <c r="U1905" s="255" t="s">
        <v>2102</v>
      </c>
      <c r="V1905" s="256" t="s">
        <v>1415</v>
      </c>
      <c r="W1905" s="256">
        <v>30</v>
      </c>
      <c r="X1905" s="256" t="s">
        <v>1388</v>
      </c>
      <c r="Y1905" s="256" t="s">
        <v>1417</v>
      </c>
      <c r="Z1905" s="257">
        <f>AVERAGE(Sheet1!BP1905:BQ1905)</f>
        <v>1.6279999999999999</v>
      </c>
      <c r="AA1905" s="363">
        <v>65</v>
      </c>
      <c r="AB1905" s="363">
        <v>25</v>
      </c>
      <c r="AC1905" s="253" t="s">
        <v>240</v>
      </c>
      <c r="AD1905" s="253"/>
      <c r="AE1905" s="253"/>
      <c r="AF1905" s="253"/>
      <c r="AG1905" s="252" t="s">
        <v>2029</v>
      </c>
      <c r="AH1905" s="254" t="s">
        <v>243</v>
      </c>
      <c r="AI1905" s="253" t="s">
        <v>577</v>
      </c>
      <c r="AJ1905" s="254" t="s">
        <v>2027</v>
      </c>
      <c r="AK1905" s="253" t="s">
        <v>1646</v>
      </c>
      <c r="AL1905" s="253"/>
      <c r="AM1905" s="253"/>
      <c r="AN1905" s="253"/>
      <c r="AO1905" s="254" t="s">
        <v>1046</v>
      </c>
      <c r="AP1905" s="254" t="s">
        <v>1046</v>
      </c>
      <c r="AQ1905" s="254" t="s">
        <v>2126</v>
      </c>
      <c r="AR1905" s="254" t="s">
        <v>2126</v>
      </c>
      <c r="AS1905" s="92" t="s">
        <v>177</v>
      </c>
      <c r="AT1905" s="253" t="s">
        <v>2031</v>
      </c>
      <c r="AU1905" s="253"/>
      <c r="AV1905" s="258" t="s">
        <v>2025</v>
      </c>
      <c r="AW1905" s="253" t="s">
        <v>160</v>
      </c>
      <c r="AX1905" s="254">
        <v>4</v>
      </c>
      <c r="AY1905" s="254">
        <v>4</v>
      </c>
      <c r="AZ1905" s="253" t="s">
        <v>141</v>
      </c>
      <c r="BA1905" s="253"/>
      <c r="BB1905" s="253"/>
      <c r="BC1905" s="253"/>
      <c r="BD1905" s="253"/>
      <c r="BE1905" s="253"/>
      <c r="BK1905" s="254"/>
      <c r="BL1905" s="254"/>
      <c r="BM1905" s="253"/>
      <c r="BP1905" s="439">
        <f t="shared" si="284"/>
        <v>1.6279999999999999</v>
      </c>
      <c r="BQ1905" s="439">
        <v>1.6279999999999999</v>
      </c>
      <c r="BU1905" s="438">
        <v>0.13104013104013107</v>
      </c>
      <c r="BV1905" s="438">
        <v>0.128992628992629</v>
      </c>
      <c r="BZ1905" s="92">
        <v>6.4</v>
      </c>
      <c r="CA1905" s="92">
        <v>6.3</v>
      </c>
      <c r="CB1905" s="92">
        <v>2.2000000000000002</v>
      </c>
      <c r="CC1905" s="92">
        <v>2.2000000000000002</v>
      </c>
      <c r="CD1905" s="92" t="s">
        <v>992</v>
      </c>
      <c r="CE1905" s="577">
        <v>6.4</v>
      </c>
      <c r="CF1905" s="577">
        <v>6.3</v>
      </c>
      <c r="CG1905" s="577"/>
      <c r="CH1905" s="577"/>
      <c r="CI1905" s="92" t="s">
        <v>4546</v>
      </c>
      <c r="JB1905" s="254" t="s">
        <v>2083</v>
      </c>
      <c r="JC1905" s="253"/>
      <c r="JD1905" s="259"/>
    </row>
    <row r="1906" spans="1:264" s="36" customFormat="1" x14ac:dyDescent="0.25">
      <c r="A1906" s="223">
        <v>91</v>
      </c>
      <c r="B1906" s="540" t="s">
        <v>4182</v>
      </c>
      <c r="C1906" s="223" t="s">
        <v>768</v>
      </c>
      <c r="D1906" s="224" t="s">
        <v>2118</v>
      </c>
      <c r="E1906" s="223">
        <v>2006</v>
      </c>
      <c r="F1906" s="224">
        <v>1999</v>
      </c>
      <c r="G1906" s="223" t="s">
        <v>946</v>
      </c>
      <c r="H1906" s="223" t="s">
        <v>2032</v>
      </c>
      <c r="I1906" s="252" t="s">
        <v>2815</v>
      </c>
      <c r="J1906" s="224">
        <v>32.56</v>
      </c>
      <c r="K1906" s="224">
        <v>-83.91</v>
      </c>
      <c r="L1906" s="225">
        <v>16</v>
      </c>
      <c r="M1906" s="225">
        <v>18.100000000000001</v>
      </c>
      <c r="N1906" s="224"/>
      <c r="O1906" s="225">
        <v>1258</v>
      </c>
      <c r="P1906" s="224"/>
      <c r="Q1906" s="224"/>
      <c r="R1906" s="225">
        <v>6</v>
      </c>
      <c r="S1906" s="226" t="s">
        <v>1975</v>
      </c>
      <c r="U1906" s="226" t="s">
        <v>2102</v>
      </c>
      <c r="V1906" s="227" t="s">
        <v>1388</v>
      </c>
      <c r="W1906" s="227">
        <v>10</v>
      </c>
      <c r="X1906" s="227" t="s">
        <v>1388</v>
      </c>
      <c r="Y1906" s="227" t="s">
        <v>1417</v>
      </c>
      <c r="Z1906" s="228">
        <f>AVERAGE(Sheet1!BP1906:BQ1906)</f>
        <v>1.421</v>
      </c>
      <c r="AA1906" s="364">
        <v>65</v>
      </c>
      <c r="AB1906" s="364">
        <v>25</v>
      </c>
      <c r="AC1906" s="224" t="s">
        <v>240</v>
      </c>
      <c r="AD1906" s="224"/>
      <c r="AE1906" s="224"/>
      <c r="AF1906" s="224"/>
      <c r="AG1906" s="223" t="s">
        <v>2029</v>
      </c>
      <c r="AH1906" s="225" t="s">
        <v>243</v>
      </c>
      <c r="AI1906" s="224" t="s">
        <v>577</v>
      </c>
      <c r="AJ1906" s="225" t="s">
        <v>2027</v>
      </c>
      <c r="AK1906" s="253" t="s">
        <v>1646</v>
      </c>
      <c r="AL1906" s="224"/>
      <c r="AM1906" s="224"/>
      <c r="AN1906" s="224"/>
      <c r="AO1906" s="225" t="s">
        <v>1046</v>
      </c>
      <c r="AP1906" s="225" t="s">
        <v>1046</v>
      </c>
      <c r="AQ1906" s="254" t="s">
        <v>2126</v>
      </c>
      <c r="AR1906" s="254" t="s">
        <v>2126</v>
      </c>
      <c r="AS1906" s="92" t="s">
        <v>2115</v>
      </c>
      <c r="AT1906" s="224" t="s">
        <v>2026</v>
      </c>
      <c r="AU1906" s="224"/>
      <c r="AV1906" s="229" t="s">
        <v>2025</v>
      </c>
      <c r="AW1906" s="253" t="s">
        <v>160</v>
      </c>
      <c r="AX1906" s="225">
        <v>4</v>
      </c>
      <c r="AY1906" s="225">
        <v>4</v>
      </c>
      <c r="AZ1906" s="224" t="s">
        <v>141</v>
      </c>
      <c r="BA1906" s="224"/>
      <c r="BB1906" s="224">
        <f>1/3*15750</f>
        <v>5250</v>
      </c>
      <c r="BC1906" s="224"/>
      <c r="BD1906" s="224"/>
      <c r="BE1906" s="224"/>
      <c r="BK1906" s="225"/>
      <c r="BL1906" s="225"/>
      <c r="BM1906" s="224"/>
      <c r="BP1906" s="440">
        <f t="shared" si="284"/>
        <v>1.421</v>
      </c>
      <c r="BQ1906" s="440">
        <v>1.421</v>
      </c>
      <c r="BU1906" s="441">
        <v>0.7670654468684025</v>
      </c>
      <c r="BV1906" s="441">
        <v>0.80928923293455313</v>
      </c>
      <c r="BZ1906" s="36">
        <v>10.9</v>
      </c>
      <c r="CA1906" s="36">
        <v>11.5</v>
      </c>
      <c r="CB1906" s="36">
        <v>1</v>
      </c>
      <c r="CC1906" s="36">
        <v>1</v>
      </c>
      <c r="CD1906" s="92" t="s">
        <v>992</v>
      </c>
      <c r="CE1906" s="560">
        <v>10.9</v>
      </c>
      <c r="CF1906" s="560">
        <v>11.5</v>
      </c>
      <c r="CG1906" s="560"/>
      <c r="CH1906" s="560"/>
      <c r="CI1906" s="92" t="s">
        <v>4546</v>
      </c>
      <c r="JB1906" s="225" t="s">
        <v>2083</v>
      </c>
      <c r="JC1906" s="224"/>
      <c r="JD1906" s="230"/>
    </row>
    <row r="1907" spans="1:264" s="36" customFormat="1" x14ac:dyDescent="0.25">
      <c r="A1907" s="223">
        <v>91</v>
      </c>
      <c r="B1907" s="540" t="s">
        <v>4183</v>
      </c>
      <c r="C1907" s="223" t="s">
        <v>768</v>
      </c>
      <c r="D1907" s="224" t="s">
        <v>2118</v>
      </c>
      <c r="E1907" s="223">
        <v>2006</v>
      </c>
      <c r="F1907" s="224">
        <v>1999</v>
      </c>
      <c r="G1907" s="223" t="s">
        <v>946</v>
      </c>
      <c r="H1907" s="223" t="s">
        <v>2032</v>
      </c>
      <c r="I1907" s="252" t="s">
        <v>2815</v>
      </c>
      <c r="J1907" s="224">
        <v>32.56</v>
      </c>
      <c r="K1907" s="224">
        <v>-83.91</v>
      </c>
      <c r="L1907" s="225">
        <v>16</v>
      </c>
      <c r="M1907" s="225">
        <v>18.100000000000001</v>
      </c>
      <c r="N1907" s="224"/>
      <c r="O1907" s="225">
        <v>1258</v>
      </c>
      <c r="P1907" s="224"/>
      <c r="Q1907" s="224"/>
      <c r="R1907" s="225">
        <v>6</v>
      </c>
      <c r="S1907" s="226" t="s">
        <v>1975</v>
      </c>
      <c r="U1907" s="226" t="s">
        <v>2102</v>
      </c>
      <c r="V1907" s="227" t="s">
        <v>1408</v>
      </c>
      <c r="W1907" s="227">
        <v>20</v>
      </c>
      <c r="X1907" s="227" t="s">
        <v>1388</v>
      </c>
      <c r="Y1907" s="227" t="s">
        <v>1417</v>
      </c>
      <c r="Z1907" s="228">
        <f>AVERAGE(Sheet1!BP1907:BQ1907)</f>
        <v>1.5469999999999999</v>
      </c>
      <c r="AA1907" s="364">
        <v>65</v>
      </c>
      <c r="AB1907" s="364">
        <v>25</v>
      </c>
      <c r="AC1907" s="224" t="s">
        <v>240</v>
      </c>
      <c r="AD1907" s="224"/>
      <c r="AE1907" s="224"/>
      <c r="AF1907" s="224"/>
      <c r="AG1907" s="223" t="s">
        <v>2029</v>
      </c>
      <c r="AH1907" s="225" t="s">
        <v>243</v>
      </c>
      <c r="AI1907" s="224" t="s">
        <v>577</v>
      </c>
      <c r="AJ1907" s="225" t="s">
        <v>2027</v>
      </c>
      <c r="AK1907" s="253" t="s">
        <v>1646</v>
      </c>
      <c r="AL1907" s="224"/>
      <c r="AM1907" s="224"/>
      <c r="AN1907" s="224"/>
      <c r="AO1907" s="225" t="s">
        <v>1046</v>
      </c>
      <c r="AP1907" s="225" t="s">
        <v>1046</v>
      </c>
      <c r="AQ1907" s="254" t="s">
        <v>2126</v>
      </c>
      <c r="AR1907" s="254" t="s">
        <v>2126</v>
      </c>
      <c r="AS1907" s="92" t="s">
        <v>177</v>
      </c>
      <c r="AT1907" s="224" t="s">
        <v>2026</v>
      </c>
      <c r="AU1907" s="224"/>
      <c r="AV1907" s="229" t="s">
        <v>2025</v>
      </c>
      <c r="AW1907" s="253" t="s">
        <v>160</v>
      </c>
      <c r="AX1907" s="225">
        <v>4</v>
      </c>
      <c r="AY1907" s="225">
        <v>4</v>
      </c>
      <c r="AZ1907" s="224" t="s">
        <v>141</v>
      </c>
      <c r="BA1907" s="224"/>
      <c r="BB1907" s="224"/>
      <c r="BC1907" s="224"/>
      <c r="BD1907" s="224"/>
      <c r="BE1907" s="224"/>
      <c r="BK1907" s="225"/>
      <c r="BL1907" s="225"/>
      <c r="BM1907" s="224"/>
      <c r="BP1907" s="440">
        <f t="shared" si="284"/>
        <v>1.5469999999999999</v>
      </c>
      <c r="BQ1907" s="440">
        <v>1.5469999999999999</v>
      </c>
      <c r="BU1907" s="441">
        <v>0.42986425339366519</v>
      </c>
      <c r="BV1907" s="441">
        <v>0.45248868778280549</v>
      </c>
      <c r="BZ1907" s="36">
        <v>13.3</v>
      </c>
      <c r="CA1907" s="36">
        <v>14.000000000000002</v>
      </c>
      <c r="CB1907" s="36">
        <v>2.2999999999999998</v>
      </c>
      <c r="CC1907" s="36">
        <v>2.2999999999999998</v>
      </c>
      <c r="CD1907" s="92" t="s">
        <v>992</v>
      </c>
      <c r="CE1907" s="560">
        <v>13.3</v>
      </c>
      <c r="CF1907" s="560">
        <v>14.000000000000002</v>
      </c>
      <c r="CG1907" s="560"/>
      <c r="CH1907" s="560"/>
      <c r="CI1907" s="92" t="s">
        <v>4546</v>
      </c>
      <c r="JB1907" s="225" t="s">
        <v>2083</v>
      </c>
      <c r="JC1907" s="224"/>
      <c r="JD1907" s="230"/>
    </row>
    <row r="1908" spans="1:264" s="36" customFormat="1" x14ac:dyDescent="0.25">
      <c r="A1908" s="223">
        <v>91</v>
      </c>
      <c r="B1908" s="540" t="s">
        <v>4184</v>
      </c>
      <c r="C1908" s="223" t="s">
        <v>768</v>
      </c>
      <c r="D1908" s="224" t="s">
        <v>2118</v>
      </c>
      <c r="E1908" s="223">
        <v>2006</v>
      </c>
      <c r="F1908" s="224">
        <v>1999</v>
      </c>
      <c r="G1908" s="223" t="s">
        <v>946</v>
      </c>
      <c r="H1908" s="223" t="s">
        <v>2032</v>
      </c>
      <c r="I1908" s="252" t="s">
        <v>2815</v>
      </c>
      <c r="J1908" s="224">
        <v>32.56</v>
      </c>
      <c r="K1908" s="224">
        <v>-83.91</v>
      </c>
      <c r="L1908" s="225">
        <v>16</v>
      </c>
      <c r="M1908" s="225">
        <v>18.100000000000001</v>
      </c>
      <c r="N1908" s="224"/>
      <c r="O1908" s="225">
        <v>1258</v>
      </c>
      <c r="P1908" s="224"/>
      <c r="Q1908" s="224"/>
      <c r="R1908" s="225">
        <v>6</v>
      </c>
      <c r="S1908" s="226" t="s">
        <v>1975</v>
      </c>
      <c r="U1908" s="226" t="s">
        <v>2102</v>
      </c>
      <c r="V1908" s="227" t="s">
        <v>1402</v>
      </c>
      <c r="W1908" s="227">
        <v>30</v>
      </c>
      <c r="X1908" s="227" t="s">
        <v>1388</v>
      </c>
      <c r="Y1908" s="227" t="s">
        <v>1417</v>
      </c>
      <c r="Z1908" s="228">
        <f>AVERAGE(Sheet1!BP1908:BQ1908)</f>
        <v>1.3979999999999999</v>
      </c>
      <c r="AA1908" s="364">
        <v>65</v>
      </c>
      <c r="AB1908" s="364">
        <v>25</v>
      </c>
      <c r="AC1908" s="224" t="s">
        <v>240</v>
      </c>
      <c r="AD1908" s="224"/>
      <c r="AE1908" s="224"/>
      <c r="AF1908" s="224"/>
      <c r="AG1908" s="223" t="s">
        <v>2029</v>
      </c>
      <c r="AH1908" s="225" t="s">
        <v>243</v>
      </c>
      <c r="AI1908" s="224" t="s">
        <v>577</v>
      </c>
      <c r="AJ1908" s="225" t="s">
        <v>2027</v>
      </c>
      <c r="AK1908" s="253" t="s">
        <v>1646</v>
      </c>
      <c r="AL1908" s="224"/>
      <c r="AM1908" s="224"/>
      <c r="AN1908" s="224"/>
      <c r="AO1908" s="225" t="s">
        <v>1046</v>
      </c>
      <c r="AP1908" s="225" t="s">
        <v>1046</v>
      </c>
      <c r="AQ1908" s="254" t="s">
        <v>2126</v>
      </c>
      <c r="AR1908" s="254" t="s">
        <v>2126</v>
      </c>
      <c r="AS1908" s="92" t="s">
        <v>2115</v>
      </c>
      <c r="AT1908" s="224" t="s">
        <v>2026</v>
      </c>
      <c r="AU1908" s="224"/>
      <c r="AV1908" s="229" t="s">
        <v>2025</v>
      </c>
      <c r="AW1908" s="253" t="s">
        <v>160</v>
      </c>
      <c r="AX1908" s="225">
        <v>4</v>
      </c>
      <c r="AY1908" s="225">
        <v>4</v>
      </c>
      <c r="AZ1908" s="224" t="s">
        <v>141</v>
      </c>
      <c r="BA1908" s="224"/>
      <c r="BB1908" s="224"/>
      <c r="BC1908" s="224"/>
      <c r="BD1908" s="224"/>
      <c r="BE1908" s="224"/>
      <c r="BK1908" s="225"/>
      <c r="BL1908" s="225"/>
      <c r="BM1908" s="224"/>
      <c r="BP1908" s="440">
        <f t="shared" si="284"/>
        <v>1.3979999999999999</v>
      </c>
      <c r="BQ1908" s="440">
        <v>1.3979999999999999</v>
      </c>
      <c r="BU1908" s="441">
        <v>0.25035765379113017</v>
      </c>
      <c r="BV1908" s="441">
        <v>0.2837386742966142</v>
      </c>
      <c r="BZ1908" s="36">
        <v>10.499999999999996</v>
      </c>
      <c r="CA1908" s="36">
        <v>11.899999999999999</v>
      </c>
      <c r="CB1908" s="36">
        <v>3.4</v>
      </c>
      <c r="CC1908" s="36">
        <v>3.4</v>
      </c>
      <c r="CD1908" s="92" t="s">
        <v>992</v>
      </c>
      <c r="CE1908" s="560">
        <v>10.499999999999996</v>
      </c>
      <c r="CF1908" s="560">
        <v>11.899999999999999</v>
      </c>
      <c r="CG1908" s="560"/>
      <c r="CH1908" s="560"/>
      <c r="CI1908" s="92" t="s">
        <v>4546</v>
      </c>
      <c r="JB1908" s="225" t="s">
        <v>2083</v>
      </c>
      <c r="JC1908" s="224"/>
      <c r="JD1908" s="230"/>
    </row>
    <row r="1909" spans="1:264" s="36" customFormat="1" x14ac:dyDescent="0.25">
      <c r="A1909" s="223">
        <v>91</v>
      </c>
      <c r="B1909" s="540" t="s">
        <v>4185</v>
      </c>
      <c r="C1909" s="223" t="s">
        <v>768</v>
      </c>
      <c r="D1909" s="224" t="s">
        <v>2118</v>
      </c>
      <c r="E1909" s="223">
        <v>2006</v>
      </c>
      <c r="F1909" s="224">
        <v>1999</v>
      </c>
      <c r="G1909" s="223" t="s">
        <v>946</v>
      </c>
      <c r="H1909" s="223" t="s">
        <v>2032</v>
      </c>
      <c r="I1909" s="252" t="s">
        <v>2815</v>
      </c>
      <c r="J1909" s="224">
        <v>32.56</v>
      </c>
      <c r="K1909" s="224">
        <v>-83.91</v>
      </c>
      <c r="L1909" s="225">
        <v>16</v>
      </c>
      <c r="M1909" s="225">
        <v>18.100000000000001</v>
      </c>
      <c r="N1909" s="224"/>
      <c r="O1909" s="225">
        <v>1258</v>
      </c>
      <c r="P1909" s="224"/>
      <c r="Q1909" s="224"/>
      <c r="R1909" s="225">
        <v>6</v>
      </c>
      <c r="S1909" s="226" t="s">
        <v>1975</v>
      </c>
      <c r="U1909" s="226" t="s">
        <v>2102</v>
      </c>
      <c r="V1909" s="227" t="s">
        <v>1403</v>
      </c>
      <c r="W1909" s="227">
        <v>30</v>
      </c>
      <c r="X1909" s="227" t="s">
        <v>1388</v>
      </c>
      <c r="Y1909" s="227" t="s">
        <v>1417</v>
      </c>
      <c r="Z1909" s="228">
        <f>AVERAGE(Sheet1!BP1909:BQ1909)</f>
        <v>1.6160000000000001</v>
      </c>
      <c r="AA1909" s="364">
        <v>65</v>
      </c>
      <c r="AB1909" s="364">
        <v>25</v>
      </c>
      <c r="AC1909" s="224" t="s">
        <v>240</v>
      </c>
      <c r="AD1909" s="224"/>
      <c r="AE1909" s="224"/>
      <c r="AF1909" s="224"/>
      <c r="AG1909" s="223" t="s">
        <v>2029</v>
      </c>
      <c r="AH1909" s="225" t="s">
        <v>243</v>
      </c>
      <c r="AI1909" s="224" t="s">
        <v>577</v>
      </c>
      <c r="AJ1909" s="225" t="s">
        <v>2027</v>
      </c>
      <c r="AK1909" s="253" t="s">
        <v>1646</v>
      </c>
      <c r="AL1909" s="224"/>
      <c r="AM1909" s="224"/>
      <c r="AN1909" s="224"/>
      <c r="AO1909" s="225" t="s">
        <v>1046</v>
      </c>
      <c r="AP1909" s="225" t="s">
        <v>1046</v>
      </c>
      <c r="AQ1909" s="254" t="s">
        <v>2126</v>
      </c>
      <c r="AR1909" s="254" t="s">
        <v>2126</v>
      </c>
      <c r="AS1909" s="92" t="s">
        <v>177</v>
      </c>
      <c r="AT1909" s="224" t="s">
        <v>2026</v>
      </c>
      <c r="AU1909" s="224"/>
      <c r="AV1909" s="229" t="s">
        <v>2025</v>
      </c>
      <c r="AW1909" s="253" t="s">
        <v>160</v>
      </c>
      <c r="AX1909" s="225">
        <v>4</v>
      </c>
      <c r="AY1909" s="225">
        <v>4</v>
      </c>
      <c r="AZ1909" s="224" t="s">
        <v>141</v>
      </c>
      <c r="BA1909" s="224"/>
      <c r="BB1909" s="224"/>
      <c r="BC1909" s="224"/>
      <c r="BD1909" s="224"/>
      <c r="BE1909" s="224"/>
      <c r="BK1909" s="225"/>
      <c r="BL1909" s="225"/>
      <c r="BM1909" s="224"/>
      <c r="BP1909" s="440">
        <f t="shared" si="284"/>
        <v>1.6160000000000001</v>
      </c>
      <c r="BQ1909" s="440">
        <v>1.6160000000000001</v>
      </c>
      <c r="BU1909" s="441">
        <v>0.14438943894389436</v>
      </c>
      <c r="BV1909" s="441">
        <v>0.18151815181518149</v>
      </c>
      <c r="BZ1909" s="36">
        <v>6.9999999999999991</v>
      </c>
      <c r="CA1909" s="36">
        <v>8.7999999999999989</v>
      </c>
      <c r="CB1909" s="36">
        <v>3.4</v>
      </c>
      <c r="CC1909" s="36">
        <v>3.4</v>
      </c>
      <c r="CD1909" s="92" t="s">
        <v>992</v>
      </c>
      <c r="CE1909" s="560">
        <v>6.9999999999999991</v>
      </c>
      <c r="CF1909" s="560">
        <v>8.7999999999999989</v>
      </c>
      <c r="CG1909" s="560"/>
      <c r="CH1909" s="560"/>
      <c r="CI1909" s="92" t="s">
        <v>4546</v>
      </c>
      <c r="JB1909" s="225" t="s">
        <v>2083</v>
      </c>
      <c r="JC1909" s="224"/>
      <c r="JD1909" s="230"/>
    </row>
    <row r="1910" spans="1:264" s="36" customFormat="1" x14ac:dyDescent="0.25">
      <c r="A1910" s="223">
        <v>91</v>
      </c>
      <c r="B1910" s="540" t="s">
        <v>4186</v>
      </c>
      <c r="C1910" s="223" t="s">
        <v>768</v>
      </c>
      <c r="D1910" s="224" t="s">
        <v>2118</v>
      </c>
      <c r="E1910" s="223">
        <v>2006</v>
      </c>
      <c r="F1910" s="224">
        <v>1999</v>
      </c>
      <c r="G1910" s="223" t="s">
        <v>946</v>
      </c>
      <c r="H1910" s="223" t="s">
        <v>2032</v>
      </c>
      <c r="I1910" s="252" t="s">
        <v>2815</v>
      </c>
      <c r="J1910" s="224">
        <v>32.56</v>
      </c>
      <c r="K1910" s="224">
        <v>-83.91</v>
      </c>
      <c r="L1910" s="225">
        <v>16</v>
      </c>
      <c r="M1910" s="225">
        <v>18.100000000000001</v>
      </c>
      <c r="N1910" s="224"/>
      <c r="O1910" s="225">
        <v>1258</v>
      </c>
      <c r="P1910" s="224"/>
      <c r="Q1910" s="224"/>
      <c r="R1910" s="225">
        <v>6</v>
      </c>
      <c r="S1910" s="226" t="s">
        <v>1975</v>
      </c>
      <c r="U1910" s="226" t="s">
        <v>2102</v>
      </c>
      <c r="V1910" s="227" t="s">
        <v>1415</v>
      </c>
      <c r="W1910" s="227">
        <v>30</v>
      </c>
      <c r="X1910" s="227" t="s">
        <v>1388</v>
      </c>
      <c r="Y1910" s="227" t="s">
        <v>1417</v>
      </c>
      <c r="Z1910" s="228">
        <f>AVERAGE(Sheet1!BP1910:BQ1910)</f>
        <v>1.6279999999999999</v>
      </c>
      <c r="AA1910" s="364">
        <v>65</v>
      </c>
      <c r="AB1910" s="364">
        <v>25</v>
      </c>
      <c r="AC1910" s="224" t="s">
        <v>240</v>
      </c>
      <c r="AD1910" s="224"/>
      <c r="AE1910" s="224"/>
      <c r="AF1910" s="224"/>
      <c r="AG1910" s="223" t="s">
        <v>2029</v>
      </c>
      <c r="AH1910" s="225" t="s">
        <v>243</v>
      </c>
      <c r="AI1910" s="224" t="s">
        <v>577</v>
      </c>
      <c r="AJ1910" s="225" t="s">
        <v>2027</v>
      </c>
      <c r="AK1910" s="253" t="s">
        <v>1646</v>
      </c>
      <c r="AL1910" s="224"/>
      <c r="AM1910" s="224"/>
      <c r="AN1910" s="224"/>
      <c r="AO1910" s="225" t="s">
        <v>1046</v>
      </c>
      <c r="AP1910" s="225" t="s">
        <v>1046</v>
      </c>
      <c r="AQ1910" s="254" t="s">
        <v>2126</v>
      </c>
      <c r="AR1910" s="254" t="s">
        <v>2126</v>
      </c>
      <c r="AS1910" s="92" t="s">
        <v>2115</v>
      </c>
      <c r="AT1910" s="224" t="s">
        <v>2026</v>
      </c>
      <c r="AU1910" s="224"/>
      <c r="AV1910" s="229" t="s">
        <v>2025</v>
      </c>
      <c r="AW1910" s="253" t="s">
        <v>160</v>
      </c>
      <c r="AX1910" s="225">
        <v>4</v>
      </c>
      <c r="AY1910" s="225">
        <v>4</v>
      </c>
      <c r="AZ1910" s="224" t="s">
        <v>141</v>
      </c>
      <c r="BA1910" s="224"/>
      <c r="BB1910" s="224"/>
      <c r="BC1910" s="224"/>
      <c r="BD1910" s="224"/>
      <c r="BE1910" s="224"/>
      <c r="BK1910" s="225"/>
      <c r="BL1910" s="225"/>
      <c r="BM1910" s="224"/>
      <c r="BP1910" s="440">
        <f t="shared" si="284"/>
        <v>1.6279999999999999</v>
      </c>
      <c r="BQ1910" s="440">
        <v>1.6279999999999999</v>
      </c>
      <c r="BU1910" s="441">
        <v>0.11466011466011466</v>
      </c>
      <c r="BV1910" s="441">
        <v>0.12694512694512697</v>
      </c>
      <c r="BZ1910" s="36">
        <v>5.6000000000000005</v>
      </c>
      <c r="CA1910" s="36">
        <v>6.2</v>
      </c>
      <c r="CB1910" s="36">
        <v>2.2000000000000002</v>
      </c>
      <c r="CC1910" s="36">
        <v>2.2000000000000002</v>
      </c>
      <c r="CD1910" s="92" t="s">
        <v>992</v>
      </c>
      <c r="CE1910" s="560">
        <v>5.6000000000000005</v>
      </c>
      <c r="CF1910" s="560">
        <v>6.2</v>
      </c>
      <c r="CG1910" s="560"/>
      <c r="CH1910" s="560"/>
      <c r="CI1910" s="92" t="s">
        <v>4546</v>
      </c>
      <c r="JB1910" s="225" t="s">
        <v>2083</v>
      </c>
      <c r="JC1910" s="224"/>
      <c r="JD1910" s="230"/>
    </row>
    <row r="1911" spans="1:264" s="92" customFormat="1" x14ac:dyDescent="0.25">
      <c r="A1911" s="252">
        <v>91</v>
      </c>
      <c r="B1911" s="539" t="s">
        <v>4187</v>
      </c>
      <c r="C1911" s="252" t="s">
        <v>768</v>
      </c>
      <c r="D1911" s="253" t="s">
        <v>2118</v>
      </c>
      <c r="E1911" s="252">
        <v>2006</v>
      </c>
      <c r="F1911" s="253">
        <v>1999</v>
      </c>
      <c r="G1911" s="252" t="s">
        <v>946</v>
      </c>
      <c r="H1911" s="252" t="s">
        <v>2032</v>
      </c>
      <c r="I1911" s="252" t="s">
        <v>2815</v>
      </c>
      <c r="J1911" s="253">
        <v>32.56</v>
      </c>
      <c r="K1911" s="253">
        <v>-83.91</v>
      </c>
      <c r="L1911" s="254">
        <v>16</v>
      </c>
      <c r="M1911" s="254">
        <v>18.100000000000001</v>
      </c>
      <c r="N1911" s="253"/>
      <c r="O1911" s="254">
        <v>1258</v>
      </c>
      <c r="P1911" s="253"/>
      <c r="Q1911" s="253"/>
      <c r="R1911" s="254">
        <v>6</v>
      </c>
      <c r="S1911" s="255" t="s">
        <v>1975</v>
      </c>
      <c r="U1911" s="255" t="s">
        <v>2102</v>
      </c>
      <c r="V1911" s="256" t="s">
        <v>1388</v>
      </c>
      <c r="W1911" s="256">
        <v>10</v>
      </c>
      <c r="X1911" s="256" t="s">
        <v>1388</v>
      </c>
      <c r="Y1911" s="256" t="s">
        <v>1417</v>
      </c>
      <c r="Z1911" s="257">
        <f>AVERAGE(Sheet1!BP1911:BQ1911)</f>
        <v>1.421</v>
      </c>
      <c r="AA1911" s="363">
        <v>65</v>
      </c>
      <c r="AB1911" s="363">
        <v>25</v>
      </c>
      <c r="AC1911" s="253" t="s">
        <v>240</v>
      </c>
      <c r="AD1911" s="253"/>
      <c r="AE1911" s="253"/>
      <c r="AF1911" s="253"/>
      <c r="AG1911" s="252" t="s">
        <v>2029</v>
      </c>
      <c r="AH1911" s="254" t="s">
        <v>2028</v>
      </c>
      <c r="AI1911" s="253" t="s">
        <v>1582</v>
      </c>
      <c r="AJ1911" s="254" t="s">
        <v>2027</v>
      </c>
      <c r="AK1911" s="253" t="s">
        <v>1646</v>
      </c>
      <c r="AL1911" s="253"/>
      <c r="AM1911" s="253"/>
      <c r="AN1911" s="253"/>
      <c r="AO1911" s="254" t="s">
        <v>1046</v>
      </c>
      <c r="AP1911" s="254" t="s">
        <v>1046</v>
      </c>
      <c r="AQ1911" s="254" t="s">
        <v>2126</v>
      </c>
      <c r="AR1911" s="254" t="s">
        <v>2126</v>
      </c>
      <c r="AS1911" s="92" t="s">
        <v>177</v>
      </c>
      <c r="AT1911" s="253" t="s">
        <v>161</v>
      </c>
      <c r="AU1911" s="253"/>
      <c r="AV1911" s="258" t="s">
        <v>2025</v>
      </c>
      <c r="AW1911" s="253" t="s">
        <v>160</v>
      </c>
      <c r="AX1911" s="254">
        <v>4</v>
      </c>
      <c r="AY1911" s="254">
        <v>4</v>
      </c>
      <c r="AZ1911" s="253" t="s">
        <v>141</v>
      </c>
      <c r="BA1911" s="253"/>
      <c r="BB1911" s="253">
        <f>1/3*17730</f>
        <v>5910</v>
      </c>
      <c r="BC1911" s="253"/>
      <c r="BD1911" s="253"/>
      <c r="BE1911" s="253"/>
      <c r="BK1911" s="254"/>
      <c r="BL1911" s="254"/>
      <c r="BM1911" s="253"/>
      <c r="BP1911" s="438">
        <f t="shared" si="284"/>
        <v>1.421</v>
      </c>
      <c r="BQ1911" s="439">
        <v>1.421</v>
      </c>
      <c r="BU1911" s="438">
        <v>0.74595355383532724</v>
      </c>
      <c r="BV1911" s="438">
        <v>0.74595355383532724</v>
      </c>
      <c r="BZ1911" s="92">
        <v>10.6</v>
      </c>
      <c r="CA1911" s="92">
        <v>10.6</v>
      </c>
      <c r="CB1911" s="92">
        <v>1</v>
      </c>
      <c r="CC1911" s="92">
        <v>1</v>
      </c>
      <c r="CD1911" s="92" t="s">
        <v>992</v>
      </c>
      <c r="CE1911" s="577">
        <v>10.6</v>
      </c>
      <c r="CF1911" s="577">
        <v>10.6</v>
      </c>
      <c r="CG1911" s="577"/>
      <c r="CH1911" s="577"/>
      <c r="CI1911" s="92" t="s">
        <v>4546</v>
      </c>
      <c r="JB1911" s="254" t="s">
        <v>2083</v>
      </c>
      <c r="JC1911" s="253"/>
      <c r="JD1911" s="259"/>
    </row>
    <row r="1912" spans="1:264" s="92" customFormat="1" x14ac:dyDescent="0.25">
      <c r="A1912" s="252">
        <v>91</v>
      </c>
      <c r="B1912" s="539" t="s">
        <v>4188</v>
      </c>
      <c r="C1912" s="252" t="s">
        <v>768</v>
      </c>
      <c r="D1912" s="253" t="s">
        <v>2118</v>
      </c>
      <c r="E1912" s="252">
        <v>2006</v>
      </c>
      <c r="F1912" s="253">
        <v>1999</v>
      </c>
      <c r="G1912" s="252" t="s">
        <v>946</v>
      </c>
      <c r="H1912" s="252" t="s">
        <v>2032</v>
      </c>
      <c r="I1912" s="252" t="s">
        <v>2815</v>
      </c>
      <c r="J1912" s="253">
        <v>32.56</v>
      </c>
      <c r="K1912" s="253">
        <v>-83.91</v>
      </c>
      <c r="L1912" s="254">
        <v>16</v>
      </c>
      <c r="M1912" s="254">
        <v>18.100000000000001</v>
      </c>
      <c r="N1912" s="253"/>
      <c r="O1912" s="254">
        <v>1258</v>
      </c>
      <c r="P1912" s="253"/>
      <c r="Q1912" s="253"/>
      <c r="R1912" s="254">
        <v>6</v>
      </c>
      <c r="S1912" s="255" t="s">
        <v>1975</v>
      </c>
      <c r="U1912" s="255" t="s">
        <v>2102</v>
      </c>
      <c r="V1912" s="256" t="s">
        <v>1408</v>
      </c>
      <c r="W1912" s="256">
        <v>20</v>
      </c>
      <c r="X1912" s="256" t="s">
        <v>1388</v>
      </c>
      <c r="Y1912" s="256" t="s">
        <v>1417</v>
      </c>
      <c r="Z1912" s="257">
        <f>AVERAGE(Sheet1!BP1912:BQ1912)</f>
        <v>1.5469999999999999</v>
      </c>
      <c r="AA1912" s="363">
        <v>65</v>
      </c>
      <c r="AB1912" s="363">
        <v>25</v>
      </c>
      <c r="AC1912" s="253" t="s">
        <v>240</v>
      </c>
      <c r="AD1912" s="253"/>
      <c r="AE1912" s="253"/>
      <c r="AF1912" s="253"/>
      <c r="AG1912" s="252" t="s">
        <v>2029</v>
      </c>
      <c r="AH1912" s="254" t="s">
        <v>2028</v>
      </c>
      <c r="AI1912" s="253" t="s">
        <v>1582</v>
      </c>
      <c r="AJ1912" s="254" t="s">
        <v>2027</v>
      </c>
      <c r="AK1912" s="253" t="s">
        <v>1646</v>
      </c>
      <c r="AL1912" s="253"/>
      <c r="AM1912" s="253"/>
      <c r="AN1912" s="253"/>
      <c r="AO1912" s="254" t="s">
        <v>1046</v>
      </c>
      <c r="AP1912" s="254" t="s">
        <v>1046</v>
      </c>
      <c r="AQ1912" s="254" t="s">
        <v>2126</v>
      </c>
      <c r="AR1912" s="254" t="s">
        <v>2126</v>
      </c>
      <c r="AS1912" s="92" t="s">
        <v>2115</v>
      </c>
      <c r="AT1912" s="253" t="s">
        <v>161</v>
      </c>
      <c r="AU1912" s="253"/>
      <c r="AV1912" s="258" t="s">
        <v>2025</v>
      </c>
      <c r="AW1912" s="253" t="s">
        <v>160</v>
      </c>
      <c r="AX1912" s="254">
        <v>4</v>
      </c>
      <c r="AY1912" s="254">
        <v>4</v>
      </c>
      <c r="AZ1912" s="253" t="s">
        <v>141</v>
      </c>
      <c r="BA1912" s="253"/>
      <c r="BB1912" s="253"/>
      <c r="BC1912" s="253"/>
      <c r="BD1912" s="253"/>
      <c r="BE1912" s="253"/>
      <c r="BK1912" s="254"/>
      <c r="BL1912" s="254"/>
      <c r="BM1912" s="253"/>
      <c r="BP1912" s="438">
        <f t="shared" si="284"/>
        <v>1.5469999999999999</v>
      </c>
      <c r="BQ1912" s="439">
        <v>1.5469999999999999</v>
      </c>
      <c r="BU1912" s="438">
        <v>0.45248868778280549</v>
      </c>
      <c r="BV1912" s="438">
        <v>0.50096961861667744</v>
      </c>
      <c r="BZ1912" s="92">
        <v>14.000000000000002</v>
      </c>
      <c r="CA1912" s="92">
        <v>15.499999999999996</v>
      </c>
      <c r="CB1912" s="92">
        <v>2.2999999999999998</v>
      </c>
      <c r="CC1912" s="92">
        <v>2.2999999999999998</v>
      </c>
      <c r="CD1912" s="92" t="s">
        <v>992</v>
      </c>
      <c r="CE1912" s="577">
        <v>14.000000000000002</v>
      </c>
      <c r="CF1912" s="577">
        <v>15.499999999999996</v>
      </c>
      <c r="CG1912" s="577"/>
      <c r="CH1912" s="577"/>
      <c r="CI1912" s="92" t="s">
        <v>4546</v>
      </c>
      <c r="JB1912" s="254" t="s">
        <v>2083</v>
      </c>
      <c r="JC1912" s="253"/>
      <c r="JD1912" s="259"/>
    </row>
    <row r="1913" spans="1:264" s="92" customFormat="1" x14ac:dyDescent="0.25">
      <c r="A1913" s="252">
        <v>91</v>
      </c>
      <c r="B1913" s="539" t="s">
        <v>4189</v>
      </c>
      <c r="C1913" s="252" t="s">
        <v>768</v>
      </c>
      <c r="D1913" s="253" t="s">
        <v>2118</v>
      </c>
      <c r="E1913" s="252">
        <v>2006</v>
      </c>
      <c r="F1913" s="253">
        <v>1999</v>
      </c>
      <c r="G1913" s="252" t="s">
        <v>946</v>
      </c>
      <c r="H1913" s="252" t="s">
        <v>2032</v>
      </c>
      <c r="I1913" s="252" t="s">
        <v>2815</v>
      </c>
      <c r="J1913" s="253">
        <v>32.56</v>
      </c>
      <c r="K1913" s="253">
        <v>-83.91</v>
      </c>
      <c r="L1913" s="254">
        <v>16</v>
      </c>
      <c r="M1913" s="254">
        <v>18.100000000000001</v>
      </c>
      <c r="N1913" s="253"/>
      <c r="O1913" s="254">
        <v>1258</v>
      </c>
      <c r="P1913" s="253"/>
      <c r="Q1913" s="253"/>
      <c r="R1913" s="254">
        <v>6</v>
      </c>
      <c r="S1913" s="255" t="s">
        <v>1975</v>
      </c>
      <c r="U1913" s="255" t="s">
        <v>2102</v>
      </c>
      <c r="V1913" s="256" t="s">
        <v>1402</v>
      </c>
      <c r="W1913" s="256">
        <v>30</v>
      </c>
      <c r="X1913" s="256" t="s">
        <v>1388</v>
      </c>
      <c r="Y1913" s="256" t="s">
        <v>1417</v>
      </c>
      <c r="Z1913" s="257">
        <f>AVERAGE(Sheet1!BP1913:BQ1913)</f>
        <v>1.3979999999999999</v>
      </c>
      <c r="AA1913" s="363">
        <v>65</v>
      </c>
      <c r="AB1913" s="363">
        <v>25</v>
      </c>
      <c r="AC1913" s="253" t="s">
        <v>240</v>
      </c>
      <c r="AD1913" s="253"/>
      <c r="AE1913" s="253"/>
      <c r="AF1913" s="253"/>
      <c r="AG1913" s="252" t="s">
        <v>2029</v>
      </c>
      <c r="AH1913" s="254" t="s">
        <v>2028</v>
      </c>
      <c r="AI1913" s="253" t="s">
        <v>1582</v>
      </c>
      <c r="AJ1913" s="254" t="s">
        <v>2027</v>
      </c>
      <c r="AK1913" s="253" t="s">
        <v>1646</v>
      </c>
      <c r="AL1913" s="253"/>
      <c r="AM1913" s="253"/>
      <c r="AN1913" s="253"/>
      <c r="AO1913" s="254" t="s">
        <v>1046</v>
      </c>
      <c r="AP1913" s="254" t="s">
        <v>1046</v>
      </c>
      <c r="AQ1913" s="254" t="s">
        <v>2126</v>
      </c>
      <c r="AR1913" s="254" t="s">
        <v>2126</v>
      </c>
      <c r="AS1913" s="92" t="s">
        <v>177</v>
      </c>
      <c r="AT1913" s="253" t="s">
        <v>161</v>
      </c>
      <c r="AU1913" s="253"/>
      <c r="AV1913" s="258" t="s">
        <v>2025</v>
      </c>
      <c r="AW1913" s="253" t="s">
        <v>160</v>
      </c>
      <c r="AX1913" s="254">
        <v>4</v>
      </c>
      <c r="AY1913" s="254">
        <v>4</v>
      </c>
      <c r="AZ1913" s="253" t="s">
        <v>141</v>
      </c>
      <c r="BA1913" s="253"/>
      <c r="BB1913" s="253"/>
      <c r="BC1913" s="253"/>
      <c r="BD1913" s="253"/>
      <c r="BE1913" s="253"/>
      <c r="BK1913" s="254"/>
      <c r="BL1913" s="254"/>
      <c r="BM1913" s="253"/>
      <c r="BP1913" s="438">
        <f t="shared" si="284"/>
        <v>1.3979999999999999</v>
      </c>
      <c r="BQ1913" s="439">
        <v>1.3979999999999999</v>
      </c>
      <c r="BU1913" s="438">
        <v>0.24082021936099188</v>
      </c>
      <c r="BV1913" s="438">
        <v>0.27420123986647588</v>
      </c>
      <c r="BZ1913" s="92">
        <v>10.099999999999998</v>
      </c>
      <c r="CA1913" s="92">
        <v>11.499999999999995</v>
      </c>
      <c r="CB1913" s="92">
        <v>3.4</v>
      </c>
      <c r="CC1913" s="92">
        <v>3.4</v>
      </c>
      <c r="CD1913" s="92" t="s">
        <v>992</v>
      </c>
      <c r="CE1913" s="577">
        <v>10.099999999999998</v>
      </c>
      <c r="CF1913" s="577">
        <v>11.499999999999995</v>
      </c>
      <c r="CG1913" s="577"/>
      <c r="CH1913" s="577"/>
      <c r="CI1913" s="92" t="s">
        <v>4546</v>
      </c>
      <c r="JB1913" s="254" t="s">
        <v>2083</v>
      </c>
      <c r="JC1913" s="253"/>
      <c r="JD1913" s="259"/>
    </row>
    <row r="1914" spans="1:264" s="92" customFormat="1" x14ac:dyDescent="0.25">
      <c r="A1914" s="252">
        <v>91</v>
      </c>
      <c r="B1914" s="539" t="s">
        <v>4190</v>
      </c>
      <c r="C1914" s="252" t="s">
        <v>768</v>
      </c>
      <c r="D1914" s="253" t="s">
        <v>2118</v>
      </c>
      <c r="E1914" s="252">
        <v>2006</v>
      </c>
      <c r="F1914" s="253">
        <v>1999</v>
      </c>
      <c r="G1914" s="252" t="s">
        <v>946</v>
      </c>
      <c r="H1914" s="252" t="s">
        <v>2032</v>
      </c>
      <c r="I1914" s="252" t="s">
        <v>2815</v>
      </c>
      <c r="J1914" s="253">
        <v>32.56</v>
      </c>
      <c r="K1914" s="253">
        <v>-83.91</v>
      </c>
      <c r="L1914" s="254">
        <v>16</v>
      </c>
      <c r="M1914" s="254">
        <v>18.100000000000001</v>
      </c>
      <c r="N1914" s="253"/>
      <c r="O1914" s="254">
        <v>1258</v>
      </c>
      <c r="P1914" s="253"/>
      <c r="Q1914" s="253"/>
      <c r="R1914" s="254">
        <v>6</v>
      </c>
      <c r="S1914" s="255" t="s">
        <v>1975</v>
      </c>
      <c r="U1914" s="255" t="s">
        <v>2102</v>
      </c>
      <c r="V1914" s="256" t="s">
        <v>1403</v>
      </c>
      <c r="W1914" s="256">
        <v>30</v>
      </c>
      <c r="X1914" s="256" t="s">
        <v>1388</v>
      </c>
      <c r="Y1914" s="256" t="s">
        <v>1417</v>
      </c>
      <c r="Z1914" s="257">
        <f>AVERAGE(Sheet1!BP1914:BQ1914)</f>
        <v>1.6160000000000001</v>
      </c>
      <c r="AA1914" s="363">
        <v>65</v>
      </c>
      <c r="AB1914" s="363">
        <v>25</v>
      </c>
      <c r="AC1914" s="253" t="s">
        <v>240</v>
      </c>
      <c r="AD1914" s="253"/>
      <c r="AE1914" s="253"/>
      <c r="AF1914" s="253"/>
      <c r="AG1914" s="252" t="s">
        <v>2029</v>
      </c>
      <c r="AH1914" s="254" t="s">
        <v>2028</v>
      </c>
      <c r="AI1914" s="253" t="s">
        <v>1582</v>
      </c>
      <c r="AJ1914" s="254" t="s">
        <v>2027</v>
      </c>
      <c r="AK1914" s="253" t="s">
        <v>1646</v>
      </c>
      <c r="AL1914" s="253"/>
      <c r="AM1914" s="253"/>
      <c r="AN1914" s="253"/>
      <c r="AO1914" s="254" t="s">
        <v>1046</v>
      </c>
      <c r="AP1914" s="254" t="s">
        <v>1046</v>
      </c>
      <c r="AQ1914" s="254" t="s">
        <v>2126</v>
      </c>
      <c r="AR1914" s="254" t="s">
        <v>2126</v>
      </c>
      <c r="AS1914" s="92" t="s">
        <v>2115</v>
      </c>
      <c r="AT1914" s="253" t="s">
        <v>161</v>
      </c>
      <c r="AU1914" s="253"/>
      <c r="AV1914" s="258" t="s">
        <v>2025</v>
      </c>
      <c r="AW1914" s="253" t="s">
        <v>160</v>
      </c>
      <c r="AX1914" s="254">
        <v>4</v>
      </c>
      <c r="AY1914" s="254">
        <v>4</v>
      </c>
      <c r="AZ1914" s="253" t="s">
        <v>141</v>
      </c>
      <c r="BA1914" s="253"/>
      <c r="BB1914" s="253"/>
      <c r="BC1914" s="253"/>
      <c r="BD1914" s="253"/>
      <c r="BE1914" s="253"/>
      <c r="BK1914" s="254"/>
      <c r="BL1914" s="254"/>
      <c r="BM1914" s="253"/>
      <c r="BP1914" s="438">
        <f t="shared" si="284"/>
        <v>1.6160000000000001</v>
      </c>
      <c r="BQ1914" s="439">
        <v>1.6160000000000001</v>
      </c>
      <c r="BU1914" s="438">
        <v>0.17326732673267325</v>
      </c>
      <c r="BV1914" s="438">
        <v>0.18564356435643561</v>
      </c>
      <c r="BZ1914" s="92">
        <v>8.4</v>
      </c>
      <c r="CA1914" s="92">
        <v>8.9999999999999982</v>
      </c>
      <c r="CB1914" s="92">
        <v>3.4</v>
      </c>
      <c r="CC1914" s="92">
        <v>3.4</v>
      </c>
      <c r="CD1914" s="92" t="s">
        <v>992</v>
      </c>
      <c r="CE1914" s="577">
        <v>8.4</v>
      </c>
      <c r="CF1914" s="577">
        <v>8.9999999999999982</v>
      </c>
      <c r="CG1914" s="577"/>
      <c r="CH1914" s="577"/>
      <c r="CI1914" s="92" t="s">
        <v>4546</v>
      </c>
      <c r="JB1914" s="254" t="s">
        <v>2083</v>
      </c>
      <c r="JC1914" s="253"/>
      <c r="JD1914" s="259"/>
    </row>
    <row r="1915" spans="1:264" s="92" customFormat="1" x14ac:dyDescent="0.25">
      <c r="A1915" s="252">
        <v>91</v>
      </c>
      <c r="B1915" s="539" t="s">
        <v>4191</v>
      </c>
      <c r="C1915" s="252" t="s">
        <v>768</v>
      </c>
      <c r="D1915" s="253" t="s">
        <v>2118</v>
      </c>
      <c r="E1915" s="252">
        <v>2006</v>
      </c>
      <c r="F1915" s="253">
        <v>1999</v>
      </c>
      <c r="G1915" s="252" t="s">
        <v>946</v>
      </c>
      <c r="H1915" s="252" t="s">
        <v>2032</v>
      </c>
      <c r="I1915" s="252" t="s">
        <v>2815</v>
      </c>
      <c r="J1915" s="253">
        <v>32.56</v>
      </c>
      <c r="K1915" s="253">
        <v>-83.91</v>
      </c>
      <c r="L1915" s="254">
        <v>16</v>
      </c>
      <c r="M1915" s="254">
        <v>18.100000000000001</v>
      </c>
      <c r="N1915" s="253"/>
      <c r="O1915" s="254">
        <v>1258</v>
      </c>
      <c r="P1915" s="253"/>
      <c r="Q1915" s="253"/>
      <c r="R1915" s="254">
        <v>6</v>
      </c>
      <c r="S1915" s="255" t="s">
        <v>1975</v>
      </c>
      <c r="U1915" s="255" t="s">
        <v>2102</v>
      </c>
      <c r="V1915" s="256" t="s">
        <v>1415</v>
      </c>
      <c r="W1915" s="256">
        <v>30</v>
      </c>
      <c r="X1915" s="256" t="s">
        <v>1388</v>
      </c>
      <c r="Y1915" s="256" t="s">
        <v>1417</v>
      </c>
      <c r="Z1915" s="257">
        <f>AVERAGE(Sheet1!BP1915:BQ1915)</f>
        <v>1.6279999999999999</v>
      </c>
      <c r="AA1915" s="363">
        <v>65</v>
      </c>
      <c r="AB1915" s="363">
        <v>25</v>
      </c>
      <c r="AC1915" s="253" t="s">
        <v>240</v>
      </c>
      <c r="AD1915" s="253"/>
      <c r="AE1915" s="253"/>
      <c r="AF1915" s="253"/>
      <c r="AG1915" s="252" t="s">
        <v>2029</v>
      </c>
      <c r="AH1915" s="254" t="s">
        <v>2028</v>
      </c>
      <c r="AI1915" s="253" t="s">
        <v>1582</v>
      </c>
      <c r="AJ1915" s="254" t="s">
        <v>2027</v>
      </c>
      <c r="AK1915" s="253" t="s">
        <v>1646</v>
      </c>
      <c r="AL1915" s="253"/>
      <c r="AM1915" s="253"/>
      <c r="AN1915" s="253"/>
      <c r="AO1915" s="254" t="s">
        <v>1046</v>
      </c>
      <c r="AP1915" s="254" t="s">
        <v>1046</v>
      </c>
      <c r="AQ1915" s="254" t="s">
        <v>2126</v>
      </c>
      <c r="AR1915" s="254" t="s">
        <v>2126</v>
      </c>
      <c r="AS1915" s="92" t="s">
        <v>177</v>
      </c>
      <c r="AT1915" s="253" t="s">
        <v>161</v>
      </c>
      <c r="AU1915" s="253"/>
      <c r="AV1915" s="258" t="s">
        <v>2025</v>
      </c>
      <c r="AW1915" s="253" t="s">
        <v>160</v>
      </c>
      <c r="AX1915" s="254">
        <v>4</v>
      </c>
      <c r="AY1915" s="254">
        <v>4</v>
      </c>
      <c r="AZ1915" s="253" t="s">
        <v>141</v>
      </c>
      <c r="BA1915" s="253"/>
      <c r="BB1915" s="253"/>
      <c r="BC1915" s="253"/>
      <c r="BD1915" s="253"/>
      <c r="BE1915" s="253"/>
      <c r="BK1915" s="254"/>
      <c r="BL1915" s="254"/>
      <c r="BM1915" s="253"/>
      <c r="BP1915" s="438">
        <f t="shared" si="284"/>
        <v>1.6279999999999999</v>
      </c>
      <c r="BQ1915" s="439">
        <v>1.6279999999999999</v>
      </c>
      <c r="BU1915" s="438">
        <v>0.14332514332514337</v>
      </c>
      <c r="BV1915" s="438">
        <v>0.13718263718263721</v>
      </c>
      <c r="BZ1915" s="92">
        <v>7.0000000000000018</v>
      </c>
      <c r="CA1915" s="92">
        <v>6.7</v>
      </c>
      <c r="CB1915" s="92">
        <v>2.2000000000000002</v>
      </c>
      <c r="CC1915" s="92">
        <v>2.2000000000000002</v>
      </c>
      <c r="CD1915" s="92" t="s">
        <v>992</v>
      </c>
      <c r="CE1915" s="577">
        <v>7.0000000000000018</v>
      </c>
      <c r="CF1915" s="577">
        <v>6.7</v>
      </c>
      <c r="CG1915" s="577"/>
      <c r="CH1915" s="577"/>
      <c r="CI1915" s="92" t="s">
        <v>4546</v>
      </c>
      <c r="JB1915" s="254" t="s">
        <v>2083</v>
      </c>
      <c r="JC1915" s="253"/>
      <c r="JD1915" s="259"/>
    </row>
    <row r="1916" spans="1:264" s="36" customFormat="1" x14ac:dyDescent="0.25">
      <c r="A1916" s="223">
        <v>91</v>
      </c>
      <c r="B1916" s="540" t="s">
        <v>4192</v>
      </c>
      <c r="C1916" s="223" t="s">
        <v>768</v>
      </c>
      <c r="D1916" s="224" t="s">
        <v>2118</v>
      </c>
      <c r="E1916" s="223">
        <v>2006</v>
      </c>
      <c r="F1916" s="224">
        <v>1999</v>
      </c>
      <c r="G1916" s="223" t="s">
        <v>946</v>
      </c>
      <c r="H1916" s="223" t="s">
        <v>2032</v>
      </c>
      <c r="I1916" s="252" t="s">
        <v>2815</v>
      </c>
      <c r="J1916" s="224">
        <v>32.56</v>
      </c>
      <c r="K1916" s="224">
        <v>-83.91</v>
      </c>
      <c r="L1916" s="225">
        <v>16</v>
      </c>
      <c r="M1916" s="225">
        <v>18.100000000000001</v>
      </c>
      <c r="N1916" s="224"/>
      <c r="O1916" s="225">
        <v>1258</v>
      </c>
      <c r="P1916" s="224"/>
      <c r="Q1916" s="224"/>
      <c r="R1916" s="225">
        <v>6</v>
      </c>
      <c r="S1916" s="226" t="s">
        <v>1975</v>
      </c>
      <c r="U1916" s="226" t="s">
        <v>2102</v>
      </c>
      <c r="V1916" s="227" t="s">
        <v>1388</v>
      </c>
      <c r="W1916" s="227">
        <v>10</v>
      </c>
      <c r="X1916" s="227" t="s">
        <v>1388</v>
      </c>
      <c r="Y1916" s="227" t="s">
        <v>1417</v>
      </c>
      <c r="Z1916" s="228">
        <f>AVERAGE(Sheet1!BP1916:BQ1916)</f>
        <v>1.421</v>
      </c>
      <c r="AA1916" s="364">
        <v>65</v>
      </c>
      <c r="AB1916" s="364">
        <v>25</v>
      </c>
      <c r="AC1916" s="224" t="s">
        <v>240</v>
      </c>
      <c r="AD1916" s="224"/>
      <c r="AE1916" s="224"/>
      <c r="AF1916" s="224"/>
      <c r="AG1916" s="223" t="s">
        <v>2029</v>
      </c>
      <c r="AH1916" s="225" t="s">
        <v>2028</v>
      </c>
      <c r="AI1916" s="224" t="s">
        <v>1582</v>
      </c>
      <c r="AJ1916" s="225" t="s">
        <v>2027</v>
      </c>
      <c r="AK1916" s="253" t="s">
        <v>1646</v>
      </c>
      <c r="AL1916" s="224"/>
      <c r="AM1916" s="224"/>
      <c r="AN1916" s="224"/>
      <c r="AO1916" s="225" t="s">
        <v>1046</v>
      </c>
      <c r="AP1916" s="225" t="s">
        <v>1046</v>
      </c>
      <c r="AQ1916" s="254" t="s">
        <v>2126</v>
      </c>
      <c r="AR1916" s="254" t="s">
        <v>2126</v>
      </c>
      <c r="AS1916" s="92" t="s">
        <v>2115</v>
      </c>
      <c r="AT1916" s="224" t="s">
        <v>2031</v>
      </c>
      <c r="AU1916" s="224"/>
      <c r="AV1916" s="229" t="s">
        <v>2025</v>
      </c>
      <c r="AW1916" s="253" t="s">
        <v>160</v>
      </c>
      <c r="AX1916" s="225">
        <v>4</v>
      </c>
      <c r="AY1916" s="225">
        <v>4</v>
      </c>
      <c r="AZ1916" s="224" t="s">
        <v>141</v>
      </c>
      <c r="BA1916" s="224"/>
      <c r="BB1916" s="224">
        <f>1/3*16490</f>
        <v>5496.6666666666661</v>
      </c>
      <c r="BC1916" s="224"/>
      <c r="BD1916" s="224"/>
      <c r="BE1916" s="224"/>
      <c r="BK1916" s="225"/>
      <c r="BL1916" s="225"/>
      <c r="BM1916" s="224"/>
      <c r="BP1916" s="440">
        <f t="shared" si="284"/>
        <v>1.421</v>
      </c>
      <c r="BQ1916" s="440">
        <v>1.421</v>
      </c>
      <c r="BU1916" s="441">
        <v>0.74595355383532724</v>
      </c>
      <c r="BV1916" s="441">
        <v>0.7670654468684025</v>
      </c>
      <c r="BZ1916" s="36">
        <v>10.6</v>
      </c>
      <c r="CA1916" s="36">
        <v>10.9</v>
      </c>
      <c r="CB1916" s="36">
        <v>1</v>
      </c>
      <c r="CC1916" s="36">
        <v>1</v>
      </c>
      <c r="CD1916" s="92" t="s">
        <v>992</v>
      </c>
      <c r="CE1916" s="560">
        <v>10.6</v>
      </c>
      <c r="CF1916" s="560">
        <v>10.9</v>
      </c>
      <c r="CG1916" s="560"/>
      <c r="CH1916" s="560"/>
      <c r="CI1916" s="92" t="s">
        <v>4546</v>
      </c>
      <c r="JB1916" s="225" t="s">
        <v>2083</v>
      </c>
      <c r="JC1916" s="224"/>
      <c r="JD1916" s="230"/>
    </row>
    <row r="1917" spans="1:264" s="36" customFormat="1" x14ac:dyDescent="0.25">
      <c r="A1917" s="223">
        <v>91</v>
      </c>
      <c r="B1917" s="540" t="s">
        <v>4193</v>
      </c>
      <c r="C1917" s="223" t="s">
        <v>768</v>
      </c>
      <c r="D1917" s="224" t="s">
        <v>2118</v>
      </c>
      <c r="E1917" s="223">
        <v>2006</v>
      </c>
      <c r="F1917" s="224">
        <v>1999</v>
      </c>
      <c r="G1917" s="223" t="s">
        <v>946</v>
      </c>
      <c r="H1917" s="223" t="s">
        <v>2032</v>
      </c>
      <c r="I1917" s="252" t="s">
        <v>2815</v>
      </c>
      <c r="J1917" s="224">
        <v>32.56</v>
      </c>
      <c r="K1917" s="224">
        <v>-83.91</v>
      </c>
      <c r="L1917" s="225">
        <v>16</v>
      </c>
      <c r="M1917" s="225">
        <v>18.100000000000001</v>
      </c>
      <c r="N1917" s="224"/>
      <c r="O1917" s="225">
        <v>1258</v>
      </c>
      <c r="P1917" s="224"/>
      <c r="Q1917" s="224"/>
      <c r="R1917" s="225">
        <v>6</v>
      </c>
      <c r="S1917" s="226" t="s">
        <v>1975</v>
      </c>
      <c r="U1917" s="226" t="s">
        <v>2102</v>
      </c>
      <c r="V1917" s="227" t="s">
        <v>1408</v>
      </c>
      <c r="W1917" s="227">
        <v>20</v>
      </c>
      <c r="X1917" s="227" t="s">
        <v>1388</v>
      </c>
      <c r="Y1917" s="227" t="s">
        <v>1417</v>
      </c>
      <c r="Z1917" s="228">
        <f>AVERAGE(Sheet1!BP1917:BQ1917)</f>
        <v>1.5469999999999999</v>
      </c>
      <c r="AA1917" s="364">
        <v>65</v>
      </c>
      <c r="AB1917" s="364">
        <v>25</v>
      </c>
      <c r="AC1917" s="224" t="s">
        <v>240</v>
      </c>
      <c r="AD1917" s="224"/>
      <c r="AE1917" s="224"/>
      <c r="AF1917" s="224"/>
      <c r="AG1917" s="223" t="s">
        <v>2029</v>
      </c>
      <c r="AH1917" s="225" t="s">
        <v>2028</v>
      </c>
      <c r="AI1917" s="224" t="s">
        <v>1582</v>
      </c>
      <c r="AJ1917" s="225" t="s">
        <v>2027</v>
      </c>
      <c r="AK1917" s="253" t="s">
        <v>1646</v>
      </c>
      <c r="AL1917" s="224"/>
      <c r="AM1917" s="224"/>
      <c r="AN1917" s="224"/>
      <c r="AO1917" s="225" t="s">
        <v>1046</v>
      </c>
      <c r="AP1917" s="225" t="s">
        <v>1046</v>
      </c>
      <c r="AQ1917" s="254" t="s">
        <v>2126</v>
      </c>
      <c r="AR1917" s="254" t="s">
        <v>2126</v>
      </c>
      <c r="AS1917" s="92" t="s">
        <v>177</v>
      </c>
      <c r="AT1917" s="224" t="s">
        <v>2031</v>
      </c>
      <c r="AU1917" s="224"/>
      <c r="AV1917" s="229" t="s">
        <v>2025</v>
      </c>
      <c r="AW1917" s="253" t="s">
        <v>160</v>
      </c>
      <c r="AX1917" s="225">
        <v>4</v>
      </c>
      <c r="AY1917" s="225">
        <v>4</v>
      </c>
      <c r="AZ1917" s="224" t="s">
        <v>141</v>
      </c>
      <c r="BA1917" s="224"/>
      <c r="BB1917" s="224"/>
      <c r="BC1917" s="224"/>
      <c r="BD1917" s="224"/>
      <c r="BE1917" s="224"/>
      <c r="BK1917" s="225"/>
      <c r="BL1917" s="225"/>
      <c r="BM1917" s="224"/>
      <c r="BP1917" s="440">
        <f t="shared" si="284"/>
        <v>1.5469999999999999</v>
      </c>
      <c r="BQ1917" s="440">
        <v>1.5469999999999999</v>
      </c>
      <c r="BU1917" s="441">
        <v>0.44602456367162258</v>
      </c>
      <c r="BV1917" s="441">
        <v>0.51712992889463472</v>
      </c>
      <c r="BZ1917" s="36">
        <v>13.8</v>
      </c>
      <c r="CA1917" s="36">
        <v>15.999999999999998</v>
      </c>
      <c r="CB1917" s="36">
        <v>2.2999999999999998</v>
      </c>
      <c r="CC1917" s="36">
        <v>2.2999999999999998</v>
      </c>
      <c r="CD1917" s="92" t="s">
        <v>992</v>
      </c>
      <c r="CE1917" s="560">
        <v>13.8</v>
      </c>
      <c r="CF1917" s="560">
        <v>15.999999999999998</v>
      </c>
      <c r="CG1917" s="560"/>
      <c r="CH1917" s="560"/>
      <c r="CI1917" s="92" t="s">
        <v>4546</v>
      </c>
      <c r="JB1917" s="225" t="s">
        <v>2083</v>
      </c>
      <c r="JC1917" s="224"/>
      <c r="JD1917" s="230"/>
    </row>
    <row r="1918" spans="1:264" s="36" customFormat="1" x14ac:dyDescent="0.25">
      <c r="A1918" s="223">
        <v>91</v>
      </c>
      <c r="B1918" s="540" t="s">
        <v>4194</v>
      </c>
      <c r="C1918" s="223" t="s">
        <v>768</v>
      </c>
      <c r="D1918" s="224" t="s">
        <v>2118</v>
      </c>
      <c r="E1918" s="223">
        <v>2006</v>
      </c>
      <c r="F1918" s="224">
        <v>1999</v>
      </c>
      <c r="G1918" s="223" t="s">
        <v>946</v>
      </c>
      <c r="H1918" s="223" t="s">
        <v>2032</v>
      </c>
      <c r="I1918" s="252" t="s">
        <v>2815</v>
      </c>
      <c r="J1918" s="224">
        <v>32.56</v>
      </c>
      <c r="K1918" s="224">
        <v>-83.91</v>
      </c>
      <c r="L1918" s="225">
        <v>16</v>
      </c>
      <c r="M1918" s="225">
        <v>18.100000000000001</v>
      </c>
      <c r="N1918" s="224"/>
      <c r="O1918" s="225">
        <v>1258</v>
      </c>
      <c r="P1918" s="224"/>
      <c r="Q1918" s="224"/>
      <c r="R1918" s="225">
        <v>6</v>
      </c>
      <c r="S1918" s="226" t="s">
        <v>1975</v>
      </c>
      <c r="U1918" s="226" t="s">
        <v>2102</v>
      </c>
      <c r="V1918" s="227" t="s">
        <v>1402</v>
      </c>
      <c r="W1918" s="227">
        <v>30</v>
      </c>
      <c r="X1918" s="227" t="s">
        <v>1388</v>
      </c>
      <c r="Y1918" s="227" t="s">
        <v>1417</v>
      </c>
      <c r="Z1918" s="228">
        <f>AVERAGE(Sheet1!BP1918:BQ1918)</f>
        <v>1.3979999999999999</v>
      </c>
      <c r="AA1918" s="364">
        <v>65</v>
      </c>
      <c r="AB1918" s="364">
        <v>25</v>
      </c>
      <c r="AC1918" s="224" t="s">
        <v>240</v>
      </c>
      <c r="AD1918" s="224"/>
      <c r="AE1918" s="224"/>
      <c r="AF1918" s="224"/>
      <c r="AG1918" s="223" t="s">
        <v>2029</v>
      </c>
      <c r="AH1918" s="225" t="s">
        <v>2028</v>
      </c>
      <c r="AI1918" s="224" t="s">
        <v>1582</v>
      </c>
      <c r="AJ1918" s="225" t="s">
        <v>2027</v>
      </c>
      <c r="AK1918" s="253" t="s">
        <v>1646</v>
      </c>
      <c r="AL1918" s="224"/>
      <c r="AM1918" s="224"/>
      <c r="AN1918" s="224"/>
      <c r="AO1918" s="225" t="s">
        <v>1046</v>
      </c>
      <c r="AP1918" s="225" t="s">
        <v>1046</v>
      </c>
      <c r="AQ1918" s="254" t="s">
        <v>2126</v>
      </c>
      <c r="AR1918" s="254" t="s">
        <v>2126</v>
      </c>
      <c r="AS1918" s="92" t="s">
        <v>2115</v>
      </c>
      <c r="AT1918" s="224" t="s">
        <v>2031</v>
      </c>
      <c r="AU1918" s="224"/>
      <c r="AV1918" s="229" t="s">
        <v>2025</v>
      </c>
      <c r="AW1918" s="253" t="s">
        <v>160</v>
      </c>
      <c r="AX1918" s="225">
        <v>4</v>
      </c>
      <c r="AY1918" s="225">
        <v>4</v>
      </c>
      <c r="AZ1918" s="224" t="s">
        <v>141</v>
      </c>
      <c r="BA1918" s="224"/>
      <c r="BB1918" s="224"/>
      <c r="BC1918" s="224"/>
      <c r="BD1918" s="224"/>
      <c r="BE1918" s="224"/>
      <c r="BK1918" s="225"/>
      <c r="BL1918" s="225"/>
      <c r="BM1918" s="224"/>
      <c r="BP1918" s="440">
        <f t="shared" si="284"/>
        <v>1.3979999999999999</v>
      </c>
      <c r="BQ1918" s="440">
        <v>1.3979999999999999</v>
      </c>
      <c r="BU1918" s="441">
        <v>0.27896995708154504</v>
      </c>
      <c r="BV1918" s="441">
        <v>0.25512637100619928</v>
      </c>
      <c r="BZ1918" s="36">
        <v>11.700000000000001</v>
      </c>
      <c r="CA1918" s="36">
        <v>10.699999999999998</v>
      </c>
      <c r="CB1918" s="36">
        <v>3.4</v>
      </c>
      <c r="CC1918" s="36">
        <v>3.4</v>
      </c>
      <c r="CD1918" s="92" t="s">
        <v>992</v>
      </c>
      <c r="CE1918" s="560">
        <v>11.700000000000001</v>
      </c>
      <c r="CF1918" s="560">
        <v>10.699999999999998</v>
      </c>
      <c r="CG1918" s="560"/>
      <c r="CH1918" s="560"/>
      <c r="CI1918" s="92" t="s">
        <v>4546</v>
      </c>
      <c r="JB1918" s="225" t="s">
        <v>2083</v>
      </c>
      <c r="JC1918" s="224"/>
      <c r="JD1918" s="230"/>
    </row>
    <row r="1919" spans="1:264" s="36" customFormat="1" x14ac:dyDescent="0.25">
      <c r="A1919" s="223">
        <v>91</v>
      </c>
      <c r="B1919" s="540" t="s">
        <v>4195</v>
      </c>
      <c r="C1919" s="223" t="s">
        <v>768</v>
      </c>
      <c r="D1919" s="224" t="s">
        <v>2118</v>
      </c>
      <c r="E1919" s="223">
        <v>2006</v>
      </c>
      <c r="F1919" s="224">
        <v>1999</v>
      </c>
      <c r="G1919" s="223" t="s">
        <v>946</v>
      </c>
      <c r="H1919" s="223" t="s">
        <v>2032</v>
      </c>
      <c r="I1919" s="252" t="s">
        <v>2815</v>
      </c>
      <c r="J1919" s="224">
        <v>32.56</v>
      </c>
      <c r="K1919" s="224">
        <v>-83.91</v>
      </c>
      <c r="L1919" s="225">
        <v>16</v>
      </c>
      <c r="M1919" s="225">
        <v>18.100000000000001</v>
      </c>
      <c r="N1919" s="224"/>
      <c r="O1919" s="225">
        <v>1258</v>
      </c>
      <c r="P1919" s="224"/>
      <c r="Q1919" s="224"/>
      <c r="R1919" s="225">
        <v>6</v>
      </c>
      <c r="S1919" s="226" t="s">
        <v>1975</v>
      </c>
      <c r="U1919" s="226" t="s">
        <v>2102</v>
      </c>
      <c r="V1919" s="227" t="s">
        <v>1403</v>
      </c>
      <c r="W1919" s="227">
        <v>30</v>
      </c>
      <c r="X1919" s="227" t="s">
        <v>1388</v>
      </c>
      <c r="Y1919" s="227" t="s">
        <v>1417</v>
      </c>
      <c r="Z1919" s="228">
        <f>AVERAGE(Sheet1!BP1919:BQ1919)</f>
        <v>1.6160000000000001</v>
      </c>
      <c r="AA1919" s="364">
        <v>65</v>
      </c>
      <c r="AB1919" s="364">
        <v>25</v>
      </c>
      <c r="AC1919" s="224" t="s">
        <v>240</v>
      </c>
      <c r="AD1919" s="224"/>
      <c r="AE1919" s="224"/>
      <c r="AF1919" s="224"/>
      <c r="AG1919" s="223" t="s">
        <v>2029</v>
      </c>
      <c r="AH1919" s="225" t="s">
        <v>2028</v>
      </c>
      <c r="AI1919" s="224" t="s">
        <v>1582</v>
      </c>
      <c r="AJ1919" s="225" t="s">
        <v>2027</v>
      </c>
      <c r="AK1919" s="253" t="s">
        <v>1646</v>
      </c>
      <c r="AL1919" s="224"/>
      <c r="AM1919" s="224"/>
      <c r="AN1919" s="224"/>
      <c r="AO1919" s="225" t="s">
        <v>1046</v>
      </c>
      <c r="AP1919" s="225" t="s">
        <v>1046</v>
      </c>
      <c r="AQ1919" s="254" t="s">
        <v>2126</v>
      </c>
      <c r="AR1919" s="254" t="s">
        <v>2126</v>
      </c>
      <c r="AS1919" s="92" t="s">
        <v>177</v>
      </c>
      <c r="AT1919" s="224" t="s">
        <v>2031</v>
      </c>
      <c r="AU1919" s="224"/>
      <c r="AV1919" s="229" t="s">
        <v>2025</v>
      </c>
      <c r="AW1919" s="253" t="s">
        <v>160</v>
      </c>
      <c r="AX1919" s="225">
        <v>4</v>
      </c>
      <c r="AY1919" s="225">
        <v>4</v>
      </c>
      <c r="AZ1919" s="224" t="s">
        <v>141</v>
      </c>
      <c r="BA1919" s="224"/>
      <c r="BB1919" s="224"/>
      <c r="BC1919" s="224"/>
      <c r="BD1919" s="224"/>
      <c r="BE1919" s="224"/>
      <c r="BK1919" s="225"/>
      <c r="BL1919" s="225"/>
      <c r="BM1919" s="224"/>
      <c r="BP1919" s="440">
        <f t="shared" si="284"/>
        <v>1.6160000000000001</v>
      </c>
      <c r="BQ1919" s="440">
        <v>1.6160000000000001</v>
      </c>
      <c r="BU1919" s="441">
        <v>0.19389438943894385</v>
      </c>
      <c r="BV1919" s="441">
        <v>0.15057755775577555</v>
      </c>
      <c r="BZ1919" s="36">
        <v>9.3999999999999986</v>
      </c>
      <c r="CA1919" s="36">
        <v>7.2999999999999989</v>
      </c>
      <c r="CB1919" s="36">
        <v>3.4</v>
      </c>
      <c r="CC1919" s="36">
        <v>3.4</v>
      </c>
      <c r="CD1919" s="92" t="s">
        <v>992</v>
      </c>
      <c r="CE1919" s="560">
        <v>9.3999999999999986</v>
      </c>
      <c r="CF1919" s="560">
        <v>7.2999999999999989</v>
      </c>
      <c r="CG1919" s="560"/>
      <c r="CH1919" s="560"/>
      <c r="CI1919" s="92" t="s">
        <v>4546</v>
      </c>
      <c r="JB1919" s="225" t="s">
        <v>2083</v>
      </c>
      <c r="JC1919" s="224"/>
      <c r="JD1919" s="230"/>
    </row>
    <row r="1920" spans="1:264" s="36" customFormat="1" x14ac:dyDescent="0.25">
      <c r="A1920" s="223">
        <v>91</v>
      </c>
      <c r="B1920" s="540" t="s">
        <v>4196</v>
      </c>
      <c r="C1920" s="223" t="s">
        <v>768</v>
      </c>
      <c r="D1920" s="224" t="s">
        <v>2118</v>
      </c>
      <c r="E1920" s="223">
        <v>2006</v>
      </c>
      <c r="F1920" s="224">
        <v>1999</v>
      </c>
      <c r="G1920" s="223" t="s">
        <v>946</v>
      </c>
      <c r="H1920" s="223" t="s">
        <v>2032</v>
      </c>
      <c r="I1920" s="252" t="s">
        <v>2815</v>
      </c>
      <c r="J1920" s="224">
        <v>32.56</v>
      </c>
      <c r="K1920" s="224">
        <v>-83.91</v>
      </c>
      <c r="L1920" s="225">
        <v>16</v>
      </c>
      <c r="M1920" s="225">
        <v>18.100000000000001</v>
      </c>
      <c r="N1920" s="224"/>
      <c r="O1920" s="225">
        <v>1258</v>
      </c>
      <c r="P1920" s="224"/>
      <c r="Q1920" s="224"/>
      <c r="R1920" s="225">
        <v>6</v>
      </c>
      <c r="S1920" s="226" t="s">
        <v>1975</v>
      </c>
      <c r="U1920" s="226" t="s">
        <v>2102</v>
      </c>
      <c r="V1920" s="227" t="s">
        <v>1415</v>
      </c>
      <c r="W1920" s="227">
        <v>30</v>
      </c>
      <c r="X1920" s="227" t="s">
        <v>1388</v>
      </c>
      <c r="Y1920" s="227" t="s">
        <v>1417</v>
      </c>
      <c r="Z1920" s="228">
        <f>AVERAGE(Sheet1!BP1920:BQ1920)</f>
        <v>1.6279999999999999</v>
      </c>
      <c r="AA1920" s="364">
        <v>65</v>
      </c>
      <c r="AB1920" s="364">
        <v>25</v>
      </c>
      <c r="AC1920" s="224" t="s">
        <v>240</v>
      </c>
      <c r="AD1920" s="224"/>
      <c r="AE1920" s="224"/>
      <c r="AF1920" s="224"/>
      <c r="AG1920" s="223" t="s">
        <v>2029</v>
      </c>
      <c r="AH1920" s="225" t="s">
        <v>2028</v>
      </c>
      <c r="AI1920" s="224" t="s">
        <v>1582</v>
      </c>
      <c r="AJ1920" s="225" t="s">
        <v>2027</v>
      </c>
      <c r="AK1920" s="253" t="s">
        <v>1646</v>
      </c>
      <c r="AL1920" s="224"/>
      <c r="AM1920" s="224"/>
      <c r="AN1920" s="224"/>
      <c r="AO1920" s="225" t="s">
        <v>1046</v>
      </c>
      <c r="AP1920" s="225" t="s">
        <v>1046</v>
      </c>
      <c r="AQ1920" s="254" t="s">
        <v>2126</v>
      </c>
      <c r="AR1920" s="254" t="s">
        <v>2126</v>
      </c>
      <c r="AS1920" s="92" t="s">
        <v>2115</v>
      </c>
      <c r="AT1920" s="224" t="s">
        <v>2031</v>
      </c>
      <c r="AU1920" s="224"/>
      <c r="AV1920" s="229" t="s">
        <v>2025</v>
      </c>
      <c r="AW1920" s="253" t="s">
        <v>160</v>
      </c>
      <c r="AX1920" s="225">
        <v>4</v>
      </c>
      <c r="AY1920" s="225">
        <v>4</v>
      </c>
      <c r="AZ1920" s="224" t="s">
        <v>141</v>
      </c>
      <c r="BA1920" s="224"/>
      <c r="BB1920" s="224"/>
      <c r="BC1920" s="224"/>
      <c r="BD1920" s="224"/>
      <c r="BE1920" s="224"/>
      <c r="BK1920" s="225"/>
      <c r="BL1920" s="225"/>
      <c r="BM1920" s="224"/>
      <c r="BP1920" s="440">
        <f t="shared" si="284"/>
        <v>1.6279999999999999</v>
      </c>
      <c r="BQ1920" s="440">
        <v>1.6279999999999999</v>
      </c>
      <c r="BU1920" s="441">
        <v>0.13104013104013107</v>
      </c>
      <c r="BV1920" s="441">
        <v>0.11670761670761673</v>
      </c>
      <c r="BZ1920" s="36">
        <v>6.4</v>
      </c>
      <c r="CA1920" s="36">
        <v>5.7000000000000011</v>
      </c>
      <c r="CB1920" s="36">
        <v>2.2000000000000002</v>
      </c>
      <c r="CC1920" s="36">
        <v>2.2000000000000002</v>
      </c>
      <c r="CD1920" s="92" t="s">
        <v>992</v>
      </c>
      <c r="CE1920" s="560">
        <v>6.4</v>
      </c>
      <c r="CF1920" s="560">
        <v>5.7000000000000011</v>
      </c>
      <c r="CG1920" s="560"/>
      <c r="CH1920" s="560"/>
      <c r="CI1920" s="92" t="s">
        <v>4546</v>
      </c>
      <c r="JB1920" s="225" t="s">
        <v>2083</v>
      </c>
      <c r="JC1920" s="224"/>
      <c r="JD1920" s="230"/>
    </row>
    <row r="1921" spans="1:264" s="92" customFormat="1" x14ac:dyDescent="0.25">
      <c r="A1921" s="252">
        <v>91</v>
      </c>
      <c r="B1921" s="539" t="s">
        <v>4197</v>
      </c>
      <c r="C1921" s="252" t="s">
        <v>768</v>
      </c>
      <c r="D1921" s="253" t="s">
        <v>2118</v>
      </c>
      <c r="E1921" s="252">
        <v>2006</v>
      </c>
      <c r="F1921" s="253">
        <v>1999</v>
      </c>
      <c r="G1921" s="252" t="s">
        <v>946</v>
      </c>
      <c r="H1921" s="252" t="s">
        <v>2032</v>
      </c>
      <c r="I1921" s="252" t="s">
        <v>2815</v>
      </c>
      <c r="J1921" s="253">
        <v>32.56</v>
      </c>
      <c r="K1921" s="253">
        <v>-83.91</v>
      </c>
      <c r="L1921" s="254">
        <v>16</v>
      </c>
      <c r="M1921" s="254">
        <v>18.100000000000001</v>
      </c>
      <c r="N1921" s="253"/>
      <c r="O1921" s="254">
        <v>1258</v>
      </c>
      <c r="P1921" s="253"/>
      <c r="Q1921" s="253"/>
      <c r="R1921" s="254">
        <v>6</v>
      </c>
      <c r="S1921" s="255" t="s">
        <v>1975</v>
      </c>
      <c r="U1921" s="255" t="s">
        <v>2102</v>
      </c>
      <c r="V1921" s="256" t="s">
        <v>1388</v>
      </c>
      <c r="W1921" s="256">
        <v>10</v>
      </c>
      <c r="X1921" s="256" t="s">
        <v>1388</v>
      </c>
      <c r="Y1921" s="256" t="s">
        <v>1417</v>
      </c>
      <c r="Z1921" s="257">
        <f>AVERAGE(Sheet1!BP1921:BQ1921)</f>
        <v>1.421</v>
      </c>
      <c r="AA1921" s="363">
        <v>65</v>
      </c>
      <c r="AB1921" s="363">
        <v>25</v>
      </c>
      <c r="AC1921" s="253" t="s">
        <v>240</v>
      </c>
      <c r="AD1921" s="253"/>
      <c r="AE1921" s="253"/>
      <c r="AF1921" s="253"/>
      <c r="AG1921" s="252" t="s">
        <v>2029</v>
      </c>
      <c r="AH1921" s="254" t="s">
        <v>2028</v>
      </c>
      <c r="AI1921" s="253" t="s">
        <v>1582</v>
      </c>
      <c r="AJ1921" s="254" t="s">
        <v>2027</v>
      </c>
      <c r="AK1921" s="253" t="s">
        <v>1646</v>
      </c>
      <c r="AL1921" s="253"/>
      <c r="AM1921" s="253"/>
      <c r="AN1921" s="253"/>
      <c r="AO1921" s="254" t="s">
        <v>1046</v>
      </c>
      <c r="AP1921" s="254" t="s">
        <v>1046</v>
      </c>
      <c r="AQ1921" s="254" t="s">
        <v>2126</v>
      </c>
      <c r="AR1921" s="254" t="s">
        <v>2126</v>
      </c>
      <c r="AS1921" s="92" t="s">
        <v>177</v>
      </c>
      <c r="AT1921" s="253" t="s">
        <v>2026</v>
      </c>
      <c r="AU1921" s="253"/>
      <c r="AV1921" s="258" t="s">
        <v>2025</v>
      </c>
      <c r="AW1921" s="253" t="s">
        <v>160</v>
      </c>
      <c r="AX1921" s="254">
        <v>4</v>
      </c>
      <c r="AY1921" s="254">
        <v>4</v>
      </c>
      <c r="AZ1921" s="253" t="s">
        <v>141</v>
      </c>
      <c r="BA1921" s="253"/>
      <c r="BB1921" s="253"/>
      <c r="BC1921" s="253"/>
      <c r="BD1921" s="253"/>
      <c r="BE1921" s="253"/>
      <c r="BK1921" s="254"/>
      <c r="BL1921" s="254"/>
      <c r="BM1921" s="253"/>
      <c r="BP1921" s="439">
        <f t="shared" si="284"/>
        <v>1.421</v>
      </c>
      <c r="BQ1921" s="439">
        <v>1.421</v>
      </c>
      <c r="BU1921" s="438">
        <v>0.7670654468684025</v>
      </c>
      <c r="BV1921" s="438">
        <v>0.81632653061224481</v>
      </c>
      <c r="BZ1921" s="92">
        <v>10.9</v>
      </c>
      <c r="CA1921" s="92">
        <v>11.6</v>
      </c>
      <c r="CB1921" s="92">
        <v>1</v>
      </c>
      <c r="CC1921" s="92">
        <v>1</v>
      </c>
      <c r="CD1921" s="92" t="s">
        <v>992</v>
      </c>
      <c r="CE1921" s="577">
        <v>10.9</v>
      </c>
      <c r="CF1921" s="577">
        <v>11.6</v>
      </c>
      <c r="CG1921" s="577"/>
      <c r="CH1921" s="577"/>
      <c r="CI1921" s="92" t="s">
        <v>4546</v>
      </c>
      <c r="JB1921" s="254" t="s">
        <v>2083</v>
      </c>
      <c r="JC1921" s="253"/>
      <c r="JD1921" s="259"/>
    </row>
    <row r="1922" spans="1:264" s="92" customFormat="1" x14ac:dyDescent="0.25">
      <c r="A1922" s="252">
        <v>91</v>
      </c>
      <c r="B1922" s="539" t="s">
        <v>4198</v>
      </c>
      <c r="C1922" s="252" t="s">
        <v>768</v>
      </c>
      <c r="D1922" s="253" t="s">
        <v>2118</v>
      </c>
      <c r="E1922" s="252">
        <v>2006</v>
      </c>
      <c r="F1922" s="253">
        <v>1999</v>
      </c>
      <c r="G1922" s="252" t="s">
        <v>946</v>
      </c>
      <c r="H1922" s="252" t="s">
        <v>2032</v>
      </c>
      <c r="I1922" s="252" t="s">
        <v>2815</v>
      </c>
      <c r="J1922" s="253">
        <v>32.56</v>
      </c>
      <c r="K1922" s="253">
        <v>-83.91</v>
      </c>
      <c r="L1922" s="254">
        <v>16</v>
      </c>
      <c r="M1922" s="254">
        <v>18.100000000000001</v>
      </c>
      <c r="N1922" s="253"/>
      <c r="O1922" s="254">
        <v>1258</v>
      </c>
      <c r="P1922" s="253"/>
      <c r="Q1922" s="253"/>
      <c r="R1922" s="254">
        <v>6</v>
      </c>
      <c r="S1922" s="255" t="s">
        <v>1975</v>
      </c>
      <c r="U1922" s="255" t="s">
        <v>2102</v>
      </c>
      <c r="V1922" s="256" t="s">
        <v>1408</v>
      </c>
      <c r="W1922" s="256">
        <v>20</v>
      </c>
      <c r="X1922" s="256" t="s">
        <v>1388</v>
      </c>
      <c r="Y1922" s="256" t="s">
        <v>1417</v>
      </c>
      <c r="Z1922" s="257">
        <f>AVERAGE(Sheet1!BP1922:BQ1922)</f>
        <v>1.5469999999999999</v>
      </c>
      <c r="AA1922" s="363">
        <v>65</v>
      </c>
      <c r="AB1922" s="363">
        <v>25</v>
      </c>
      <c r="AC1922" s="253" t="s">
        <v>240</v>
      </c>
      <c r="AD1922" s="253"/>
      <c r="AE1922" s="253"/>
      <c r="AF1922" s="253"/>
      <c r="AG1922" s="252" t="s">
        <v>2029</v>
      </c>
      <c r="AH1922" s="254" t="s">
        <v>2028</v>
      </c>
      <c r="AI1922" s="253" t="s">
        <v>1582</v>
      </c>
      <c r="AJ1922" s="254" t="s">
        <v>2027</v>
      </c>
      <c r="AK1922" s="253" t="s">
        <v>1646</v>
      </c>
      <c r="AL1922" s="253"/>
      <c r="AM1922" s="253"/>
      <c r="AN1922" s="253"/>
      <c r="AO1922" s="254" t="s">
        <v>1046</v>
      </c>
      <c r="AP1922" s="254" t="s">
        <v>1046</v>
      </c>
      <c r="AQ1922" s="254" t="s">
        <v>2126</v>
      </c>
      <c r="AR1922" s="254" t="s">
        <v>2126</v>
      </c>
      <c r="AS1922" s="92" t="s">
        <v>2115</v>
      </c>
      <c r="AT1922" s="253" t="s">
        <v>2026</v>
      </c>
      <c r="AU1922" s="253"/>
      <c r="AV1922" s="258" t="s">
        <v>2025</v>
      </c>
      <c r="AW1922" s="253" t="s">
        <v>160</v>
      </c>
      <c r="AX1922" s="254">
        <v>4</v>
      </c>
      <c r="AY1922" s="254">
        <v>4</v>
      </c>
      <c r="AZ1922" s="253" t="s">
        <v>141</v>
      </c>
      <c r="BA1922" s="253"/>
      <c r="BB1922" s="253"/>
      <c r="BC1922" s="253"/>
      <c r="BD1922" s="253"/>
      <c r="BE1922" s="253"/>
      <c r="BK1922" s="254"/>
      <c r="BL1922" s="254"/>
      <c r="BM1922" s="253"/>
      <c r="BP1922" s="439">
        <f t="shared" si="284"/>
        <v>1.5469999999999999</v>
      </c>
      <c r="BQ1922" s="439">
        <v>1.5469999999999999</v>
      </c>
      <c r="BU1922" s="438">
        <v>0.42986425339366519</v>
      </c>
      <c r="BV1922" s="438">
        <v>0.53329023917259211</v>
      </c>
      <c r="BZ1922" s="92">
        <v>13.3</v>
      </c>
      <c r="CA1922" s="92">
        <v>16.5</v>
      </c>
      <c r="CB1922" s="92">
        <v>2.2999999999999998</v>
      </c>
      <c r="CC1922" s="92">
        <v>2.2999999999999998</v>
      </c>
      <c r="CD1922" s="92" t="s">
        <v>992</v>
      </c>
      <c r="CE1922" s="577">
        <v>13.3</v>
      </c>
      <c r="CF1922" s="577">
        <v>16.5</v>
      </c>
      <c r="CG1922" s="577"/>
      <c r="CH1922" s="577"/>
      <c r="CI1922" s="92" t="s">
        <v>4546</v>
      </c>
      <c r="JB1922" s="254" t="s">
        <v>2083</v>
      </c>
      <c r="JC1922" s="253"/>
      <c r="JD1922" s="259"/>
    </row>
    <row r="1923" spans="1:264" s="92" customFormat="1" x14ac:dyDescent="0.25">
      <c r="A1923" s="252">
        <v>91</v>
      </c>
      <c r="B1923" s="539" t="s">
        <v>4199</v>
      </c>
      <c r="C1923" s="252" t="s">
        <v>768</v>
      </c>
      <c r="D1923" s="253" t="s">
        <v>2118</v>
      </c>
      <c r="E1923" s="252">
        <v>2006</v>
      </c>
      <c r="F1923" s="253">
        <v>1999</v>
      </c>
      <c r="G1923" s="252" t="s">
        <v>946</v>
      </c>
      <c r="H1923" s="252" t="s">
        <v>2032</v>
      </c>
      <c r="I1923" s="252" t="s">
        <v>2815</v>
      </c>
      <c r="J1923" s="253">
        <v>32.56</v>
      </c>
      <c r="K1923" s="253">
        <v>-83.91</v>
      </c>
      <c r="L1923" s="254">
        <v>16</v>
      </c>
      <c r="M1923" s="254">
        <v>18.100000000000001</v>
      </c>
      <c r="N1923" s="253"/>
      <c r="O1923" s="254">
        <v>1258</v>
      </c>
      <c r="P1923" s="253"/>
      <c r="Q1923" s="253"/>
      <c r="R1923" s="254">
        <v>6</v>
      </c>
      <c r="S1923" s="255" t="s">
        <v>1975</v>
      </c>
      <c r="U1923" s="255" t="s">
        <v>2102</v>
      </c>
      <c r="V1923" s="256" t="s">
        <v>1402</v>
      </c>
      <c r="W1923" s="256">
        <v>30</v>
      </c>
      <c r="X1923" s="256" t="s">
        <v>1388</v>
      </c>
      <c r="Y1923" s="256" t="s">
        <v>1417</v>
      </c>
      <c r="Z1923" s="257">
        <f>AVERAGE(Sheet1!BP1923:BQ1923)</f>
        <v>1.3979999999999999</v>
      </c>
      <c r="AA1923" s="363">
        <v>65</v>
      </c>
      <c r="AB1923" s="363">
        <v>25</v>
      </c>
      <c r="AC1923" s="253" t="s">
        <v>240</v>
      </c>
      <c r="AD1923" s="253"/>
      <c r="AE1923" s="253"/>
      <c r="AF1923" s="253"/>
      <c r="AG1923" s="252" t="s">
        <v>2029</v>
      </c>
      <c r="AH1923" s="254" t="s">
        <v>2028</v>
      </c>
      <c r="AI1923" s="253" t="s">
        <v>1582</v>
      </c>
      <c r="AJ1923" s="254" t="s">
        <v>2027</v>
      </c>
      <c r="AK1923" s="253" t="s">
        <v>1646</v>
      </c>
      <c r="AL1923" s="253"/>
      <c r="AM1923" s="253"/>
      <c r="AN1923" s="253"/>
      <c r="AO1923" s="254" t="s">
        <v>1046</v>
      </c>
      <c r="AP1923" s="254" t="s">
        <v>1046</v>
      </c>
      <c r="AQ1923" s="254" t="s">
        <v>2126</v>
      </c>
      <c r="AR1923" s="254" t="s">
        <v>2126</v>
      </c>
      <c r="AS1923" s="92" t="s">
        <v>177</v>
      </c>
      <c r="AT1923" s="253" t="s">
        <v>2026</v>
      </c>
      <c r="AU1923" s="253"/>
      <c r="AV1923" s="258" t="s">
        <v>2025</v>
      </c>
      <c r="AW1923" s="253" t="s">
        <v>160</v>
      </c>
      <c r="AX1923" s="254">
        <v>4</v>
      </c>
      <c r="AY1923" s="254">
        <v>4</v>
      </c>
      <c r="AZ1923" s="253" t="s">
        <v>141</v>
      </c>
      <c r="BA1923" s="253"/>
      <c r="BB1923" s="253"/>
      <c r="BC1923" s="253"/>
      <c r="BD1923" s="253"/>
      <c r="BE1923" s="253"/>
      <c r="BK1923" s="254"/>
      <c r="BL1923" s="254"/>
      <c r="BM1923" s="253"/>
      <c r="BP1923" s="439">
        <f t="shared" si="284"/>
        <v>1.3979999999999999</v>
      </c>
      <c r="BQ1923" s="439">
        <v>1.3979999999999999</v>
      </c>
      <c r="BU1923" s="438">
        <v>0.25035765379113017</v>
      </c>
      <c r="BV1923" s="438">
        <v>0.26227944682880305</v>
      </c>
      <c r="BZ1923" s="92">
        <v>10.499999999999996</v>
      </c>
      <c r="CA1923" s="92">
        <v>11</v>
      </c>
      <c r="CB1923" s="92">
        <v>3.4</v>
      </c>
      <c r="CC1923" s="92">
        <v>3.4</v>
      </c>
      <c r="CD1923" s="92" t="s">
        <v>992</v>
      </c>
      <c r="CE1923" s="577">
        <v>10.499999999999996</v>
      </c>
      <c r="CF1923" s="577">
        <v>11</v>
      </c>
      <c r="CG1923" s="577"/>
      <c r="CH1923" s="577"/>
      <c r="CI1923" s="92" t="s">
        <v>4546</v>
      </c>
      <c r="JB1923" s="254" t="s">
        <v>2083</v>
      </c>
      <c r="JC1923" s="253"/>
      <c r="JD1923" s="259"/>
    </row>
    <row r="1924" spans="1:264" s="92" customFormat="1" x14ac:dyDescent="0.25">
      <c r="A1924" s="252">
        <v>91</v>
      </c>
      <c r="B1924" s="539" t="s">
        <v>4200</v>
      </c>
      <c r="C1924" s="252" t="s">
        <v>768</v>
      </c>
      <c r="D1924" s="253" t="s">
        <v>2118</v>
      </c>
      <c r="E1924" s="252">
        <v>2006</v>
      </c>
      <c r="F1924" s="253">
        <v>1999</v>
      </c>
      <c r="G1924" s="252" t="s">
        <v>946</v>
      </c>
      <c r="H1924" s="252" t="s">
        <v>2032</v>
      </c>
      <c r="I1924" s="252" t="s">
        <v>2815</v>
      </c>
      <c r="J1924" s="253">
        <v>32.56</v>
      </c>
      <c r="K1924" s="253">
        <v>-83.91</v>
      </c>
      <c r="L1924" s="254">
        <v>16</v>
      </c>
      <c r="M1924" s="254">
        <v>18.100000000000001</v>
      </c>
      <c r="N1924" s="253"/>
      <c r="O1924" s="254">
        <v>1258</v>
      </c>
      <c r="P1924" s="253"/>
      <c r="Q1924" s="253"/>
      <c r="R1924" s="254">
        <v>6</v>
      </c>
      <c r="S1924" s="255" t="s">
        <v>1975</v>
      </c>
      <c r="U1924" s="255" t="s">
        <v>2102</v>
      </c>
      <c r="V1924" s="256" t="s">
        <v>1403</v>
      </c>
      <c r="W1924" s="256">
        <v>30</v>
      </c>
      <c r="X1924" s="256" t="s">
        <v>1388</v>
      </c>
      <c r="Y1924" s="256" t="s">
        <v>1417</v>
      </c>
      <c r="Z1924" s="257">
        <f>AVERAGE(Sheet1!BP1924:BQ1924)</f>
        <v>1.6160000000000001</v>
      </c>
      <c r="AA1924" s="363">
        <v>65</v>
      </c>
      <c r="AB1924" s="363">
        <v>25</v>
      </c>
      <c r="AC1924" s="253" t="s">
        <v>240</v>
      </c>
      <c r="AD1924" s="253"/>
      <c r="AE1924" s="253"/>
      <c r="AF1924" s="253"/>
      <c r="AG1924" s="252" t="s">
        <v>2029</v>
      </c>
      <c r="AH1924" s="254" t="s">
        <v>2028</v>
      </c>
      <c r="AI1924" s="253" t="s">
        <v>1582</v>
      </c>
      <c r="AJ1924" s="254" t="s">
        <v>2027</v>
      </c>
      <c r="AK1924" s="253" t="s">
        <v>1646</v>
      </c>
      <c r="AL1924" s="253"/>
      <c r="AM1924" s="253"/>
      <c r="AN1924" s="253"/>
      <c r="AO1924" s="254" t="s">
        <v>1046</v>
      </c>
      <c r="AP1924" s="254" t="s">
        <v>1046</v>
      </c>
      <c r="AQ1924" s="254" t="s">
        <v>2126</v>
      </c>
      <c r="AR1924" s="254" t="s">
        <v>2126</v>
      </c>
      <c r="AS1924" s="92" t="s">
        <v>2115</v>
      </c>
      <c r="AT1924" s="253" t="s">
        <v>2026</v>
      </c>
      <c r="AU1924" s="253"/>
      <c r="AV1924" s="258" t="s">
        <v>2025</v>
      </c>
      <c r="AW1924" s="253" t="s">
        <v>160</v>
      </c>
      <c r="AX1924" s="254">
        <v>4</v>
      </c>
      <c r="AY1924" s="254">
        <v>4</v>
      </c>
      <c r="AZ1924" s="253" t="s">
        <v>141</v>
      </c>
      <c r="BA1924" s="253"/>
      <c r="BB1924" s="253"/>
      <c r="BC1924" s="253"/>
      <c r="BD1924" s="253"/>
      <c r="BE1924" s="253"/>
      <c r="BK1924" s="254"/>
      <c r="BL1924" s="254"/>
      <c r="BM1924" s="253"/>
      <c r="BP1924" s="439">
        <f t="shared" si="284"/>
        <v>1.6160000000000001</v>
      </c>
      <c r="BQ1924" s="439">
        <v>1.6160000000000001</v>
      </c>
      <c r="BU1924" s="438">
        <v>0.14438943894389436</v>
      </c>
      <c r="BV1924" s="438">
        <v>0.13820132013201319</v>
      </c>
      <c r="BZ1924" s="92">
        <v>6.9999999999999991</v>
      </c>
      <c r="CA1924" s="92">
        <v>6.7</v>
      </c>
      <c r="CB1924" s="92">
        <v>3.4</v>
      </c>
      <c r="CC1924" s="92">
        <v>3.4</v>
      </c>
      <c r="CD1924" s="92" t="s">
        <v>992</v>
      </c>
      <c r="CE1924" s="577">
        <v>6.9999999999999991</v>
      </c>
      <c r="CF1924" s="577">
        <v>6.7</v>
      </c>
      <c r="CG1924" s="577"/>
      <c r="CH1924" s="577"/>
      <c r="CI1924" s="92" t="s">
        <v>4546</v>
      </c>
      <c r="JB1924" s="254" t="s">
        <v>2083</v>
      </c>
      <c r="JC1924" s="253"/>
      <c r="JD1924" s="259"/>
    </row>
    <row r="1925" spans="1:264" s="92" customFormat="1" x14ac:dyDescent="0.25">
      <c r="A1925" s="252">
        <v>91</v>
      </c>
      <c r="B1925" s="539" t="s">
        <v>4201</v>
      </c>
      <c r="C1925" s="252" t="s">
        <v>768</v>
      </c>
      <c r="D1925" s="253" t="s">
        <v>2118</v>
      </c>
      <c r="E1925" s="252">
        <v>2006</v>
      </c>
      <c r="F1925" s="253">
        <v>1999</v>
      </c>
      <c r="G1925" s="252" t="s">
        <v>946</v>
      </c>
      <c r="H1925" s="252" t="s">
        <v>2032</v>
      </c>
      <c r="I1925" s="252" t="s">
        <v>2815</v>
      </c>
      <c r="J1925" s="253">
        <v>32.56</v>
      </c>
      <c r="K1925" s="253">
        <v>-83.91</v>
      </c>
      <c r="L1925" s="254">
        <v>16</v>
      </c>
      <c r="M1925" s="254">
        <v>18.100000000000001</v>
      </c>
      <c r="N1925" s="253"/>
      <c r="O1925" s="254">
        <v>1258</v>
      </c>
      <c r="P1925" s="253"/>
      <c r="Q1925" s="253"/>
      <c r="R1925" s="254">
        <v>6</v>
      </c>
      <c r="S1925" s="255" t="s">
        <v>1975</v>
      </c>
      <c r="U1925" s="255" t="s">
        <v>2102</v>
      </c>
      <c r="V1925" s="256" t="s">
        <v>1415</v>
      </c>
      <c r="W1925" s="256">
        <v>30</v>
      </c>
      <c r="X1925" s="256" t="s">
        <v>1388</v>
      </c>
      <c r="Y1925" s="256" t="s">
        <v>1417</v>
      </c>
      <c r="Z1925" s="257">
        <f>AVERAGE(Sheet1!BP1925:BQ1925)</f>
        <v>1.6279999999999999</v>
      </c>
      <c r="AA1925" s="363">
        <v>65</v>
      </c>
      <c r="AB1925" s="363">
        <v>25</v>
      </c>
      <c r="AC1925" s="253" t="s">
        <v>240</v>
      </c>
      <c r="AD1925" s="253"/>
      <c r="AE1925" s="253"/>
      <c r="AF1925" s="253"/>
      <c r="AG1925" s="252" t="s">
        <v>2029</v>
      </c>
      <c r="AH1925" s="254" t="s">
        <v>2028</v>
      </c>
      <c r="AI1925" s="253" t="s">
        <v>1582</v>
      </c>
      <c r="AJ1925" s="254" t="s">
        <v>2027</v>
      </c>
      <c r="AK1925" s="253" t="s">
        <v>1646</v>
      </c>
      <c r="AL1925" s="253"/>
      <c r="AM1925" s="253"/>
      <c r="AN1925" s="253"/>
      <c r="AO1925" s="254" t="s">
        <v>1046</v>
      </c>
      <c r="AP1925" s="254" t="s">
        <v>1046</v>
      </c>
      <c r="AQ1925" s="254" t="s">
        <v>2126</v>
      </c>
      <c r="AR1925" s="254" t="s">
        <v>2126</v>
      </c>
      <c r="AS1925" s="92" t="s">
        <v>177</v>
      </c>
      <c r="AT1925" s="253" t="s">
        <v>2026</v>
      </c>
      <c r="AU1925" s="253"/>
      <c r="AV1925" s="258" t="s">
        <v>2025</v>
      </c>
      <c r="AW1925" s="253" t="s">
        <v>160</v>
      </c>
      <c r="AX1925" s="254">
        <v>4</v>
      </c>
      <c r="AY1925" s="254">
        <v>4</v>
      </c>
      <c r="AZ1925" s="253" t="s">
        <v>141</v>
      </c>
      <c r="BA1925" s="253"/>
      <c r="BB1925" s="253"/>
      <c r="BC1925" s="253"/>
      <c r="BD1925" s="253"/>
      <c r="BE1925" s="253"/>
      <c r="BK1925" s="254"/>
      <c r="BL1925" s="254"/>
      <c r="BM1925" s="253"/>
      <c r="BP1925" s="439">
        <f t="shared" si="284"/>
        <v>1.6279999999999999</v>
      </c>
      <c r="BQ1925" s="439">
        <v>1.6279999999999999</v>
      </c>
      <c r="BU1925" s="438">
        <v>0.11466011466011466</v>
      </c>
      <c r="BV1925" s="438">
        <v>0.11670761670761673</v>
      </c>
      <c r="BZ1925" s="92">
        <v>5.6000000000000005</v>
      </c>
      <c r="CA1925" s="92">
        <v>5.7000000000000011</v>
      </c>
      <c r="CB1925" s="92">
        <v>2.2000000000000002</v>
      </c>
      <c r="CC1925" s="92">
        <v>2.2000000000000002</v>
      </c>
      <c r="CD1925" s="92" t="s">
        <v>992</v>
      </c>
      <c r="CE1925" s="577">
        <v>5.6000000000000005</v>
      </c>
      <c r="CF1925" s="577">
        <v>5.7000000000000011</v>
      </c>
      <c r="CG1925" s="577"/>
      <c r="CH1925" s="577"/>
      <c r="CI1925" s="92" t="s">
        <v>4546</v>
      </c>
      <c r="JB1925" s="254" t="s">
        <v>2083</v>
      </c>
      <c r="JC1925" s="253"/>
      <c r="JD1925" s="259"/>
    </row>
    <row r="1926" spans="1:264" s="22" customFormat="1" x14ac:dyDescent="0.25">
      <c r="A1926" s="269">
        <v>91</v>
      </c>
      <c r="B1926" s="541" t="s">
        <v>4157</v>
      </c>
      <c r="C1926" s="269" t="s">
        <v>768</v>
      </c>
      <c r="D1926" s="270" t="s">
        <v>2118</v>
      </c>
      <c r="E1926" s="269">
        <v>2006</v>
      </c>
      <c r="F1926" s="270">
        <v>1999</v>
      </c>
      <c r="G1926" s="269" t="s">
        <v>946</v>
      </c>
      <c r="H1926" s="269" t="s">
        <v>2032</v>
      </c>
      <c r="I1926" s="252" t="s">
        <v>2815</v>
      </c>
      <c r="J1926" s="270">
        <v>32.56</v>
      </c>
      <c r="K1926" s="270">
        <v>-83.91</v>
      </c>
      <c r="L1926" s="271">
        <v>16</v>
      </c>
      <c r="M1926" s="271">
        <v>18.100000000000001</v>
      </c>
      <c r="N1926" s="270"/>
      <c r="O1926" s="271">
        <v>1258</v>
      </c>
      <c r="P1926" s="270"/>
      <c r="Q1926" s="270"/>
      <c r="R1926" s="271">
        <v>6</v>
      </c>
      <c r="S1926" s="272" t="s">
        <v>1975</v>
      </c>
      <c r="U1926" s="272" t="s">
        <v>2102</v>
      </c>
      <c r="V1926" s="273" t="s">
        <v>1388</v>
      </c>
      <c r="W1926" s="273">
        <v>10</v>
      </c>
      <c r="X1926" s="273" t="s">
        <v>1388</v>
      </c>
      <c r="Y1926" s="273" t="s">
        <v>1417</v>
      </c>
      <c r="Z1926" s="274">
        <f>AVERAGE(Sheet1!BP1926:BQ1926)</f>
        <v>1.526</v>
      </c>
      <c r="AA1926" s="365">
        <v>65</v>
      </c>
      <c r="AB1926" s="365">
        <v>25</v>
      </c>
      <c r="AC1926" s="270" t="s">
        <v>240</v>
      </c>
      <c r="AD1926" s="270"/>
      <c r="AE1926" s="270"/>
      <c r="AF1926" s="270"/>
      <c r="AG1926" s="269" t="s">
        <v>2029</v>
      </c>
      <c r="AH1926" s="271" t="s">
        <v>131</v>
      </c>
      <c r="AI1926" s="270" t="s">
        <v>131</v>
      </c>
      <c r="AJ1926" s="271" t="s">
        <v>2027</v>
      </c>
      <c r="AK1926" s="270" t="s">
        <v>1646</v>
      </c>
      <c r="AL1926" s="270"/>
      <c r="AM1926" s="270"/>
      <c r="AN1926" s="270"/>
      <c r="AO1926" s="271" t="s">
        <v>772</v>
      </c>
      <c r="AP1926" s="271" t="s">
        <v>772</v>
      </c>
      <c r="AQ1926" s="271" t="s">
        <v>2125</v>
      </c>
      <c r="AR1926" s="271" t="s">
        <v>2125</v>
      </c>
      <c r="AS1926" s="92" t="s">
        <v>2115</v>
      </c>
      <c r="AT1926" s="270" t="s">
        <v>161</v>
      </c>
      <c r="AU1926" s="270"/>
      <c r="AV1926" s="275" t="s">
        <v>2025</v>
      </c>
      <c r="AW1926" s="253" t="s">
        <v>160</v>
      </c>
      <c r="AX1926" s="271">
        <v>4</v>
      </c>
      <c r="AY1926" s="271">
        <v>4</v>
      </c>
      <c r="AZ1926" s="270" t="s">
        <v>141</v>
      </c>
      <c r="BA1926" s="270"/>
      <c r="BB1926" s="270"/>
      <c r="BC1926" s="270"/>
      <c r="BD1926" s="270"/>
      <c r="BE1926" s="270"/>
      <c r="BK1926" s="271"/>
      <c r="BL1926" s="271"/>
      <c r="BM1926" s="270"/>
      <c r="BP1926" s="442">
        <f t="shared" ref="BP1926:BP1970" si="286">BQ1926+0.02</f>
        <v>1.536</v>
      </c>
      <c r="BQ1926" s="442">
        <v>1.516</v>
      </c>
      <c r="BU1926" s="463">
        <v>0.63151041666666663</v>
      </c>
      <c r="BV1926" s="463">
        <v>0.61197916666666663</v>
      </c>
      <c r="BW1926" s="22">
        <f t="shared" ref="BW1926:BX1930" si="287">BU1926*(CB1926/BZ1926)</f>
        <v>6.5104166666666671E-2</v>
      </c>
      <c r="BX1926" s="22">
        <f t="shared" si="287"/>
        <v>6.5963060686015831E-2</v>
      </c>
      <c r="BZ1926" s="22">
        <v>9.6999999999999993</v>
      </c>
      <c r="CA1926" s="22">
        <v>9.2776041666666664</v>
      </c>
      <c r="CB1926" s="22">
        <v>1</v>
      </c>
      <c r="CC1926" s="22">
        <v>1</v>
      </c>
      <c r="CD1926" s="22" t="s">
        <v>992</v>
      </c>
      <c r="CE1926" s="552">
        <v>9.6999999999999993</v>
      </c>
      <c r="CF1926" s="552">
        <v>9.2776041666666664</v>
      </c>
      <c r="CG1926" s="552">
        <v>1</v>
      </c>
      <c r="CH1926" s="552">
        <v>1</v>
      </c>
      <c r="CI1926" s="22" t="s">
        <v>4546</v>
      </c>
      <c r="JB1926" s="271" t="s">
        <v>2083</v>
      </c>
      <c r="JC1926" s="270"/>
      <c r="JD1926" s="276"/>
    </row>
    <row r="1927" spans="1:264" s="22" customFormat="1" x14ac:dyDescent="0.25">
      <c r="A1927" s="269">
        <v>91</v>
      </c>
      <c r="B1927" s="541" t="s">
        <v>4158</v>
      </c>
      <c r="C1927" s="269" t="s">
        <v>768</v>
      </c>
      <c r="D1927" s="270" t="s">
        <v>2118</v>
      </c>
      <c r="E1927" s="269">
        <v>2006</v>
      </c>
      <c r="F1927" s="270">
        <v>1999</v>
      </c>
      <c r="G1927" s="269" t="s">
        <v>946</v>
      </c>
      <c r="H1927" s="269" t="s">
        <v>2032</v>
      </c>
      <c r="I1927" s="252" t="s">
        <v>2815</v>
      </c>
      <c r="J1927" s="270">
        <v>32.56</v>
      </c>
      <c r="K1927" s="270">
        <v>-83.91</v>
      </c>
      <c r="L1927" s="271">
        <v>16</v>
      </c>
      <c r="M1927" s="271">
        <v>18.100000000000001</v>
      </c>
      <c r="N1927" s="270"/>
      <c r="O1927" s="271">
        <v>1258</v>
      </c>
      <c r="P1927" s="270"/>
      <c r="Q1927" s="270"/>
      <c r="R1927" s="271">
        <v>6</v>
      </c>
      <c r="S1927" s="272" t="s">
        <v>1975</v>
      </c>
      <c r="U1927" s="272" t="s">
        <v>2102</v>
      </c>
      <c r="V1927" s="273" t="s">
        <v>1408</v>
      </c>
      <c r="W1927" s="273">
        <v>20</v>
      </c>
      <c r="X1927" s="273" t="s">
        <v>1388</v>
      </c>
      <c r="Y1927" s="273" t="s">
        <v>1417</v>
      </c>
      <c r="Z1927" s="274">
        <f>AVERAGE(Sheet1!BP1927:BQ1927)</f>
        <v>1.5189999999999999</v>
      </c>
      <c r="AA1927" s="365">
        <v>65</v>
      </c>
      <c r="AB1927" s="365">
        <v>25</v>
      </c>
      <c r="AC1927" s="270" t="s">
        <v>240</v>
      </c>
      <c r="AD1927" s="270"/>
      <c r="AE1927" s="270"/>
      <c r="AF1927" s="270"/>
      <c r="AG1927" s="269" t="s">
        <v>2029</v>
      </c>
      <c r="AH1927" s="271" t="s">
        <v>131</v>
      </c>
      <c r="AI1927" s="270" t="s">
        <v>131</v>
      </c>
      <c r="AJ1927" s="271" t="s">
        <v>2027</v>
      </c>
      <c r="AK1927" s="270" t="s">
        <v>1646</v>
      </c>
      <c r="AL1927" s="270"/>
      <c r="AM1927" s="270"/>
      <c r="AN1927" s="270"/>
      <c r="AO1927" s="271" t="s">
        <v>772</v>
      </c>
      <c r="AP1927" s="271" t="s">
        <v>772</v>
      </c>
      <c r="AQ1927" s="271" t="s">
        <v>2125</v>
      </c>
      <c r="AR1927" s="271" t="s">
        <v>2125</v>
      </c>
      <c r="AS1927" s="92" t="s">
        <v>177</v>
      </c>
      <c r="AT1927" s="270" t="s">
        <v>161</v>
      </c>
      <c r="AU1927" s="270"/>
      <c r="AV1927" s="275" t="s">
        <v>2025</v>
      </c>
      <c r="AW1927" s="253" t="s">
        <v>160</v>
      </c>
      <c r="AX1927" s="271">
        <v>4</v>
      </c>
      <c r="AY1927" s="271">
        <v>4</v>
      </c>
      <c r="AZ1927" s="270" t="s">
        <v>141</v>
      </c>
      <c r="BA1927" s="270"/>
      <c r="BB1927" s="270"/>
      <c r="BC1927" s="270"/>
      <c r="BD1927" s="270"/>
      <c r="BE1927" s="270"/>
      <c r="BK1927" s="271"/>
      <c r="BL1927" s="271"/>
      <c r="BM1927" s="270"/>
      <c r="BP1927" s="442">
        <f t="shared" si="286"/>
        <v>1.5289999999999999</v>
      </c>
      <c r="BQ1927" s="442">
        <v>1.5089999999999999</v>
      </c>
      <c r="BU1927" s="463">
        <v>0.44800523217789401</v>
      </c>
      <c r="BV1927" s="463">
        <v>0.46762589928057557</v>
      </c>
      <c r="BW1927" s="22">
        <f t="shared" si="287"/>
        <v>7.5212557226945698E-2</v>
      </c>
      <c r="BX1927" s="22">
        <f t="shared" si="287"/>
        <v>7.6209410205434064E-2</v>
      </c>
      <c r="BZ1927" s="22">
        <v>13.7</v>
      </c>
      <c r="CA1927" s="22">
        <v>14.11294964028777</v>
      </c>
      <c r="CB1927" s="22">
        <v>2.2999999999999998</v>
      </c>
      <c r="CC1927" s="22">
        <v>2.2999999999999998</v>
      </c>
      <c r="CD1927" s="22" t="s">
        <v>992</v>
      </c>
      <c r="CE1927" s="552">
        <v>13.7</v>
      </c>
      <c r="CF1927" s="552">
        <v>14.11294964028777</v>
      </c>
      <c r="CG1927" s="552">
        <v>2.8</v>
      </c>
      <c r="CH1927" s="552">
        <v>2.8</v>
      </c>
      <c r="CI1927" s="22" t="s">
        <v>4546</v>
      </c>
      <c r="JB1927" s="271" t="s">
        <v>2083</v>
      </c>
      <c r="JC1927" s="270"/>
      <c r="JD1927" s="276"/>
    </row>
    <row r="1928" spans="1:264" s="22" customFormat="1" x14ac:dyDescent="0.25">
      <c r="A1928" s="269">
        <v>91</v>
      </c>
      <c r="B1928" s="541" t="s">
        <v>4159</v>
      </c>
      <c r="C1928" s="269" t="s">
        <v>768</v>
      </c>
      <c r="D1928" s="270" t="s">
        <v>2118</v>
      </c>
      <c r="E1928" s="269">
        <v>2006</v>
      </c>
      <c r="F1928" s="270">
        <v>1999</v>
      </c>
      <c r="G1928" s="269" t="s">
        <v>946</v>
      </c>
      <c r="H1928" s="269" t="s">
        <v>2032</v>
      </c>
      <c r="I1928" s="252" t="s">
        <v>2815</v>
      </c>
      <c r="J1928" s="270">
        <v>32.56</v>
      </c>
      <c r="K1928" s="270">
        <v>-83.91</v>
      </c>
      <c r="L1928" s="271">
        <v>16</v>
      </c>
      <c r="M1928" s="271">
        <v>18.100000000000001</v>
      </c>
      <c r="N1928" s="270"/>
      <c r="O1928" s="271">
        <v>1258</v>
      </c>
      <c r="P1928" s="270"/>
      <c r="Q1928" s="270"/>
      <c r="R1928" s="271">
        <v>6</v>
      </c>
      <c r="S1928" s="272" t="s">
        <v>1975</v>
      </c>
      <c r="U1928" s="272" t="s">
        <v>2102</v>
      </c>
      <c r="V1928" s="273" t="s">
        <v>1402</v>
      </c>
      <c r="W1928" s="273">
        <v>30</v>
      </c>
      <c r="X1928" s="273" t="s">
        <v>1388</v>
      </c>
      <c r="Y1928" s="273" t="s">
        <v>1417</v>
      </c>
      <c r="Z1928" s="274">
        <f>AVERAGE(Sheet1!BP1928:BQ1928)</f>
        <v>1.43</v>
      </c>
      <c r="AA1928" s="365">
        <v>65</v>
      </c>
      <c r="AB1928" s="365">
        <v>25</v>
      </c>
      <c r="AC1928" s="270" t="s">
        <v>240</v>
      </c>
      <c r="AD1928" s="270"/>
      <c r="AE1928" s="270"/>
      <c r="AF1928" s="270"/>
      <c r="AG1928" s="269" t="s">
        <v>2029</v>
      </c>
      <c r="AH1928" s="271" t="s">
        <v>131</v>
      </c>
      <c r="AI1928" s="270" t="s">
        <v>131</v>
      </c>
      <c r="AJ1928" s="271" t="s">
        <v>2027</v>
      </c>
      <c r="AK1928" s="270" t="s">
        <v>1646</v>
      </c>
      <c r="AL1928" s="270"/>
      <c r="AM1928" s="270"/>
      <c r="AN1928" s="270"/>
      <c r="AO1928" s="271" t="s">
        <v>772</v>
      </c>
      <c r="AP1928" s="271" t="s">
        <v>772</v>
      </c>
      <c r="AQ1928" s="271" t="s">
        <v>2125</v>
      </c>
      <c r="AR1928" s="271" t="s">
        <v>2125</v>
      </c>
      <c r="AS1928" s="92" t="s">
        <v>2115</v>
      </c>
      <c r="AT1928" s="270" t="s">
        <v>161</v>
      </c>
      <c r="AU1928" s="270"/>
      <c r="AV1928" s="275" t="s">
        <v>2025</v>
      </c>
      <c r="AW1928" s="253" t="s">
        <v>160</v>
      </c>
      <c r="AX1928" s="271">
        <v>4</v>
      </c>
      <c r="AY1928" s="271">
        <v>4</v>
      </c>
      <c r="AZ1928" s="270" t="s">
        <v>141</v>
      </c>
      <c r="BA1928" s="270"/>
      <c r="BB1928" s="270"/>
      <c r="BC1928" s="270"/>
      <c r="BD1928" s="270"/>
      <c r="BE1928" s="270"/>
      <c r="BK1928" s="271"/>
      <c r="BL1928" s="271"/>
      <c r="BM1928" s="270"/>
      <c r="BP1928" s="442">
        <f t="shared" si="286"/>
        <v>1.44</v>
      </c>
      <c r="BQ1928" s="442">
        <v>1.42</v>
      </c>
      <c r="BU1928" s="463">
        <v>0.22916666666666666</v>
      </c>
      <c r="BV1928" s="463">
        <v>0.20370370370370372</v>
      </c>
      <c r="BW1928" s="22">
        <f t="shared" si="287"/>
        <v>7.8703703703703692E-2</v>
      </c>
      <c r="BX1928" s="22">
        <f t="shared" si="287"/>
        <v>7.9812206572769939E-2</v>
      </c>
      <c r="BZ1928" s="22">
        <v>9.9</v>
      </c>
      <c r="CA1928" s="22">
        <v>8.6777777777777789</v>
      </c>
      <c r="CB1928" s="22">
        <v>3.4</v>
      </c>
      <c r="CC1928" s="22">
        <v>3.4</v>
      </c>
      <c r="CD1928" s="22" t="s">
        <v>992</v>
      </c>
      <c r="CE1928" s="552">
        <v>9.9</v>
      </c>
      <c r="CF1928" s="552">
        <v>8.6777777777777789</v>
      </c>
      <c r="CG1928" s="552">
        <v>3</v>
      </c>
      <c r="CH1928" s="552">
        <v>3</v>
      </c>
      <c r="CI1928" s="22" t="s">
        <v>4546</v>
      </c>
      <c r="JB1928" s="271" t="s">
        <v>2083</v>
      </c>
      <c r="JC1928" s="270"/>
      <c r="JD1928" s="276"/>
    </row>
    <row r="1929" spans="1:264" s="22" customFormat="1" x14ac:dyDescent="0.25">
      <c r="A1929" s="269">
        <v>91</v>
      </c>
      <c r="B1929" s="541" t="s">
        <v>4160</v>
      </c>
      <c r="C1929" s="269" t="s">
        <v>768</v>
      </c>
      <c r="D1929" s="270" t="s">
        <v>2118</v>
      </c>
      <c r="E1929" s="269">
        <v>2006</v>
      </c>
      <c r="F1929" s="270">
        <v>1999</v>
      </c>
      <c r="G1929" s="269" t="s">
        <v>946</v>
      </c>
      <c r="H1929" s="269" t="s">
        <v>2032</v>
      </c>
      <c r="I1929" s="252" t="s">
        <v>2815</v>
      </c>
      <c r="J1929" s="270">
        <v>32.56</v>
      </c>
      <c r="K1929" s="270">
        <v>-83.91</v>
      </c>
      <c r="L1929" s="271">
        <v>16</v>
      </c>
      <c r="M1929" s="271">
        <v>18.100000000000001</v>
      </c>
      <c r="N1929" s="270"/>
      <c r="O1929" s="271">
        <v>1258</v>
      </c>
      <c r="P1929" s="270"/>
      <c r="Q1929" s="270"/>
      <c r="R1929" s="271">
        <v>6</v>
      </c>
      <c r="S1929" s="272" t="s">
        <v>1975</v>
      </c>
      <c r="U1929" s="272" t="s">
        <v>2102</v>
      </c>
      <c r="V1929" s="273" t="s">
        <v>1403</v>
      </c>
      <c r="W1929" s="273">
        <v>30</v>
      </c>
      <c r="X1929" s="273" t="s">
        <v>1388</v>
      </c>
      <c r="Y1929" s="273" t="s">
        <v>1417</v>
      </c>
      <c r="Z1929" s="274">
        <f>AVERAGE(Sheet1!BP1929:BQ1929)</f>
        <v>1.6160000000000001</v>
      </c>
      <c r="AA1929" s="365">
        <v>65</v>
      </c>
      <c r="AB1929" s="365">
        <v>25</v>
      </c>
      <c r="AC1929" s="270" t="s">
        <v>240</v>
      </c>
      <c r="AD1929" s="270"/>
      <c r="AE1929" s="270"/>
      <c r="AF1929" s="270"/>
      <c r="AG1929" s="269" t="s">
        <v>2029</v>
      </c>
      <c r="AH1929" s="271" t="s">
        <v>131</v>
      </c>
      <c r="AI1929" s="270" t="s">
        <v>131</v>
      </c>
      <c r="AJ1929" s="271" t="s">
        <v>2027</v>
      </c>
      <c r="AK1929" s="270" t="s">
        <v>1646</v>
      </c>
      <c r="AL1929" s="270"/>
      <c r="AM1929" s="270"/>
      <c r="AN1929" s="270"/>
      <c r="AO1929" s="271" t="s">
        <v>772</v>
      </c>
      <c r="AP1929" s="271" t="s">
        <v>772</v>
      </c>
      <c r="AQ1929" s="271" t="s">
        <v>2125</v>
      </c>
      <c r="AR1929" s="271" t="s">
        <v>2125</v>
      </c>
      <c r="AS1929" s="92" t="s">
        <v>177</v>
      </c>
      <c r="AT1929" s="270" t="s">
        <v>161</v>
      </c>
      <c r="AU1929" s="270"/>
      <c r="AV1929" s="275" t="s">
        <v>2025</v>
      </c>
      <c r="AW1929" s="253" t="s">
        <v>160</v>
      </c>
      <c r="AX1929" s="271">
        <v>4</v>
      </c>
      <c r="AY1929" s="271">
        <v>4</v>
      </c>
      <c r="AZ1929" s="270" t="s">
        <v>141</v>
      </c>
      <c r="BA1929" s="270"/>
      <c r="BB1929" s="270"/>
      <c r="BC1929" s="270"/>
      <c r="BD1929" s="270"/>
      <c r="BE1929" s="270"/>
      <c r="BK1929" s="271"/>
      <c r="BL1929" s="271"/>
      <c r="BM1929" s="270"/>
      <c r="BP1929" s="442">
        <f t="shared" si="286"/>
        <v>1.6260000000000001</v>
      </c>
      <c r="BQ1929" s="442">
        <v>1.6060000000000001</v>
      </c>
      <c r="BU1929" s="463">
        <v>0.14145141451414511</v>
      </c>
      <c r="BV1929" s="463">
        <v>0.13735137351373511</v>
      </c>
      <c r="BW1929" s="22">
        <f t="shared" si="287"/>
        <v>6.9700697006970055E-2</v>
      </c>
      <c r="BX1929" s="22">
        <f t="shared" si="287"/>
        <v>7.0568700705687007E-2</v>
      </c>
      <c r="BZ1929" s="22">
        <v>6.8999999999999995</v>
      </c>
      <c r="CA1929" s="22">
        <v>6.6175891758917569</v>
      </c>
      <c r="CB1929" s="22">
        <v>3.4</v>
      </c>
      <c r="CC1929" s="22">
        <v>3.4</v>
      </c>
      <c r="CD1929" s="22" t="s">
        <v>992</v>
      </c>
      <c r="CE1929" s="552">
        <v>6.8999999999999995</v>
      </c>
      <c r="CF1929" s="552">
        <v>6.6175891758917569</v>
      </c>
      <c r="CG1929" s="552">
        <v>3.3</v>
      </c>
      <c r="CH1929" s="552">
        <v>3.3</v>
      </c>
      <c r="CI1929" s="22" t="s">
        <v>4546</v>
      </c>
      <c r="JB1929" s="271" t="s">
        <v>2083</v>
      </c>
      <c r="JC1929" s="270"/>
      <c r="JD1929" s="276"/>
    </row>
    <row r="1930" spans="1:264" s="22" customFormat="1" x14ac:dyDescent="0.25">
      <c r="A1930" s="269">
        <v>91</v>
      </c>
      <c r="B1930" s="541" t="s">
        <v>4161</v>
      </c>
      <c r="C1930" s="269" t="s">
        <v>768</v>
      </c>
      <c r="D1930" s="270" t="s">
        <v>2118</v>
      </c>
      <c r="E1930" s="269">
        <v>2006</v>
      </c>
      <c r="F1930" s="270">
        <v>1999</v>
      </c>
      <c r="G1930" s="269" t="s">
        <v>946</v>
      </c>
      <c r="H1930" s="269" t="s">
        <v>2032</v>
      </c>
      <c r="I1930" s="252" t="s">
        <v>2815</v>
      </c>
      <c r="J1930" s="270">
        <v>32.56</v>
      </c>
      <c r="K1930" s="270">
        <v>-83.91</v>
      </c>
      <c r="L1930" s="271">
        <v>16</v>
      </c>
      <c r="M1930" s="271">
        <v>18.100000000000001</v>
      </c>
      <c r="N1930" s="270"/>
      <c r="O1930" s="271">
        <v>1258</v>
      </c>
      <c r="P1930" s="270"/>
      <c r="Q1930" s="270"/>
      <c r="R1930" s="271">
        <v>6</v>
      </c>
      <c r="S1930" s="272" t="s">
        <v>1975</v>
      </c>
      <c r="U1930" s="272" t="s">
        <v>2102</v>
      </c>
      <c r="V1930" s="273" t="s">
        <v>1415</v>
      </c>
      <c r="W1930" s="273">
        <v>30</v>
      </c>
      <c r="X1930" s="273" t="s">
        <v>1388</v>
      </c>
      <c r="Y1930" s="273" t="s">
        <v>1417</v>
      </c>
      <c r="Z1930" s="274">
        <f>AVERAGE(Sheet1!BP1930:BQ1930)</f>
        <v>1.605</v>
      </c>
      <c r="AA1930" s="365">
        <v>65</v>
      </c>
      <c r="AB1930" s="365">
        <v>25</v>
      </c>
      <c r="AC1930" s="270" t="s">
        <v>240</v>
      </c>
      <c r="AD1930" s="270"/>
      <c r="AE1930" s="270"/>
      <c r="AF1930" s="270"/>
      <c r="AG1930" s="269" t="s">
        <v>2029</v>
      </c>
      <c r="AH1930" s="271" t="s">
        <v>131</v>
      </c>
      <c r="AI1930" s="270" t="s">
        <v>131</v>
      </c>
      <c r="AJ1930" s="271" t="s">
        <v>2027</v>
      </c>
      <c r="AK1930" s="270" t="s">
        <v>1646</v>
      </c>
      <c r="AL1930" s="270"/>
      <c r="AM1930" s="270"/>
      <c r="AN1930" s="270"/>
      <c r="AO1930" s="271" t="s">
        <v>772</v>
      </c>
      <c r="AP1930" s="271" t="s">
        <v>772</v>
      </c>
      <c r="AQ1930" s="271" t="s">
        <v>2125</v>
      </c>
      <c r="AR1930" s="271" t="s">
        <v>2125</v>
      </c>
      <c r="AS1930" s="92" t="s">
        <v>2115</v>
      </c>
      <c r="AT1930" s="270" t="s">
        <v>161</v>
      </c>
      <c r="AU1930" s="270"/>
      <c r="AV1930" s="275" t="s">
        <v>2025</v>
      </c>
      <c r="AW1930" s="253" t="s">
        <v>160</v>
      </c>
      <c r="AX1930" s="271">
        <v>4</v>
      </c>
      <c r="AY1930" s="271">
        <v>4</v>
      </c>
      <c r="AZ1930" s="270" t="s">
        <v>141</v>
      </c>
      <c r="BA1930" s="270"/>
      <c r="BB1930" s="270"/>
      <c r="BC1930" s="270"/>
      <c r="BD1930" s="270"/>
      <c r="BE1930" s="270"/>
      <c r="BK1930" s="271"/>
      <c r="BL1930" s="271"/>
      <c r="BM1930" s="270"/>
      <c r="BP1930" s="442">
        <f t="shared" si="286"/>
        <v>1.615</v>
      </c>
      <c r="BQ1930" s="442">
        <v>1.595</v>
      </c>
      <c r="BU1930" s="463">
        <v>0.12590299277605779</v>
      </c>
      <c r="BV1930" s="463">
        <v>0.10732714138286895</v>
      </c>
      <c r="BW1930" s="22">
        <f t="shared" si="287"/>
        <v>4.5407636738906097E-2</v>
      </c>
      <c r="BX1930" s="22">
        <f t="shared" si="287"/>
        <v>4.5977011494252887E-2</v>
      </c>
      <c r="BZ1930" s="22">
        <v>6.1</v>
      </c>
      <c r="CA1930" s="22">
        <v>5.1356037151702782</v>
      </c>
      <c r="CB1930" s="22">
        <v>2.2000000000000002</v>
      </c>
      <c r="CC1930" s="22">
        <v>2.2000000000000002</v>
      </c>
      <c r="CD1930" s="22" t="s">
        <v>992</v>
      </c>
      <c r="CE1930" s="552">
        <v>6.1</v>
      </c>
      <c r="CF1930" s="552">
        <v>5.1356037151702782</v>
      </c>
      <c r="CG1930" s="552">
        <v>2.1</v>
      </c>
      <c r="CH1930" s="552">
        <v>2.1</v>
      </c>
      <c r="CI1930" s="22" t="s">
        <v>4546</v>
      </c>
      <c r="JB1930" s="271" t="s">
        <v>2083</v>
      </c>
      <c r="JC1930" s="270"/>
      <c r="JD1930" s="276"/>
    </row>
    <row r="1931" spans="1:264" s="284" customFormat="1" x14ac:dyDescent="0.25">
      <c r="A1931" s="277">
        <v>91</v>
      </c>
      <c r="B1931" s="542" t="s">
        <v>4162</v>
      </c>
      <c r="C1931" s="277" t="s">
        <v>768</v>
      </c>
      <c r="D1931" s="278" t="s">
        <v>2118</v>
      </c>
      <c r="E1931" s="277">
        <v>2006</v>
      </c>
      <c r="F1931" s="278">
        <v>1999</v>
      </c>
      <c r="G1931" s="277" t="s">
        <v>946</v>
      </c>
      <c r="H1931" s="277" t="s">
        <v>2032</v>
      </c>
      <c r="I1931" s="252" t="s">
        <v>2815</v>
      </c>
      <c r="J1931" s="278">
        <v>32.56</v>
      </c>
      <c r="K1931" s="278">
        <v>-83.91</v>
      </c>
      <c r="L1931" s="279">
        <v>16</v>
      </c>
      <c r="M1931" s="279">
        <v>18.100000000000001</v>
      </c>
      <c r="N1931" s="278"/>
      <c r="O1931" s="279">
        <v>1258</v>
      </c>
      <c r="P1931" s="278"/>
      <c r="Q1931" s="278"/>
      <c r="R1931" s="279">
        <v>6</v>
      </c>
      <c r="S1931" s="280" t="s">
        <v>1975</v>
      </c>
      <c r="U1931" s="280" t="s">
        <v>2102</v>
      </c>
      <c r="V1931" s="281" t="s">
        <v>1388</v>
      </c>
      <c r="W1931" s="281">
        <v>10</v>
      </c>
      <c r="X1931" s="281" t="s">
        <v>1388</v>
      </c>
      <c r="Y1931" s="281" t="s">
        <v>1417</v>
      </c>
      <c r="Z1931" s="282">
        <f>AVERAGE(Sheet1!BP1931:BQ1931)</f>
        <v>1.526</v>
      </c>
      <c r="AA1931" s="366">
        <v>65</v>
      </c>
      <c r="AB1931" s="366">
        <v>25</v>
      </c>
      <c r="AC1931" s="278" t="s">
        <v>240</v>
      </c>
      <c r="AD1931" s="278"/>
      <c r="AE1931" s="278"/>
      <c r="AF1931" s="278"/>
      <c r="AG1931" s="277" t="s">
        <v>2029</v>
      </c>
      <c r="AH1931" s="279" t="s">
        <v>131</v>
      </c>
      <c r="AI1931" s="278" t="s">
        <v>131</v>
      </c>
      <c r="AJ1931" s="279" t="s">
        <v>2027</v>
      </c>
      <c r="AK1931" s="278" t="s">
        <v>1646</v>
      </c>
      <c r="AL1931" s="278"/>
      <c r="AM1931" s="278"/>
      <c r="AN1931" s="278"/>
      <c r="AO1931" s="279" t="s">
        <v>772</v>
      </c>
      <c r="AP1931" s="279" t="s">
        <v>772</v>
      </c>
      <c r="AQ1931" s="271" t="s">
        <v>2125</v>
      </c>
      <c r="AR1931" s="271" t="s">
        <v>2125</v>
      </c>
      <c r="AS1931" s="92" t="s">
        <v>177</v>
      </c>
      <c r="AT1931" s="278" t="s">
        <v>2031</v>
      </c>
      <c r="AU1931" s="278"/>
      <c r="AV1931" s="283" t="s">
        <v>2025</v>
      </c>
      <c r="AW1931" s="253" t="s">
        <v>160</v>
      </c>
      <c r="AX1931" s="279">
        <v>4</v>
      </c>
      <c r="AY1931" s="279">
        <v>4</v>
      </c>
      <c r="AZ1931" s="278" t="s">
        <v>141</v>
      </c>
      <c r="BA1931" s="278"/>
      <c r="BB1931" s="278"/>
      <c r="BC1931" s="278"/>
      <c r="BD1931" s="278"/>
      <c r="BE1931" s="278"/>
      <c r="BK1931" s="279"/>
      <c r="BL1931" s="279"/>
      <c r="BM1931" s="278"/>
      <c r="BP1931" s="443">
        <f t="shared" si="286"/>
        <v>1.536</v>
      </c>
      <c r="BQ1931" s="443">
        <v>1.516</v>
      </c>
      <c r="BU1931" s="446">
        <v>0.57291666666666674</v>
      </c>
      <c r="BV1931" s="446">
        <v>0.63151041666666663</v>
      </c>
      <c r="BZ1931" s="284">
        <v>8.8000000000000007</v>
      </c>
      <c r="CA1931" s="284">
        <v>9.5736979166666654</v>
      </c>
      <c r="CB1931" s="284">
        <v>1</v>
      </c>
      <c r="CC1931" s="284">
        <v>1</v>
      </c>
      <c r="CD1931" s="22" t="s">
        <v>992</v>
      </c>
      <c r="CE1931" s="590">
        <v>8.8000000000000007</v>
      </c>
      <c r="CF1931" s="590">
        <v>9.5736979166666654</v>
      </c>
      <c r="CG1931" s="590"/>
      <c r="CH1931" s="590"/>
      <c r="CI1931" s="22" t="s">
        <v>4546</v>
      </c>
      <c r="JB1931" s="279" t="s">
        <v>2083</v>
      </c>
      <c r="JC1931" s="278"/>
      <c r="JD1931" s="285"/>
    </row>
    <row r="1932" spans="1:264" s="284" customFormat="1" x14ac:dyDescent="0.25">
      <c r="A1932" s="277">
        <v>91</v>
      </c>
      <c r="B1932" s="542" t="s">
        <v>4163</v>
      </c>
      <c r="C1932" s="277" t="s">
        <v>768</v>
      </c>
      <c r="D1932" s="278" t="s">
        <v>2118</v>
      </c>
      <c r="E1932" s="277">
        <v>2006</v>
      </c>
      <c r="F1932" s="278">
        <v>1999</v>
      </c>
      <c r="G1932" s="277" t="s">
        <v>946</v>
      </c>
      <c r="H1932" s="277" t="s">
        <v>2032</v>
      </c>
      <c r="I1932" s="252" t="s">
        <v>2815</v>
      </c>
      <c r="J1932" s="278">
        <v>32.56</v>
      </c>
      <c r="K1932" s="278">
        <v>-83.91</v>
      </c>
      <c r="L1932" s="279">
        <v>16</v>
      </c>
      <c r="M1932" s="279">
        <v>18.100000000000001</v>
      </c>
      <c r="N1932" s="278"/>
      <c r="O1932" s="279">
        <v>1258</v>
      </c>
      <c r="P1932" s="278"/>
      <c r="Q1932" s="278"/>
      <c r="R1932" s="279">
        <v>6</v>
      </c>
      <c r="S1932" s="280" t="s">
        <v>1975</v>
      </c>
      <c r="U1932" s="280" t="s">
        <v>2102</v>
      </c>
      <c r="V1932" s="281" t="s">
        <v>1408</v>
      </c>
      <c r="W1932" s="281">
        <v>20</v>
      </c>
      <c r="X1932" s="281" t="s">
        <v>1388</v>
      </c>
      <c r="Y1932" s="281" t="s">
        <v>1417</v>
      </c>
      <c r="Z1932" s="282">
        <f>AVERAGE(Sheet1!BP1932:BQ1932)</f>
        <v>1.5189999999999999</v>
      </c>
      <c r="AA1932" s="366">
        <v>65</v>
      </c>
      <c r="AB1932" s="366">
        <v>25</v>
      </c>
      <c r="AC1932" s="278" t="s">
        <v>240</v>
      </c>
      <c r="AD1932" s="278"/>
      <c r="AE1932" s="278"/>
      <c r="AF1932" s="278"/>
      <c r="AG1932" s="277" t="s">
        <v>2029</v>
      </c>
      <c r="AH1932" s="279" t="s">
        <v>131</v>
      </c>
      <c r="AI1932" s="278" t="s">
        <v>131</v>
      </c>
      <c r="AJ1932" s="279" t="s">
        <v>2027</v>
      </c>
      <c r="AK1932" s="278" t="s">
        <v>1646</v>
      </c>
      <c r="AL1932" s="278"/>
      <c r="AM1932" s="278"/>
      <c r="AN1932" s="278"/>
      <c r="AO1932" s="279" t="s">
        <v>772</v>
      </c>
      <c r="AP1932" s="279" t="s">
        <v>772</v>
      </c>
      <c r="AQ1932" s="271" t="s">
        <v>2125</v>
      </c>
      <c r="AR1932" s="271" t="s">
        <v>2125</v>
      </c>
      <c r="AS1932" s="92" t="s">
        <v>2115</v>
      </c>
      <c r="AT1932" s="278" t="s">
        <v>2031</v>
      </c>
      <c r="AU1932" s="278"/>
      <c r="AV1932" s="283" t="s">
        <v>2025</v>
      </c>
      <c r="AW1932" s="253" t="s">
        <v>160</v>
      </c>
      <c r="AX1932" s="279">
        <v>4</v>
      </c>
      <c r="AY1932" s="279">
        <v>4</v>
      </c>
      <c r="AZ1932" s="278" t="s">
        <v>141</v>
      </c>
      <c r="BA1932" s="278"/>
      <c r="BB1932" s="278"/>
      <c r="BC1932" s="278"/>
      <c r="BD1932" s="278"/>
      <c r="BE1932" s="278"/>
      <c r="BK1932" s="279"/>
      <c r="BL1932" s="279"/>
      <c r="BM1932" s="278"/>
      <c r="BP1932" s="443">
        <f t="shared" si="286"/>
        <v>1.5289999999999999</v>
      </c>
      <c r="BQ1932" s="443">
        <v>1.5089999999999999</v>
      </c>
      <c r="BU1932" s="446">
        <v>0.45781556572923476</v>
      </c>
      <c r="BV1932" s="446">
        <v>0.50032701111837807</v>
      </c>
      <c r="BZ1932" s="284">
        <v>13.999999999999998</v>
      </c>
      <c r="CA1932" s="284">
        <v>15.09986919555265</v>
      </c>
      <c r="CB1932" s="284">
        <v>2.2999999999999998</v>
      </c>
      <c r="CC1932" s="284">
        <v>2.2999999999999998</v>
      </c>
      <c r="CD1932" s="22" t="s">
        <v>992</v>
      </c>
      <c r="CE1932" s="590">
        <v>13.999999999999998</v>
      </c>
      <c r="CF1932" s="590">
        <v>15.09986919555265</v>
      </c>
      <c r="CG1932" s="590"/>
      <c r="CH1932" s="590"/>
      <c r="CI1932" s="22" t="s">
        <v>4546</v>
      </c>
      <c r="JB1932" s="279" t="s">
        <v>2083</v>
      </c>
      <c r="JC1932" s="278"/>
      <c r="JD1932" s="285"/>
    </row>
    <row r="1933" spans="1:264" s="284" customFormat="1" x14ac:dyDescent="0.25">
      <c r="A1933" s="277">
        <v>91</v>
      </c>
      <c r="B1933" s="542" t="s">
        <v>4164</v>
      </c>
      <c r="C1933" s="277" t="s">
        <v>768</v>
      </c>
      <c r="D1933" s="278" t="s">
        <v>2118</v>
      </c>
      <c r="E1933" s="277">
        <v>2006</v>
      </c>
      <c r="F1933" s="278">
        <v>1999</v>
      </c>
      <c r="G1933" s="277" t="s">
        <v>946</v>
      </c>
      <c r="H1933" s="277" t="s">
        <v>2032</v>
      </c>
      <c r="I1933" s="252" t="s">
        <v>2815</v>
      </c>
      <c r="J1933" s="278">
        <v>32.56</v>
      </c>
      <c r="K1933" s="278">
        <v>-83.91</v>
      </c>
      <c r="L1933" s="279">
        <v>16</v>
      </c>
      <c r="M1933" s="279">
        <v>18.100000000000001</v>
      </c>
      <c r="N1933" s="278"/>
      <c r="O1933" s="279">
        <v>1258</v>
      </c>
      <c r="P1933" s="278"/>
      <c r="Q1933" s="278"/>
      <c r="R1933" s="279">
        <v>6</v>
      </c>
      <c r="S1933" s="280" t="s">
        <v>1975</v>
      </c>
      <c r="U1933" s="280" t="s">
        <v>2102</v>
      </c>
      <c r="V1933" s="281" t="s">
        <v>1402</v>
      </c>
      <c r="W1933" s="281">
        <v>30</v>
      </c>
      <c r="X1933" s="281" t="s">
        <v>1388</v>
      </c>
      <c r="Y1933" s="281" t="s">
        <v>1417</v>
      </c>
      <c r="Z1933" s="282">
        <f>AVERAGE(Sheet1!BP1933:BQ1933)</f>
        <v>1.43</v>
      </c>
      <c r="AA1933" s="366">
        <v>65</v>
      </c>
      <c r="AB1933" s="366">
        <v>25</v>
      </c>
      <c r="AC1933" s="278" t="s">
        <v>240</v>
      </c>
      <c r="AD1933" s="278"/>
      <c r="AE1933" s="278"/>
      <c r="AF1933" s="278"/>
      <c r="AG1933" s="277" t="s">
        <v>2029</v>
      </c>
      <c r="AH1933" s="279" t="s">
        <v>131</v>
      </c>
      <c r="AI1933" s="278" t="s">
        <v>131</v>
      </c>
      <c r="AJ1933" s="279" t="s">
        <v>2027</v>
      </c>
      <c r="AK1933" s="278" t="s">
        <v>1646</v>
      </c>
      <c r="AL1933" s="278"/>
      <c r="AM1933" s="278"/>
      <c r="AN1933" s="278"/>
      <c r="AO1933" s="279" t="s">
        <v>772</v>
      </c>
      <c r="AP1933" s="279" t="s">
        <v>772</v>
      </c>
      <c r="AQ1933" s="271" t="s">
        <v>2125</v>
      </c>
      <c r="AR1933" s="271" t="s">
        <v>2125</v>
      </c>
      <c r="AS1933" s="92" t="s">
        <v>177</v>
      </c>
      <c r="AT1933" s="278" t="s">
        <v>2031</v>
      </c>
      <c r="AU1933" s="278"/>
      <c r="AV1933" s="283" t="s">
        <v>2025</v>
      </c>
      <c r="AW1933" s="253" t="s">
        <v>160</v>
      </c>
      <c r="AX1933" s="279">
        <v>4</v>
      </c>
      <c r="AY1933" s="279">
        <v>4</v>
      </c>
      <c r="AZ1933" s="278" t="s">
        <v>141</v>
      </c>
      <c r="BA1933" s="278"/>
      <c r="BB1933" s="278"/>
      <c r="BC1933" s="278"/>
      <c r="BD1933" s="278"/>
      <c r="BE1933" s="278"/>
      <c r="BK1933" s="279"/>
      <c r="BL1933" s="279"/>
      <c r="BM1933" s="278"/>
      <c r="BP1933" s="443">
        <f t="shared" si="286"/>
        <v>1.44</v>
      </c>
      <c r="BQ1933" s="443">
        <v>1.42</v>
      </c>
      <c r="BU1933" s="446">
        <v>0.23379629629629628</v>
      </c>
      <c r="BV1933" s="446">
        <v>0.25</v>
      </c>
      <c r="BZ1933" s="284">
        <v>10.099999999999998</v>
      </c>
      <c r="CA1933" s="284">
        <v>10.65</v>
      </c>
      <c r="CB1933" s="284">
        <v>3.4</v>
      </c>
      <c r="CC1933" s="284">
        <v>3.4</v>
      </c>
      <c r="CD1933" s="22" t="s">
        <v>992</v>
      </c>
      <c r="CE1933" s="590">
        <v>10.099999999999998</v>
      </c>
      <c r="CF1933" s="590">
        <v>10.65</v>
      </c>
      <c r="CG1933" s="590"/>
      <c r="CH1933" s="590"/>
      <c r="CI1933" s="22" t="s">
        <v>4546</v>
      </c>
      <c r="JB1933" s="279" t="s">
        <v>2083</v>
      </c>
      <c r="JC1933" s="278"/>
      <c r="JD1933" s="285"/>
    </row>
    <row r="1934" spans="1:264" s="284" customFormat="1" x14ac:dyDescent="0.25">
      <c r="A1934" s="277">
        <v>91</v>
      </c>
      <c r="B1934" s="542" t="s">
        <v>4165</v>
      </c>
      <c r="C1934" s="277" t="s">
        <v>768</v>
      </c>
      <c r="D1934" s="278" t="s">
        <v>2118</v>
      </c>
      <c r="E1934" s="277">
        <v>2006</v>
      </c>
      <c r="F1934" s="278">
        <v>1999</v>
      </c>
      <c r="G1934" s="277" t="s">
        <v>946</v>
      </c>
      <c r="H1934" s="277" t="s">
        <v>2032</v>
      </c>
      <c r="I1934" s="252" t="s">
        <v>2815</v>
      </c>
      <c r="J1934" s="278">
        <v>32.56</v>
      </c>
      <c r="K1934" s="278">
        <v>-83.91</v>
      </c>
      <c r="L1934" s="279">
        <v>16</v>
      </c>
      <c r="M1934" s="279">
        <v>18.100000000000001</v>
      </c>
      <c r="N1934" s="278"/>
      <c r="O1934" s="279">
        <v>1258</v>
      </c>
      <c r="P1934" s="278"/>
      <c r="Q1934" s="278"/>
      <c r="R1934" s="279">
        <v>6</v>
      </c>
      <c r="S1934" s="280" t="s">
        <v>1975</v>
      </c>
      <c r="U1934" s="280" t="s">
        <v>2102</v>
      </c>
      <c r="V1934" s="281" t="s">
        <v>1403</v>
      </c>
      <c r="W1934" s="281">
        <v>30</v>
      </c>
      <c r="X1934" s="281" t="s">
        <v>1388</v>
      </c>
      <c r="Y1934" s="281" t="s">
        <v>1417</v>
      </c>
      <c r="Z1934" s="282">
        <f>AVERAGE(Sheet1!BP1934:BQ1934)</f>
        <v>1.6160000000000001</v>
      </c>
      <c r="AA1934" s="366">
        <v>65</v>
      </c>
      <c r="AB1934" s="366">
        <v>25</v>
      </c>
      <c r="AC1934" s="278" t="s">
        <v>240</v>
      </c>
      <c r="AD1934" s="278"/>
      <c r="AE1934" s="278"/>
      <c r="AF1934" s="278"/>
      <c r="AG1934" s="277" t="s">
        <v>2029</v>
      </c>
      <c r="AH1934" s="279" t="s">
        <v>131</v>
      </c>
      <c r="AI1934" s="278" t="s">
        <v>131</v>
      </c>
      <c r="AJ1934" s="279" t="s">
        <v>2027</v>
      </c>
      <c r="AK1934" s="278" t="s">
        <v>1646</v>
      </c>
      <c r="AL1934" s="278"/>
      <c r="AM1934" s="278"/>
      <c r="AN1934" s="278"/>
      <c r="AO1934" s="279" t="s">
        <v>772</v>
      </c>
      <c r="AP1934" s="279" t="s">
        <v>772</v>
      </c>
      <c r="AQ1934" s="271" t="s">
        <v>2125</v>
      </c>
      <c r="AR1934" s="271" t="s">
        <v>2125</v>
      </c>
      <c r="AS1934" s="92" t="s">
        <v>2115</v>
      </c>
      <c r="AT1934" s="278" t="s">
        <v>2031</v>
      </c>
      <c r="AU1934" s="278"/>
      <c r="AV1934" s="283" t="s">
        <v>2025</v>
      </c>
      <c r="AW1934" s="253" t="s">
        <v>160</v>
      </c>
      <c r="AX1934" s="279">
        <v>4</v>
      </c>
      <c r="AY1934" s="279">
        <v>4</v>
      </c>
      <c r="AZ1934" s="278" t="s">
        <v>141</v>
      </c>
      <c r="BA1934" s="278"/>
      <c r="BB1934" s="278"/>
      <c r="BC1934" s="278"/>
      <c r="BD1934" s="278"/>
      <c r="BE1934" s="278"/>
      <c r="BK1934" s="279"/>
      <c r="BL1934" s="279"/>
      <c r="BM1934" s="278"/>
      <c r="BP1934" s="443">
        <f t="shared" si="286"/>
        <v>1.6260000000000001</v>
      </c>
      <c r="BQ1934" s="443">
        <v>1.6060000000000001</v>
      </c>
      <c r="BU1934" s="446">
        <v>0.16400164001640014</v>
      </c>
      <c r="BV1934" s="446">
        <v>0.16195161951619513</v>
      </c>
      <c r="BZ1934" s="284">
        <v>7.9999999999999991</v>
      </c>
      <c r="CA1934" s="284">
        <v>7.8028290282902812</v>
      </c>
      <c r="CB1934" s="284">
        <v>3.4</v>
      </c>
      <c r="CC1934" s="284">
        <v>3.4</v>
      </c>
      <c r="CD1934" s="22" t="s">
        <v>992</v>
      </c>
      <c r="CE1934" s="590">
        <v>7.9999999999999991</v>
      </c>
      <c r="CF1934" s="590">
        <v>7.8028290282902812</v>
      </c>
      <c r="CG1934" s="590"/>
      <c r="CH1934" s="590"/>
      <c r="CI1934" s="22" t="s">
        <v>4546</v>
      </c>
      <c r="JB1934" s="279" t="s">
        <v>2083</v>
      </c>
      <c r="JC1934" s="278"/>
      <c r="JD1934" s="285"/>
    </row>
    <row r="1935" spans="1:264" s="284" customFormat="1" x14ac:dyDescent="0.25">
      <c r="A1935" s="277">
        <v>91</v>
      </c>
      <c r="B1935" s="542" t="s">
        <v>4166</v>
      </c>
      <c r="C1935" s="277" t="s">
        <v>768</v>
      </c>
      <c r="D1935" s="278" t="s">
        <v>2118</v>
      </c>
      <c r="E1935" s="277">
        <v>2006</v>
      </c>
      <c r="F1935" s="278">
        <v>1999</v>
      </c>
      <c r="G1935" s="277" t="s">
        <v>946</v>
      </c>
      <c r="H1935" s="277" t="s">
        <v>2032</v>
      </c>
      <c r="I1935" s="252" t="s">
        <v>2815</v>
      </c>
      <c r="J1935" s="278">
        <v>32.56</v>
      </c>
      <c r="K1935" s="278">
        <v>-83.91</v>
      </c>
      <c r="L1935" s="279">
        <v>16</v>
      </c>
      <c r="M1935" s="279">
        <v>18.100000000000001</v>
      </c>
      <c r="N1935" s="278"/>
      <c r="O1935" s="279">
        <v>1258</v>
      </c>
      <c r="P1935" s="278"/>
      <c r="Q1935" s="278"/>
      <c r="R1935" s="279">
        <v>6</v>
      </c>
      <c r="S1935" s="280" t="s">
        <v>1975</v>
      </c>
      <c r="U1935" s="280" t="s">
        <v>2102</v>
      </c>
      <c r="V1935" s="281" t="s">
        <v>1415</v>
      </c>
      <c r="W1935" s="281">
        <v>30</v>
      </c>
      <c r="X1935" s="281" t="s">
        <v>1388</v>
      </c>
      <c r="Y1935" s="281" t="s">
        <v>1417</v>
      </c>
      <c r="Z1935" s="282">
        <f>AVERAGE(Sheet1!BP1935:BQ1935)</f>
        <v>1.605</v>
      </c>
      <c r="AA1935" s="366">
        <v>65</v>
      </c>
      <c r="AB1935" s="366">
        <v>25</v>
      </c>
      <c r="AC1935" s="278" t="s">
        <v>240</v>
      </c>
      <c r="AD1935" s="278"/>
      <c r="AE1935" s="278"/>
      <c r="AF1935" s="278"/>
      <c r="AG1935" s="277" t="s">
        <v>2029</v>
      </c>
      <c r="AH1935" s="279" t="s">
        <v>131</v>
      </c>
      <c r="AI1935" s="278" t="s">
        <v>131</v>
      </c>
      <c r="AJ1935" s="279" t="s">
        <v>2027</v>
      </c>
      <c r="AK1935" s="278" t="s">
        <v>1646</v>
      </c>
      <c r="AL1935" s="278"/>
      <c r="AM1935" s="278"/>
      <c r="AN1935" s="278"/>
      <c r="AO1935" s="279" t="s">
        <v>772</v>
      </c>
      <c r="AP1935" s="279" t="s">
        <v>772</v>
      </c>
      <c r="AQ1935" s="271" t="s">
        <v>2125</v>
      </c>
      <c r="AR1935" s="271" t="s">
        <v>2125</v>
      </c>
      <c r="AS1935" s="92" t="s">
        <v>177</v>
      </c>
      <c r="AT1935" s="278" t="s">
        <v>2031</v>
      </c>
      <c r="AU1935" s="278"/>
      <c r="AV1935" s="283" t="s">
        <v>2025</v>
      </c>
      <c r="AW1935" s="253" t="s">
        <v>160</v>
      </c>
      <c r="AX1935" s="279">
        <v>4</v>
      </c>
      <c r="AY1935" s="279">
        <v>4</v>
      </c>
      <c r="AZ1935" s="278" t="s">
        <v>141</v>
      </c>
      <c r="BA1935" s="278"/>
      <c r="BB1935" s="278"/>
      <c r="BC1935" s="278"/>
      <c r="BD1935" s="278"/>
      <c r="BE1935" s="278"/>
      <c r="BK1935" s="279"/>
      <c r="BL1935" s="279"/>
      <c r="BM1935" s="278"/>
      <c r="BP1935" s="443">
        <f t="shared" si="286"/>
        <v>1.615</v>
      </c>
      <c r="BQ1935" s="443">
        <v>1.595</v>
      </c>
      <c r="BU1935" s="446">
        <v>0.1155830753353973</v>
      </c>
      <c r="BV1935" s="446">
        <v>0.11971104231166151</v>
      </c>
      <c r="BZ1935" s="284">
        <v>5.6</v>
      </c>
      <c r="CA1935" s="284">
        <v>5.7281733746130028</v>
      </c>
      <c r="CB1935" s="284">
        <v>2.2000000000000002</v>
      </c>
      <c r="CC1935" s="284">
        <v>2.2000000000000002</v>
      </c>
      <c r="CD1935" s="22" t="s">
        <v>992</v>
      </c>
      <c r="CE1935" s="590">
        <v>5.6</v>
      </c>
      <c r="CF1935" s="590">
        <v>5.7281733746130028</v>
      </c>
      <c r="CG1935" s="590"/>
      <c r="CH1935" s="590"/>
      <c r="CI1935" s="22" t="s">
        <v>4546</v>
      </c>
      <c r="JB1935" s="279" t="s">
        <v>2083</v>
      </c>
      <c r="JC1935" s="278"/>
      <c r="JD1935" s="285"/>
    </row>
    <row r="1936" spans="1:264" s="22" customFormat="1" x14ac:dyDescent="0.25">
      <c r="A1936" s="269">
        <v>91</v>
      </c>
      <c r="B1936" s="541" t="s">
        <v>4167</v>
      </c>
      <c r="C1936" s="269" t="s">
        <v>768</v>
      </c>
      <c r="D1936" s="270" t="s">
        <v>2118</v>
      </c>
      <c r="E1936" s="269">
        <v>2006</v>
      </c>
      <c r="F1936" s="270">
        <v>1999</v>
      </c>
      <c r="G1936" s="269" t="s">
        <v>946</v>
      </c>
      <c r="H1936" s="269" t="s">
        <v>2032</v>
      </c>
      <c r="I1936" s="252" t="s">
        <v>2815</v>
      </c>
      <c r="J1936" s="270">
        <v>32.56</v>
      </c>
      <c r="K1936" s="270">
        <v>-83.91</v>
      </c>
      <c r="L1936" s="271">
        <v>16</v>
      </c>
      <c r="M1936" s="271">
        <v>18.100000000000001</v>
      </c>
      <c r="N1936" s="270"/>
      <c r="O1936" s="271">
        <v>1258</v>
      </c>
      <c r="P1936" s="270"/>
      <c r="Q1936" s="270"/>
      <c r="R1936" s="271">
        <v>6</v>
      </c>
      <c r="S1936" s="272" t="s">
        <v>1975</v>
      </c>
      <c r="U1936" s="272" t="s">
        <v>2102</v>
      </c>
      <c r="V1936" s="273" t="s">
        <v>1388</v>
      </c>
      <c r="W1936" s="273">
        <v>10</v>
      </c>
      <c r="X1936" s="273" t="s">
        <v>1388</v>
      </c>
      <c r="Y1936" s="273" t="s">
        <v>1417</v>
      </c>
      <c r="Z1936" s="274">
        <f>AVERAGE(Sheet1!BP1936:BQ1936)</f>
        <v>1.526</v>
      </c>
      <c r="AA1936" s="365">
        <v>65</v>
      </c>
      <c r="AB1936" s="365">
        <v>25</v>
      </c>
      <c r="AC1936" s="270" t="s">
        <v>240</v>
      </c>
      <c r="AD1936" s="270"/>
      <c r="AE1936" s="270"/>
      <c r="AF1936" s="270"/>
      <c r="AG1936" s="269" t="s">
        <v>2029</v>
      </c>
      <c r="AH1936" s="271" t="s">
        <v>131</v>
      </c>
      <c r="AI1936" s="270" t="s">
        <v>131</v>
      </c>
      <c r="AJ1936" s="271" t="s">
        <v>2027</v>
      </c>
      <c r="AK1936" s="270" t="s">
        <v>1646</v>
      </c>
      <c r="AL1936" s="270"/>
      <c r="AM1936" s="270"/>
      <c r="AN1936" s="270"/>
      <c r="AO1936" s="271" t="s">
        <v>772</v>
      </c>
      <c r="AP1936" s="271" t="s">
        <v>772</v>
      </c>
      <c r="AQ1936" s="271" t="s">
        <v>2125</v>
      </c>
      <c r="AR1936" s="271" t="s">
        <v>2125</v>
      </c>
      <c r="AS1936" s="92" t="s">
        <v>2115</v>
      </c>
      <c r="AT1936" s="270" t="s">
        <v>2026</v>
      </c>
      <c r="AU1936" s="270"/>
      <c r="AV1936" s="275" t="s">
        <v>2025</v>
      </c>
      <c r="AW1936" s="253" t="s">
        <v>160</v>
      </c>
      <c r="AX1936" s="271">
        <v>4</v>
      </c>
      <c r="AY1936" s="271">
        <v>4</v>
      </c>
      <c r="AZ1936" s="270" t="s">
        <v>141</v>
      </c>
      <c r="BA1936" s="270"/>
      <c r="BB1936" s="270"/>
      <c r="BC1936" s="270"/>
      <c r="BD1936" s="270"/>
      <c r="BE1936" s="270"/>
      <c r="BK1936" s="271"/>
      <c r="BL1936" s="271"/>
      <c r="BM1936" s="270"/>
      <c r="BP1936" s="442">
        <f t="shared" si="286"/>
        <v>1.536</v>
      </c>
      <c r="BQ1936" s="442">
        <v>1.516</v>
      </c>
      <c r="BU1936" s="463">
        <v>0.6640625</v>
      </c>
      <c r="BV1936" s="463">
        <v>0.71614583333333326</v>
      </c>
      <c r="BZ1936" s="22">
        <v>10.200000000000001</v>
      </c>
      <c r="CA1936" s="22">
        <v>10.856770833333332</v>
      </c>
      <c r="CB1936" s="22">
        <v>1</v>
      </c>
      <c r="CC1936" s="22">
        <v>1</v>
      </c>
      <c r="CD1936" s="22" t="s">
        <v>992</v>
      </c>
      <c r="CE1936" s="552">
        <v>10.200000000000001</v>
      </c>
      <c r="CF1936" s="552">
        <v>10.856770833333332</v>
      </c>
      <c r="CG1936" s="552"/>
      <c r="CH1936" s="552"/>
      <c r="CI1936" s="22" t="s">
        <v>4546</v>
      </c>
      <c r="JB1936" s="271" t="s">
        <v>2083</v>
      </c>
      <c r="JC1936" s="270"/>
      <c r="JD1936" s="276"/>
    </row>
    <row r="1937" spans="1:264" s="22" customFormat="1" x14ac:dyDescent="0.25">
      <c r="A1937" s="269">
        <v>91</v>
      </c>
      <c r="B1937" s="541" t="s">
        <v>4168</v>
      </c>
      <c r="C1937" s="269" t="s">
        <v>768</v>
      </c>
      <c r="D1937" s="270" t="s">
        <v>2118</v>
      </c>
      <c r="E1937" s="269">
        <v>2006</v>
      </c>
      <c r="F1937" s="270">
        <v>1999</v>
      </c>
      <c r="G1937" s="269" t="s">
        <v>946</v>
      </c>
      <c r="H1937" s="269" t="s">
        <v>2032</v>
      </c>
      <c r="I1937" s="252" t="s">
        <v>2815</v>
      </c>
      <c r="J1937" s="270">
        <v>32.56</v>
      </c>
      <c r="K1937" s="270">
        <v>-83.91</v>
      </c>
      <c r="L1937" s="271">
        <v>16</v>
      </c>
      <c r="M1937" s="271">
        <v>18.100000000000001</v>
      </c>
      <c r="N1937" s="270"/>
      <c r="O1937" s="271">
        <v>1258</v>
      </c>
      <c r="P1937" s="270"/>
      <c r="Q1937" s="270"/>
      <c r="R1937" s="271">
        <v>6</v>
      </c>
      <c r="S1937" s="272" t="s">
        <v>1975</v>
      </c>
      <c r="U1937" s="272" t="s">
        <v>2102</v>
      </c>
      <c r="V1937" s="273" t="s">
        <v>1408</v>
      </c>
      <c r="W1937" s="273">
        <v>20</v>
      </c>
      <c r="X1937" s="273" t="s">
        <v>1388</v>
      </c>
      <c r="Y1937" s="273" t="s">
        <v>1417</v>
      </c>
      <c r="Z1937" s="274">
        <f>AVERAGE(Sheet1!BP1937:BQ1937)</f>
        <v>1.5189999999999999</v>
      </c>
      <c r="AA1937" s="365">
        <v>65</v>
      </c>
      <c r="AB1937" s="365">
        <v>25</v>
      </c>
      <c r="AC1937" s="270" t="s">
        <v>240</v>
      </c>
      <c r="AD1937" s="270"/>
      <c r="AE1937" s="270"/>
      <c r="AF1937" s="270"/>
      <c r="AG1937" s="269" t="s">
        <v>2029</v>
      </c>
      <c r="AH1937" s="271" t="s">
        <v>131</v>
      </c>
      <c r="AI1937" s="270" t="s">
        <v>131</v>
      </c>
      <c r="AJ1937" s="271" t="s">
        <v>2027</v>
      </c>
      <c r="AK1937" s="270" t="s">
        <v>1646</v>
      </c>
      <c r="AL1937" s="270"/>
      <c r="AM1937" s="270"/>
      <c r="AN1937" s="270"/>
      <c r="AO1937" s="271" t="s">
        <v>772</v>
      </c>
      <c r="AP1937" s="271" t="s">
        <v>772</v>
      </c>
      <c r="AQ1937" s="271" t="s">
        <v>2125</v>
      </c>
      <c r="AR1937" s="271" t="s">
        <v>2125</v>
      </c>
      <c r="AS1937" s="92" t="s">
        <v>177</v>
      </c>
      <c r="AT1937" s="270" t="s">
        <v>2026</v>
      </c>
      <c r="AU1937" s="270"/>
      <c r="AV1937" s="275" t="s">
        <v>2025</v>
      </c>
      <c r="AW1937" s="253" t="s">
        <v>160</v>
      </c>
      <c r="AX1937" s="271">
        <v>4</v>
      </c>
      <c r="AY1937" s="271">
        <v>4</v>
      </c>
      <c r="AZ1937" s="270" t="s">
        <v>141</v>
      </c>
      <c r="BA1937" s="270"/>
      <c r="BB1937" s="270"/>
      <c r="BC1937" s="270"/>
      <c r="BD1937" s="270"/>
      <c r="BE1937" s="270"/>
      <c r="BK1937" s="271"/>
      <c r="BL1937" s="271"/>
      <c r="BM1937" s="270"/>
      <c r="BP1937" s="442">
        <f t="shared" si="286"/>
        <v>1.5289999999999999</v>
      </c>
      <c r="BQ1937" s="442">
        <v>1.5089999999999999</v>
      </c>
      <c r="BU1937" s="463">
        <v>0.50686723348593854</v>
      </c>
      <c r="BV1937" s="463">
        <v>0.54610856769130145</v>
      </c>
      <c r="BZ1937" s="22">
        <v>15.5</v>
      </c>
      <c r="CA1937" s="22">
        <v>16.481556572923477</v>
      </c>
      <c r="CB1937" s="22">
        <v>2.2999999999999998</v>
      </c>
      <c r="CC1937" s="22">
        <v>2.2999999999999998</v>
      </c>
      <c r="CD1937" s="22" t="s">
        <v>992</v>
      </c>
      <c r="CE1937" s="552">
        <v>15.5</v>
      </c>
      <c r="CF1937" s="552">
        <v>16.481556572923477</v>
      </c>
      <c r="CG1937" s="552"/>
      <c r="CH1937" s="552"/>
      <c r="CI1937" s="22" t="s">
        <v>4546</v>
      </c>
      <c r="JB1937" s="271" t="s">
        <v>2083</v>
      </c>
      <c r="JC1937" s="270"/>
      <c r="JD1937" s="276"/>
    </row>
    <row r="1938" spans="1:264" s="22" customFormat="1" x14ac:dyDescent="0.25">
      <c r="A1938" s="269">
        <v>91</v>
      </c>
      <c r="B1938" s="541" t="s">
        <v>4169</v>
      </c>
      <c r="C1938" s="269" t="s">
        <v>768</v>
      </c>
      <c r="D1938" s="270" t="s">
        <v>2118</v>
      </c>
      <c r="E1938" s="269">
        <v>2006</v>
      </c>
      <c r="F1938" s="270">
        <v>1999</v>
      </c>
      <c r="G1938" s="269" t="s">
        <v>946</v>
      </c>
      <c r="H1938" s="269" t="s">
        <v>2032</v>
      </c>
      <c r="I1938" s="252" t="s">
        <v>2815</v>
      </c>
      <c r="J1938" s="270">
        <v>32.56</v>
      </c>
      <c r="K1938" s="270">
        <v>-83.91</v>
      </c>
      <c r="L1938" s="271">
        <v>16</v>
      </c>
      <c r="M1938" s="271">
        <v>18.100000000000001</v>
      </c>
      <c r="N1938" s="270"/>
      <c r="O1938" s="271">
        <v>1258</v>
      </c>
      <c r="P1938" s="270"/>
      <c r="Q1938" s="270"/>
      <c r="R1938" s="271">
        <v>6</v>
      </c>
      <c r="S1938" s="272" t="s">
        <v>1975</v>
      </c>
      <c r="U1938" s="272" t="s">
        <v>2102</v>
      </c>
      <c r="V1938" s="273" t="s">
        <v>1402</v>
      </c>
      <c r="W1938" s="273">
        <v>30</v>
      </c>
      <c r="X1938" s="273" t="s">
        <v>1388</v>
      </c>
      <c r="Y1938" s="273" t="s">
        <v>1417</v>
      </c>
      <c r="Z1938" s="274">
        <f>AVERAGE(Sheet1!BP1938:BQ1938)</f>
        <v>1.43</v>
      </c>
      <c r="AA1938" s="365">
        <v>65</v>
      </c>
      <c r="AB1938" s="365">
        <v>25</v>
      </c>
      <c r="AC1938" s="270" t="s">
        <v>240</v>
      </c>
      <c r="AD1938" s="270"/>
      <c r="AE1938" s="270"/>
      <c r="AF1938" s="270"/>
      <c r="AG1938" s="269" t="s">
        <v>2029</v>
      </c>
      <c r="AH1938" s="271" t="s">
        <v>131</v>
      </c>
      <c r="AI1938" s="270" t="s">
        <v>131</v>
      </c>
      <c r="AJ1938" s="271" t="s">
        <v>2027</v>
      </c>
      <c r="AK1938" s="270" t="s">
        <v>1646</v>
      </c>
      <c r="AL1938" s="270"/>
      <c r="AM1938" s="270"/>
      <c r="AN1938" s="270"/>
      <c r="AO1938" s="271" t="s">
        <v>772</v>
      </c>
      <c r="AP1938" s="271" t="s">
        <v>772</v>
      </c>
      <c r="AQ1938" s="271" t="s">
        <v>2125</v>
      </c>
      <c r="AR1938" s="271" t="s">
        <v>2125</v>
      </c>
      <c r="AS1938" s="92" t="s">
        <v>2115</v>
      </c>
      <c r="AT1938" s="270" t="s">
        <v>2026</v>
      </c>
      <c r="AU1938" s="270"/>
      <c r="AV1938" s="275" t="s">
        <v>2025</v>
      </c>
      <c r="AW1938" s="253" t="s">
        <v>160</v>
      </c>
      <c r="AX1938" s="271">
        <v>4</v>
      </c>
      <c r="AY1938" s="271">
        <v>4</v>
      </c>
      <c r="AZ1938" s="270" t="s">
        <v>141</v>
      </c>
      <c r="BA1938" s="270"/>
      <c r="BB1938" s="270"/>
      <c r="BC1938" s="270"/>
      <c r="BD1938" s="270"/>
      <c r="BE1938" s="270"/>
      <c r="BK1938" s="271"/>
      <c r="BL1938" s="271"/>
      <c r="BM1938" s="270"/>
      <c r="BP1938" s="442">
        <f t="shared" si="286"/>
        <v>1.44</v>
      </c>
      <c r="BQ1938" s="442">
        <v>1.42</v>
      </c>
      <c r="BU1938" s="463">
        <v>0.21759259259259262</v>
      </c>
      <c r="BV1938" s="463">
        <v>0.23842592592592596</v>
      </c>
      <c r="BZ1938" s="22">
        <v>9.4</v>
      </c>
      <c r="CA1938" s="22">
        <v>10.156944444444445</v>
      </c>
      <c r="CB1938" s="22">
        <v>3.4</v>
      </c>
      <c r="CC1938" s="22">
        <v>3.4</v>
      </c>
      <c r="CD1938" s="22" t="s">
        <v>992</v>
      </c>
      <c r="CE1938" s="552">
        <v>9.4</v>
      </c>
      <c r="CF1938" s="552">
        <v>10.156944444444445</v>
      </c>
      <c r="CG1938" s="552"/>
      <c r="CH1938" s="552"/>
      <c r="CI1938" s="22" t="s">
        <v>4546</v>
      </c>
      <c r="JB1938" s="271" t="s">
        <v>2083</v>
      </c>
      <c r="JC1938" s="270"/>
      <c r="JD1938" s="276"/>
    </row>
    <row r="1939" spans="1:264" s="22" customFormat="1" x14ac:dyDescent="0.25">
      <c r="A1939" s="269">
        <v>91</v>
      </c>
      <c r="B1939" s="541" t="s">
        <v>4170</v>
      </c>
      <c r="C1939" s="269" t="s">
        <v>768</v>
      </c>
      <c r="D1939" s="270" t="s">
        <v>2118</v>
      </c>
      <c r="E1939" s="269">
        <v>2006</v>
      </c>
      <c r="F1939" s="270">
        <v>1999</v>
      </c>
      <c r="G1939" s="269" t="s">
        <v>946</v>
      </c>
      <c r="H1939" s="269" t="s">
        <v>2032</v>
      </c>
      <c r="I1939" s="252" t="s">
        <v>2815</v>
      </c>
      <c r="J1939" s="270">
        <v>32.56</v>
      </c>
      <c r="K1939" s="270">
        <v>-83.91</v>
      </c>
      <c r="L1939" s="271">
        <v>16</v>
      </c>
      <c r="M1939" s="271">
        <v>18.100000000000001</v>
      </c>
      <c r="N1939" s="270"/>
      <c r="O1939" s="271">
        <v>1258</v>
      </c>
      <c r="P1939" s="270"/>
      <c r="Q1939" s="270"/>
      <c r="R1939" s="271">
        <v>6</v>
      </c>
      <c r="S1939" s="272" t="s">
        <v>1975</v>
      </c>
      <c r="U1939" s="272" t="s">
        <v>2102</v>
      </c>
      <c r="V1939" s="273" t="s">
        <v>1403</v>
      </c>
      <c r="W1939" s="273">
        <v>30</v>
      </c>
      <c r="X1939" s="273" t="s">
        <v>1388</v>
      </c>
      <c r="Y1939" s="273" t="s">
        <v>1417</v>
      </c>
      <c r="Z1939" s="274">
        <f>AVERAGE(Sheet1!BP1939:BQ1939)</f>
        <v>1.6160000000000001</v>
      </c>
      <c r="AA1939" s="365">
        <v>65</v>
      </c>
      <c r="AB1939" s="365">
        <v>25</v>
      </c>
      <c r="AC1939" s="270" t="s">
        <v>240</v>
      </c>
      <c r="AD1939" s="270"/>
      <c r="AE1939" s="270"/>
      <c r="AF1939" s="270"/>
      <c r="AG1939" s="269" t="s">
        <v>2029</v>
      </c>
      <c r="AH1939" s="271" t="s">
        <v>131</v>
      </c>
      <c r="AI1939" s="270" t="s">
        <v>131</v>
      </c>
      <c r="AJ1939" s="271" t="s">
        <v>2027</v>
      </c>
      <c r="AK1939" s="270" t="s">
        <v>1646</v>
      </c>
      <c r="AL1939" s="270"/>
      <c r="AM1939" s="270"/>
      <c r="AN1939" s="270"/>
      <c r="AO1939" s="271" t="s">
        <v>772</v>
      </c>
      <c r="AP1939" s="271" t="s">
        <v>772</v>
      </c>
      <c r="AQ1939" s="271" t="s">
        <v>2125</v>
      </c>
      <c r="AR1939" s="271" t="s">
        <v>2125</v>
      </c>
      <c r="AS1939" s="92" t="s">
        <v>177</v>
      </c>
      <c r="AT1939" s="270" t="s">
        <v>2026</v>
      </c>
      <c r="AU1939" s="270"/>
      <c r="AV1939" s="275" t="s">
        <v>2025</v>
      </c>
      <c r="AW1939" s="253" t="s">
        <v>160</v>
      </c>
      <c r="AX1939" s="271">
        <v>4</v>
      </c>
      <c r="AY1939" s="271">
        <v>4</v>
      </c>
      <c r="AZ1939" s="270" t="s">
        <v>141</v>
      </c>
      <c r="BA1939" s="270"/>
      <c r="BB1939" s="270"/>
      <c r="BC1939" s="270"/>
      <c r="BD1939" s="270"/>
      <c r="BE1939" s="270"/>
      <c r="BK1939" s="271"/>
      <c r="BL1939" s="271"/>
      <c r="BM1939" s="270"/>
      <c r="BP1939" s="442">
        <f t="shared" si="286"/>
        <v>1.6260000000000001</v>
      </c>
      <c r="BQ1939" s="442">
        <v>1.6060000000000001</v>
      </c>
      <c r="BU1939" s="463">
        <v>0.17015170151701514</v>
      </c>
      <c r="BV1939" s="463">
        <v>0.1312013120131201</v>
      </c>
      <c r="BZ1939" s="22">
        <v>8.2999999999999989</v>
      </c>
      <c r="CA1939" s="22">
        <v>6.3212792127921276</v>
      </c>
      <c r="CB1939" s="22">
        <v>3.4</v>
      </c>
      <c r="CC1939" s="22">
        <v>3.4</v>
      </c>
      <c r="CD1939" s="22" t="s">
        <v>992</v>
      </c>
      <c r="CE1939" s="552">
        <v>8.2999999999999989</v>
      </c>
      <c r="CF1939" s="552">
        <v>6.3212792127921276</v>
      </c>
      <c r="CG1939" s="552"/>
      <c r="CH1939" s="552"/>
      <c r="CI1939" s="22" t="s">
        <v>4546</v>
      </c>
      <c r="JB1939" s="271" t="s">
        <v>2083</v>
      </c>
      <c r="JC1939" s="270"/>
      <c r="JD1939" s="276"/>
    </row>
    <row r="1940" spans="1:264" s="22" customFormat="1" x14ac:dyDescent="0.25">
      <c r="A1940" s="269">
        <v>91</v>
      </c>
      <c r="B1940" s="541" t="s">
        <v>4171</v>
      </c>
      <c r="C1940" s="269" t="s">
        <v>768</v>
      </c>
      <c r="D1940" s="270" t="s">
        <v>2118</v>
      </c>
      <c r="E1940" s="269">
        <v>2006</v>
      </c>
      <c r="F1940" s="270">
        <v>1999</v>
      </c>
      <c r="G1940" s="269" t="s">
        <v>946</v>
      </c>
      <c r="H1940" s="269" t="s">
        <v>2032</v>
      </c>
      <c r="I1940" s="252" t="s">
        <v>2815</v>
      </c>
      <c r="J1940" s="270">
        <v>32.56</v>
      </c>
      <c r="K1940" s="270">
        <v>-83.91</v>
      </c>
      <c r="L1940" s="271">
        <v>16</v>
      </c>
      <c r="M1940" s="271">
        <v>18.100000000000001</v>
      </c>
      <c r="N1940" s="270"/>
      <c r="O1940" s="271">
        <v>1258</v>
      </c>
      <c r="P1940" s="270"/>
      <c r="Q1940" s="270"/>
      <c r="R1940" s="271">
        <v>6</v>
      </c>
      <c r="S1940" s="272" t="s">
        <v>1975</v>
      </c>
      <c r="U1940" s="272" t="s">
        <v>2102</v>
      </c>
      <c r="V1940" s="273" t="s">
        <v>1415</v>
      </c>
      <c r="W1940" s="273">
        <v>30</v>
      </c>
      <c r="X1940" s="273" t="s">
        <v>1388</v>
      </c>
      <c r="Y1940" s="273" t="s">
        <v>1417</v>
      </c>
      <c r="Z1940" s="274">
        <f>AVERAGE(Sheet1!BP1940:BQ1940)</f>
        <v>1.605</v>
      </c>
      <c r="AA1940" s="365">
        <v>65</v>
      </c>
      <c r="AB1940" s="365">
        <v>25</v>
      </c>
      <c r="AC1940" s="270" t="s">
        <v>240</v>
      </c>
      <c r="AD1940" s="270"/>
      <c r="AE1940" s="270"/>
      <c r="AF1940" s="270"/>
      <c r="AG1940" s="269" t="s">
        <v>2029</v>
      </c>
      <c r="AH1940" s="271" t="s">
        <v>131</v>
      </c>
      <c r="AI1940" s="270" t="s">
        <v>131</v>
      </c>
      <c r="AJ1940" s="271" t="s">
        <v>2027</v>
      </c>
      <c r="AK1940" s="270" t="s">
        <v>1646</v>
      </c>
      <c r="AL1940" s="270"/>
      <c r="AM1940" s="270"/>
      <c r="AN1940" s="270"/>
      <c r="AO1940" s="271" t="s">
        <v>772</v>
      </c>
      <c r="AP1940" s="271" t="s">
        <v>772</v>
      </c>
      <c r="AQ1940" s="271" t="s">
        <v>2125</v>
      </c>
      <c r="AR1940" s="271" t="s">
        <v>2125</v>
      </c>
      <c r="AS1940" s="92" t="s">
        <v>2115</v>
      </c>
      <c r="AT1940" s="270" t="s">
        <v>2026</v>
      </c>
      <c r="AU1940" s="270"/>
      <c r="AV1940" s="275" t="s">
        <v>2025</v>
      </c>
      <c r="AW1940" s="253" t="s">
        <v>160</v>
      </c>
      <c r="AX1940" s="271">
        <v>4</v>
      </c>
      <c r="AY1940" s="271">
        <v>4</v>
      </c>
      <c r="AZ1940" s="270" t="s">
        <v>141</v>
      </c>
      <c r="BA1940" s="270"/>
      <c r="BB1940" s="270"/>
      <c r="BC1940" s="270"/>
      <c r="BD1940" s="270"/>
      <c r="BE1940" s="270"/>
      <c r="BK1940" s="271"/>
      <c r="BL1940" s="271"/>
      <c r="BM1940" s="270"/>
      <c r="BP1940" s="442">
        <f t="shared" si="286"/>
        <v>1.615</v>
      </c>
      <c r="BQ1940" s="442">
        <v>1.595</v>
      </c>
      <c r="BU1940" s="463">
        <v>0.1155830753353973</v>
      </c>
      <c r="BV1940" s="463">
        <v>0.11145510835913314</v>
      </c>
      <c r="BZ1940" s="22">
        <v>5.6</v>
      </c>
      <c r="CA1940" s="22">
        <v>5.3331269349845201</v>
      </c>
      <c r="CB1940" s="22">
        <v>2.2000000000000002</v>
      </c>
      <c r="CC1940" s="22">
        <v>2.2000000000000002</v>
      </c>
      <c r="CD1940" s="22" t="s">
        <v>992</v>
      </c>
      <c r="CE1940" s="552">
        <v>5.6</v>
      </c>
      <c r="CF1940" s="552">
        <v>5.3331269349845201</v>
      </c>
      <c r="CG1940" s="552"/>
      <c r="CH1940" s="552"/>
      <c r="CI1940" s="22" t="s">
        <v>4546</v>
      </c>
      <c r="JB1940" s="271" t="s">
        <v>2083</v>
      </c>
      <c r="JC1940" s="270"/>
      <c r="JD1940" s="276"/>
    </row>
    <row r="1941" spans="1:264" s="284" customFormat="1" x14ac:dyDescent="0.25">
      <c r="A1941" s="277">
        <v>91</v>
      </c>
      <c r="B1941" s="542" t="s">
        <v>4172</v>
      </c>
      <c r="C1941" s="277" t="s">
        <v>768</v>
      </c>
      <c r="D1941" s="278" t="s">
        <v>2118</v>
      </c>
      <c r="E1941" s="277">
        <v>2006</v>
      </c>
      <c r="F1941" s="278">
        <v>1999</v>
      </c>
      <c r="G1941" s="277" t="s">
        <v>946</v>
      </c>
      <c r="H1941" s="277" t="s">
        <v>2032</v>
      </c>
      <c r="I1941" s="252" t="s">
        <v>2815</v>
      </c>
      <c r="J1941" s="278">
        <v>32.56</v>
      </c>
      <c r="K1941" s="278">
        <v>-83.91</v>
      </c>
      <c r="L1941" s="279">
        <v>16</v>
      </c>
      <c r="M1941" s="279">
        <v>18.100000000000001</v>
      </c>
      <c r="N1941" s="278"/>
      <c r="O1941" s="279">
        <v>1258</v>
      </c>
      <c r="P1941" s="278"/>
      <c r="Q1941" s="278"/>
      <c r="R1941" s="279">
        <v>6</v>
      </c>
      <c r="S1941" s="280" t="s">
        <v>1975</v>
      </c>
      <c r="U1941" s="280" t="s">
        <v>2102</v>
      </c>
      <c r="V1941" s="281" t="s">
        <v>1388</v>
      </c>
      <c r="W1941" s="281">
        <v>10</v>
      </c>
      <c r="X1941" s="281" t="s">
        <v>1388</v>
      </c>
      <c r="Y1941" s="281" t="s">
        <v>1417</v>
      </c>
      <c r="Z1941" s="282">
        <f>AVERAGE(Sheet1!BP1941:BQ1941)</f>
        <v>1.526</v>
      </c>
      <c r="AA1941" s="366">
        <v>65</v>
      </c>
      <c r="AB1941" s="366">
        <v>25</v>
      </c>
      <c r="AC1941" s="278" t="s">
        <v>240</v>
      </c>
      <c r="AD1941" s="278"/>
      <c r="AE1941" s="278"/>
      <c r="AF1941" s="278"/>
      <c r="AG1941" s="277" t="s">
        <v>2029</v>
      </c>
      <c r="AH1941" s="279" t="s">
        <v>243</v>
      </c>
      <c r="AI1941" s="278" t="s">
        <v>577</v>
      </c>
      <c r="AJ1941" s="279" t="s">
        <v>2027</v>
      </c>
      <c r="AK1941" s="278" t="s">
        <v>1646</v>
      </c>
      <c r="AL1941" s="278"/>
      <c r="AM1941" s="278"/>
      <c r="AN1941" s="278"/>
      <c r="AO1941" s="279" t="s">
        <v>772</v>
      </c>
      <c r="AP1941" s="279" t="s">
        <v>772</v>
      </c>
      <c r="AQ1941" s="271" t="s">
        <v>2125</v>
      </c>
      <c r="AR1941" s="271" t="s">
        <v>2125</v>
      </c>
      <c r="AS1941" s="92" t="s">
        <v>177</v>
      </c>
      <c r="AT1941" s="278" t="s">
        <v>161</v>
      </c>
      <c r="AU1941" s="278"/>
      <c r="AV1941" s="283" t="s">
        <v>2025</v>
      </c>
      <c r="AW1941" s="253" t="s">
        <v>160</v>
      </c>
      <c r="AX1941" s="279">
        <v>4</v>
      </c>
      <c r="AY1941" s="279">
        <v>4</v>
      </c>
      <c r="AZ1941" s="278" t="s">
        <v>141</v>
      </c>
      <c r="BA1941" s="278"/>
      <c r="BB1941" s="278"/>
      <c r="BC1941" s="278"/>
      <c r="BD1941" s="278"/>
      <c r="BE1941" s="278"/>
      <c r="BK1941" s="279"/>
      <c r="BL1941" s="279"/>
      <c r="BM1941" s="278"/>
      <c r="BP1941" s="443">
        <f t="shared" si="286"/>
        <v>1.536</v>
      </c>
      <c r="BQ1941" s="443">
        <v>1.516</v>
      </c>
      <c r="BU1941" s="446">
        <v>0.63151041666666663</v>
      </c>
      <c r="BV1941" s="446">
        <v>0.65104166666666674</v>
      </c>
      <c r="BZ1941" s="284">
        <v>9.6999999999999993</v>
      </c>
      <c r="CA1941" s="284">
        <v>9.8697916666666679</v>
      </c>
      <c r="CB1941" s="284">
        <v>1</v>
      </c>
      <c r="CC1941" s="284">
        <v>1</v>
      </c>
      <c r="CD1941" s="22" t="s">
        <v>992</v>
      </c>
      <c r="CE1941" s="590">
        <v>9.6999999999999993</v>
      </c>
      <c r="CF1941" s="590">
        <v>9.8697916666666679</v>
      </c>
      <c r="CG1941" s="590"/>
      <c r="CH1941" s="590"/>
      <c r="CI1941" s="22" t="s">
        <v>4546</v>
      </c>
      <c r="JB1941" s="279" t="s">
        <v>2083</v>
      </c>
      <c r="JC1941" s="278"/>
      <c r="JD1941" s="285"/>
    </row>
    <row r="1942" spans="1:264" s="284" customFormat="1" x14ac:dyDescent="0.25">
      <c r="A1942" s="277">
        <v>91</v>
      </c>
      <c r="B1942" s="542" t="s">
        <v>4173</v>
      </c>
      <c r="C1942" s="277" t="s">
        <v>768</v>
      </c>
      <c r="D1942" s="278" t="s">
        <v>2118</v>
      </c>
      <c r="E1942" s="277">
        <v>2006</v>
      </c>
      <c r="F1942" s="278">
        <v>1999</v>
      </c>
      <c r="G1942" s="277" t="s">
        <v>946</v>
      </c>
      <c r="H1942" s="277" t="s">
        <v>2032</v>
      </c>
      <c r="I1942" s="252" t="s">
        <v>2815</v>
      </c>
      <c r="J1942" s="278">
        <v>32.56</v>
      </c>
      <c r="K1942" s="278">
        <v>-83.91</v>
      </c>
      <c r="L1942" s="279">
        <v>16</v>
      </c>
      <c r="M1942" s="279">
        <v>18.100000000000001</v>
      </c>
      <c r="N1942" s="278"/>
      <c r="O1942" s="279">
        <v>1258</v>
      </c>
      <c r="P1942" s="278"/>
      <c r="Q1942" s="278"/>
      <c r="R1942" s="279">
        <v>6</v>
      </c>
      <c r="S1942" s="280" t="s">
        <v>1975</v>
      </c>
      <c r="U1942" s="280" t="s">
        <v>2102</v>
      </c>
      <c r="V1942" s="281" t="s">
        <v>1408</v>
      </c>
      <c r="W1942" s="281">
        <v>20</v>
      </c>
      <c r="X1942" s="281" t="s">
        <v>1388</v>
      </c>
      <c r="Y1942" s="281" t="s">
        <v>1417</v>
      </c>
      <c r="Z1942" s="282">
        <f>AVERAGE(Sheet1!BP1942:BQ1942)</f>
        <v>1.5189999999999999</v>
      </c>
      <c r="AA1942" s="366">
        <v>65</v>
      </c>
      <c r="AB1942" s="366">
        <v>25</v>
      </c>
      <c r="AC1942" s="278" t="s">
        <v>240</v>
      </c>
      <c r="AD1942" s="278"/>
      <c r="AE1942" s="278"/>
      <c r="AF1942" s="278"/>
      <c r="AG1942" s="277" t="s">
        <v>2029</v>
      </c>
      <c r="AH1942" s="279" t="s">
        <v>243</v>
      </c>
      <c r="AI1942" s="278" t="s">
        <v>577</v>
      </c>
      <c r="AJ1942" s="279" t="s">
        <v>2027</v>
      </c>
      <c r="AK1942" s="278" t="s">
        <v>1646</v>
      </c>
      <c r="AL1942" s="278"/>
      <c r="AM1942" s="278"/>
      <c r="AN1942" s="278"/>
      <c r="AO1942" s="279" t="s">
        <v>772</v>
      </c>
      <c r="AP1942" s="279" t="s">
        <v>772</v>
      </c>
      <c r="AQ1942" s="271" t="s">
        <v>2125</v>
      </c>
      <c r="AR1942" s="271" t="s">
        <v>2125</v>
      </c>
      <c r="AS1942" s="92" t="s">
        <v>2115</v>
      </c>
      <c r="AT1942" s="278" t="s">
        <v>161</v>
      </c>
      <c r="AU1942" s="278"/>
      <c r="AV1942" s="283" t="s">
        <v>2025</v>
      </c>
      <c r="AW1942" s="253" t="s">
        <v>160</v>
      </c>
      <c r="AX1942" s="279">
        <v>4</v>
      </c>
      <c r="AY1942" s="279">
        <v>4</v>
      </c>
      <c r="AZ1942" s="278" t="s">
        <v>141</v>
      </c>
      <c r="BA1942" s="278"/>
      <c r="BB1942" s="278"/>
      <c r="BC1942" s="278"/>
      <c r="BD1942" s="278"/>
      <c r="BE1942" s="278"/>
      <c r="BK1942" s="279"/>
      <c r="BL1942" s="279"/>
      <c r="BM1942" s="278"/>
      <c r="BP1942" s="443">
        <f t="shared" si="286"/>
        <v>1.5289999999999999</v>
      </c>
      <c r="BQ1942" s="443">
        <v>1.5089999999999999</v>
      </c>
      <c r="BU1942" s="446">
        <v>0.44800523217789401</v>
      </c>
      <c r="BV1942" s="446">
        <v>0.46762589928057557</v>
      </c>
      <c r="BZ1942" s="284">
        <v>13.7</v>
      </c>
      <c r="CA1942" s="284">
        <v>14.11294964028777</v>
      </c>
      <c r="CB1942" s="284">
        <v>2.2999999999999998</v>
      </c>
      <c r="CC1942" s="284">
        <v>2.2999999999999998</v>
      </c>
      <c r="CD1942" s="22" t="s">
        <v>992</v>
      </c>
      <c r="CE1942" s="590">
        <v>13.7</v>
      </c>
      <c r="CF1942" s="590">
        <v>14.11294964028777</v>
      </c>
      <c r="CG1942" s="590"/>
      <c r="CH1942" s="590"/>
      <c r="CI1942" s="22" t="s">
        <v>4546</v>
      </c>
      <c r="JB1942" s="279" t="s">
        <v>2083</v>
      </c>
      <c r="JC1942" s="278"/>
      <c r="JD1942" s="285"/>
    </row>
    <row r="1943" spans="1:264" s="284" customFormat="1" x14ac:dyDescent="0.25">
      <c r="A1943" s="277">
        <v>91</v>
      </c>
      <c r="B1943" s="542" t="s">
        <v>4174</v>
      </c>
      <c r="C1943" s="277" t="s">
        <v>768</v>
      </c>
      <c r="D1943" s="278" t="s">
        <v>2118</v>
      </c>
      <c r="E1943" s="277">
        <v>2006</v>
      </c>
      <c r="F1943" s="278">
        <v>1999</v>
      </c>
      <c r="G1943" s="277" t="s">
        <v>946</v>
      </c>
      <c r="H1943" s="277" t="s">
        <v>2032</v>
      </c>
      <c r="I1943" s="252" t="s">
        <v>2815</v>
      </c>
      <c r="J1943" s="278">
        <v>32.56</v>
      </c>
      <c r="K1943" s="278">
        <v>-83.91</v>
      </c>
      <c r="L1943" s="279">
        <v>16</v>
      </c>
      <c r="M1943" s="279">
        <v>18.100000000000001</v>
      </c>
      <c r="N1943" s="278"/>
      <c r="O1943" s="279">
        <v>1258</v>
      </c>
      <c r="P1943" s="278"/>
      <c r="Q1943" s="278"/>
      <c r="R1943" s="279">
        <v>6</v>
      </c>
      <c r="S1943" s="280" t="s">
        <v>1975</v>
      </c>
      <c r="U1943" s="280" t="s">
        <v>2102</v>
      </c>
      <c r="V1943" s="281" t="s">
        <v>1402</v>
      </c>
      <c r="W1943" s="281">
        <v>30</v>
      </c>
      <c r="X1943" s="281" t="s">
        <v>1388</v>
      </c>
      <c r="Y1943" s="281" t="s">
        <v>1417</v>
      </c>
      <c r="Z1943" s="282">
        <f>AVERAGE(Sheet1!BP1943:BQ1943)</f>
        <v>1.43</v>
      </c>
      <c r="AA1943" s="366">
        <v>65</v>
      </c>
      <c r="AB1943" s="366">
        <v>25</v>
      </c>
      <c r="AC1943" s="278" t="s">
        <v>240</v>
      </c>
      <c r="AD1943" s="278"/>
      <c r="AE1943" s="278"/>
      <c r="AF1943" s="278"/>
      <c r="AG1943" s="277" t="s">
        <v>2029</v>
      </c>
      <c r="AH1943" s="279" t="s">
        <v>243</v>
      </c>
      <c r="AI1943" s="278" t="s">
        <v>577</v>
      </c>
      <c r="AJ1943" s="279" t="s">
        <v>2027</v>
      </c>
      <c r="AK1943" s="278" t="s">
        <v>1646</v>
      </c>
      <c r="AL1943" s="278"/>
      <c r="AM1943" s="278"/>
      <c r="AN1943" s="278"/>
      <c r="AO1943" s="279" t="s">
        <v>772</v>
      </c>
      <c r="AP1943" s="279" t="s">
        <v>772</v>
      </c>
      <c r="AQ1943" s="271" t="s">
        <v>2125</v>
      </c>
      <c r="AR1943" s="271" t="s">
        <v>2125</v>
      </c>
      <c r="AS1943" s="92" t="s">
        <v>177</v>
      </c>
      <c r="AT1943" s="278" t="s">
        <v>161</v>
      </c>
      <c r="AU1943" s="278"/>
      <c r="AV1943" s="283" t="s">
        <v>2025</v>
      </c>
      <c r="AW1943" s="253" t="s">
        <v>160</v>
      </c>
      <c r="AX1943" s="279">
        <v>4</v>
      </c>
      <c r="AY1943" s="279">
        <v>4</v>
      </c>
      <c r="AZ1943" s="278" t="s">
        <v>141</v>
      </c>
      <c r="BA1943" s="278"/>
      <c r="BB1943" s="278"/>
      <c r="BC1943" s="278"/>
      <c r="BD1943" s="278"/>
      <c r="BE1943" s="278"/>
      <c r="BK1943" s="279"/>
      <c r="BL1943" s="279"/>
      <c r="BM1943" s="278"/>
      <c r="BP1943" s="443">
        <f t="shared" si="286"/>
        <v>1.44</v>
      </c>
      <c r="BQ1943" s="443">
        <v>1.42</v>
      </c>
      <c r="BU1943" s="446">
        <v>0.22916666666666666</v>
      </c>
      <c r="BV1943" s="446">
        <v>0.22453703703703703</v>
      </c>
      <c r="BZ1943" s="284">
        <v>9.9</v>
      </c>
      <c r="CA1943" s="284">
        <v>9.5652777777777764</v>
      </c>
      <c r="CB1943" s="284">
        <v>3.4</v>
      </c>
      <c r="CC1943" s="284">
        <v>3.4</v>
      </c>
      <c r="CD1943" s="22" t="s">
        <v>992</v>
      </c>
      <c r="CE1943" s="590">
        <v>9.9</v>
      </c>
      <c r="CF1943" s="590">
        <v>9.5652777777777764</v>
      </c>
      <c r="CG1943" s="590"/>
      <c r="CH1943" s="590"/>
      <c r="CI1943" s="22" t="s">
        <v>4546</v>
      </c>
      <c r="JB1943" s="279" t="s">
        <v>2083</v>
      </c>
      <c r="JC1943" s="278"/>
      <c r="JD1943" s="285"/>
    </row>
    <row r="1944" spans="1:264" s="284" customFormat="1" x14ac:dyDescent="0.25">
      <c r="A1944" s="277">
        <v>91</v>
      </c>
      <c r="B1944" s="542" t="s">
        <v>4175</v>
      </c>
      <c r="C1944" s="277" t="s">
        <v>768</v>
      </c>
      <c r="D1944" s="278" t="s">
        <v>2118</v>
      </c>
      <c r="E1944" s="277">
        <v>2006</v>
      </c>
      <c r="F1944" s="278">
        <v>1999</v>
      </c>
      <c r="G1944" s="277" t="s">
        <v>946</v>
      </c>
      <c r="H1944" s="277" t="s">
        <v>2032</v>
      </c>
      <c r="I1944" s="252" t="s">
        <v>2815</v>
      </c>
      <c r="J1944" s="278">
        <v>32.56</v>
      </c>
      <c r="K1944" s="278">
        <v>-83.91</v>
      </c>
      <c r="L1944" s="279">
        <v>16</v>
      </c>
      <c r="M1944" s="279">
        <v>18.100000000000001</v>
      </c>
      <c r="N1944" s="278"/>
      <c r="O1944" s="279">
        <v>1258</v>
      </c>
      <c r="P1944" s="278"/>
      <c r="Q1944" s="278"/>
      <c r="R1944" s="279">
        <v>6</v>
      </c>
      <c r="S1944" s="280" t="s">
        <v>1975</v>
      </c>
      <c r="U1944" s="280" t="s">
        <v>2102</v>
      </c>
      <c r="V1944" s="281" t="s">
        <v>1403</v>
      </c>
      <c r="W1944" s="281">
        <v>30</v>
      </c>
      <c r="X1944" s="281" t="s">
        <v>1388</v>
      </c>
      <c r="Y1944" s="281" t="s">
        <v>1417</v>
      </c>
      <c r="Z1944" s="282">
        <f>AVERAGE(Sheet1!BP1944:BQ1944)</f>
        <v>1.6160000000000001</v>
      </c>
      <c r="AA1944" s="366">
        <v>65</v>
      </c>
      <c r="AB1944" s="366">
        <v>25</v>
      </c>
      <c r="AC1944" s="278" t="s">
        <v>240</v>
      </c>
      <c r="AD1944" s="278"/>
      <c r="AE1944" s="278"/>
      <c r="AF1944" s="278"/>
      <c r="AG1944" s="277" t="s">
        <v>2029</v>
      </c>
      <c r="AH1944" s="279" t="s">
        <v>243</v>
      </c>
      <c r="AI1944" s="278" t="s">
        <v>577</v>
      </c>
      <c r="AJ1944" s="279" t="s">
        <v>2027</v>
      </c>
      <c r="AK1944" s="278" t="s">
        <v>1646</v>
      </c>
      <c r="AL1944" s="278"/>
      <c r="AM1944" s="278"/>
      <c r="AN1944" s="278"/>
      <c r="AO1944" s="279" t="s">
        <v>772</v>
      </c>
      <c r="AP1944" s="279" t="s">
        <v>772</v>
      </c>
      <c r="AQ1944" s="271" t="s">
        <v>2125</v>
      </c>
      <c r="AR1944" s="271" t="s">
        <v>2125</v>
      </c>
      <c r="AS1944" s="92" t="s">
        <v>2115</v>
      </c>
      <c r="AT1944" s="278" t="s">
        <v>161</v>
      </c>
      <c r="AU1944" s="278"/>
      <c r="AV1944" s="283" t="s">
        <v>2025</v>
      </c>
      <c r="AW1944" s="253" t="s">
        <v>160</v>
      </c>
      <c r="AX1944" s="279">
        <v>4</v>
      </c>
      <c r="AY1944" s="279">
        <v>4</v>
      </c>
      <c r="AZ1944" s="278" t="s">
        <v>141</v>
      </c>
      <c r="BA1944" s="278"/>
      <c r="BB1944" s="278"/>
      <c r="BC1944" s="278"/>
      <c r="BD1944" s="278"/>
      <c r="BE1944" s="278"/>
      <c r="BK1944" s="279"/>
      <c r="BL1944" s="279"/>
      <c r="BM1944" s="278"/>
      <c r="BP1944" s="443">
        <f t="shared" si="286"/>
        <v>1.6260000000000001</v>
      </c>
      <c r="BQ1944" s="443">
        <v>1.6060000000000001</v>
      </c>
      <c r="BU1944" s="446">
        <v>0.14145141451414511</v>
      </c>
      <c r="BV1944" s="446">
        <v>0.1332513325133251</v>
      </c>
      <c r="BZ1944" s="284">
        <v>6.8999999999999995</v>
      </c>
      <c r="CA1944" s="284">
        <v>6.4200492004920031</v>
      </c>
      <c r="CB1944" s="284">
        <v>3.4</v>
      </c>
      <c r="CC1944" s="284">
        <v>3.4</v>
      </c>
      <c r="CD1944" s="22" t="s">
        <v>992</v>
      </c>
      <c r="CE1944" s="590">
        <v>6.8999999999999995</v>
      </c>
      <c r="CF1944" s="590">
        <v>6.4200492004920031</v>
      </c>
      <c r="CG1944" s="590"/>
      <c r="CH1944" s="590"/>
      <c r="CI1944" s="22" t="s">
        <v>4546</v>
      </c>
      <c r="JB1944" s="279" t="s">
        <v>2083</v>
      </c>
      <c r="JC1944" s="278"/>
      <c r="JD1944" s="285"/>
    </row>
    <row r="1945" spans="1:264" s="284" customFormat="1" x14ac:dyDescent="0.25">
      <c r="A1945" s="277">
        <v>91</v>
      </c>
      <c r="B1945" s="542" t="s">
        <v>4176</v>
      </c>
      <c r="C1945" s="277" t="s">
        <v>768</v>
      </c>
      <c r="D1945" s="278" t="s">
        <v>2118</v>
      </c>
      <c r="E1945" s="277">
        <v>2006</v>
      </c>
      <c r="F1945" s="278">
        <v>1999</v>
      </c>
      <c r="G1945" s="277" t="s">
        <v>946</v>
      </c>
      <c r="H1945" s="277" t="s">
        <v>2032</v>
      </c>
      <c r="I1945" s="252" t="s">
        <v>2815</v>
      </c>
      <c r="J1945" s="278">
        <v>32.56</v>
      </c>
      <c r="K1945" s="278">
        <v>-83.91</v>
      </c>
      <c r="L1945" s="279">
        <v>16</v>
      </c>
      <c r="M1945" s="279">
        <v>18.100000000000001</v>
      </c>
      <c r="N1945" s="278"/>
      <c r="O1945" s="279">
        <v>1258</v>
      </c>
      <c r="P1945" s="278"/>
      <c r="Q1945" s="278"/>
      <c r="R1945" s="279">
        <v>6</v>
      </c>
      <c r="S1945" s="280" t="s">
        <v>1975</v>
      </c>
      <c r="U1945" s="280" t="s">
        <v>2102</v>
      </c>
      <c r="V1945" s="281" t="s">
        <v>1415</v>
      </c>
      <c r="W1945" s="281">
        <v>30</v>
      </c>
      <c r="X1945" s="281" t="s">
        <v>1388</v>
      </c>
      <c r="Y1945" s="281" t="s">
        <v>1417</v>
      </c>
      <c r="Z1945" s="282">
        <f>AVERAGE(Sheet1!BP1945:BQ1945)</f>
        <v>1.605</v>
      </c>
      <c r="AA1945" s="366">
        <v>65</v>
      </c>
      <c r="AB1945" s="366">
        <v>25</v>
      </c>
      <c r="AC1945" s="278" t="s">
        <v>240</v>
      </c>
      <c r="AD1945" s="278"/>
      <c r="AE1945" s="278"/>
      <c r="AF1945" s="278"/>
      <c r="AG1945" s="277" t="s">
        <v>2029</v>
      </c>
      <c r="AH1945" s="279" t="s">
        <v>243</v>
      </c>
      <c r="AI1945" s="278" t="s">
        <v>577</v>
      </c>
      <c r="AJ1945" s="279" t="s">
        <v>2027</v>
      </c>
      <c r="AK1945" s="278" t="s">
        <v>1646</v>
      </c>
      <c r="AL1945" s="278"/>
      <c r="AM1945" s="278"/>
      <c r="AN1945" s="278"/>
      <c r="AO1945" s="279" t="s">
        <v>772</v>
      </c>
      <c r="AP1945" s="279" t="s">
        <v>772</v>
      </c>
      <c r="AQ1945" s="271" t="s">
        <v>2125</v>
      </c>
      <c r="AR1945" s="271" t="s">
        <v>2125</v>
      </c>
      <c r="AS1945" s="92" t="s">
        <v>177</v>
      </c>
      <c r="AT1945" s="278" t="s">
        <v>161</v>
      </c>
      <c r="AU1945" s="278"/>
      <c r="AV1945" s="283" t="s">
        <v>2025</v>
      </c>
      <c r="AW1945" s="253" t="s">
        <v>160</v>
      </c>
      <c r="AX1945" s="279">
        <v>4</v>
      </c>
      <c r="AY1945" s="279">
        <v>4</v>
      </c>
      <c r="AZ1945" s="278" t="s">
        <v>141</v>
      </c>
      <c r="BA1945" s="278"/>
      <c r="BB1945" s="278"/>
      <c r="BC1945" s="278"/>
      <c r="BD1945" s="278"/>
      <c r="BE1945" s="278"/>
      <c r="BK1945" s="279"/>
      <c r="BL1945" s="279"/>
      <c r="BM1945" s="278"/>
      <c r="BP1945" s="443">
        <f t="shared" si="286"/>
        <v>1.615</v>
      </c>
      <c r="BQ1945" s="443">
        <v>1.595</v>
      </c>
      <c r="BU1945" s="446">
        <v>0.12590299277605779</v>
      </c>
      <c r="BV1945" s="446">
        <v>0.11971104231166151</v>
      </c>
      <c r="BZ1945" s="284">
        <v>6.1</v>
      </c>
      <c r="CA1945" s="284">
        <v>5.7281733746130028</v>
      </c>
      <c r="CB1945" s="284">
        <v>2.2000000000000002</v>
      </c>
      <c r="CC1945" s="284">
        <v>2.2000000000000002</v>
      </c>
      <c r="CD1945" s="22" t="s">
        <v>992</v>
      </c>
      <c r="CE1945" s="590">
        <v>6.1</v>
      </c>
      <c r="CF1945" s="590">
        <v>5.7281733746130028</v>
      </c>
      <c r="CG1945" s="590"/>
      <c r="CH1945" s="590"/>
      <c r="CI1945" s="22" t="s">
        <v>4546</v>
      </c>
      <c r="JB1945" s="279" t="s">
        <v>2083</v>
      </c>
      <c r="JC1945" s="278"/>
      <c r="JD1945" s="285"/>
    </row>
    <row r="1946" spans="1:264" s="22" customFormat="1" x14ac:dyDescent="0.25">
      <c r="A1946" s="269">
        <v>91</v>
      </c>
      <c r="B1946" s="541" t="s">
        <v>4177</v>
      </c>
      <c r="C1946" s="269" t="s">
        <v>768</v>
      </c>
      <c r="D1946" s="270" t="s">
        <v>2118</v>
      </c>
      <c r="E1946" s="269">
        <v>2006</v>
      </c>
      <c r="F1946" s="270">
        <v>1999</v>
      </c>
      <c r="G1946" s="269" t="s">
        <v>946</v>
      </c>
      <c r="H1946" s="269" t="s">
        <v>2032</v>
      </c>
      <c r="I1946" s="252" t="s">
        <v>2815</v>
      </c>
      <c r="J1946" s="270">
        <v>32.56</v>
      </c>
      <c r="K1946" s="270">
        <v>-83.91</v>
      </c>
      <c r="L1946" s="271">
        <v>16</v>
      </c>
      <c r="M1946" s="271">
        <v>18.100000000000001</v>
      </c>
      <c r="N1946" s="270"/>
      <c r="O1946" s="271">
        <v>1258</v>
      </c>
      <c r="P1946" s="270"/>
      <c r="Q1946" s="270"/>
      <c r="R1946" s="271">
        <v>6</v>
      </c>
      <c r="S1946" s="272" t="s">
        <v>1975</v>
      </c>
      <c r="U1946" s="272" t="s">
        <v>2102</v>
      </c>
      <c r="V1946" s="273" t="s">
        <v>1388</v>
      </c>
      <c r="W1946" s="273">
        <v>10</v>
      </c>
      <c r="X1946" s="273" t="s">
        <v>1388</v>
      </c>
      <c r="Y1946" s="273" t="s">
        <v>1417</v>
      </c>
      <c r="Z1946" s="274">
        <f>AVERAGE(Sheet1!BP1946:BQ1946)</f>
        <v>1.526</v>
      </c>
      <c r="AA1946" s="365">
        <v>65</v>
      </c>
      <c r="AB1946" s="365">
        <v>25</v>
      </c>
      <c r="AC1946" s="270" t="s">
        <v>240</v>
      </c>
      <c r="AD1946" s="270"/>
      <c r="AE1946" s="270"/>
      <c r="AF1946" s="270"/>
      <c r="AG1946" s="269" t="s">
        <v>2029</v>
      </c>
      <c r="AH1946" s="271" t="s">
        <v>243</v>
      </c>
      <c r="AI1946" s="270" t="s">
        <v>577</v>
      </c>
      <c r="AJ1946" s="271" t="s">
        <v>2027</v>
      </c>
      <c r="AK1946" s="270" t="s">
        <v>1646</v>
      </c>
      <c r="AL1946" s="270"/>
      <c r="AM1946" s="270"/>
      <c r="AN1946" s="270"/>
      <c r="AO1946" s="271" t="s">
        <v>772</v>
      </c>
      <c r="AP1946" s="271" t="s">
        <v>772</v>
      </c>
      <c r="AQ1946" s="271" t="s">
        <v>2125</v>
      </c>
      <c r="AR1946" s="271" t="s">
        <v>2125</v>
      </c>
      <c r="AS1946" s="92" t="s">
        <v>2115</v>
      </c>
      <c r="AT1946" s="270" t="s">
        <v>2031</v>
      </c>
      <c r="AU1946" s="270"/>
      <c r="AV1946" s="275" t="s">
        <v>2025</v>
      </c>
      <c r="AW1946" s="253" t="s">
        <v>160</v>
      </c>
      <c r="AX1946" s="271">
        <v>4</v>
      </c>
      <c r="AY1946" s="271">
        <v>4</v>
      </c>
      <c r="AZ1946" s="270" t="s">
        <v>141</v>
      </c>
      <c r="BA1946" s="270"/>
      <c r="BB1946" s="270"/>
      <c r="BC1946" s="270"/>
      <c r="BD1946" s="270"/>
      <c r="BE1946" s="270"/>
      <c r="BK1946" s="271"/>
      <c r="BL1946" s="271"/>
      <c r="BM1946" s="270"/>
      <c r="BP1946" s="442">
        <f t="shared" si="286"/>
        <v>1.536</v>
      </c>
      <c r="BQ1946" s="442">
        <v>1.516</v>
      </c>
      <c r="BU1946" s="463">
        <v>0.57291666666666674</v>
      </c>
      <c r="BV1946" s="463">
        <v>0.64453125</v>
      </c>
      <c r="BZ1946" s="22">
        <v>8.8000000000000007</v>
      </c>
      <c r="CA1946" s="22">
        <v>9.7710937499999986</v>
      </c>
      <c r="CB1946" s="22">
        <v>1</v>
      </c>
      <c r="CC1946" s="22">
        <v>1</v>
      </c>
      <c r="CD1946" s="22" t="s">
        <v>992</v>
      </c>
      <c r="CE1946" s="552">
        <v>8.8000000000000007</v>
      </c>
      <c r="CF1946" s="552">
        <v>9.7710937499999986</v>
      </c>
      <c r="CG1946" s="552"/>
      <c r="CH1946" s="552"/>
      <c r="CI1946" s="22" t="s">
        <v>4546</v>
      </c>
      <c r="JB1946" s="271" t="s">
        <v>2083</v>
      </c>
      <c r="JC1946" s="270"/>
      <c r="JD1946" s="276"/>
    </row>
    <row r="1947" spans="1:264" s="22" customFormat="1" x14ac:dyDescent="0.25">
      <c r="A1947" s="269">
        <v>91</v>
      </c>
      <c r="B1947" s="541" t="s">
        <v>4178</v>
      </c>
      <c r="C1947" s="269" t="s">
        <v>768</v>
      </c>
      <c r="D1947" s="270" t="s">
        <v>2118</v>
      </c>
      <c r="E1947" s="269">
        <v>2006</v>
      </c>
      <c r="F1947" s="270">
        <v>1999</v>
      </c>
      <c r="G1947" s="269" t="s">
        <v>946</v>
      </c>
      <c r="H1947" s="269" t="s">
        <v>2032</v>
      </c>
      <c r="I1947" s="252" t="s">
        <v>2815</v>
      </c>
      <c r="J1947" s="270">
        <v>32.56</v>
      </c>
      <c r="K1947" s="270">
        <v>-83.91</v>
      </c>
      <c r="L1947" s="271">
        <v>16</v>
      </c>
      <c r="M1947" s="271">
        <v>18.100000000000001</v>
      </c>
      <c r="N1947" s="270"/>
      <c r="O1947" s="271">
        <v>1258</v>
      </c>
      <c r="P1947" s="270"/>
      <c r="Q1947" s="270"/>
      <c r="R1947" s="271">
        <v>6</v>
      </c>
      <c r="S1947" s="272" t="s">
        <v>1975</v>
      </c>
      <c r="U1947" s="272" t="s">
        <v>2102</v>
      </c>
      <c r="V1947" s="273" t="s">
        <v>1408</v>
      </c>
      <c r="W1947" s="273">
        <v>20</v>
      </c>
      <c r="X1947" s="273" t="s">
        <v>1388</v>
      </c>
      <c r="Y1947" s="273" t="s">
        <v>1417</v>
      </c>
      <c r="Z1947" s="274">
        <f>AVERAGE(Sheet1!BP1947:BQ1947)</f>
        <v>1.5189999999999999</v>
      </c>
      <c r="AA1947" s="365">
        <v>65</v>
      </c>
      <c r="AB1947" s="365">
        <v>25</v>
      </c>
      <c r="AC1947" s="270" t="s">
        <v>240</v>
      </c>
      <c r="AD1947" s="270"/>
      <c r="AE1947" s="270"/>
      <c r="AF1947" s="270"/>
      <c r="AG1947" s="269" t="s">
        <v>2029</v>
      </c>
      <c r="AH1947" s="271" t="s">
        <v>243</v>
      </c>
      <c r="AI1947" s="270" t="s">
        <v>577</v>
      </c>
      <c r="AJ1947" s="271" t="s">
        <v>2027</v>
      </c>
      <c r="AK1947" s="270" t="s">
        <v>1646</v>
      </c>
      <c r="AL1947" s="270"/>
      <c r="AM1947" s="270"/>
      <c r="AN1947" s="270"/>
      <c r="AO1947" s="271" t="s">
        <v>772</v>
      </c>
      <c r="AP1947" s="271" t="s">
        <v>772</v>
      </c>
      <c r="AQ1947" s="271" t="s">
        <v>2125</v>
      </c>
      <c r="AR1947" s="271" t="s">
        <v>2125</v>
      </c>
      <c r="AS1947" s="92" t="s">
        <v>177</v>
      </c>
      <c r="AT1947" s="270" t="s">
        <v>2031</v>
      </c>
      <c r="AU1947" s="270"/>
      <c r="AV1947" s="275" t="s">
        <v>2025</v>
      </c>
      <c r="AW1947" s="253" t="s">
        <v>160</v>
      </c>
      <c r="AX1947" s="271">
        <v>4</v>
      </c>
      <c r="AY1947" s="271">
        <v>4</v>
      </c>
      <c r="AZ1947" s="270" t="s">
        <v>141</v>
      </c>
      <c r="BA1947" s="270"/>
      <c r="BB1947" s="270"/>
      <c r="BC1947" s="270"/>
      <c r="BD1947" s="270"/>
      <c r="BE1947" s="270"/>
      <c r="BK1947" s="271"/>
      <c r="BL1947" s="271"/>
      <c r="BM1947" s="270"/>
      <c r="BP1947" s="442">
        <f t="shared" si="286"/>
        <v>1.5289999999999999</v>
      </c>
      <c r="BQ1947" s="442">
        <v>1.5089999999999999</v>
      </c>
      <c r="BU1947" s="463">
        <v>0.45781556572923476</v>
      </c>
      <c r="BV1947" s="463">
        <v>0.47416612164813599</v>
      </c>
      <c r="BZ1947" s="22">
        <v>13.999999999999998</v>
      </c>
      <c r="CA1947" s="22">
        <v>14.310333551340742</v>
      </c>
      <c r="CB1947" s="22">
        <v>2.2999999999999998</v>
      </c>
      <c r="CC1947" s="22">
        <v>2.2999999999999998</v>
      </c>
      <c r="CD1947" s="22" t="s">
        <v>992</v>
      </c>
      <c r="CE1947" s="552">
        <v>13.999999999999998</v>
      </c>
      <c r="CF1947" s="552">
        <v>14.310333551340742</v>
      </c>
      <c r="CG1947" s="552"/>
      <c r="CH1947" s="552"/>
      <c r="CI1947" s="22" t="s">
        <v>4546</v>
      </c>
      <c r="JB1947" s="271" t="s">
        <v>2083</v>
      </c>
      <c r="JC1947" s="270"/>
      <c r="JD1947" s="276"/>
    </row>
    <row r="1948" spans="1:264" s="22" customFormat="1" x14ac:dyDescent="0.25">
      <c r="A1948" s="269">
        <v>91</v>
      </c>
      <c r="B1948" s="541" t="s">
        <v>4179</v>
      </c>
      <c r="C1948" s="269" t="s">
        <v>768</v>
      </c>
      <c r="D1948" s="270" t="s">
        <v>2118</v>
      </c>
      <c r="E1948" s="269">
        <v>2006</v>
      </c>
      <c r="F1948" s="270">
        <v>1999</v>
      </c>
      <c r="G1948" s="269" t="s">
        <v>946</v>
      </c>
      <c r="H1948" s="269" t="s">
        <v>2032</v>
      </c>
      <c r="I1948" s="252" t="s">
        <v>2815</v>
      </c>
      <c r="J1948" s="270">
        <v>32.56</v>
      </c>
      <c r="K1948" s="270">
        <v>-83.91</v>
      </c>
      <c r="L1948" s="271">
        <v>16</v>
      </c>
      <c r="M1948" s="271">
        <v>18.100000000000001</v>
      </c>
      <c r="N1948" s="270"/>
      <c r="O1948" s="271">
        <v>1258</v>
      </c>
      <c r="P1948" s="270"/>
      <c r="Q1948" s="270"/>
      <c r="R1948" s="271">
        <v>6</v>
      </c>
      <c r="S1948" s="272" t="s">
        <v>1975</v>
      </c>
      <c r="U1948" s="272" t="s">
        <v>2102</v>
      </c>
      <c r="V1948" s="273" t="s">
        <v>1402</v>
      </c>
      <c r="W1948" s="273">
        <v>30</v>
      </c>
      <c r="X1948" s="273" t="s">
        <v>1388</v>
      </c>
      <c r="Y1948" s="273" t="s">
        <v>1417</v>
      </c>
      <c r="Z1948" s="274">
        <f>AVERAGE(Sheet1!BP1948:BQ1948)</f>
        <v>1.43</v>
      </c>
      <c r="AA1948" s="365">
        <v>65</v>
      </c>
      <c r="AB1948" s="365">
        <v>25</v>
      </c>
      <c r="AC1948" s="270" t="s">
        <v>240</v>
      </c>
      <c r="AD1948" s="270"/>
      <c r="AE1948" s="270"/>
      <c r="AF1948" s="270"/>
      <c r="AG1948" s="269" t="s">
        <v>2029</v>
      </c>
      <c r="AH1948" s="271" t="s">
        <v>243</v>
      </c>
      <c r="AI1948" s="270" t="s">
        <v>577</v>
      </c>
      <c r="AJ1948" s="271" t="s">
        <v>2027</v>
      </c>
      <c r="AK1948" s="270" t="s">
        <v>1646</v>
      </c>
      <c r="AL1948" s="270"/>
      <c r="AM1948" s="270"/>
      <c r="AN1948" s="270"/>
      <c r="AO1948" s="271" t="s">
        <v>772</v>
      </c>
      <c r="AP1948" s="271" t="s">
        <v>772</v>
      </c>
      <c r="AQ1948" s="271" t="s">
        <v>2125</v>
      </c>
      <c r="AR1948" s="271" t="s">
        <v>2125</v>
      </c>
      <c r="AS1948" s="92" t="s">
        <v>2115</v>
      </c>
      <c r="AT1948" s="270" t="s">
        <v>2031</v>
      </c>
      <c r="AU1948" s="270"/>
      <c r="AV1948" s="275" t="s">
        <v>2025</v>
      </c>
      <c r="AW1948" s="253" t="s">
        <v>160</v>
      </c>
      <c r="AX1948" s="271">
        <v>4</v>
      </c>
      <c r="AY1948" s="271">
        <v>4</v>
      </c>
      <c r="AZ1948" s="270" t="s">
        <v>141</v>
      </c>
      <c r="BA1948" s="270"/>
      <c r="BB1948" s="270"/>
      <c r="BC1948" s="270"/>
      <c r="BD1948" s="270"/>
      <c r="BE1948" s="270"/>
      <c r="BK1948" s="271"/>
      <c r="BL1948" s="271"/>
      <c r="BM1948" s="270"/>
      <c r="BP1948" s="442">
        <f t="shared" si="286"/>
        <v>1.44</v>
      </c>
      <c r="BQ1948" s="442">
        <v>1.42</v>
      </c>
      <c r="BU1948" s="463">
        <v>0.23379629629629628</v>
      </c>
      <c r="BV1948" s="463">
        <v>0.21296296296296294</v>
      </c>
      <c r="BZ1948" s="22">
        <v>10.099999999999998</v>
      </c>
      <c r="CA1948" s="22">
        <v>9.0722222222222211</v>
      </c>
      <c r="CB1948" s="22">
        <v>3.4</v>
      </c>
      <c r="CC1948" s="22">
        <v>3.4</v>
      </c>
      <c r="CD1948" s="22" t="s">
        <v>992</v>
      </c>
      <c r="CE1948" s="552">
        <v>10.099999999999998</v>
      </c>
      <c r="CF1948" s="552">
        <v>9.0722222222222211</v>
      </c>
      <c r="CG1948" s="552"/>
      <c r="CH1948" s="552"/>
      <c r="CI1948" s="22" t="s">
        <v>4546</v>
      </c>
      <c r="JB1948" s="271" t="s">
        <v>2083</v>
      </c>
      <c r="JC1948" s="270"/>
      <c r="JD1948" s="276"/>
    </row>
    <row r="1949" spans="1:264" s="22" customFormat="1" x14ac:dyDescent="0.25">
      <c r="A1949" s="269">
        <v>91</v>
      </c>
      <c r="B1949" s="541" t="s">
        <v>4180</v>
      </c>
      <c r="C1949" s="269" t="s">
        <v>768</v>
      </c>
      <c r="D1949" s="270" t="s">
        <v>2118</v>
      </c>
      <c r="E1949" s="269">
        <v>2006</v>
      </c>
      <c r="F1949" s="270">
        <v>1999</v>
      </c>
      <c r="G1949" s="269" t="s">
        <v>946</v>
      </c>
      <c r="H1949" s="269" t="s">
        <v>2032</v>
      </c>
      <c r="I1949" s="252" t="s">
        <v>2815</v>
      </c>
      <c r="J1949" s="270">
        <v>32.56</v>
      </c>
      <c r="K1949" s="270">
        <v>-83.91</v>
      </c>
      <c r="L1949" s="271">
        <v>16</v>
      </c>
      <c r="M1949" s="271">
        <v>18.100000000000001</v>
      </c>
      <c r="N1949" s="270"/>
      <c r="O1949" s="271">
        <v>1258</v>
      </c>
      <c r="P1949" s="270"/>
      <c r="Q1949" s="270"/>
      <c r="R1949" s="271">
        <v>6</v>
      </c>
      <c r="S1949" s="272" t="s">
        <v>1975</v>
      </c>
      <c r="U1949" s="272" t="s">
        <v>2102</v>
      </c>
      <c r="V1949" s="273" t="s">
        <v>1403</v>
      </c>
      <c r="W1949" s="273">
        <v>30</v>
      </c>
      <c r="X1949" s="273" t="s">
        <v>1388</v>
      </c>
      <c r="Y1949" s="273" t="s">
        <v>1417</v>
      </c>
      <c r="Z1949" s="274">
        <f>AVERAGE(Sheet1!BP1949:BQ1949)</f>
        <v>1.6160000000000001</v>
      </c>
      <c r="AA1949" s="365">
        <v>65</v>
      </c>
      <c r="AB1949" s="365">
        <v>25</v>
      </c>
      <c r="AC1949" s="270" t="s">
        <v>240</v>
      </c>
      <c r="AD1949" s="270"/>
      <c r="AE1949" s="270"/>
      <c r="AF1949" s="270"/>
      <c r="AG1949" s="269" t="s">
        <v>2029</v>
      </c>
      <c r="AH1949" s="271" t="s">
        <v>243</v>
      </c>
      <c r="AI1949" s="270" t="s">
        <v>577</v>
      </c>
      <c r="AJ1949" s="271" t="s">
        <v>2027</v>
      </c>
      <c r="AK1949" s="270" t="s">
        <v>1646</v>
      </c>
      <c r="AL1949" s="270"/>
      <c r="AM1949" s="270"/>
      <c r="AN1949" s="270"/>
      <c r="AO1949" s="271" t="s">
        <v>772</v>
      </c>
      <c r="AP1949" s="271" t="s">
        <v>772</v>
      </c>
      <c r="AQ1949" s="271" t="s">
        <v>2125</v>
      </c>
      <c r="AR1949" s="271" t="s">
        <v>2125</v>
      </c>
      <c r="AS1949" s="92" t="s">
        <v>177</v>
      </c>
      <c r="AT1949" s="270" t="s">
        <v>2031</v>
      </c>
      <c r="AU1949" s="270"/>
      <c r="AV1949" s="275" t="s">
        <v>2025</v>
      </c>
      <c r="AW1949" s="253" t="s">
        <v>160</v>
      </c>
      <c r="AX1949" s="271">
        <v>4</v>
      </c>
      <c r="AY1949" s="271">
        <v>4</v>
      </c>
      <c r="AZ1949" s="270" t="s">
        <v>141</v>
      </c>
      <c r="BA1949" s="270"/>
      <c r="BB1949" s="270"/>
      <c r="BC1949" s="270"/>
      <c r="BD1949" s="270"/>
      <c r="BE1949" s="270"/>
      <c r="BK1949" s="271"/>
      <c r="BL1949" s="271"/>
      <c r="BM1949" s="270"/>
      <c r="BP1949" s="442">
        <f t="shared" si="286"/>
        <v>1.6260000000000001</v>
      </c>
      <c r="BQ1949" s="442">
        <v>1.6060000000000001</v>
      </c>
      <c r="BU1949" s="463">
        <v>0.16400164001640014</v>
      </c>
      <c r="BV1949" s="463">
        <v>0.1332513325133251</v>
      </c>
      <c r="BZ1949" s="22">
        <v>7.9999999999999991</v>
      </c>
      <c r="CA1949" s="22">
        <v>6.4200492004920031</v>
      </c>
      <c r="CB1949" s="22">
        <v>3.4</v>
      </c>
      <c r="CC1949" s="22">
        <v>3.4</v>
      </c>
      <c r="CD1949" s="22" t="s">
        <v>992</v>
      </c>
      <c r="CE1949" s="552">
        <v>7.9999999999999991</v>
      </c>
      <c r="CF1949" s="552">
        <v>6.4200492004920031</v>
      </c>
      <c r="CG1949" s="552"/>
      <c r="CH1949" s="552"/>
      <c r="CI1949" s="22" t="s">
        <v>4546</v>
      </c>
      <c r="JB1949" s="271" t="s">
        <v>2083</v>
      </c>
      <c r="JC1949" s="270"/>
      <c r="JD1949" s="276"/>
    </row>
    <row r="1950" spans="1:264" s="22" customFormat="1" x14ac:dyDescent="0.25">
      <c r="A1950" s="269">
        <v>91</v>
      </c>
      <c r="B1950" s="541" t="s">
        <v>4181</v>
      </c>
      <c r="C1950" s="269" t="s">
        <v>768</v>
      </c>
      <c r="D1950" s="270" t="s">
        <v>2118</v>
      </c>
      <c r="E1950" s="269">
        <v>2006</v>
      </c>
      <c r="F1950" s="270">
        <v>1999</v>
      </c>
      <c r="G1950" s="269" t="s">
        <v>946</v>
      </c>
      <c r="H1950" s="269" t="s">
        <v>2032</v>
      </c>
      <c r="I1950" s="252" t="s">
        <v>2815</v>
      </c>
      <c r="J1950" s="270">
        <v>32.56</v>
      </c>
      <c r="K1950" s="270">
        <v>-83.91</v>
      </c>
      <c r="L1950" s="271">
        <v>16</v>
      </c>
      <c r="M1950" s="271">
        <v>18.100000000000001</v>
      </c>
      <c r="N1950" s="270"/>
      <c r="O1950" s="271">
        <v>1258</v>
      </c>
      <c r="P1950" s="270"/>
      <c r="Q1950" s="270"/>
      <c r="R1950" s="271">
        <v>6</v>
      </c>
      <c r="S1950" s="272" t="s">
        <v>1975</v>
      </c>
      <c r="U1950" s="272" t="s">
        <v>2102</v>
      </c>
      <c r="V1950" s="273" t="s">
        <v>1415</v>
      </c>
      <c r="W1950" s="273">
        <v>30</v>
      </c>
      <c r="X1950" s="273" t="s">
        <v>1388</v>
      </c>
      <c r="Y1950" s="273" t="s">
        <v>1417</v>
      </c>
      <c r="Z1950" s="274">
        <f>AVERAGE(Sheet1!BP1950:BQ1950)</f>
        <v>1.605</v>
      </c>
      <c r="AA1950" s="365">
        <v>65</v>
      </c>
      <c r="AB1950" s="365">
        <v>25</v>
      </c>
      <c r="AC1950" s="270" t="s">
        <v>240</v>
      </c>
      <c r="AD1950" s="270"/>
      <c r="AE1950" s="270"/>
      <c r="AF1950" s="270"/>
      <c r="AG1950" s="269" t="s">
        <v>2029</v>
      </c>
      <c r="AH1950" s="271" t="s">
        <v>243</v>
      </c>
      <c r="AI1950" s="270" t="s">
        <v>577</v>
      </c>
      <c r="AJ1950" s="271" t="s">
        <v>2027</v>
      </c>
      <c r="AK1950" s="270" t="s">
        <v>1646</v>
      </c>
      <c r="AL1950" s="270"/>
      <c r="AM1950" s="270"/>
      <c r="AN1950" s="270"/>
      <c r="AO1950" s="271" t="s">
        <v>772</v>
      </c>
      <c r="AP1950" s="271" t="s">
        <v>772</v>
      </c>
      <c r="AQ1950" s="271" t="s">
        <v>2125</v>
      </c>
      <c r="AR1950" s="271" t="s">
        <v>2125</v>
      </c>
      <c r="AS1950" s="92" t="s">
        <v>2115</v>
      </c>
      <c r="AT1950" s="270" t="s">
        <v>2031</v>
      </c>
      <c r="AU1950" s="270"/>
      <c r="AV1950" s="275" t="s">
        <v>2025</v>
      </c>
      <c r="AW1950" s="253" t="s">
        <v>160</v>
      </c>
      <c r="AX1950" s="271">
        <v>4</v>
      </c>
      <c r="AY1950" s="271">
        <v>4</v>
      </c>
      <c r="AZ1950" s="270" t="s">
        <v>141</v>
      </c>
      <c r="BA1950" s="270"/>
      <c r="BB1950" s="270"/>
      <c r="BC1950" s="270"/>
      <c r="BD1950" s="270"/>
      <c r="BE1950" s="270"/>
      <c r="BK1950" s="271"/>
      <c r="BL1950" s="271"/>
      <c r="BM1950" s="270"/>
      <c r="BP1950" s="442">
        <f t="shared" si="286"/>
        <v>1.615</v>
      </c>
      <c r="BQ1950" s="442">
        <v>1.595</v>
      </c>
      <c r="BU1950" s="463">
        <v>0.1155830753353973</v>
      </c>
      <c r="BV1950" s="463">
        <v>0.11764705882352942</v>
      </c>
      <c r="BZ1950" s="22">
        <v>5.6</v>
      </c>
      <c r="CA1950" s="22">
        <v>5.6294117647058828</v>
      </c>
      <c r="CB1950" s="22">
        <v>2.2000000000000002</v>
      </c>
      <c r="CC1950" s="22">
        <v>2.2000000000000002</v>
      </c>
      <c r="CD1950" s="22" t="s">
        <v>992</v>
      </c>
      <c r="CE1950" s="552">
        <v>5.6</v>
      </c>
      <c r="CF1950" s="552">
        <v>5.6294117647058828</v>
      </c>
      <c r="CG1950" s="552"/>
      <c r="CH1950" s="552"/>
      <c r="CI1950" s="22" t="s">
        <v>4546</v>
      </c>
      <c r="JB1950" s="271" t="s">
        <v>2083</v>
      </c>
      <c r="JC1950" s="270"/>
      <c r="JD1950" s="276"/>
    </row>
    <row r="1951" spans="1:264" s="284" customFormat="1" x14ac:dyDescent="0.25">
      <c r="A1951" s="277">
        <v>91</v>
      </c>
      <c r="B1951" s="542" t="s">
        <v>4182</v>
      </c>
      <c r="C1951" s="277" t="s">
        <v>768</v>
      </c>
      <c r="D1951" s="278" t="s">
        <v>2118</v>
      </c>
      <c r="E1951" s="277">
        <v>2006</v>
      </c>
      <c r="F1951" s="278">
        <v>1999</v>
      </c>
      <c r="G1951" s="277" t="s">
        <v>946</v>
      </c>
      <c r="H1951" s="277" t="s">
        <v>2032</v>
      </c>
      <c r="I1951" s="252" t="s">
        <v>2815</v>
      </c>
      <c r="J1951" s="278">
        <v>32.56</v>
      </c>
      <c r="K1951" s="278">
        <v>-83.91</v>
      </c>
      <c r="L1951" s="279">
        <v>16</v>
      </c>
      <c r="M1951" s="279">
        <v>18.100000000000001</v>
      </c>
      <c r="N1951" s="278"/>
      <c r="O1951" s="279">
        <v>1258</v>
      </c>
      <c r="P1951" s="278"/>
      <c r="Q1951" s="278"/>
      <c r="R1951" s="279">
        <v>6</v>
      </c>
      <c r="S1951" s="280" t="s">
        <v>1975</v>
      </c>
      <c r="U1951" s="280" t="s">
        <v>2102</v>
      </c>
      <c r="V1951" s="281" t="s">
        <v>1388</v>
      </c>
      <c r="W1951" s="281">
        <v>10</v>
      </c>
      <c r="X1951" s="281" t="s">
        <v>1388</v>
      </c>
      <c r="Y1951" s="281" t="s">
        <v>1417</v>
      </c>
      <c r="Z1951" s="282">
        <f>AVERAGE(Sheet1!BP1951:BQ1951)</f>
        <v>1.526</v>
      </c>
      <c r="AA1951" s="366">
        <v>65</v>
      </c>
      <c r="AB1951" s="366">
        <v>25</v>
      </c>
      <c r="AC1951" s="278" t="s">
        <v>240</v>
      </c>
      <c r="AD1951" s="278"/>
      <c r="AE1951" s="278"/>
      <c r="AF1951" s="278"/>
      <c r="AG1951" s="277" t="s">
        <v>2029</v>
      </c>
      <c r="AH1951" s="279" t="s">
        <v>243</v>
      </c>
      <c r="AI1951" s="278" t="s">
        <v>577</v>
      </c>
      <c r="AJ1951" s="279" t="s">
        <v>2027</v>
      </c>
      <c r="AK1951" s="278" t="s">
        <v>1646</v>
      </c>
      <c r="AL1951" s="278"/>
      <c r="AM1951" s="278"/>
      <c r="AN1951" s="278"/>
      <c r="AO1951" s="279" t="s">
        <v>772</v>
      </c>
      <c r="AP1951" s="279" t="s">
        <v>772</v>
      </c>
      <c r="AQ1951" s="271" t="s">
        <v>2125</v>
      </c>
      <c r="AR1951" s="271" t="s">
        <v>2125</v>
      </c>
      <c r="AS1951" s="92" t="s">
        <v>177</v>
      </c>
      <c r="AT1951" s="278" t="s">
        <v>2026</v>
      </c>
      <c r="AU1951" s="278"/>
      <c r="AV1951" s="283" t="s">
        <v>2025</v>
      </c>
      <c r="AW1951" s="253" t="s">
        <v>160</v>
      </c>
      <c r="AX1951" s="279">
        <v>4</v>
      </c>
      <c r="AY1951" s="279">
        <v>4</v>
      </c>
      <c r="AZ1951" s="278" t="s">
        <v>141</v>
      </c>
      <c r="BA1951" s="278"/>
      <c r="BB1951" s="278"/>
      <c r="BC1951" s="278"/>
      <c r="BD1951" s="278"/>
      <c r="BE1951" s="278"/>
      <c r="BK1951" s="279"/>
      <c r="BL1951" s="279"/>
      <c r="BM1951" s="278"/>
      <c r="BP1951" s="443">
        <f t="shared" si="286"/>
        <v>1.536</v>
      </c>
      <c r="BQ1951" s="443">
        <v>1.516</v>
      </c>
      <c r="BU1951" s="446">
        <v>0.6640625</v>
      </c>
      <c r="BV1951" s="446">
        <v>0.67057291666666674</v>
      </c>
      <c r="BZ1951" s="284">
        <v>10.200000000000001</v>
      </c>
      <c r="CA1951" s="284">
        <v>10.165885416666667</v>
      </c>
      <c r="CB1951" s="284">
        <v>1</v>
      </c>
      <c r="CC1951" s="284">
        <v>1</v>
      </c>
      <c r="CD1951" s="22" t="s">
        <v>992</v>
      </c>
      <c r="CE1951" s="590">
        <v>10.200000000000001</v>
      </c>
      <c r="CF1951" s="590">
        <v>10.165885416666667</v>
      </c>
      <c r="CG1951" s="590"/>
      <c r="CH1951" s="590"/>
      <c r="CI1951" s="22" t="s">
        <v>4546</v>
      </c>
      <c r="JB1951" s="279" t="s">
        <v>2083</v>
      </c>
      <c r="JC1951" s="278"/>
      <c r="JD1951" s="285"/>
    </row>
    <row r="1952" spans="1:264" s="284" customFormat="1" x14ac:dyDescent="0.25">
      <c r="A1952" s="277">
        <v>91</v>
      </c>
      <c r="B1952" s="542" t="s">
        <v>4183</v>
      </c>
      <c r="C1952" s="277" t="s">
        <v>768</v>
      </c>
      <c r="D1952" s="278" t="s">
        <v>2118</v>
      </c>
      <c r="E1952" s="277">
        <v>2006</v>
      </c>
      <c r="F1952" s="278">
        <v>1999</v>
      </c>
      <c r="G1952" s="277" t="s">
        <v>946</v>
      </c>
      <c r="H1952" s="277" t="s">
        <v>2032</v>
      </c>
      <c r="I1952" s="252" t="s">
        <v>2815</v>
      </c>
      <c r="J1952" s="278">
        <v>32.56</v>
      </c>
      <c r="K1952" s="278">
        <v>-83.91</v>
      </c>
      <c r="L1952" s="279">
        <v>16</v>
      </c>
      <c r="M1952" s="279">
        <v>18.100000000000001</v>
      </c>
      <c r="N1952" s="278"/>
      <c r="O1952" s="279">
        <v>1258</v>
      </c>
      <c r="P1952" s="278"/>
      <c r="Q1952" s="278"/>
      <c r="R1952" s="279">
        <v>6</v>
      </c>
      <c r="S1952" s="280" t="s">
        <v>1975</v>
      </c>
      <c r="U1952" s="280" t="s">
        <v>2102</v>
      </c>
      <c r="V1952" s="281" t="s">
        <v>1408</v>
      </c>
      <c r="W1952" s="281">
        <v>20</v>
      </c>
      <c r="X1952" s="281" t="s">
        <v>1388</v>
      </c>
      <c r="Y1952" s="281" t="s">
        <v>1417</v>
      </c>
      <c r="Z1952" s="282">
        <f>AVERAGE(Sheet1!BP1952:BQ1952)</f>
        <v>1.5189999999999999</v>
      </c>
      <c r="AA1952" s="366">
        <v>65</v>
      </c>
      <c r="AB1952" s="366">
        <v>25</v>
      </c>
      <c r="AC1952" s="278" t="s">
        <v>240</v>
      </c>
      <c r="AD1952" s="278"/>
      <c r="AE1952" s="278"/>
      <c r="AF1952" s="278"/>
      <c r="AG1952" s="277" t="s">
        <v>2029</v>
      </c>
      <c r="AH1952" s="279" t="s">
        <v>243</v>
      </c>
      <c r="AI1952" s="278" t="s">
        <v>577</v>
      </c>
      <c r="AJ1952" s="279" t="s">
        <v>2027</v>
      </c>
      <c r="AK1952" s="278" t="s">
        <v>1646</v>
      </c>
      <c r="AL1952" s="278"/>
      <c r="AM1952" s="278"/>
      <c r="AN1952" s="278"/>
      <c r="AO1952" s="279" t="s">
        <v>772</v>
      </c>
      <c r="AP1952" s="279" t="s">
        <v>772</v>
      </c>
      <c r="AQ1952" s="271" t="s">
        <v>2125</v>
      </c>
      <c r="AR1952" s="271" t="s">
        <v>2125</v>
      </c>
      <c r="AS1952" s="92" t="s">
        <v>2115</v>
      </c>
      <c r="AT1952" s="278" t="s">
        <v>2026</v>
      </c>
      <c r="AU1952" s="278"/>
      <c r="AV1952" s="283" t="s">
        <v>2025</v>
      </c>
      <c r="AW1952" s="253" t="s">
        <v>160</v>
      </c>
      <c r="AX1952" s="279">
        <v>4</v>
      </c>
      <c r="AY1952" s="279">
        <v>4</v>
      </c>
      <c r="AZ1952" s="278" t="s">
        <v>141</v>
      </c>
      <c r="BA1952" s="278"/>
      <c r="BB1952" s="278"/>
      <c r="BC1952" s="278"/>
      <c r="BD1952" s="278"/>
      <c r="BE1952" s="278"/>
      <c r="BK1952" s="279"/>
      <c r="BL1952" s="279"/>
      <c r="BM1952" s="278"/>
      <c r="BP1952" s="443">
        <f t="shared" si="286"/>
        <v>1.5289999999999999</v>
      </c>
      <c r="BQ1952" s="443">
        <v>1.5089999999999999</v>
      </c>
      <c r="BU1952" s="446">
        <v>0.50686723348593854</v>
      </c>
      <c r="BV1952" s="446">
        <v>0.51994767822105958</v>
      </c>
      <c r="BZ1952" s="284">
        <v>15.5</v>
      </c>
      <c r="CA1952" s="284">
        <v>15.692020928711578</v>
      </c>
      <c r="CB1952" s="284">
        <v>2.2999999999999998</v>
      </c>
      <c r="CC1952" s="284">
        <v>2.2999999999999998</v>
      </c>
      <c r="CD1952" s="22" t="s">
        <v>992</v>
      </c>
      <c r="CE1952" s="590">
        <v>15.5</v>
      </c>
      <c r="CF1952" s="590">
        <v>15.692020928711578</v>
      </c>
      <c r="CG1952" s="590"/>
      <c r="CH1952" s="590"/>
      <c r="CI1952" s="22" t="s">
        <v>4546</v>
      </c>
      <c r="JB1952" s="279" t="s">
        <v>2083</v>
      </c>
      <c r="JC1952" s="278"/>
      <c r="JD1952" s="285"/>
    </row>
    <row r="1953" spans="1:264" s="284" customFormat="1" x14ac:dyDescent="0.25">
      <c r="A1953" s="277">
        <v>91</v>
      </c>
      <c r="B1953" s="542" t="s">
        <v>4184</v>
      </c>
      <c r="C1953" s="277" t="s">
        <v>768</v>
      </c>
      <c r="D1953" s="278" t="s">
        <v>2118</v>
      </c>
      <c r="E1953" s="277">
        <v>2006</v>
      </c>
      <c r="F1953" s="278">
        <v>1999</v>
      </c>
      <c r="G1953" s="277" t="s">
        <v>946</v>
      </c>
      <c r="H1953" s="277" t="s">
        <v>2032</v>
      </c>
      <c r="I1953" s="252" t="s">
        <v>2815</v>
      </c>
      <c r="J1953" s="278">
        <v>32.56</v>
      </c>
      <c r="K1953" s="278">
        <v>-83.91</v>
      </c>
      <c r="L1953" s="279">
        <v>16</v>
      </c>
      <c r="M1953" s="279">
        <v>18.100000000000001</v>
      </c>
      <c r="N1953" s="278"/>
      <c r="O1953" s="279">
        <v>1258</v>
      </c>
      <c r="P1953" s="278"/>
      <c r="Q1953" s="278"/>
      <c r="R1953" s="279">
        <v>6</v>
      </c>
      <c r="S1953" s="280" t="s">
        <v>1975</v>
      </c>
      <c r="U1953" s="280" t="s">
        <v>2102</v>
      </c>
      <c r="V1953" s="281" t="s">
        <v>1402</v>
      </c>
      <c r="W1953" s="281">
        <v>30</v>
      </c>
      <c r="X1953" s="281" t="s">
        <v>1388</v>
      </c>
      <c r="Y1953" s="281" t="s">
        <v>1417</v>
      </c>
      <c r="Z1953" s="282">
        <f>AVERAGE(Sheet1!BP1953:BQ1953)</f>
        <v>1.43</v>
      </c>
      <c r="AA1953" s="366">
        <v>65</v>
      </c>
      <c r="AB1953" s="366">
        <v>25</v>
      </c>
      <c r="AC1953" s="278" t="s">
        <v>240</v>
      </c>
      <c r="AD1953" s="278"/>
      <c r="AE1953" s="278"/>
      <c r="AF1953" s="278"/>
      <c r="AG1953" s="277" t="s">
        <v>2029</v>
      </c>
      <c r="AH1953" s="279" t="s">
        <v>243</v>
      </c>
      <c r="AI1953" s="278" t="s">
        <v>577</v>
      </c>
      <c r="AJ1953" s="279" t="s">
        <v>2027</v>
      </c>
      <c r="AK1953" s="278" t="s">
        <v>1646</v>
      </c>
      <c r="AL1953" s="278"/>
      <c r="AM1953" s="278"/>
      <c r="AN1953" s="278"/>
      <c r="AO1953" s="279" t="s">
        <v>772</v>
      </c>
      <c r="AP1953" s="279" t="s">
        <v>772</v>
      </c>
      <c r="AQ1953" s="271" t="s">
        <v>2125</v>
      </c>
      <c r="AR1953" s="271" t="s">
        <v>2125</v>
      </c>
      <c r="AS1953" s="92" t="s">
        <v>177</v>
      </c>
      <c r="AT1953" s="278" t="s">
        <v>2026</v>
      </c>
      <c r="AU1953" s="278"/>
      <c r="AV1953" s="283" t="s">
        <v>2025</v>
      </c>
      <c r="AW1953" s="253" t="s">
        <v>160</v>
      </c>
      <c r="AX1953" s="279">
        <v>4</v>
      </c>
      <c r="AY1953" s="279">
        <v>4</v>
      </c>
      <c r="AZ1953" s="278" t="s">
        <v>141</v>
      </c>
      <c r="BA1953" s="278"/>
      <c r="BB1953" s="278"/>
      <c r="BC1953" s="278"/>
      <c r="BD1953" s="278"/>
      <c r="BE1953" s="278"/>
      <c r="BK1953" s="279"/>
      <c r="BL1953" s="279"/>
      <c r="BM1953" s="278"/>
      <c r="BP1953" s="443">
        <f t="shared" si="286"/>
        <v>1.44</v>
      </c>
      <c r="BQ1953" s="443">
        <v>1.42</v>
      </c>
      <c r="BU1953" s="446">
        <v>0.21759259259259262</v>
      </c>
      <c r="BV1953" s="446">
        <v>0.20833333333333334</v>
      </c>
      <c r="BZ1953" s="284">
        <v>9.4</v>
      </c>
      <c r="CA1953" s="284">
        <v>8.875</v>
      </c>
      <c r="CB1953" s="284">
        <v>3.4</v>
      </c>
      <c r="CC1953" s="284">
        <v>3.4</v>
      </c>
      <c r="CD1953" s="22" t="s">
        <v>992</v>
      </c>
      <c r="CE1953" s="590">
        <v>9.4</v>
      </c>
      <c r="CF1953" s="590">
        <v>8.875</v>
      </c>
      <c r="CG1953" s="590"/>
      <c r="CH1953" s="590"/>
      <c r="CI1953" s="22" t="s">
        <v>4546</v>
      </c>
      <c r="JB1953" s="279" t="s">
        <v>2083</v>
      </c>
      <c r="JC1953" s="278"/>
      <c r="JD1953" s="285"/>
    </row>
    <row r="1954" spans="1:264" s="284" customFormat="1" x14ac:dyDescent="0.25">
      <c r="A1954" s="277">
        <v>91</v>
      </c>
      <c r="B1954" s="542" t="s">
        <v>4185</v>
      </c>
      <c r="C1954" s="277" t="s">
        <v>768</v>
      </c>
      <c r="D1954" s="278" t="s">
        <v>2118</v>
      </c>
      <c r="E1954" s="277">
        <v>2006</v>
      </c>
      <c r="F1954" s="278">
        <v>1999</v>
      </c>
      <c r="G1954" s="277" t="s">
        <v>946</v>
      </c>
      <c r="H1954" s="277" t="s">
        <v>2032</v>
      </c>
      <c r="I1954" s="252" t="s">
        <v>2815</v>
      </c>
      <c r="J1954" s="278">
        <v>32.56</v>
      </c>
      <c r="K1954" s="278">
        <v>-83.91</v>
      </c>
      <c r="L1954" s="279">
        <v>16</v>
      </c>
      <c r="M1954" s="279">
        <v>18.100000000000001</v>
      </c>
      <c r="N1954" s="278"/>
      <c r="O1954" s="279">
        <v>1258</v>
      </c>
      <c r="P1954" s="278"/>
      <c r="Q1954" s="278"/>
      <c r="R1954" s="279">
        <v>6</v>
      </c>
      <c r="S1954" s="280" t="s">
        <v>1975</v>
      </c>
      <c r="U1954" s="280" t="s">
        <v>2102</v>
      </c>
      <c r="V1954" s="281" t="s">
        <v>1403</v>
      </c>
      <c r="W1954" s="281">
        <v>30</v>
      </c>
      <c r="X1954" s="281" t="s">
        <v>1388</v>
      </c>
      <c r="Y1954" s="281" t="s">
        <v>1417</v>
      </c>
      <c r="Z1954" s="282">
        <f>AVERAGE(Sheet1!BP1954:BQ1954)</f>
        <v>1.6160000000000001</v>
      </c>
      <c r="AA1954" s="366">
        <v>65</v>
      </c>
      <c r="AB1954" s="366">
        <v>25</v>
      </c>
      <c r="AC1954" s="278" t="s">
        <v>240</v>
      </c>
      <c r="AD1954" s="278"/>
      <c r="AE1954" s="278"/>
      <c r="AF1954" s="278"/>
      <c r="AG1954" s="277" t="s">
        <v>2029</v>
      </c>
      <c r="AH1954" s="279" t="s">
        <v>243</v>
      </c>
      <c r="AI1954" s="278" t="s">
        <v>577</v>
      </c>
      <c r="AJ1954" s="279" t="s">
        <v>2027</v>
      </c>
      <c r="AK1954" s="278" t="s">
        <v>1646</v>
      </c>
      <c r="AL1954" s="278"/>
      <c r="AM1954" s="278"/>
      <c r="AN1954" s="278"/>
      <c r="AO1954" s="279" t="s">
        <v>772</v>
      </c>
      <c r="AP1954" s="279" t="s">
        <v>772</v>
      </c>
      <c r="AQ1954" s="271" t="s">
        <v>2125</v>
      </c>
      <c r="AR1954" s="271" t="s">
        <v>2125</v>
      </c>
      <c r="AS1954" s="92" t="s">
        <v>2115</v>
      </c>
      <c r="AT1954" s="278" t="s">
        <v>2026</v>
      </c>
      <c r="AU1954" s="278"/>
      <c r="AV1954" s="283" t="s">
        <v>2025</v>
      </c>
      <c r="AW1954" s="253" t="s">
        <v>160</v>
      </c>
      <c r="AX1954" s="279">
        <v>4</v>
      </c>
      <c r="AY1954" s="279">
        <v>4</v>
      </c>
      <c r="AZ1954" s="278" t="s">
        <v>141</v>
      </c>
      <c r="BA1954" s="278"/>
      <c r="BB1954" s="278"/>
      <c r="BC1954" s="278"/>
      <c r="BD1954" s="278"/>
      <c r="BE1954" s="278"/>
      <c r="BK1954" s="279"/>
      <c r="BL1954" s="279"/>
      <c r="BM1954" s="278"/>
      <c r="BP1954" s="443">
        <f t="shared" si="286"/>
        <v>1.6260000000000001</v>
      </c>
      <c r="BQ1954" s="443">
        <v>1.6060000000000001</v>
      </c>
      <c r="BU1954" s="446">
        <v>0.17015170151701514</v>
      </c>
      <c r="BV1954" s="446">
        <v>0.1312013120131201</v>
      </c>
      <c r="BZ1954" s="284">
        <v>8.2999999999999989</v>
      </c>
      <c r="CA1954" s="284">
        <v>6.3212792127921276</v>
      </c>
      <c r="CB1954" s="284">
        <v>3.4</v>
      </c>
      <c r="CC1954" s="284">
        <v>3.4</v>
      </c>
      <c r="CD1954" s="22" t="s">
        <v>992</v>
      </c>
      <c r="CE1954" s="590">
        <v>8.2999999999999989</v>
      </c>
      <c r="CF1954" s="590">
        <v>6.3212792127921276</v>
      </c>
      <c r="CG1954" s="590"/>
      <c r="CH1954" s="590"/>
      <c r="CI1954" s="22" t="s">
        <v>4546</v>
      </c>
      <c r="JB1954" s="279" t="s">
        <v>2083</v>
      </c>
      <c r="JC1954" s="278"/>
      <c r="JD1954" s="285"/>
    </row>
    <row r="1955" spans="1:264" s="284" customFormat="1" x14ac:dyDescent="0.25">
      <c r="A1955" s="277">
        <v>91</v>
      </c>
      <c r="B1955" s="542" t="s">
        <v>4186</v>
      </c>
      <c r="C1955" s="277" t="s">
        <v>768</v>
      </c>
      <c r="D1955" s="278" t="s">
        <v>2118</v>
      </c>
      <c r="E1955" s="277">
        <v>2006</v>
      </c>
      <c r="F1955" s="278">
        <v>1999</v>
      </c>
      <c r="G1955" s="277" t="s">
        <v>946</v>
      </c>
      <c r="H1955" s="277" t="s">
        <v>2032</v>
      </c>
      <c r="I1955" s="252" t="s">
        <v>2815</v>
      </c>
      <c r="J1955" s="278">
        <v>32.56</v>
      </c>
      <c r="K1955" s="278">
        <v>-83.91</v>
      </c>
      <c r="L1955" s="279">
        <v>16</v>
      </c>
      <c r="M1955" s="279">
        <v>18.100000000000001</v>
      </c>
      <c r="N1955" s="278"/>
      <c r="O1955" s="279">
        <v>1258</v>
      </c>
      <c r="P1955" s="278"/>
      <c r="Q1955" s="278"/>
      <c r="R1955" s="279">
        <v>6</v>
      </c>
      <c r="S1955" s="280" t="s">
        <v>1975</v>
      </c>
      <c r="U1955" s="280" t="s">
        <v>2102</v>
      </c>
      <c r="V1955" s="281" t="s">
        <v>1415</v>
      </c>
      <c r="W1955" s="281">
        <v>30</v>
      </c>
      <c r="X1955" s="281" t="s">
        <v>1388</v>
      </c>
      <c r="Y1955" s="281" t="s">
        <v>1417</v>
      </c>
      <c r="Z1955" s="282">
        <f>AVERAGE(Sheet1!BP1955:BQ1955)</f>
        <v>1.605</v>
      </c>
      <c r="AA1955" s="366">
        <v>65</v>
      </c>
      <c r="AB1955" s="366">
        <v>25</v>
      </c>
      <c r="AC1955" s="278" t="s">
        <v>240</v>
      </c>
      <c r="AD1955" s="278"/>
      <c r="AE1955" s="278"/>
      <c r="AF1955" s="278"/>
      <c r="AG1955" s="277" t="s">
        <v>2029</v>
      </c>
      <c r="AH1955" s="279" t="s">
        <v>243</v>
      </c>
      <c r="AI1955" s="278" t="s">
        <v>577</v>
      </c>
      <c r="AJ1955" s="279" t="s">
        <v>2027</v>
      </c>
      <c r="AK1955" s="278" t="s">
        <v>1646</v>
      </c>
      <c r="AL1955" s="278"/>
      <c r="AM1955" s="278"/>
      <c r="AN1955" s="278"/>
      <c r="AO1955" s="279" t="s">
        <v>772</v>
      </c>
      <c r="AP1955" s="279" t="s">
        <v>772</v>
      </c>
      <c r="AQ1955" s="271" t="s">
        <v>2125</v>
      </c>
      <c r="AR1955" s="271" t="s">
        <v>2125</v>
      </c>
      <c r="AS1955" s="92" t="s">
        <v>177</v>
      </c>
      <c r="AT1955" s="278" t="s">
        <v>2026</v>
      </c>
      <c r="AU1955" s="278"/>
      <c r="AV1955" s="283" t="s">
        <v>2025</v>
      </c>
      <c r="AW1955" s="253" t="s">
        <v>160</v>
      </c>
      <c r="AX1955" s="279">
        <v>4</v>
      </c>
      <c r="AY1955" s="279">
        <v>4</v>
      </c>
      <c r="AZ1955" s="278" t="s">
        <v>141</v>
      </c>
      <c r="BA1955" s="278"/>
      <c r="BB1955" s="278"/>
      <c r="BC1955" s="278"/>
      <c r="BD1955" s="278"/>
      <c r="BE1955" s="278"/>
      <c r="BK1955" s="279"/>
      <c r="BL1955" s="279"/>
      <c r="BM1955" s="278"/>
      <c r="BP1955" s="443">
        <f t="shared" si="286"/>
        <v>1.615</v>
      </c>
      <c r="BQ1955" s="443">
        <v>1.595</v>
      </c>
      <c r="BU1955" s="446">
        <v>0.1155830753353973</v>
      </c>
      <c r="BV1955" s="446">
        <v>0.11351909184726522</v>
      </c>
      <c r="BZ1955" s="284">
        <v>5.6</v>
      </c>
      <c r="CA1955" s="284">
        <v>5.4318885448916401</v>
      </c>
      <c r="CB1955" s="284">
        <v>2.2000000000000002</v>
      </c>
      <c r="CC1955" s="284">
        <v>2.2000000000000002</v>
      </c>
      <c r="CD1955" s="22" t="s">
        <v>992</v>
      </c>
      <c r="CE1955" s="590">
        <v>5.6</v>
      </c>
      <c r="CF1955" s="590">
        <v>5.4318885448916401</v>
      </c>
      <c r="CG1955" s="590"/>
      <c r="CH1955" s="590"/>
      <c r="CI1955" s="22" t="s">
        <v>4546</v>
      </c>
      <c r="JB1955" s="279" t="s">
        <v>2083</v>
      </c>
      <c r="JC1955" s="278"/>
      <c r="JD1955" s="285"/>
    </row>
    <row r="1956" spans="1:264" s="22" customFormat="1" x14ac:dyDescent="0.25">
      <c r="A1956" s="269">
        <v>91</v>
      </c>
      <c r="B1956" s="541" t="s">
        <v>4187</v>
      </c>
      <c r="C1956" s="269" t="s">
        <v>768</v>
      </c>
      <c r="D1956" s="270" t="s">
        <v>2118</v>
      </c>
      <c r="E1956" s="269">
        <v>2006</v>
      </c>
      <c r="F1956" s="270">
        <v>1999</v>
      </c>
      <c r="G1956" s="269" t="s">
        <v>946</v>
      </c>
      <c r="H1956" s="269" t="s">
        <v>2032</v>
      </c>
      <c r="I1956" s="252" t="s">
        <v>2815</v>
      </c>
      <c r="J1956" s="270">
        <v>32.56</v>
      </c>
      <c r="K1956" s="270">
        <v>-83.91</v>
      </c>
      <c r="L1956" s="271">
        <v>16</v>
      </c>
      <c r="M1956" s="271">
        <v>18.100000000000001</v>
      </c>
      <c r="N1956" s="270"/>
      <c r="O1956" s="271">
        <v>1258</v>
      </c>
      <c r="P1956" s="270"/>
      <c r="Q1956" s="270"/>
      <c r="R1956" s="271">
        <v>6</v>
      </c>
      <c r="S1956" s="272" t="s">
        <v>1975</v>
      </c>
      <c r="U1956" s="272" t="s">
        <v>2102</v>
      </c>
      <c r="V1956" s="273" t="s">
        <v>1388</v>
      </c>
      <c r="W1956" s="273">
        <v>10</v>
      </c>
      <c r="X1956" s="273" t="s">
        <v>1388</v>
      </c>
      <c r="Y1956" s="273" t="s">
        <v>1417</v>
      </c>
      <c r="Z1956" s="274">
        <f>AVERAGE(Sheet1!BP1956:BQ1956)</f>
        <v>1.526</v>
      </c>
      <c r="AA1956" s="365">
        <v>65</v>
      </c>
      <c r="AB1956" s="365">
        <v>25</v>
      </c>
      <c r="AC1956" s="270" t="s">
        <v>240</v>
      </c>
      <c r="AD1956" s="270"/>
      <c r="AE1956" s="270"/>
      <c r="AF1956" s="270"/>
      <c r="AG1956" s="269" t="s">
        <v>2029</v>
      </c>
      <c r="AH1956" s="271" t="s">
        <v>2028</v>
      </c>
      <c r="AI1956" s="270" t="s">
        <v>1582</v>
      </c>
      <c r="AJ1956" s="271" t="s">
        <v>2027</v>
      </c>
      <c r="AK1956" s="270" t="s">
        <v>1646</v>
      </c>
      <c r="AL1956" s="270"/>
      <c r="AM1956" s="270"/>
      <c r="AN1956" s="270"/>
      <c r="AO1956" s="271" t="s">
        <v>772</v>
      </c>
      <c r="AP1956" s="271" t="s">
        <v>772</v>
      </c>
      <c r="AQ1956" s="271" t="s">
        <v>2125</v>
      </c>
      <c r="AR1956" s="271" t="s">
        <v>2125</v>
      </c>
      <c r="AS1956" s="92" t="s">
        <v>2115</v>
      </c>
      <c r="AT1956" s="270" t="s">
        <v>161</v>
      </c>
      <c r="AU1956" s="270"/>
      <c r="AV1956" s="275" t="s">
        <v>2025</v>
      </c>
      <c r="AW1956" s="253" t="s">
        <v>160</v>
      </c>
      <c r="AX1956" s="271">
        <v>4</v>
      </c>
      <c r="AY1956" s="271">
        <v>4</v>
      </c>
      <c r="AZ1956" s="270" t="s">
        <v>141</v>
      </c>
      <c r="BA1956" s="270"/>
      <c r="BB1956" s="270"/>
      <c r="BC1956" s="270"/>
      <c r="BD1956" s="270"/>
      <c r="BE1956" s="270"/>
      <c r="BK1956" s="271"/>
      <c r="BL1956" s="271"/>
      <c r="BM1956" s="270"/>
      <c r="BP1956" s="442">
        <f t="shared" si="286"/>
        <v>1.536</v>
      </c>
      <c r="BQ1956" s="442">
        <v>1.516</v>
      </c>
      <c r="BU1956" s="463">
        <v>0.63151041666666663</v>
      </c>
      <c r="BV1956" s="463">
        <v>0.5859375</v>
      </c>
      <c r="BZ1956" s="22">
        <v>9.6999999999999993</v>
      </c>
      <c r="CA1956" s="22">
        <v>8.8828125</v>
      </c>
      <c r="CB1956" s="22">
        <v>1</v>
      </c>
      <c r="CC1956" s="22">
        <v>1</v>
      </c>
      <c r="CD1956" s="22" t="s">
        <v>992</v>
      </c>
      <c r="CE1956" s="552">
        <v>9.6999999999999993</v>
      </c>
      <c r="CF1956" s="552">
        <v>8.8828125</v>
      </c>
      <c r="CG1956" s="552"/>
      <c r="CH1956" s="552"/>
      <c r="CI1956" s="22" t="s">
        <v>4546</v>
      </c>
      <c r="JB1956" s="271" t="s">
        <v>2083</v>
      </c>
      <c r="JC1956" s="270"/>
      <c r="JD1956" s="276"/>
    </row>
    <row r="1957" spans="1:264" s="22" customFormat="1" x14ac:dyDescent="0.25">
      <c r="A1957" s="269">
        <v>91</v>
      </c>
      <c r="B1957" s="541" t="s">
        <v>4188</v>
      </c>
      <c r="C1957" s="269" t="s">
        <v>768</v>
      </c>
      <c r="D1957" s="270" t="s">
        <v>2118</v>
      </c>
      <c r="E1957" s="269">
        <v>2006</v>
      </c>
      <c r="F1957" s="270">
        <v>1999</v>
      </c>
      <c r="G1957" s="269" t="s">
        <v>946</v>
      </c>
      <c r="H1957" s="269" t="s">
        <v>2032</v>
      </c>
      <c r="I1957" s="252" t="s">
        <v>2815</v>
      </c>
      <c r="J1957" s="270">
        <v>32.56</v>
      </c>
      <c r="K1957" s="270">
        <v>-83.91</v>
      </c>
      <c r="L1957" s="271">
        <v>16</v>
      </c>
      <c r="M1957" s="271">
        <v>18.100000000000001</v>
      </c>
      <c r="N1957" s="270"/>
      <c r="O1957" s="271">
        <v>1258</v>
      </c>
      <c r="P1957" s="270"/>
      <c r="Q1957" s="270"/>
      <c r="R1957" s="271">
        <v>6</v>
      </c>
      <c r="S1957" s="272" t="s">
        <v>1975</v>
      </c>
      <c r="U1957" s="272" t="s">
        <v>2102</v>
      </c>
      <c r="V1957" s="273" t="s">
        <v>1408</v>
      </c>
      <c r="W1957" s="273">
        <v>20</v>
      </c>
      <c r="X1957" s="273" t="s">
        <v>1388</v>
      </c>
      <c r="Y1957" s="273" t="s">
        <v>1417</v>
      </c>
      <c r="Z1957" s="274">
        <f>AVERAGE(Sheet1!BP1957:BQ1957)</f>
        <v>1.5189999999999999</v>
      </c>
      <c r="AA1957" s="365">
        <v>65</v>
      </c>
      <c r="AB1957" s="365">
        <v>25</v>
      </c>
      <c r="AC1957" s="270" t="s">
        <v>240</v>
      </c>
      <c r="AD1957" s="270"/>
      <c r="AE1957" s="270"/>
      <c r="AF1957" s="270"/>
      <c r="AG1957" s="269" t="s">
        <v>2029</v>
      </c>
      <c r="AH1957" s="271" t="s">
        <v>2028</v>
      </c>
      <c r="AI1957" s="270" t="s">
        <v>1582</v>
      </c>
      <c r="AJ1957" s="271" t="s">
        <v>2027</v>
      </c>
      <c r="AK1957" s="270" t="s">
        <v>1646</v>
      </c>
      <c r="AL1957" s="270"/>
      <c r="AM1957" s="270"/>
      <c r="AN1957" s="270"/>
      <c r="AO1957" s="271" t="s">
        <v>772</v>
      </c>
      <c r="AP1957" s="271" t="s">
        <v>772</v>
      </c>
      <c r="AQ1957" s="271" t="s">
        <v>2125</v>
      </c>
      <c r="AR1957" s="271" t="s">
        <v>2125</v>
      </c>
      <c r="AS1957" s="92" t="s">
        <v>177</v>
      </c>
      <c r="AT1957" s="270" t="s">
        <v>161</v>
      </c>
      <c r="AU1957" s="270"/>
      <c r="AV1957" s="275" t="s">
        <v>2025</v>
      </c>
      <c r="AW1957" s="253" t="s">
        <v>160</v>
      </c>
      <c r="AX1957" s="271">
        <v>4</v>
      </c>
      <c r="AY1957" s="271">
        <v>4</v>
      </c>
      <c r="AZ1957" s="270" t="s">
        <v>141</v>
      </c>
      <c r="BA1957" s="270"/>
      <c r="BB1957" s="270"/>
      <c r="BC1957" s="270"/>
      <c r="BD1957" s="270"/>
      <c r="BE1957" s="270"/>
      <c r="BK1957" s="271"/>
      <c r="BL1957" s="271"/>
      <c r="BM1957" s="270"/>
      <c r="BP1957" s="442">
        <f t="shared" si="286"/>
        <v>1.5289999999999999</v>
      </c>
      <c r="BQ1957" s="442">
        <v>1.5089999999999999</v>
      </c>
      <c r="BU1957" s="463">
        <v>0.44800523217789401</v>
      </c>
      <c r="BV1957" s="463">
        <v>0.48070634401569651</v>
      </c>
      <c r="BZ1957" s="22">
        <v>13.7</v>
      </c>
      <c r="CA1957" s="22">
        <v>14.507717462393718</v>
      </c>
      <c r="CB1957" s="22">
        <v>2.2999999999999998</v>
      </c>
      <c r="CC1957" s="22">
        <v>2.2999999999999998</v>
      </c>
      <c r="CD1957" s="22" t="s">
        <v>992</v>
      </c>
      <c r="CE1957" s="552">
        <v>13.7</v>
      </c>
      <c r="CF1957" s="552">
        <v>14.507717462393718</v>
      </c>
      <c r="CG1957" s="552"/>
      <c r="CH1957" s="552"/>
      <c r="CI1957" s="22" t="s">
        <v>4546</v>
      </c>
      <c r="JB1957" s="271" t="s">
        <v>2083</v>
      </c>
      <c r="JC1957" s="270"/>
      <c r="JD1957" s="276"/>
    </row>
    <row r="1958" spans="1:264" s="22" customFormat="1" x14ac:dyDescent="0.25">
      <c r="A1958" s="269">
        <v>91</v>
      </c>
      <c r="B1958" s="541" t="s">
        <v>4189</v>
      </c>
      <c r="C1958" s="269" t="s">
        <v>768</v>
      </c>
      <c r="D1958" s="270" t="s">
        <v>2118</v>
      </c>
      <c r="E1958" s="269">
        <v>2006</v>
      </c>
      <c r="F1958" s="270">
        <v>1999</v>
      </c>
      <c r="G1958" s="269" t="s">
        <v>946</v>
      </c>
      <c r="H1958" s="269" t="s">
        <v>2032</v>
      </c>
      <c r="I1958" s="252" t="s">
        <v>2815</v>
      </c>
      <c r="J1958" s="270">
        <v>32.56</v>
      </c>
      <c r="K1958" s="270">
        <v>-83.91</v>
      </c>
      <c r="L1958" s="271">
        <v>16</v>
      </c>
      <c r="M1958" s="271">
        <v>18.100000000000001</v>
      </c>
      <c r="N1958" s="270"/>
      <c r="O1958" s="271">
        <v>1258</v>
      </c>
      <c r="P1958" s="270"/>
      <c r="Q1958" s="270"/>
      <c r="R1958" s="271">
        <v>6</v>
      </c>
      <c r="S1958" s="272" t="s">
        <v>1975</v>
      </c>
      <c r="U1958" s="272" t="s">
        <v>2102</v>
      </c>
      <c r="V1958" s="273" t="s">
        <v>1402</v>
      </c>
      <c r="W1958" s="273">
        <v>30</v>
      </c>
      <c r="X1958" s="273" t="s">
        <v>1388</v>
      </c>
      <c r="Y1958" s="273" t="s">
        <v>1417</v>
      </c>
      <c r="Z1958" s="274">
        <f>AVERAGE(Sheet1!BP1958:BQ1958)</f>
        <v>1.43</v>
      </c>
      <c r="AA1958" s="365">
        <v>65</v>
      </c>
      <c r="AB1958" s="365">
        <v>25</v>
      </c>
      <c r="AC1958" s="270" t="s">
        <v>240</v>
      </c>
      <c r="AD1958" s="270"/>
      <c r="AE1958" s="270"/>
      <c r="AF1958" s="270"/>
      <c r="AG1958" s="269" t="s">
        <v>2029</v>
      </c>
      <c r="AH1958" s="271" t="s">
        <v>2028</v>
      </c>
      <c r="AI1958" s="270" t="s">
        <v>1582</v>
      </c>
      <c r="AJ1958" s="271" t="s">
        <v>2027</v>
      </c>
      <c r="AK1958" s="270" t="s">
        <v>1646</v>
      </c>
      <c r="AL1958" s="270"/>
      <c r="AM1958" s="270"/>
      <c r="AN1958" s="270"/>
      <c r="AO1958" s="271" t="s">
        <v>772</v>
      </c>
      <c r="AP1958" s="271" t="s">
        <v>772</v>
      </c>
      <c r="AQ1958" s="271" t="s">
        <v>2125</v>
      </c>
      <c r="AR1958" s="271" t="s">
        <v>2125</v>
      </c>
      <c r="AS1958" s="92" t="s">
        <v>2115</v>
      </c>
      <c r="AT1958" s="270" t="s">
        <v>161</v>
      </c>
      <c r="AU1958" s="270"/>
      <c r="AV1958" s="275" t="s">
        <v>2025</v>
      </c>
      <c r="AW1958" s="253" t="s">
        <v>160</v>
      </c>
      <c r="AX1958" s="271">
        <v>4</v>
      </c>
      <c r="AY1958" s="271">
        <v>4</v>
      </c>
      <c r="AZ1958" s="270" t="s">
        <v>141</v>
      </c>
      <c r="BA1958" s="270"/>
      <c r="BB1958" s="270"/>
      <c r="BC1958" s="270"/>
      <c r="BD1958" s="270"/>
      <c r="BE1958" s="270"/>
      <c r="BK1958" s="271"/>
      <c r="BL1958" s="271"/>
      <c r="BM1958" s="270"/>
      <c r="BP1958" s="442">
        <f t="shared" si="286"/>
        <v>1.44</v>
      </c>
      <c r="BQ1958" s="442">
        <v>1.42</v>
      </c>
      <c r="BU1958" s="463">
        <v>0.22916666666666666</v>
      </c>
      <c r="BV1958" s="463">
        <v>0.23379629629629628</v>
      </c>
      <c r="BZ1958" s="22">
        <v>9.9</v>
      </c>
      <c r="CA1958" s="22">
        <v>9.9597222222222186</v>
      </c>
      <c r="CB1958" s="22">
        <v>3.4</v>
      </c>
      <c r="CC1958" s="22">
        <v>3.4</v>
      </c>
      <c r="CD1958" s="22" t="s">
        <v>992</v>
      </c>
      <c r="CE1958" s="552">
        <v>9.9</v>
      </c>
      <c r="CF1958" s="552">
        <v>9.9597222222222186</v>
      </c>
      <c r="CG1958" s="552"/>
      <c r="CH1958" s="552"/>
      <c r="CI1958" s="22" t="s">
        <v>4546</v>
      </c>
      <c r="JB1958" s="271" t="s">
        <v>2083</v>
      </c>
      <c r="JC1958" s="270"/>
      <c r="JD1958" s="276"/>
    </row>
    <row r="1959" spans="1:264" s="22" customFormat="1" x14ac:dyDescent="0.25">
      <c r="A1959" s="269">
        <v>91</v>
      </c>
      <c r="B1959" s="541" t="s">
        <v>4190</v>
      </c>
      <c r="C1959" s="269" t="s">
        <v>768</v>
      </c>
      <c r="D1959" s="270" t="s">
        <v>2118</v>
      </c>
      <c r="E1959" s="269">
        <v>2006</v>
      </c>
      <c r="F1959" s="270">
        <v>1999</v>
      </c>
      <c r="G1959" s="269" t="s">
        <v>946</v>
      </c>
      <c r="H1959" s="269" t="s">
        <v>2032</v>
      </c>
      <c r="I1959" s="252" t="s">
        <v>2815</v>
      </c>
      <c r="J1959" s="270">
        <v>32.56</v>
      </c>
      <c r="K1959" s="270">
        <v>-83.91</v>
      </c>
      <c r="L1959" s="271">
        <v>16</v>
      </c>
      <c r="M1959" s="271">
        <v>18.100000000000001</v>
      </c>
      <c r="N1959" s="270"/>
      <c r="O1959" s="271">
        <v>1258</v>
      </c>
      <c r="P1959" s="270"/>
      <c r="Q1959" s="270"/>
      <c r="R1959" s="271">
        <v>6</v>
      </c>
      <c r="S1959" s="272" t="s">
        <v>1975</v>
      </c>
      <c r="U1959" s="272" t="s">
        <v>2102</v>
      </c>
      <c r="V1959" s="273" t="s">
        <v>1403</v>
      </c>
      <c r="W1959" s="273">
        <v>30</v>
      </c>
      <c r="X1959" s="273" t="s">
        <v>1388</v>
      </c>
      <c r="Y1959" s="273" t="s">
        <v>1417</v>
      </c>
      <c r="Z1959" s="274">
        <f>AVERAGE(Sheet1!BP1959:BQ1959)</f>
        <v>1.6160000000000001</v>
      </c>
      <c r="AA1959" s="365">
        <v>65</v>
      </c>
      <c r="AB1959" s="365">
        <v>25</v>
      </c>
      <c r="AC1959" s="270" t="s">
        <v>240</v>
      </c>
      <c r="AD1959" s="270"/>
      <c r="AE1959" s="270"/>
      <c r="AF1959" s="270"/>
      <c r="AG1959" s="269" t="s">
        <v>2029</v>
      </c>
      <c r="AH1959" s="271" t="s">
        <v>2028</v>
      </c>
      <c r="AI1959" s="270" t="s">
        <v>1582</v>
      </c>
      <c r="AJ1959" s="271" t="s">
        <v>2027</v>
      </c>
      <c r="AK1959" s="270" t="s">
        <v>1646</v>
      </c>
      <c r="AL1959" s="270"/>
      <c r="AM1959" s="270"/>
      <c r="AN1959" s="270"/>
      <c r="AO1959" s="271" t="s">
        <v>772</v>
      </c>
      <c r="AP1959" s="271" t="s">
        <v>772</v>
      </c>
      <c r="AQ1959" s="271" t="s">
        <v>2125</v>
      </c>
      <c r="AR1959" s="271" t="s">
        <v>2125</v>
      </c>
      <c r="AS1959" s="92" t="s">
        <v>177</v>
      </c>
      <c r="AT1959" s="270" t="s">
        <v>161</v>
      </c>
      <c r="AU1959" s="270"/>
      <c r="AV1959" s="275" t="s">
        <v>2025</v>
      </c>
      <c r="AW1959" s="253" t="s">
        <v>160</v>
      </c>
      <c r="AX1959" s="271">
        <v>4</v>
      </c>
      <c r="AY1959" s="271">
        <v>4</v>
      </c>
      <c r="AZ1959" s="270" t="s">
        <v>141</v>
      </c>
      <c r="BA1959" s="270"/>
      <c r="BB1959" s="270"/>
      <c r="BC1959" s="270"/>
      <c r="BD1959" s="270"/>
      <c r="BE1959" s="270"/>
      <c r="BK1959" s="271"/>
      <c r="BL1959" s="271"/>
      <c r="BM1959" s="270"/>
      <c r="BP1959" s="442">
        <f t="shared" si="286"/>
        <v>1.6260000000000001</v>
      </c>
      <c r="BQ1959" s="442">
        <v>1.6060000000000001</v>
      </c>
      <c r="BU1959" s="463">
        <v>0.14145141451414511</v>
      </c>
      <c r="BV1959" s="463">
        <v>0.17220172201722014</v>
      </c>
      <c r="BZ1959" s="22">
        <v>6.8999999999999995</v>
      </c>
      <c r="CA1959" s="22">
        <v>8.296678966789667</v>
      </c>
      <c r="CB1959" s="22">
        <v>3.4</v>
      </c>
      <c r="CC1959" s="22">
        <v>3.4</v>
      </c>
      <c r="CD1959" s="22" t="s">
        <v>992</v>
      </c>
      <c r="CE1959" s="552">
        <v>6.8999999999999995</v>
      </c>
      <c r="CF1959" s="552">
        <v>8.296678966789667</v>
      </c>
      <c r="CG1959" s="552"/>
      <c r="CH1959" s="552"/>
      <c r="CI1959" s="22" t="s">
        <v>4546</v>
      </c>
      <c r="JB1959" s="271" t="s">
        <v>2083</v>
      </c>
      <c r="JC1959" s="270"/>
      <c r="JD1959" s="276"/>
    </row>
    <row r="1960" spans="1:264" s="22" customFormat="1" x14ac:dyDescent="0.25">
      <c r="A1960" s="269">
        <v>91</v>
      </c>
      <c r="B1960" s="541" t="s">
        <v>4191</v>
      </c>
      <c r="C1960" s="269" t="s">
        <v>768</v>
      </c>
      <c r="D1960" s="270" t="s">
        <v>2118</v>
      </c>
      <c r="E1960" s="269">
        <v>2006</v>
      </c>
      <c r="F1960" s="270">
        <v>1999</v>
      </c>
      <c r="G1960" s="269" t="s">
        <v>946</v>
      </c>
      <c r="H1960" s="269" t="s">
        <v>2032</v>
      </c>
      <c r="I1960" s="252" t="s">
        <v>2815</v>
      </c>
      <c r="J1960" s="270">
        <v>32.56</v>
      </c>
      <c r="K1960" s="270">
        <v>-83.91</v>
      </c>
      <c r="L1960" s="271">
        <v>16</v>
      </c>
      <c r="M1960" s="271">
        <v>18.100000000000001</v>
      </c>
      <c r="N1960" s="270"/>
      <c r="O1960" s="271">
        <v>1258</v>
      </c>
      <c r="P1960" s="270"/>
      <c r="Q1960" s="270"/>
      <c r="R1960" s="271">
        <v>6</v>
      </c>
      <c r="S1960" s="272" t="s">
        <v>1975</v>
      </c>
      <c r="U1960" s="272" t="s">
        <v>2102</v>
      </c>
      <c r="V1960" s="273" t="s">
        <v>1415</v>
      </c>
      <c r="W1960" s="273">
        <v>30</v>
      </c>
      <c r="X1960" s="273" t="s">
        <v>1388</v>
      </c>
      <c r="Y1960" s="273" t="s">
        <v>1417</v>
      </c>
      <c r="Z1960" s="274">
        <f>AVERAGE(Sheet1!BP1960:BQ1960)</f>
        <v>1.605</v>
      </c>
      <c r="AA1960" s="365">
        <v>65</v>
      </c>
      <c r="AB1960" s="365">
        <v>25</v>
      </c>
      <c r="AC1960" s="270" t="s">
        <v>240</v>
      </c>
      <c r="AD1960" s="270"/>
      <c r="AE1960" s="270"/>
      <c r="AF1960" s="270"/>
      <c r="AG1960" s="269" t="s">
        <v>2029</v>
      </c>
      <c r="AH1960" s="271" t="s">
        <v>2028</v>
      </c>
      <c r="AI1960" s="270" t="s">
        <v>1582</v>
      </c>
      <c r="AJ1960" s="271" t="s">
        <v>2027</v>
      </c>
      <c r="AK1960" s="270" t="s">
        <v>1646</v>
      </c>
      <c r="AL1960" s="270"/>
      <c r="AM1960" s="270"/>
      <c r="AN1960" s="270"/>
      <c r="AO1960" s="271" t="s">
        <v>772</v>
      </c>
      <c r="AP1960" s="271" t="s">
        <v>772</v>
      </c>
      <c r="AQ1960" s="271" t="s">
        <v>2125</v>
      </c>
      <c r="AR1960" s="271" t="s">
        <v>2125</v>
      </c>
      <c r="AS1960" s="92" t="s">
        <v>2115</v>
      </c>
      <c r="AT1960" s="270" t="s">
        <v>161</v>
      </c>
      <c r="AU1960" s="270"/>
      <c r="AV1960" s="275" t="s">
        <v>2025</v>
      </c>
      <c r="AW1960" s="253" t="s">
        <v>160</v>
      </c>
      <c r="AX1960" s="271">
        <v>4</v>
      </c>
      <c r="AY1960" s="271">
        <v>4</v>
      </c>
      <c r="AZ1960" s="270" t="s">
        <v>141</v>
      </c>
      <c r="BA1960" s="270"/>
      <c r="BB1960" s="270"/>
      <c r="BC1960" s="270"/>
      <c r="BD1960" s="270"/>
      <c r="BE1960" s="270"/>
      <c r="BK1960" s="271"/>
      <c r="BL1960" s="271"/>
      <c r="BM1960" s="270"/>
      <c r="BP1960" s="442">
        <f t="shared" si="286"/>
        <v>1.615</v>
      </c>
      <c r="BQ1960" s="442">
        <v>1.595</v>
      </c>
      <c r="BU1960" s="463">
        <v>0.12590299277605779</v>
      </c>
      <c r="BV1960" s="463">
        <v>0.10113519091847266</v>
      </c>
      <c r="BZ1960" s="22">
        <v>6.1</v>
      </c>
      <c r="CA1960" s="22">
        <v>4.8393188854489164</v>
      </c>
      <c r="CB1960" s="22">
        <v>2.2000000000000002</v>
      </c>
      <c r="CC1960" s="22">
        <v>2.2000000000000002</v>
      </c>
      <c r="CD1960" s="22" t="s">
        <v>992</v>
      </c>
      <c r="CE1960" s="552">
        <v>6.1</v>
      </c>
      <c r="CF1960" s="552">
        <v>4.8393188854489164</v>
      </c>
      <c r="CG1960" s="552"/>
      <c r="CH1960" s="552"/>
      <c r="CI1960" s="22" t="s">
        <v>4546</v>
      </c>
      <c r="JB1960" s="271" t="s">
        <v>2083</v>
      </c>
      <c r="JC1960" s="270"/>
      <c r="JD1960" s="276"/>
    </row>
    <row r="1961" spans="1:264" s="284" customFormat="1" x14ac:dyDescent="0.25">
      <c r="A1961" s="277">
        <v>91</v>
      </c>
      <c r="B1961" s="542" t="s">
        <v>4192</v>
      </c>
      <c r="C1961" s="277" t="s">
        <v>768</v>
      </c>
      <c r="D1961" s="278" t="s">
        <v>2118</v>
      </c>
      <c r="E1961" s="277">
        <v>2006</v>
      </c>
      <c r="F1961" s="278">
        <v>1999</v>
      </c>
      <c r="G1961" s="277" t="s">
        <v>946</v>
      </c>
      <c r="H1961" s="277" t="s">
        <v>2032</v>
      </c>
      <c r="I1961" s="252" t="s">
        <v>2815</v>
      </c>
      <c r="J1961" s="278">
        <v>32.56</v>
      </c>
      <c r="K1961" s="278">
        <v>-83.91</v>
      </c>
      <c r="L1961" s="279">
        <v>16</v>
      </c>
      <c r="M1961" s="279">
        <v>18.100000000000001</v>
      </c>
      <c r="N1961" s="278"/>
      <c r="O1961" s="279">
        <v>1258</v>
      </c>
      <c r="P1961" s="278"/>
      <c r="Q1961" s="278"/>
      <c r="R1961" s="279">
        <v>6</v>
      </c>
      <c r="S1961" s="280" t="s">
        <v>1975</v>
      </c>
      <c r="U1961" s="280" t="s">
        <v>2102</v>
      </c>
      <c r="V1961" s="281" t="s">
        <v>1388</v>
      </c>
      <c r="W1961" s="281">
        <v>10</v>
      </c>
      <c r="X1961" s="281" t="s">
        <v>1388</v>
      </c>
      <c r="Y1961" s="281" t="s">
        <v>1417</v>
      </c>
      <c r="Z1961" s="282">
        <f>AVERAGE(Sheet1!BP1961:BQ1961)</f>
        <v>1.526</v>
      </c>
      <c r="AA1961" s="366">
        <v>65</v>
      </c>
      <c r="AB1961" s="366">
        <v>25</v>
      </c>
      <c r="AC1961" s="278" t="s">
        <v>240</v>
      </c>
      <c r="AD1961" s="278"/>
      <c r="AE1961" s="278"/>
      <c r="AF1961" s="278"/>
      <c r="AG1961" s="277" t="s">
        <v>2029</v>
      </c>
      <c r="AH1961" s="279" t="s">
        <v>2028</v>
      </c>
      <c r="AI1961" s="278" t="s">
        <v>1582</v>
      </c>
      <c r="AJ1961" s="279" t="s">
        <v>2027</v>
      </c>
      <c r="AK1961" s="278" t="s">
        <v>1646</v>
      </c>
      <c r="AL1961" s="278"/>
      <c r="AM1961" s="278"/>
      <c r="AN1961" s="278"/>
      <c r="AO1961" s="279" t="s">
        <v>772</v>
      </c>
      <c r="AP1961" s="279" t="s">
        <v>772</v>
      </c>
      <c r="AQ1961" s="271" t="s">
        <v>2125</v>
      </c>
      <c r="AR1961" s="271" t="s">
        <v>2125</v>
      </c>
      <c r="AS1961" s="92" t="s">
        <v>177</v>
      </c>
      <c r="AT1961" s="278" t="s">
        <v>2031</v>
      </c>
      <c r="AU1961" s="278"/>
      <c r="AV1961" s="283" t="s">
        <v>2025</v>
      </c>
      <c r="AW1961" s="253" t="s">
        <v>160</v>
      </c>
      <c r="AX1961" s="279">
        <v>4</v>
      </c>
      <c r="AY1961" s="279">
        <v>4</v>
      </c>
      <c r="AZ1961" s="278" t="s">
        <v>141</v>
      </c>
      <c r="BA1961" s="278"/>
      <c r="BB1961" s="278"/>
      <c r="BC1961" s="278"/>
      <c r="BD1961" s="278"/>
      <c r="BE1961" s="278"/>
      <c r="BK1961" s="279"/>
      <c r="BL1961" s="279"/>
      <c r="BM1961" s="278"/>
      <c r="BP1961" s="443">
        <f t="shared" si="286"/>
        <v>1.536</v>
      </c>
      <c r="BQ1961" s="443">
        <v>1.516</v>
      </c>
      <c r="BU1961" s="446">
        <v>0.57291666666666674</v>
      </c>
      <c r="BV1961" s="446">
        <v>0.59244791666666663</v>
      </c>
      <c r="BZ1961" s="284">
        <v>8.8000000000000007</v>
      </c>
      <c r="CA1961" s="284">
        <v>8.9815104166666657</v>
      </c>
      <c r="CB1961" s="284">
        <v>1</v>
      </c>
      <c r="CC1961" s="284">
        <v>1</v>
      </c>
      <c r="CD1961" s="22" t="s">
        <v>992</v>
      </c>
      <c r="CE1961" s="590">
        <v>8.8000000000000007</v>
      </c>
      <c r="CF1961" s="590">
        <v>8.9815104166666657</v>
      </c>
      <c r="CG1961" s="590"/>
      <c r="CH1961" s="590"/>
      <c r="CI1961" s="22" t="s">
        <v>4546</v>
      </c>
      <c r="JB1961" s="279" t="s">
        <v>2083</v>
      </c>
      <c r="JC1961" s="278"/>
      <c r="JD1961" s="285"/>
    </row>
    <row r="1962" spans="1:264" s="284" customFormat="1" x14ac:dyDescent="0.25">
      <c r="A1962" s="277">
        <v>91</v>
      </c>
      <c r="B1962" s="542" t="s">
        <v>4193</v>
      </c>
      <c r="C1962" s="277" t="s">
        <v>768</v>
      </c>
      <c r="D1962" s="278" t="s">
        <v>2118</v>
      </c>
      <c r="E1962" s="277">
        <v>2006</v>
      </c>
      <c r="F1962" s="278">
        <v>1999</v>
      </c>
      <c r="G1962" s="277" t="s">
        <v>946</v>
      </c>
      <c r="H1962" s="277" t="s">
        <v>2032</v>
      </c>
      <c r="I1962" s="252" t="s">
        <v>2815</v>
      </c>
      <c r="J1962" s="278">
        <v>32.56</v>
      </c>
      <c r="K1962" s="278">
        <v>-83.91</v>
      </c>
      <c r="L1962" s="279">
        <v>16</v>
      </c>
      <c r="M1962" s="279">
        <v>18.100000000000001</v>
      </c>
      <c r="N1962" s="278"/>
      <c r="O1962" s="279">
        <v>1258</v>
      </c>
      <c r="P1962" s="278"/>
      <c r="Q1962" s="278"/>
      <c r="R1962" s="279">
        <v>6</v>
      </c>
      <c r="S1962" s="280" t="s">
        <v>1975</v>
      </c>
      <c r="U1962" s="280" t="s">
        <v>2102</v>
      </c>
      <c r="V1962" s="281" t="s">
        <v>1408</v>
      </c>
      <c r="W1962" s="281">
        <v>20</v>
      </c>
      <c r="X1962" s="281" t="s">
        <v>1388</v>
      </c>
      <c r="Y1962" s="281" t="s">
        <v>1417</v>
      </c>
      <c r="Z1962" s="282">
        <f>AVERAGE(Sheet1!BP1962:BQ1962)</f>
        <v>1.5189999999999999</v>
      </c>
      <c r="AA1962" s="366">
        <v>65</v>
      </c>
      <c r="AB1962" s="366">
        <v>25</v>
      </c>
      <c r="AC1962" s="278" t="s">
        <v>240</v>
      </c>
      <c r="AD1962" s="278"/>
      <c r="AE1962" s="278"/>
      <c r="AF1962" s="278"/>
      <c r="AG1962" s="277" t="s">
        <v>2029</v>
      </c>
      <c r="AH1962" s="279" t="s">
        <v>2028</v>
      </c>
      <c r="AI1962" s="278" t="s">
        <v>1582</v>
      </c>
      <c r="AJ1962" s="279" t="s">
        <v>2027</v>
      </c>
      <c r="AK1962" s="278" t="s">
        <v>1646</v>
      </c>
      <c r="AL1962" s="278"/>
      <c r="AM1962" s="278"/>
      <c r="AN1962" s="278"/>
      <c r="AO1962" s="279" t="s">
        <v>772</v>
      </c>
      <c r="AP1962" s="279" t="s">
        <v>772</v>
      </c>
      <c r="AQ1962" s="271" t="s">
        <v>2125</v>
      </c>
      <c r="AR1962" s="271" t="s">
        <v>2125</v>
      </c>
      <c r="AS1962" s="92" t="s">
        <v>2115</v>
      </c>
      <c r="AT1962" s="278" t="s">
        <v>2031</v>
      </c>
      <c r="AU1962" s="278"/>
      <c r="AV1962" s="283" t="s">
        <v>2025</v>
      </c>
      <c r="AW1962" s="253" t="s">
        <v>160</v>
      </c>
      <c r="AX1962" s="279">
        <v>4</v>
      </c>
      <c r="AY1962" s="279">
        <v>4</v>
      </c>
      <c r="AZ1962" s="278" t="s">
        <v>141</v>
      </c>
      <c r="BA1962" s="278"/>
      <c r="BB1962" s="278"/>
      <c r="BC1962" s="278"/>
      <c r="BD1962" s="278"/>
      <c r="BE1962" s="278"/>
      <c r="BK1962" s="279"/>
      <c r="BL1962" s="279"/>
      <c r="BM1962" s="278"/>
      <c r="BP1962" s="443">
        <f t="shared" si="286"/>
        <v>1.5289999999999999</v>
      </c>
      <c r="BQ1962" s="443">
        <v>1.5089999999999999</v>
      </c>
      <c r="BU1962" s="446">
        <v>0.45781556572923476</v>
      </c>
      <c r="BV1962" s="446">
        <v>0.48724656638325708</v>
      </c>
      <c r="BZ1962" s="284">
        <v>13.999999999999998</v>
      </c>
      <c r="CA1962" s="284">
        <v>14.705101373446697</v>
      </c>
      <c r="CB1962" s="284">
        <v>2.2999999999999998</v>
      </c>
      <c r="CC1962" s="284">
        <v>2.2999999999999998</v>
      </c>
      <c r="CD1962" s="22" t="s">
        <v>992</v>
      </c>
      <c r="CE1962" s="590">
        <v>13.999999999999998</v>
      </c>
      <c r="CF1962" s="590">
        <v>14.705101373446697</v>
      </c>
      <c r="CG1962" s="590"/>
      <c r="CH1962" s="590"/>
      <c r="CI1962" s="22" t="s">
        <v>4546</v>
      </c>
      <c r="JB1962" s="279" t="s">
        <v>2083</v>
      </c>
      <c r="JC1962" s="278"/>
      <c r="JD1962" s="285"/>
    </row>
    <row r="1963" spans="1:264" s="284" customFormat="1" x14ac:dyDescent="0.25">
      <c r="A1963" s="277">
        <v>91</v>
      </c>
      <c r="B1963" s="542" t="s">
        <v>4194</v>
      </c>
      <c r="C1963" s="277" t="s">
        <v>768</v>
      </c>
      <c r="D1963" s="278" t="s">
        <v>2118</v>
      </c>
      <c r="E1963" s="277">
        <v>2006</v>
      </c>
      <c r="F1963" s="278">
        <v>1999</v>
      </c>
      <c r="G1963" s="277" t="s">
        <v>946</v>
      </c>
      <c r="H1963" s="277" t="s">
        <v>2032</v>
      </c>
      <c r="I1963" s="252" t="s">
        <v>2815</v>
      </c>
      <c r="J1963" s="278">
        <v>32.56</v>
      </c>
      <c r="K1963" s="278">
        <v>-83.91</v>
      </c>
      <c r="L1963" s="279">
        <v>16</v>
      </c>
      <c r="M1963" s="279">
        <v>18.100000000000001</v>
      </c>
      <c r="N1963" s="278"/>
      <c r="O1963" s="279">
        <v>1258</v>
      </c>
      <c r="P1963" s="278"/>
      <c r="Q1963" s="278"/>
      <c r="R1963" s="279">
        <v>6</v>
      </c>
      <c r="S1963" s="280" t="s">
        <v>1975</v>
      </c>
      <c r="U1963" s="280" t="s">
        <v>2102</v>
      </c>
      <c r="V1963" s="281" t="s">
        <v>1402</v>
      </c>
      <c r="W1963" s="281">
        <v>30</v>
      </c>
      <c r="X1963" s="281" t="s">
        <v>1388</v>
      </c>
      <c r="Y1963" s="281" t="s">
        <v>1417</v>
      </c>
      <c r="Z1963" s="282">
        <f>AVERAGE(Sheet1!BP1963:BQ1963)</f>
        <v>1.43</v>
      </c>
      <c r="AA1963" s="366">
        <v>65</v>
      </c>
      <c r="AB1963" s="366">
        <v>25</v>
      </c>
      <c r="AC1963" s="278" t="s">
        <v>240</v>
      </c>
      <c r="AD1963" s="278"/>
      <c r="AE1963" s="278"/>
      <c r="AF1963" s="278"/>
      <c r="AG1963" s="277" t="s">
        <v>2029</v>
      </c>
      <c r="AH1963" s="279" t="s">
        <v>2028</v>
      </c>
      <c r="AI1963" s="278" t="s">
        <v>1582</v>
      </c>
      <c r="AJ1963" s="279" t="s">
        <v>2027</v>
      </c>
      <c r="AK1963" s="278" t="s">
        <v>1646</v>
      </c>
      <c r="AL1963" s="278"/>
      <c r="AM1963" s="278"/>
      <c r="AN1963" s="278"/>
      <c r="AO1963" s="279" t="s">
        <v>772</v>
      </c>
      <c r="AP1963" s="279" t="s">
        <v>772</v>
      </c>
      <c r="AQ1963" s="271" t="s">
        <v>2125</v>
      </c>
      <c r="AR1963" s="271" t="s">
        <v>2125</v>
      </c>
      <c r="AS1963" s="92" t="s">
        <v>177</v>
      </c>
      <c r="AT1963" s="278" t="s">
        <v>2031</v>
      </c>
      <c r="AU1963" s="278"/>
      <c r="AV1963" s="283" t="s">
        <v>2025</v>
      </c>
      <c r="AW1963" s="253" t="s">
        <v>160</v>
      </c>
      <c r="AX1963" s="279">
        <v>4</v>
      </c>
      <c r="AY1963" s="279">
        <v>4</v>
      </c>
      <c r="AZ1963" s="278" t="s">
        <v>141</v>
      </c>
      <c r="BA1963" s="278"/>
      <c r="BB1963" s="278"/>
      <c r="BC1963" s="278"/>
      <c r="BD1963" s="278"/>
      <c r="BE1963" s="278"/>
      <c r="BK1963" s="279"/>
      <c r="BL1963" s="279"/>
      <c r="BM1963" s="278"/>
      <c r="BP1963" s="443">
        <f t="shared" si="286"/>
        <v>1.44</v>
      </c>
      <c r="BQ1963" s="443">
        <v>1.42</v>
      </c>
      <c r="BU1963" s="446">
        <v>0.23379629629629628</v>
      </c>
      <c r="BV1963" s="446">
        <v>0.24537037037037035</v>
      </c>
      <c r="BZ1963" s="284">
        <v>10.099999999999998</v>
      </c>
      <c r="CA1963" s="284">
        <v>10.452777777777778</v>
      </c>
      <c r="CB1963" s="284">
        <v>3.4</v>
      </c>
      <c r="CC1963" s="284">
        <v>3.4</v>
      </c>
      <c r="CD1963" s="22" t="s">
        <v>992</v>
      </c>
      <c r="CE1963" s="590">
        <v>10.099999999999998</v>
      </c>
      <c r="CF1963" s="590">
        <v>10.452777777777778</v>
      </c>
      <c r="CG1963" s="590"/>
      <c r="CH1963" s="590"/>
      <c r="CI1963" s="22" t="s">
        <v>4546</v>
      </c>
      <c r="JB1963" s="279" t="s">
        <v>2083</v>
      </c>
      <c r="JC1963" s="278"/>
      <c r="JD1963" s="285"/>
    </row>
    <row r="1964" spans="1:264" s="284" customFormat="1" x14ac:dyDescent="0.25">
      <c r="A1964" s="277">
        <v>91</v>
      </c>
      <c r="B1964" s="542" t="s">
        <v>4195</v>
      </c>
      <c r="C1964" s="277" t="s">
        <v>768</v>
      </c>
      <c r="D1964" s="278" t="s">
        <v>2118</v>
      </c>
      <c r="E1964" s="277">
        <v>2006</v>
      </c>
      <c r="F1964" s="278">
        <v>1999</v>
      </c>
      <c r="G1964" s="277" t="s">
        <v>946</v>
      </c>
      <c r="H1964" s="277" t="s">
        <v>2032</v>
      </c>
      <c r="I1964" s="252" t="s">
        <v>2815</v>
      </c>
      <c r="J1964" s="278">
        <v>32.56</v>
      </c>
      <c r="K1964" s="278">
        <v>-83.91</v>
      </c>
      <c r="L1964" s="279">
        <v>16</v>
      </c>
      <c r="M1964" s="279">
        <v>18.100000000000001</v>
      </c>
      <c r="N1964" s="278"/>
      <c r="O1964" s="279">
        <v>1258</v>
      </c>
      <c r="P1964" s="278"/>
      <c r="Q1964" s="278"/>
      <c r="R1964" s="279">
        <v>6</v>
      </c>
      <c r="S1964" s="280" t="s">
        <v>1975</v>
      </c>
      <c r="U1964" s="280" t="s">
        <v>2102</v>
      </c>
      <c r="V1964" s="281" t="s">
        <v>1403</v>
      </c>
      <c r="W1964" s="281">
        <v>30</v>
      </c>
      <c r="X1964" s="281" t="s">
        <v>1388</v>
      </c>
      <c r="Y1964" s="281" t="s">
        <v>1417</v>
      </c>
      <c r="Z1964" s="282">
        <f>AVERAGE(Sheet1!BP1964:BQ1964)</f>
        <v>1.6160000000000001</v>
      </c>
      <c r="AA1964" s="366">
        <v>65</v>
      </c>
      <c r="AB1964" s="366">
        <v>25</v>
      </c>
      <c r="AC1964" s="278" t="s">
        <v>240</v>
      </c>
      <c r="AD1964" s="278"/>
      <c r="AE1964" s="278"/>
      <c r="AF1964" s="278"/>
      <c r="AG1964" s="277" t="s">
        <v>2029</v>
      </c>
      <c r="AH1964" s="279" t="s">
        <v>2028</v>
      </c>
      <c r="AI1964" s="278" t="s">
        <v>1582</v>
      </c>
      <c r="AJ1964" s="279" t="s">
        <v>2027</v>
      </c>
      <c r="AK1964" s="278" t="s">
        <v>1646</v>
      </c>
      <c r="AL1964" s="278"/>
      <c r="AM1964" s="278"/>
      <c r="AN1964" s="278"/>
      <c r="AO1964" s="279" t="s">
        <v>772</v>
      </c>
      <c r="AP1964" s="279" t="s">
        <v>772</v>
      </c>
      <c r="AQ1964" s="271" t="s">
        <v>2125</v>
      </c>
      <c r="AR1964" s="271" t="s">
        <v>2125</v>
      </c>
      <c r="AS1964" s="92" t="s">
        <v>2115</v>
      </c>
      <c r="AT1964" s="278" t="s">
        <v>2031</v>
      </c>
      <c r="AU1964" s="278"/>
      <c r="AV1964" s="283" t="s">
        <v>2025</v>
      </c>
      <c r="AW1964" s="253" t="s">
        <v>160</v>
      </c>
      <c r="AX1964" s="279">
        <v>4</v>
      </c>
      <c r="AY1964" s="279">
        <v>4</v>
      </c>
      <c r="AZ1964" s="278" t="s">
        <v>141</v>
      </c>
      <c r="BA1964" s="278"/>
      <c r="BB1964" s="278"/>
      <c r="BC1964" s="278"/>
      <c r="BD1964" s="278"/>
      <c r="BE1964" s="278"/>
      <c r="BK1964" s="279"/>
      <c r="BL1964" s="279"/>
      <c r="BM1964" s="278"/>
      <c r="BP1964" s="443">
        <f t="shared" si="286"/>
        <v>1.6260000000000001</v>
      </c>
      <c r="BQ1964" s="443">
        <v>1.6060000000000001</v>
      </c>
      <c r="BU1964" s="446">
        <v>0.16400164001640014</v>
      </c>
      <c r="BV1964" s="446">
        <v>0.14965149651496512</v>
      </c>
      <c r="BZ1964" s="284">
        <v>7.9999999999999991</v>
      </c>
      <c r="CA1964" s="284">
        <v>7.2102091020910191</v>
      </c>
      <c r="CB1964" s="284">
        <v>3.4</v>
      </c>
      <c r="CC1964" s="284">
        <v>3.4</v>
      </c>
      <c r="CD1964" s="22" t="s">
        <v>992</v>
      </c>
      <c r="CE1964" s="590">
        <v>7.9999999999999991</v>
      </c>
      <c r="CF1964" s="590">
        <v>7.2102091020910191</v>
      </c>
      <c r="CG1964" s="590"/>
      <c r="CH1964" s="590"/>
      <c r="CI1964" s="22" t="s">
        <v>4546</v>
      </c>
      <c r="JB1964" s="279" t="s">
        <v>2083</v>
      </c>
      <c r="JC1964" s="278"/>
      <c r="JD1964" s="285"/>
    </row>
    <row r="1965" spans="1:264" s="284" customFormat="1" x14ac:dyDescent="0.25">
      <c r="A1965" s="277">
        <v>91</v>
      </c>
      <c r="B1965" s="542" t="s">
        <v>4196</v>
      </c>
      <c r="C1965" s="277" t="s">
        <v>768</v>
      </c>
      <c r="D1965" s="278" t="s">
        <v>2118</v>
      </c>
      <c r="E1965" s="277">
        <v>2006</v>
      </c>
      <c r="F1965" s="278">
        <v>1999</v>
      </c>
      <c r="G1965" s="277" t="s">
        <v>946</v>
      </c>
      <c r="H1965" s="277" t="s">
        <v>2032</v>
      </c>
      <c r="I1965" s="252" t="s">
        <v>2815</v>
      </c>
      <c r="J1965" s="278">
        <v>32.56</v>
      </c>
      <c r="K1965" s="278">
        <v>-83.91</v>
      </c>
      <c r="L1965" s="279">
        <v>16</v>
      </c>
      <c r="M1965" s="279">
        <v>18.100000000000001</v>
      </c>
      <c r="N1965" s="278"/>
      <c r="O1965" s="279">
        <v>1258</v>
      </c>
      <c r="P1965" s="278"/>
      <c r="Q1965" s="278"/>
      <c r="R1965" s="279">
        <v>6</v>
      </c>
      <c r="S1965" s="280" t="s">
        <v>1975</v>
      </c>
      <c r="U1965" s="280" t="s">
        <v>2102</v>
      </c>
      <c r="V1965" s="281" t="s">
        <v>1415</v>
      </c>
      <c r="W1965" s="281">
        <v>30</v>
      </c>
      <c r="X1965" s="281" t="s">
        <v>1388</v>
      </c>
      <c r="Y1965" s="281" t="s">
        <v>1417</v>
      </c>
      <c r="Z1965" s="282">
        <f>AVERAGE(Sheet1!BP1965:BQ1965)</f>
        <v>1.605</v>
      </c>
      <c r="AA1965" s="366">
        <v>65</v>
      </c>
      <c r="AB1965" s="366">
        <v>25</v>
      </c>
      <c r="AC1965" s="278" t="s">
        <v>240</v>
      </c>
      <c r="AD1965" s="278"/>
      <c r="AE1965" s="278"/>
      <c r="AF1965" s="278"/>
      <c r="AG1965" s="277" t="s">
        <v>2029</v>
      </c>
      <c r="AH1965" s="279" t="s">
        <v>2028</v>
      </c>
      <c r="AI1965" s="278" t="s">
        <v>1582</v>
      </c>
      <c r="AJ1965" s="279" t="s">
        <v>2027</v>
      </c>
      <c r="AK1965" s="278" t="s">
        <v>1646</v>
      </c>
      <c r="AL1965" s="278"/>
      <c r="AM1965" s="278"/>
      <c r="AN1965" s="278"/>
      <c r="AO1965" s="279" t="s">
        <v>772</v>
      </c>
      <c r="AP1965" s="279" t="s">
        <v>772</v>
      </c>
      <c r="AQ1965" s="271" t="s">
        <v>2125</v>
      </c>
      <c r="AR1965" s="271" t="s">
        <v>2125</v>
      </c>
      <c r="AS1965" s="92" t="s">
        <v>177</v>
      </c>
      <c r="AT1965" s="278" t="s">
        <v>2031</v>
      </c>
      <c r="AU1965" s="278"/>
      <c r="AV1965" s="283" t="s">
        <v>2025</v>
      </c>
      <c r="AW1965" s="253" t="s">
        <v>160</v>
      </c>
      <c r="AX1965" s="279">
        <v>4</v>
      </c>
      <c r="AY1965" s="279">
        <v>4</v>
      </c>
      <c r="AZ1965" s="278" t="s">
        <v>141</v>
      </c>
      <c r="BA1965" s="278"/>
      <c r="BB1965" s="278"/>
      <c r="BC1965" s="278"/>
      <c r="BD1965" s="278"/>
      <c r="BE1965" s="278"/>
      <c r="BK1965" s="279"/>
      <c r="BL1965" s="279"/>
      <c r="BM1965" s="278"/>
      <c r="BP1965" s="443">
        <f t="shared" si="286"/>
        <v>1.615</v>
      </c>
      <c r="BQ1965" s="443">
        <v>1.595</v>
      </c>
      <c r="BU1965" s="446">
        <v>0.1155830753353973</v>
      </c>
      <c r="BV1965" s="446">
        <v>0.11145510835913314</v>
      </c>
      <c r="BZ1965" s="284">
        <v>5.6</v>
      </c>
      <c r="CA1965" s="284">
        <v>5.3331269349845201</v>
      </c>
      <c r="CB1965" s="284">
        <v>2.2000000000000002</v>
      </c>
      <c r="CC1965" s="284">
        <v>2.2000000000000002</v>
      </c>
      <c r="CD1965" s="22" t="s">
        <v>992</v>
      </c>
      <c r="CE1965" s="590">
        <v>5.6</v>
      </c>
      <c r="CF1965" s="590">
        <v>5.3331269349845201</v>
      </c>
      <c r="CG1965" s="590"/>
      <c r="CH1965" s="590"/>
      <c r="CI1965" s="22" t="s">
        <v>4546</v>
      </c>
      <c r="JB1965" s="279" t="s">
        <v>2083</v>
      </c>
      <c r="JC1965" s="278"/>
      <c r="JD1965" s="285"/>
    </row>
    <row r="1966" spans="1:264" s="22" customFormat="1" x14ac:dyDescent="0.25">
      <c r="A1966" s="269">
        <v>91</v>
      </c>
      <c r="B1966" s="541" t="s">
        <v>4197</v>
      </c>
      <c r="C1966" s="269" t="s">
        <v>768</v>
      </c>
      <c r="D1966" s="270" t="s">
        <v>2118</v>
      </c>
      <c r="E1966" s="269">
        <v>2006</v>
      </c>
      <c r="F1966" s="270">
        <v>1999</v>
      </c>
      <c r="G1966" s="269" t="s">
        <v>946</v>
      </c>
      <c r="H1966" s="269" t="s">
        <v>2032</v>
      </c>
      <c r="I1966" s="252" t="s">
        <v>2815</v>
      </c>
      <c r="J1966" s="270">
        <v>32.56</v>
      </c>
      <c r="K1966" s="270">
        <v>-83.91</v>
      </c>
      <c r="L1966" s="271">
        <v>16</v>
      </c>
      <c r="M1966" s="271">
        <v>18.100000000000001</v>
      </c>
      <c r="N1966" s="270"/>
      <c r="O1966" s="271">
        <v>1258</v>
      </c>
      <c r="P1966" s="270"/>
      <c r="Q1966" s="270"/>
      <c r="R1966" s="271">
        <v>6</v>
      </c>
      <c r="S1966" s="272" t="s">
        <v>1975</v>
      </c>
      <c r="U1966" s="272" t="s">
        <v>2102</v>
      </c>
      <c r="V1966" s="273" t="s">
        <v>1388</v>
      </c>
      <c r="W1966" s="273">
        <v>10</v>
      </c>
      <c r="X1966" s="273" t="s">
        <v>1388</v>
      </c>
      <c r="Y1966" s="273" t="s">
        <v>1417</v>
      </c>
      <c r="Z1966" s="274">
        <f>AVERAGE(Sheet1!BP1966:BQ1966)</f>
        <v>1.526</v>
      </c>
      <c r="AA1966" s="365">
        <v>65</v>
      </c>
      <c r="AB1966" s="365">
        <v>25</v>
      </c>
      <c r="AC1966" s="270" t="s">
        <v>240</v>
      </c>
      <c r="AD1966" s="270"/>
      <c r="AE1966" s="270"/>
      <c r="AF1966" s="270"/>
      <c r="AG1966" s="269" t="s">
        <v>2029</v>
      </c>
      <c r="AH1966" s="271" t="s">
        <v>2028</v>
      </c>
      <c r="AI1966" s="270" t="s">
        <v>1582</v>
      </c>
      <c r="AJ1966" s="271" t="s">
        <v>2027</v>
      </c>
      <c r="AK1966" s="270" t="s">
        <v>1646</v>
      </c>
      <c r="AL1966" s="270"/>
      <c r="AM1966" s="270"/>
      <c r="AN1966" s="270"/>
      <c r="AO1966" s="271" t="s">
        <v>772</v>
      </c>
      <c r="AP1966" s="271" t="s">
        <v>772</v>
      </c>
      <c r="AQ1966" s="271" t="s">
        <v>2125</v>
      </c>
      <c r="AR1966" s="271" t="s">
        <v>2125</v>
      </c>
      <c r="AS1966" s="92" t="s">
        <v>2115</v>
      </c>
      <c r="AT1966" s="270" t="s">
        <v>2026</v>
      </c>
      <c r="AU1966" s="270"/>
      <c r="AV1966" s="275" t="s">
        <v>2025</v>
      </c>
      <c r="AW1966" s="253" t="s">
        <v>160</v>
      </c>
      <c r="AX1966" s="271">
        <v>4</v>
      </c>
      <c r="AY1966" s="271">
        <v>4</v>
      </c>
      <c r="AZ1966" s="270" t="s">
        <v>141</v>
      </c>
      <c r="BA1966" s="270"/>
      <c r="BB1966" s="270"/>
      <c r="BC1966" s="270"/>
      <c r="BD1966" s="270"/>
      <c r="BE1966" s="270"/>
      <c r="BK1966" s="271"/>
      <c r="BL1966" s="271"/>
      <c r="BM1966" s="270"/>
      <c r="BP1966" s="442">
        <f t="shared" si="286"/>
        <v>1.536</v>
      </c>
      <c r="BQ1966" s="442">
        <v>1.516</v>
      </c>
      <c r="BU1966" s="463">
        <v>0.6640625</v>
      </c>
      <c r="BV1966" s="463">
        <v>0.703125</v>
      </c>
      <c r="BZ1966" s="22">
        <v>10.200000000000001</v>
      </c>
      <c r="CA1966" s="22">
        <v>10.659375000000001</v>
      </c>
      <c r="CB1966" s="22">
        <v>1</v>
      </c>
      <c r="CC1966" s="22">
        <v>1</v>
      </c>
      <c r="CD1966" s="22" t="s">
        <v>992</v>
      </c>
      <c r="CE1966" s="552">
        <v>10.200000000000001</v>
      </c>
      <c r="CF1966" s="552">
        <v>10.659375000000001</v>
      </c>
      <c r="CG1966" s="552"/>
      <c r="CH1966" s="552"/>
      <c r="CI1966" s="22" t="s">
        <v>4546</v>
      </c>
      <c r="JB1966" s="271" t="s">
        <v>2083</v>
      </c>
      <c r="JC1966" s="270"/>
      <c r="JD1966" s="276"/>
    </row>
    <row r="1967" spans="1:264" s="22" customFormat="1" x14ac:dyDescent="0.25">
      <c r="A1967" s="269">
        <v>91</v>
      </c>
      <c r="B1967" s="541" t="s">
        <v>4198</v>
      </c>
      <c r="C1967" s="269" t="s">
        <v>768</v>
      </c>
      <c r="D1967" s="270" t="s">
        <v>2118</v>
      </c>
      <c r="E1967" s="269">
        <v>2006</v>
      </c>
      <c r="F1967" s="270">
        <v>1999</v>
      </c>
      <c r="G1967" s="269" t="s">
        <v>946</v>
      </c>
      <c r="H1967" s="269" t="s">
        <v>2032</v>
      </c>
      <c r="I1967" s="252" t="s">
        <v>2815</v>
      </c>
      <c r="J1967" s="270">
        <v>32.56</v>
      </c>
      <c r="K1967" s="270">
        <v>-83.91</v>
      </c>
      <c r="L1967" s="271">
        <v>16</v>
      </c>
      <c r="M1967" s="271">
        <v>18.100000000000001</v>
      </c>
      <c r="N1967" s="270"/>
      <c r="O1967" s="271">
        <v>1258</v>
      </c>
      <c r="P1967" s="270"/>
      <c r="Q1967" s="270"/>
      <c r="R1967" s="271">
        <v>6</v>
      </c>
      <c r="S1967" s="272" t="s">
        <v>1975</v>
      </c>
      <c r="U1967" s="272" t="s">
        <v>2102</v>
      </c>
      <c r="V1967" s="273" t="s">
        <v>1408</v>
      </c>
      <c r="W1967" s="273">
        <v>20</v>
      </c>
      <c r="X1967" s="273" t="s">
        <v>1388</v>
      </c>
      <c r="Y1967" s="273" t="s">
        <v>1417</v>
      </c>
      <c r="Z1967" s="274">
        <f>AVERAGE(Sheet1!BP1967:BQ1967)</f>
        <v>1.5189999999999999</v>
      </c>
      <c r="AA1967" s="365">
        <v>65</v>
      </c>
      <c r="AB1967" s="365">
        <v>25</v>
      </c>
      <c r="AC1967" s="270" t="s">
        <v>240</v>
      </c>
      <c r="AD1967" s="270"/>
      <c r="AE1967" s="270"/>
      <c r="AF1967" s="270"/>
      <c r="AG1967" s="269" t="s">
        <v>2029</v>
      </c>
      <c r="AH1967" s="271" t="s">
        <v>2028</v>
      </c>
      <c r="AI1967" s="270" t="s">
        <v>1582</v>
      </c>
      <c r="AJ1967" s="271" t="s">
        <v>2027</v>
      </c>
      <c r="AK1967" s="270" t="s">
        <v>1646</v>
      </c>
      <c r="AL1967" s="270"/>
      <c r="AM1967" s="270"/>
      <c r="AN1967" s="270"/>
      <c r="AO1967" s="271" t="s">
        <v>772</v>
      </c>
      <c r="AP1967" s="271" t="s">
        <v>772</v>
      </c>
      <c r="AQ1967" s="271" t="s">
        <v>2125</v>
      </c>
      <c r="AR1967" s="271" t="s">
        <v>2125</v>
      </c>
      <c r="AS1967" s="92" t="s">
        <v>177</v>
      </c>
      <c r="AT1967" s="270" t="s">
        <v>2026</v>
      </c>
      <c r="AU1967" s="270"/>
      <c r="AV1967" s="275" t="s">
        <v>2025</v>
      </c>
      <c r="AW1967" s="253" t="s">
        <v>160</v>
      </c>
      <c r="AX1967" s="271">
        <v>4</v>
      </c>
      <c r="AY1967" s="271">
        <v>4</v>
      </c>
      <c r="AZ1967" s="270" t="s">
        <v>141</v>
      </c>
      <c r="BA1967" s="270"/>
      <c r="BB1967" s="270"/>
      <c r="BC1967" s="270"/>
      <c r="BD1967" s="270"/>
      <c r="BE1967" s="270"/>
      <c r="BK1967" s="271"/>
      <c r="BL1967" s="271"/>
      <c r="BM1967" s="270"/>
      <c r="BP1967" s="442">
        <f t="shared" si="286"/>
        <v>1.5289999999999999</v>
      </c>
      <c r="BQ1967" s="442">
        <v>1.5089999999999999</v>
      </c>
      <c r="BU1967" s="463">
        <v>0.50686723348593854</v>
      </c>
      <c r="BV1967" s="463">
        <v>0.4937867887508175</v>
      </c>
      <c r="BZ1967" s="22">
        <v>15.5</v>
      </c>
      <c r="CA1967" s="22">
        <v>14.902485284499669</v>
      </c>
      <c r="CB1967" s="22">
        <v>2.2999999999999998</v>
      </c>
      <c r="CC1967" s="22">
        <v>2.2999999999999998</v>
      </c>
      <c r="CD1967" s="22" t="s">
        <v>992</v>
      </c>
      <c r="CE1967" s="552">
        <v>15.5</v>
      </c>
      <c r="CF1967" s="552">
        <v>14.902485284499669</v>
      </c>
      <c r="CG1967" s="552"/>
      <c r="CH1967" s="552"/>
      <c r="CI1967" s="22" t="s">
        <v>4546</v>
      </c>
      <c r="JB1967" s="271" t="s">
        <v>2083</v>
      </c>
      <c r="JC1967" s="270"/>
      <c r="JD1967" s="276"/>
    </row>
    <row r="1968" spans="1:264" s="22" customFormat="1" x14ac:dyDescent="0.25">
      <c r="A1968" s="269">
        <v>91</v>
      </c>
      <c r="B1968" s="541" t="s">
        <v>4199</v>
      </c>
      <c r="C1968" s="269" t="s">
        <v>768</v>
      </c>
      <c r="D1968" s="270" t="s">
        <v>2118</v>
      </c>
      <c r="E1968" s="269">
        <v>2006</v>
      </c>
      <c r="F1968" s="270">
        <v>1999</v>
      </c>
      <c r="G1968" s="269" t="s">
        <v>946</v>
      </c>
      <c r="H1968" s="269" t="s">
        <v>2032</v>
      </c>
      <c r="I1968" s="252" t="s">
        <v>2815</v>
      </c>
      <c r="J1968" s="270">
        <v>32.56</v>
      </c>
      <c r="K1968" s="270">
        <v>-83.91</v>
      </c>
      <c r="L1968" s="271">
        <v>16</v>
      </c>
      <c r="M1968" s="271">
        <v>18.100000000000001</v>
      </c>
      <c r="N1968" s="270"/>
      <c r="O1968" s="271">
        <v>1258</v>
      </c>
      <c r="P1968" s="270"/>
      <c r="Q1968" s="270"/>
      <c r="R1968" s="271">
        <v>6</v>
      </c>
      <c r="S1968" s="272" t="s">
        <v>1975</v>
      </c>
      <c r="U1968" s="272" t="s">
        <v>2102</v>
      </c>
      <c r="V1968" s="273" t="s">
        <v>1402</v>
      </c>
      <c r="W1968" s="273">
        <v>30</v>
      </c>
      <c r="X1968" s="273" t="s">
        <v>1388</v>
      </c>
      <c r="Y1968" s="273" t="s">
        <v>1417</v>
      </c>
      <c r="Z1968" s="274">
        <f>AVERAGE(Sheet1!BP1968:BQ1968)</f>
        <v>1.43</v>
      </c>
      <c r="AA1968" s="365">
        <v>65</v>
      </c>
      <c r="AB1968" s="365">
        <v>25</v>
      </c>
      <c r="AC1968" s="270" t="s">
        <v>240</v>
      </c>
      <c r="AD1968" s="270"/>
      <c r="AE1968" s="270"/>
      <c r="AF1968" s="270"/>
      <c r="AG1968" s="269" t="s">
        <v>2029</v>
      </c>
      <c r="AH1968" s="271" t="s">
        <v>2028</v>
      </c>
      <c r="AI1968" s="270" t="s">
        <v>1582</v>
      </c>
      <c r="AJ1968" s="271" t="s">
        <v>2027</v>
      </c>
      <c r="AK1968" s="270" t="s">
        <v>1646</v>
      </c>
      <c r="AL1968" s="270"/>
      <c r="AM1968" s="270"/>
      <c r="AN1968" s="270"/>
      <c r="AO1968" s="271" t="s">
        <v>772</v>
      </c>
      <c r="AP1968" s="271" t="s">
        <v>772</v>
      </c>
      <c r="AQ1968" s="271" t="s">
        <v>2125</v>
      </c>
      <c r="AR1968" s="271" t="s">
        <v>2125</v>
      </c>
      <c r="AS1968" s="92" t="s">
        <v>2115</v>
      </c>
      <c r="AT1968" s="270" t="s">
        <v>2026</v>
      </c>
      <c r="AU1968" s="270"/>
      <c r="AV1968" s="275" t="s">
        <v>2025</v>
      </c>
      <c r="AW1968" s="253" t="s">
        <v>160</v>
      </c>
      <c r="AX1968" s="271">
        <v>4</v>
      </c>
      <c r="AY1968" s="271">
        <v>4</v>
      </c>
      <c r="AZ1968" s="270" t="s">
        <v>141</v>
      </c>
      <c r="BA1968" s="270"/>
      <c r="BB1968" s="270"/>
      <c r="BC1968" s="270"/>
      <c r="BD1968" s="270"/>
      <c r="BE1968" s="270"/>
      <c r="BK1968" s="271"/>
      <c r="BL1968" s="271"/>
      <c r="BM1968" s="270"/>
      <c r="BP1968" s="442">
        <f t="shared" si="286"/>
        <v>1.44</v>
      </c>
      <c r="BQ1968" s="442">
        <v>1.42</v>
      </c>
      <c r="BU1968" s="463">
        <v>0.21759259259259262</v>
      </c>
      <c r="BV1968" s="463">
        <v>0.23842592592592596</v>
      </c>
      <c r="BZ1968" s="22">
        <v>9.4</v>
      </c>
      <c r="CA1968" s="22">
        <v>10.156944444444445</v>
      </c>
      <c r="CB1968" s="22">
        <v>3.4</v>
      </c>
      <c r="CC1968" s="22">
        <v>3.4</v>
      </c>
      <c r="CD1968" s="22" t="s">
        <v>992</v>
      </c>
      <c r="CE1968" s="552">
        <v>9.4</v>
      </c>
      <c r="CF1968" s="552">
        <v>10.156944444444445</v>
      </c>
      <c r="CG1968" s="552"/>
      <c r="CH1968" s="552"/>
      <c r="CI1968" s="22" t="s">
        <v>4546</v>
      </c>
      <c r="JB1968" s="271" t="s">
        <v>2083</v>
      </c>
      <c r="JC1968" s="270"/>
      <c r="JD1968" s="276"/>
    </row>
    <row r="1969" spans="1:264" s="22" customFormat="1" x14ac:dyDescent="0.25">
      <c r="A1969" s="269">
        <v>91</v>
      </c>
      <c r="B1969" s="541" t="s">
        <v>4200</v>
      </c>
      <c r="C1969" s="269" t="s">
        <v>768</v>
      </c>
      <c r="D1969" s="270" t="s">
        <v>2118</v>
      </c>
      <c r="E1969" s="269">
        <v>2006</v>
      </c>
      <c r="F1969" s="270">
        <v>1999</v>
      </c>
      <c r="G1969" s="269" t="s">
        <v>946</v>
      </c>
      <c r="H1969" s="269" t="s">
        <v>2032</v>
      </c>
      <c r="I1969" s="252" t="s">
        <v>2815</v>
      </c>
      <c r="J1969" s="270">
        <v>32.56</v>
      </c>
      <c r="K1969" s="270">
        <v>-83.91</v>
      </c>
      <c r="L1969" s="271">
        <v>16</v>
      </c>
      <c r="M1969" s="271">
        <v>18.100000000000001</v>
      </c>
      <c r="N1969" s="270"/>
      <c r="O1969" s="271">
        <v>1258</v>
      </c>
      <c r="P1969" s="270"/>
      <c r="Q1969" s="270"/>
      <c r="R1969" s="271">
        <v>6</v>
      </c>
      <c r="S1969" s="272" t="s">
        <v>1975</v>
      </c>
      <c r="U1969" s="272" t="s">
        <v>2102</v>
      </c>
      <c r="V1969" s="273" t="s">
        <v>1403</v>
      </c>
      <c r="W1969" s="273">
        <v>30</v>
      </c>
      <c r="X1969" s="273" t="s">
        <v>1388</v>
      </c>
      <c r="Y1969" s="273" t="s">
        <v>1417</v>
      </c>
      <c r="Z1969" s="274">
        <f>AVERAGE(Sheet1!BP1969:BQ1969)</f>
        <v>1.6160000000000001</v>
      </c>
      <c r="AA1969" s="365">
        <v>65</v>
      </c>
      <c r="AB1969" s="365">
        <v>25</v>
      </c>
      <c r="AC1969" s="270" t="s">
        <v>240</v>
      </c>
      <c r="AD1969" s="270"/>
      <c r="AE1969" s="270"/>
      <c r="AF1969" s="270"/>
      <c r="AG1969" s="269" t="s">
        <v>2029</v>
      </c>
      <c r="AH1969" s="271" t="s">
        <v>2028</v>
      </c>
      <c r="AI1969" s="270" t="s">
        <v>1582</v>
      </c>
      <c r="AJ1969" s="271" t="s">
        <v>2027</v>
      </c>
      <c r="AK1969" s="270" t="s">
        <v>1646</v>
      </c>
      <c r="AL1969" s="270"/>
      <c r="AM1969" s="270"/>
      <c r="AN1969" s="270"/>
      <c r="AO1969" s="271" t="s">
        <v>772</v>
      </c>
      <c r="AP1969" s="271" t="s">
        <v>772</v>
      </c>
      <c r="AQ1969" s="271" t="s">
        <v>2125</v>
      </c>
      <c r="AR1969" s="271" t="s">
        <v>2125</v>
      </c>
      <c r="AS1969" s="92" t="s">
        <v>177</v>
      </c>
      <c r="AT1969" s="270" t="s">
        <v>2026</v>
      </c>
      <c r="AU1969" s="270"/>
      <c r="AV1969" s="275" t="s">
        <v>2025</v>
      </c>
      <c r="AW1969" s="253" t="s">
        <v>160</v>
      </c>
      <c r="AX1969" s="271">
        <v>4</v>
      </c>
      <c r="AY1969" s="271">
        <v>4</v>
      </c>
      <c r="AZ1969" s="270" t="s">
        <v>141</v>
      </c>
      <c r="BA1969" s="270"/>
      <c r="BB1969" s="270"/>
      <c r="BC1969" s="270"/>
      <c r="BD1969" s="270"/>
      <c r="BE1969" s="270"/>
      <c r="BK1969" s="271"/>
      <c r="BL1969" s="271"/>
      <c r="BM1969" s="270"/>
      <c r="BP1969" s="442">
        <f t="shared" si="286"/>
        <v>1.6260000000000001</v>
      </c>
      <c r="BQ1969" s="442">
        <v>1.6060000000000001</v>
      </c>
      <c r="BU1969" s="463">
        <v>0.17015170151701514</v>
      </c>
      <c r="BV1969" s="463">
        <v>0.16195161951619513</v>
      </c>
      <c r="BZ1969" s="22">
        <v>8.2999999999999989</v>
      </c>
      <c r="CA1969" s="22">
        <v>7.8028290282902812</v>
      </c>
      <c r="CB1969" s="22">
        <v>3.4</v>
      </c>
      <c r="CC1969" s="22">
        <v>3.4</v>
      </c>
      <c r="CD1969" s="22" t="s">
        <v>992</v>
      </c>
      <c r="CE1969" s="552">
        <v>8.2999999999999989</v>
      </c>
      <c r="CF1969" s="552">
        <v>7.8028290282902812</v>
      </c>
      <c r="CG1969" s="552"/>
      <c r="CH1969" s="552"/>
      <c r="CI1969" s="22" t="s">
        <v>4546</v>
      </c>
      <c r="JB1969" s="271" t="s">
        <v>2083</v>
      </c>
      <c r="JC1969" s="270"/>
      <c r="JD1969" s="276"/>
    </row>
    <row r="1970" spans="1:264" s="22" customFormat="1" x14ac:dyDescent="0.25">
      <c r="A1970" s="269">
        <v>91</v>
      </c>
      <c r="B1970" s="541" t="s">
        <v>4201</v>
      </c>
      <c r="C1970" s="269" t="s">
        <v>768</v>
      </c>
      <c r="D1970" s="270" t="s">
        <v>2118</v>
      </c>
      <c r="E1970" s="269">
        <v>2006</v>
      </c>
      <c r="F1970" s="270">
        <v>1999</v>
      </c>
      <c r="G1970" s="269" t="s">
        <v>946</v>
      </c>
      <c r="H1970" s="269" t="s">
        <v>2032</v>
      </c>
      <c r="I1970" s="252" t="s">
        <v>2815</v>
      </c>
      <c r="J1970" s="270">
        <v>32.56</v>
      </c>
      <c r="K1970" s="270">
        <v>-83.91</v>
      </c>
      <c r="L1970" s="271">
        <v>16</v>
      </c>
      <c r="M1970" s="271">
        <v>18.100000000000001</v>
      </c>
      <c r="N1970" s="270"/>
      <c r="O1970" s="271">
        <v>1258</v>
      </c>
      <c r="P1970" s="270"/>
      <c r="Q1970" s="270"/>
      <c r="R1970" s="271">
        <v>6</v>
      </c>
      <c r="S1970" s="272" t="s">
        <v>1975</v>
      </c>
      <c r="U1970" s="272" t="s">
        <v>2102</v>
      </c>
      <c r="V1970" s="273" t="s">
        <v>1415</v>
      </c>
      <c r="W1970" s="273">
        <v>30</v>
      </c>
      <c r="X1970" s="273" t="s">
        <v>1388</v>
      </c>
      <c r="Y1970" s="273" t="s">
        <v>1417</v>
      </c>
      <c r="Z1970" s="274">
        <f>AVERAGE(Sheet1!BP1970:BQ1970)</f>
        <v>1.605</v>
      </c>
      <c r="AA1970" s="365">
        <v>65</v>
      </c>
      <c r="AB1970" s="365">
        <v>25</v>
      </c>
      <c r="AC1970" s="270" t="s">
        <v>240</v>
      </c>
      <c r="AD1970" s="270"/>
      <c r="AE1970" s="270"/>
      <c r="AF1970" s="270"/>
      <c r="AG1970" s="269" t="s">
        <v>2029</v>
      </c>
      <c r="AH1970" s="271" t="s">
        <v>2028</v>
      </c>
      <c r="AI1970" s="270" t="s">
        <v>1582</v>
      </c>
      <c r="AJ1970" s="271" t="s">
        <v>2027</v>
      </c>
      <c r="AK1970" s="270" t="s">
        <v>1646</v>
      </c>
      <c r="AL1970" s="270"/>
      <c r="AM1970" s="270"/>
      <c r="AN1970" s="270"/>
      <c r="AO1970" s="271" t="s">
        <v>772</v>
      </c>
      <c r="AP1970" s="271" t="s">
        <v>772</v>
      </c>
      <c r="AQ1970" s="271" t="s">
        <v>2125</v>
      </c>
      <c r="AR1970" s="271" t="s">
        <v>2125</v>
      </c>
      <c r="AS1970" s="92" t="s">
        <v>2115</v>
      </c>
      <c r="AT1970" s="270" t="s">
        <v>2026</v>
      </c>
      <c r="AU1970" s="270"/>
      <c r="AV1970" s="275" t="s">
        <v>2025</v>
      </c>
      <c r="AW1970" s="253" t="s">
        <v>160</v>
      </c>
      <c r="AX1970" s="271">
        <v>4</v>
      </c>
      <c r="AY1970" s="271">
        <v>4</v>
      </c>
      <c r="AZ1970" s="270" t="s">
        <v>141</v>
      </c>
      <c r="BA1970" s="270"/>
      <c r="BB1970" s="270"/>
      <c r="BC1970" s="270"/>
      <c r="BD1970" s="270"/>
      <c r="BE1970" s="270"/>
      <c r="BK1970" s="271"/>
      <c r="BL1970" s="271"/>
      <c r="BM1970" s="270"/>
      <c r="BP1970" s="442">
        <f t="shared" si="286"/>
        <v>1.615</v>
      </c>
      <c r="BQ1970" s="442">
        <v>1.595</v>
      </c>
      <c r="BU1970" s="463">
        <v>0.1155830753353973</v>
      </c>
      <c r="BV1970" s="463">
        <v>0.13622291021671826</v>
      </c>
      <c r="BZ1970" s="22">
        <v>5.6</v>
      </c>
      <c r="CA1970" s="22">
        <v>6.5182662538699692</v>
      </c>
      <c r="CB1970" s="22">
        <v>2.2000000000000002</v>
      </c>
      <c r="CC1970" s="22">
        <v>2.2000000000000002</v>
      </c>
      <c r="CD1970" s="22" t="s">
        <v>992</v>
      </c>
      <c r="CE1970" s="552">
        <v>5.6</v>
      </c>
      <c r="CF1970" s="552">
        <v>6.5182662538699692</v>
      </c>
      <c r="CG1970" s="552"/>
      <c r="CH1970" s="552"/>
      <c r="CI1970" s="22" t="s">
        <v>4546</v>
      </c>
      <c r="JB1970" s="271" t="s">
        <v>2083</v>
      </c>
      <c r="JC1970" s="270"/>
      <c r="JD1970" s="276"/>
    </row>
    <row r="1971" spans="1:264" s="36" customFormat="1" x14ac:dyDescent="0.25">
      <c r="A1971" s="223">
        <v>91</v>
      </c>
      <c r="B1971" s="540" t="s">
        <v>4157</v>
      </c>
      <c r="C1971" s="223" t="s">
        <v>768</v>
      </c>
      <c r="D1971" s="224" t="s">
        <v>2118</v>
      </c>
      <c r="E1971" s="223">
        <v>2006</v>
      </c>
      <c r="F1971" s="224">
        <v>1999</v>
      </c>
      <c r="G1971" s="223" t="s">
        <v>946</v>
      </c>
      <c r="H1971" s="223" t="s">
        <v>2032</v>
      </c>
      <c r="I1971" s="252" t="s">
        <v>2815</v>
      </c>
      <c r="J1971" s="224">
        <v>32.56</v>
      </c>
      <c r="K1971" s="224">
        <v>-83.91</v>
      </c>
      <c r="L1971" s="225">
        <v>16</v>
      </c>
      <c r="M1971" s="225">
        <v>18.100000000000001</v>
      </c>
      <c r="N1971" s="224"/>
      <c r="O1971" s="225">
        <v>1258</v>
      </c>
      <c r="P1971" s="224"/>
      <c r="Q1971" s="224"/>
      <c r="R1971" s="225">
        <v>6</v>
      </c>
      <c r="S1971" s="226" t="s">
        <v>1975</v>
      </c>
      <c r="U1971" s="226" t="s">
        <v>2102</v>
      </c>
      <c r="V1971" s="227" t="s">
        <v>1388</v>
      </c>
      <c r="W1971" s="227">
        <v>10</v>
      </c>
      <c r="X1971" s="227" t="s">
        <v>1388</v>
      </c>
      <c r="Y1971" s="227" t="s">
        <v>1417</v>
      </c>
      <c r="Z1971" s="228">
        <f>AVERAGE(Sheet1!BP1971:BQ1971)</f>
        <v>1.4249999999999998</v>
      </c>
      <c r="AA1971" s="364">
        <v>65</v>
      </c>
      <c r="AB1971" s="364">
        <v>25</v>
      </c>
      <c r="AC1971" s="224" t="s">
        <v>240</v>
      </c>
      <c r="AD1971" s="224"/>
      <c r="AE1971" s="224"/>
      <c r="AF1971" s="224"/>
      <c r="AG1971" s="223" t="s">
        <v>2029</v>
      </c>
      <c r="AH1971" s="225" t="s">
        <v>131</v>
      </c>
      <c r="AI1971" s="224" t="s">
        <v>131</v>
      </c>
      <c r="AJ1971" s="225" t="s">
        <v>2027</v>
      </c>
      <c r="AK1971" s="224" t="s">
        <v>1646</v>
      </c>
      <c r="AL1971" s="224"/>
      <c r="AM1971" s="224"/>
      <c r="AN1971" s="224"/>
      <c r="AO1971" s="225" t="s">
        <v>773</v>
      </c>
      <c r="AP1971" s="225" t="s">
        <v>773</v>
      </c>
      <c r="AQ1971" s="225" t="s">
        <v>2125</v>
      </c>
      <c r="AR1971" s="225" t="s">
        <v>2125</v>
      </c>
      <c r="AS1971" s="92" t="s">
        <v>177</v>
      </c>
      <c r="AT1971" s="224" t="s">
        <v>161</v>
      </c>
      <c r="AU1971" s="224"/>
      <c r="AV1971" s="229" t="s">
        <v>2025</v>
      </c>
      <c r="AW1971" s="253" t="s">
        <v>160</v>
      </c>
      <c r="AX1971" s="225">
        <v>4</v>
      </c>
      <c r="AY1971" s="225">
        <v>4</v>
      </c>
      <c r="AZ1971" s="224" t="s">
        <v>141</v>
      </c>
      <c r="BA1971" s="224"/>
      <c r="BB1971" s="224"/>
      <c r="BC1971" s="224"/>
      <c r="BD1971" s="224"/>
      <c r="BE1971" s="224"/>
      <c r="BK1971" s="225"/>
      <c r="BL1971" s="225"/>
      <c r="BM1971" s="224"/>
      <c r="BP1971" s="440">
        <f t="shared" ref="BP1971:BP2015" si="288">BQ1971+0.01</f>
        <v>1.43</v>
      </c>
      <c r="BQ1971" s="440">
        <v>1.42</v>
      </c>
      <c r="BU1971" s="441">
        <v>0.55944055944055948</v>
      </c>
      <c r="BV1971" s="441">
        <v>0.6223776223776224</v>
      </c>
      <c r="BW1971" s="36">
        <f t="shared" ref="BW1971:BX1975" si="289">BU1971*(CB1971/BZ1971)</f>
        <v>6.9930069930069935E-2</v>
      </c>
      <c r="BX1971" s="36">
        <f t="shared" si="289"/>
        <v>7.0422535211267595E-2</v>
      </c>
      <c r="BZ1971" s="36">
        <v>8</v>
      </c>
      <c r="CA1971" s="36">
        <v>8.837762237762238</v>
      </c>
      <c r="CB1971" s="36">
        <v>1</v>
      </c>
      <c r="CC1971" s="36">
        <v>1</v>
      </c>
      <c r="CD1971" s="36" t="s">
        <v>992</v>
      </c>
      <c r="CE1971" s="560">
        <v>8</v>
      </c>
      <c r="CF1971" s="560">
        <v>8.837762237762238</v>
      </c>
      <c r="CG1971" s="560">
        <v>0.9</v>
      </c>
      <c r="CH1971" s="560">
        <v>0.9</v>
      </c>
      <c r="CI1971" s="36" t="s">
        <v>4546</v>
      </c>
      <c r="JB1971" s="225" t="s">
        <v>2083</v>
      </c>
      <c r="JC1971" s="224"/>
      <c r="JD1971" s="230"/>
    </row>
    <row r="1972" spans="1:264" s="36" customFormat="1" x14ac:dyDescent="0.25">
      <c r="A1972" s="223">
        <v>91</v>
      </c>
      <c r="B1972" s="540" t="s">
        <v>4158</v>
      </c>
      <c r="C1972" s="223" t="s">
        <v>768</v>
      </c>
      <c r="D1972" s="224" t="s">
        <v>2118</v>
      </c>
      <c r="E1972" s="223">
        <v>2006</v>
      </c>
      <c r="F1972" s="224">
        <v>1999</v>
      </c>
      <c r="G1972" s="223" t="s">
        <v>946</v>
      </c>
      <c r="H1972" s="223" t="s">
        <v>2032</v>
      </c>
      <c r="I1972" s="252" t="s">
        <v>2815</v>
      </c>
      <c r="J1972" s="224">
        <v>32.56</v>
      </c>
      <c r="K1972" s="224">
        <v>-83.91</v>
      </c>
      <c r="L1972" s="225">
        <v>16</v>
      </c>
      <c r="M1972" s="225">
        <v>18.100000000000001</v>
      </c>
      <c r="N1972" s="224"/>
      <c r="O1972" s="225">
        <v>1258</v>
      </c>
      <c r="P1972" s="224"/>
      <c r="Q1972" s="224"/>
      <c r="R1972" s="225">
        <v>6</v>
      </c>
      <c r="S1972" s="226" t="s">
        <v>1975</v>
      </c>
      <c r="U1972" s="226" t="s">
        <v>2102</v>
      </c>
      <c r="V1972" s="227" t="s">
        <v>1408</v>
      </c>
      <c r="W1972" s="227">
        <v>20</v>
      </c>
      <c r="X1972" s="227" t="s">
        <v>1388</v>
      </c>
      <c r="Y1972" s="227" t="s">
        <v>1417</v>
      </c>
      <c r="Z1972" s="228">
        <f>AVERAGE(Sheet1!BP1972:BQ1972)</f>
        <v>1.5550000000000002</v>
      </c>
      <c r="AA1972" s="364">
        <v>65</v>
      </c>
      <c r="AB1972" s="364">
        <v>25</v>
      </c>
      <c r="AC1972" s="224" t="s">
        <v>240</v>
      </c>
      <c r="AD1972" s="224"/>
      <c r="AE1972" s="224"/>
      <c r="AF1972" s="224"/>
      <c r="AG1972" s="223" t="s">
        <v>2029</v>
      </c>
      <c r="AH1972" s="225" t="s">
        <v>131</v>
      </c>
      <c r="AI1972" s="224" t="s">
        <v>131</v>
      </c>
      <c r="AJ1972" s="225" t="s">
        <v>2027</v>
      </c>
      <c r="AK1972" s="224" t="s">
        <v>1646</v>
      </c>
      <c r="AL1972" s="224"/>
      <c r="AM1972" s="224"/>
      <c r="AN1972" s="224"/>
      <c r="AO1972" s="225" t="s">
        <v>773</v>
      </c>
      <c r="AP1972" s="225" t="s">
        <v>773</v>
      </c>
      <c r="AQ1972" s="225" t="s">
        <v>2125</v>
      </c>
      <c r="AR1972" s="225" t="s">
        <v>2125</v>
      </c>
      <c r="AS1972" s="92" t="s">
        <v>2115</v>
      </c>
      <c r="AT1972" s="224" t="s">
        <v>161</v>
      </c>
      <c r="AU1972" s="224"/>
      <c r="AV1972" s="229" t="s">
        <v>2025</v>
      </c>
      <c r="AW1972" s="253" t="s">
        <v>160</v>
      </c>
      <c r="AX1972" s="225">
        <v>4</v>
      </c>
      <c r="AY1972" s="225">
        <v>4</v>
      </c>
      <c r="AZ1972" s="224" t="s">
        <v>141</v>
      </c>
      <c r="BA1972" s="224"/>
      <c r="BB1972" s="224"/>
      <c r="BC1972" s="224"/>
      <c r="BD1972" s="224"/>
      <c r="BE1972" s="224"/>
      <c r="BK1972" s="225"/>
      <c r="BL1972" s="225"/>
      <c r="BM1972" s="224"/>
      <c r="BP1972" s="440">
        <f t="shared" si="288"/>
        <v>1.56</v>
      </c>
      <c r="BQ1972" s="440">
        <v>1.55</v>
      </c>
      <c r="BU1972" s="441">
        <v>0.39743589743589747</v>
      </c>
      <c r="BV1972" s="441">
        <v>0.41346153846153849</v>
      </c>
      <c r="BW1972" s="36">
        <f t="shared" si="289"/>
        <v>7.3717948717948706E-2</v>
      </c>
      <c r="BX1972" s="36">
        <f t="shared" si="289"/>
        <v>7.4193548387096769E-2</v>
      </c>
      <c r="BZ1972" s="36">
        <v>12.400000000000002</v>
      </c>
      <c r="CA1972" s="36">
        <v>12.817307692307693</v>
      </c>
      <c r="CB1972" s="36">
        <v>2.2999999999999998</v>
      </c>
      <c r="CC1972" s="36">
        <v>2.2999999999999998</v>
      </c>
      <c r="CD1972" s="36" t="s">
        <v>992</v>
      </c>
      <c r="CE1972" s="560">
        <v>12.400000000000002</v>
      </c>
      <c r="CF1972" s="560">
        <v>12.817307692307693</v>
      </c>
      <c r="CG1972" s="560">
        <v>2.2000000000000002</v>
      </c>
      <c r="CH1972" s="560">
        <v>2.2000000000000002</v>
      </c>
      <c r="CI1972" s="36" t="s">
        <v>4546</v>
      </c>
      <c r="JB1972" s="225" t="s">
        <v>2083</v>
      </c>
      <c r="JC1972" s="224"/>
      <c r="JD1972" s="230"/>
    </row>
    <row r="1973" spans="1:264" s="36" customFormat="1" x14ac:dyDescent="0.25">
      <c r="A1973" s="223">
        <v>91</v>
      </c>
      <c r="B1973" s="540" t="s">
        <v>4159</v>
      </c>
      <c r="C1973" s="223" t="s">
        <v>768</v>
      </c>
      <c r="D1973" s="224" t="s">
        <v>2118</v>
      </c>
      <c r="E1973" s="223">
        <v>2006</v>
      </c>
      <c r="F1973" s="224">
        <v>1999</v>
      </c>
      <c r="G1973" s="223" t="s">
        <v>946</v>
      </c>
      <c r="H1973" s="223" t="s">
        <v>2032</v>
      </c>
      <c r="I1973" s="252" t="s">
        <v>2815</v>
      </c>
      <c r="J1973" s="224">
        <v>32.56</v>
      </c>
      <c r="K1973" s="224">
        <v>-83.91</v>
      </c>
      <c r="L1973" s="225">
        <v>16</v>
      </c>
      <c r="M1973" s="225">
        <v>18.100000000000001</v>
      </c>
      <c r="N1973" s="224"/>
      <c r="O1973" s="225">
        <v>1258</v>
      </c>
      <c r="P1973" s="224"/>
      <c r="Q1973" s="224"/>
      <c r="R1973" s="225">
        <v>6</v>
      </c>
      <c r="S1973" s="226" t="s">
        <v>1975</v>
      </c>
      <c r="U1973" s="226" t="s">
        <v>2102</v>
      </c>
      <c r="V1973" s="227" t="s">
        <v>1402</v>
      </c>
      <c r="W1973" s="227">
        <v>30</v>
      </c>
      <c r="X1973" s="227" t="s">
        <v>1388</v>
      </c>
      <c r="Y1973" s="227" t="s">
        <v>1417</v>
      </c>
      <c r="Z1973" s="228">
        <f>AVERAGE(Sheet1!BP1973:BQ1973)</f>
        <v>1.3919999999999999</v>
      </c>
      <c r="AA1973" s="364">
        <v>65</v>
      </c>
      <c r="AB1973" s="364">
        <v>25</v>
      </c>
      <c r="AC1973" s="224" t="s">
        <v>240</v>
      </c>
      <c r="AD1973" s="224"/>
      <c r="AE1973" s="224"/>
      <c r="AF1973" s="224"/>
      <c r="AG1973" s="223" t="s">
        <v>2029</v>
      </c>
      <c r="AH1973" s="225" t="s">
        <v>131</v>
      </c>
      <c r="AI1973" s="224" t="s">
        <v>131</v>
      </c>
      <c r="AJ1973" s="225" t="s">
        <v>2027</v>
      </c>
      <c r="AK1973" s="224" t="s">
        <v>1646</v>
      </c>
      <c r="AL1973" s="224"/>
      <c r="AM1973" s="224"/>
      <c r="AN1973" s="224"/>
      <c r="AO1973" s="225" t="s">
        <v>773</v>
      </c>
      <c r="AP1973" s="225" t="s">
        <v>773</v>
      </c>
      <c r="AQ1973" s="225" t="s">
        <v>2125</v>
      </c>
      <c r="AR1973" s="225" t="s">
        <v>2125</v>
      </c>
      <c r="AS1973" s="92" t="s">
        <v>177</v>
      </c>
      <c r="AT1973" s="224" t="s">
        <v>161</v>
      </c>
      <c r="AU1973" s="224"/>
      <c r="AV1973" s="229" t="s">
        <v>2025</v>
      </c>
      <c r="AW1973" s="253" t="s">
        <v>160</v>
      </c>
      <c r="AX1973" s="225">
        <v>4</v>
      </c>
      <c r="AY1973" s="225">
        <v>4</v>
      </c>
      <c r="AZ1973" s="224" t="s">
        <v>141</v>
      </c>
      <c r="BA1973" s="224"/>
      <c r="BB1973" s="224"/>
      <c r="BC1973" s="224"/>
      <c r="BD1973" s="224"/>
      <c r="BE1973" s="224"/>
      <c r="BK1973" s="225"/>
      <c r="BL1973" s="225"/>
      <c r="BM1973" s="224"/>
      <c r="BP1973" s="440">
        <f t="shared" si="288"/>
        <v>1.397</v>
      </c>
      <c r="BQ1973" s="440">
        <v>1.387</v>
      </c>
      <c r="BU1973" s="441">
        <v>0.21951801479360533</v>
      </c>
      <c r="BV1973" s="441">
        <v>0.20997375328083989</v>
      </c>
      <c r="BW1973" s="36">
        <f t="shared" si="289"/>
        <v>8.1126222858506333E-2</v>
      </c>
      <c r="BX1973" s="36">
        <f t="shared" si="289"/>
        <v>8.1711127132900754E-2</v>
      </c>
      <c r="BZ1973" s="36">
        <v>9.1999999999999975</v>
      </c>
      <c r="CA1973" s="36">
        <v>8.7370078740157471</v>
      </c>
      <c r="CB1973" s="36">
        <v>3.4</v>
      </c>
      <c r="CC1973" s="36">
        <v>3.4</v>
      </c>
      <c r="CD1973" s="36" t="s">
        <v>992</v>
      </c>
      <c r="CE1973" s="560">
        <v>9.1999999999999975</v>
      </c>
      <c r="CF1973" s="560">
        <v>8.7370078740157471</v>
      </c>
      <c r="CG1973" s="560">
        <v>2.9</v>
      </c>
      <c r="CH1973" s="560">
        <v>2.9</v>
      </c>
      <c r="CI1973" s="36" t="s">
        <v>4546</v>
      </c>
      <c r="JB1973" s="225" t="s">
        <v>2083</v>
      </c>
      <c r="JC1973" s="224"/>
      <c r="JD1973" s="230"/>
    </row>
    <row r="1974" spans="1:264" s="36" customFormat="1" x14ac:dyDescent="0.25">
      <c r="A1974" s="223">
        <v>91</v>
      </c>
      <c r="B1974" s="540" t="s">
        <v>4160</v>
      </c>
      <c r="C1974" s="223" t="s">
        <v>768</v>
      </c>
      <c r="D1974" s="224" t="s">
        <v>2118</v>
      </c>
      <c r="E1974" s="223">
        <v>2006</v>
      </c>
      <c r="F1974" s="224">
        <v>1999</v>
      </c>
      <c r="G1974" s="223" t="s">
        <v>946</v>
      </c>
      <c r="H1974" s="223" t="s">
        <v>2032</v>
      </c>
      <c r="I1974" s="252" t="s">
        <v>2815</v>
      </c>
      <c r="J1974" s="224">
        <v>32.56</v>
      </c>
      <c r="K1974" s="224">
        <v>-83.91</v>
      </c>
      <c r="L1974" s="225">
        <v>16</v>
      </c>
      <c r="M1974" s="225">
        <v>18.100000000000001</v>
      </c>
      <c r="N1974" s="224"/>
      <c r="O1974" s="225">
        <v>1258</v>
      </c>
      <c r="P1974" s="224"/>
      <c r="Q1974" s="224"/>
      <c r="R1974" s="225">
        <v>6</v>
      </c>
      <c r="S1974" s="226" t="s">
        <v>1975</v>
      </c>
      <c r="U1974" s="226" t="s">
        <v>2102</v>
      </c>
      <c r="V1974" s="227" t="s">
        <v>1403</v>
      </c>
      <c r="W1974" s="227">
        <v>30</v>
      </c>
      <c r="X1974" s="227" t="s">
        <v>1388</v>
      </c>
      <c r="Y1974" s="227" t="s">
        <v>1417</v>
      </c>
      <c r="Z1974" s="228">
        <f>AVERAGE(Sheet1!BP1974:BQ1974)</f>
        <v>1.5939999999999999</v>
      </c>
      <c r="AA1974" s="364">
        <v>65</v>
      </c>
      <c r="AB1974" s="364">
        <v>25</v>
      </c>
      <c r="AC1974" s="224" t="s">
        <v>240</v>
      </c>
      <c r="AD1974" s="224"/>
      <c r="AE1974" s="224"/>
      <c r="AF1974" s="224"/>
      <c r="AG1974" s="223" t="s">
        <v>2029</v>
      </c>
      <c r="AH1974" s="225" t="s">
        <v>131</v>
      </c>
      <c r="AI1974" s="224" t="s">
        <v>131</v>
      </c>
      <c r="AJ1974" s="225" t="s">
        <v>2027</v>
      </c>
      <c r="AK1974" s="224" t="s">
        <v>1646</v>
      </c>
      <c r="AL1974" s="224"/>
      <c r="AM1974" s="224"/>
      <c r="AN1974" s="224"/>
      <c r="AO1974" s="225" t="s">
        <v>773</v>
      </c>
      <c r="AP1974" s="225" t="s">
        <v>773</v>
      </c>
      <c r="AQ1974" s="225" t="s">
        <v>2125</v>
      </c>
      <c r="AR1974" s="225" t="s">
        <v>2125</v>
      </c>
      <c r="AS1974" s="92" t="s">
        <v>2115</v>
      </c>
      <c r="AT1974" s="224" t="s">
        <v>161</v>
      </c>
      <c r="AU1974" s="224"/>
      <c r="AV1974" s="229" t="s">
        <v>2025</v>
      </c>
      <c r="AW1974" s="253" t="s">
        <v>160</v>
      </c>
      <c r="AX1974" s="225">
        <v>4</v>
      </c>
      <c r="AY1974" s="225">
        <v>4</v>
      </c>
      <c r="AZ1974" s="224" t="s">
        <v>141</v>
      </c>
      <c r="BA1974" s="224"/>
      <c r="BB1974" s="224"/>
      <c r="BC1974" s="224"/>
      <c r="BD1974" s="224"/>
      <c r="BE1974" s="224"/>
      <c r="BK1974" s="225"/>
      <c r="BL1974" s="225"/>
      <c r="BM1974" s="224"/>
      <c r="BP1974" s="440">
        <f t="shared" si="288"/>
        <v>1.599</v>
      </c>
      <c r="BQ1974" s="440">
        <v>1.589</v>
      </c>
      <c r="BU1974" s="441">
        <v>0.1480091723994163</v>
      </c>
      <c r="BV1974" s="441">
        <v>0.15843235355430477</v>
      </c>
      <c r="BW1974" s="36">
        <f t="shared" si="289"/>
        <v>7.0877631853241627E-2</v>
      </c>
      <c r="BX1974" s="36">
        <f t="shared" si="289"/>
        <v>7.1323683658485404E-2</v>
      </c>
      <c r="BZ1974" s="36">
        <v>7.0999999999999988</v>
      </c>
      <c r="CA1974" s="36">
        <v>7.5524702939337089</v>
      </c>
      <c r="CB1974" s="36">
        <v>3.4</v>
      </c>
      <c r="CC1974" s="36">
        <v>3.4</v>
      </c>
      <c r="CD1974" s="36" t="s">
        <v>992</v>
      </c>
      <c r="CE1974" s="560">
        <v>7.0999999999999988</v>
      </c>
      <c r="CF1974" s="560">
        <v>7.5524702939337089</v>
      </c>
      <c r="CG1974" s="560">
        <v>3.4</v>
      </c>
      <c r="CH1974" s="560">
        <v>3.4</v>
      </c>
      <c r="CI1974" s="36" t="s">
        <v>4546</v>
      </c>
      <c r="JB1974" s="225" t="s">
        <v>2083</v>
      </c>
      <c r="JC1974" s="224"/>
      <c r="JD1974" s="230"/>
    </row>
    <row r="1975" spans="1:264" s="36" customFormat="1" x14ac:dyDescent="0.25">
      <c r="A1975" s="223">
        <v>91</v>
      </c>
      <c r="B1975" s="540" t="s">
        <v>4161</v>
      </c>
      <c r="C1975" s="223" t="s">
        <v>768</v>
      </c>
      <c r="D1975" s="224" t="s">
        <v>2118</v>
      </c>
      <c r="E1975" s="223">
        <v>2006</v>
      </c>
      <c r="F1975" s="224">
        <v>1999</v>
      </c>
      <c r="G1975" s="223" t="s">
        <v>946</v>
      </c>
      <c r="H1975" s="223" t="s">
        <v>2032</v>
      </c>
      <c r="I1975" s="252" t="s">
        <v>2815</v>
      </c>
      <c r="J1975" s="224">
        <v>32.56</v>
      </c>
      <c r="K1975" s="224">
        <v>-83.91</v>
      </c>
      <c r="L1975" s="225">
        <v>16</v>
      </c>
      <c r="M1975" s="225">
        <v>18.100000000000001</v>
      </c>
      <c r="N1975" s="224"/>
      <c r="O1975" s="225">
        <v>1258</v>
      </c>
      <c r="P1975" s="224"/>
      <c r="Q1975" s="224"/>
      <c r="R1975" s="225">
        <v>6</v>
      </c>
      <c r="S1975" s="226" t="s">
        <v>1975</v>
      </c>
      <c r="U1975" s="226" t="s">
        <v>2102</v>
      </c>
      <c r="V1975" s="227" t="s">
        <v>1415</v>
      </c>
      <c r="W1975" s="227">
        <v>30</v>
      </c>
      <c r="X1975" s="227" t="s">
        <v>1388</v>
      </c>
      <c r="Y1975" s="227" t="s">
        <v>1417</v>
      </c>
      <c r="Z1975" s="228">
        <f>AVERAGE(Sheet1!BP1975:BQ1975)</f>
        <v>1.617</v>
      </c>
      <c r="AA1975" s="364">
        <v>65</v>
      </c>
      <c r="AB1975" s="364">
        <v>25</v>
      </c>
      <c r="AC1975" s="224" t="s">
        <v>240</v>
      </c>
      <c r="AD1975" s="224"/>
      <c r="AE1975" s="224"/>
      <c r="AF1975" s="224"/>
      <c r="AG1975" s="223" t="s">
        <v>2029</v>
      </c>
      <c r="AH1975" s="225" t="s">
        <v>131</v>
      </c>
      <c r="AI1975" s="224" t="s">
        <v>131</v>
      </c>
      <c r="AJ1975" s="225" t="s">
        <v>2027</v>
      </c>
      <c r="AK1975" s="224" t="s">
        <v>1646</v>
      </c>
      <c r="AL1975" s="224"/>
      <c r="AM1975" s="224"/>
      <c r="AN1975" s="224"/>
      <c r="AO1975" s="225" t="s">
        <v>773</v>
      </c>
      <c r="AP1975" s="225" t="s">
        <v>773</v>
      </c>
      <c r="AQ1975" s="225" t="s">
        <v>2125</v>
      </c>
      <c r="AR1975" s="225" t="s">
        <v>2125</v>
      </c>
      <c r="AS1975" s="92" t="s">
        <v>177</v>
      </c>
      <c r="AT1975" s="224" t="s">
        <v>161</v>
      </c>
      <c r="AU1975" s="224"/>
      <c r="AV1975" s="229" t="s">
        <v>2025</v>
      </c>
      <c r="AW1975" s="253" t="s">
        <v>160</v>
      </c>
      <c r="AX1975" s="225">
        <v>4</v>
      </c>
      <c r="AY1975" s="225">
        <v>4</v>
      </c>
      <c r="AZ1975" s="224" t="s">
        <v>141</v>
      </c>
      <c r="BA1975" s="224"/>
      <c r="BB1975" s="224"/>
      <c r="BC1975" s="224"/>
      <c r="BD1975" s="224"/>
      <c r="BE1975" s="224"/>
      <c r="BK1975" s="225"/>
      <c r="BL1975" s="225"/>
      <c r="BM1975" s="224"/>
      <c r="BP1975" s="440">
        <f t="shared" si="288"/>
        <v>1.6220000000000001</v>
      </c>
      <c r="BQ1975" s="440">
        <v>1.6120000000000001</v>
      </c>
      <c r="BU1975" s="441">
        <v>0.11302918207973693</v>
      </c>
      <c r="BV1975" s="441">
        <v>0.12330456226880393</v>
      </c>
      <c r="BW1975" s="36">
        <f t="shared" si="289"/>
        <v>4.5211672831894777E-2</v>
      </c>
      <c r="BX1975" s="36">
        <f t="shared" si="289"/>
        <v>4.5492142266335814E-2</v>
      </c>
      <c r="BZ1975" s="36">
        <v>5.5</v>
      </c>
      <c r="CA1975" s="36">
        <v>5.9630086313193589</v>
      </c>
      <c r="CB1975" s="36">
        <v>2.2000000000000002</v>
      </c>
      <c r="CC1975" s="36">
        <v>2.2000000000000002</v>
      </c>
      <c r="CD1975" s="36" t="s">
        <v>992</v>
      </c>
      <c r="CE1975" s="560">
        <v>5.5</v>
      </c>
      <c r="CF1975" s="560">
        <v>5.9630086313193589</v>
      </c>
      <c r="CG1975" s="560">
        <v>2.2999999999999998</v>
      </c>
      <c r="CH1975" s="560">
        <v>2.2999999999999998</v>
      </c>
      <c r="CI1975" s="36" t="s">
        <v>4546</v>
      </c>
      <c r="JB1975" s="225" t="s">
        <v>2083</v>
      </c>
      <c r="JC1975" s="224"/>
      <c r="JD1975" s="230"/>
    </row>
    <row r="1976" spans="1:264" s="92" customFormat="1" x14ac:dyDescent="0.25">
      <c r="A1976" s="252">
        <v>91</v>
      </c>
      <c r="B1976" s="539" t="s">
        <v>4162</v>
      </c>
      <c r="C1976" s="252" t="s">
        <v>768</v>
      </c>
      <c r="D1976" s="253" t="s">
        <v>2118</v>
      </c>
      <c r="E1976" s="252">
        <v>2006</v>
      </c>
      <c r="F1976" s="253">
        <v>1999</v>
      </c>
      <c r="G1976" s="252" t="s">
        <v>946</v>
      </c>
      <c r="H1976" s="252" t="s">
        <v>2032</v>
      </c>
      <c r="I1976" s="252" t="s">
        <v>2815</v>
      </c>
      <c r="J1976" s="253">
        <v>32.56</v>
      </c>
      <c r="K1976" s="253">
        <v>-83.91</v>
      </c>
      <c r="L1976" s="254">
        <v>16</v>
      </c>
      <c r="M1976" s="254">
        <v>18.100000000000001</v>
      </c>
      <c r="N1976" s="253"/>
      <c r="O1976" s="254">
        <v>1258</v>
      </c>
      <c r="P1976" s="253"/>
      <c r="Q1976" s="253"/>
      <c r="R1976" s="254">
        <v>6</v>
      </c>
      <c r="S1976" s="255" t="s">
        <v>1975</v>
      </c>
      <c r="U1976" s="255" t="s">
        <v>2102</v>
      </c>
      <c r="V1976" s="256" t="s">
        <v>1388</v>
      </c>
      <c r="W1976" s="256">
        <v>10</v>
      </c>
      <c r="X1976" s="256" t="s">
        <v>1388</v>
      </c>
      <c r="Y1976" s="256" t="s">
        <v>1417</v>
      </c>
      <c r="Z1976" s="257">
        <f>AVERAGE(Sheet1!BP1976:BQ1976)</f>
        <v>1.4249999999999998</v>
      </c>
      <c r="AA1976" s="363">
        <v>65</v>
      </c>
      <c r="AB1976" s="363">
        <v>25</v>
      </c>
      <c r="AC1976" s="253" t="s">
        <v>240</v>
      </c>
      <c r="AD1976" s="253"/>
      <c r="AE1976" s="253"/>
      <c r="AF1976" s="253"/>
      <c r="AG1976" s="252" t="s">
        <v>2029</v>
      </c>
      <c r="AH1976" s="254" t="s">
        <v>131</v>
      </c>
      <c r="AI1976" s="253" t="s">
        <v>131</v>
      </c>
      <c r="AJ1976" s="254" t="s">
        <v>2027</v>
      </c>
      <c r="AK1976" s="253" t="s">
        <v>1646</v>
      </c>
      <c r="AL1976" s="253"/>
      <c r="AM1976" s="253"/>
      <c r="AN1976" s="253"/>
      <c r="AO1976" s="254" t="s">
        <v>773</v>
      </c>
      <c r="AP1976" s="254" t="s">
        <v>773</v>
      </c>
      <c r="AQ1976" s="254" t="s">
        <v>2125</v>
      </c>
      <c r="AR1976" s="254" t="s">
        <v>2125</v>
      </c>
      <c r="AS1976" s="92" t="s">
        <v>2115</v>
      </c>
      <c r="AT1976" s="253" t="s">
        <v>2031</v>
      </c>
      <c r="AU1976" s="253"/>
      <c r="AV1976" s="258" t="s">
        <v>2025</v>
      </c>
      <c r="AW1976" s="253" t="s">
        <v>160</v>
      </c>
      <c r="AX1976" s="254">
        <v>4</v>
      </c>
      <c r="AY1976" s="254">
        <v>4</v>
      </c>
      <c r="AZ1976" s="253" t="s">
        <v>141</v>
      </c>
      <c r="BA1976" s="253"/>
      <c r="BB1976" s="253"/>
      <c r="BC1976" s="253"/>
      <c r="BD1976" s="253"/>
      <c r="BE1976" s="253"/>
      <c r="BK1976" s="254"/>
      <c r="BL1976" s="254"/>
      <c r="BM1976" s="253"/>
      <c r="BP1976" s="439">
        <f t="shared" si="288"/>
        <v>1.43</v>
      </c>
      <c r="BQ1976" s="439">
        <v>1.42</v>
      </c>
      <c r="BU1976" s="438">
        <v>0.64335664335664322</v>
      </c>
      <c r="BV1976" s="438">
        <v>0.62937062937062938</v>
      </c>
      <c r="BZ1976" s="92">
        <v>9.1999999999999975</v>
      </c>
      <c r="CA1976" s="92">
        <v>8.9370629370629366</v>
      </c>
      <c r="CB1976" s="92">
        <v>1</v>
      </c>
      <c r="CC1976" s="92">
        <v>1</v>
      </c>
      <c r="CD1976" s="36" t="s">
        <v>992</v>
      </c>
      <c r="CE1976" s="577">
        <v>9.1999999999999975</v>
      </c>
      <c r="CF1976" s="577">
        <v>8.9370629370629366</v>
      </c>
      <c r="CG1976" s="577"/>
      <c r="CH1976" s="577"/>
      <c r="CI1976" s="36" t="s">
        <v>4546</v>
      </c>
      <c r="JB1976" s="254" t="s">
        <v>2083</v>
      </c>
      <c r="JC1976" s="253"/>
      <c r="JD1976" s="259"/>
    </row>
    <row r="1977" spans="1:264" s="92" customFormat="1" x14ac:dyDescent="0.25">
      <c r="A1977" s="252">
        <v>91</v>
      </c>
      <c r="B1977" s="539" t="s">
        <v>4163</v>
      </c>
      <c r="C1977" s="252" t="s">
        <v>768</v>
      </c>
      <c r="D1977" s="253" t="s">
        <v>2118</v>
      </c>
      <c r="E1977" s="252">
        <v>2006</v>
      </c>
      <c r="F1977" s="253">
        <v>1999</v>
      </c>
      <c r="G1977" s="252" t="s">
        <v>946</v>
      </c>
      <c r="H1977" s="252" t="s">
        <v>2032</v>
      </c>
      <c r="I1977" s="252" t="s">
        <v>2815</v>
      </c>
      <c r="J1977" s="253">
        <v>32.56</v>
      </c>
      <c r="K1977" s="253">
        <v>-83.91</v>
      </c>
      <c r="L1977" s="254">
        <v>16</v>
      </c>
      <c r="M1977" s="254">
        <v>18.100000000000001</v>
      </c>
      <c r="N1977" s="253"/>
      <c r="O1977" s="254">
        <v>1258</v>
      </c>
      <c r="P1977" s="253"/>
      <c r="Q1977" s="253"/>
      <c r="R1977" s="254">
        <v>6</v>
      </c>
      <c r="S1977" s="255" t="s">
        <v>1975</v>
      </c>
      <c r="U1977" s="255" t="s">
        <v>2102</v>
      </c>
      <c r="V1977" s="256" t="s">
        <v>1408</v>
      </c>
      <c r="W1977" s="256">
        <v>20</v>
      </c>
      <c r="X1977" s="256" t="s">
        <v>1388</v>
      </c>
      <c r="Y1977" s="256" t="s">
        <v>1417</v>
      </c>
      <c r="Z1977" s="257">
        <f>AVERAGE(Sheet1!BP1977:BQ1977)</f>
        <v>1.5550000000000002</v>
      </c>
      <c r="AA1977" s="363">
        <v>65</v>
      </c>
      <c r="AB1977" s="363">
        <v>25</v>
      </c>
      <c r="AC1977" s="253" t="s">
        <v>240</v>
      </c>
      <c r="AD1977" s="253"/>
      <c r="AE1977" s="253"/>
      <c r="AF1977" s="253"/>
      <c r="AG1977" s="252" t="s">
        <v>2029</v>
      </c>
      <c r="AH1977" s="254" t="s">
        <v>131</v>
      </c>
      <c r="AI1977" s="253" t="s">
        <v>131</v>
      </c>
      <c r="AJ1977" s="254" t="s">
        <v>2027</v>
      </c>
      <c r="AK1977" s="253" t="s">
        <v>1646</v>
      </c>
      <c r="AL1977" s="253"/>
      <c r="AM1977" s="253"/>
      <c r="AN1977" s="253"/>
      <c r="AO1977" s="254" t="s">
        <v>773</v>
      </c>
      <c r="AP1977" s="254" t="s">
        <v>773</v>
      </c>
      <c r="AQ1977" s="254" t="s">
        <v>2125</v>
      </c>
      <c r="AR1977" s="254" t="s">
        <v>2125</v>
      </c>
      <c r="AS1977" s="92" t="s">
        <v>177</v>
      </c>
      <c r="AT1977" s="253" t="s">
        <v>2031</v>
      </c>
      <c r="AU1977" s="253"/>
      <c r="AV1977" s="258" t="s">
        <v>2025</v>
      </c>
      <c r="AW1977" s="253" t="s">
        <v>160</v>
      </c>
      <c r="AX1977" s="254">
        <v>4</v>
      </c>
      <c r="AY1977" s="254">
        <v>4</v>
      </c>
      <c r="AZ1977" s="253" t="s">
        <v>141</v>
      </c>
      <c r="BA1977" s="253"/>
      <c r="BB1977" s="253"/>
      <c r="BC1977" s="253"/>
      <c r="BD1977" s="253"/>
      <c r="BE1977" s="253"/>
      <c r="BK1977" s="254"/>
      <c r="BL1977" s="254"/>
      <c r="BM1977" s="253"/>
      <c r="BP1977" s="439">
        <f t="shared" si="288"/>
        <v>1.56</v>
      </c>
      <c r="BQ1977" s="439">
        <v>1.55</v>
      </c>
      <c r="BU1977" s="438">
        <v>0.41987179487179482</v>
      </c>
      <c r="BV1977" s="438">
        <v>0.4391025641025641</v>
      </c>
      <c r="BZ1977" s="92">
        <v>13.099999999999998</v>
      </c>
      <c r="CA1977" s="92">
        <v>13.612179487179487</v>
      </c>
      <c r="CB1977" s="92">
        <v>2.2999999999999998</v>
      </c>
      <c r="CC1977" s="92">
        <v>2.2999999999999998</v>
      </c>
      <c r="CD1977" s="36" t="s">
        <v>992</v>
      </c>
      <c r="CE1977" s="577">
        <v>13.099999999999998</v>
      </c>
      <c r="CF1977" s="577">
        <v>13.612179487179487</v>
      </c>
      <c r="CG1977" s="577"/>
      <c r="CH1977" s="577"/>
      <c r="CI1977" s="36" t="s">
        <v>4546</v>
      </c>
      <c r="JB1977" s="254" t="s">
        <v>2083</v>
      </c>
      <c r="JC1977" s="253"/>
      <c r="JD1977" s="259"/>
    </row>
    <row r="1978" spans="1:264" s="92" customFormat="1" x14ac:dyDescent="0.25">
      <c r="A1978" s="252">
        <v>91</v>
      </c>
      <c r="B1978" s="539" t="s">
        <v>4164</v>
      </c>
      <c r="C1978" s="252" t="s">
        <v>768</v>
      </c>
      <c r="D1978" s="253" t="s">
        <v>2118</v>
      </c>
      <c r="E1978" s="252">
        <v>2006</v>
      </c>
      <c r="F1978" s="253">
        <v>1999</v>
      </c>
      <c r="G1978" s="252" t="s">
        <v>946</v>
      </c>
      <c r="H1978" s="252" t="s">
        <v>2032</v>
      </c>
      <c r="I1978" s="252" t="s">
        <v>2815</v>
      </c>
      <c r="J1978" s="253">
        <v>32.56</v>
      </c>
      <c r="K1978" s="253">
        <v>-83.91</v>
      </c>
      <c r="L1978" s="254">
        <v>16</v>
      </c>
      <c r="M1978" s="254">
        <v>18.100000000000001</v>
      </c>
      <c r="N1978" s="253"/>
      <c r="O1978" s="254">
        <v>1258</v>
      </c>
      <c r="P1978" s="253"/>
      <c r="Q1978" s="253"/>
      <c r="R1978" s="254">
        <v>6</v>
      </c>
      <c r="S1978" s="255" t="s">
        <v>1975</v>
      </c>
      <c r="U1978" s="255" t="s">
        <v>2102</v>
      </c>
      <c r="V1978" s="256" t="s">
        <v>1402</v>
      </c>
      <c r="W1978" s="256">
        <v>30</v>
      </c>
      <c r="X1978" s="256" t="s">
        <v>1388</v>
      </c>
      <c r="Y1978" s="256" t="s">
        <v>1417</v>
      </c>
      <c r="Z1978" s="257">
        <f>AVERAGE(Sheet1!BP1978:BQ1978)</f>
        <v>1.3919999999999999</v>
      </c>
      <c r="AA1978" s="363">
        <v>65</v>
      </c>
      <c r="AB1978" s="363">
        <v>25</v>
      </c>
      <c r="AC1978" s="253" t="s">
        <v>240</v>
      </c>
      <c r="AD1978" s="253"/>
      <c r="AE1978" s="253"/>
      <c r="AF1978" s="253"/>
      <c r="AG1978" s="252" t="s">
        <v>2029</v>
      </c>
      <c r="AH1978" s="254" t="s">
        <v>131</v>
      </c>
      <c r="AI1978" s="253" t="s">
        <v>131</v>
      </c>
      <c r="AJ1978" s="254" t="s">
        <v>2027</v>
      </c>
      <c r="AK1978" s="253" t="s">
        <v>1646</v>
      </c>
      <c r="AL1978" s="253"/>
      <c r="AM1978" s="253"/>
      <c r="AN1978" s="253"/>
      <c r="AO1978" s="254" t="s">
        <v>773</v>
      </c>
      <c r="AP1978" s="254" t="s">
        <v>773</v>
      </c>
      <c r="AQ1978" s="254" t="s">
        <v>2125</v>
      </c>
      <c r="AR1978" s="254" t="s">
        <v>2125</v>
      </c>
      <c r="AS1978" s="92" t="s">
        <v>2115</v>
      </c>
      <c r="AT1978" s="253" t="s">
        <v>2031</v>
      </c>
      <c r="AU1978" s="253"/>
      <c r="AV1978" s="258" t="s">
        <v>2025</v>
      </c>
      <c r="AW1978" s="253" t="s">
        <v>160</v>
      </c>
      <c r="AX1978" s="254">
        <v>4</v>
      </c>
      <c r="AY1978" s="254">
        <v>4</v>
      </c>
      <c r="AZ1978" s="253" t="s">
        <v>141</v>
      </c>
      <c r="BA1978" s="253"/>
      <c r="BB1978" s="253"/>
      <c r="BC1978" s="253"/>
      <c r="BD1978" s="253"/>
      <c r="BE1978" s="253"/>
      <c r="BK1978" s="254"/>
      <c r="BL1978" s="254"/>
      <c r="BM1978" s="253"/>
      <c r="BP1978" s="439">
        <f t="shared" si="288"/>
        <v>1.397</v>
      </c>
      <c r="BQ1978" s="439">
        <v>1.387</v>
      </c>
      <c r="BU1978" s="438">
        <v>0.23383440706275355</v>
      </c>
      <c r="BV1978" s="438">
        <v>0.21713194941541397</v>
      </c>
      <c r="BZ1978" s="92">
        <v>9.8000000000000025</v>
      </c>
      <c r="CA1978" s="92">
        <v>9.0348604151753751</v>
      </c>
      <c r="CB1978" s="92">
        <v>3.4</v>
      </c>
      <c r="CC1978" s="92">
        <v>3.4</v>
      </c>
      <c r="CD1978" s="36" t="s">
        <v>992</v>
      </c>
      <c r="CE1978" s="577">
        <v>9.8000000000000025</v>
      </c>
      <c r="CF1978" s="577">
        <v>9.0348604151753751</v>
      </c>
      <c r="CG1978" s="577"/>
      <c r="CH1978" s="577"/>
      <c r="CI1978" s="36" t="s">
        <v>4546</v>
      </c>
      <c r="JB1978" s="254" t="s">
        <v>2083</v>
      </c>
      <c r="JC1978" s="253"/>
      <c r="JD1978" s="259"/>
    </row>
    <row r="1979" spans="1:264" s="92" customFormat="1" x14ac:dyDescent="0.25">
      <c r="A1979" s="252">
        <v>91</v>
      </c>
      <c r="B1979" s="539" t="s">
        <v>4165</v>
      </c>
      <c r="C1979" s="252" t="s">
        <v>768</v>
      </c>
      <c r="D1979" s="253" t="s">
        <v>2118</v>
      </c>
      <c r="E1979" s="252">
        <v>2006</v>
      </c>
      <c r="F1979" s="253">
        <v>1999</v>
      </c>
      <c r="G1979" s="252" t="s">
        <v>946</v>
      </c>
      <c r="H1979" s="252" t="s">
        <v>2032</v>
      </c>
      <c r="I1979" s="252" t="s">
        <v>2815</v>
      </c>
      <c r="J1979" s="253">
        <v>32.56</v>
      </c>
      <c r="K1979" s="253">
        <v>-83.91</v>
      </c>
      <c r="L1979" s="254">
        <v>16</v>
      </c>
      <c r="M1979" s="254">
        <v>18.100000000000001</v>
      </c>
      <c r="N1979" s="253"/>
      <c r="O1979" s="254">
        <v>1258</v>
      </c>
      <c r="P1979" s="253"/>
      <c r="Q1979" s="253"/>
      <c r="R1979" s="254">
        <v>6</v>
      </c>
      <c r="S1979" s="255" t="s">
        <v>1975</v>
      </c>
      <c r="U1979" s="255" t="s">
        <v>2102</v>
      </c>
      <c r="V1979" s="256" t="s">
        <v>1403</v>
      </c>
      <c r="W1979" s="256">
        <v>30</v>
      </c>
      <c r="X1979" s="256" t="s">
        <v>1388</v>
      </c>
      <c r="Y1979" s="256" t="s">
        <v>1417</v>
      </c>
      <c r="Z1979" s="257">
        <f>AVERAGE(Sheet1!BP1979:BQ1979)</f>
        <v>1.5939999999999999</v>
      </c>
      <c r="AA1979" s="363">
        <v>65</v>
      </c>
      <c r="AB1979" s="363">
        <v>25</v>
      </c>
      <c r="AC1979" s="253" t="s">
        <v>240</v>
      </c>
      <c r="AD1979" s="253"/>
      <c r="AE1979" s="253"/>
      <c r="AF1979" s="253"/>
      <c r="AG1979" s="252" t="s">
        <v>2029</v>
      </c>
      <c r="AH1979" s="254" t="s">
        <v>131</v>
      </c>
      <c r="AI1979" s="253" t="s">
        <v>131</v>
      </c>
      <c r="AJ1979" s="254" t="s">
        <v>2027</v>
      </c>
      <c r="AK1979" s="253" t="s">
        <v>1646</v>
      </c>
      <c r="AL1979" s="253"/>
      <c r="AM1979" s="253"/>
      <c r="AN1979" s="253"/>
      <c r="AO1979" s="254" t="s">
        <v>773</v>
      </c>
      <c r="AP1979" s="254" t="s">
        <v>773</v>
      </c>
      <c r="AQ1979" s="254" t="s">
        <v>2125</v>
      </c>
      <c r="AR1979" s="254" t="s">
        <v>2125</v>
      </c>
      <c r="AS1979" s="92" t="s">
        <v>177</v>
      </c>
      <c r="AT1979" s="253" t="s">
        <v>2031</v>
      </c>
      <c r="AU1979" s="253"/>
      <c r="AV1979" s="258" t="s">
        <v>2025</v>
      </c>
      <c r="AW1979" s="253" t="s">
        <v>160</v>
      </c>
      <c r="AX1979" s="254">
        <v>4</v>
      </c>
      <c r="AY1979" s="254">
        <v>4</v>
      </c>
      <c r="AZ1979" s="253" t="s">
        <v>141</v>
      </c>
      <c r="BA1979" s="253"/>
      <c r="BB1979" s="253"/>
      <c r="BC1979" s="253"/>
      <c r="BD1979" s="253"/>
      <c r="BE1979" s="253"/>
      <c r="BK1979" s="254"/>
      <c r="BL1979" s="254"/>
      <c r="BM1979" s="253"/>
      <c r="BP1979" s="439">
        <f t="shared" si="288"/>
        <v>1.599</v>
      </c>
      <c r="BQ1979" s="439">
        <v>1.589</v>
      </c>
      <c r="BU1979" s="438">
        <v>0.13967062747550552</v>
      </c>
      <c r="BV1979" s="438">
        <v>0.1480091723994163</v>
      </c>
      <c r="BZ1979" s="92">
        <v>6.7</v>
      </c>
      <c r="CA1979" s="92">
        <v>7.0555972482801748</v>
      </c>
      <c r="CB1979" s="92">
        <v>3.4</v>
      </c>
      <c r="CC1979" s="92">
        <v>3.4</v>
      </c>
      <c r="CD1979" s="36" t="s">
        <v>992</v>
      </c>
      <c r="CE1979" s="577">
        <v>6.7</v>
      </c>
      <c r="CF1979" s="577">
        <v>7.0555972482801748</v>
      </c>
      <c r="CG1979" s="577"/>
      <c r="CH1979" s="577"/>
      <c r="CI1979" s="36" t="s">
        <v>4546</v>
      </c>
      <c r="JB1979" s="254" t="s">
        <v>2083</v>
      </c>
      <c r="JC1979" s="253"/>
      <c r="JD1979" s="259"/>
    </row>
    <row r="1980" spans="1:264" s="92" customFormat="1" x14ac:dyDescent="0.25">
      <c r="A1980" s="252">
        <v>91</v>
      </c>
      <c r="B1980" s="539" t="s">
        <v>4166</v>
      </c>
      <c r="C1980" s="252" t="s">
        <v>768</v>
      </c>
      <c r="D1980" s="253" t="s">
        <v>2118</v>
      </c>
      <c r="E1980" s="252">
        <v>2006</v>
      </c>
      <c r="F1980" s="253">
        <v>1999</v>
      </c>
      <c r="G1980" s="252" t="s">
        <v>946</v>
      </c>
      <c r="H1980" s="252" t="s">
        <v>2032</v>
      </c>
      <c r="I1980" s="252" t="s">
        <v>2815</v>
      </c>
      <c r="J1980" s="253">
        <v>32.56</v>
      </c>
      <c r="K1980" s="253">
        <v>-83.91</v>
      </c>
      <c r="L1980" s="254">
        <v>16</v>
      </c>
      <c r="M1980" s="254">
        <v>18.100000000000001</v>
      </c>
      <c r="N1980" s="253"/>
      <c r="O1980" s="254">
        <v>1258</v>
      </c>
      <c r="P1980" s="253"/>
      <c r="Q1980" s="253"/>
      <c r="R1980" s="254">
        <v>6</v>
      </c>
      <c r="S1980" s="255" t="s">
        <v>1975</v>
      </c>
      <c r="U1980" s="255" t="s">
        <v>2102</v>
      </c>
      <c r="V1980" s="256" t="s">
        <v>1415</v>
      </c>
      <c r="W1980" s="256">
        <v>30</v>
      </c>
      <c r="X1980" s="256" t="s">
        <v>1388</v>
      </c>
      <c r="Y1980" s="256" t="s">
        <v>1417</v>
      </c>
      <c r="Z1980" s="257">
        <f>AVERAGE(Sheet1!BP1980:BQ1980)</f>
        <v>1.617</v>
      </c>
      <c r="AA1980" s="363">
        <v>65</v>
      </c>
      <c r="AB1980" s="363">
        <v>25</v>
      </c>
      <c r="AC1980" s="253" t="s">
        <v>240</v>
      </c>
      <c r="AD1980" s="253"/>
      <c r="AE1980" s="253"/>
      <c r="AF1980" s="253"/>
      <c r="AG1980" s="252" t="s">
        <v>2029</v>
      </c>
      <c r="AH1980" s="254" t="s">
        <v>131</v>
      </c>
      <c r="AI1980" s="253" t="s">
        <v>131</v>
      </c>
      <c r="AJ1980" s="254" t="s">
        <v>2027</v>
      </c>
      <c r="AK1980" s="253" t="s">
        <v>1646</v>
      </c>
      <c r="AL1980" s="253"/>
      <c r="AM1980" s="253"/>
      <c r="AN1980" s="253"/>
      <c r="AO1980" s="254" t="s">
        <v>773</v>
      </c>
      <c r="AP1980" s="254" t="s">
        <v>773</v>
      </c>
      <c r="AQ1980" s="254" t="s">
        <v>2125</v>
      </c>
      <c r="AR1980" s="254" t="s">
        <v>2125</v>
      </c>
      <c r="AS1980" s="92" t="s">
        <v>2115</v>
      </c>
      <c r="AT1980" s="253" t="s">
        <v>2031</v>
      </c>
      <c r="AU1980" s="253"/>
      <c r="AV1980" s="258" t="s">
        <v>2025</v>
      </c>
      <c r="AW1980" s="253" t="s">
        <v>160</v>
      </c>
      <c r="AX1980" s="254">
        <v>4</v>
      </c>
      <c r="AY1980" s="254">
        <v>4</v>
      </c>
      <c r="AZ1980" s="253" t="s">
        <v>141</v>
      </c>
      <c r="BA1980" s="253"/>
      <c r="BB1980" s="253"/>
      <c r="BC1980" s="253"/>
      <c r="BD1980" s="253"/>
      <c r="BE1980" s="253"/>
      <c r="BK1980" s="254"/>
      <c r="BL1980" s="254"/>
      <c r="BM1980" s="253"/>
      <c r="BP1980" s="439">
        <f t="shared" si="288"/>
        <v>1.6220000000000001</v>
      </c>
      <c r="BQ1980" s="439">
        <v>1.6120000000000001</v>
      </c>
      <c r="BU1980" s="438">
        <v>9.2478421701602934E-2</v>
      </c>
      <c r="BV1980" s="438">
        <v>0.11919441019317713</v>
      </c>
      <c r="BZ1980" s="92">
        <v>4.4999999999999991</v>
      </c>
      <c r="CA1980" s="92">
        <v>5.7642416769420466</v>
      </c>
      <c r="CB1980" s="92">
        <v>2.2000000000000002</v>
      </c>
      <c r="CC1980" s="92">
        <v>2.2000000000000002</v>
      </c>
      <c r="CD1980" s="36" t="s">
        <v>992</v>
      </c>
      <c r="CE1980" s="577">
        <v>4.4999999999999991</v>
      </c>
      <c r="CF1980" s="577">
        <v>5.7642416769420466</v>
      </c>
      <c r="CG1980" s="577"/>
      <c r="CH1980" s="577"/>
      <c r="CI1980" s="36" t="s">
        <v>4546</v>
      </c>
      <c r="JB1980" s="254" t="s">
        <v>2083</v>
      </c>
      <c r="JC1980" s="253"/>
      <c r="JD1980" s="259"/>
    </row>
    <row r="1981" spans="1:264" s="36" customFormat="1" x14ac:dyDescent="0.25">
      <c r="A1981" s="223">
        <v>91</v>
      </c>
      <c r="B1981" s="540" t="s">
        <v>4167</v>
      </c>
      <c r="C1981" s="223" t="s">
        <v>768</v>
      </c>
      <c r="D1981" s="224" t="s">
        <v>2118</v>
      </c>
      <c r="E1981" s="223">
        <v>2006</v>
      </c>
      <c r="F1981" s="224">
        <v>1999</v>
      </c>
      <c r="G1981" s="223" t="s">
        <v>946</v>
      </c>
      <c r="H1981" s="223" t="s">
        <v>2032</v>
      </c>
      <c r="I1981" s="252" t="s">
        <v>2815</v>
      </c>
      <c r="J1981" s="224">
        <v>32.56</v>
      </c>
      <c r="K1981" s="224">
        <v>-83.91</v>
      </c>
      <c r="L1981" s="225">
        <v>16</v>
      </c>
      <c r="M1981" s="225">
        <v>18.100000000000001</v>
      </c>
      <c r="N1981" s="224"/>
      <c r="O1981" s="225">
        <v>1258</v>
      </c>
      <c r="P1981" s="224"/>
      <c r="Q1981" s="224"/>
      <c r="R1981" s="225">
        <v>6</v>
      </c>
      <c r="S1981" s="226" t="s">
        <v>1975</v>
      </c>
      <c r="U1981" s="226" t="s">
        <v>2102</v>
      </c>
      <c r="V1981" s="227" t="s">
        <v>1388</v>
      </c>
      <c r="W1981" s="227">
        <v>10</v>
      </c>
      <c r="X1981" s="227" t="s">
        <v>1388</v>
      </c>
      <c r="Y1981" s="227" t="s">
        <v>1417</v>
      </c>
      <c r="Z1981" s="228">
        <f>AVERAGE(Sheet1!BP1981:BQ1981)</f>
        <v>1.4249999999999998</v>
      </c>
      <c r="AA1981" s="364">
        <v>65</v>
      </c>
      <c r="AB1981" s="364">
        <v>25</v>
      </c>
      <c r="AC1981" s="224" t="s">
        <v>240</v>
      </c>
      <c r="AD1981" s="224"/>
      <c r="AE1981" s="224"/>
      <c r="AF1981" s="224"/>
      <c r="AG1981" s="223" t="s">
        <v>2029</v>
      </c>
      <c r="AH1981" s="225" t="s">
        <v>131</v>
      </c>
      <c r="AI1981" s="224" t="s">
        <v>131</v>
      </c>
      <c r="AJ1981" s="225" t="s">
        <v>2027</v>
      </c>
      <c r="AK1981" s="224" t="s">
        <v>1646</v>
      </c>
      <c r="AL1981" s="224"/>
      <c r="AM1981" s="224"/>
      <c r="AN1981" s="224"/>
      <c r="AO1981" s="225" t="s">
        <v>773</v>
      </c>
      <c r="AP1981" s="225" t="s">
        <v>773</v>
      </c>
      <c r="AQ1981" s="225" t="s">
        <v>2125</v>
      </c>
      <c r="AR1981" s="225" t="s">
        <v>2125</v>
      </c>
      <c r="AS1981" s="92" t="s">
        <v>177</v>
      </c>
      <c r="AT1981" s="224" t="s">
        <v>2026</v>
      </c>
      <c r="AU1981" s="224"/>
      <c r="AV1981" s="229" t="s">
        <v>2025</v>
      </c>
      <c r="AW1981" s="253" t="s">
        <v>160</v>
      </c>
      <c r="AX1981" s="225">
        <v>4</v>
      </c>
      <c r="AY1981" s="225">
        <v>4</v>
      </c>
      <c r="AZ1981" s="224" t="s">
        <v>141</v>
      </c>
      <c r="BA1981" s="224"/>
      <c r="BB1981" s="224"/>
      <c r="BC1981" s="224"/>
      <c r="BD1981" s="224"/>
      <c r="BE1981" s="224"/>
      <c r="BK1981" s="225"/>
      <c r="BL1981" s="225"/>
      <c r="BM1981" s="224"/>
      <c r="BP1981" s="440">
        <f t="shared" si="288"/>
        <v>1.43</v>
      </c>
      <c r="BQ1981" s="440">
        <v>1.42</v>
      </c>
      <c r="BU1981" s="441">
        <v>0.6573426573426574</v>
      </c>
      <c r="BV1981" s="441">
        <v>0.63636363636363624</v>
      </c>
      <c r="BZ1981" s="36">
        <v>9.4</v>
      </c>
      <c r="CA1981" s="36">
        <v>9.0363636363636335</v>
      </c>
      <c r="CB1981" s="36">
        <v>1</v>
      </c>
      <c r="CC1981" s="36">
        <v>1</v>
      </c>
      <c r="CD1981" s="36" t="s">
        <v>992</v>
      </c>
      <c r="CE1981" s="560">
        <v>9.4</v>
      </c>
      <c r="CF1981" s="560">
        <v>9.0363636363636335</v>
      </c>
      <c r="CG1981" s="560"/>
      <c r="CH1981" s="560"/>
      <c r="CI1981" s="36" t="s">
        <v>4546</v>
      </c>
      <c r="JB1981" s="225" t="s">
        <v>2083</v>
      </c>
      <c r="JC1981" s="224"/>
      <c r="JD1981" s="230"/>
    </row>
    <row r="1982" spans="1:264" s="36" customFormat="1" x14ac:dyDescent="0.25">
      <c r="A1982" s="223">
        <v>91</v>
      </c>
      <c r="B1982" s="540" t="s">
        <v>4168</v>
      </c>
      <c r="C1982" s="223" t="s">
        <v>768</v>
      </c>
      <c r="D1982" s="224" t="s">
        <v>2118</v>
      </c>
      <c r="E1982" s="223">
        <v>2006</v>
      </c>
      <c r="F1982" s="224">
        <v>1999</v>
      </c>
      <c r="G1982" s="223" t="s">
        <v>946</v>
      </c>
      <c r="H1982" s="223" t="s">
        <v>2032</v>
      </c>
      <c r="I1982" s="252" t="s">
        <v>2815</v>
      </c>
      <c r="J1982" s="224">
        <v>32.56</v>
      </c>
      <c r="K1982" s="224">
        <v>-83.91</v>
      </c>
      <c r="L1982" s="225">
        <v>16</v>
      </c>
      <c r="M1982" s="225">
        <v>18.100000000000001</v>
      </c>
      <c r="N1982" s="224"/>
      <c r="O1982" s="225">
        <v>1258</v>
      </c>
      <c r="P1982" s="224"/>
      <c r="Q1982" s="224"/>
      <c r="R1982" s="225">
        <v>6</v>
      </c>
      <c r="S1982" s="226" t="s">
        <v>1975</v>
      </c>
      <c r="U1982" s="226" t="s">
        <v>2102</v>
      </c>
      <c r="V1982" s="227" t="s">
        <v>1408</v>
      </c>
      <c r="W1982" s="227">
        <v>20</v>
      </c>
      <c r="X1982" s="227" t="s">
        <v>1388</v>
      </c>
      <c r="Y1982" s="227" t="s">
        <v>1417</v>
      </c>
      <c r="Z1982" s="228">
        <f>AVERAGE(Sheet1!BP1982:BQ1982)</f>
        <v>1.5550000000000002</v>
      </c>
      <c r="AA1982" s="364">
        <v>65</v>
      </c>
      <c r="AB1982" s="364">
        <v>25</v>
      </c>
      <c r="AC1982" s="224" t="s">
        <v>240</v>
      </c>
      <c r="AD1982" s="224"/>
      <c r="AE1982" s="224"/>
      <c r="AF1982" s="224"/>
      <c r="AG1982" s="223" t="s">
        <v>2029</v>
      </c>
      <c r="AH1982" s="225" t="s">
        <v>131</v>
      </c>
      <c r="AI1982" s="224" t="s">
        <v>131</v>
      </c>
      <c r="AJ1982" s="225" t="s">
        <v>2027</v>
      </c>
      <c r="AK1982" s="224" t="s">
        <v>1646</v>
      </c>
      <c r="AL1982" s="224"/>
      <c r="AM1982" s="224"/>
      <c r="AN1982" s="224"/>
      <c r="AO1982" s="225" t="s">
        <v>773</v>
      </c>
      <c r="AP1982" s="225" t="s">
        <v>773</v>
      </c>
      <c r="AQ1982" s="225" t="s">
        <v>2125</v>
      </c>
      <c r="AR1982" s="225" t="s">
        <v>2125</v>
      </c>
      <c r="AS1982" s="92" t="s">
        <v>2115</v>
      </c>
      <c r="AT1982" s="224" t="s">
        <v>2026</v>
      </c>
      <c r="AU1982" s="224"/>
      <c r="AV1982" s="229" t="s">
        <v>2025</v>
      </c>
      <c r="AW1982" s="253" t="s">
        <v>160</v>
      </c>
      <c r="AX1982" s="225">
        <v>4</v>
      </c>
      <c r="AY1982" s="225">
        <v>4</v>
      </c>
      <c r="AZ1982" s="224" t="s">
        <v>141</v>
      </c>
      <c r="BA1982" s="224"/>
      <c r="BB1982" s="224"/>
      <c r="BC1982" s="224"/>
      <c r="BD1982" s="224"/>
      <c r="BE1982" s="224"/>
      <c r="BK1982" s="225"/>
      <c r="BL1982" s="225"/>
      <c r="BM1982" s="224"/>
      <c r="BP1982" s="440">
        <f t="shared" si="288"/>
        <v>1.56</v>
      </c>
      <c r="BQ1982" s="440">
        <v>1.55</v>
      </c>
      <c r="BU1982" s="441">
        <v>0.41987179487179482</v>
      </c>
      <c r="BV1982" s="441">
        <v>0.44871794871794868</v>
      </c>
      <c r="BZ1982" s="36">
        <v>13.099999999999998</v>
      </c>
      <c r="CA1982" s="36">
        <v>13.910256410256412</v>
      </c>
      <c r="CB1982" s="36">
        <v>2.2999999999999998</v>
      </c>
      <c r="CC1982" s="36">
        <v>2.2999999999999998</v>
      </c>
      <c r="CD1982" s="36" t="s">
        <v>992</v>
      </c>
      <c r="CE1982" s="560">
        <v>13.099999999999998</v>
      </c>
      <c r="CF1982" s="560">
        <v>13.910256410256412</v>
      </c>
      <c r="CG1982" s="560"/>
      <c r="CH1982" s="560"/>
      <c r="CI1982" s="36" t="s">
        <v>4546</v>
      </c>
      <c r="JB1982" s="225" t="s">
        <v>2083</v>
      </c>
      <c r="JC1982" s="224"/>
      <c r="JD1982" s="230"/>
    </row>
    <row r="1983" spans="1:264" s="36" customFormat="1" x14ac:dyDescent="0.25">
      <c r="A1983" s="223">
        <v>91</v>
      </c>
      <c r="B1983" s="540" t="s">
        <v>4169</v>
      </c>
      <c r="C1983" s="223" t="s">
        <v>768</v>
      </c>
      <c r="D1983" s="224" t="s">
        <v>2118</v>
      </c>
      <c r="E1983" s="223">
        <v>2006</v>
      </c>
      <c r="F1983" s="224">
        <v>1999</v>
      </c>
      <c r="G1983" s="223" t="s">
        <v>946</v>
      </c>
      <c r="H1983" s="223" t="s">
        <v>2032</v>
      </c>
      <c r="I1983" s="252" t="s">
        <v>2815</v>
      </c>
      <c r="J1983" s="224">
        <v>32.56</v>
      </c>
      <c r="K1983" s="224">
        <v>-83.91</v>
      </c>
      <c r="L1983" s="225">
        <v>16</v>
      </c>
      <c r="M1983" s="225">
        <v>18.100000000000001</v>
      </c>
      <c r="N1983" s="224"/>
      <c r="O1983" s="225">
        <v>1258</v>
      </c>
      <c r="P1983" s="224"/>
      <c r="Q1983" s="224"/>
      <c r="R1983" s="225">
        <v>6</v>
      </c>
      <c r="S1983" s="226" t="s">
        <v>1975</v>
      </c>
      <c r="U1983" s="226" t="s">
        <v>2102</v>
      </c>
      <c r="V1983" s="227" t="s">
        <v>1402</v>
      </c>
      <c r="W1983" s="227">
        <v>30</v>
      </c>
      <c r="X1983" s="227" t="s">
        <v>1388</v>
      </c>
      <c r="Y1983" s="227" t="s">
        <v>1417</v>
      </c>
      <c r="Z1983" s="228">
        <f>AVERAGE(Sheet1!BP1983:BQ1983)</f>
        <v>1.3919999999999999</v>
      </c>
      <c r="AA1983" s="364">
        <v>65</v>
      </c>
      <c r="AB1983" s="364">
        <v>25</v>
      </c>
      <c r="AC1983" s="224" t="s">
        <v>240</v>
      </c>
      <c r="AD1983" s="224"/>
      <c r="AE1983" s="224"/>
      <c r="AF1983" s="224"/>
      <c r="AG1983" s="223" t="s">
        <v>2029</v>
      </c>
      <c r="AH1983" s="225" t="s">
        <v>131</v>
      </c>
      <c r="AI1983" s="224" t="s">
        <v>131</v>
      </c>
      <c r="AJ1983" s="225" t="s">
        <v>2027</v>
      </c>
      <c r="AK1983" s="224" t="s">
        <v>1646</v>
      </c>
      <c r="AL1983" s="224"/>
      <c r="AM1983" s="224"/>
      <c r="AN1983" s="224"/>
      <c r="AO1983" s="225" t="s">
        <v>773</v>
      </c>
      <c r="AP1983" s="225" t="s">
        <v>773</v>
      </c>
      <c r="AQ1983" s="225" t="s">
        <v>2125</v>
      </c>
      <c r="AR1983" s="225" t="s">
        <v>2125</v>
      </c>
      <c r="AS1983" s="92" t="s">
        <v>177</v>
      </c>
      <c r="AT1983" s="224" t="s">
        <v>2026</v>
      </c>
      <c r="AU1983" s="224"/>
      <c r="AV1983" s="229" t="s">
        <v>2025</v>
      </c>
      <c r="AW1983" s="253" t="s">
        <v>160</v>
      </c>
      <c r="AX1983" s="225">
        <v>4</v>
      </c>
      <c r="AY1983" s="225">
        <v>4</v>
      </c>
      <c r="AZ1983" s="224" t="s">
        <v>141</v>
      </c>
      <c r="BA1983" s="224"/>
      <c r="BB1983" s="224"/>
      <c r="BC1983" s="224"/>
      <c r="BD1983" s="224"/>
      <c r="BE1983" s="224"/>
      <c r="BK1983" s="225"/>
      <c r="BL1983" s="225"/>
      <c r="BM1983" s="224"/>
      <c r="BP1983" s="440">
        <f t="shared" si="288"/>
        <v>1.397</v>
      </c>
      <c r="BQ1983" s="440">
        <v>1.387</v>
      </c>
      <c r="BU1983" s="441">
        <v>0.22429014554998808</v>
      </c>
      <c r="BV1983" s="441">
        <v>0.28871391076115482</v>
      </c>
      <c r="BZ1983" s="36">
        <v>9.4</v>
      </c>
      <c r="CA1983" s="36">
        <v>12.013385826771653</v>
      </c>
      <c r="CB1983" s="36">
        <v>3.4</v>
      </c>
      <c r="CC1983" s="36">
        <v>3.4</v>
      </c>
      <c r="CD1983" s="36" t="s">
        <v>992</v>
      </c>
      <c r="CE1983" s="560">
        <v>9.4</v>
      </c>
      <c r="CF1983" s="560">
        <v>12.013385826771653</v>
      </c>
      <c r="CG1983" s="560"/>
      <c r="CH1983" s="560"/>
      <c r="CI1983" s="36" t="s">
        <v>4546</v>
      </c>
      <c r="JB1983" s="225" t="s">
        <v>2083</v>
      </c>
      <c r="JC1983" s="224"/>
      <c r="JD1983" s="230"/>
    </row>
    <row r="1984" spans="1:264" s="36" customFormat="1" x14ac:dyDescent="0.25">
      <c r="A1984" s="223">
        <v>91</v>
      </c>
      <c r="B1984" s="540" t="s">
        <v>4170</v>
      </c>
      <c r="C1984" s="223" t="s">
        <v>768</v>
      </c>
      <c r="D1984" s="224" t="s">
        <v>2118</v>
      </c>
      <c r="E1984" s="223">
        <v>2006</v>
      </c>
      <c r="F1984" s="224">
        <v>1999</v>
      </c>
      <c r="G1984" s="223" t="s">
        <v>946</v>
      </c>
      <c r="H1984" s="223" t="s">
        <v>2032</v>
      </c>
      <c r="I1984" s="252" t="s">
        <v>2815</v>
      </c>
      <c r="J1984" s="224">
        <v>32.56</v>
      </c>
      <c r="K1984" s="224">
        <v>-83.91</v>
      </c>
      <c r="L1984" s="225">
        <v>16</v>
      </c>
      <c r="M1984" s="225">
        <v>18.100000000000001</v>
      </c>
      <c r="N1984" s="224"/>
      <c r="O1984" s="225">
        <v>1258</v>
      </c>
      <c r="P1984" s="224"/>
      <c r="Q1984" s="224"/>
      <c r="R1984" s="225">
        <v>6</v>
      </c>
      <c r="S1984" s="226" t="s">
        <v>1975</v>
      </c>
      <c r="U1984" s="226" t="s">
        <v>2102</v>
      </c>
      <c r="V1984" s="227" t="s">
        <v>1403</v>
      </c>
      <c r="W1984" s="227">
        <v>30</v>
      </c>
      <c r="X1984" s="227" t="s">
        <v>1388</v>
      </c>
      <c r="Y1984" s="227" t="s">
        <v>1417</v>
      </c>
      <c r="Z1984" s="228">
        <f>AVERAGE(Sheet1!BP1984:BQ1984)</f>
        <v>1.5939999999999999</v>
      </c>
      <c r="AA1984" s="364">
        <v>65</v>
      </c>
      <c r="AB1984" s="364">
        <v>25</v>
      </c>
      <c r="AC1984" s="224" t="s">
        <v>240</v>
      </c>
      <c r="AD1984" s="224"/>
      <c r="AE1984" s="224"/>
      <c r="AF1984" s="224"/>
      <c r="AG1984" s="223" t="s">
        <v>2029</v>
      </c>
      <c r="AH1984" s="225" t="s">
        <v>131</v>
      </c>
      <c r="AI1984" s="224" t="s">
        <v>131</v>
      </c>
      <c r="AJ1984" s="225" t="s">
        <v>2027</v>
      </c>
      <c r="AK1984" s="224" t="s">
        <v>1646</v>
      </c>
      <c r="AL1984" s="224"/>
      <c r="AM1984" s="224"/>
      <c r="AN1984" s="224"/>
      <c r="AO1984" s="225" t="s">
        <v>773</v>
      </c>
      <c r="AP1984" s="225" t="s">
        <v>773</v>
      </c>
      <c r="AQ1984" s="225" t="s">
        <v>2125</v>
      </c>
      <c r="AR1984" s="225" t="s">
        <v>2125</v>
      </c>
      <c r="AS1984" s="92" t="s">
        <v>2115</v>
      </c>
      <c r="AT1984" s="224" t="s">
        <v>2026</v>
      </c>
      <c r="AU1984" s="224"/>
      <c r="AV1984" s="229" t="s">
        <v>2025</v>
      </c>
      <c r="AW1984" s="253" t="s">
        <v>160</v>
      </c>
      <c r="AX1984" s="225">
        <v>4</v>
      </c>
      <c r="AY1984" s="225">
        <v>4</v>
      </c>
      <c r="AZ1984" s="224" t="s">
        <v>141</v>
      </c>
      <c r="BA1984" s="224"/>
      <c r="BB1984" s="224"/>
      <c r="BC1984" s="224"/>
      <c r="BD1984" s="224"/>
      <c r="BE1984" s="224"/>
      <c r="BK1984" s="225"/>
      <c r="BL1984" s="225"/>
      <c r="BM1984" s="224"/>
      <c r="BP1984" s="440">
        <f t="shared" si="288"/>
        <v>1.599</v>
      </c>
      <c r="BQ1984" s="440">
        <v>1.589</v>
      </c>
      <c r="BU1984" s="441">
        <v>0.16468626224723787</v>
      </c>
      <c r="BV1984" s="441">
        <v>0.16885553470919323</v>
      </c>
      <c r="BZ1984" s="36">
        <v>7.9</v>
      </c>
      <c r="CA1984" s="36">
        <v>8.0493433395872405</v>
      </c>
      <c r="CB1984" s="36">
        <v>3.4</v>
      </c>
      <c r="CC1984" s="36">
        <v>3.4</v>
      </c>
      <c r="CD1984" s="36" t="s">
        <v>992</v>
      </c>
      <c r="CE1984" s="560">
        <v>7.9</v>
      </c>
      <c r="CF1984" s="560">
        <v>8.0493433395872405</v>
      </c>
      <c r="CG1984" s="560"/>
      <c r="CH1984" s="560"/>
      <c r="CI1984" s="36" t="s">
        <v>4546</v>
      </c>
      <c r="JB1984" s="225" t="s">
        <v>2083</v>
      </c>
      <c r="JC1984" s="224"/>
      <c r="JD1984" s="230"/>
    </row>
    <row r="1985" spans="1:264" s="36" customFormat="1" x14ac:dyDescent="0.25">
      <c r="A1985" s="223">
        <v>91</v>
      </c>
      <c r="B1985" s="540" t="s">
        <v>4171</v>
      </c>
      <c r="C1985" s="223" t="s">
        <v>768</v>
      </c>
      <c r="D1985" s="224" t="s">
        <v>2118</v>
      </c>
      <c r="E1985" s="223">
        <v>2006</v>
      </c>
      <c r="F1985" s="224">
        <v>1999</v>
      </c>
      <c r="G1985" s="223" t="s">
        <v>946</v>
      </c>
      <c r="H1985" s="223" t="s">
        <v>2032</v>
      </c>
      <c r="I1985" s="252" t="s">
        <v>2815</v>
      </c>
      <c r="J1985" s="224">
        <v>32.56</v>
      </c>
      <c r="K1985" s="224">
        <v>-83.91</v>
      </c>
      <c r="L1985" s="225">
        <v>16</v>
      </c>
      <c r="M1985" s="225">
        <v>18.100000000000001</v>
      </c>
      <c r="N1985" s="224"/>
      <c r="O1985" s="225">
        <v>1258</v>
      </c>
      <c r="P1985" s="224"/>
      <c r="Q1985" s="224"/>
      <c r="R1985" s="225">
        <v>6</v>
      </c>
      <c r="S1985" s="226" t="s">
        <v>1975</v>
      </c>
      <c r="U1985" s="226" t="s">
        <v>2102</v>
      </c>
      <c r="V1985" s="227" t="s">
        <v>1415</v>
      </c>
      <c r="W1985" s="227">
        <v>30</v>
      </c>
      <c r="X1985" s="227" t="s">
        <v>1388</v>
      </c>
      <c r="Y1985" s="227" t="s">
        <v>1417</v>
      </c>
      <c r="Z1985" s="228">
        <f>AVERAGE(Sheet1!BP1985:BQ1985)</f>
        <v>1.617</v>
      </c>
      <c r="AA1985" s="364">
        <v>65</v>
      </c>
      <c r="AB1985" s="364">
        <v>25</v>
      </c>
      <c r="AC1985" s="224" t="s">
        <v>240</v>
      </c>
      <c r="AD1985" s="224"/>
      <c r="AE1985" s="224"/>
      <c r="AF1985" s="224"/>
      <c r="AG1985" s="223" t="s">
        <v>2029</v>
      </c>
      <c r="AH1985" s="225" t="s">
        <v>131</v>
      </c>
      <c r="AI1985" s="224" t="s">
        <v>131</v>
      </c>
      <c r="AJ1985" s="225" t="s">
        <v>2027</v>
      </c>
      <c r="AK1985" s="224" t="s">
        <v>1646</v>
      </c>
      <c r="AL1985" s="224"/>
      <c r="AM1985" s="224"/>
      <c r="AN1985" s="224"/>
      <c r="AO1985" s="225" t="s">
        <v>773</v>
      </c>
      <c r="AP1985" s="225" t="s">
        <v>773</v>
      </c>
      <c r="AQ1985" s="225" t="s">
        <v>2125</v>
      </c>
      <c r="AR1985" s="225" t="s">
        <v>2125</v>
      </c>
      <c r="AS1985" s="92" t="s">
        <v>177</v>
      </c>
      <c r="AT1985" s="224" t="s">
        <v>2026</v>
      </c>
      <c r="AU1985" s="224"/>
      <c r="AV1985" s="229" t="s">
        <v>2025</v>
      </c>
      <c r="AW1985" s="253" t="s">
        <v>160</v>
      </c>
      <c r="AX1985" s="225">
        <v>4</v>
      </c>
      <c r="AY1985" s="225">
        <v>4</v>
      </c>
      <c r="AZ1985" s="224" t="s">
        <v>141</v>
      </c>
      <c r="BA1985" s="224"/>
      <c r="BB1985" s="224"/>
      <c r="BC1985" s="224"/>
      <c r="BD1985" s="224"/>
      <c r="BE1985" s="224"/>
      <c r="BK1985" s="225"/>
      <c r="BL1985" s="225"/>
      <c r="BM1985" s="224"/>
      <c r="BP1985" s="440">
        <f t="shared" si="288"/>
        <v>1.6220000000000001</v>
      </c>
      <c r="BQ1985" s="440">
        <v>1.6120000000000001</v>
      </c>
      <c r="BU1985" s="441">
        <v>0.12741471434443072</v>
      </c>
      <c r="BV1985" s="441">
        <v>0.12124948623099052</v>
      </c>
      <c r="BZ1985" s="36">
        <v>6.1999999999999993</v>
      </c>
      <c r="CA1985" s="36">
        <v>5.8636251541307027</v>
      </c>
      <c r="CB1985" s="36">
        <v>2.2000000000000002</v>
      </c>
      <c r="CC1985" s="36">
        <v>2.2000000000000002</v>
      </c>
      <c r="CD1985" s="36" t="s">
        <v>992</v>
      </c>
      <c r="CE1985" s="560">
        <v>6.1999999999999993</v>
      </c>
      <c r="CF1985" s="560">
        <v>5.8636251541307027</v>
      </c>
      <c r="CG1985" s="560"/>
      <c r="CH1985" s="560"/>
      <c r="CI1985" s="36" t="s">
        <v>4546</v>
      </c>
      <c r="JB1985" s="225" t="s">
        <v>2083</v>
      </c>
      <c r="JC1985" s="224"/>
      <c r="JD1985" s="230"/>
    </row>
    <row r="1986" spans="1:264" s="92" customFormat="1" x14ac:dyDescent="0.25">
      <c r="A1986" s="252">
        <v>91</v>
      </c>
      <c r="B1986" s="539" t="s">
        <v>4172</v>
      </c>
      <c r="C1986" s="252" t="s">
        <v>768</v>
      </c>
      <c r="D1986" s="253" t="s">
        <v>2118</v>
      </c>
      <c r="E1986" s="252">
        <v>2006</v>
      </c>
      <c r="F1986" s="253">
        <v>1999</v>
      </c>
      <c r="G1986" s="252" t="s">
        <v>946</v>
      </c>
      <c r="H1986" s="252" t="s">
        <v>2032</v>
      </c>
      <c r="I1986" s="252" t="s">
        <v>2815</v>
      </c>
      <c r="J1986" s="253">
        <v>32.56</v>
      </c>
      <c r="K1986" s="253">
        <v>-83.91</v>
      </c>
      <c r="L1986" s="254">
        <v>16</v>
      </c>
      <c r="M1986" s="254">
        <v>18.100000000000001</v>
      </c>
      <c r="N1986" s="253"/>
      <c r="O1986" s="254">
        <v>1258</v>
      </c>
      <c r="P1986" s="253"/>
      <c r="Q1986" s="253"/>
      <c r="R1986" s="254">
        <v>6</v>
      </c>
      <c r="S1986" s="255" t="s">
        <v>1975</v>
      </c>
      <c r="U1986" s="255" t="s">
        <v>2102</v>
      </c>
      <c r="V1986" s="256" t="s">
        <v>1388</v>
      </c>
      <c r="W1986" s="256">
        <v>10</v>
      </c>
      <c r="X1986" s="256" t="s">
        <v>1388</v>
      </c>
      <c r="Y1986" s="256" t="s">
        <v>1417</v>
      </c>
      <c r="Z1986" s="257">
        <f>AVERAGE(Sheet1!BP1986:BQ1986)</f>
        <v>1.4249999999999998</v>
      </c>
      <c r="AA1986" s="363">
        <v>65</v>
      </c>
      <c r="AB1986" s="363">
        <v>25</v>
      </c>
      <c r="AC1986" s="253" t="s">
        <v>240</v>
      </c>
      <c r="AD1986" s="253"/>
      <c r="AE1986" s="253"/>
      <c r="AF1986" s="253"/>
      <c r="AG1986" s="252" t="s">
        <v>2029</v>
      </c>
      <c r="AH1986" s="254" t="s">
        <v>243</v>
      </c>
      <c r="AI1986" s="253" t="s">
        <v>577</v>
      </c>
      <c r="AJ1986" s="254" t="s">
        <v>2027</v>
      </c>
      <c r="AK1986" s="253" t="s">
        <v>1646</v>
      </c>
      <c r="AL1986" s="253"/>
      <c r="AM1986" s="253"/>
      <c r="AN1986" s="253"/>
      <c r="AO1986" s="254" t="s">
        <v>773</v>
      </c>
      <c r="AP1986" s="254" t="s">
        <v>773</v>
      </c>
      <c r="AQ1986" s="254" t="s">
        <v>2125</v>
      </c>
      <c r="AR1986" s="254" t="s">
        <v>2125</v>
      </c>
      <c r="AS1986" s="92" t="s">
        <v>2115</v>
      </c>
      <c r="AT1986" s="253" t="s">
        <v>161</v>
      </c>
      <c r="AU1986" s="253"/>
      <c r="AV1986" s="258" t="s">
        <v>2025</v>
      </c>
      <c r="AW1986" s="253" t="s">
        <v>160</v>
      </c>
      <c r="AX1986" s="254">
        <v>4</v>
      </c>
      <c r="AY1986" s="254">
        <v>4</v>
      </c>
      <c r="AZ1986" s="253" t="s">
        <v>141</v>
      </c>
      <c r="BA1986" s="253"/>
      <c r="BB1986" s="253"/>
      <c r="BC1986" s="253"/>
      <c r="BD1986" s="253"/>
      <c r="BE1986" s="253"/>
      <c r="BK1986" s="254"/>
      <c r="BL1986" s="254"/>
      <c r="BM1986" s="253"/>
      <c r="BP1986" s="439">
        <f t="shared" si="288"/>
        <v>1.43</v>
      </c>
      <c r="BQ1986" s="439">
        <v>1.42</v>
      </c>
      <c r="BU1986" s="438">
        <v>0.55944055944055948</v>
      </c>
      <c r="BV1986" s="438">
        <v>0.63636363636363624</v>
      </c>
      <c r="BZ1986" s="92">
        <v>8</v>
      </c>
      <c r="CA1986" s="92">
        <v>9.0363636363636335</v>
      </c>
      <c r="CB1986" s="92">
        <v>1</v>
      </c>
      <c r="CC1986" s="92">
        <v>1</v>
      </c>
      <c r="CD1986" s="36" t="s">
        <v>992</v>
      </c>
      <c r="CE1986" s="577">
        <v>8</v>
      </c>
      <c r="CF1986" s="577">
        <v>9.0363636363636335</v>
      </c>
      <c r="CG1986" s="577"/>
      <c r="CH1986" s="577"/>
      <c r="CI1986" s="36" t="s">
        <v>4546</v>
      </c>
      <c r="JB1986" s="254" t="s">
        <v>2083</v>
      </c>
      <c r="JC1986" s="253"/>
      <c r="JD1986" s="259"/>
    </row>
    <row r="1987" spans="1:264" s="92" customFormat="1" x14ac:dyDescent="0.25">
      <c r="A1987" s="252">
        <v>91</v>
      </c>
      <c r="B1987" s="539" t="s">
        <v>4173</v>
      </c>
      <c r="C1987" s="252" t="s">
        <v>768</v>
      </c>
      <c r="D1987" s="253" t="s">
        <v>2118</v>
      </c>
      <c r="E1987" s="252">
        <v>2006</v>
      </c>
      <c r="F1987" s="253">
        <v>1999</v>
      </c>
      <c r="G1987" s="252" t="s">
        <v>946</v>
      </c>
      <c r="H1987" s="252" t="s">
        <v>2032</v>
      </c>
      <c r="I1987" s="252" t="s">
        <v>2815</v>
      </c>
      <c r="J1987" s="253">
        <v>32.56</v>
      </c>
      <c r="K1987" s="253">
        <v>-83.91</v>
      </c>
      <c r="L1987" s="254">
        <v>16</v>
      </c>
      <c r="M1987" s="254">
        <v>18.100000000000001</v>
      </c>
      <c r="N1987" s="253"/>
      <c r="O1987" s="254">
        <v>1258</v>
      </c>
      <c r="P1987" s="253"/>
      <c r="Q1987" s="253"/>
      <c r="R1987" s="254">
        <v>6</v>
      </c>
      <c r="S1987" s="255" t="s">
        <v>1975</v>
      </c>
      <c r="U1987" s="255" t="s">
        <v>2102</v>
      </c>
      <c r="V1987" s="256" t="s">
        <v>1408</v>
      </c>
      <c r="W1987" s="256">
        <v>20</v>
      </c>
      <c r="X1987" s="256" t="s">
        <v>1388</v>
      </c>
      <c r="Y1987" s="256" t="s">
        <v>1417</v>
      </c>
      <c r="Z1987" s="257">
        <f>AVERAGE(Sheet1!BP1987:BQ1987)</f>
        <v>1.5550000000000002</v>
      </c>
      <c r="AA1987" s="363">
        <v>65</v>
      </c>
      <c r="AB1987" s="363">
        <v>25</v>
      </c>
      <c r="AC1987" s="253" t="s">
        <v>240</v>
      </c>
      <c r="AD1987" s="253"/>
      <c r="AE1987" s="253"/>
      <c r="AF1987" s="253"/>
      <c r="AG1987" s="252" t="s">
        <v>2029</v>
      </c>
      <c r="AH1987" s="254" t="s">
        <v>243</v>
      </c>
      <c r="AI1987" s="253" t="s">
        <v>577</v>
      </c>
      <c r="AJ1987" s="254" t="s">
        <v>2027</v>
      </c>
      <c r="AK1987" s="253" t="s">
        <v>1646</v>
      </c>
      <c r="AL1987" s="253"/>
      <c r="AM1987" s="253"/>
      <c r="AN1987" s="253"/>
      <c r="AO1987" s="254" t="s">
        <v>773</v>
      </c>
      <c r="AP1987" s="254" t="s">
        <v>773</v>
      </c>
      <c r="AQ1987" s="254" t="s">
        <v>2125</v>
      </c>
      <c r="AR1987" s="254" t="s">
        <v>2125</v>
      </c>
      <c r="AS1987" s="92" t="s">
        <v>177</v>
      </c>
      <c r="AT1987" s="253" t="s">
        <v>161</v>
      </c>
      <c r="AU1987" s="253"/>
      <c r="AV1987" s="258" t="s">
        <v>2025</v>
      </c>
      <c r="AW1987" s="253" t="s">
        <v>160</v>
      </c>
      <c r="AX1987" s="254">
        <v>4</v>
      </c>
      <c r="AY1987" s="254">
        <v>4</v>
      </c>
      <c r="AZ1987" s="253" t="s">
        <v>141</v>
      </c>
      <c r="BA1987" s="253"/>
      <c r="BB1987" s="253"/>
      <c r="BC1987" s="253"/>
      <c r="BD1987" s="253"/>
      <c r="BE1987" s="253"/>
      <c r="BK1987" s="254"/>
      <c r="BL1987" s="254"/>
      <c r="BM1987" s="253"/>
      <c r="BP1987" s="439">
        <f t="shared" si="288"/>
        <v>1.56</v>
      </c>
      <c r="BQ1987" s="439">
        <v>1.55</v>
      </c>
      <c r="BU1987" s="438">
        <v>0.39743589743589747</v>
      </c>
      <c r="BV1987" s="438">
        <v>0.44551282051282054</v>
      </c>
      <c r="BZ1987" s="92">
        <v>12.400000000000002</v>
      </c>
      <c r="CA1987" s="92">
        <v>13.810897435897436</v>
      </c>
      <c r="CB1987" s="92">
        <v>2.2999999999999998</v>
      </c>
      <c r="CC1987" s="92">
        <v>2.2999999999999998</v>
      </c>
      <c r="CD1987" s="36" t="s">
        <v>992</v>
      </c>
      <c r="CE1987" s="577">
        <v>12.400000000000002</v>
      </c>
      <c r="CF1987" s="577">
        <v>13.810897435897436</v>
      </c>
      <c r="CG1987" s="577"/>
      <c r="CH1987" s="577"/>
      <c r="CI1987" s="36" t="s">
        <v>4546</v>
      </c>
      <c r="JB1987" s="254" t="s">
        <v>2083</v>
      </c>
      <c r="JC1987" s="253"/>
      <c r="JD1987" s="259"/>
    </row>
    <row r="1988" spans="1:264" s="92" customFormat="1" x14ac:dyDescent="0.25">
      <c r="A1988" s="252">
        <v>91</v>
      </c>
      <c r="B1988" s="539" t="s">
        <v>4174</v>
      </c>
      <c r="C1988" s="252" t="s">
        <v>768</v>
      </c>
      <c r="D1988" s="253" t="s">
        <v>2118</v>
      </c>
      <c r="E1988" s="252">
        <v>2006</v>
      </c>
      <c r="F1988" s="253">
        <v>1999</v>
      </c>
      <c r="G1988" s="252" t="s">
        <v>946</v>
      </c>
      <c r="H1988" s="252" t="s">
        <v>2032</v>
      </c>
      <c r="I1988" s="252" t="s">
        <v>2815</v>
      </c>
      <c r="J1988" s="253">
        <v>32.56</v>
      </c>
      <c r="K1988" s="253">
        <v>-83.91</v>
      </c>
      <c r="L1988" s="254">
        <v>16</v>
      </c>
      <c r="M1988" s="254">
        <v>18.100000000000001</v>
      </c>
      <c r="N1988" s="253"/>
      <c r="O1988" s="254">
        <v>1258</v>
      </c>
      <c r="P1988" s="253"/>
      <c r="Q1988" s="253"/>
      <c r="R1988" s="254">
        <v>6</v>
      </c>
      <c r="S1988" s="255" t="s">
        <v>1975</v>
      </c>
      <c r="U1988" s="255" t="s">
        <v>2102</v>
      </c>
      <c r="V1988" s="256" t="s">
        <v>1402</v>
      </c>
      <c r="W1988" s="256">
        <v>30</v>
      </c>
      <c r="X1988" s="256" t="s">
        <v>1388</v>
      </c>
      <c r="Y1988" s="256" t="s">
        <v>1417</v>
      </c>
      <c r="Z1988" s="257">
        <f>AVERAGE(Sheet1!BP1988:BQ1988)</f>
        <v>1.3919999999999999</v>
      </c>
      <c r="AA1988" s="363">
        <v>65</v>
      </c>
      <c r="AB1988" s="363">
        <v>25</v>
      </c>
      <c r="AC1988" s="253" t="s">
        <v>240</v>
      </c>
      <c r="AD1988" s="253"/>
      <c r="AE1988" s="253"/>
      <c r="AF1988" s="253"/>
      <c r="AG1988" s="252" t="s">
        <v>2029</v>
      </c>
      <c r="AH1988" s="254" t="s">
        <v>243</v>
      </c>
      <c r="AI1988" s="253" t="s">
        <v>577</v>
      </c>
      <c r="AJ1988" s="254" t="s">
        <v>2027</v>
      </c>
      <c r="AK1988" s="253" t="s">
        <v>1646</v>
      </c>
      <c r="AL1988" s="253"/>
      <c r="AM1988" s="253"/>
      <c r="AN1988" s="253"/>
      <c r="AO1988" s="254" t="s">
        <v>773</v>
      </c>
      <c r="AP1988" s="254" t="s">
        <v>773</v>
      </c>
      <c r="AQ1988" s="254" t="s">
        <v>2125</v>
      </c>
      <c r="AR1988" s="254" t="s">
        <v>2125</v>
      </c>
      <c r="AS1988" s="92" t="s">
        <v>2115</v>
      </c>
      <c r="AT1988" s="253" t="s">
        <v>161</v>
      </c>
      <c r="AU1988" s="253"/>
      <c r="AV1988" s="258" t="s">
        <v>2025</v>
      </c>
      <c r="AW1988" s="253" t="s">
        <v>160</v>
      </c>
      <c r="AX1988" s="254">
        <v>4</v>
      </c>
      <c r="AY1988" s="254">
        <v>4</v>
      </c>
      <c r="AZ1988" s="253" t="s">
        <v>141</v>
      </c>
      <c r="BA1988" s="253"/>
      <c r="BB1988" s="253"/>
      <c r="BC1988" s="253"/>
      <c r="BD1988" s="253"/>
      <c r="BE1988" s="253"/>
      <c r="BK1988" s="254"/>
      <c r="BL1988" s="254"/>
      <c r="BM1988" s="253"/>
      <c r="BP1988" s="439">
        <f t="shared" si="288"/>
        <v>1.397</v>
      </c>
      <c r="BQ1988" s="439">
        <v>1.387</v>
      </c>
      <c r="BU1988" s="438">
        <v>0.21951801479360533</v>
      </c>
      <c r="BV1988" s="438">
        <v>0.26008112622285851</v>
      </c>
      <c r="BZ1988" s="92">
        <v>9.1999999999999975</v>
      </c>
      <c r="CA1988" s="92">
        <v>10.821975662133141</v>
      </c>
      <c r="CB1988" s="92">
        <v>3.4</v>
      </c>
      <c r="CC1988" s="92">
        <v>3.4</v>
      </c>
      <c r="CD1988" s="36" t="s">
        <v>992</v>
      </c>
      <c r="CE1988" s="577">
        <v>9.1999999999999975</v>
      </c>
      <c r="CF1988" s="577">
        <v>10.821975662133141</v>
      </c>
      <c r="CG1988" s="577"/>
      <c r="CH1988" s="577"/>
      <c r="CI1988" s="36" t="s">
        <v>4546</v>
      </c>
      <c r="JB1988" s="254" t="s">
        <v>2083</v>
      </c>
      <c r="JC1988" s="253"/>
      <c r="JD1988" s="259"/>
    </row>
    <row r="1989" spans="1:264" s="92" customFormat="1" x14ac:dyDescent="0.25">
      <c r="A1989" s="252">
        <v>91</v>
      </c>
      <c r="B1989" s="539" t="s">
        <v>4175</v>
      </c>
      <c r="C1989" s="252" t="s">
        <v>768</v>
      </c>
      <c r="D1989" s="253" t="s">
        <v>2118</v>
      </c>
      <c r="E1989" s="252">
        <v>2006</v>
      </c>
      <c r="F1989" s="253">
        <v>1999</v>
      </c>
      <c r="G1989" s="252" t="s">
        <v>946</v>
      </c>
      <c r="H1989" s="252" t="s">
        <v>2032</v>
      </c>
      <c r="I1989" s="252" t="s">
        <v>2815</v>
      </c>
      <c r="J1989" s="253">
        <v>32.56</v>
      </c>
      <c r="K1989" s="253">
        <v>-83.91</v>
      </c>
      <c r="L1989" s="254">
        <v>16</v>
      </c>
      <c r="M1989" s="254">
        <v>18.100000000000001</v>
      </c>
      <c r="N1989" s="253"/>
      <c r="O1989" s="254">
        <v>1258</v>
      </c>
      <c r="P1989" s="253"/>
      <c r="Q1989" s="253"/>
      <c r="R1989" s="254">
        <v>6</v>
      </c>
      <c r="S1989" s="255" t="s">
        <v>1975</v>
      </c>
      <c r="U1989" s="255" t="s">
        <v>2102</v>
      </c>
      <c r="V1989" s="256" t="s">
        <v>1403</v>
      </c>
      <c r="W1989" s="256">
        <v>30</v>
      </c>
      <c r="X1989" s="256" t="s">
        <v>1388</v>
      </c>
      <c r="Y1989" s="256" t="s">
        <v>1417</v>
      </c>
      <c r="Z1989" s="257">
        <f>AVERAGE(Sheet1!BP1989:BQ1989)</f>
        <v>1.5939999999999999</v>
      </c>
      <c r="AA1989" s="363">
        <v>65</v>
      </c>
      <c r="AB1989" s="363">
        <v>25</v>
      </c>
      <c r="AC1989" s="253" t="s">
        <v>240</v>
      </c>
      <c r="AD1989" s="253"/>
      <c r="AE1989" s="253"/>
      <c r="AF1989" s="253"/>
      <c r="AG1989" s="252" t="s">
        <v>2029</v>
      </c>
      <c r="AH1989" s="254" t="s">
        <v>243</v>
      </c>
      <c r="AI1989" s="253" t="s">
        <v>577</v>
      </c>
      <c r="AJ1989" s="254" t="s">
        <v>2027</v>
      </c>
      <c r="AK1989" s="253" t="s">
        <v>1646</v>
      </c>
      <c r="AL1989" s="253"/>
      <c r="AM1989" s="253"/>
      <c r="AN1989" s="253"/>
      <c r="AO1989" s="254" t="s">
        <v>773</v>
      </c>
      <c r="AP1989" s="254" t="s">
        <v>773</v>
      </c>
      <c r="AQ1989" s="254" t="s">
        <v>2125</v>
      </c>
      <c r="AR1989" s="254" t="s">
        <v>2125</v>
      </c>
      <c r="AS1989" s="92" t="s">
        <v>177</v>
      </c>
      <c r="AT1989" s="253" t="s">
        <v>161</v>
      </c>
      <c r="AU1989" s="253"/>
      <c r="AV1989" s="258" t="s">
        <v>2025</v>
      </c>
      <c r="AW1989" s="253" t="s">
        <v>160</v>
      </c>
      <c r="AX1989" s="254">
        <v>4</v>
      </c>
      <c r="AY1989" s="254">
        <v>4</v>
      </c>
      <c r="AZ1989" s="253" t="s">
        <v>141</v>
      </c>
      <c r="BA1989" s="253"/>
      <c r="BB1989" s="253"/>
      <c r="BC1989" s="253"/>
      <c r="BD1989" s="253"/>
      <c r="BE1989" s="253"/>
      <c r="BK1989" s="254"/>
      <c r="BL1989" s="254"/>
      <c r="BM1989" s="253"/>
      <c r="BP1989" s="439">
        <f t="shared" si="288"/>
        <v>1.599</v>
      </c>
      <c r="BQ1989" s="439">
        <v>1.589</v>
      </c>
      <c r="BU1989" s="438">
        <v>0.1480091723994163</v>
      </c>
      <c r="BV1989" s="438">
        <v>0.13341671878257244</v>
      </c>
      <c r="BZ1989" s="92">
        <v>7.0999999999999988</v>
      </c>
      <c r="CA1989" s="92">
        <v>6.3599749843652287</v>
      </c>
      <c r="CB1989" s="92">
        <v>3.4</v>
      </c>
      <c r="CC1989" s="92">
        <v>3.4</v>
      </c>
      <c r="CD1989" s="36" t="s">
        <v>992</v>
      </c>
      <c r="CE1989" s="577">
        <v>7.0999999999999988</v>
      </c>
      <c r="CF1989" s="577">
        <v>6.3599749843652287</v>
      </c>
      <c r="CG1989" s="577"/>
      <c r="CH1989" s="577"/>
      <c r="CI1989" s="36" t="s">
        <v>4546</v>
      </c>
      <c r="JB1989" s="254" t="s">
        <v>2083</v>
      </c>
      <c r="JC1989" s="253"/>
      <c r="JD1989" s="259"/>
    </row>
    <row r="1990" spans="1:264" s="92" customFormat="1" x14ac:dyDescent="0.25">
      <c r="A1990" s="252">
        <v>91</v>
      </c>
      <c r="B1990" s="539" t="s">
        <v>4176</v>
      </c>
      <c r="C1990" s="252" t="s">
        <v>768</v>
      </c>
      <c r="D1990" s="253" t="s">
        <v>2118</v>
      </c>
      <c r="E1990" s="252">
        <v>2006</v>
      </c>
      <c r="F1990" s="253">
        <v>1999</v>
      </c>
      <c r="G1990" s="252" t="s">
        <v>946</v>
      </c>
      <c r="H1990" s="252" t="s">
        <v>2032</v>
      </c>
      <c r="I1990" s="252" t="s">
        <v>2815</v>
      </c>
      <c r="J1990" s="253">
        <v>32.56</v>
      </c>
      <c r="K1990" s="253">
        <v>-83.91</v>
      </c>
      <c r="L1990" s="254">
        <v>16</v>
      </c>
      <c r="M1990" s="254">
        <v>18.100000000000001</v>
      </c>
      <c r="N1990" s="253"/>
      <c r="O1990" s="254">
        <v>1258</v>
      </c>
      <c r="P1990" s="253"/>
      <c r="Q1990" s="253"/>
      <c r="R1990" s="254">
        <v>6</v>
      </c>
      <c r="S1990" s="255" t="s">
        <v>1975</v>
      </c>
      <c r="U1990" s="255" t="s">
        <v>2102</v>
      </c>
      <c r="V1990" s="256" t="s">
        <v>1415</v>
      </c>
      <c r="W1990" s="256">
        <v>30</v>
      </c>
      <c r="X1990" s="256" t="s">
        <v>1388</v>
      </c>
      <c r="Y1990" s="256" t="s">
        <v>1417</v>
      </c>
      <c r="Z1990" s="257">
        <f>AVERAGE(Sheet1!BP1990:BQ1990)</f>
        <v>1.617</v>
      </c>
      <c r="AA1990" s="363">
        <v>65</v>
      </c>
      <c r="AB1990" s="363">
        <v>25</v>
      </c>
      <c r="AC1990" s="253" t="s">
        <v>240</v>
      </c>
      <c r="AD1990" s="253"/>
      <c r="AE1990" s="253"/>
      <c r="AF1990" s="253"/>
      <c r="AG1990" s="252" t="s">
        <v>2029</v>
      </c>
      <c r="AH1990" s="254" t="s">
        <v>243</v>
      </c>
      <c r="AI1990" s="253" t="s">
        <v>577</v>
      </c>
      <c r="AJ1990" s="254" t="s">
        <v>2027</v>
      </c>
      <c r="AK1990" s="253" t="s">
        <v>1646</v>
      </c>
      <c r="AL1990" s="253"/>
      <c r="AM1990" s="253"/>
      <c r="AN1990" s="253"/>
      <c r="AO1990" s="254" t="s">
        <v>773</v>
      </c>
      <c r="AP1990" s="254" t="s">
        <v>773</v>
      </c>
      <c r="AQ1990" s="254" t="s">
        <v>2125</v>
      </c>
      <c r="AR1990" s="254" t="s">
        <v>2125</v>
      </c>
      <c r="AS1990" s="92" t="s">
        <v>2115</v>
      </c>
      <c r="AT1990" s="253" t="s">
        <v>161</v>
      </c>
      <c r="AU1990" s="253"/>
      <c r="AV1990" s="258" t="s">
        <v>2025</v>
      </c>
      <c r="AW1990" s="253" t="s">
        <v>160</v>
      </c>
      <c r="AX1990" s="254">
        <v>4</v>
      </c>
      <c r="AY1990" s="254">
        <v>4</v>
      </c>
      <c r="AZ1990" s="253" t="s">
        <v>141</v>
      </c>
      <c r="BA1990" s="253"/>
      <c r="BB1990" s="253"/>
      <c r="BC1990" s="253"/>
      <c r="BD1990" s="253"/>
      <c r="BE1990" s="253"/>
      <c r="BK1990" s="254"/>
      <c r="BL1990" s="254"/>
      <c r="BM1990" s="253"/>
      <c r="BP1990" s="439">
        <f t="shared" si="288"/>
        <v>1.6220000000000001</v>
      </c>
      <c r="BQ1990" s="439">
        <v>1.6120000000000001</v>
      </c>
      <c r="BU1990" s="438">
        <v>0.11302918207973693</v>
      </c>
      <c r="BV1990" s="438">
        <v>0.12330456226880393</v>
      </c>
      <c r="BZ1990" s="92">
        <v>5.5</v>
      </c>
      <c r="CA1990" s="92">
        <v>5.9630086313193589</v>
      </c>
      <c r="CB1990" s="92">
        <v>2.2000000000000002</v>
      </c>
      <c r="CC1990" s="92">
        <v>2.2000000000000002</v>
      </c>
      <c r="CD1990" s="36" t="s">
        <v>992</v>
      </c>
      <c r="CE1990" s="577">
        <v>5.5</v>
      </c>
      <c r="CF1990" s="577">
        <v>5.9630086313193589</v>
      </c>
      <c r="CG1990" s="577"/>
      <c r="CH1990" s="577"/>
      <c r="CI1990" s="36" t="s">
        <v>4546</v>
      </c>
      <c r="JB1990" s="254" t="s">
        <v>2083</v>
      </c>
      <c r="JC1990" s="253"/>
      <c r="JD1990" s="259"/>
    </row>
    <row r="1991" spans="1:264" s="36" customFormat="1" x14ac:dyDescent="0.25">
      <c r="A1991" s="223">
        <v>91</v>
      </c>
      <c r="B1991" s="540" t="s">
        <v>4177</v>
      </c>
      <c r="C1991" s="223" t="s">
        <v>768</v>
      </c>
      <c r="D1991" s="224" t="s">
        <v>2118</v>
      </c>
      <c r="E1991" s="223">
        <v>2006</v>
      </c>
      <c r="F1991" s="224">
        <v>1999</v>
      </c>
      <c r="G1991" s="223" t="s">
        <v>946</v>
      </c>
      <c r="H1991" s="223" t="s">
        <v>2032</v>
      </c>
      <c r="I1991" s="252" t="s">
        <v>2815</v>
      </c>
      <c r="J1991" s="224">
        <v>32.56</v>
      </c>
      <c r="K1991" s="224">
        <v>-83.91</v>
      </c>
      <c r="L1991" s="225">
        <v>16</v>
      </c>
      <c r="M1991" s="225">
        <v>18.100000000000001</v>
      </c>
      <c r="N1991" s="224"/>
      <c r="O1991" s="225">
        <v>1258</v>
      </c>
      <c r="P1991" s="224"/>
      <c r="Q1991" s="224"/>
      <c r="R1991" s="225">
        <v>6</v>
      </c>
      <c r="S1991" s="226" t="s">
        <v>1975</v>
      </c>
      <c r="U1991" s="226" t="s">
        <v>2102</v>
      </c>
      <c r="V1991" s="227" t="s">
        <v>1388</v>
      </c>
      <c r="W1991" s="227">
        <v>10</v>
      </c>
      <c r="X1991" s="227" t="s">
        <v>1388</v>
      </c>
      <c r="Y1991" s="227" t="s">
        <v>1417</v>
      </c>
      <c r="Z1991" s="228">
        <f>AVERAGE(Sheet1!BP1991:BQ1991)</f>
        <v>1.4249999999999998</v>
      </c>
      <c r="AA1991" s="364">
        <v>65</v>
      </c>
      <c r="AB1991" s="364">
        <v>25</v>
      </c>
      <c r="AC1991" s="224" t="s">
        <v>240</v>
      </c>
      <c r="AD1991" s="224"/>
      <c r="AE1991" s="224"/>
      <c r="AF1991" s="224"/>
      <c r="AG1991" s="223" t="s">
        <v>2029</v>
      </c>
      <c r="AH1991" s="225" t="s">
        <v>243</v>
      </c>
      <c r="AI1991" s="224" t="s">
        <v>577</v>
      </c>
      <c r="AJ1991" s="225" t="s">
        <v>2027</v>
      </c>
      <c r="AK1991" s="224" t="s">
        <v>1646</v>
      </c>
      <c r="AL1991" s="224"/>
      <c r="AM1991" s="224"/>
      <c r="AN1991" s="224"/>
      <c r="AO1991" s="225" t="s">
        <v>773</v>
      </c>
      <c r="AP1991" s="225" t="s">
        <v>773</v>
      </c>
      <c r="AQ1991" s="225" t="s">
        <v>2125</v>
      </c>
      <c r="AR1991" s="225" t="s">
        <v>2125</v>
      </c>
      <c r="AS1991" s="92" t="s">
        <v>177</v>
      </c>
      <c r="AT1991" s="224" t="s">
        <v>2031</v>
      </c>
      <c r="AU1991" s="224"/>
      <c r="AV1991" s="229" t="s">
        <v>2025</v>
      </c>
      <c r="AW1991" s="253" t="s">
        <v>160</v>
      </c>
      <c r="AX1991" s="225">
        <v>4</v>
      </c>
      <c r="AY1991" s="225">
        <v>4</v>
      </c>
      <c r="AZ1991" s="224" t="s">
        <v>141</v>
      </c>
      <c r="BA1991" s="224"/>
      <c r="BB1991" s="224"/>
      <c r="BC1991" s="224"/>
      <c r="BD1991" s="224"/>
      <c r="BE1991" s="224"/>
      <c r="BK1991" s="225"/>
      <c r="BL1991" s="225"/>
      <c r="BM1991" s="224"/>
      <c r="BP1991" s="440">
        <f t="shared" si="288"/>
        <v>1.43</v>
      </c>
      <c r="BQ1991" s="440">
        <v>1.42</v>
      </c>
      <c r="BU1991" s="441">
        <v>0.64335664335664322</v>
      </c>
      <c r="BV1991" s="441">
        <v>0.63636363636363624</v>
      </c>
      <c r="BZ1991" s="36">
        <v>9.1999999999999975</v>
      </c>
      <c r="CA1991" s="36">
        <v>9.0363636363636335</v>
      </c>
      <c r="CB1991" s="36">
        <v>1</v>
      </c>
      <c r="CC1991" s="36">
        <v>1</v>
      </c>
      <c r="CD1991" s="36" t="s">
        <v>992</v>
      </c>
      <c r="CE1991" s="560">
        <v>9.1999999999999975</v>
      </c>
      <c r="CF1991" s="560">
        <v>9.0363636363636335</v>
      </c>
      <c r="CG1991" s="560"/>
      <c r="CH1991" s="560"/>
      <c r="CI1991" s="36" t="s">
        <v>4546</v>
      </c>
      <c r="JB1991" s="225" t="s">
        <v>2083</v>
      </c>
      <c r="JC1991" s="224"/>
      <c r="JD1991" s="230"/>
    </row>
    <row r="1992" spans="1:264" s="36" customFormat="1" x14ac:dyDescent="0.25">
      <c r="A1992" s="223">
        <v>91</v>
      </c>
      <c r="B1992" s="540" t="s">
        <v>4178</v>
      </c>
      <c r="C1992" s="223" t="s">
        <v>768</v>
      </c>
      <c r="D1992" s="224" t="s">
        <v>2118</v>
      </c>
      <c r="E1992" s="223">
        <v>2006</v>
      </c>
      <c r="F1992" s="224">
        <v>1999</v>
      </c>
      <c r="G1992" s="223" t="s">
        <v>946</v>
      </c>
      <c r="H1992" s="223" t="s">
        <v>2032</v>
      </c>
      <c r="I1992" s="252" t="s">
        <v>2815</v>
      </c>
      <c r="J1992" s="224">
        <v>32.56</v>
      </c>
      <c r="K1992" s="224">
        <v>-83.91</v>
      </c>
      <c r="L1992" s="225">
        <v>16</v>
      </c>
      <c r="M1992" s="225">
        <v>18.100000000000001</v>
      </c>
      <c r="N1992" s="224"/>
      <c r="O1992" s="225">
        <v>1258</v>
      </c>
      <c r="P1992" s="224"/>
      <c r="Q1992" s="224"/>
      <c r="R1992" s="225">
        <v>6</v>
      </c>
      <c r="S1992" s="226" t="s">
        <v>1975</v>
      </c>
      <c r="U1992" s="226" t="s">
        <v>2102</v>
      </c>
      <c r="V1992" s="227" t="s">
        <v>1408</v>
      </c>
      <c r="W1992" s="227">
        <v>20</v>
      </c>
      <c r="X1992" s="227" t="s">
        <v>1388</v>
      </c>
      <c r="Y1992" s="227" t="s">
        <v>1417</v>
      </c>
      <c r="Z1992" s="228">
        <f>AVERAGE(Sheet1!BP1992:BQ1992)</f>
        <v>1.5550000000000002</v>
      </c>
      <c r="AA1992" s="364">
        <v>65</v>
      </c>
      <c r="AB1992" s="364">
        <v>25</v>
      </c>
      <c r="AC1992" s="224" t="s">
        <v>240</v>
      </c>
      <c r="AD1992" s="224"/>
      <c r="AE1992" s="224"/>
      <c r="AF1992" s="224"/>
      <c r="AG1992" s="223" t="s">
        <v>2029</v>
      </c>
      <c r="AH1992" s="225" t="s">
        <v>243</v>
      </c>
      <c r="AI1992" s="224" t="s">
        <v>577</v>
      </c>
      <c r="AJ1992" s="225" t="s">
        <v>2027</v>
      </c>
      <c r="AK1992" s="224" t="s">
        <v>1646</v>
      </c>
      <c r="AL1992" s="224"/>
      <c r="AM1992" s="224"/>
      <c r="AN1992" s="224"/>
      <c r="AO1992" s="225" t="s">
        <v>773</v>
      </c>
      <c r="AP1992" s="225" t="s">
        <v>773</v>
      </c>
      <c r="AQ1992" s="225" t="s">
        <v>2125</v>
      </c>
      <c r="AR1992" s="225" t="s">
        <v>2125</v>
      </c>
      <c r="AS1992" s="92" t="s">
        <v>2115</v>
      </c>
      <c r="AT1992" s="224" t="s">
        <v>2031</v>
      </c>
      <c r="AU1992" s="224"/>
      <c r="AV1992" s="229" t="s">
        <v>2025</v>
      </c>
      <c r="AW1992" s="253" t="s">
        <v>160</v>
      </c>
      <c r="AX1992" s="225">
        <v>4</v>
      </c>
      <c r="AY1992" s="225">
        <v>4</v>
      </c>
      <c r="AZ1992" s="224" t="s">
        <v>141</v>
      </c>
      <c r="BA1992" s="224"/>
      <c r="BB1992" s="224"/>
      <c r="BC1992" s="224"/>
      <c r="BD1992" s="224"/>
      <c r="BE1992" s="224"/>
      <c r="BK1992" s="225"/>
      <c r="BL1992" s="225"/>
      <c r="BM1992" s="224"/>
      <c r="BP1992" s="440">
        <f t="shared" si="288"/>
        <v>1.56</v>
      </c>
      <c r="BQ1992" s="440">
        <v>1.55</v>
      </c>
      <c r="BU1992" s="441">
        <v>0.41987179487179482</v>
      </c>
      <c r="BV1992" s="441">
        <v>0.4358974358974359</v>
      </c>
      <c r="BZ1992" s="36">
        <v>13.099999999999998</v>
      </c>
      <c r="CA1992" s="36">
        <v>13.512820512820511</v>
      </c>
      <c r="CB1992" s="36">
        <v>2.2999999999999998</v>
      </c>
      <c r="CC1992" s="36">
        <v>2.2999999999999998</v>
      </c>
      <c r="CD1992" s="36" t="s">
        <v>992</v>
      </c>
      <c r="CE1992" s="560">
        <v>13.099999999999998</v>
      </c>
      <c r="CF1992" s="560">
        <v>13.512820512820511</v>
      </c>
      <c r="CG1992" s="560"/>
      <c r="CH1992" s="560"/>
      <c r="CI1992" s="36" t="s">
        <v>4546</v>
      </c>
      <c r="JB1992" s="225" t="s">
        <v>2083</v>
      </c>
      <c r="JC1992" s="224"/>
      <c r="JD1992" s="230"/>
    </row>
    <row r="1993" spans="1:264" s="36" customFormat="1" x14ac:dyDescent="0.25">
      <c r="A1993" s="223">
        <v>91</v>
      </c>
      <c r="B1993" s="540" t="s">
        <v>4179</v>
      </c>
      <c r="C1993" s="223" t="s">
        <v>768</v>
      </c>
      <c r="D1993" s="224" t="s">
        <v>2118</v>
      </c>
      <c r="E1993" s="223">
        <v>2006</v>
      </c>
      <c r="F1993" s="224">
        <v>1999</v>
      </c>
      <c r="G1993" s="223" t="s">
        <v>946</v>
      </c>
      <c r="H1993" s="223" t="s">
        <v>2032</v>
      </c>
      <c r="I1993" s="252" t="s">
        <v>2815</v>
      </c>
      <c r="J1993" s="224">
        <v>32.56</v>
      </c>
      <c r="K1993" s="224">
        <v>-83.91</v>
      </c>
      <c r="L1993" s="225">
        <v>16</v>
      </c>
      <c r="M1993" s="225">
        <v>18.100000000000001</v>
      </c>
      <c r="N1993" s="224"/>
      <c r="O1993" s="225">
        <v>1258</v>
      </c>
      <c r="P1993" s="224"/>
      <c r="Q1993" s="224"/>
      <c r="R1993" s="225">
        <v>6</v>
      </c>
      <c r="S1993" s="226" t="s">
        <v>1975</v>
      </c>
      <c r="U1993" s="226" t="s">
        <v>2102</v>
      </c>
      <c r="V1993" s="227" t="s">
        <v>1402</v>
      </c>
      <c r="W1993" s="227">
        <v>30</v>
      </c>
      <c r="X1993" s="227" t="s">
        <v>1388</v>
      </c>
      <c r="Y1993" s="227" t="s">
        <v>1417</v>
      </c>
      <c r="Z1993" s="228">
        <f>AVERAGE(Sheet1!BP1993:BQ1993)</f>
        <v>1.3919999999999999</v>
      </c>
      <c r="AA1993" s="364">
        <v>65</v>
      </c>
      <c r="AB1993" s="364">
        <v>25</v>
      </c>
      <c r="AC1993" s="224" t="s">
        <v>240</v>
      </c>
      <c r="AD1993" s="224"/>
      <c r="AE1993" s="224"/>
      <c r="AF1993" s="224"/>
      <c r="AG1993" s="223" t="s">
        <v>2029</v>
      </c>
      <c r="AH1993" s="225" t="s">
        <v>243</v>
      </c>
      <c r="AI1993" s="224" t="s">
        <v>577</v>
      </c>
      <c r="AJ1993" s="225" t="s">
        <v>2027</v>
      </c>
      <c r="AK1993" s="224" t="s">
        <v>1646</v>
      </c>
      <c r="AL1993" s="224"/>
      <c r="AM1993" s="224"/>
      <c r="AN1993" s="224"/>
      <c r="AO1993" s="225" t="s">
        <v>773</v>
      </c>
      <c r="AP1993" s="225" t="s">
        <v>773</v>
      </c>
      <c r="AQ1993" s="225" t="s">
        <v>2125</v>
      </c>
      <c r="AR1993" s="225" t="s">
        <v>2125</v>
      </c>
      <c r="AS1993" s="92" t="s">
        <v>177</v>
      </c>
      <c r="AT1993" s="224" t="s">
        <v>2031</v>
      </c>
      <c r="AU1993" s="224"/>
      <c r="AV1993" s="229" t="s">
        <v>2025</v>
      </c>
      <c r="AW1993" s="253" t="s">
        <v>160</v>
      </c>
      <c r="AX1993" s="225">
        <v>4</v>
      </c>
      <c r="AY1993" s="225">
        <v>4</v>
      </c>
      <c r="AZ1993" s="224" t="s">
        <v>141</v>
      </c>
      <c r="BA1993" s="224"/>
      <c r="BB1993" s="224"/>
      <c r="BC1993" s="224"/>
      <c r="BD1993" s="224"/>
      <c r="BE1993" s="224"/>
      <c r="BK1993" s="225"/>
      <c r="BL1993" s="225"/>
      <c r="BM1993" s="224"/>
      <c r="BP1993" s="440">
        <f t="shared" si="288"/>
        <v>1.397</v>
      </c>
      <c r="BQ1993" s="440">
        <v>1.387</v>
      </c>
      <c r="BU1993" s="441">
        <v>0.23383440706275355</v>
      </c>
      <c r="BV1993" s="441">
        <v>0.24576473395371035</v>
      </c>
      <c r="BZ1993" s="36">
        <v>9.8000000000000025</v>
      </c>
      <c r="CA1993" s="36">
        <v>10.226270579813889</v>
      </c>
      <c r="CB1993" s="36">
        <v>3.4</v>
      </c>
      <c r="CC1993" s="36">
        <v>3.4</v>
      </c>
      <c r="CD1993" s="36" t="s">
        <v>992</v>
      </c>
      <c r="CE1993" s="560">
        <v>9.8000000000000025</v>
      </c>
      <c r="CF1993" s="560">
        <v>10.226270579813889</v>
      </c>
      <c r="CG1993" s="560"/>
      <c r="CH1993" s="560"/>
      <c r="CI1993" s="36" t="s">
        <v>4546</v>
      </c>
      <c r="JB1993" s="225" t="s">
        <v>2083</v>
      </c>
      <c r="JC1993" s="224"/>
      <c r="JD1993" s="230"/>
    </row>
    <row r="1994" spans="1:264" s="36" customFormat="1" x14ac:dyDescent="0.25">
      <c r="A1994" s="223">
        <v>91</v>
      </c>
      <c r="B1994" s="540" t="s">
        <v>4180</v>
      </c>
      <c r="C1994" s="223" t="s">
        <v>768</v>
      </c>
      <c r="D1994" s="224" t="s">
        <v>2118</v>
      </c>
      <c r="E1994" s="223">
        <v>2006</v>
      </c>
      <c r="F1994" s="224">
        <v>1999</v>
      </c>
      <c r="G1994" s="223" t="s">
        <v>946</v>
      </c>
      <c r="H1994" s="223" t="s">
        <v>2032</v>
      </c>
      <c r="I1994" s="252" t="s">
        <v>2815</v>
      </c>
      <c r="J1994" s="224">
        <v>32.56</v>
      </c>
      <c r="K1994" s="224">
        <v>-83.91</v>
      </c>
      <c r="L1994" s="225">
        <v>16</v>
      </c>
      <c r="M1994" s="225">
        <v>18.100000000000001</v>
      </c>
      <c r="N1994" s="224"/>
      <c r="O1994" s="225">
        <v>1258</v>
      </c>
      <c r="P1994" s="224"/>
      <c r="Q1994" s="224"/>
      <c r="R1994" s="225">
        <v>6</v>
      </c>
      <c r="S1994" s="226" t="s">
        <v>1975</v>
      </c>
      <c r="U1994" s="226" t="s">
        <v>2102</v>
      </c>
      <c r="V1994" s="227" t="s">
        <v>1403</v>
      </c>
      <c r="W1994" s="227">
        <v>30</v>
      </c>
      <c r="X1994" s="227" t="s">
        <v>1388</v>
      </c>
      <c r="Y1994" s="227" t="s">
        <v>1417</v>
      </c>
      <c r="Z1994" s="228">
        <f>AVERAGE(Sheet1!BP1994:BQ1994)</f>
        <v>1.5939999999999999</v>
      </c>
      <c r="AA1994" s="364">
        <v>65</v>
      </c>
      <c r="AB1994" s="364">
        <v>25</v>
      </c>
      <c r="AC1994" s="224" t="s">
        <v>240</v>
      </c>
      <c r="AD1994" s="224"/>
      <c r="AE1994" s="224"/>
      <c r="AF1994" s="224"/>
      <c r="AG1994" s="223" t="s">
        <v>2029</v>
      </c>
      <c r="AH1994" s="225" t="s">
        <v>243</v>
      </c>
      <c r="AI1994" s="224" t="s">
        <v>577</v>
      </c>
      <c r="AJ1994" s="225" t="s">
        <v>2027</v>
      </c>
      <c r="AK1994" s="224" t="s">
        <v>1646</v>
      </c>
      <c r="AL1994" s="224"/>
      <c r="AM1994" s="224"/>
      <c r="AN1994" s="224"/>
      <c r="AO1994" s="225" t="s">
        <v>773</v>
      </c>
      <c r="AP1994" s="225" t="s">
        <v>773</v>
      </c>
      <c r="AQ1994" s="225" t="s">
        <v>2125</v>
      </c>
      <c r="AR1994" s="225" t="s">
        <v>2125</v>
      </c>
      <c r="AS1994" s="92" t="s">
        <v>2115</v>
      </c>
      <c r="AT1994" s="224" t="s">
        <v>2031</v>
      </c>
      <c r="AU1994" s="224"/>
      <c r="AV1994" s="229" t="s">
        <v>2025</v>
      </c>
      <c r="AW1994" s="253" t="s">
        <v>160</v>
      </c>
      <c r="AX1994" s="225">
        <v>4</v>
      </c>
      <c r="AY1994" s="225">
        <v>4</v>
      </c>
      <c r="AZ1994" s="224" t="s">
        <v>141</v>
      </c>
      <c r="BA1994" s="224"/>
      <c r="BB1994" s="224"/>
      <c r="BC1994" s="224"/>
      <c r="BD1994" s="224"/>
      <c r="BE1994" s="224"/>
      <c r="BK1994" s="225"/>
      <c r="BL1994" s="225"/>
      <c r="BM1994" s="224"/>
      <c r="BP1994" s="440">
        <f t="shared" si="288"/>
        <v>1.599</v>
      </c>
      <c r="BQ1994" s="440">
        <v>1.589</v>
      </c>
      <c r="BU1994" s="441">
        <v>0.13967062747550552</v>
      </c>
      <c r="BV1994" s="441">
        <v>0.14592453616843862</v>
      </c>
      <c r="BZ1994" s="36">
        <v>6.7</v>
      </c>
      <c r="CA1994" s="36">
        <v>6.9562226391494688</v>
      </c>
      <c r="CB1994" s="36">
        <v>3.4</v>
      </c>
      <c r="CC1994" s="36">
        <v>3.4</v>
      </c>
      <c r="CD1994" s="36" t="s">
        <v>992</v>
      </c>
      <c r="CE1994" s="560">
        <v>6.7</v>
      </c>
      <c r="CF1994" s="560">
        <v>6.9562226391494688</v>
      </c>
      <c r="CG1994" s="560"/>
      <c r="CH1994" s="560"/>
      <c r="CI1994" s="36" t="s">
        <v>4546</v>
      </c>
      <c r="JB1994" s="225" t="s">
        <v>2083</v>
      </c>
      <c r="JC1994" s="224"/>
      <c r="JD1994" s="230"/>
    </row>
    <row r="1995" spans="1:264" s="36" customFormat="1" x14ac:dyDescent="0.25">
      <c r="A1995" s="223">
        <v>91</v>
      </c>
      <c r="B1995" s="540" t="s">
        <v>4181</v>
      </c>
      <c r="C1995" s="223" t="s">
        <v>768</v>
      </c>
      <c r="D1995" s="224" t="s">
        <v>2118</v>
      </c>
      <c r="E1995" s="223">
        <v>2006</v>
      </c>
      <c r="F1995" s="224">
        <v>1999</v>
      </c>
      <c r="G1995" s="223" t="s">
        <v>946</v>
      </c>
      <c r="H1995" s="223" t="s">
        <v>2032</v>
      </c>
      <c r="I1995" s="252" t="s">
        <v>2815</v>
      </c>
      <c r="J1995" s="224">
        <v>32.56</v>
      </c>
      <c r="K1995" s="224">
        <v>-83.91</v>
      </c>
      <c r="L1995" s="225">
        <v>16</v>
      </c>
      <c r="M1995" s="225">
        <v>18.100000000000001</v>
      </c>
      <c r="N1995" s="224"/>
      <c r="O1995" s="225">
        <v>1258</v>
      </c>
      <c r="P1995" s="224"/>
      <c r="Q1995" s="224"/>
      <c r="R1995" s="225">
        <v>6</v>
      </c>
      <c r="S1995" s="226" t="s">
        <v>1975</v>
      </c>
      <c r="U1995" s="226" t="s">
        <v>2102</v>
      </c>
      <c r="V1995" s="227" t="s">
        <v>1415</v>
      </c>
      <c r="W1995" s="227">
        <v>30</v>
      </c>
      <c r="X1995" s="227" t="s">
        <v>1388</v>
      </c>
      <c r="Y1995" s="227" t="s">
        <v>1417</v>
      </c>
      <c r="Z1995" s="228">
        <f>AVERAGE(Sheet1!BP1995:BQ1995)</f>
        <v>1.617</v>
      </c>
      <c r="AA1995" s="364">
        <v>65</v>
      </c>
      <c r="AB1995" s="364">
        <v>25</v>
      </c>
      <c r="AC1995" s="224" t="s">
        <v>240</v>
      </c>
      <c r="AD1995" s="224"/>
      <c r="AE1995" s="224"/>
      <c r="AF1995" s="224"/>
      <c r="AG1995" s="223" t="s">
        <v>2029</v>
      </c>
      <c r="AH1995" s="225" t="s">
        <v>243</v>
      </c>
      <c r="AI1995" s="224" t="s">
        <v>577</v>
      </c>
      <c r="AJ1995" s="225" t="s">
        <v>2027</v>
      </c>
      <c r="AK1995" s="224" t="s">
        <v>1646</v>
      </c>
      <c r="AL1995" s="224"/>
      <c r="AM1995" s="224"/>
      <c r="AN1995" s="224"/>
      <c r="AO1995" s="225" t="s">
        <v>773</v>
      </c>
      <c r="AP1995" s="225" t="s">
        <v>773</v>
      </c>
      <c r="AQ1995" s="225" t="s">
        <v>2125</v>
      </c>
      <c r="AR1995" s="225" t="s">
        <v>2125</v>
      </c>
      <c r="AS1995" s="92" t="s">
        <v>177</v>
      </c>
      <c r="AT1995" s="224" t="s">
        <v>2031</v>
      </c>
      <c r="AU1995" s="224"/>
      <c r="AV1995" s="229" t="s">
        <v>2025</v>
      </c>
      <c r="AW1995" s="253" t="s">
        <v>160</v>
      </c>
      <c r="AX1995" s="225">
        <v>4</v>
      </c>
      <c r="AY1995" s="225">
        <v>4</v>
      </c>
      <c r="AZ1995" s="224" t="s">
        <v>141</v>
      </c>
      <c r="BA1995" s="224"/>
      <c r="BB1995" s="224"/>
      <c r="BC1995" s="224"/>
      <c r="BD1995" s="224"/>
      <c r="BE1995" s="224"/>
      <c r="BK1995" s="225"/>
      <c r="BL1995" s="225"/>
      <c r="BM1995" s="224"/>
      <c r="BP1995" s="440">
        <f t="shared" si="288"/>
        <v>1.6220000000000001</v>
      </c>
      <c r="BQ1995" s="440">
        <v>1.6120000000000001</v>
      </c>
      <c r="BU1995" s="441">
        <v>9.2478421701602934E-2</v>
      </c>
      <c r="BV1995" s="441">
        <v>0.12330456226880393</v>
      </c>
      <c r="BZ1995" s="36">
        <v>4.4999999999999991</v>
      </c>
      <c r="CA1995" s="36">
        <v>5.9630086313193589</v>
      </c>
      <c r="CB1995" s="36">
        <v>2.2000000000000002</v>
      </c>
      <c r="CC1995" s="36">
        <v>2.2000000000000002</v>
      </c>
      <c r="CD1995" s="36" t="s">
        <v>992</v>
      </c>
      <c r="CE1995" s="560">
        <v>4.4999999999999991</v>
      </c>
      <c r="CF1995" s="560">
        <v>5.9630086313193589</v>
      </c>
      <c r="CG1995" s="560"/>
      <c r="CH1995" s="560"/>
      <c r="CI1995" s="36" t="s">
        <v>4546</v>
      </c>
      <c r="JB1995" s="225" t="s">
        <v>2083</v>
      </c>
      <c r="JC1995" s="224"/>
      <c r="JD1995" s="230"/>
    </row>
    <row r="1996" spans="1:264" s="92" customFormat="1" x14ac:dyDescent="0.25">
      <c r="A1996" s="252">
        <v>91</v>
      </c>
      <c r="B1996" s="539" t="s">
        <v>4182</v>
      </c>
      <c r="C1996" s="252" t="s">
        <v>768</v>
      </c>
      <c r="D1996" s="253" t="s">
        <v>2118</v>
      </c>
      <c r="E1996" s="252">
        <v>2006</v>
      </c>
      <c r="F1996" s="253">
        <v>1999</v>
      </c>
      <c r="G1996" s="252" t="s">
        <v>946</v>
      </c>
      <c r="H1996" s="252" t="s">
        <v>2032</v>
      </c>
      <c r="I1996" s="252" t="s">
        <v>2815</v>
      </c>
      <c r="J1996" s="253">
        <v>32.56</v>
      </c>
      <c r="K1996" s="253">
        <v>-83.91</v>
      </c>
      <c r="L1996" s="254">
        <v>16</v>
      </c>
      <c r="M1996" s="254">
        <v>18.100000000000001</v>
      </c>
      <c r="N1996" s="253"/>
      <c r="O1996" s="254">
        <v>1258</v>
      </c>
      <c r="P1996" s="253"/>
      <c r="Q1996" s="253"/>
      <c r="R1996" s="254">
        <v>6</v>
      </c>
      <c r="S1996" s="255" t="s">
        <v>1975</v>
      </c>
      <c r="U1996" s="255" t="s">
        <v>2102</v>
      </c>
      <c r="V1996" s="256" t="s">
        <v>1388</v>
      </c>
      <c r="W1996" s="256">
        <v>10</v>
      </c>
      <c r="X1996" s="256" t="s">
        <v>1388</v>
      </c>
      <c r="Y1996" s="256" t="s">
        <v>1417</v>
      </c>
      <c r="Z1996" s="257">
        <f>AVERAGE(Sheet1!BP1996:BQ1996)</f>
        <v>1.4249999999999998</v>
      </c>
      <c r="AA1996" s="363">
        <v>65</v>
      </c>
      <c r="AB1996" s="363">
        <v>25</v>
      </c>
      <c r="AC1996" s="253" t="s">
        <v>240</v>
      </c>
      <c r="AD1996" s="253"/>
      <c r="AE1996" s="253"/>
      <c r="AF1996" s="253"/>
      <c r="AG1996" s="252" t="s">
        <v>2029</v>
      </c>
      <c r="AH1996" s="254" t="s">
        <v>243</v>
      </c>
      <c r="AI1996" s="253" t="s">
        <v>577</v>
      </c>
      <c r="AJ1996" s="254" t="s">
        <v>2027</v>
      </c>
      <c r="AK1996" s="253" t="s">
        <v>1646</v>
      </c>
      <c r="AL1996" s="253"/>
      <c r="AM1996" s="253"/>
      <c r="AN1996" s="253"/>
      <c r="AO1996" s="254" t="s">
        <v>773</v>
      </c>
      <c r="AP1996" s="254" t="s">
        <v>773</v>
      </c>
      <c r="AQ1996" s="254" t="s">
        <v>2125</v>
      </c>
      <c r="AR1996" s="254" t="s">
        <v>2125</v>
      </c>
      <c r="AS1996" s="92" t="s">
        <v>2115</v>
      </c>
      <c r="AT1996" s="253" t="s">
        <v>2026</v>
      </c>
      <c r="AU1996" s="253"/>
      <c r="AV1996" s="258" t="s">
        <v>2025</v>
      </c>
      <c r="AW1996" s="253" t="s">
        <v>160</v>
      </c>
      <c r="AX1996" s="254">
        <v>4</v>
      </c>
      <c r="AY1996" s="254">
        <v>4</v>
      </c>
      <c r="AZ1996" s="253" t="s">
        <v>141</v>
      </c>
      <c r="BA1996" s="253"/>
      <c r="BB1996" s="253"/>
      <c r="BC1996" s="253"/>
      <c r="BD1996" s="253"/>
      <c r="BE1996" s="253"/>
      <c r="BK1996" s="254"/>
      <c r="BL1996" s="254"/>
      <c r="BM1996" s="253"/>
      <c r="BP1996" s="439">
        <f t="shared" si="288"/>
        <v>1.43</v>
      </c>
      <c r="BQ1996" s="439">
        <v>1.42</v>
      </c>
      <c r="BU1996" s="438">
        <v>0.6573426573426574</v>
      </c>
      <c r="BV1996" s="438">
        <v>0.66433566433566438</v>
      </c>
      <c r="BZ1996" s="92">
        <v>9.4</v>
      </c>
      <c r="CA1996" s="92">
        <v>9.4335664335664351</v>
      </c>
      <c r="CB1996" s="92">
        <v>1</v>
      </c>
      <c r="CC1996" s="92">
        <v>1</v>
      </c>
      <c r="CD1996" s="36" t="s">
        <v>992</v>
      </c>
      <c r="CE1996" s="577">
        <v>9.4</v>
      </c>
      <c r="CF1996" s="577">
        <v>9.4335664335664351</v>
      </c>
      <c r="CG1996" s="577"/>
      <c r="CH1996" s="577"/>
      <c r="CI1996" s="36" t="s">
        <v>4546</v>
      </c>
      <c r="JB1996" s="254" t="s">
        <v>2083</v>
      </c>
      <c r="JC1996" s="253"/>
      <c r="JD1996" s="259"/>
    </row>
    <row r="1997" spans="1:264" s="92" customFormat="1" x14ac:dyDescent="0.25">
      <c r="A1997" s="252">
        <v>91</v>
      </c>
      <c r="B1997" s="539" t="s">
        <v>4183</v>
      </c>
      <c r="C1997" s="252" t="s">
        <v>768</v>
      </c>
      <c r="D1997" s="253" t="s">
        <v>2118</v>
      </c>
      <c r="E1997" s="252">
        <v>2006</v>
      </c>
      <c r="F1997" s="253">
        <v>1999</v>
      </c>
      <c r="G1997" s="252" t="s">
        <v>946</v>
      </c>
      <c r="H1997" s="252" t="s">
        <v>2032</v>
      </c>
      <c r="I1997" s="252" t="s">
        <v>2815</v>
      </c>
      <c r="J1997" s="253">
        <v>32.56</v>
      </c>
      <c r="K1997" s="253">
        <v>-83.91</v>
      </c>
      <c r="L1997" s="254">
        <v>16</v>
      </c>
      <c r="M1997" s="254">
        <v>18.100000000000001</v>
      </c>
      <c r="N1997" s="253"/>
      <c r="O1997" s="254">
        <v>1258</v>
      </c>
      <c r="P1997" s="253"/>
      <c r="Q1997" s="253"/>
      <c r="R1997" s="254">
        <v>6</v>
      </c>
      <c r="S1997" s="255" t="s">
        <v>1975</v>
      </c>
      <c r="U1997" s="255" t="s">
        <v>2102</v>
      </c>
      <c r="V1997" s="256" t="s">
        <v>1408</v>
      </c>
      <c r="W1997" s="256">
        <v>20</v>
      </c>
      <c r="X1997" s="256" t="s">
        <v>1388</v>
      </c>
      <c r="Y1997" s="256" t="s">
        <v>1417</v>
      </c>
      <c r="Z1997" s="257">
        <f>AVERAGE(Sheet1!BP1997:BQ1997)</f>
        <v>1.5550000000000002</v>
      </c>
      <c r="AA1997" s="363">
        <v>65</v>
      </c>
      <c r="AB1997" s="363">
        <v>25</v>
      </c>
      <c r="AC1997" s="253" t="s">
        <v>240</v>
      </c>
      <c r="AD1997" s="253"/>
      <c r="AE1997" s="253"/>
      <c r="AF1997" s="253"/>
      <c r="AG1997" s="252" t="s">
        <v>2029</v>
      </c>
      <c r="AH1997" s="254" t="s">
        <v>243</v>
      </c>
      <c r="AI1997" s="253" t="s">
        <v>577</v>
      </c>
      <c r="AJ1997" s="254" t="s">
        <v>2027</v>
      </c>
      <c r="AK1997" s="253" t="s">
        <v>1646</v>
      </c>
      <c r="AL1997" s="253"/>
      <c r="AM1997" s="253"/>
      <c r="AN1997" s="253"/>
      <c r="AO1997" s="254" t="s">
        <v>773</v>
      </c>
      <c r="AP1997" s="254" t="s">
        <v>773</v>
      </c>
      <c r="AQ1997" s="254" t="s">
        <v>2125</v>
      </c>
      <c r="AR1997" s="254" t="s">
        <v>2125</v>
      </c>
      <c r="AS1997" s="92" t="s">
        <v>177</v>
      </c>
      <c r="AT1997" s="253" t="s">
        <v>2026</v>
      </c>
      <c r="AU1997" s="253"/>
      <c r="AV1997" s="258" t="s">
        <v>2025</v>
      </c>
      <c r="AW1997" s="253" t="s">
        <v>160</v>
      </c>
      <c r="AX1997" s="254">
        <v>4</v>
      </c>
      <c r="AY1997" s="254">
        <v>4</v>
      </c>
      <c r="AZ1997" s="253" t="s">
        <v>141</v>
      </c>
      <c r="BA1997" s="253"/>
      <c r="BB1997" s="253"/>
      <c r="BC1997" s="253"/>
      <c r="BD1997" s="253"/>
      <c r="BE1997" s="253"/>
      <c r="BK1997" s="254"/>
      <c r="BL1997" s="254"/>
      <c r="BM1997" s="253"/>
      <c r="BP1997" s="439">
        <f t="shared" si="288"/>
        <v>1.56</v>
      </c>
      <c r="BQ1997" s="439">
        <v>1.55</v>
      </c>
      <c r="BU1997" s="438">
        <v>0.41987179487179482</v>
      </c>
      <c r="BV1997" s="438">
        <v>0.4679487179487179</v>
      </c>
      <c r="BZ1997" s="92">
        <v>13.099999999999998</v>
      </c>
      <c r="CA1997" s="92">
        <v>14.506410256410254</v>
      </c>
      <c r="CB1997" s="92">
        <v>2.2999999999999998</v>
      </c>
      <c r="CC1997" s="92">
        <v>2.2999999999999998</v>
      </c>
      <c r="CD1997" s="36" t="s">
        <v>992</v>
      </c>
      <c r="CE1997" s="577">
        <v>13.099999999999998</v>
      </c>
      <c r="CF1997" s="577">
        <v>14.506410256410254</v>
      </c>
      <c r="CG1997" s="577"/>
      <c r="CH1997" s="577"/>
      <c r="CI1997" s="36" t="s">
        <v>4546</v>
      </c>
      <c r="JB1997" s="254" t="s">
        <v>2083</v>
      </c>
      <c r="JC1997" s="253"/>
      <c r="JD1997" s="259"/>
    </row>
    <row r="1998" spans="1:264" s="92" customFormat="1" x14ac:dyDescent="0.25">
      <c r="A1998" s="252">
        <v>91</v>
      </c>
      <c r="B1998" s="539" t="s">
        <v>4184</v>
      </c>
      <c r="C1998" s="252" t="s">
        <v>768</v>
      </c>
      <c r="D1998" s="253" t="s">
        <v>2118</v>
      </c>
      <c r="E1998" s="252">
        <v>2006</v>
      </c>
      <c r="F1998" s="253">
        <v>1999</v>
      </c>
      <c r="G1998" s="252" t="s">
        <v>946</v>
      </c>
      <c r="H1998" s="252" t="s">
        <v>2032</v>
      </c>
      <c r="I1998" s="252" t="s">
        <v>2815</v>
      </c>
      <c r="J1998" s="253">
        <v>32.56</v>
      </c>
      <c r="K1998" s="253">
        <v>-83.91</v>
      </c>
      <c r="L1998" s="254">
        <v>16</v>
      </c>
      <c r="M1998" s="254">
        <v>18.100000000000001</v>
      </c>
      <c r="N1998" s="253"/>
      <c r="O1998" s="254">
        <v>1258</v>
      </c>
      <c r="P1998" s="253"/>
      <c r="Q1998" s="253"/>
      <c r="R1998" s="254">
        <v>6</v>
      </c>
      <c r="S1998" s="255" t="s">
        <v>1975</v>
      </c>
      <c r="U1998" s="255" t="s">
        <v>2102</v>
      </c>
      <c r="V1998" s="256" t="s">
        <v>1402</v>
      </c>
      <c r="W1998" s="256">
        <v>30</v>
      </c>
      <c r="X1998" s="256" t="s">
        <v>1388</v>
      </c>
      <c r="Y1998" s="256" t="s">
        <v>1417</v>
      </c>
      <c r="Z1998" s="257">
        <f>AVERAGE(Sheet1!BP1998:BQ1998)</f>
        <v>1.3919999999999999</v>
      </c>
      <c r="AA1998" s="363">
        <v>65</v>
      </c>
      <c r="AB1998" s="363">
        <v>25</v>
      </c>
      <c r="AC1998" s="253" t="s">
        <v>240</v>
      </c>
      <c r="AD1998" s="253"/>
      <c r="AE1998" s="253"/>
      <c r="AF1998" s="253"/>
      <c r="AG1998" s="252" t="s">
        <v>2029</v>
      </c>
      <c r="AH1998" s="254" t="s">
        <v>243</v>
      </c>
      <c r="AI1998" s="253" t="s">
        <v>577</v>
      </c>
      <c r="AJ1998" s="254" t="s">
        <v>2027</v>
      </c>
      <c r="AK1998" s="253" t="s">
        <v>1646</v>
      </c>
      <c r="AL1998" s="253"/>
      <c r="AM1998" s="253"/>
      <c r="AN1998" s="253"/>
      <c r="AO1998" s="254" t="s">
        <v>773</v>
      </c>
      <c r="AP1998" s="254" t="s">
        <v>773</v>
      </c>
      <c r="AQ1998" s="254" t="s">
        <v>2125</v>
      </c>
      <c r="AR1998" s="254" t="s">
        <v>2125</v>
      </c>
      <c r="AS1998" s="92" t="s">
        <v>2115</v>
      </c>
      <c r="AT1998" s="253" t="s">
        <v>2026</v>
      </c>
      <c r="AU1998" s="253"/>
      <c r="AV1998" s="258" t="s">
        <v>2025</v>
      </c>
      <c r="AW1998" s="253" t="s">
        <v>160</v>
      </c>
      <c r="AX1998" s="254">
        <v>4</v>
      </c>
      <c r="AY1998" s="254">
        <v>4</v>
      </c>
      <c r="AZ1998" s="253" t="s">
        <v>141</v>
      </c>
      <c r="BA1998" s="253"/>
      <c r="BB1998" s="253"/>
      <c r="BC1998" s="253"/>
      <c r="BD1998" s="253"/>
      <c r="BE1998" s="253"/>
      <c r="BK1998" s="254"/>
      <c r="BL1998" s="254"/>
      <c r="BM1998" s="253"/>
      <c r="BP1998" s="439">
        <f t="shared" si="288"/>
        <v>1.397</v>
      </c>
      <c r="BQ1998" s="439">
        <v>1.387</v>
      </c>
      <c r="BU1998" s="438">
        <v>0.22429014554998808</v>
      </c>
      <c r="BV1998" s="438">
        <v>0.28871391076115482</v>
      </c>
      <c r="BZ1998" s="92">
        <v>9.4</v>
      </c>
      <c r="CA1998" s="92">
        <v>12.013385826771653</v>
      </c>
      <c r="CB1998" s="92">
        <v>3.4</v>
      </c>
      <c r="CC1998" s="92">
        <v>3.4</v>
      </c>
      <c r="CD1998" s="36" t="s">
        <v>992</v>
      </c>
      <c r="CE1998" s="577">
        <v>9.4</v>
      </c>
      <c r="CF1998" s="577">
        <v>12.013385826771653</v>
      </c>
      <c r="CG1998" s="577"/>
      <c r="CH1998" s="577"/>
      <c r="CI1998" s="36" t="s">
        <v>4546</v>
      </c>
      <c r="JB1998" s="254" t="s">
        <v>2083</v>
      </c>
      <c r="JC1998" s="253"/>
      <c r="JD1998" s="259"/>
    </row>
    <row r="1999" spans="1:264" s="92" customFormat="1" x14ac:dyDescent="0.25">
      <c r="A1999" s="252">
        <v>91</v>
      </c>
      <c r="B1999" s="539" t="s">
        <v>4185</v>
      </c>
      <c r="C1999" s="252" t="s">
        <v>768</v>
      </c>
      <c r="D1999" s="253" t="s">
        <v>2118</v>
      </c>
      <c r="E1999" s="252">
        <v>2006</v>
      </c>
      <c r="F1999" s="253">
        <v>1999</v>
      </c>
      <c r="G1999" s="252" t="s">
        <v>946</v>
      </c>
      <c r="H1999" s="252" t="s">
        <v>2032</v>
      </c>
      <c r="I1999" s="252" t="s">
        <v>2815</v>
      </c>
      <c r="J1999" s="253">
        <v>32.56</v>
      </c>
      <c r="K1999" s="253">
        <v>-83.91</v>
      </c>
      <c r="L1999" s="254">
        <v>16</v>
      </c>
      <c r="M1999" s="254">
        <v>18.100000000000001</v>
      </c>
      <c r="N1999" s="253"/>
      <c r="O1999" s="254">
        <v>1258</v>
      </c>
      <c r="P1999" s="253"/>
      <c r="Q1999" s="253"/>
      <c r="R1999" s="254">
        <v>6</v>
      </c>
      <c r="S1999" s="255" t="s">
        <v>1975</v>
      </c>
      <c r="U1999" s="255" t="s">
        <v>2102</v>
      </c>
      <c r="V1999" s="256" t="s">
        <v>1403</v>
      </c>
      <c r="W1999" s="256">
        <v>30</v>
      </c>
      <c r="X1999" s="256" t="s">
        <v>1388</v>
      </c>
      <c r="Y1999" s="256" t="s">
        <v>1417</v>
      </c>
      <c r="Z1999" s="257">
        <f>AVERAGE(Sheet1!BP1999:BQ1999)</f>
        <v>1.5939999999999999</v>
      </c>
      <c r="AA1999" s="363">
        <v>65</v>
      </c>
      <c r="AB1999" s="363">
        <v>25</v>
      </c>
      <c r="AC1999" s="253" t="s">
        <v>240</v>
      </c>
      <c r="AD1999" s="253"/>
      <c r="AE1999" s="253"/>
      <c r="AF1999" s="253"/>
      <c r="AG1999" s="252" t="s">
        <v>2029</v>
      </c>
      <c r="AH1999" s="254" t="s">
        <v>243</v>
      </c>
      <c r="AI1999" s="253" t="s">
        <v>577</v>
      </c>
      <c r="AJ1999" s="254" t="s">
        <v>2027</v>
      </c>
      <c r="AK1999" s="253" t="s">
        <v>1646</v>
      </c>
      <c r="AL1999" s="253"/>
      <c r="AM1999" s="253"/>
      <c r="AN1999" s="253"/>
      <c r="AO1999" s="254" t="s">
        <v>773</v>
      </c>
      <c r="AP1999" s="254" t="s">
        <v>773</v>
      </c>
      <c r="AQ1999" s="254" t="s">
        <v>2125</v>
      </c>
      <c r="AR1999" s="254" t="s">
        <v>2125</v>
      </c>
      <c r="AS1999" s="92" t="s">
        <v>177</v>
      </c>
      <c r="AT1999" s="253" t="s">
        <v>2026</v>
      </c>
      <c r="AU1999" s="253"/>
      <c r="AV1999" s="258" t="s">
        <v>2025</v>
      </c>
      <c r="AW1999" s="253" t="s">
        <v>160</v>
      </c>
      <c r="AX1999" s="254">
        <v>4</v>
      </c>
      <c r="AY1999" s="254">
        <v>4</v>
      </c>
      <c r="AZ1999" s="253" t="s">
        <v>141</v>
      </c>
      <c r="BA1999" s="253"/>
      <c r="BB1999" s="253"/>
      <c r="BC1999" s="253"/>
      <c r="BD1999" s="253"/>
      <c r="BE1999" s="253"/>
      <c r="BK1999" s="254"/>
      <c r="BL1999" s="254"/>
      <c r="BM1999" s="253"/>
      <c r="BP1999" s="439">
        <f t="shared" si="288"/>
        <v>1.599</v>
      </c>
      <c r="BQ1999" s="439">
        <v>1.589</v>
      </c>
      <c r="BU1999" s="438">
        <v>0.16468626224723787</v>
      </c>
      <c r="BV1999" s="438">
        <v>0.16677089847821555</v>
      </c>
      <c r="BZ1999" s="92">
        <v>7.9</v>
      </c>
      <c r="CA1999" s="92">
        <v>7.9499687304565345</v>
      </c>
      <c r="CB1999" s="92">
        <v>3.4</v>
      </c>
      <c r="CC1999" s="92">
        <v>3.4</v>
      </c>
      <c r="CD1999" s="36" t="s">
        <v>992</v>
      </c>
      <c r="CE1999" s="577">
        <v>7.9</v>
      </c>
      <c r="CF1999" s="577">
        <v>7.9499687304565345</v>
      </c>
      <c r="CG1999" s="577"/>
      <c r="CH1999" s="577"/>
      <c r="CI1999" s="36" t="s">
        <v>4546</v>
      </c>
      <c r="JB1999" s="254" t="s">
        <v>2083</v>
      </c>
      <c r="JC1999" s="253"/>
      <c r="JD1999" s="259"/>
    </row>
    <row r="2000" spans="1:264" s="92" customFormat="1" x14ac:dyDescent="0.25">
      <c r="A2000" s="252">
        <v>91</v>
      </c>
      <c r="B2000" s="539" t="s">
        <v>4186</v>
      </c>
      <c r="C2000" s="252" t="s">
        <v>768</v>
      </c>
      <c r="D2000" s="253" t="s">
        <v>2118</v>
      </c>
      <c r="E2000" s="252">
        <v>2006</v>
      </c>
      <c r="F2000" s="253">
        <v>1999</v>
      </c>
      <c r="G2000" s="252" t="s">
        <v>946</v>
      </c>
      <c r="H2000" s="252" t="s">
        <v>2032</v>
      </c>
      <c r="I2000" s="252" t="s">
        <v>2815</v>
      </c>
      <c r="J2000" s="253">
        <v>32.56</v>
      </c>
      <c r="K2000" s="253">
        <v>-83.91</v>
      </c>
      <c r="L2000" s="254">
        <v>16</v>
      </c>
      <c r="M2000" s="254">
        <v>18.100000000000001</v>
      </c>
      <c r="N2000" s="253"/>
      <c r="O2000" s="254">
        <v>1258</v>
      </c>
      <c r="P2000" s="253"/>
      <c r="Q2000" s="253"/>
      <c r="R2000" s="254">
        <v>6</v>
      </c>
      <c r="S2000" s="255" t="s">
        <v>1975</v>
      </c>
      <c r="U2000" s="255" t="s">
        <v>2102</v>
      </c>
      <c r="V2000" s="256" t="s">
        <v>1415</v>
      </c>
      <c r="W2000" s="256">
        <v>30</v>
      </c>
      <c r="X2000" s="256" t="s">
        <v>1388</v>
      </c>
      <c r="Y2000" s="256" t="s">
        <v>1417</v>
      </c>
      <c r="Z2000" s="257">
        <f>AVERAGE(Sheet1!BP2000:BQ2000)</f>
        <v>1.617</v>
      </c>
      <c r="AA2000" s="363">
        <v>65</v>
      </c>
      <c r="AB2000" s="363">
        <v>25</v>
      </c>
      <c r="AC2000" s="253" t="s">
        <v>240</v>
      </c>
      <c r="AD2000" s="253"/>
      <c r="AE2000" s="253"/>
      <c r="AF2000" s="253"/>
      <c r="AG2000" s="252" t="s">
        <v>2029</v>
      </c>
      <c r="AH2000" s="254" t="s">
        <v>243</v>
      </c>
      <c r="AI2000" s="253" t="s">
        <v>577</v>
      </c>
      <c r="AJ2000" s="254" t="s">
        <v>2027</v>
      </c>
      <c r="AK2000" s="253" t="s">
        <v>1646</v>
      </c>
      <c r="AL2000" s="253"/>
      <c r="AM2000" s="253"/>
      <c r="AN2000" s="253"/>
      <c r="AO2000" s="254" t="s">
        <v>773</v>
      </c>
      <c r="AP2000" s="254" t="s">
        <v>773</v>
      </c>
      <c r="AQ2000" s="254" t="s">
        <v>2125</v>
      </c>
      <c r="AR2000" s="254" t="s">
        <v>2125</v>
      </c>
      <c r="AS2000" s="92" t="s">
        <v>2115</v>
      </c>
      <c r="AT2000" s="253" t="s">
        <v>2026</v>
      </c>
      <c r="AU2000" s="253"/>
      <c r="AV2000" s="258" t="s">
        <v>2025</v>
      </c>
      <c r="AW2000" s="253" t="s">
        <v>160</v>
      </c>
      <c r="AX2000" s="254">
        <v>4</v>
      </c>
      <c r="AY2000" s="254">
        <v>4</v>
      </c>
      <c r="AZ2000" s="253" t="s">
        <v>141</v>
      </c>
      <c r="BA2000" s="253"/>
      <c r="BB2000" s="253"/>
      <c r="BC2000" s="253"/>
      <c r="BD2000" s="253"/>
      <c r="BE2000" s="253"/>
      <c r="BK2000" s="254"/>
      <c r="BL2000" s="254"/>
      <c r="BM2000" s="253"/>
      <c r="BP2000" s="439">
        <f t="shared" si="288"/>
        <v>1.6220000000000001</v>
      </c>
      <c r="BQ2000" s="439">
        <v>1.6120000000000001</v>
      </c>
      <c r="BU2000" s="438">
        <v>0.12741471434443072</v>
      </c>
      <c r="BV2000" s="438">
        <v>0.13563501849568432</v>
      </c>
      <c r="BZ2000" s="92">
        <v>6.1999999999999993</v>
      </c>
      <c r="CA2000" s="92">
        <v>6.5593094944512949</v>
      </c>
      <c r="CB2000" s="92">
        <v>2.2000000000000002</v>
      </c>
      <c r="CC2000" s="92">
        <v>2.2000000000000002</v>
      </c>
      <c r="CD2000" s="36" t="s">
        <v>992</v>
      </c>
      <c r="CE2000" s="577">
        <v>6.1999999999999993</v>
      </c>
      <c r="CF2000" s="577">
        <v>6.5593094944512949</v>
      </c>
      <c r="CG2000" s="577"/>
      <c r="CH2000" s="577"/>
      <c r="CI2000" s="36" t="s">
        <v>4546</v>
      </c>
      <c r="JB2000" s="254" t="s">
        <v>2083</v>
      </c>
      <c r="JC2000" s="253"/>
      <c r="JD2000" s="259"/>
    </row>
    <row r="2001" spans="1:264" s="36" customFormat="1" x14ac:dyDescent="0.25">
      <c r="A2001" s="223">
        <v>91</v>
      </c>
      <c r="B2001" s="540" t="s">
        <v>4187</v>
      </c>
      <c r="C2001" s="223" t="s">
        <v>768</v>
      </c>
      <c r="D2001" s="224" t="s">
        <v>2118</v>
      </c>
      <c r="E2001" s="223">
        <v>2006</v>
      </c>
      <c r="F2001" s="224">
        <v>1999</v>
      </c>
      <c r="G2001" s="223" t="s">
        <v>946</v>
      </c>
      <c r="H2001" s="223" t="s">
        <v>2032</v>
      </c>
      <c r="I2001" s="252" t="s">
        <v>2815</v>
      </c>
      <c r="J2001" s="224">
        <v>32.56</v>
      </c>
      <c r="K2001" s="224">
        <v>-83.91</v>
      </c>
      <c r="L2001" s="225">
        <v>16</v>
      </c>
      <c r="M2001" s="225">
        <v>18.100000000000001</v>
      </c>
      <c r="N2001" s="224"/>
      <c r="O2001" s="225">
        <v>1258</v>
      </c>
      <c r="P2001" s="224"/>
      <c r="Q2001" s="224"/>
      <c r="R2001" s="225">
        <v>6</v>
      </c>
      <c r="S2001" s="226" t="s">
        <v>1975</v>
      </c>
      <c r="U2001" s="226" t="s">
        <v>2102</v>
      </c>
      <c r="V2001" s="227" t="s">
        <v>1388</v>
      </c>
      <c r="W2001" s="227">
        <v>10</v>
      </c>
      <c r="X2001" s="227" t="s">
        <v>1388</v>
      </c>
      <c r="Y2001" s="227" t="s">
        <v>1417</v>
      </c>
      <c r="Z2001" s="228">
        <f>AVERAGE(Sheet1!BP2001:BQ2001)</f>
        <v>1.4249999999999998</v>
      </c>
      <c r="AA2001" s="364">
        <v>65</v>
      </c>
      <c r="AB2001" s="364">
        <v>25</v>
      </c>
      <c r="AC2001" s="224" t="s">
        <v>240</v>
      </c>
      <c r="AD2001" s="224"/>
      <c r="AE2001" s="224"/>
      <c r="AF2001" s="224"/>
      <c r="AG2001" s="223" t="s">
        <v>2029</v>
      </c>
      <c r="AH2001" s="225" t="s">
        <v>2028</v>
      </c>
      <c r="AI2001" s="224" t="s">
        <v>1582</v>
      </c>
      <c r="AJ2001" s="225" t="s">
        <v>2027</v>
      </c>
      <c r="AK2001" s="224" t="s">
        <v>1646</v>
      </c>
      <c r="AL2001" s="224"/>
      <c r="AM2001" s="224"/>
      <c r="AN2001" s="224"/>
      <c r="AO2001" s="225" t="s">
        <v>773</v>
      </c>
      <c r="AP2001" s="225" t="s">
        <v>773</v>
      </c>
      <c r="AQ2001" s="225" t="s">
        <v>2125</v>
      </c>
      <c r="AR2001" s="225" t="s">
        <v>2125</v>
      </c>
      <c r="AS2001" s="92" t="s">
        <v>177</v>
      </c>
      <c r="AT2001" s="224" t="s">
        <v>161</v>
      </c>
      <c r="AU2001" s="224"/>
      <c r="AV2001" s="229" t="s">
        <v>2025</v>
      </c>
      <c r="AW2001" s="253" t="s">
        <v>160</v>
      </c>
      <c r="AX2001" s="225">
        <v>4</v>
      </c>
      <c r="AY2001" s="225">
        <v>4</v>
      </c>
      <c r="AZ2001" s="224" t="s">
        <v>141</v>
      </c>
      <c r="BA2001" s="224"/>
      <c r="BB2001" s="224"/>
      <c r="BC2001" s="224"/>
      <c r="BD2001" s="224"/>
      <c r="BE2001" s="224"/>
      <c r="BK2001" s="225"/>
      <c r="BL2001" s="225"/>
      <c r="BM2001" s="224"/>
      <c r="BP2001" s="440">
        <f t="shared" si="288"/>
        <v>1.43</v>
      </c>
      <c r="BQ2001" s="440">
        <v>1.42</v>
      </c>
      <c r="BU2001" s="441">
        <v>0.55944055944055948</v>
      </c>
      <c r="BV2001" s="441">
        <v>0.66433566433566438</v>
      </c>
      <c r="BZ2001" s="36">
        <v>8</v>
      </c>
      <c r="CA2001" s="36">
        <v>9.4335664335664351</v>
      </c>
      <c r="CB2001" s="36">
        <v>1</v>
      </c>
      <c r="CC2001" s="36">
        <v>1</v>
      </c>
      <c r="CD2001" s="36" t="s">
        <v>992</v>
      </c>
      <c r="CE2001" s="560">
        <v>8</v>
      </c>
      <c r="CF2001" s="560">
        <v>9.4335664335664351</v>
      </c>
      <c r="CG2001" s="560"/>
      <c r="CH2001" s="560"/>
      <c r="CI2001" s="36" t="s">
        <v>4546</v>
      </c>
      <c r="JB2001" s="225" t="s">
        <v>2083</v>
      </c>
      <c r="JC2001" s="224"/>
      <c r="JD2001" s="230"/>
    </row>
    <row r="2002" spans="1:264" s="36" customFormat="1" x14ac:dyDescent="0.25">
      <c r="A2002" s="223">
        <v>91</v>
      </c>
      <c r="B2002" s="540" t="s">
        <v>4188</v>
      </c>
      <c r="C2002" s="223" t="s">
        <v>768</v>
      </c>
      <c r="D2002" s="224" t="s">
        <v>2118</v>
      </c>
      <c r="E2002" s="223">
        <v>2006</v>
      </c>
      <c r="F2002" s="224">
        <v>1999</v>
      </c>
      <c r="G2002" s="223" t="s">
        <v>946</v>
      </c>
      <c r="H2002" s="223" t="s">
        <v>2032</v>
      </c>
      <c r="I2002" s="252" t="s">
        <v>2815</v>
      </c>
      <c r="J2002" s="224">
        <v>32.56</v>
      </c>
      <c r="K2002" s="224">
        <v>-83.91</v>
      </c>
      <c r="L2002" s="225">
        <v>16</v>
      </c>
      <c r="M2002" s="225">
        <v>18.100000000000001</v>
      </c>
      <c r="N2002" s="224"/>
      <c r="O2002" s="225">
        <v>1258</v>
      </c>
      <c r="P2002" s="224"/>
      <c r="Q2002" s="224"/>
      <c r="R2002" s="225">
        <v>6</v>
      </c>
      <c r="S2002" s="226" t="s">
        <v>1975</v>
      </c>
      <c r="U2002" s="226" t="s">
        <v>2102</v>
      </c>
      <c r="V2002" s="227" t="s">
        <v>1408</v>
      </c>
      <c r="W2002" s="227">
        <v>20</v>
      </c>
      <c r="X2002" s="227" t="s">
        <v>1388</v>
      </c>
      <c r="Y2002" s="227" t="s">
        <v>1417</v>
      </c>
      <c r="Z2002" s="228">
        <f>AVERAGE(Sheet1!BP2002:BQ2002)</f>
        <v>1.5550000000000002</v>
      </c>
      <c r="AA2002" s="364">
        <v>65</v>
      </c>
      <c r="AB2002" s="364">
        <v>25</v>
      </c>
      <c r="AC2002" s="224" t="s">
        <v>240</v>
      </c>
      <c r="AD2002" s="224"/>
      <c r="AE2002" s="224"/>
      <c r="AF2002" s="224"/>
      <c r="AG2002" s="223" t="s">
        <v>2029</v>
      </c>
      <c r="AH2002" s="225" t="s">
        <v>2028</v>
      </c>
      <c r="AI2002" s="224" t="s">
        <v>1582</v>
      </c>
      <c r="AJ2002" s="225" t="s">
        <v>2027</v>
      </c>
      <c r="AK2002" s="224" t="s">
        <v>1646</v>
      </c>
      <c r="AL2002" s="224"/>
      <c r="AM2002" s="224"/>
      <c r="AN2002" s="224"/>
      <c r="AO2002" s="225" t="s">
        <v>773</v>
      </c>
      <c r="AP2002" s="225" t="s">
        <v>773</v>
      </c>
      <c r="AQ2002" s="225" t="s">
        <v>2125</v>
      </c>
      <c r="AR2002" s="225" t="s">
        <v>2125</v>
      </c>
      <c r="AS2002" s="92" t="s">
        <v>2115</v>
      </c>
      <c r="AT2002" s="224" t="s">
        <v>161</v>
      </c>
      <c r="AU2002" s="224"/>
      <c r="AV2002" s="229" t="s">
        <v>2025</v>
      </c>
      <c r="AW2002" s="253" t="s">
        <v>160</v>
      </c>
      <c r="AX2002" s="225">
        <v>4</v>
      </c>
      <c r="AY2002" s="225">
        <v>4</v>
      </c>
      <c r="AZ2002" s="224" t="s">
        <v>141</v>
      </c>
      <c r="BA2002" s="224"/>
      <c r="BB2002" s="224"/>
      <c r="BC2002" s="224"/>
      <c r="BD2002" s="224"/>
      <c r="BE2002" s="224"/>
      <c r="BK2002" s="225"/>
      <c r="BL2002" s="225"/>
      <c r="BM2002" s="224"/>
      <c r="BP2002" s="440">
        <f t="shared" si="288"/>
        <v>1.56</v>
      </c>
      <c r="BQ2002" s="440">
        <v>1.55</v>
      </c>
      <c r="BU2002" s="441">
        <v>0.39743589743589747</v>
      </c>
      <c r="BV2002" s="441">
        <v>0.45833333333333331</v>
      </c>
      <c r="BZ2002" s="36">
        <v>12.400000000000002</v>
      </c>
      <c r="CA2002" s="36">
        <v>14.208333333333334</v>
      </c>
      <c r="CB2002" s="36">
        <v>2.2999999999999998</v>
      </c>
      <c r="CC2002" s="36">
        <v>2.2999999999999998</v>
      </c>
      <c r="CD2002" s="36" t="s">
        <v>992</v>
      </c>
      <c r="CE2002" s="560">
        <v>12.400000000000002</v>
      </c>
      <c r="CF2002" s="560">
        <v>14.208333333333334</v>
      </c>
      <c r="CG2002" s="560"/>
      <c r="CH2002" s="560"/>
      <c r="CI2002" s="36" t="s">
        <v>4546</v>
      </c>
      <c r="JB2002" s="225" t="s">
        <v>2083</v>
      </c>
      <c r="JC2002" s="224"/>
      <c r="JD2002" s="230"/>
    </row>
    <row r="2003" spans="1:264" s="36" customFormat="1" x14ac:dyDescent="0.25">
      <c r="A2003" s="223">
        <v>91</v>
      </c>
      <c r="B2003" s="540" t="s">
        <v>4189</v>
      </c>
      <c r="C2003" s="223" t="s">
        <v>768</v>
      </c>
      <c r="D2003" s="224" t="s">
        <v>2118</v>
      </c>
      <c r="E2003" s="223">
        <v>2006</v>
      </c>
      <c r="F2003" s="224">
        <v>1999</v>
      </c>
      <c r="G2003" s="223" t="s">
        <v>946</v>
      </c>
      <c r="H2003" s="223" t="s">
        <v>2032</v>
      </c>
      <c r="I2003" s="252" t="s">
        <v>2815</v>
      </c>
      <c r="J2003" s="224">
        <v>32.56</v>
      </c>
      <c r="K2003" s="224">
        <v>-83.91</v>
      </c>
      <c r="L2003" s="225">
        <v>16</v>
      </c>
      <c r="M2003" s="225">
        <v>18.100000000000001</v>
      </c>
      <c r="N2003" s="224"/>
      <c r="O2003" s="225">
        <v>1258</v>
      </c>
      <c r="P2003" s="224"/>
      <c r="Q2003" s="224"/>
      <c r="R2003" s="225">
        <v>6</v>
      </c>
      <c r="S2003" s="226" t="s">
        <v>1975</v>
      </c>
      <c r="U2003" s="226" t="s">
        <v>2102</v>
      </c>
      <c r="V2003" s="227" t="s">
        <v>1402</v>
      </c>
      <c r="W2003" s="227">
        <v>30</v>
      </c>
      <c r="X2003" s="227" t="s">
        <v>1388</v>
      </c>
      <c r="Y2003" s="227" t="s">
        <v>1417</v>
      </c>
      <c r="Z2003" s="228">
        <f>AVERAGE(Sheet1!BP2003:BQ2003)</f>
        <v>1.3919999999999999</v>
      </c>
      <c r="AA2003" s="364">
        <v>65</v>
      </c>
      <c r="AB2003" s="364">
        <v>25</v>
      </c>
      <c r="AC2003" s="224" t="s">
        <v>240</v>
      </c>
      <c r="AD2003" s="224"/>
      <c r="AE2003" s="224"/>
      <c r="AF2003" s="224"/>
      <c r="AG2003" s="223" t="s">
        <v>2029</v>
      </c>
      <c r="AH2003" s="225" t="s">
        <v>2028</v>
      </c>
      <c r="AI2003" s="224" t="s">
        <v>1582</v>
      </c>
      <c r="AJ2003" s="225" t="s">
        <v>2027</v>
      </c>
      <c r="AK2003" s="224" t="s">
        <v>1646</v>
      </c>
      <c r="AL2003" s="224"/>
      <c r="AM2003" s="224"/>
      <c r="AN2003" s="224"/>
      <c r="AO2003" s="225" t="s">
        <v>773</v>
      </c>
      <c r="AP2003" s="225" t="s">
        <v>773</v>
      </c>
      <c r="AQ2003" s="225" t="s">
        <v>2125</v>
      </c>
      <c r="AR2003" s="225" t="s">
        <v>2125</v>
      </c>
      <c r="AS2003" s="92" t="s">
        <v>177</v>
      </c>
      <c r="AT2003" s="224" t="s">
        <v>161</v>
      </c>
      <c r="AU2003" s="224"/>
      <c r="AV2003" s="229" t="s">
        <v>2025</v>
      </c>
      <c r="AW2003" s="253" t="s">
        <v>160</v>
      </c>
      <c r="AX2003" s="225">
        <v>4</v>
      </c>
      <c r="AY2003" s="225">
        <v>4</v>
      </c>
      <c r="AZ2003" s="224" t="s">
        <v>141</v>
      </c>
      <c r="BA2003" s="224"/>
      <c r="BB2003" s="224"/>
      <c r="BC2003" s="224"/>
      <c r="BD2003" s="224"/>
      <c r="BE2003" s="224"/>
      <c r="BK2003" s="225"/>
      <c r="BL2003" s="225"/>
      <c r="BM2003" s="224"/>
      <c r="BP2003" s="440">
        <f t="shared" si="288"/>
        <v>1.397</v>
      </c>
      <c r="BQ2003" s="440">
        <v>1.387</v>
      </c>
      <c r="BU2003" s="441">
        <v>0.21951801479360533</v>
      </c>
      <c r="BV2003" s="441">
        <v>0.24815079933190168</v>
      </c>
      <c r="BZ2003" s="36">
        <v>9.1999999999999975</v>
      </c>
      <c r="CA2003" s="36">
        <v>10.325554760200429</v>
      </c>
      <c r="CB2003" s="36">
        <v>3.4</v>
      </c>
      <c r="CC2003" s="36">
        <v>3.4</v>
      </c>
      <c r="CD2003" s="36" t="s">
        <v>992</v>
      </c>
      <c r="CE2003" s="560">
        <v>9.1999999999999975</v>
      </c>
      <c r="CF2003" s="560">
        <v>10.325554760200429</v>
      </c>
      <c r="CG2003" s="560"/>
      <c r="CH2003" s="560"/>
      <c r="CI2003" s="36" t="s">
        <v>4546</v>
      </c>
      <c r="JB2003" s="225" t="s">
        <v>2083</v>
      </c>
      <c r="JC2003" s="224"/>
      <c r="JD2003" s="230"/>
    </row>
    <row r="2004" spans="1:264" s="36" customFormat="1" x14ac:dyDescent="0.25">
      <c r="A2004" s="223">
        <v>91</v>
      </c>
      <c r="B2004" s="540" t="s">
        <v>4190</v>
      </c>
      <c r="C2004" s="223" t="s">
        <v>768</v>
      </c>
      <c r="D2004" s="224" t="s">
        <v>2118</v>
      </c>
      <c r="E2004" s="223">
        <v>2006</v>
      </c>
      <c r="F2004" s="224">
        <v>1999</v>
      </c>
      <c r="G2004" s="223" t="s">
        <v>946</v>
      </c>
      <c r="H2004" s="223" t="s">
        <v>2032</v>
      </c>
      <c r="I2004" s="252" t="s">
        <v>2815</v>
      </c>
      <c r="J2004" s="224">
        <v>32.56</v>
      </c>
      <c r="K2004" s="224">
        <v>-83.91</v>
      </c>
      <c r="L2004" s="225">
        <v>16</v>
      </c>
      <c r="M2004" s="225">
        <v>18.100000000000001</v>
      </c>
      <c r="N2004" s="224"/>
      <c r="O2004" s="225">
        <v>1258</v>
      </c>
      <c r="P2004" s="224"/>
      <c r="Q2004" s="224"/>
      <c r="R2004" s="225">
        <v>6</v>
      </c>
      <c r="S2004" s="226" t="s">
        <v>1975</v>
      </c>
      <c r="U2004" s="226" t="s">
        <v>2102</v>
      </c>
      <c r="V2004" s="227" t="s">
        <v>1403</v>
      </c>
      <c r="W2004" s="227">
        <v>30</v>
      </c>
      <c r="X2004" s="227" t="s">
        <v>1388</v>
      </c>
      <c r="Y2004" s="227" t="s">
        <v>1417</v>
      </c>
      <c r="Z2004" s="228">
        <f>AVERAGE(Sheet1!BP2004:BQ2004)</f>
        <v>1.5939999999999999</v>
      </c>
      <c r="AA2004" s="364">
        <v>65</v>
      </c>
      <c r="AB2004" s="364">
        <v>25</v>
      </c>
      <c r="AC2004" s="224" t="s">
        <v>240</v>
      </c>
      <c r="AD2004" s="224"/>
      <c r="AE2004" s="224"/>
      <c r="AF2004" s="224"/>
      <c r="AG2004" s="223" t="s">
        <v>2029</v>
      </c>
      <c r="AH2004" s="225" t="s">
        <v>2028</v>
      </c>
      <c r="AI2004" s="224" t="s">
        <v>1582</v>
      </c>
      <c r="AJ2004" s="225" t="s">
        <v>2027</v>
      </c>
      <c r="AK2004" s="224" t="s">
        <v>1646</v>
      </c>
      <c r="AL2004" s="224"/>
      <c r="AM2004" s="224"/>
      <c r="AN2004" s="224"/>
      <c r="AO2004" s="225" t="s">
        <v>773</v>
      </c>
      <c r="AP2004" s="225" t="s">
        <v>773</v>
      </c>
      <c r="AQ2004" s="225" t="s">
        <v>2125</v>
      </c>
      <c r="AR2004" s="225" t="s">
        <v>2125</v>
      </c>
      <c r="AS2004" s="92" t="s">
        <v>2115</v>
      </c>
      <c r="AT2004" s="224" t="s">
        <v>161</v>
      </c>
      <c r="AU2004" s="224"/>
      <c r="AV2004" s="229" t="s">
        <v>2025</v>
      </c>
      <c r="AW2004" s="253" t="s">
        <v>160</v>
      </c>
      <c r="AX2004" s="225">
        <v>4</v>
      </c>
      <c r="AY2004" s="225">
        <v>4</v>
      </c>
      <c r="AZ2004" s="224" t="s">
        <v>141</v>
      </c>
      <c r="BA2004" s="224"/>
      <c r="BB2004" s="224"/>
      <c r="BC2004" s="224"/>
      <c r="BD2004" s="224"/>
      <c r="BE2004" s="224"/>
      <c r="BK2004" s="225"/>
      <c r="BL2004" s="225"/>
      <c r="BM2004" s="224"/>
      <c r="BP2004" s="440">
        <f t="shared" si="288"/>
        <v>1.599</v>
      </c>
      <c r="BQ2004" s="440">
        <v>1.589</v>
      </c>
      <c r="BU2004" s="441">
        <v>0.1480091723994163</v>
      </c>
      <c r="BV2004" s="441">
        <v>0.16885553470919323</v>
      </c>
      <c r="BZ2004" s="36">
        <v>7.0999999999999988</v>
      </c>
      <c r="CA2004" s="36">
        <v>8.0493433395872405</v>
      </c>
      <c r="CB2004" s="36">
        <v>3.4</v>
      </c>
      <c r="CC2004" s="36">
        <v>3.4</v>
      </c>
      <c r="CD2004" s="36" t="s">
        <v>992</v>
      </c>
      <c r="CE2004" s="560">
        <v>7.0999999999999988</v>
      </c>
      <c r="CF2004" s="560">
        <v>8.0493433395872405</v>
      </c>
      <c r="CG2004" s="560"/>
      <c r="CH2004" s="560"/>
      <c r="CI2004" s="36" t="s">
        <v>4546</v>
      </c>
      <c r="JB2004" s="225" t="s">
        <v>2083</v>
      </c>
      <c r="JC2004" s="224"/>
      <c r="JD2004" s="230"/>
    </row>
    <row r="2005" spans="1:264" s="36" customFormat="1" x14ac:dyDescent="0.25">
      <c r="A2005" s="223">
        <v>91</v>
      </c>
      <c r="B2005" s="540" t="s">
        <v>4191</v>
      </c>
      <c r="C2005" s="223" t="s">
        <v>768</v>
      </c>
      <c r="D2005" s="224" t="s">
        <v>2118</v>
      </c>
      <c r="E2005" s="223">
        <v>2006</v>
      </c>
      <c r="F2005" s="224">
        <v>1999</v>
      </c>
      <c r="G2005" s="223" t="s">
        <v>946</v>
      </c>
      <c r="H2005" s="223" t="s">
        <v>2032</v>
      </c>
      <c r="I2005" s="252" t="s">
        <v>2815</v>
      </c>
      <c r="J2005" s="224">
        <v>32.56</v>
      </c>
      <c r="K2005" s="224">
        <v>-83.91</v>
      </c>
      <c r="L2005" s="225">
        <v>16</v>
      </c>
      <c r="M2005" s="225">
        <v>18.100000000000001</v>
      </c>
      <c r="N2005" s="224"/>
      <c r="O2005" s="225">
        <v>1258</v>
      </c>
      <c r="P2005" s="224"/>
      <c r="Q2005" s="224"/>
      <c r="R2005" s="225">
        <v>6</v>
      </c>
      <c r="S2005" s="226" t="s">
        <v>1975</v>
      </c>
      <c r="U2005" s="226" t="s">
        <v>2102</v>
      </c>
      <c r="V2005" s="227" t="s">
        <v>1415</v>
      </c>
      <c r="W2005" s="227">
        <v>30</v>
      </c>
      <c r="X2005" s="227" t="s">
        <v>1388</v>
      </c>
      <c r="Y2005" s="227" t="s">
        <v>1417</v>
      </c>
      <c r="Z2005" s="228">
        <f>AVERAGE(Sheet1!BP2005:BQ2005)</f>
        <v>1.617</v>
      </c>
      <c r="AA2005" s="364">
        <v>65</v>
      </c>
      <c r="AB2005" s="364">
        <v>25</v>
      </c>
      <c r="AC2005" s="224" t="s">
        <v>240</v>
      </c>
      <c r="AD2005" s="224"/>
      <c r="AE2005" s="224"/>
      <c r="AF2005" s="224"/>
      <c r="AG2005" s="223" t="s">
        <v>2029</v>
      </c>
      <c r="AH2005" s="225" t="s">
        <v>2028</v>
      </c>
      <c r="AI2005" s="224" t="s">
        <v>1582</v>
      </c>
      <c r="AJ2005" s="225" t="s">
        <v>2027</v>
      </c>
      <c r="AK2005" s="224" t="s">
        <v>1646</v>
      </c>
      <c r="AL2005" s="224"/>
      <c r="AM2005" s="224"/>
      <c r="AN2005" s="224"/>
      <c r="AO2005" s="225" t="s">
        <v>773</v>
      </c>
      <c r="AP2005" s="225" t="s">
        <v>773</v>
      </c>
      <c r="AQ2005" s="225" t="s">
        <v>2125</v>
      </c>
      <c r="AR2005" s="225" t="s">
        <v>2125</v>
      </c>
      <c r="AS2005" s="92" t="s">
        <v>177</v>
      </c>
      <c r="AT2005" s="224" t="s">
        <v>161</v>
      </c>
      <c r="AU2005" s="224"/>
      <c r="AV2005" s="229" t="s">
        <v>2025</v>
      </c>
      <c r="AW2005" s="253" t="s">
        <v>160</v>
      </c>
      <c r="AX2005" s="225">
        <v>4</v>
      </c>
      <c r="AY2005" s="225">
        <v>4</v>
      </c>
      <c r="AZ2005" s="224" t="s">
        <v>141</v>
      </c>
      <c r="BA2005" s="224"/>
      <c r="BB2005" s="224"/>
      <c r="BC2005" s="224"/>
      <c r="BD2005" s="224"/>
      <c r="BE2005" s="224"/>
      <c r="BK2005" s="225"/>
      <c r="BL2005" s="225"/>
      <c r="BM2005" s="224"/>
      <c r="BP2005" s="440">
        <f t="shared" si="288"/>
        <v>1.6220000000000001</v>
      </c>
      <c r="BQ2005" s="440">
        <v>1.6120000000000001</v>
      </c>
      <c r="BU2005" s="441">
        <v>0.11302918207973693</v>
      </c>
      <c r="BV2005" s="441">
        <v>0.13152486642005751</v>
      </c>
      <c r="BZ2005" s="36">
        <v>5.5</v>
      </c>
      <c r="CA2005" s="36">
        <v>6.3605425400739826</v>
      </c>
      <c r="CB2005" s="36">
        <v>2.2000000000000002</v>
      </c>
      <c r="CC2005" s="36">
        <v>2.2000000000000002</v>
      </c>
      <c r="CD2005" s="36" t="s">
        <v>992</v>
      </c>
      <c r="CE2005" s="560">
        <v>5.5</v>
      </c>
      <c r="CF2005" s="560">
        <v>6.3605425400739826</v>
      </c>
      <c r="CG2005" s="560"/>
      <c r="CH2005" s="560"/>
      <c r="CI2005" s="36" t="s">
        <v>4546</v>
      </c>
      <c r="JB2005" s="225" t="s">
        <v>2083</v>
      </c>
      <c r="JC2005" s="224"/>
      <c r="JD2005" s="230"/>
    </row>
    <row r="2006" spans="1:264" s="92" customFormat="1" x14ac:dyDescent="0.25">
      <c r="A2006" s="252">
        <v>91</v>
      </c>
      <c r="B2006" s="539" t="s">
        <v>4192</v>
      </c>
      <c r="C2006" s="252" t="s">
        <v>768</v>
      </c>
      <c r="D2006" s="253" t="s">
        <v>2118</v>
      </c>
      <c r="E2006" s="252">
        <v>2006</v>
      </c>
      <c r="F2006" s="253">
        <v>1999</v>
      </c>
      <c r="G2006" s="252" t="s">
        <v>946</v>
      </c>
      <c r="H2006" s="252" t="s">
        <v>2032</v>
      </c>
      <c r="I2006" s="252" t="s">
        <v>2815</v>
      </c>
      <c r="J2006" s="253">
        <v>32.56</v>
      </c>
      <c r="K2006" s="253">
        <v>-83.91</v>
      </c>
      <c r="L2006" s="254">
        <v>16</v>
      </c>
      <c r="M2006" s="254">
        <v>18.100000000000001</v>
      </c>
      <c r="N2006" s="253"/>
      <c r="O2006" s="254">
        <v>1258</v>
      </c>
      <c r="P2006" s="253"/>
      <c r="Q2006" s="253"/>
      <c r="R2006" s="254">
        <v>6</v>
      </c>
      <c r="S2006" s="255" t="s">
        <v>1975</v>
      </c>
      <c r="U2006" s="255" t="s">
        <v>2102</v>
      </c>
      <c r="V2006" s="256" t="s">
        <v>1388</v>
      </c>
      <c r="W2006" s="256">
        <v>10</v>
      </c>
      <c r="X2006" s="256" t="s">
        <v>1388</v>
      </c>
      <c r="Y2006" s="256" t="s">
        <v>1417</v>
      </c>
      <c r="Z2006" s="257">
        <f>AVERAGE(Sheet1!BP2006:BQ2006)</f>
        <v>1.4249999999999998</v>
      </c>
      <c r="AA2006" s="363">
        <v>65</v>
      </c>
      <c r="AB2006" s="363">
        <v>25</v>
      </c>
      <c r="AC2006" s="253" t="s">
        <v>240</v>
      </c>
      <c r="AD2006" s="253"/>
      <c r="AE2006" s="253"/>
      <c r="AF2006" s="253"/>
      <c r="AG2006" s="252" t="s">
        <v>2029</v>
      </c>
      <c r="AH2006" s="254" t="s">
        <v>2028</v>
      </c>
      <c r="AI2006" s="253" t="s">
        <v>1582</v>
      </c>
      <c r="AJ2006" s="254" t="s">
        <v>2027</v>
      </c>
      <c r="AK2006" s="253" t="s">
        <v>1646</v>
      </c>
      <c r="AL2006" s="253"/>
      <c r="AM2006" s="253"/>
      <c r="AN2006" s="253"/>
      <c r="AO2006" s="254" t="s">
        <v>773</v>
      </c>
      <c r="AP2006" s="254" t="s">
        <v>773</v>
      </c>
      <c r="AQ2006" s="254" t="s">
        <v>2125</v>
      </c>
      <c r="AR2006" s="254" t="s">
        <v>2125</v>
      </c>
      <c r="AS2006" s="92" t="s">
        <v>2115</v>
      </c>
      <c r="AT2006" s="253" t="s">
        <v>2031</v>
      </c>
      <c r="AU2006" s="253"/>
      <c r="AV2006" s="258" t="s">
        <v>2025</v>
      </c>
      <c r="AW2006" s="253" t="s">
        <v>160</v>
      </c>
      <c r="AX2006" s="254">
        <v>4</v>
      </c>
      <c r="AY2006" s="254">
        <v>4</v>
      </c>
      <c r="AZ2006" s="253" t="s">
        <v>141</v>
      </c>
      <c r="BA2006" s="253"/>
      <c r="BB2006" s="253"/>
      <c r="BC2006" s="253"/>
      <c r="BD2006" s="253"/>
      <c r="BE2006" s="253"/>
      <c r="BK2006" s="254"/>
      <c r="BL2006" s="254"/>
      <c r="BM2006" s="253"/>
      <c r="BP2006" s="439">
        <f t="shared" si="288"/>
        <v>1.43</v>
      </c>
      <c r="BQ2006" s="439">
        <v>1.42</v>
      </c>
      <c r="BU2006" s="438">
        <v>0.64335664335664322</v>
      </c>
      <c r="BV2006" s="438">
        <v>0.70629370629370625</v>
      </c>
      <c r="BZ2006" s="92">
        <v>9.1999999999999975</v>
      </c>
      <c r="CA2006" s="92">
        <v>10.029370629370629</v>
      </c>
      <c r="CB2006" s="92">
        <v>1</v>
      </c>
      <c r="CC2006" s="92">
        <v>1</v>
      </c>
      <c r="CD2006" s="36" t="s">
        <v>992</v>
      </c>
      <c r="CE2006" s="577">
        <v>9.1999999999999975</v>
      </c>
      <c r="CF2006" s="577">
        <v>10.029370629370629</v>
      </c>
      <c r="CG2006" s="577"/>
      <c r="CH2006" s="577"/>
      <c r="CI2006" s="36" t="s">
        <v>4546</v>
      </c>
      <c r="JB2006" s="254" t="s">
        <v>2083</v>
      </c>
      <c r="JC2006" s="253"/>
      <c r="JD2006" s="259"/>
    </row>
    <row r="2007" spans="1:264" s="92" customFormat="1" x14ac:dyDescent="0.25">
      <c r="A2007" s="252">
        <v>91</v>
      </c>
      <c r="B2007" s="539" t="s">
        <v>4193</v>
      </c>
      <c r="C2007" s="252" t="s">
        <v>768</v>
      </c>
      <c r="D2007" s="253" t="s">
        <v>2118</v>
      </c>
      <c r="E2007" s="252">
        <v>2006</v>
      </c>
      <c r="F2007" s="253">
        <v>1999</v>
      </c>
      <c r="G2007" s="252" t="s">
        <v>946</v>
      </c>
      <c r="H2007" s="252" t="s">
        <v>2032</v>
      </c>
      <c r="I2007" s="252" t="s">
        <v>2815</v>
      </c>
      <c r="J2007" s="253">
        <v>32.56</v>
      </c>
      <c r="K2007" s="253">
        <v>-83.91</v>
      </c>
      <c r="L2007" s="254">
        <v>16</v>
      </c>
      <c r="M2007" s="254">
        <v>18.100000000000001</v>
      </c>
      <c r="N2007" s="253"/>
      <c r="O2007" s="254">
        <v>1258</v>
      </c>
      <c r="P2007" s="253"/>
      <c r="Q2007" s="253"/>
      <c r="R2007" s="254">
        <v>6</v>
      </c>
      <c r="S2007" s="255" t="s">
        <v>1975</v>
      </c>
      <c r="U2007" s="255" t="s">
        <v>2102</v>
      </c>
      <c r="V2007" s="256" t="s">
        <v>1408</v>
      </c>
      <c r="W2007" s="256">
        <v>20</v>
      </c>
      <c r="X2007" s="256" t="s">
        <v>1388</v>
      </c>
      <c r="Y2007" s="256" t="s">
        <v>1417</v>
      </c>
      <c r="Z2007" s="257">
        <f>AVERAGE(Sheet1!BP2007:BQ2007)</f>
        <v>1.5550000000000002</v>
      </c>
      <c r="AA2007" s="363">
        <v>65</v>
      </c>
      <c r="AB2007" s="363">
        <v>25</v>
      </c>
      <c r="AC2007" s="253" t="s">
        <v>240</v>
      </c>
      <c r="AD2007" s="253"/>
      <c r="AE2007" s="253"/>
      <c r="AF2007" s="253"/>
      <c r="AG2007" s="252" t="s">
        <v>2029</v>
      </c>
      <c r="AH2007" s="254" t="s">
        <v>2028</v>
      </c>
      <c r="AI2007" s="253" t="s">
        <v>1582</v>
      </c>
      <c r="AJ2007" s="254" t="s">
        <v>2027</v>
      </c>
      <c r="AK2007" s="253" t="s">
        <v>1646</v>
      </c>
      <c r="AL2007" s="253"/>
      <c r="AM2007" s="253"/>
      <c r="AN2007" s="253"/>
      <c r="AO2007" s="254" t="s">
        <v>773</v>
      </c>
      <c r="AP2007" s="254" t="s">
        <v>773</v>
      </c>
      <c r="AQ2007" s="254" t="s">
        <v>2125</v>
      </c>
      <c r="AR2007" s="254" t="s">
        <v>2125</v>
      </c>
      <c r="AS2007" s="92" t="s">
        <v>177</v>
      </c>
      <c r="AT2007" s="253" t="s">
        <v>2031</v>
      </c>
      <c r="AU2007" s="253"/>
      <c r="AV2007" s="258" t="s">
        <v>2025</v>
      </c>
      <c r="AW2007" s="253" t="s">
        <v>160</v>
      </c>
      <c r="AX2007" s="254">
        <v>4</v>
      </c>
      <c r="AY2007" s="254">
        <v>4</v>
      </c>
      <c r="AZ2007" s="253" t="s">
        <v>141</v>
      </c>
      <c r="BA2007" s="253"/>
      <c r="BB2007" s="253"/>
      <c r="BC2007" s="253"/>
      <c r="BD2007" s="253"/>
      <c r="BE2007" s="253"/>
      <c r="BK2007" s="254"/>
      <c r="BL2007" s="254"/>
      <c r="BM2007" s="253"/>
      <c r="BP2007" s="439">
        <f t="shared" si="288"/>
        <v>1.56</v>
      </c>
      <c r="BQ2007" s="439">
        <v>1.55</v>
      </c>
      <c r="BU2007" s="438">
        <v>0.41987179487179482</v>
      </c>
      <c r="BV2007" s="438">
        <v>0.45512820512820507</v>
      </c>
      <c r="BZ2007" s="92">
        <v>13.099999999999998</v>
      </c>
      <c r="CA2007" s="92">
        <v>14.108974358974358</v>
      </c>
      <c r="CB2007" s="92">
        <v>2.2999999999999998</v>
      </c>
      <c r="CC2007" s="92">
        <v>2.2999999999999998</v>
      </c>
      <c r="CD2007" s="36" t="s">
        <v>992</v>
      </c>
      <c r="CE2007" s="577">
        <v>13.099999999999998</v>
      </c>
      <c r="CF2007" s="577">
        <v>14.108974358974358</v>
      </c>
      <c r="CG2007" s="577"/>
      <c r="CH2007" s="577"/>
      <c r="CI2007" s="36" t="s">
        <v>4546</v>
      </c>
      <c r="JB2007" s="254" t="s">
        <v>2083</v>
      </c>
      <c r="JC2007" s="253"/>
      <c r="JD2007" s="259"/>
    </row>
    <row r="2008" spans="1:264" s="92" customFormat="1" x14ac:dyDescent="0.25">
      <c r="A2008" s="252">
        <v>91</v>
      </c>
      <c r="B2008" s="539" t="s">
        <v>4194</v>
      </c>
      <c r="C2008" s="252" t="s">
        <v>768</v>
      </c>
      <c r="D2008" s="253" t="s">
        <v>2118</v>
      </c>
      <c r="E2008" s="252">
        <v>2006</v>
      </c>
      <c r="F2008" s="253">
        <v>1999</v>
      </c>
      <c r="G2008" s="252" t="s">
        <v>946</v>
      </c>
      <c r="H2008" s="252" t="s">
        <v>2032</v>
      </c>
      <c r="I2008" s="252" t="s">
        <v>2815</v>
      </c>
      <c r="J2008" s="253">
        <v>32.56</v>
      </c>
      <c r="K2008" s="253">
        <v>-83.91</v>
      </c>
      <c r="L2008" s="254">
        <v>16</v>
      </c>
      <c r="M2008" s="254">
        <v>18.100000000000001</v>
      </c>
      <c r="N2008" s="253"/>
      <c r="O2008" s="254">
        <v>1258</v>
      </c>
      <c r="P2008" s="253"/>
      <c r="Q2008" s="253"/>
      <c r="R2008" s="254">
        <v>6</v>
      </c>
      <c r="S2008" s="255" t="s">
        <v>1975</v>
      </c>
      <c r="U2008" s="255" t="s">
        <v>2102</v>
      </c>
      <c r="V2008" s="256" t="s">
        <v>1402</v>
      </c>
      <c r="W2008" s="256">
        <v>30</v>
      </c>
      <c r="X2008" s="256" t="s">
        <v>1388</v>
      </c>
      <c r="Y2008" s="256" t="s">
        <v>1417</v>
      </c>
      <c r="Z2008" s="257">
        <f>AVERAGE(Sheet1!BP2008:BQ2008)</f>
        <v>1.3919999999999999</v>
      </c>
      <c r="AA2008" s="363">
        <v>65</v>
      </c>
      <c r="AB2008" s="363">
        <v>25</v>
      </c>
      <c r="AC2008" s="253" t="s">
        <v>240</v>
      </c>
      <c r="AD2008" s="253"/>
      <c r="AE2008" s="253"/>
      <c r="AF2008" s="253"/>
      <c r="AG2008" s="252" t="s">
        <v>2029</v>
      </c>
      <c r="AH2008" s="254" t="s">
        <v>2028</v>
      </c>
      <c r="AI2008" s="253" t="s">
        <v>1582</v>
      </c>
      <c r="AJ2008" s="254" t="s">
        <v>2027</v>
      </c>
      <c r="AK2008" s="253" t="s">
        <v>1646</v>
      </c>
      <c r="AL2008" s="253"/>
      <c r="AM2008" s="253"/>
      <c r="AN2008" s="253"/>
      <c r="AO2008" s="254" t="s">
        <v>773</v>
      </c>
      <c r="AP2008" s="254" t="s">
        <v>773</v>
      </c>
      <c r="AQ2008" s="254" t="s">
        <v>2125</v>
      </c>
      <c r="AR2008" s="254" t="s">
        <v>2125</v>
      </c>
      <c r="AS2008" s="92" t="s">
        <v>2115</v>
      </c>
      <c r="AT2008" s="253" t="s">
        <v>2031</v>
      </c>
      <c r="AU2008" s="253"/>
      <c r="AV2008" s="258" t="s">
        <v>2025</v>
      </c>
      <c r="AW2008" s="253" t="s">
        <v>160</v>
      </c>
      <c r="AX2008" s="254">
        <v>4</v>
      </c>
      <c r="AY2008" s="254">
        <v>4</v>
      </c>
      <c r="AZ2008" s="253" t="s">
        <v>141</v>
      </c>
      <c r="BA2008" s="253"/>
      <c r="BB2008" s="253"/>
      <c r="BC2008" s="253"/>
      <c r="BD2008" s="253"/>
      <c r="BE2008" s="253"/>
      <c r="BK2008" s="254"/>
      <c r="BL2008" s="254"/>
      <c r="BM2008" s="253"/>
      <c r="BP2008" s="439">
        <f t="shared" si="288"/>
        <v>1.397</v>
      </c>
      <c r="BQ2008" s="439">
        <v>1.387</v>
      </c>
      <c r="BU2008" s="438">
        <v>0.23383440706275355</v>
      </c>
      <c r="BV2008" s="438">
        <v>0.26246719160104987</v>
      </c>
      <c r="BZ2008" s="92">
        <v>9.8000000000000025</v>
      </c>
      <c r="CA2008" s="92">
        <v>10.921259842519683</v>
      </c>
      <c r="CB2008" s="92">
        <v>3.4</v>
      </c>
      <c r="CC2008" s="92">
        <v>3.4</v>
      </c>
      <c r="CD2008" s="36" t="s">
        <v>992</v>
      </c>
      <c r="CE2008" s="577">
        <v>9.8000000000000025</v>
      </c>
      <c r="CF2008" s="577">
        <v>10.921259842519683</v>
      </c>
      <c r="CG2008" s="577"/>
      <c r="CH2008" s="577"/>
      <c r="CI2008" s="36" t="s">
        <v>4546</v>
      </c>
      <c r="JB2008" s="254" t="s">
        <v>2083</v>
      </c>
      <c r="JC2008" s="253"/>
      <c r="JD2008" s="259"/>
    </row>
    <row r="2009" spans="1:264" s="92" customFormat="1" x14ac:dyDescent="0.25">
      <c r="A2009" s="252">
        <v>91</v>
      </c>
      <c r="B2009" s="539" t="s">
        <v>4195</v>
      </c>
      <c r="C2009" s="252" t="s">
        <v>768</v>
      </c>
      <c r="D2009" s="253" t="s">
        <v>2118</v>
      </c>
      <c r="E2009" s="252">
        <v>2006</v>
      </c>
      <c r="F2009" s="253">
        <v>1999</v>
      </c>
      <c r="G2009" s="252" t="s">
        <v>946</v>
      </c>
      <c r="H2009" s="252" t="s">
        <v>2032</v>
      </c>
      <c r="I2009" s="252" t="s">
        <v>2815</v>
      </c>
      <c r="J2009" s="253">
        <v>32.56</v>
      </c>
      <c r="K2009" s="253">
        <v>-83.91</v>
      </c>
      <c r="L2009" s="254">
        <v>16</v>
      </c>
      <c r="M2009" s="254">
        <v>18.100000000000001</v>
      </c>
      <c r="N2009" s="253"/>
      <c r="O2009" s="254">
        <v>1258</v>
      </c>
      <c r="P2009" s="253"/>
      <c r="Q2009" s="253"/>
      <c r="R2009" s="254">
        <v>6</v>
      </c>
      <c r="S2009" s="255" t="s">
        <v>1975</v>
      </c>
      <c r="U2009" s="255" t="s">
        <v>2102</v>
      </c>
      <c r="V2009" s="256" t="s">
        <v>1403</v>
      </c>
      <c r="W2009" s="256">
        <v>30</v>
      </c>
      <c r="X2009" s="256" t="s">
        <v>1388</v>
      </c>
      <c r="Y2009" s="256" t="s">
        <v>1417</v>
      </c>
      <c r="Z2009" s="257">
        <f>AVERAGE(Sheet1!BP2009:BQ2009)</f>
        <v>1.5939999999999999</v>
      </c>
      <c r="AA2009" s="363">
        <v>65</v>
      </c>
      <c r="AB2009" s="363">
        <v>25</v>
      </c>
      <c r="AC2009" s="253" t="s">
        <v>240</v>
      </c>
      <c r="AD2009" s="253"/>
      <c r="AE2009" s="253"/>
      <c r="AF2009" s="253"/>
      <c r="AG2009" s="252" t="s">
        <v>2029</v>
      </c>
      <c r="AH2009" s="254" t="s">
        <v>2028</v>
      </c>
      <c r="AI2009" s="253" t="s">
        <v>1582</v>
      </c>
      <c r="AJ2009" s="254" t="s">
        <v>2027</v>
      </c>
      <c r="AK2009" s="253" t="s">
        <v>1646</v>
      </c>
      <c r="AL2009" s="253"/>
      <c r="AM2009" s="253"/>
      <c r="AN2009" s="253"/>
      <c r="AO2009" s="254" t="s">
        <v>773</v>
      </c>
      <c r="AP2009" s="254" t="s">
        <v>773</v>
      </c>
      <c r="AQ2009" s="254" t="s">
        <v>2125</v>
      </c>
      <c r="AR2009" s="254" t="s">
        <v>2125</v>
      </c>
      <c r="AS2009" s="92" t="s">
        <v>177</v>
      </c>
      <c r="AT2009" s="253" t="s">
        <v>2031</v>
      </c>
      <c r="AU2009" s="253"/>
      <c r="AV2009" s="258" t="s">
        <v>2025</v>
      </c>
      <c r="AW2009" s="253" t="s">
        <v>160</v>
      </c>
      <c r="AX2009" s="254">
        <v>4</v>
      </c>
      <c r="AY2009" s="254">
        <v>4</v>
      </c>
      <c r="AZ2009" s="253" t="s">
        <v>141</v>
      </c>
      <c r="BA2009" s="253"/>
      <c r="BB2009" s="253"/>
      <c r="BC2009" s="253"/>
      <c r="BD2009" s="253"/>
      <c r="BE2009" s="253"/>
      <c r="BK2009" s="254"/>
      <c r="BL2009" s="254"/>
      <c r="BM2009" s="253"/>
      <c r="BP2009" s="439">
        <f t="shared" si="288"/>
        <v>1.599</v>
      </c>
      <c r="BQ2009" s="439">
        <v>1.589</v>
      </c>
      <c r="BU2009" s="438">
        <v>0.13967062747550552</v>
      </c>
      <c r="BV2009" s="438">
        <v>0.17302480717114865</v>
      </c>
      <c r="BZ2009" s="92">
        <v>6.7</v>
      </c>
      <c r="CA2009" s="92">
        <v>8.2480925578486559</v>
      </c>
      <c r="CB2009" s="92">
        <v>3.4</v>
      </c>
      <c r="CC2009" s="92">
        <v>3.4</v>
      </c>
      <c r="CD2009" s="36" t="s">
        <v>992</v>
      </c>
      <c r="CE2009" s="577">
        <v>6.7</v>
      </c>
      <c r="CF2009" s="577">
        <v>8.2480925578486559</v>
      </c>
      <c r="CG2009" s="577"/>
      <c r="CH2009" s="577"/>
      <c r="CI2009" s="36" t="s">
        <v>4546</v>
      </c>
      <c r="JB2009" s="254" t="s">
        <v>2083</v>
      </c>
      <c r="JC2009" s="253"/>
      <c r="JD2009" s="259"/>
    </row>
    <row r="2010" spans="1:264" s="92" customFormat="1" x14ac:dyDescent="0.25">
      <c r="A2010" s="252">
        <v>91</v>
      </c>
      <c r="B2010" s="539" t="s">
        <v>4196</v>
      </c>
      <c r="C2010" s="252" t="s">
        <v>768</v>
      </c>
      <c r="D2010" s="253" t="s">
        <v>2118</v>
      </c>
      <c r="E2010" s="252">
        <v>2006</v>
      </c>
      <c r="F2010" s="253">
        <v>1999</v>
      </c>
      <c r="G2010" s="252" t="s">
        <v>946</v>
      </c>
      <c r="H2010" s="252" t="s">
        <v>2032</v>
      </c>
      <c r="I2010" s="252" t="s">
        <v>2815</v>
      </c>
      <c r="J2010" s="253">
        <v>32.56</v>
      </c>
      <c r="K2010" s="253">
        <v>-83.91</v>
      </c>
      <c r="L2010" s="254">
        <v>16</v>
      </c>
      <c r="M2010" s="254">
        <v>18.100000000000001</v>
      </c>
      <c r="N2010" s="253"/>
      <c r="O2010" s="254">
        <v>1258</v>
      </c>
      <c r="P2010" s="253"/>
      <c r="Q2010" s="253"/>
      <c r="R2010" s="254">
        <v>6</v>
      </c>
      <c r="S2010" s="255" t="s">
        <v>1975</v>
      </c>
      <c r="U2010" s="255" t="s">
        <v>2102</v>
      </c>
      <c r="V2010" s="256" t="s">
        <v>1415</v>
      </c>
      <c r="W2010" s="256">
        <v>30</v>
      </c>
      <c r="X2010" s="256" t="s">
        <v>1388</v>
      </c>
      <c r="Y2010" s="256" t="s">
        <v>1417</v>
      </c>
      <c r="Z2010" s="257">
        <f>AVERAGE(Sheet1!BP2010:BQ2010)</f>
        <v>1.617</v>
      </c>
      <c r="AA2010" s="363">
        <v>65</v>
      </c>
      <c r="AB2010" s="363">
        <v>25</v>
      </c>
      <c r="AC2010" s="253" t="s">
        <v>240</v>
      </c>
      <c r="AD2010" s="253"/>
      <c r="AE2010" s="253"/>
      <c r="AF2010" s="253"/>
      <c r="AG2010" s="252" t="s">
        <v>2029</v>
      </c>
      <c r="AH2010" s="254" t="s">
        <v>2028</v>
      </c>
      <c r="AI2010" s="253" t="s">
        <v>1582</v>
      </c>
      <c r="AJ2010" s="254" t="s">
        <v>2027</v>
      </c>
      <c r="AK2010" s="253" t="s">
        <v>1646</v>
      </c>
      <c r="AL2010" s="253"/>
      <c r="AM2010" s="253"/>
      <c r="AN2010" s="253"/>
      <c r="AO2010" s="254" t="s">
        <v>773</v>
      </c>
      <c r="AP2010" s="254" t="s">
        <v>773</v>
      </c>
      <c r="AQ2010" s="254" t="s">
        <v>2125</v>
      </c>
      <c r="AR2010" s="254" t="s">
        <v>2125</v>
      </c>
      <c r="AS2010" s="92" t="s">
        <v>2115</v>
      </c>
      <c r="AT2010" s="253" t="s">
        <v>2031</v>
      </c>
      <c r="AU2010" s="253"/>
      <c r="AV2010" s="258" t="s">
        <v>2025</v>
      </c>
      <c r="AW2010" s="253" t="s">
        <v>160</v>
      </c>
      <c r="AX2010" s="254">
        <v>4</v>
      </c>
      <c r="AY2010" s="254">
        <v>4</v>
      </c>
      <c r="AZ2010" s="253" t="s">
        <v>141</v>
      </c>
      <c r="BA2010" s="253"/>
      <c r="BB2010" s="253"/>
      <c r="BC2010" s="253"/>
      <c r="BD2010" s="253"/>
      <c r="BE2010" s="253"/>
      <c r="BK2010" s="254"/>
      <c r="BL2010" s="254"/>
      <c r="BM2010" s="253"/>
      <c r="BP2010" s="439">
        <f t="shared" si="288"/>
        <v>1.6220000000000001</v>
      </c>
      <c r="BQ2010" s="439">
        <v>1.6120000000000001</v>
      </c>
      <c r="BU2010" s="438">
        <v>9.2478421701602934E-2</v>
      </c>
      <c r="BV2010" s="438">
        <v>0.10275380189066993</v>
      </c>
      <c r="BZ2010" s="92">
        <v>4.4999999999999991</v>
      </c>
      <c r="CA2010" s="92">
        <v>4.9691738594327983</v>
      </c>
      <c r="CB2010" s="92">
        <v>2.2000000000000002</v>
      </c>
      <c r="CC2010" s="92">
        <v>2.2000000000000002</v>
      </c>
      <c r="CD2010" s="36" t="s">
        <v>992</v>
      </c>
      <c r="CE2010" s="577">
        <v>4.4999999999999991</v>
      </c>
      <c r="CF2010" s="577">
        <v>4.9691738594327983</v>
      </c>
      <c r="CG2010" s="577"/>
      <c r="CH2010" s="577"/>
      <c r="CI2010" s="36" t="s">
        <v>4546</v>
      </c>
      <c r="JB2010" s="254" t="s">
        <v>2083</v>
      </c>
      <c r="JC2010" s="253"/>
      <c r="JD2010" s="259"/>
    </row>
    <row r="2011" spans="1:264" s="36" customFormat="1" x14ac:dyDescent="0.25">
      <c r="A2011" s="223">
        <v>91</v>
      </c>
      <c r="B2011" s="540" t="s">
        <v>4197</v>
      </c>
      <c r="C2011" s="223" t="s">
        <v>768</v>
      </c>
      <c r="D2011" s="224" t="s">
        <v>2118</v>
      </c>
      <c r="E2011" s="223">
        <v>2006</v>
      </c>
      <c r="F2011" s="224">
        <v>1999</v>
      </c>
      <c r="G2011" s="223" t="s">
        <v>946</v>
      </c>
      <c r="H2011" s="223" t="s">
        <v>2032</v>
      </c>
      <c r="I2011" s="252" t="s">
        <v>2815</v>
      </c>
      <c r="J2011" s="224">
        <v>32.56</v>
      </c>
      <c r="K2011" s="224">
        <v>-83.91</v>
      </c>
      <c r="L2011" s="225">
        <v>16</v>
      </c>
      <c r="M2011" s="225">
        <v>18.100000000000001</v>
      </c>
      <c r="N2011" s="224"/>
      <c r="O2011" s="225">
        <v>1258</v>
      </c>
      <c r="P2011" s="224"/>
      <c r="Q2011" s="224"/>
      <c r="R2011" s="225">
        <v>6</v>
      </c>
      <c r="S2011" s="226" t="s">
        <v>1975</v>
      </c>
      <c r="U2011" s="226" t="s">
        <v>2102</v>
      </c>
      <c r="V2011" s="227" t="s">
        <v>1388</v>
      </c>
      <c r="W2011" s="227">
        <v>10</v>
      </c>
      <c r="X2011" s="227" t="s">
        <v>1388</v>
      </c>
      <c r="Y2011" s="227" t="s">
        <v>1417</v>
      </c>
      <c r="Z2011" s="228">
        <f>AVERAGE(Sheet1!BP2011:BQ2011)</f>
        <v>1.4249999999999998</v>
      </c>
      <c r="AA2011" s="364">
        <v>65</v>
      </c>
      <c r="AB2011" s="364">
        <v>25</v>
      </c>
      <c r="AC2011" s="224" t="s">
        <v>240</v>
      </c>
      <c r="AD2011" s="224"/>
      <c r="AE2011" s="224"/>
      <c r="AF2011" s="224"/>
      <c r="AG2011" s="223" t="s">
        <v>2029</v>
      </c>
      <c r="AH2011" s="225" t="s">
        <v>2028</v>
      </c>
      <c r="AI2011" s="224" t="s">
        <v>1582</v>
      </c>
      <c r="AJ2011" s="225" t="s">
        <v>2027</v>
      </c>
      <c r="AK2011" s="224" t="s">
        <v>1646</v>
      </c>
      <c r="AL2011" s="224"/>
      <c r="AM2011" s="224"/>
      <c r="AN2011" s="224"/>
      <c r="AO2011" s="225" t="s">
        <v>773</v>
      </c>
      <c r="AP2011" s="225" t="s">
        <v>773</v>
      </c>
      <c r="AQ2011" s="225" t="s">
        <v>2125</v>
      </c>
      <c r="AR2011" s="225" t="s">
        <v>2125</v>
      </c>
      <c r="AS2011" s="92" t="s">
        <v>177</v>
      </c>
      <c r="AT2011" s="224" t="s">
        <v>2026</v>
      </c>
      <c r="AU2011" s="224"/>
      <c r="AV2011" s="229" t="s">
        <v>2025</v>
      </c>
      <c r="AW2011" s="253" t="s">
        <v>160</v>
      </c>
      <c r="AX2011" s="225">
        <v>4</v>
      </c>
      <c r="AY2011" s="225">
        <v>4</v>
      </c>
      <c r="AZ2011" s="224" t="s">
        <v>141</v>
      </c>
      <c r="BA2011" s="224"/>
      <c r="BB2011" s="224"/>
      <c r="BC2011" s="224"/>
      <c r="BD2011" s="224"/>
      <c r="BE2011" s="224"/>
      <c r="BK2011" s="225"/>
      <c r="BL2011" s="225"/>
      <c r="BM2011" s="224"/>
      <c r="BP2011" s="440">
        <f t="shared" si="288"/>
        <v>1.43</v>
      </c>
      <c r="BQ2011" s="440">
        <v>1.42</v>
      </c>
      <c r="BU2011" s="441">
        <v>0.6573426573426574</v>
      </c>
      <c r="BV2011" s="441">
        <v>0.66433566433566438</v>
      </c>
      <c r="BZ2011" s="36">
        <v>9.4</v>
      </c>
      <c r="CA2011" s="36">
        <v>9.4335664335664351</v>
      </c>
      <c r="CB2011" s="36">
        <v>1</v>
      </c>
      <c r="CC2011" s="36">
        <v>1</v>
      </c>
      <c r="CD2011" s="36" t="s">
        <v>992</v>
      </c>
      <c r="CE2011" s="560">
        <v>9.4</v>
      </c>
      <c r="CF2011" s="560">
        <v>9.4335664335664351</v>
      </c>
      <c r="CG2011" s="560"/>
      <c r="CH2011" s="560"/>
      <c r="CI2011" s="36" t="s">
        <v>4546</v>
      </c>
      <c r="JB2011" s="225" t="s">
        <v>2083</v>
      </c>
      <c r="JC2011" s="224"/>
      <c r="JD2011" s="230"/>
    </row>
    <row r="2012" spans="1:264" s="36" customFormat="1" x14ac:dyDescent="0.25">
      <c r="A2012" s="223">
        <v>91</v>
      </c>
      <c r="B2012" s="540" t="s">
        <v>4198</v>
      </c>
      <c r="C2012" s="223" t="s">
        <v>768</v>
      </c>
      <c r="D2012" s="224" t="s">
        <v>2118</v>
      </c>
      <c r="E2012" s="223">
        <v>2006</v>
      </c>
      <c r="F2012" s="224">
        <v>1999</v>
      </c>
      <c r="G2012" s="223" t="s">
        <v>946</v>
      </c>
      <c r="H2012" s="223" t="s">
        <v>2032</v>
      </c>
      <c r="I2012" s="252" t="s">
        <v>2815</v>
      </c>
      <c r="J2012" s="224">
        <v>32.56</v>
      </c>
      <c r="K2012" s="224">
        <v>-83.91</v>
      </c>
      <c r="L2012" s="225">
        <v>16</v>
      </c>
      <c r="M2012" s="225">
        <v>18.100000000000001</v>
      </c>
      <c r="N2012" s="224"/>
      <c r="O2012" s="225">
        <v>1258</v>
      </c>
      <c r="P2012" s="224"/>
      <c r="Q2012" s="224"/>
      <c r="R2012" s="225">
        <v>6</v>
      </c>
      <c r="S2012" s="226" t="s">
        <v>1975</v>
      </c>
      <c r="U2012" s="226" t="s">
        <v>2102</v>
      </c>
      <c r="V2012" s="227" t="s">
        <v>1408</v>
      </c>
      <c r="W2012" s="227">
        <v>20</v>
      </c>
      <c r="X2012" s="227" t="s">
        <v>1388</v>
      </c>
      <c r="Y2012" s="227" t="s">
        <v>1417</v>
      </c>
      <c r="Z2012" s="228">
        <f>AVERAGE(Sheet1!BP2012:BQ2012)</f>
        <v>1.5550000000000002</v>
      </c>
      <c r="AA2012" s="364">
        <v>65</v>
      </c>
      <c r="AB2012" s="364">
        <v>25</v>
      </c>
      <c r="AC2012" s="224" t="s">
        <v>240</v>
      </c>
      <c r="AD2012" s="224"/>
      <c r="AE2012" s="224"/>
      <c r="AF2012" s="224"/>
      <c r="AG2012" s="223" t="s">
        <v>2029</v>
      </c>
      <c r="AH2012" s="225" t="s">
        <v>2028</v>
      </c>
      <c r="AI2012" s="224" t="s">
        <v>1582</v>
      </c>
      <c r="AJ2012" s="225" t="s">
        <v>2027</v>
      </c>
      <c r="AK2012" s="224" t="s">
        <v>1646</v>
      </c>
      <c r="AL2012" s="224"/>
      <c r="AM2012" s="224"/>
      <c r="AN2012" s="224"/>
      <c r="AO2012" s="225" t="s">
        <v>773</v>
      </c>
      <c r="AP2012" s="225" t="s">
        <v>773</v>
      </c>
      <c r="AQ2012" s="225" t="s">
        <v>2125</v>
      </c>
      <c r="AR2012" s="225" t="s">
        <v>2125</v>
      </c>
      <c r="AS2012" s="92" t="s">
        <v>2115</v>
      </c>
      <c r="AT2012" s="224" t="s">
        <v>2026</v>
      </c>
      <c r="AU2012" s="224"/>
      <c r="AV2012" s="229" t="s">
        <v>2025</v>
      </c>
      <c r="AW2012" s="253" t="s">
        <v>160</v>
      </c>
      <c r="AX2012" s="225">
        <v>4</v>
      </c>
      <c r="AY2012" s="225">
        <v>4</v>
      </c>
      <c r="AZ2012" s="224" t="s">
        <v>141</v>
      </c>
      <c r="BA2012" s="224"/>
      <c r="BB2012" s="224"/>
      <c r="BC2012" s="224"/>
      <c r="BD2012" s="224"/>
      <c r="BE2012" s="224"/>
      <c r="BK2012" s="225"/>
      <c r="BL2012" s="225"/>
      <c r="BM2012" s="224"/>
      <c r="BP2012" s="440">
        <f t="shared" si="288"/>
        <v>1.56</v>
      </c>
      <c r="BQ2012" s="440">
        <v>1.55</v>
      </c>
      <c r="BU2012" s="441">
        <v>0.41987179487179482</v>
      </c>
      <c r="BV2012" s="441">
        <v>0.4679487179487179</v>
      </c>
      <c r="BZ2012" s="36">
        <v>13.099999999999998</v>
      </c>
      <c r="CA2012" s="36">
        <v>14.506410256410254</v>
      </c>
      <c r="CB2012" s="36">
        <v>2.2999999999999998</v>
      </c>
      <c r="CC2012" s="36">
        <v>2.2999999999999998</v>
      </c>
      <c r="CD2012" s="36" t="s">
        <v>992</v>
      </c>
      <c r="CE2012" s="560">
        <v>13.099999999999998</v>
      </c>
      <c r="CF2012" s="560">
        <v>14.506410256410254</v>
      </c>
      <c r="CG2012" s="560"/>
      <c r="CH2012" s="560"/>
      <c r="CI2012" s="36" t="s">
        <v>4546</v>
      </c>
      <c r="JB2012" s="225" t="s">
        <v>2083</v>
      </c>
      <c r="JC2012" s="224"/>
      <c r="JD2012" s="230"/>
    </row>
    <row r="2013" spans="1:264" s="36" customFormat="1" x14ac:dyDescent="0.25">
      <c r="A2013" s="223">
        <v>91</v>
      </c>
      <c r="B2013" s="540" t="s">
        <v>4199</v>
      </c>
      <c r="C2013" s="223" t="s">
        <v>768</v>
      </c>
      <c r="D2013" s="224" t="s">
        <v>2118</v>
      </c>
      <c r="E2013" s="223">
        <v>2006</v>
      </c>
      <c r="F2013" s="224">
        <v>1999</v>
      </c>
      <c r="G2013" s="223" t="s">
        <v>946</v>
      </c>
      <c r="H2013" s="223" t="s">
        <v>2032</v>
      </c>
      <c r="I2013" s="252" t="s">
        <v>2815</v>
      </c>
      <c r="J2013" s="224">
        <v>32.56</v>
      </c>
      <c r="K2013" s="224">
        <v>-83.91</v>
      </c>
      <c r="L2013" s="225">
        <v>16</v>
      </c>
      <c r="M2013" s="225">
        <v>18.100000000000001</v>
      </c>
      <c r="N2013" s="224"/>
      <c r="O2013" s="225">
        <v>1258</v>
      </c>
      <c r="P2013" s="224"/>
      <c r="Q2013" s="224"/>
      <c r="R2013" s="225">
        <v>6</v>
      </c>
      <c r="S2013" s="226" t="s">
        <v>1975</v>
      </c>
      <c r="U2013" s="226" t="s">
        <v>2102</v>
      </c>
      <c r="V2013" s="227" t="s">
        <v>1402</v>
      </c>
      <c r="W2013" s="227">
        <v>30</v>
      </c>
      <c r="X2013" s="227" t="s">
        <v>1388</v>
      </c>
      <c r="Y2013" s="227" t="s">
        <v>1417</v>
      </c>
      <c r="Z2013" s="228">
        <f>AVERAGE(Sheet1!BP2013:BQ2013)</f>
        <v>1.3919999999999999</v>
      </c>
      <c r="AA2013" s="364">
        <v>65</v>
      </c>
      <c r="AB2013" s="364">
        <v>25</v>
      </c>
      <c r="AC2013" s="224" t="s">
        <v>240</v>
      </c>
      <c r="AD2013" s="224"/>
      <c r="AE2013" s="224"/>
      <c r="AF2013" s="224"/>
      <c r="AG2013" s="223" t="s">
        <v>2029</v>
      </c>
      <c r="AH2013" s="225" t="s">
        <v>2028</v>
      </c>
      <c r="AI2013" s="224" t="s">
        <v>1582</v>
      </c>
      <c r="AJ2013" s="225" t="s">
        <v>2027</v>
      </c>
      <c r="AK2013" s="224" t="s">
        <v>1646</v>
      </c>
      <c r="AL2013" s="224"/>
      <c r="AM2013" s="224"/>
      <c r="AN2013" s="224"/>
      <c r="AO2013" s="225" t="s">
        <v>773</v>
      </c>
      <c r="AP2013" s="225" t="s">
        <v>773</v>
      </c>
      <c r="AQ2013" s="225" t="s">
        <v>2125</v>
      </c>
      <c r="AR2013" s="225" t="s">
        <v>2125</v>
      </c>
      <c r="AS2013" s="92" t="s">
        <v>177</v>
      </c>
      <c r="AT2013" s="224" t="s">
        <v>2026</v>
      </c>
      <c r="AU2013" s="224"/>
      <c r="AV2013" s="229" t="s">
        <v>2025</v>
      </c>
      <c r="AW2013" s="253" t="s">
        <v>160</v>
      </c>
      <c r="AX2013" s="225">
        <v>4</v>
      </c>
      <c r="AY2013" s="225">
        <v>4</v>
      </c>
      <c r="AZ2013" s="224" t="s">
        <v>141</v>
      </c>
      <c r="BA2013" s="224"/>
      <c r="BB2013" s="224"/>
      <c r="BC2013" s="224"/>
      <c r="BD2013" s="224"/>
      <c r="BE2013" s="224"/>
      <c r="BK2013" s="225"/>
      <c r="BL2013" s="225"/>
      <c r="BM2013" s="224"/>
      <c r="BP2013" s="440">
        <f t="shared" si="288"/>
        <v>1.397</v>
      </c>
      <c r="BQ2013" s="440">
        <v>1.387</v>
      </c>
      <c r="BU2013" s="441">
        <v>0.22429014554998808</v>
      </c>
      <c r="BV2013" s="441">
        <v>0.26246719160104987</v>
      </c>
      <c r="BZ2013" s="36">
        <v>9.4</v>
      </c>
      <c r="CA2013" s="36">
        <v>10.921259842519683</v>
      </c>
      <c r="CB2013" s="36">
        <v>3.4</v>
      </c>
      <c r="CC2013" s="36">
        <v>3.4</v>
      </c>
      <c r="CD2013" s="36" t="s">
        <v>992</v>
      </c>
      <c r="CE2013" s="560">
        <v>9.4</v>
      </c>
      <c r="CF2013" s="560">
        <v>10.921259842519683</v>
      </c>
      <c r="CG2013" s="560"/>
      <c r="CH2013" s="560"/>
      <c r="CI2013" s="36" t="s">
        <v>4546</v>
      </c>
      <c r="JB2013" s="225" t="s">
        <v>2083</v>
      </c>
      <c r="JC2013" s="224"/>
      <c r="JD2013" s="230"/>
    </row>
    <row r="2014" spans="1:264" s="36" customFormat="1" x14ac:dyDescent="0.25">
      <c r="A2014" s="223">
        <v>91</v>
      </c>
      <c r="B2014" s="540" t="s">
        <v>4200</v>
      </c>
      <c r="C2014" s="223" t="s">
        <v>768</v>
      </c>
      <c r="D2014" s="224" t="s">
        <v>2118</v>
      </c>
      <c r="E2014" s="223">
        <v>2006</v>
      </c>
      <c r="F2014" s="224">
        <v>1999</v>
      </c>
      <c r="G2014" s="223" t="s">
        <v>946</v>
      </c>
      <c r="H2014" s="223" t="s">
        <v>2032</v>
      </c>
      <c r="I2014" s="252" t="s">
        <v>2815</v>
      </c>
      <c r="J2014" s="224">
        <v>32.56</v>
      </c>
      <c r="K2014" s="224">
        <v>-83.91</v>
      </c>
      <c r="L2014" s="225">
        <v>16</v>
      </c>
      <c r="M2014" s="225">
        <v>18.100000000000001</v>
      </c>
      <c r="N2014" s="224"/>
      <c r="O2014" s="225">
        <v>1258</v>
      </c>
      <c r="P2014" s="224"/>
      <c r="Q2014" s="224"/>
      <c r="R2014" s="225">
        <v>6</v>
      </c>
      <c r="S2014" s="226" t="s">
        <v>1975</v>
      </c>
      <c r="U2014" s="226" t="s">
        <v>2102</v>
      </c>
      <c r="V2014" s="227" t="s">
        <v>1403</v>
      </c>
      <c r="W2014" s="227">
        <v>30</v>
      </c>
      <c r="X2014" s="227" t="s">
        <v>1388</v>
      </c>
      <c r="Y2014" s="227" t="s">
        <v>1417</v>
      </c>
      <c r="Z2014" s="228">
        <f>AVERAGE(Sheet1!BP2014:BQ2014)</f>
        <v>1.5939999999999999</v>
      </c>
      <c r="AA2014" s="364">
        <v>65</v>
      </c>
      <c r="AB2014" s="364">
        <v>25</v>
      </c>
      <c r="AC2014" s="224" t="s">
        <v>240</v>
      </c>
      <c r="AD2014" s="224"/>
      <c r="AE2014" s="224"/>
      <c r="AF2014" s="224"/>
      <c r="AG2014" s="223" t="s">
        <v>2029</v>
      </c>
      <c r="AH2014" s="225" t="s">
        <v>2028</v>
      </c>
      <c r="AI2014" s="224" t="s">
        <v>1582</v>
      </c>
      <c r="AJ2014" s="225" t="s">
        <v>2027</v>
      </c>
      <c r="AK2014" s="224" t="s">
        <v>1646</v>
      </c>
      <c r="AL2014" s="224"/>
      <c r="AM2014" s="224"/>
      <c r="AN2014" s="224"/>
      <c r="AO2014" s="225" t="s">
        <v>773</v>
      </c>
      <c r="AP2014" s="225" t="s">
        <v>773</v>
      </c>
      <c r="AQ2014" s="225" t="s">
        <v>2125</v>
      </c>
      <c r="AR2014" s="225" t="s">
        <v>2125</v>
      </c>
      <c r="AS2014" s="92" t="s">
        <v>2115</v>
      </c>
      <c r="AT2014" s="224" t="s">
        <v>2026</v>
      </c>
      <c r="AU2014" s="224"/>
      <c r="AV2014" s="229" t="s">
        <v>2025</v>
      </c>
      <c r="AW2014" s="253" t="s">
        <v>160</v>
      </c>
      <c r="AX2014" s="225">
        <v>4</v>
      </c>
      <c r="AY2014" s="225">
        <v>4</v>
      </c>
      <c r="AZ2014" s="224" t="s">
        <v>141</v>
      </c>
      <c r="BA2014" s="224"/>
      <c r="BB2014" s="224"/>
      <c r="BC2014" s="224"/>
      <c r="BD2014" s="224"/>
      <c r="BE2014" s="224"/>
      <c r="BK2014" s="225"/>
      <c r="BL2014" s="225"/>
      <c r="BM2014" s="224"/>
      <c r="BP2014" s="440">
        <f t="shared" si="288"/>
        <v>1.599</v>
      </c>
      <c r="BQ2014" s="440">
        <v>1.589</v>
      </c>
      <c r="BU2014" s="441">
        <v>0.16468626224723787</v>
      </c>
      <c r="BV2014" s="441">
        <v>0.16260162601626016</v>
      </c>
      <c r="BZ2014" s="36">
        <v>7.9</v>
      </c>
      <c r="CA2014" s="36">
        <v>7.7512195121951217</v>
      </c>
      <c r="CB2014" s="36">
        <v>3.4</v>
      </c>
      <c r="CC2014" s="36">
        <v>3.4</v>
      </c>
      <c r="CD2014" s="36" t="s">
        <v>992</v>
      </c>
      <c r="CE2014" s="560">
        <v>7.9</v>
      </c>
      <c r="CF2014" s="560">
        <v>7.7512195121951217</v>
      </c>
      <c r="CG2014" s="560"/>
      <c r="CH2014" s="560"/>
      <c r="CI2014" s="36" t="s">
        <v>4546</v>
      </c>
      <c r="JB2014" s="225" t="s">
        <v>2083</v>
      </c>
      <c r="JC2014" s="224"/>
      <c r="JD2014" s="230"/>
    </row>
    <row r="2015" spans="1:264" s="36" customFormat="1" x14ac:dyDescent="0.25">
      <c r="A2015" s="223">
        <v>91</v>
      </c>
      <c r="B2015" s="540" t="s">
        <v>4201</v>
      </c>
      <c r="C2015" s="223" t="s">
        <v>768</v>
      </c>
      <c r="D2015" s="224" t="s">
        <v>2118</v>
      </c>
      <c r="E2015" s="223">
        <v>2006</v>
      </c>
      <c r="F2015" s="224">
        <v>1999</v>
      </c>
      <c r="G2015" s="223" t="s">
        <v>946</v>
      </c>
      <c r="H2015" s="223" t="s">
        <v>2032</v>
      </c>
      <c r="I2015" s="252" t="s">
        <v>2815</v>
      </c>
      <c r="J2015" s="224">
        <v>32.56</v>
      </c>
      <c r="K2015" s="224">
        <v>-83.91</v>
      </c>
      <c r="L2015" s="225">
        <v>16</v>
      </c>
      <c r="M2015" s="225">
        <v>18.100000000000001</v>
      </c>
      <c r="N2015" s="224"/>
      <c r="O2015" s="225">
        <v>1258</v>
      </c>
      <c r="P2015" s="224"/>
      <c r="Q2015" s="224"/>
      <c r="R2015" s="225">
        <v>6</v>
      </c>
      <c r="S2015" s="226" t="s">
        <v>1975</v>
      </c>
      <c r="U2015" s="226" t="s">
        <v>2102</v>
      </c>
      <c r="V2015" s="227" t="s">
        <v>1415</v>
      </c>
      <c r="W2015" s="227">
        <v>30</v>
      </c>
      <c r="X2015" s="227" t="s">
        <v>1388</v>
      </c>
      <c r="Y2015" s="227" t="s">
        <v>1417</v>
      </c>
      <c r="Z2015" s="228">
        <f>AVERAGE(Sheet1!BP2015:BQ2015)</f>
        <v>1.617</v>
      </c>
      <c r="AA2015" s="364">
        <v>65</v>
      </c>
      <c r="AB2015" s="364">
        <v>25</v>
      </c>
      <c r="AC2015" s="224" t="s">
        <v>240</v>
      </c>
      <c r="AD2015" s="224"/>
      <c r="AE2015" s="224"/>
      <c r="AF2015" s="224"/>
      <c r="AG2015" s="223" t="s">
        <v>2029</v>
      </c>
      <c r="AH2015" s="225" t="s">
        <v>2028</v>
      </c>
      <c r="AI2015" s="224" t="s">
        <v>1582</v>
      </c>
      <c r="AJ2015" s="225" t="s">
        <v>2027</v>
      </c>
      <c r="AK2015" s="224" t="s">
        <v>1646</v>
      </c>
      <c r="AL2015" s="224"/>
      <c r="AM2015" s="224"/>
      <c r="AN2015" s="224"/>
      <c r="AO2015" s="225" t="s">
        <v>773</v>
      </c>
      <c r="AP2015" s="225" t="s">
        <v>773</v>
      </c>
      <c r="AQ2015" s="225" t="s">
        <v>2125</v>
      </c>
      <c r="AR2015" s="225" t="s">
        <v>2125</v>
      </c>
      <c r="AS2015" s="92" t="s">
        <v>177</v>
      </c>
      <c r="AT2015" s="224" t="s">
        <v>2026</v>
      </c>
      <c r="AU2015" s="224"/>
      <c r="AV2015" s="229" t="s">
        <v>2025</v>
      </c>
      <c r="AW2015" s="253" t="s">
        <v>160</v>
      </c>
      <c r="AX2015" s="225">
        <v>4</v>
      </c>
      <c r="AY2015" s="225">
        <v>4</v>
      </c>
      <c r="AZ2015" s="224" t="s">
        <v>141</v>
      </c>
      <c r="BA2015" s="224"/>
      <c r="BB2015" s="224"/>
      <c r="BC2015" s="224"/>
      <c r="BD2015" s="224"/>
      <c r="BE2015" s="224"/>
      <c r="BK2015" s="225"/>
      <c r="BL2015" s="225"/>
      <c r="BM2015" s="224"/>
      <c r="BP2015" s="440">
        <f t="shared" si="288"/>
        <v>1.6220000000000001</v>
      </c>
      <c r="BQ2015" s="440">
        <v>1.6120000000000001</v>
      </c>
      <c r="BU2015" s="441">
        <v>0.12741471434443072</v>
      </c>
      <c r="BV2015" s="441">
        <v>0.12330456226880393</v>
      </c>
      <c r="BZ2015" s="36">
        <v>6.1999999999999993</v>
      </c>
      <c r="CA2015" s="36">
        <v>5.9630086313193589</v>
      </c>
      <c r="CB2015" s="36">
        <v>2.2000000000000002</v>
      </c>
      <c r="CC2015" s="36">
        <v>2.2000000000000002</v>
      </c>
      <c r="CD2015" s="36" t="s">
        <v>992</v>
      </c>
      <c r="CE2015" s="560">
        <v>6.1999999999999993</v>
      </c>
      <c r="CF2015" s="560">
        <v>5.9630086313193589</v>
      </c>
      <c r="CG2015" s="560"/>
      <c r="CH2015" s="560"/>
      <c r="CI2015" s="36" t="s">
        <v>4546</v>
      </c>
      <c r="JB2015" s="225" t="s">
        <v>2083</v>
      </c>
      <c r="JC2015" s="224"/>
      <c r="JD2015" s="230"/>
    </row>
    <row r="2016" spans="1:264" s="24" customFormat="1" x14ac:dyDescent="0.25">
      <c r="A2016" s="244">
        <v>92</v>
      </c>
      <c r="B2016" s="543" t="s">
        <v>4157</v>
      </c>
      <c r="C2016" s="245" t="s">
        <v>768</v>
      </c>
      <c r="D2016" s="245" t="s">
        <v>2118</v>
      </c>
      <c r="E2016" s="245">
        <v>2003</v>
      </c>
      <c r="F2016" s="245">
        <v>1994</v>
      </c>
      <c r="G2016" s="245" t="s">
        <v>2045</v>
      </c>
      <c r="H2016" s="245" t="s">
        <v>2044</v>
      </c>
      <c r="I2016" s="245" t="s">
        <v>2815</v>
      </c>
      <c r="J2016" s="245">
        <v>32.56</v>
      </c>
      <c r="K2016" s="245">
        <v>-83.9</v>
      </c>
      <c r="L2016" s="245">
        <v>16</v>
      </c>
      <c r="M2016" s="245">
        <v>18.100000000000001</v>
      </c>
      <c r="N2016" s="245"/>
      <c r="O2016" s="245">
        <v>1258</v>
      </c>
      <c r="P2016" s="245"/>
      <c r="Q2016" s="245"/>
      <c r="R2016" s="245">
        <v>1</v>
      </c>
      <c r="S2016" s="246" t="s">
        <v>1734</v>
      </c>
      <c r="U2016" s="246" t="s">
        <v>2113</v>
      </c>
      <c r="V2016" s="245" t="s">
        <v>1389</v>
      </c>
      <c r="W2016" s="247">
        <v>30</v>
      </c>
      <c r="X2016" s="245" t="s">
        <v>1389</v>
      </c>
      <c r="Y2016" s="245" t="s">
        <v>1389</v>
      </c>
      <c r="Z2016" s="248">
        <v>1.5152619999999999</v>
      </c>
      <c r="AA2016" s="367">
        <v>65</v>
      </c>
      <c r="AB2016" s="367">
        <v>20</v>
      </c>
      <c r="AC2016" s="245" t="s">
        <v>240</v>
      </c>
      <c r="AD2016" s="245"/>
      <c r="AE2016" s="245"/>
      <c r="AF2016" s="245"/>
      <c r="AG2016" s="245" t="s">
        <v>2043</v>
      </c>
      <c r="AH2016" s="245" t="s">
        <v>1753</v>
      </c>
      <c r="AI2016" s="245" t="s">
        <v>131</v>
      </c>
      <c r="AJ2016" s="245" t="s">
        <v>2041</v>
      </c>
      <c r="AK2016" s="245" t="s">
        <v>229</v>
      </c>
      <c r="AL2016" s="245"/>
      <c r="AM2016" s="245"/>
      <c r="AN2016" s="245"/>
      <c r="AO2016" s="245" t="s">
        <v>2018</v>
      </c>
      <c r="AP2016" s="245" t="s">
        <v>2018</v>
      </c>
      <c r="AQ2016" s="245" t="s">
        <v>2125</v>
      </c>
      <c r="AR2016" s="245" t="s">
        <v>2125</v>
      </c>
      <c r="AS2016" s="24" t="s">
        <v>177</v>
      </c>
      <c r="AT2016" s="245" t="s">
        <v>2040</v>
      </c>
      <c r="AU2016" s="245"/>
      <c r="AW2016" s="245" t="s">
        <v>119</v>
      </c>
      <c r="AX2016" s="245">
        <v>4</v>
      </c>
      <c r="AY2016" s="245">
        <v>4</v>
      </c>
      <c r="AZ2016" s="245" t="s">
        <v>141</v>
      </c>
      <c r="BA2016" s="245"/>
      <c r="BB2016" s="245"/>
      <c r="BC2016" s="245"/>
      <c r="BD2016" s="245"/>
      <c r="BE2016" s="245" t="s">
        <v>2110</v>
      </c>
      <c r="BK2016" s="245"/>
      <c r="BL2016" s="245"/>
      <c r="BM2016" s="245"/>
      <c r="BP2016" s="437"/>
      <c r="BQ2016" s="437"/>
      <c r="BU2016" s="395">
        <f t="shared" ref="BU2016:BU2047" si="290">(BZ2016*1000000)/(100*100*Z2016*W2016/100*1000000)*100</f>
        <v>0.39817096537320501</v>
      </c>
      <c r="BV2016" s="395">
        <f t="shared" ref="BV2016:BV2047" si="291">(CA2016*1000000)/(100*100*Z2016*W2016/100*1000000)*100</f>
        <v>0.39817096537320501</v>
      </c>
      <c r="BZ2016" s="437">
        <v>18.100000000000001</v>
      </c>
      <c r="CA2016" s="437">
        <v>18.100000000000001</v>
      </c>
      <c r="CD2016" s="24" t="s">
        <v>2114</v>
      </c>
      <c r="CE2016" s="548">
        <v>18.100000000000001</v>
      </c>
      <c r="CF2016" s="548">
        <v>18.100000000000001</v>
      </c>
      <c r="CG2016" s="548"/>
      <c r="CH2016" s="548"/>
      <c r="CI2016" s="24" t="s">
        <v>4551</v>
      </c>
      <c r="CJ2016" s="24">
        <v>1.39</v>
      </c>
      <c r="CK2016" s="24">
        <v>1.39</v>
      </c>
      <c r="CN2016" s="24" t="s">
        <v>2096</v>
      </c>
      <c r="JB2016" s="245" t="s">
        <v>2084</v>
      </c>
      <c r="JC2016" s="245" t="s">
        <v>2098</v>
      </c>
      <c r="JD2016" s="249"/>
    </row>
    <row r="2017" spans="1:264" s="24" customFormat="1" x14ac:dyDescent="0.25">
      <c r="A2017" s="244">
        <v>92</v>
      </c>
      <c r="B2017" s="543" t="s">
        <v>4172</v>
      </c>
      <c r="C2017" s="245" t="s">
        <v>768</v>
      </c>
      <c r="D2017" s="245" t="s">
        <v>2118</v>
      </c>
      <c r="E2017" s="245">
        <v>2003</v>
      </c>
      <c r="F2017" s="245">
        <v>1994</v>
      </c>
      <c r="G2017" s="245" t="s">
        <v>2045</v>
      </c>
      <c r="H2017" s="245" t="s">
        <v>2044</v>
      </c>
      <c r="I2017" s="245" t="s">
        <v>2815</v>
      </c>
      <c r="J2017" s="245">
        <v>32.56</v>
      </c>
      <c r="K2017" s="245">
        <v>-83.9</v>
      </c>
      <c r="L2017" s="245">
        <v>16</v>
      </c>
      <c r="M2017" s="245">
        <v>18.100000000000001</v>
      </c>
      <c r="N2017" s="245"/>
      <c r="O2017" s="245">
        <v>1258</v>
      </c>
      <c r="P2017" s="245"/>
      <c r="Q2017" s="245"/>
      <c r="R2017" s="245">
        <v>1</v>
      </c>
      <c r="S2017" s="246" t="s">
        <v>1734</v>
      </c>
      <c r="U2017" s="246" t="s">
        <v>2113</v>
      </c>
      <c r="V2017" s="245" t="s">
        <v>1389</v>
      </c>
      <c r="W2017" s="247">
        <v>30</v>
      </c>
      <c r="X2017" s="245" t="s">
        <v>1389</v>
      </c>
      <c r="Y2017" s="245" t="s">
        <v>1389</v>
      </c>
      <c r="Z2017" s="248">
        <v>1.517611</v>
      </c>
      <c r="AA2017" s="367">
        <v>65</v>
      </c>
      <c r="AB2017" s="367">
        <v>20</v>
      </c>
      <c r="AC2017" s="245" t="s">
        <v>240</v>
      </c>
      <c r="AD2017" s="245"/>
      <c r="AE2017" s="245"/>
      <c r="AF2017" s="245"/>
      <c r="AG2017" s="245" t="s">
        <v>2043</v>
      </c>
      <c r="AH2017" s="245" t="s">
        <v>2033</v>
      </c>
      <c r="AI2017" s="245" t="s">
        <v>577</v>
      </c>
      <c r="AJ2017" s="245" t="s">
        <v>2041</v>
      </c>
      <c r="AK2017" s="245" t="s">
        <v>229</v>
      </c>
      <c r="AL2017" s="245"/>
      <c r="AM2017" s="245"/>
      <c r="AN2017" s="245"/>
      <c r="AO2017" s="245" t="s">
        <v>2018</v>
      </c>
      <c r="AP2017" s="245" t="s">
        <v>2018</v>
      </c>
      <c r="AQ2017" s="245" t="s">
        <v>2125</v>
      </c>
      <c r="AR2017" s="245" t="s">
        <v>2125</v>
      </c>
      <c r="AS2017" s="24" t="s">
        <v>177</v>
      </c>
      <c r="AT2017" s="245" t="s">
        <v>2040</v>
      </c>
      <c r="AU2017" s="245"/>
      <c r="AW2017" s="245" t="s">
        <v>119</v>
      </c>
      <c r="AX2017" s="245">
        <v>4</v>
      </c>
      <c r="AY2017" s="245">
        <v>4</v>
      </c>
      <c r="AZ2017" s="245" t="s">
        <v>141</v>
      </c>
      <c r="BA2017" s="245"/>
      <c r="BB2017" s="245"/>
      <c r="BC2017" s="245"/>
      <c r="BD2017" s="245"/>
      <c r="BE2017" s="245" t="s">
        <v>2110</v>
      </c>
      <c r="BK2017" s="245"/>
      <c r="BL2017" s="245"/>
      <c r="BM2017" s="245"/>
      <c r="BP2017" s="437"/>
      <c r="BQ2017" s="437"/>
      <c r="BU2017" s="395">
        <f t="shared" si="290"/>
        <v>0.39755466541382029</v>
      </c>
      <c r="BV2017" s="395">
        <f t="shared" si="291"/>
        <v>0.39755466541382029</v>
      </c>
      <c r="BZ2017" s="437">
        <v>18.100000000000001</v>
      </c>
      <c r="CA2017" s="437">
        <v>18.100000000000001</v>
      </c>
      <c r="CD2017" s="24" t="s">
        <v>2114</v>
      </c>
      <c r="CE2017" s="548">
        <v>18.100000000000001</v>
      </c>
      <c r="CF2017" s="548">
        <v>18.100000000000001</v>
      </c>
      <c r="CG2017" s="548"/>
      <c r="CH2017" s="548"/>
      <c r="CI2017" s="24" t="s">
        <v>4551</v>
      </c>
      <c r="CJ2017" s="24">
        <v>1.39</v>
      </c>
      <c r="CK2017" s="24">
        <v>1.39</v>
      </c>
      <c r="CN2017" s="24" t="s">
        <v>2096</v>
      </c>
      <c r="JB2017" s="245" t="s">
        <v>2084</v>
      </c>
      <c r="JC2017" s="245" t="s">
        <v>2098</v>
      </c>
      <c r="JD2017" s="249"/>
    </row>
    <row r="2018" spans="1:264" s="24" customFormat="1" x14ac:dyDescent="0.25">
      <c r="A2018" s="244">
        <v>92</v>
      </c>
      <c r="B2018" s="543" t="s">
        <v>4172</v>
      </c>
      <c r="C2018" s="245" t="s">
        <v>768</v>
      </c>
      <c r="D2018" s="245" t="s">
        <v>2118</v>
      </c>
      <c r="E2018" s="245">
        <v>2003</v>
      </c>
      <c r="F2018" s="245">
        <v>1994</v>
      </c>
      <c r="G2018" s="245" t="s">
        <v>2045</v>
      </c>
      <c r="H2018" s="245" t="s">
        <v>2044</v>
      </c>
      <c r="I2018" s="245" t="s">
        <v>2815</v>
      </c>
      <c r="J2018" s="245">
        <v>32.56</v>
      </c>
      <c r="K2018" s="245">
        <v>-83.9</v>
      </c>
      <c r="L2018" s="245">
        <v>16</v>
      </c>
      <c r="M2018" s="245">
        <v>18.100000000000001</v>
      </c>
      <c r="N2018" s="245"/>
      <c r="O2018" s="245">
        <v>1258</v>
      </c>
      <c r="P2018" s="245"/>
      <c r="Q2018" s="245"/>
      <c r="R2018" s="245">
        <v>1</v>
      </c>
      <c r="S2018" s="246" t="s">
        <v>1734</v>
      </c>
      <c r="U2018" s="246" t="s">
        <v>2113</v>
      </c>
      <c r="V2018" s="245" t="s">
        <v>1389</v>
      </c>
      <c r="W2018" s="247">
        <v>30</v>
      </c>
      <c r="X2018" s="245" t="s">
        <v>1389</v>
      </c>
      <c r="Y2018" s="245" t="s">
        <v>1389</v>
      </c>
      <c r="Z2018" s="248">
        <v>1.5189159999999999</v>
      </c>
      <c r="AA2018" s="367">
        <v>65</v>
      </c>
      <c r="AB2018" s="367">
        <v>20</v>
      </c>
      <c r="AC2018" s="245" t="s">
        <v>240</v>
      </c>
      <c r="AD2018" s="245"/>
      <c r="AE2018" s="245"/>
      <c r="AF2018" s="245"/>
      <c r="AG2018" s="245" t="s">
        <v>2043</v>
      </c>
      <c r="AH2018" s="245" t="s">
        <v>2042</v>
      </c>
      <c r="AI2018" s="245" t="s">
        <v>577</v>
      </c>
      <c r="AJ2018" s="245" t="s">
        <v>2041</v>
      </c>
      <c r="AK2018" s="245" t="s">
        <v>229</v>
      </c>
      <c r="AL2018" s="245"/>
      <c r="AM2018" s="245"/>
      <c r="AN2018" s="245"/>
      <c r="AO2018" s="245" t="s">
        <v>2018</v>
      </c>
      <c r="AP2018" s="245" t="s">
        <v>2018</v>
      </c>
      <c r="AQ2018" s="245" t="s">
        <v>2125</v>
      </c>
      <c r="AR2018" s="245" t="s">
        <v>2125</v>
      </c>
      <c r="AS2018" s="24" t="s">
        <v>177</v>
      </c>
      <c r="AT2018" s="245" t="s">
        <v>2040</v>
      </c>
      <c r="AU2018" s="245"/>
      <c r="AW2018" s="245" t="s">
        <v>119</v>
      </c>
      <c r="AX2018" s="245">
        <v>4</v>
      </c>
      <c r="AY2018" s="245">
        <v>4</v>
      </c>
      <c r="AZ2018" s="245" t="s">
        <v>141</v>
      </c>
      <c r="BA2018" s="245"/>
      <c r="BB2018" s="245"/>
      <c r="BC2018" s="245"/>
      <c r="BD2018" s="245"/>
      <c r="BE2018" s="245" t="s">
        <v>2110</v>
      </c>
      <c r="BK2018" s="245"/>
      <c r="BL2018" s="245"/>
      <c r="BM2018" s="245"/>
      <c r="BP2018" s="437"/>
      <c r="BQ2018" s="437"/>
      <c r="BU2018" s="395">
        <f t="shared" si="290"/>
        <v>0.39721310021971812</v>
      </c>
      <c r="BV2018" s="395">
        <f t="shared" si="291"/>
        <v>0.39721310021971812</v>
      </c>
      <c r="BZ2018" s="437">
        <v>18.100000000000001</v>
      </c>
      <c r="CA2018" s="437">
        <v>18.100000000000001</v>
      </c>
      <c r="CD2018" s="24" t="s">
        <v>2114</v>
      </c>
      <c r="CE2018" s="548">
        <v>18.100000000000001</v>
      </c>
      <c r="CF2018" s="548">
        <v>18.100000000000001</v>
      </c>
      <c r="CG2018" s="548"/>
      <c r="CH2018" s="548"/>
      <c r="CI2018" s="24" t="s">
        <v>4551</v>
      </c>
      <c r="CJ2018" s="24">
        <v>1.39</v>
      </c>
      <c r="CK2018" s="24">
        <v>1.39</v>
      </c>
      <c r="CN2018" s="24" t="s">
        <v>2096</v>
      </c>
      <c r="JB2018" s="245" t="s">
        <v>2084</v>
      </c>
      <c r="JC2018" s="245" t="s">
        <v>2098</v>
      </c>
      <c r="JD2018" s="249"/>
    </row>
    <row r="2019" spans="1:264" s="101" customFormat="1" x14ac:dyDescent="0.25">
      <c r="A2019" s="233">
        <v>92</v>
      </c>
      <c r="B2019" s="543" t="s">
        <v>4157</v>
      </c>
      <c r="C2019" s="234" t="s">
        <v>768</v>
      </c>
      <c r="D2019" s="234" t="s">
        <v>2118</v>
      </c>
      <c r="E2019" s="234">
        <v>2003</v>
      </c>
      <c r="F2019" s="234">
        <v>1995</v>
      </c>
      <c r="G2019" s="234" t="s">
        <v>2045</v>
      </c>
      <c r="H2019" s="234" t="s">
        <v>2044</v>
      </c>
      <c r="I2019" s="245" t="s">
        <v>2815</v>
      </c>
      <c r="J2019" s="234">
        <v>32.56</v>
      </c>
      <c r="K2019" s="234">
        <v>-83.9</v>
      </c>
      <c r="L2019" s="234">
        <v>16</v>
      </c>
      <c r="M2019" s="234">
        <v>18.100000000000001</v>
      </c>
      <c r="N2019" s="234"/>
      <c r="O2019" s="234">
        <v>1258</v>
      </c>
      <c r="P2019" s="234"/>
      <c r="Q2019" s="234"/>
      <c r="R2019" s="234">
        <v>2</v>
      </c>
      <c r="S2019" s="235" t="s">
        <v>1734</v>
      </c>
      <c r="U2019" s="235" t="s">
        <v>2113</v>
      </c>
      <c r="V2019" s="234" t="s">
        <v>1389</v>
      </c>
      <c r="W2019" s="236">
        <v>30</v>
      </c>
      <c r="X2019" s="234" t="s">
        <v>1389</v>
      </c>
      <c r="Y2019" s="234" t="s">
        <v>1389</v>
      </c>
      <c r="Z2019" s="237">
        <v>1.5152619999999999</v>
      </c>
      <c r="AA2019" s="368">
        <v>65</v>
      </c>
      <c r="AB2019" s="368">
        <v>20</v>
      </c>
      <c r="AC2019" s="234" t="s">
        <v>240</v>
      </c>
      <c r="AD2019" s="234"/>
      <c r="AE2019" s="234"/>
      <c r="AF2019" s="234"/>
      <c r="AG2019" s="234" t="s">
        <v>2043</v>
      </c>
      <c r="AH2019" s="234" t="s">
        <v>1753</v>
      </c>
      <c r="AI2019" s="234" t="s">
        <v>131</v>
      </c>
      <c r="AJ2019" s="234" t="s">
        <v>2041</v>
      </c>
      <c r="AK2019" s="245" t="s">
        <v>229</v>
      </c>
      <c r="AL2019" s="234"/>
      <c r="AM2019" s="234"/>
      <c r="AN2019" s="234"/>
      <c r="AO2019" s="234" t="s">
        <v>2018</v>
      </c>
      <c r="AP2019" s="234" t="s">
        <v>2018</v>
      </c>
      <c r="AQ2019" s="245" t="s">
        <v>2125</v>
      </c>
      <c r="AR2019" s="245" t="s">
        <v>2125</v>
      </c>
      <c r="AS2019" s="24" t="s">
        <v>177</v>
      </c>
      <c r="AT2019" s="234" t="s">
        <v>2040</v>
      </c>
      <c r="AU2019" s="234"/>
      <c r="AW2019" s="245" t="s">
        <v>119</v>
      </c>
      <c r="AX2019" s="234">
        <v>4</v>
      </c>
      <c r="AY2019" s="234">
        <v>4</v>
      </c>
      <c r="AZ2019" s="234" t="s">
        <v>141</v>
      </c>
      <c r="BA2019" s="234"/>
      <c r="BB2019" s="234"/>
      <c r="BC2019" s="234"/>
      <c r="BD2019" s="234"/>
      <c r="BE2019" s="245" t="s">
        <v>2110</v>
      </c>
      <c r="BK2019" s="234"/>
      <c r="BL2019" s="234"/>
      <c r="BM2019" s="234"/>
      <c r="BP2019" s="444"/>
      <c r="BQ2019" s="444"/>
      <c r="BU2019" s="395">
        <f t="shared" si="290"/>
        <v>0.39157144661011317</v>
      </c>
      <c r="BV2019" s="395">
        <f t="shared" si="291"/>
        <v>0.41576968207478315</v>
      </c>
      <c r="BZ2019" s="445">
        <v>17.8</v>
      </c>
      <c r="CA2019" s="444">
        <v>18.899999999999999</v>
      </c>
      <c r="CD2019" s="24" t="s">
        <v>2114</v>
      </c>
      <c r="CE2019" s="580">
        <v>17.8</v>
      </c>
      <c r="CF2019" s="580">
        <v>18.899999999999999</v>
      </c>
      <c r="CG2019" s="580"/>
      <c r="CH2019" s="580"/>
      <c r="CI2019" s="24" t="s">
        <v>4551</v>
      </c>
      <c r="CJ2019" s="101">
        <v>1.31</v>
      </c>
      <c r="CK2019" s="101">
        <v>1.43</v>
      </c>
      <c r="CN2019" s="175" t="s">
        <v>2096</v>
      </c>
      <c r="DW2019" s="175"/>
      <c r="JB2019" s="234" t="s">
        <v>2084</v>
      </c>
      <c r="JC2019" s="231" t="s">
        <v>2098</v>
      </c>
      <c r="JD2019" s="177"/>
    </row>
    <row r="2020" spans="1:264" s="101" customFormat="1" x14ac:dyDescent="0.25">
      <c r="A2020" s="233">
        <v>92</v>
      </c>
      <c r="B2020" s="543" t="s">
        <v>4172</v>
      </c>
      <c r="C2020" s="234" t="s">
        <v>768</v>
      </c>
      <c r="D2020" s="234" t="s">
        <v>2118</v>
      </c>
      <c r="E2020" s="234">
        <v>2003</v>
      </c>
      <c r="F2020" s="234">
        <v>1995</v>
      </c>
      <c r="G2020" s="234" t="s">
        <v>2045</v>
      </c>
      <c r="H2020" s="234" t="s">
        <v>2044</v>
      </c>
      <c r="I2020" s="245" t="s">
        <v>2815</v>
      </c>
      <c r="J2020" s="234">
        <v>32.56</v>
      </c>
      <c r="K2020" s="234">
        <v>-83.9</v>
      </c>
      <c r="L2020" s="234">
        <v>16</v>
      </c>
      <c r="M2020" s="234">
        <v>18.100000000000001</v>
      </c>
      <c r="N2020" s="234"/>
      <c r="O2020" s="234">
        <v>1258</v>
      </c>
      <c r="P2020" s="234"/>
      <c r="Q2020" s="234"/>
      <c r="R2020" s="234">
        <v>2</v>
      </c>
      <c r="S2020" s="235" t="s">
        <v>1734</v>
      </c>
      <c r="U2020" s="235" t="s">
        <v>2113</v>
      </c>
      <c r="V2020" s="234" t="s">
        <v>1389</v>
      </c>
      <c r="W2020" s="236">
        <v>30</v>
      </c>
      <c r="X2020" s="234" t="s">
        <v>1389</v>
      </c>
      <c r="Y2020" s="234" t="s">
        <v>1389</v>
      </c>
      <c r="Z2020" s="237">
        <v>1.517611</v>
      </c>
      <c r="AA2020" s="368">
        <v>65</v>
      </c>
      <c r="AB2020" s="368">
        <v>20</v>
      </c>
      <c r="AC2020" s="234" t="s">
        <v>240</v>
      </c>
      <c r="AD2020" s="234"/>
      <c r="AE2020" s="234"/>
      <c r="AF2020" s="234"/>
      <c r="AG2020" s="234" t="s">
        <v>2043</v>
      </c>
      <c r="AH2020" s="234" t="s">
        <v>2033</v>
      </c>
      <c r="AI2020" s="234" t="s">
        <v>577</v>
      </c>
      <c r="AJ2020" s="234" t="s">
        <v>2041</v>
      </c>
      <c r="AK2020" s="245" t="s">
        <v>229</v>
      </c>
      <c r="AL2020" s="234"/>
      <c r="AM2020" s="234"/>
      <c r="AN2020" s="234"/>
      <c r="AO2020" s="234" t="s">
        <v>2018</v>
      </c>
      <c r="AP2020" s="234" t="s">
        <v>2018</v>
      </c>
      <c r="AQ2020" s="245" t="s">
        <v>2125</v>
      </c>
      <c r="AR2020" s="245" t="s">
        <v>2125</v>
      </c>
      <c r="AS2020" s="24" t="s">
        <v>177</v>
      </c>
      <c r="AT2020" s="234" t="s">
        <v>2040</v>
      </c>
      <c r="AU2020" s="234"/>
      <c r="AW2020" s="245" t="s">
        <v>119</v>
      </c>
      <c r="AX2020" s="234">
        <v>4</v>
      </c>
      <c r="AY2020" s="234">
        <v>4</v>
      </c>
      <c r="AZ2020" s="234" t="s">
        <v>141</v>
      </c>
      <c r="BA2020" s="234"/>
      <c r="BB2020" s="234"/>
      <c r="BC2020" s="234"/>
      <c r="BD2020" s="234"/>
      <c r="BE2020" s="245" t="s">
        <v>2110</v>
      </c>
      <c r="BK2020" s="234"/>
      <c r="BL2020" s="234"/>
      <c r="BM2020" s="234"/>
      <c r="BP2020" s="444"/>
      <c r="BQ2020" s="444"/>
      <c r="BU2020" s="395">
        <f t="shared" si="290"/>
        <v>0.39096536156718231</v>
      </c>
      <c r="BV2020" s="395">
        <f t="shared" si="291"/>
        <v>0.41073327310709606</v>
      </c>
      <c r="BZ2020" s="445">
        <v>17.8</v>
      </c>
      <c r="CA2020" s="444">
        <v>18.7</v>
      </c>
      <c r="CD2020" s="24" t="s">
        <v>2114</v>
      </c>
      <c r="CE2020" s="580">
        <v>17.8</v>
      </c>
      <c r="CF2020" s="580">
        <v>18.7</v>
      </c>
      <c r="CG2020" s="580"/>
      <c r="CH2020" s="580"/>
      <c r="CI2020" s="24" t="s">
        <v>4551</v>
      </c>
      <c r="CJ2020" s="101">
        <v>1.31</v>
      </c>
      <c r="CK2020" s="101">
        <v>1.41</v>
      </c>
      <c r="CN2020" s="175" t="s">
        <v>2096</v>
      </c>
      <c r="JB2020" s="234" t="s">
        <v>2084</v>
      </c>
      <c r="JC2020" s="231" t="s">
        <v>2098</v>
      </c>
      <c r="JD2020" s="177"/>
    </row>
    <row r="2021" spans="1:264" s="101" customFormat="1" x14ac:dyDescent="0.25">
      <c r="A2021" s="233">
        <v>92</v>
      </c>
      <c r="B2021" s="543" t="s">
        <v>4172</v>
      </c>
      <c r="C2021" s="234" t="s">
        <v>768</v>
      </c>
      <c r="D2021" s="234" t="s">
        <v>2118</v>
      </c>
      <c r="E2021" s="234">
        <v>2003</v>
      </c>
      <c r="F2021" s="234">
        <v>1995</v>
      </c>
      <c r="G2021" s="234" t="s">
        <v>2045</v>
      </c>
      <c r="H2021" s="234" t="s">
        <v>2044</v>
      </c>
      <c r="I2021" s="245" t="s">
        <v>2815</v>
      </c>
      <c r="J2021" s="234">
        <v>32.56</v>
      </c>
      <c r="K2021" s="234">
        <v>-83.9</v>
      </c>
      <c r="L2021" s="234">
        <v>16</v>
      </c>
      <c r="M2021" s="234">
        <v>18.100000000000001</v>
      </c>
      <c r="N2021" s="234"/>
      <c r="O2021" s="234">
        <v>1258</v>
      </c>
      <c r="P2021" s="234"/>
      <c r="Q2021" s="234"/>
      <c r="R2021" s="234">
        <v>2</v>
      </c>
      <c r="S2021" s="235" t="s">
        <v>1734</v>
      </c>
      <c r="U2021" s="235" t="s">
        <v>2113</v>
      </c>
      <c r="V2021" s="234" t="s">
        <v>1389</v>
      </c>
      <c r="W2021" s="236">
        <v>30</v>
      </c>
      <c r="X2021" s="234" t="s">
        <v>1389</v>
      </c>
      <c r="Y2021" s="234" t="s">
        <v>1389</v>
      </c>
      <c r="Z2021" s="237">
        <v>1.5189159999999999</v>
      </c>
      <c r="AA2021" s="368">
        <v>65</v>
      </c>
      <c r="AB2021" s="368">
        <v>20</v>
      </c>
      <c r="AC2021" s="234" t="s">
        <v>240</v>
      </c>
      <c r="AD2021" s="234"/>
      <c r="AE2021" s="234"/>
      <c r="AF2021" s="234"/>
      <c r="AG2021" s="234" t="s">
        <v>2043</v>
      </c>
      <c r="AH2021" s="234" t="s">
        <v>2042</v>
      </c>
      <c r="AI2021" s="234" t="s">
        <v>577</v>
      </c>
      <c r="AJ2021" s="234" t="s">
        <v>2041</v>
      </c>
      <c r="AK2021" s="245" t="s">
        <v>229</v>
      </c>
      <c r="AL2021" s="234"/>
      <c r="AM2021" s="234"/>
      <c r="AN2021" s="234"/>
      <c r="AO2021" s="234" t="s">
        <v>2018</v>
      </c>
      <c r="AP2021" s="234" t="s">
        <v>2018</v>
      </c>
      <c r="AQ2021" s="245" t="s">
        <v>2125</v>
      </c>
      <c r="AR2021" s="245" t="s">
        <v>2125</v>
      </c>
      <c r="AS2021" s="24" t="s">
        <v>177</v>
      </c>
      <c r="AT2021" s="234" t="s">
        <v>2040</v>
      </c>
      <c r="AU2021" s="234"/>
      <c r="AW2021" s="245" t="s">
        <v>119</v>
      </c>
      <c r="AX2021" s="234">
        <v>4</v>
      </c>
      <c r="AY2021" s="234">
        <v>4</v>
      </c>
      <c r="AZ2021" s="234" t="s">
        <v>141</v>
      </c>
      <c r="BA2021" s="234"/>
      <c r="BB2021" s="234"/>
      <c r="BC2021" s="234"/>
      <c r="BD2021" s="234"/>
      <c r="BE2021" s="245" t="s">
        <v>2110</v>
      </c>
      <c r="BK2021" s="234"/>
      <c r="BL2021" s="234"/>
      <c r="BM2021" s="234"/>
      <c r="BP2021" s="444"/>
      <c r="BQ2021" s="444"/>
      <c r="BU2021" s="395">
        <f t="shared" si="290"/>
        <v>0.39062945767463991</v>
      </c>
      <c r="BV2021" s="395">
        <f t="shared" si="291"/>
        <v>0.39062945767463991</v>
      </c>
      <c r="BZ2021" s="445">
        <v>17.8</v>
      </c>
      <c r="CA2021" s="444">
        <v>17.8</v>
      </c>
      <c r="CD2021" s="24" t="s">
        <v>2114</v>
      </c>
      <c r="CE2021" s="580">
        <v>17.8</v>
      </c>
      <c r="CF2021" s="580">
        <v>17.8</v>
      </c>
      <c r="CG2021" s="580"/>
      <c r="CH2021" s="580"/>
      <c r="CI2021" s="24" t="s">
        <v>4551</v>
      </c>
      <c r="CJ2021" s="101">
        <v>1.31</v>
      </c>
      <c r="CK2021" s="101">
        <v>1.36</v>
      </c>
      <c r="CN2021" s="175" t="s">
        <v>2096</v>
      </c>
      <c r="JB2021" s="234" t="s">
        <v>2084</v>
      </c>
      <c r="JC2021" s="231" t="s">
        <v>2098</v>
      </c>
      <c r="JD2021" s="177"/>
    </row>
    <row r="2022" spans="1:264" s="24" customFormat="1" x14ac:dyDescent="0.25">
      <c r="A2022" s="244">
        <v>92</v>
      </c>
      <c r="B2022" s="543" t="s">
        <v>4157</v>
      </c>
      <c r="C2022" s="245" t="s">
        <v>768</v>
      </c>
      <c r="D2022" s="245" t="s">
        <v>2118</v>
      </c>
      <c r="E2022" s="245">
        <v>2003</v>
      </c>
      <c r="F2022" s="245">
        <v>1996</v>
      </c>
      <c r="G2022" s="245" t="s">
        <v>2045</v>
      </c>
      <c r="H2022" s="245" t="s">
        <v>2044</v>
      </c>
      <c r="I2022" s="245" t="s">
        <v>2815</v>
      </c>
      <c r="J2022" s="245">
        <v>32.56</v>
      </c>
      <c r="K2022" s="245">
        <v>-83.9</v>
      </c>
      <c r="L2022" s="245">
        <v>16</v>
      </c>
      <c r="M2022" s="245">
        <v>18.100000000000001</v>
      </c>
      <c r="N2022" s="245"/>
      <c r="O2022" s="245">
        <v>1258</v>
      </c>
      <c r="P2022" s="245"/>
      <c r="Q2022" s="245"/>
      <c r="R2022" s="245">
        <v>3</v>
      </c>
      <c r="S2022" s="246" t="s">
        <v>1734</v>
      </c>
      <c r="U2022" s="246" t="s">
        <v>2113</v>
      </c>
      <c r="V2022" s="245" t="s">
        <v>1389</v>
      </c>
      <c r="W2022" s="247">
        <v>30</v>
      </c>
      <c r="X2022" s="245" t="s">
        <v>1389</v>
      </c>
      <c r="Y2022" s="245" t="s">
        <v>1389</v>
      </c>
      <c r="Z2022" s="248">
        <f>AVERAGE(Sheet1!BP2022:BQ2022)</f>
        <v>1.5152619999999999</v>
      </c>
      <c r="AA2022" s="367">
        <v>65</v>
      </c>
      <c r="AB2022" s="367">
        <v>20</v>
      </c>
      <c r="AC2022" s="245" t="s">
        <v>240</v>
      </c>
      <c r="AD2022" s="245"/>
      <c r="AE2022" s="245"/>
      <c r="AF2022" s="245"/>
      <c r="AG2022" s="245" t="s">
        <v>2043</v>
      </c>
      <c r="AH2022" s="245" t="s">
        <v>1753</v>
      </c>
      <c r="AI2022" s="245" t="s">
        <v>131</v>
      </c>
      <c r="AJ2022" s="245" t="s">
        <v>2041</v>
      </c>
      <c r="AK2022" s="245" t="s">
        <v>229</v>
      </c>
      <c r="AL2022" s="245"/>
      <c r="AM2022" s="245"/>
      <c r="AN2022" s="245"/>
      <c r="AO2022" s="245" t="s">
        <v>2018</v>
      </c>
      <c r="AP2022" s="245" t="s">
        <v>2018</v>
      </c>
      <c r="AQ2022" s="245" t="s">
        <v>2125</v>
      </c>
      <c r="AR2022" s="245" t="s">
        <v>2125</v>
      </c>
      <c r="AS2022" s="24" t="s">
        <v>177</v>
      </c>
      <c r="AT2022" s="245" t="s">
        <v>2040</v>
      </c>
      <c r="AU2022" s="245"/>
      <c r="AW2022" s="245" t="s">
        <v>119</v>
      </c>
      <c r="AX2022" s="245">
        <v>4</v>
      </c>
      <c r="AY2022" s="245">
        <v>4</v>
      </c>
      <c r="AZ2022" s="245" t="s">
        <v>141</v>
      </c>
      <c r="BA2022" s="245"/>
      <c r="BB2022" s="245">
        <v>2888</v>
      </c>
      <c r="BC2022" s="245">
        <v>38.299999999999997</v>
      </c>
      <c r="BD2022" s="245"/>
      <c r="BE2022" s="245" t="s">
        <v>2110</v>
      </c>
      <c r="BK2022" s="245">
        <v>20000</v>
      </c>
      <c r="BL2022" s="245">
        <v>19000</v>
      </c>
      <c r="BM2022" s="245"/>
      <c r="BP2022" s="437">
        <v>1.5295300000000001</v>
      </c>
      <c r="BQ2022" s="437">
        <v>1.5009939999999999</v>
      </c>
      <c r="BU2022" s="395">
        <f t="shared" si="290"/>
        <v>0.36517337155774604</v>
      </c>
      <c r="BV2022" s="395">
        <f t="shared" si="291"/>
        <v>0.40257064454859948</v>
      </c>
      <c r="BZ2022" s="437">
        <v>16.600000000000001</v>
      </c>
      <c r="CA2022" s="437">
        <v>18.3</v>
      </c>
      <c r="CD2022" s="24" t="s">
        <v>2114</v>
      </c>
      <c r="CE2022" s="548">
        <v>16.600000000000001</v>
      </c>
      <c r="CF2022" s="548">
        <v>18.3</v>
      </c>
      <c r="CG2022" s="548"/>
      <c r="CH2022" s="548"/>
      <c r="CI2022" s="24" t="s">
        <v>4551</v>
      </c>
      <c r="CJ2022" s="24">
        <v>1.29</v>
      </c>
      <c r="CK2022" s="24">
        <v>1.45</v>
      </c>
      <c r="CN2022" s="24" t="s">
        <v>2096</v>
      </c>
      <c r="DS2022" s="24">
        <v>1.7</v>
      </c>
      <c r="DT2022" s="24">
        <v>1.75</v>
      </c>
      <c r="DW2022" s="24" t="s">
        <v>2097</v>
      </c>
      <c r="HE2022" s="24">
        <v>283</v>
      </c>
      <c r="HF2022" s="24">
        <v>575</v>
      </c>
      <c r="HI2022" s="24" t="s">
        <v>2099</v>
      </c>
      <c r="HJ2022" s="24">
        <v>51</v>
      </c>
      <c r="HK2022" s="24">
        <v>43</v>
      </c>
      <c r="HN2022" s="24" t="s">
        <v>2100</v>
      </c>
      <c r="IN2022" s="24">
        <v>1298</v>
      </c>
      <c r="IO2022" s="24">
        <v>1550</v>
      </c>
      <c r="IS2022" s="24">
        <v>72</v>
      </c>
      <c r="IT2022" s="24">
        <v>106</v>
      </c>
      <c r="JB2022" s="245" t="s">
        <v>2084</v>
      </c>
      <c r="JC2022" s="245" t="s">
        <v>2098</v>
      </c>
      <c r="JD2022" s="249"/>
    </row>
    <row r="2023" spans="1:264" s="24" customFormat="1" x14ac:dyDescent="0.25">
      <c r="A2023" s="244">
        <v>92</v>
      </c>
      <c r="B2023" s="543" t="s">
        <v>4172</v>
      </c>
      <c r="C2023" s="245" t="s">
        <v>768</v>
      </c>
      <c r="D2023" s="245" t="s">
        <v>2118</v>
      </c>
      <c r="E2023" s="245">
        <v>2003</v>
      </c>
      <c r="F2023" s="245">
        <v>1996</v>
      </c>
      <c r="G2023" s="245" t="s">
        <v>2045</v>
      </c>
      <c r="H2023" s="245" t="s">
        <v>2044</v>
      </c>
      <c r="I2023" s="245" t="s">
        <v>2815</v>
      </c>
      <c r="J2023" s="245">
        <v>32.56</v>
      </c>
      <c r="K2023" s="245">
        <v>-83.9</v>
      </c>
      <c r="L2023" s="245">
        <v>16</v>
      </c>
      <c r="M2023" s="245">
        <v>18.100000000000001</v>
      </c>
      <c r="N2023" s="245"/>
      <c r="O2023" s="245">
        <v>1258</v>
      </c>
      <c r="P2023" s="245"/>
      <c r="Q2023" s="245"/>
      <c r="R2023" s="245">
        <v>3</v>
      </c>
      <c r="S2023" s="246" t="s">
        <v>1734</v>
      </c>
      <c r="U2023" s="246" t="s">
        <v>2113</v>
      </c>
      <c r="V2023" s="245" t="s">
        <v>1389</v>
      </c>
      <c r="W2023" s="247">
        <v>30</v>
      </c>
      <c r="X2023" s="245" t="s">
        <v>1389</v>
      </c>
      <c r="Y2023" s="245" t="s">
        <v>1389</v>
      </c>
      <c r="Z2023" s="248">
        <f>AVERAGE(Sheet1!BP2023:BQ2023)</f>
        <v>1.517611</v>
      </c>
      <c r="AA2023" s="367">
        <v>65</v>
      </c>
      <c r="AB2023" s="367">
        <v>20</v>
      </c>
      <c r="AC2023" s="245" t="s">
        <v>240</v>
      </c>
      <c r="AD2023" s="245"/>
      <c r="AE2023" s="245"/>
      <c r="AF2023" s="245"/>
      <c r="AG2023" s="245" t="s">
        <v>2043</v>
      </c>
      <c r="AH2023" s="245" t="s">
        <v>2033</v>
      </c>
      <c r="AI2023" s="245" t="s">
        <v>577</v>
      </c>
      <c r="AJ2023" s="245" t="s">
        <v>2041</v>
      </c>
      <c r="AK2023" s="245" t="s">
        <v>229</v>
      </c>
      <c r="AL2023" s="245"/>
      <c r="AM2023" s="245"/>
      <c r="AN2023" s="245"/>
      <c r="AO2023" s="245" t="s">
        <v>2018</v>
      </c>
      <c r="AP2023" s="245" t="s">
        <v>2018</v>
      </c>
      <c r="AQ2023" s="245" t="s">
        <v>2125</v>
      </c>
      <c r="AR2023" s="245" t="s">
        <v>2125</v>
      </c>
      <c r="AS2023" s="24" t="s">
        <v>177</v>
      </c>
      <c r="AT2023" s="245" t="s">
        <v>2040</v>
      </c>
      <c r="AU2023" s="245"/>
      <c r="AW2023" s="245" t="s">
        <v>119</v>
      </c>
      <c r="AX2023" s="245">
        <v>4</v>
      </c>
      <c r="AY2023" s="245">
        <v>4</v>
      </c>
      <c r="AZ2023" s="245" t="s">
        <v>141</v>
      </c>
      <c r="BA2023" s="245"/>
      <c r="BB2023" s="245">
        <v>2313</v>
      </c>
      <c r="BC2023" s="245">
        <v>13.8</v>
      </c>
      <c r="BD2023" s="245"/>
      <c r="BE2023" s="245" t="s">
        <v>2110</v>
      </c>
      <c r="BK2023" s="245">
        <v>20000</v>
      </c>
      <c r="BL2023" s="245">
        <v>40200</v>
      </c>
      <c r="BM2023" s="245"/>
      <c r="BP2023" s="437">
        <v>1.5295300000000001</v>
      </c>
      <c r="BQ2023" s="437">
        <v>1.505692</v>
      </c>
      <c r="BU2023" s="395">
        <f t="shared" si="290"/>
        <v>0.36460814618063081</v>
      </c>
      <c r="BV2023" s="395">
        <f t="shared" si="291"/>
        <v>0.3997511000293662</v>
      </c>
      <c r="BZ2023" s="437">
        <v>16.600000000000001</v>
      </c>
      <c r="CA2023" s="437">
        <v>18.2</v>
      </c>
      <c r="CD2023" s="24" t="s">
        <v>2114</v>
      </c>
      <c r="CE2023" s="548">
        <v>16.600000000000001</v>
      </c>
      <c r="CF2023" s="548">
        <v>18.2</v>
      </c>
      <c r="CG2023" s="548"/>
      <c r="CH2023" s="548"/>
      <c r="CI2023" s="24" t="s">
        <v>4551</v>
      </c>
      <c r="CJ2023" s="24">
        <v>1.29</v>
      </c>
      <c r="CK2023" s="24">
        <v>1.46</v>
      </c>
      <c r="CN2023" s="24" t="s">
        <v>2096</v>
      </c>
      <c r="DS2023" s="24">
        <v>1.7</v>
      </c>
      <c r="DT2023" s="24">
        <v>1.71</v>
      </c>
      <c r="DW2023" s="24" t="s">
        <v>2097</v>
      </c>
      <c r="HE2023" s="24">
        <v>283</v>
      </c>
      <c r="HF2023" s="24">
        <v>420</v>
      </c>
      <c r="HI2023" s="24" t="s">
        <v>2099</v>
      </c>
      <c r="HJ2023" s="24">
        <v>51</v>
      </c>
      <c r="HK2023" s="24">
        <v>60</v>
      </c>
      <c r="HN2023" s="24" t="s">
        <v>2100</v>
      </c>
      <c r="IN2023" s="24">
        <v>1298</v>
      </c>
      <c r="IO2023" s="24">
        <v>1469</v>
      </c>
      <c r="IS2023" s="24">
        <v>72</v>
      </c>
      <c r="IT2023" s="24">
        <v>109</v>
      </c>
      <c r="JB2023" s="245" t="s">
        <v>2084</v>
      </c>
      <c r="JC2023" s="245" t="s">
        <v>2098</v>
      </c>
      <c r="JD2023" s="249"/>
    </row>
    <row r="2024" spans="1:264" s="24" customFormat="1" x14ac:dyDescent="0.25">
      <c r="A2024" s="244">
        <v>92</v>
      </c>
      <c r="B2024" s="543" t="s">
        <v>4172</v>
      </c>
      <c r="C2024" s="245" t="s">
        <v>768</v>
      </c>
      <c r="D2024" s="245" t="s">
        <v>2118</v>
      </c>
      <c r="E2024" s="245">
        <v>2003</v>
      </c>
      <c r="F2024" s="245">
        <v>1996</v>
      </c>
      <c r="G2024" s="245" t="s">
        <v>2045</v>
      </c>
      <c r="H2024" s="245" t="s">
        <v>2044</v>
      </c>
      <c r="I2024" s="245" t="s">
        <v>2815</v>
      </c>
      <c r="J2024" s="245">
        <v>32.56</v>
      </c>
      <c r="K2024" s="245">
        <v>-83.9</v>
      </c>
      <c r="L2024" s="245">
        <v>16</v>
      </c>
      <c r="M2024" s="245">
        <v>18.100000000000001</v>
      </c>
      <c r="N2024" s="245"/>
      <c r="O2024" s="245">
        <v>1258</v>
      </c>
      <c r="P2024" s="245"/>
      <c r="Q2024" s="245"/>
      <c r="R2024" s="245">
        <v>3</v>
      </c>
      <c r="S2024" s="246" t="s">
        <v>1734</v>
      </c>
      <c r="U2024" s="246" t="s">
        <v>2113</v>
      </c>
      <c r="V2024" s="245" t="s">
        <v>1389</v>
      </c>
      <c r="W2024" s="247">
        <v>30</v>
      </c>
      <c r="X2024" s="245" t="s">
        <v>1389</v>
      </c>
      <c r="Y2024" s="245" t="s">
        <v>1389</v>
      </c>
      <c r="Z2024" s="248">
        <f>AVERAGE(Sheet1!BP2024:BQ2024)</f>
        <v>1.5189159999999999</v>
      </c>
      <c r="AA2024" s="367">
        <v>65</v>
      </c>
      <c r="AB2024" s="367">
        <v>20</v>
      </c>
      <c r="AC2024" s="245" t="s">
        <v>240</v>
      </c>
      <c r="AD2024" s="245"/>
      <c r="AE2024" s="245"/>
      <c r="AF2024" s="245"/>
      <c r="AG2024" s="245" t="s">
        <v>2043</v>
      </c>
      <c r="AH2024" s="245" t="s">
        <v>2042</v>
      </c>
      <c r="AI2024" s="245" t="s">
        <v>577</v>
      </c>
      <c r="AJ2024" s="245" t="s">
        <v>2041</v>
      </c>
      <c r="AK2024" s="245" t="s">
        <v>229</v>
      </c>
      <c r="AL2024" s="245"/>
      <c r="AM2024" s="245"/>
      <c r="AN2024" s="245"/>
      <c r="AO2024" s="245" t="s">
        <v>2018</v>
      </c>
      <c r="AP2024" s="245" t="s">
        <v>2018</v>
      </c>
      <c r="AQ2024" s="245" t="s">
        <v>2125</v>
      </c>
      <c r="AR2024" s="245" t="s">
        <v>2125</v>
      </c>
      <c r="AS2024" s="24" t="s">
        <v>177</v>
      </c>
      <c r="AT2024" s="245" t="s">
        <v>2040</v>
      </c>
      <c r="AU2024" s="245"/>
      <c r="AW2024" s="245" t="s">
        <v>119</v>
      </c>
      <c r="AX2024" s="245">
        <v>4</v>
      </c>
      <c r="AY2024" s="245">
        <v>4</v>
      </c>
      <c r="AZ2024" s="245" t="s">
        <v>141</v>
      </c>
      <c r="BA2024" s="245"/>
      <c r="BB2024" s="245">
        <v>2863</v>
      </c>
      <c r="BC2024" s="245">
        <v>19.600000000000001</v>
      </c>
      <c r="BD2024" s="245"/>
      <c r="BE2024" s="245" t="s">
        <v>2110</v>
      </c>
      <c r="BK2024" s="245">
        <v>20000</v>
      </c>
      <c r="BL2024" s="245">
        <v>40900</v>
      </c>
      <c r="BM2024" s="245"/>
      <c r="BP2024" s="437">
        <v>1.5295300000000001</v>
      </c>
      <c r="BQ2024" s="437">
        <v>1.508302</v>
      </c>
      <c r="BU2024" s="395">
        <f t="shared" si="290"/>
        <v>0.36429488749432715</v>
      </c>
      <c r="BV2024" s="395">
        <f t="shared" si="291"/>
        <v>0.39721310021971812</v>
      </c>
      <c r="BZ2024" s="437">
        <v>16.600000000000001</v>
      </c>
      <c r="CA2024" s="437">
        <v>18.100000000000001</v>
      </c>
      <c r="CD2024" s="24" t="s">
        <v>2114</v>
      </c>
      <c r="CE2024" s="548">
        <v>16.600000000000001</v>
      </c>
      <c r="CF2024" s="548">
        <v>18.100000000000001</v>
      </c>
      <c r="CG2024" s="548"/>
      <c r="CH2024" s="548"/>
      <c r="CI2024" s="24" t="s">
        <v>4551</v>
      </c>
      <c r="CJ2024" s="24">
        <v>1.29</v>
      </c>
      <c r="CK2024" s="24">
        <v>1.33</v>
      </c>
      <c r="CN2024" s="24" t="s">
        <v>2096</v>
      </c>
      <c r="DS2024" s="24">
        <v>1.7</v>
      </c>
      <c r="DT2024" s="24">
        <v>1.66</v>
      </c>
      <c r="DW2024" s="24" t="s">
        <v>2097</v>
      </c>
      <c r="HE2024" s="24">
        <v>283</v>
      </c>
      <c r="HF2024" s="24">
        <v>575</v>
      </c>
      <c r="HI2024" s="24" t="s">
        <v>2099</v>
      </c>
      <c r="HJ2024" s="24">
        <v>51</v>
      </c>
      <c r="HK2024" s="24">
        <v>54</v>
      </c>
      <c r="HN2024" s="24" t="s">
        <v>2100</v>
      </c>
      <c r="IN2024" s="24">
        <v>1298</v>
      </c>
      <c r="IO2024" s="24">
        <v>1530</v>
      </c>
      <c r="IS2024" s="24">
        <v>72</v>
      </c>
      <c r="IT2024" s="24">
        <v>106</v>
      </c>
      <c r="JB2024" s="245" t="s">
        <v>2084</v>
      </c>
      <c r="JC2024" s="245" t="s">
        <v>2098</v>
      </c>
      <c r="JD2024" s="249"/>
    </row>
    <row r="2025" spans="1:264" s="101" customFormat="1" x14ac:dyDescent="0.25">
      <c r="A2025" s="233">
        <v>92</v>
      </c>
      <c r="B2025" s="543" t="s">
        <v>4157</v>
      </c>
      <c r="C2025" s="234" t="s">
        <v>768</v>
      </c>
      <c r="D2025" s="234" t="s">
        <v>2118</v>
      </c>
      <c r="E2025" s="234">
        <v>2003</v>
      </c>
      <c r="F2025" s="234">
        <v>1997</v>
      </c>
      <c r="G2025" s="234" t="s">
        <v>2045</v>
      </c>
      <c r="H2025" s="234" t="s">
        <v>2044</v>
      </c>
      <c r="I2025" s="245" t="s">
        <v>2815</v>
      </c>
      <c r="J2025" s="234">
        <v>32.56</v>
      </c>
      <c r="K2025" s="234">
        <v>-83.9</v>
      </c>
      <c r="L2025" s="234">
        <v>16</v>
      </c>
      <c r="M2025" s="234">
        <v>18.100000000000001</v>
      </c>
      <c r="N2025" s="234"/>
      <c r="O2025" s="234">
        <v>1258</v>
      </c>
      <c r="P2025" s="234"/>
      <c r="Q2025" s="234"/>
      <c r="R2025" s="234">
        <v>4</v>
      </c>
      <c r="S2025" s="235" t="s">
        <v>1734</v>
      </c>
      <c r="U2025" s="235" t="s">
        <v>2113</v>
      </c>
      <c r="V2025" s="234" t="s">
        <v>1389</v>
      </c>
      <c r="W2025" s="236">
        <v>30</v>
      </c>
      <c r="X2025" s="234" t="s">
        <v>1389</v>
      </c>
      <c r="Y2025" s="234" t="s">
        <v>1389</v>
      </c>
      <c r="Z2025" s="237">
        <v>1.5152619999999999</v>
      </c>
      <c r="AA2025" s="368">
        <v>65</v>
      </c>
      <c r="AB2025" s="368">
        <v>20</v>
      </c>
      <c r="AC2025" s="234" t="s">
        <v>240</v>
      </c>
      <c r="AD2025" s="234"/>
      <c r="AE2025" s="234"/>
      <c r="AF2025" s="234"/>
      <c r="AG2025" s="234" t="s">
        <v>2043</v>
      </c>
      <c r="AH2025" s="234" t="s">
        <v>1753</v>
      </c>
      <c r="AI2025" s="234" t="s">
        <v>131</v>
      </c>
      <c r="AJ2025" s="234" t="s">
        <v>2041</v>
      </c>
      <c r="AK2025" s="245" t="s">
        <v>229</v>
      </c>
      <c r="AL2025" s="234"/>
      <c r="AM2025" s="234"/>
      <c r="AN2025" s="234"/>
      <c r="AO2025" s="234" t="s">
        <v>2018</v>
      </c>
      <c r="AP2025" s="234" t="s">
        <v>2018</v>
      </c>
      <c r="AQ2025" s="245" t="s">
        <v>2125</v>
      </c>
      <c r="AR2025" s="245" t="s">
        <v>2125</v>
      </c>
      <c r="AS2025" s="24" t="s">
        <v>177</v>
      </c>
      <c r="AT2025" s="234" t="s">
        <v>2040</v>
      </c>
      <c r="AU2025" s="234"/>
      <c r="AW2025" s="245" t="s">
        <v>119</v>
      </c>
      <c r="AX2025" s="234">
        <v>4</v>
      </c>
      <c r="AY2025" s="234">
        <v>4</v>
      </c>
      <c r="AZ2025" s="234" t="s">
        <v>141</v>
      </c>
      <c r="BA2025" s="234"/>
      <c r="BB2025" s="234">
        <v>3020</v>
      </c>
      <c r="BC2025" s="234">
        <v>25.3</v>
      </c>
      <c r="BD2025" s="234"/>
      <c r="BE2025" s="245" t="s">
        <v>2110</v>
      </c>
      <c r="BK2025" s="234">
        <v>17300</v>
      </c>
      <c r="BL2025" s="234">
        <v>13600</v>
      </c>
      <c r="BM2025" s="234"/>
      <c r="BP2025" s="444"/>
      <c r="BQ2025" s="444"/>
      <c r="BU2025" s="395">
        <f t="shared" si="290"/>
        <v>0.3585738527946542</v>
      </c>
      <c r="BV2025" s="395">
        <f t="shared" si="291"/>
        <v>0.40697032372399405</v>
      </c>
      <c r="BZ2025" s="445">
        <v>16.3</v>
      </c>
      <c r="CA2025" s="444">
        <v>18.5</v>
      </c>
      <c r="CD2025" s="24" t="s">
        <v>2114</v>
      </c>
      <c r="CE2025" s="580">
        <v>16.3</v>
      </c>
      <c r="CF2025" s="580">
        <v>18.5</v>
      </c>
      <c r="CG2025" s="580"/>
      <c r="CH2025" s="580"/>
      <c r="CI2025" s="24" t="s">
        <v>4551</v>
      </c>
      <c r="CJ2025" s="101">
        <v>1.28</v>
      </c>
      <c r="CK2025" s="101">
        <v>1.43</v>
      </c>
      <c r="CN2025" s="175" t="s">
        <v>2096</v>
      </c>
      <c r="DW2025" s="175"/>
      <c r="JB2025" s="234" t="s">
        <v>2084</v>
      </c>
      <c r="JC2025" s="231" t="s">
        <v>2098</v>
      </c>
      <c r="JD2025" s="177"/>
    </row>
    <row r="2026" spans="1:264" s="101" customFormat="1" x14ac:dyDescent="0.25">
      <c r="A2026" s="233">
        <v>92</v>
      </c>
      <c r="B2026" s="543" t="s">
        <v>4172</v>
      </c>
      <c r="C2026" s="234" t="s">
        <v>768</v>
      </c>
      <c r="D2026" s="234" t="s">
        <v>2118</v>
      </c>
      <c r="E2026" s="234">
        <v>2003</v>
      </c>
      <c r="F2026" s="234">
        <v>1997</v>
      </c>
      <c r="G2026" s="234" t="s">
        <v>2045</v>
      </c>
      <c r="H2026" s="234" t="s">
        <v>2044</v>
      </c>
      <c r="I2026" s="245" t="s">
        <v>2815</v>
      </c>
      <c r="J2026" s="234">
        <v>32.56</v>
      </c>
      <c r="K2026" s="234">
        <v>-83.9</v>
      </c>
      <c r="L2026" s="234">
        <v>16</v>
      </c>
      <c r="M2026" s="234">
        <v>18.100000000000001</v>
      </c>
      <c r="N2026" s="234"/>
      <c r="O2026" s="234">
        <v>1258</v>
      </c>
      <c r="P2026" s="234"/>
      <c r="Q2026" s="234"/>
      <c r="R2026" s="234">
        <v>4</v>
      </c>
      <c r="S2026" s="235" t="s">
        <v>1734</v>
      </c>
      <c r="U2026" s="235" t="s">
        <v>2113</v>
      </c>
      <c r="V2026" s="234" t="s">
        <v>1389</v>
      </c>
      <c r="W2026" s="236">
        <v>30</v>
      </c>
      <c r="X2026" s="234" t="s">
        <v>1389</v>
      </c>
      <c r="Y2026" s="234" t="s">
        <v>1389</v>
      </c>
      <c r="Z2026" s="237">
        <v>1.517611</v>
      </c>
      <c r="AA2026" s="368">
        <v>65</v>
      </c>
      <c r="AB2026" s="368">
        <v>20</v>
      </c>
      <c r="AC2026" s="234" t="s">
        <v>240</v>
      </c>
      <c r="AD2026" s="234"/>
      <c r="AE2026" s="234"/>
      <c r="AF2026" s="234"/>
      <c r="AG2026" s="234" t="s">
        <v>2043</v>
      </c>
      <c r="AH2026" s="234" t="s">
        <v>2033</v>
      </c>
      <c r="AI2026" s="234" t="s">
        <v>577</v>
      </c>
      <c r="AJ2026" s="234" t="s">
        <v>2041</v>
      </c>
      <c r="AK2026" s="245" t="s">
        <v>229</v>
      </c>
      <c r="AL2026" s="234"/>
      <c r="AM2026" s="234"/>
      <c r="AN2026" s="234"/>
      <c r="AO2026" s="234" t="s">
        <v>2018</v>
      </c>
      <c r="AP2026" s="234" t="s">
        <v>2018</v>
      </c>
      <c r="AQ2026" s="245" t="s">
        <v>2125</v>
      </c>
      <c r="AR2026" s="245" t="s">
        <v>2125</v>
      </c>
      <c r="AS2026" s="24" t="s">
        <v>177</v>
      </c>
      <c r="AT2026" s="234" t="s">
        <v>2040</v>
      </c>
      <c r="AU2026" s="234"/>
      <c r="AW2026" s="245" t="s">
        <v>119</v>
      </c>
      <c r="AX2026" s="234">
        <v>4</v>
      </c>
      <c r="AY2026" s="234">
        <v>4</v>
      </c>
      <c r="AZ2026" s="234" t="s">
        <v>141</v>
      </c>
      <c r="BA2026" s="234"/>
      <c r="BB2026" s="234">
        <v>1911</v>
      </c>
      <c r="BC2026" s="234">
        <v>9.1999999999999993</v>
      </c>
      <c r="BD2026" s="234"/>
      <c r="BE2026" s="245" t="s">
        <v>2110</v>
      </c>
      <c r="BK2026" s="234">
        <v>17300</v>
      </c>
      <c r="BL2026" s="234">
        <v>31500</v>
      </c>
      <c r="BM2026" s="234"/>
      <c r="BP2026" s="444"/>
      <c r="BQ2026" s="444"/>
      <c r="BU2026" s="395">
        <f t="shared" si="290"/>
        <v>0.35801884233399284</v>
      </c>
      <c r="BV2026" s="395">
        <f t="shared" si="291"/>
        <v>0.38657249233609042</v>
      </c>
      <c r="BZ2026" s="445">
        <v>16.3</v>
      </c>
      <c r="CA2026" s="444">
        <v>17.600000000000001</v>
      </c>
      <c r="CD2026" s="24" t="s">
        <v>2114</v>
      </c>
      <c r="CE2026" s="580">
        <v>16.3</v>
      </c>
      <c r="CF2026" s="580">
        <v>17.600000000000001</v>
      </c>
      <c r="CG2026" s="580"/>
      <c r="CH2026" s="580"/>
      <c r="CI2026" s="24" t="s">
        <v>4551</v>
      </c>
      <c r="CJ2026" s="101">
        <v>1.28</v>
      </c>
      <c r="CK2026" s="101">
        <v>1.38</v>
      </c>
      <c r="CN2026" s="175" t="s">
        <v>2096</v>
      </c>
      <c r="JB2026" s="234" t="s">
        <v>2084</v>
      </c>
      <c r="JC2026" s="231" t="s">
        <v>2098</v>
      </c>
      <c r="JD2026" s="177"/>
    </row>
    <row r="2027" spans="1:264" s="101" customFormat="1" x14ac:dyDescent="0.25">
      <c r="A2027" s="233">
        <v>92</v>
      </c>
      <c r="B2027" s="543" t="s">
        <v>4172</v>
      </c>
      <c r="C2027" s="234" t="s">
        <v>768</v>
      </c>
      <c r="D2027" s="234" t="s">
        <v>2118</v>
      </c>
      <c r="E2027" s="234">
        <v>2003</v>
      </c>
      <c r="F2027" s="234">
        <v>1997</v>
      </c>
      <c r="G2027" s="234" t="s">
        <v>2045</v>
      </c>
      <c r="H2027" s="234" t="s">
        <v>2044</v>
      </c>
      <c r="I2027" s="245" t="s">
        <v>2815</v>
      </c>
      <c r="J2027" s="234">
        <v>32.56</v>
      </c>
      <c r="K2027" s="234">
        <v>-83.9</v>
      </c>
      <c r="L2027" s="234">
        <v>16</v>
      </c>
      <c r="M2027" s="234">
        <v>18.100000000000001</v>
      </c>
      <c r="N2027" s="234"/>
      <c r="O2027" s="234">
        <v>1258</v>
      </c>
      <c r="P2027" s="234"/>
      <c r="Q2027" s="234"/>
      <c r="R2027" s="234">
        <v>4</v>
      </c>
      <c r="S2027" s="235" t="s">
        <v>1734</v>
      </c>
      <c r="U2027" s="235" t="s">
        <v>2113</v>
      </c>
      <c r="V2027" s="234" t="s">
        <v>1389</v>
      </c>
      <c r="W2027" s="236">
        <v>30</v>
      </c>
      <c r="X2027" s="234" t="s">
        <v>1389</v>
      </c>
      <c r="Y2027" s="234" t="s">
        <v>1389</v>
      </c>
      <c r="Z2027" s="237">
        <v>1.5189159999999999</v>
      </c>
      <c r="AA2027" s="368">
        <v>65</v>
      </c>
      <c r="AB2027" s="368">
        <v>20</v>
      </c>
      <c r="AC2027" s="234" t="s">
        <v>240</v>
      </c>
      <c r="AD2027" s="234"/>
      <c r="AE2027" s="234"/>
      <c r="AF2027" s="234"/>
      <c r="AG2027" s="234" t="s">
        <v>2043</v>
      </c>
      <c r="AH2027" s="234" t="s">
        <v>2042</v>
      </c>
      <c r="AI2027" s="234" t="s">
        <v>577</v>
      </c>
      <c r="AJ2027" s="234" t="s">
        <v>2041</v>
      </c>
      <c r="AK2027" s="245" t="s">
        <v>229</v>
      </c>
      <c r="AL2027" s="234"/>
      <c r="AM2027" s="234"/>
      <c r="AN2027" s="234"/>
      <c r="AO2027" s="234" t="s">
        <v>2018</v>
      </c>
      <c r="AP2027" s="234" t="s">
        <v>2018</v>
      </c>
      <c r="AQ2027" s="245" t="s">
        <v>2125</v>
      </c>
      <c r="AR2027" s="245" t="s">
        <v>2125</v>
      </c>
      <c r="AS2027" s="24" t="s">
        <v>177</v>
      </c>
      <c r="AT2027" s="234" t="s">
        <v>2040</v>
      </c>
      <c r="AU2027" s="234"/>
      <c r="AW2027" s="245" t="s">
        <v>119</v>
      </c>
      <c r="AX2027" s="234">
        <v>4</v>
      </c>
      <c r="AY2027" s="234">
        <v>4</v>
      </c>
      <c r="AZ2027" s="234" t="s">
        <v>141</v>
      </c>
      <c r="BA2027" s="234"/>
      <c r="BB2027" s="234">
        <v>2663</v>
      </c>
      <c r="BC2027" s="234">
        <v>12.3</v>
      </c>
      <c r="BD2027" s="234"/>
      <c r="BE2027" s="245" t="s">
        <v>2110</v>
      </c>
      <c r="BK2027" s="234">
        <v>17300</v>
      </c>
      <c r="BL2027" s="234">
        <v>30000</v>
      </c>
      <c r="BM2027" s="234"/>
      <c r="BP2027" s="444"/>
      <c r="BQ2027" s="444"/>
      <c r="BU2027" s="395">
        <f t="shared" si="290"/>
        <v>0.35771124494924894</v>
      </c>
      <c r="BV2027" s="395">
        <f t="shared" si="291"/>
        <v>0.37307307755443136</v>
      </c>
      <c r="BZ2027" s="445">
        <v>16.3</v>
      </c>
      <c r="CA2027" s="444">
        <v>17</v>
      </c>
      <c r="CD2027" s="24" t="s">
        <v>2114</v>
      </c>
      <c r="CE2027" s="580">
        <v>16.3</v>
      </c>
      <c r="CF2027" s="580">
        <v>17</v>
      </c>
      <c r="CG2027" s="580"/>
      <c r="CH2027" s="580"/>
      <c r="CI2027" s="24" t="s">
        <v>4551</v>
      </c>
      <c r="CJ2027" s="101">
        <v>1.28</v>
      </c>
      <c r="CK2027" s="101">
        <v>1.36</v>
      </c>
      <c r="CN2027" s="175" t="s">
        <v>2096</v>
      </c>
      <c r="JB2027" s="234" t="s">
        <v>2084</v>
      </c>
      <c r="JC2027" s="231" t="s">
        <v>2098</v>
      </c>
      <c r="JD2027" s="177"/>
    </row>
    <row r="2028" spans="1:264" s="175" customFormat="1" x14ac:dyDescent="0.25">
      <c r="A2028" s="300">
        <v>92</v>
      </c>
      <c r="B2028" s="543" t="s">
        <v>4157</v>
      </c>
      <c r="C2028" s="231" t="s">
        <v>768</v>
      </c>
      <c r="D2028" s="231" t="s">
        <v>2118</v>
      </c>
      <c r="E2028" s="231">
        <v>2003</v>
      </c>
      <c r="F2028" s="231">
        <v>1998</v>
      </c>
      <c r="G2028" s="231" t="s">
        <v>2045</v>
      </c>
      <c r="H2028" s="231" t="s">
        <v>2044</v>
      </c>
      <c r="I2028" s="245" t="s">
        <v>2815</v>
      </c>
      <c r="J2028" s="231">
        <v>32.56</v>
      </c>
      <c r="K2028" s="231">
        <v>-83.9</v>
      </c>
      <c r="L2028" s="231">
        <v>16</v>
      </c>
      <c r="M2028" s="231">
        <v>18.100000000000001</v>
      </c>
      <c r="N2028" s="231"/>
      <c r="O2028" s="231">
        <v>1258</v>
      </c>
      <c r="P2028" s="231"/>
      <c r="Q2028" s="231"/>
      <c r="R2028" s="231">
        <v>5</v>
      </c>
      <c r="S2028" s="301" t="s">
        <v>1734</v>
      </c>
      <c r="U2028" s="301" t="s">
        <v>2113</v>
      </c>
      <c r="V2028" s="231" t="s">
        <v>1389</v>
      </c>
      <c r="W2028" s="302">
        <v>30</v>
      </c>
      <c r="X2028" s="231" t="s">
        <v>1389</v>
      </c>
      <c r="Y2028" s="231" t="s">
        <v>1389</v>
      </c>
      <c r="Z2028" s="232">
        <v>1.5152619999999999</v>
      </c>
      <c r="AA2028" s="369">
        <v>65</v>
      </c>
      <c r="AB2028" s="369">
        <v>20</v>
      </c>
      <c r="AC2028" s="231" t="s">
        <v>240</v>
      </c>
      <c r="AD2028" s="231"/>
      <c r="AE2028" s="231"/>
      <c r="AF2028" s="231"/>
      <c r="AG2028" s="231" t="s">
        <v>2043</v>
      </c>
      <c r="AH2028" s="231" t="s">
        <v>1753</v>
      </c>
      <c r="AI2028" s="231" t="s">
        <v>131</v>
      </c>
      <c r="AJ2028" s="231" t="s">
        <v>2041</v>
      </c>
      <c r="AK2028" s="245" t="s">
        <v>229</v>
      </c>
      <c r="AL2028" s="231"/>
      <c r="AM2028" s="231"/>
      <c r="AN2028" s="231"/>
      <c r="AO2028" s="231" t="s">
        <v>2018</v>
      </c>
      <c r="AP2028" s="231" t="s">
        <v>2018</v>
      </c>
      <c r="AQ2028" s="245" t="s">
        <v>2125</v>
      </c>
      <c r="AR2028" s="245" t="s">
        <v>2125</v>
      </c>
      <c r="AS2028" s="24" t="s">
        <v>177</v>
      </c>
      <c r="AT2028" s="231" t="s">
        <v>2040</v>
      </c>
      <c r="AU2028" s="231"/>
      <c r="AW2028" s="231" t="s">
        <v>119</v>
      </c>
      <c r="AX2028" s="231">
        <v>4</v>
      </c>
      <c r="AY2028" s="231">
        <v>4</v>
      </c>
      <c r="AZ2028" s="231" t="s">
        <v>141</v>
      </c>
      <c r="BA2028" s="231"/>
      <c r="BB2028" s="231"/>
      <c r="BC2028" s="231"/>
      <c r="BD2028" s="231"/>
      <c r="BE2028" s="231" t="s">
        <v>2110</v>
      </c>
      <c r="BK2028" s="231"/>
      <c r="BL2028" s="231"/>
      <c r="BM2028" s="231"/>
      <c r="BP2028" s="445"/>
      <c r="BQ2028" s="445"/>
      <c r="BU2028" s="395">
        <f t="shared" si="290"/>
        <v>0.35417417361925968</v>
      </c>
      <c r="BV2028" s="395">
        <f t="shared" si="291"/>
        <v>0.40257064454859948</v>
      </c>
      <c r="BZ2028" s="445">
        <v>16.100000000000001</v>
      </c>
      <c r="CA2028" s="445">
        <v>18.3</v>
      </c>
      <c r="CD2028" s="24" t="s">
        <v>2114</v>
      </c>
      <c r="CE2028" s="591">
        <v>16.100000000000001</v>
      </c>
      <c r="CF2028" s="591">
        <v>18.3</v>
      </c>
      <c r="CG2028" s="591"/>
      <c r="CH2028" s="591"/>
      <c r="CI2028" s="24" t="s">
        <v>4551</v>
      </c>
      <c r="CJ2028" s="175">
        <v>1.28</v>
      </c>
      <c r="CK2028" s="175">
        <v>1.44</v>
      </c>
      <c r="CN2028" s="175" t="s">
        <v>2096</v>
      </c>
      <c r="JB2028" s="231" t="s">
        <v>2084</v>
      </c>
      <c r="JC2028" s="231" t="s">
        <v>2098</v>
      </c>
      <c r="JD2028" s="303"/>
    </row>
    <row r="2029" spans="1:264" s="175" customFormat="1" x14ac:dyDescent="0.25">
      <c r="A2029" s="300">
        <v>92</v>
      </c>
      <c r="B2029" s="543" t="s">
        <v>4172</v>
      </c>
      <c r="C2029" s="231" t="s">
        <v>768</v>
      </c>
      <c r="D2029" s="231" t="s">
        <v>2118</v>
      </c>
      <c r="E2029" s="231">
        <v>2003</v>
      </c>
      <c r="F2029" s="231">
        <v>1998</v>
      </c>
      <c r="G2029" s="231" t="s">
        <v>2045</v>
      </c>
      <c r="H2029" s="231" t="s">
        <v>2044</v>
      </c>
      <c r="I2029" s="245" t="s">
        <v>2815</v>
      </c>
      <c r="J2029" s="231">
        <v>32.56</v>
      </c>
      <c r="K2029" s="231">
        <v>-83.9</v>
      </c>
      <c r="L2029" s="231">
        <v>16</v>
      </c>
      <c r="M2029" s="231">
        <v>18.100000000000001</v>
      </c>
      <c r="N2029" s="231"/>
      <c r="O2029" s="231">
        <v>1258</v>
      </c>
      <c r="P2029" s="231"/>
      <c r="Q2029" s="231"/>
      <c r="R2029" s="231">
        <v>5</v>
      </c>
      <c r="S2029" s="301" t="s">
        <v>1734</v>
      </c>
      <c r="U2029" s="301" t="s">
        <v>2113</v>
      </c>
      <c r="V2029" s="231" t="s">
        <v>1389</v>
      </c>
      <c r="W2029" s="302">
        <v>30</v>
      </c>
      <c r="X2029" s="231" t="s">
        <v>1389</v>
      </c>
      <c r="Y2029" s="231" t="s">
        <v>1389</v>
      </c>
      <c r="Z2029" s="232">
        <v>1.517611</v>
      </c>
      <c r="AA2029" s="369">
        <v>65</v>
      </c>
      <c r="AB2029" s="369">
        <v>20</v>
      </c>
      <c r="AC2029" s="231" t="s">
        <v>240</v>
      </c>
      <c r="AD2029" s="231"/>
      <c r="AE2029" s="231"/>
      <c r="AF2029" s="231"/>
      <c r="AG2029" s="231" t="s">
        <v>2043</v>
      </c>
      <c r="AH2029" s="231" t="s">
        <v>2033</v>
      </c>
      <c r="AI2029" s="231" t="s">
        <v>577</v>
      </c>
      <c r="AJ2029" s="231" t="s">
        <v>2041</v>
      </c>
      <c r="AK2029" s="245" t="s">
        <v>229</v>
      </c>
      <c r="AL2029" s="231"/>
      <c r="AM2029" s="231"/>
      <c r="AN2029" s="231"/>
      <c r="AO2029" s="231" t="s">
        <v>2018</v>
      </c>
      <c r="AP2029" s="231" t="s">
        <v>2018</v>
      </c>
      <c r="AQ2029" s="245" t="s">
        <v>2125</v>
      </c>
      <c r="AR2029" s="245" t="s">
        <v>2125</v>
      </c>
      <c r="AS2029" s="24" t="s">
        <v>177</v>
      </c>
      <c r="AT2029" s="231" t="s">
        <v>2040</v>
      </c>
      <c r="AU2029" s="231"/>
      <c r="AW2029" s="231" t="s">
        <v>119</v>
      </c>
      <c r="AX2029" s="231">
        <v>4</v>
      </c>
      <c r="AY2029" s="231">
        <v>4</v>
      </c>
      <c r="AZ2029" s="231" t="s">
        <v>141</v>
      </c>
      <c r="BA2029" s="231"/>
      <c r="BB2029" s="231"/>
      <c r="BC2029" s="231"/>
      <c r="BD2029" s="231"/>
      <c r="BE2029" s="231" t="s">
        <v>2110</v>
      </c>
      <c r="BK2029" s="231"/>
      <c r="BL2029" s="231"/>
      <c r="BM2029" s="231"/>
      <c r="BP2029" s="445"/>
      <c r="BQ2029" s="445"/>
      <c r="BU2029" s="395">
        <f t="shared" si="290"/>
        <v>0.35362597310290095</v>
      </c>
      <c r="BV2029" s="395">
        <f t="shared" si="291"/>
        <v>0.37998318848945251</v>
      </c>
      <c r="BZ2029" s="445">
        <v>16.100000000000001</v>
      </c>
      <c r="CA2029" s="445">
        <v>17.3</v>
      </c>
      <c r="CD2029" s="24" t="s">
        <v>2114</v>
      </c>
      <c r="CE2029" s="591">
        <v>16.100000000000001</v>
      </c>
      <c r="CF2029" s="591">
        <v>17.3</v>
      </c>
      <c r="CG2029" s="591"/>
      <c r="CH2029" s="591"/>
      <c r="CI2029" s="24" t="s">
        <v>4551</v>
      </c>
      <c r="CJ2029" s="175">
        <v>1.28</v>
      </c>
      <c r="CK2029" s="175">
        <v>1.38</v>
      </c>
      <c r="CN2029" s="175" t="s">
        <v>2096</v>
      </c>
      <c r="JB2029" s="231" t="s">
        <v>2084</v>
      </c>
      <c r="JC2029" s="231" t="s">
        <v>2098</v>
      </c>
      <c r="JD2029" s="303"/>
    </row>
    <row r="2030" spans="1:264" s="175" customFormat="1" x14ac:dyDescent="0.25">
      <c r="A2030" s="300">
        <v>92</v>
      </c>
      <c r="B2030" s="543" t="s">
        <v>4172</v>
      </c>
      <c r="C2030" s="231" t="s">
        <v>768</v>
      </c>
      <c r="D2030" s="231" t="s">
        <v>2118</v>
      </c>
      <c r="E2030" s="231">
        <v>2003</v>
      </c>
      <c r="F2030" s="231">
        <v>1998</v>
      </c>
      <c r="G2030" s="231" t="s">
        <v>2045</v>
      </c>
      <c r="H2030" s="231" t="s">
        <v>2044</v>
      </c>
      <c r="I2030" s="245" t="s">
        <v>2815</v>
      </c>
      <c r="J2030" s="231">
        <v>32.56</v>
      </c>
      <c r="K2030" s="231">
        <v>-83.9</v>
      </c>
      <c r="L2030" s="231">
        <v>16</v>
      </c>
      <c r="M2030" s="231">
        <v>18.100000000000001</v>
      </c>
      <c r="N2030" s="231"/>
      <c r="O2030" s="231">
        <v>1258</v>
      </c>
      <c r="P2030" s="231"/>
      <c r="Q2030" s="231"/>
      <c r="R2030" s="231">
        <v>5</v>
      </c>
      <c r="S2030" s="301" t="s">
        <v>1734</v>
      </c>
      <c r="U2030" s="301" t="s">
        <v>2113</v>
      </c>
      <c r="V2030" s="231" t="s">
        <v>1389</v>
      </c>
      <c r="W2030" s="302">
        <v>30</v>
      </c>
      <c r="X2030" s="231" t="s">
        <v>1389</v>
      </c>
      <c r="Y2030" s="231" t="s">
        <v>1389</v>
      </c>
      <c r="Z2030" s="232">
        <v>1.5189159999999999</v>
      </c>
      <c r="AA2030" s="369">
        <v>65</v>
      </c>
      <c r="AB2030" s="369">
        <v>20</v>
      </c>
      <c r="AC2030" s="231" t="s">
        <v>240</v>
      </c>
      <c r="AD2030" s="231"/>
      <c r="AE2030" s="231"/>
      <c r="AF2030" s="231"/>
      <c r="AG2030" s="231" t="s">
        <v>2043</v>
      </c>
      <c r="AH2030" s="231" t="s">
        <v>2042</v>
      </c>
      <c r="AI2030" s="231" t="s">
        <v>577</v>
      </c>
      <c r="AJ2030" s="231" t="s">
        <v>2041</v>
      </c>
      <c r="AK2030" s="245" t="s">
        <v>229</v>
      </c>
      <c r="AL2030" s="231"/>
      <c r="AM2030" s="231"/>
      <c r="AN2030" s="231"/>
      <c r="AO2030" s="231" t="s">
        <v>2018</v>
      </c>
      <c r="AP2030" s="231" t="s">
        <v>2018</v>
      </c>
      <c r="AQ2030" s="245" t="s">
        <v>2125</v>
      </c>
      <c r="AR2030" s="245" t="s">
        <v>2125</v>
      </c>
      <c r="AS2030" s="24" t="s">
        <v>177</v>
      </c>
      <c r="AT2030" s="231" t="s">
        <v>2040</v>
      </c>
      <c r="AU2030" s="231"/>
      <c r="AW2030" s="231" t="s">
        <v>119</v>
      </c>
      <c r="AX2030" s="231">
        <v>4</v>
      </c>
      <c r="AY2030" s="231">
        <v>4</v>
      </c>
      <c r="AZ2030" s="231" t="s">
        <v>141</v>
      </c>
      <c r="BA2030" s="231"/>
      <c r="BB2030" s="231"/>
      <c r="BC2030" s="231"/>
      <c r="BD2030" s="231"/>
      <c r="BE2030" s="231" t="s">
        <v>2110</v>
      </c>
      <c r="BK2030" s="231"/>
      <c r="BL2030" s="231"/>
      <c r="BM2030" s="231"/>
      <c r="BP2030" s="445"/>
      <c r="BQ2030" s="445"/>
      <c r="BU2030" s="395">
        <f t="shared" si="290"/>
        <v>0.3533221499191968</v>
      </c>
      <c r="BV2030" s="395">
        <f t="shared" si="291"/>
        <v>0.38843491015961384</v>
      </c>
      <c r="BZ2030" s="445">
        <v>16.100000000000001</v>
      </c>
      <c r="CA2030" s="445">
        <v>17.7</v>
      </c>
      <c r="CD2030" s="24" t="s">
        <v>2114</v>
      </c>
      <c r="CE2030" s="591">
        <v>16.100000000000001</v>
      </c>
      <c r="CF2030" s="591">
        <v>17.7</v>
      </c>
      <c r="CG2030" s="591"/>
      <c r="CH2030" s="591"/>
      <c r="CI2030" s="24" t="s">
        <v>4551</v>
      </c>
      <c r="CJ2030" s="175">
        <v>1.28</v>
      </c>
      <c r="CK2030" s="175">
        <v>1.36</v>
      </c>
      <c r="CN2030" s="175" t="s">
        <v>2096</v>
      </c>
      <c r="JB2030" s="231" t="s">
        <v>2084</v>
      </c>
      <c r="JC2030" s="231" t="s">
        <v>2098</v>
      </c>
      <c r="JD2030" s="303"/>
    </row>
    <row r="2031" spans="1:264" s="24" customFormat="1" x14ac:dyDescent="0.25">
      <c r="A2031" s="244">
        <v>92</v>
      </c>
      <c r="B2031" s="543" t="s">
        <v>4157</v>
      </c>
      <c r="C2031" s="245" t="s">
        <v>768</v>
      </c>
      <c r="D2031" s="245" t="s">
        <v>2118</v>
      </c>
      <c r="E2031" s="245">
        <v>2003</v>
      </c>
      <c r="F2031" s="245">
        <v>1999</v>
      </c>
      <c r="G2031" s="245" t="s">
        <v>2045</v>
      </c>
      <c r="H2031" s="245" t="s">
        <v>2044</v>
      </c>
      <c r="I2031" s="245" t="s">
        <v>2815</v>
      </c>
      <c r="J2031" s="245">
        <v>32.56</v>
      </c>
      <c r="K2031" s="245">
        <v>-83.9</v>
      </c>
      <c r="L2031" s="245">
        <v>16</v>
      </c>
      <c r="M2031" s="245">
        <v>18.100000000000001</v>
      </c>
      <c r="N2031" s="245"/>
      <c r="O2031" s="245">
        <v>1258</v>
      </c>
      <c r="P2031" s="245"/>
      <c r="Q2031" s="245"/>
      <c r="R2031" s="245">
        <v>6</v>
      </c>
      <c r="S2031" s="246" t="s">
        <v>1734</v>
      </c>
      <c r="U2031" s="246" t="s">
        <v>2113</v>
      </c>
      <c r="V2031" s="245" t="s">
        <v>1389</v>
      </c>
      <c r="W2031" s="247">
        <v>30</v>
      </c>
      <c r="X2031" s="245" t="s">
        <v>1389</v>
      </c>
      <c r="Y2031" s="245" t="s">
        <v>1389</v>
      </c>
      <c r="Z2031" s="248">
        <v>1.5152619999999999</v>
      </c>
      <c r="AA2031" s="367">
        <v>65</v>
      </c>
      <c r="AB2031" s="367">
        <v>20</v>
      </c>
      <c r="AC2031" s="245" t="s">
        <v>240</v>
      </c>
      <c r="AD2031" s="245"/>
      <c r="AE2031" s="245"/>
      <c r="AF2031" s="245"/>
      <c r="AG2031" s="245" t="s">
        <v>2043</v>
      </c>
      <c r="AH2031" s="245" t="s">
        <v>1753</v>
      </c>
      <c r="AI2031" s="245" t="s">
        <v>131</v>
      </c>
      <c r="AJ2031" s="245" t="s">
        <v>2041</v>
      </c>
      <c r="AK2031" s="245" t="s">
        <v>229</v>
      </c>
      <c r="AL2031" s="245"/>
      <c r="AM2031" s="245"/>
      <c r="AN2031" s="245"/>
      <c r="AO2031" s="245" t="s">
        <v>2018</v>
      </c>
      <c r="AP2031" s="245" t="s">
        <v>2018</v>
      </c>
      <c r="AQ2031" s="245" t="s">
        <v>2125</v>
      </c>
      <c r="AR2031" s="245" t="s">
        <v>2125</v>
      </c>
      <c r="AS2031" s="24" t="s">
        <v>177</v>
      </c>
      <c r="AT2031" s="245" t="s">
        <v>2040</v>
      </c>
      <c r="AU2031" s="245"/>
      <c r="AW2031" s="245" t="s">
        <v>119</v>
      </c>
      <c r="AX2031" s="245">
        <v>4</v>
      </c>
      <c r="AY2031" s="245">
        <v>4</v>
      </c>
      <c r="AZ2031" s="245" t="s">
        <v>141</v>
      </c>
      <c r="BA2031" s="245"/>
      <c r="BB2031" s="245">
        <v>3704</v>
      </c>
      <c r="BC2031" s="245">
        <v>49.2</v>
      </c>
      <c r="BD2031" s="245"/>
      <c r="BE2031" s="245" t="s">
        <v>2110</v>
      </c>
      <c r="BK2031" s="245">
        <v>56100</v>
      </c>
      <c r="BL2031" s="245">
        <v>37000</v>
      </c>
      <c r="BM2031" s="245"/>
      <c r="BP2031" s="437"/>
      <c r="BQ2031" s="437"/>
      <c r="BU2031" s="395">
        <f t="shared" si="290"/>
        <v>0.34317497568077338</v>
      </c>
      <c r="BV2031" s="395">
        <f t="shared" si="291"/>
        <v>0.40697032372399405</v>
      </c>
      <c r="BZ2031" s="437">
        <v>15.6</v>
      </c>
      <c r="CA2031" s="437">
        <v>18.5</v>
      </c>
      <c r="CD2031" s="24" t="s">
        <v>2114</v>
      </c>
      <c r="CE2031" s="548">
        <v>15.6</v>
      </c>
      <c r="CF2031" s="548">
        <v>18.5</v>
      </c>
      <c r="CG2031" s="548"/>
      <c r="CH2031" s="548"/>
      <c r="CI2031" s="24" t="s">
        <v>4551</v>
      </c>
      <c r="CJ2031" s="24">
        <v>1.32</v>
      </c>
      <c r="CK2031" s="24">
        <v>1.45</v>
      </c>
      <c r="CN2031" s="24" t="s">
        <v>2096</v>
      </c>
      <c r="JB2031" s="245" t="s">
        <v>2084</v>
      </c>
      <c r="JC2031" s="245" t="s">
        <v>2098</v>
      </c>
      <c r="JD2031" s="249"/>
    </row>
    <row r="2032" spans="1:264" s="24" customFormat="1" x14ac:dyDescent="0.25">
      <c r="A2032" s="244">
        <v>92</v>
      </c>
      <c r="B2032" s="543" t="s">
        <v>4172</v>
      </c>
      <c r="C2032" s="245" t="s">
        <v>768</v>
      </c>
      <c r="D2032" s="245" t="s">
        <v>2118</v>
      </c>
      <c r="E2032" s="245">
        <v>2003</v>
      </c>
      <c r="F2032" s="245">
        <v>1999</v>
      </c>
      <c r="G2032" s="245" t="s">
        <v>2045</v>
      </c>
      <c r="H2032" s="245" t="s">
        <v>2044</v>
      </c>
      <c r="I2032" s="245" t="s">
        <v>2815</v>
      </c>
      <c r="J2032" s="245">
        <v>32.56</v>
      </c>
      <c r="K2032" s="245">
        <v>-83.9</v>
      </c>
      <c r="L2032" s="245">
        <v>16</v>
      </c>
      <c r="M2032" s="245">
        <v>18.100000000000001</v>
      </c>
      <c r="N2032" s="245"/>
      <c r="O2032" s="245">
        <v>1258</v>
      </c>
      <c r="P2032" s="245"/>
      <c r="Q2032" s="245"/>
      <c r="R2032" s="245">
        <v>6</v>
      </c>
      <c r="S2032" s="246" t="s">
        <v>1734</v>
      </c>
      <c r="U2032" s="246" t="s">
        <v>2113</v>
      </c>
      <c r="V2032" s="245" t="s">
        <v>1389</v>
      </c>
      <c r="W2032" s="247">
        <v>30</v>
      </c>
      <c r="X2032" s="245" t="s">
        <v>1389</v>
      </c>
      <c r="Y2032" s="245" t="s">
        <v>1389</v>
      </c>
      <c r="Z2032" s="248">
        <v>1.517611</v>
      </c>
      <c r="AA2032" s="367">
        <v>65</v>
      </c>
      <c r="AB2032" s="367">
        <v>20</v>
      </c>
      <c r="AC2032" s="245" t="s">
        <v>240</v>
      </c>
      <c r="AD2032" s="245"/>
      <c r="AE2032" s="245"/>
      <c r="AF2032" s="245"/>
      <c r="AG2032" s="245" t="s">
        <v>2043</v>
      </c>
      <c r="AH2032" s="245" t="s">
        <v>2033</v>
      </c>
      <c r="AI2032" s="245" t="s">
        <v>577</v>
      </c>
      <c r="AJ2032" s="245" t="s">
        <v>2041</v>
      </c>
      <c r="AK2032" s="245" t="s">
        <v>229</v>
      </c>
      <c r="AL2032" s="245"/>
      <c r="AM2032" s="245"/>
      <c r="AN2032" s="245"/>
      <c r="AO2032" s="245" t="s">
        <v>2018</v>
      </c>
      <c r="AP2032" s="245" t="s">
        <v>2018</v>
      </c>
      <c r="AQ2032" s="245" t="s">
        <v>2125</v>
      </c>
      <c r="AR2032" s="245" t="s">
        <v>2125</v>
      </c>
      <c r="AS2032" s="24" t="s">
        <v>177</v>
      </c>
      <c r="AT2032" s="245" t="s">
        <v>2040</v>
      </c>
      <c r="AU2032" s="245"/>
      <c r="AW2032" s="245" t="s">
        <v>119</v>
      </c>
      <c r="AX2032" s="245">
        <v>4</v>
      </c>
      <c r="AY2032" s="245">
        <v>4</v>
      </c>
      <c r="AZ2032" s="245" t="s">
        <v>141</v>
      </c>
      <c r="BA2032" s="245"/>
      <c r="BB2032" s="245"/>
      <c r="BC2032" s="245"/>
      <c r="BD2032" s="245"/>
      <c r="BE2032" s="245" t="s">
        <v>2110</v>
      </c>
      <c r="BK2032" s="245">
        <v>56100</v>
      </c>
      <c r="BL2032" s="245">
        <v>75200</v>
      </c>
      <c r="BM2032" s="245"/>
      <c r="BP2032" s="437"/>
      <c r="BQ2032" s="437"/>
      <c r="BU2032" s="395">
        <f t="shared" si="290"/>
        <v>0.34264380002517103</v>
      </c>
      <c r="BV2032" s="395">
        <f t="shared" si="291"/>
        <v>0.38876892695163645</v>
      </c>
      <c r="BZ2032" s="437">
        <v>15.6</v>
      </c>
      <c r="CA2032" s="437">
        <v>17.7</v>
      </c>
      <c r="CD2032" s="24" t="s">
        <v>2114</v>
      </c>
      <c r="CE2032" s="548">
        <v>15.6</v>
      </c>
      <c r="CF2032" s="548">
        <v>17.7</v>
      </c>
      <c r="CG2032" s="548"/>
      <c r="CH2032" s="548"/>
      <c r="CI2032" s="24" t="s">
        <v>4551</v>
      </c>
      <c r="CJ2032" s="24">
        <v>1.32</v>
      </c>
      <c r="CK2032" s="24">
        <v>1.41</v>
      </c>
      <c r="CN2032" s="24" t="s">
        <v>2096</v>
      </c>
      <c r="JB2032" s="245" t="s">
        <v>2084</v>
      </c>
      <c r="JC2032" s="245" t="s">
        <v>2098</v>
      </c>
      <c r="JD2032" s="249"/>
    </row>
    <row r="2033" spans="1:264" s="24" customFormat="1" x14ac:dyDescent="0.25">
      <c r="A2033" s="244">
        <v>92</v>
      </c>
      <c r="B2033" s="543" t="s">
        <v>4172</v>
      </c>
      <c r="C2033" s="245" t="s">
        <v>768</v>
      </c>
      <c r="D2033" s="245" t="s">
        <v>2118</v>
      </c>
      <c r="E2033" s="245">
        <v>2003</v>
      </c>
      <c r="F2033" s="245">
        <v>1999</v>
      </c>
      <c r="G2033" s="245" t="s">
        <v>2045</v>
      </c>
      <c r="H2033" s="245" t="s">
        <v>2044</v>
      </c>
      <c r="I2033" s="245" t="s">
        <v>2815</v>
      </c>
      <c r="J2033" s="245">
        <v>32.56</v>
      </c>
      <c r="K2033" s="245">
        <v>-83.9</v>
      </c>
      <c r="L2033" s="245">
        <v>16</v>
      </c>
      <c r="M2033" s="245">
        <v>18.100000000000001</v>
      </c>
      <c r="N2033" s="245"/>
      <c r="O2033" s="245">
        <v>1258</v>
      </c>
      <c r="P2033" s="245"/>
      <c r="Q2033" s="245"/>
      <c r="R2033" s="245">
        <v>6</v>
      </c>
      <c r="S2033" s="246" t="s">
        <v>1734</v>
      </c>
      <c r="U2033" s="246" t="s">
        <v>2113</v>
      </c>
      <c r="V2033" s="245" t="s">
        <v>1389</v>
      </c>
      <c r="W2033" s="247">
        <v>30</v>
      </c>
      <c r="X2033" s="245" t="s">
        <v>1389</v>
      </c>
      <c r="Y2033" s="245" t="s">
        <v>1389</v>
      </c>
      <c r="Z2033" s="248">
        <v>1.5189159999999999</v>
      </c>
      <c r="AA2033" s="367">
        <v>65</v>
      </c>
      <c r="AB2033" s="367">
        <v>20</v>
      </c>
      <c r="AC2033" s="245" t="s">
        <v>240</v>
      </c>
      <c r="AD2033" s="245"/>
      <c r="AE2033" s="245"/>
      <c r="AF2033" s="245"/>
      <c r="AG2033" s="245" t="s">
        <v>2043</v>
      </c>
      <c r="AH2033" s="245" t="s">
        <v>2042</v>
      </c>
      <c r="AI2033" s="245" t="s">
        <v>577</v>
      </c>
      <c r="AJ2033" s="245" t="s">
        <v>2041</v>
      </c>
      <c r="AK2033" s="245" t="s">
        <v>229</v>
      </c>
      <c r="AL2033" s="245"/>
      <c r="AM2033" s="245"/>
      <c r="AN2033" s="245"/>
      <c r="AO2033" s="245" t="s">
        <v>2018</v>
      </c>
      <c r="AP2033" s="245" t="s">
        <v>2018</v>
      </c>
      <c r="AQ2033" s="245" t="s">
        <v>2125</v>
      </c>
      <c r="AR2033" s="245" t="s">
        <v>2125</v>
      </c>
      <c r="AS2033" s="24" t="s">
        <v>177</v>
      </c>
      <c r="AT2033" s="245" t="s">
        <v>2040</v>
      </c>
      <c r="AU2033" s="245"/>
      <c r="AW2033" s="245" t="s">
        <v>119</v>
      </c>
      <c r="AX2033" s="245">
        <v>4</v>
      </c>
      <c r="AY2033" s="245">
        <v>4</v>
      </c>
      <c r="AZ2033" s="245" t="s">
        <v>141</v>
      </c>
      <c r="BA2033" s="245"/>
      <c r="BB2033" s="245">
        <v>1231</v>
      </c>
      <c r="BC2033" s="245">
        <v>14.3</v>
      </c>
      <c r="BD2033" s="245"/>
      <c r="BE2033" s="245" t="s">
        <v>2110</v>
      </c>
      <c r="BK2033" s="245">
        <v>56100</v>
      </c>
      <c r="BL2033" s="245">
        <v>65400</v>
      </c>
      <c r="BM2033" s="245"/>
      <c r="BP2033" s="437"/>
      <c r="BQ2033" s="437"/>
      <c r="BU2033" s="395">
        <f t="shared" si="290"/>
        <v>0.34234941234406646</v>
      </c>
      <c r="BV2033" s="395">
        <f t="shared" si="291"/>
        <v>0.38843491015961384</v>
      </c>
      <c r="BZ2033" s="437">
        <v>15.6</v>
      </c>
      <c r="CA2033" s="437">
        <v>17.7</v>
      </c>
      <c r="CD2033" s="24" t="s">
        <v>2114</v>
      </c>
      <c r="CE2033" s="548">
        <v>15.6</v>
      </c>
      <c r="CF2033" s="548">
        <v>17.7</v>
      </c>
      <c r="CG2033" s="548"/>
      <c r="CH2033" s="548"/>
      <c r="CI2033" s="24" t="s">
        <v>4551</v>
      </c>
      <c r="CJ2033" s="24">
        <v>1.32</v>
      </c>
      <c r="CK2033" s="24">
        <v>1.44</v>
      </c>
      <c r="CN2033" s="24" t="s">
        <v>2096</v>
      </c>
      <c r="JB2033" s="245" t="s">
        <v>2084</v>
      </c>
      <c r="JC2033" s="245" t="s">
        <v>2098</v>
      </c>
      <c r="JD2033" s="249"/>
    </row>
    <row r="2034" spans="1:264" s="101" customFormat="1" x14ac:dyDescent="0.25">
      <c r="A2034" s="233">
        <v>92</v>
      </c>
      <c r="B2034" s="543" t="s">
        <v>4157</v>
      </c>
      <c r="C2034" s="234" t="s">
        <v>768</v>
      </c>
      <c r="D2034" s="234" t="s">
        <v>2118</v>
      </c>
      <c r="E2034" s="234">
        <v>2003</v>
      </c>
      <c r="F2034" s="234">
        <v>2000</v>
      </c>
      <c r="G2034" s="234" t="s">
        <v>2045</v>
      </c>
      <c r="H2034" s="234" t="s">
        <v>2044</v>
      </c>
      <c r="I2034" s="245" t="s">
        <v>2815</v>
      </c>
      <c r="J2034" s="234">
        <v>32.56</v>
      </c>
      <c r="K2034" s="234">
        <v>-83.9</v>
      </c>
      <c r="L2034" s="234">
        <v>16</v>
      </c>
      <c r="M2034" s="234">
        <v>18.100000000000001</v>
      </c>
      <c r="N2034" s="234"/>
      <c r="O2034" s="234">
        <v>1258</v>
      </c>
      <c r="P2034" s="234"/>
      <c r="Q2034" s="234"/>
      <c r="R2034" s="234">
        <v>7</v>
      </c>
      <c r="S2034" s="235" t="s">
        <v>1734</v>
      </c>
      <c r="U2034" s="235" t="s">
        <v>2113</v>
      </c>
      <c r="V2034" s="234" t="s">
        <v>1389</v>
      </c>
      <c r="W2034" s="236">
        <v>30</v>
      </c>
      <c r="X2034" s="234" t="s">
        <v>1389</v>
      </c>
      <c r="Y2034" s="234" t="s">
        <v>1389</v>
      </c>
      <c r="Z2034" s="237">
        <v>1.5152619999999999</v>
      </c>
      <c r="AA2034" s="368">
        <v>65</v>
      </c>
      <c r="AB2034" s="368">
        <v>20</v>
      </c>
      <c r="AC2034" s="234" t="s">
        <v>240</v>
      </c>
      <c r="AD2034" s="234"/>
      <c r="AE2034" s="234"/>
      <c r="AF2034" s="234"/>
      <c r="AG2034" s="234" t="s">
        <v>2043</v>
      </c>
      <c r="AH2034" s="234" t="s">
        <v>1753</v>
      </c>
      <c r="AI2034" s="234" t="s">
        <v>131</v>
      </c>
      <c r="AJ2034" s="234" t="s">
        <v>2094</v>
      </c>
      <c r="AK2034" s="245" t="s">
        <v>229</v>
      </c>
      <c r="AL2034" s="234"/>
      <c r="AM2034" s="234"/>
      <c r="AN2034" s="234"/>
      <c r="AO2034" s="234" t="s">
        <v>2018</v>
      </c>
      <c r="AP2034" s="234" t="s">
        <v>2018</v>
      </c>
      <c r="AQ2034" s="245" t="s">
        <v>2125</v>
      </c>
      <c r="AR2034" s="245" t="s">
        <v>2125</v>
      </c>
      <c r="AS2034" s="24" t="s">
        <v>177</v>
      </c>
      <c r="AT2034" s="234" t="s">
        <v>2040</v>
      </c>
      <c r="AU2034" s="234"/>
      <c r="AW2034" s="245" t="s">
        <v>119</v>
      </c>
      <c r="AX2034" s="234">
        <v>4</v>
      </c>
      <c r="AY2034" s="234">
        <v>4</v>
      </c>
      <c r="AZ2034" s="234" t="s">
        <v>141</v>
      </c>
      <c r="BA2034" s="234"/>
      <c r="BB2034" s="234">
        <v>3000</v>
      </c>
      <c r="BC2034" s="234">
        <v>35.200000000000003</v>
      </c>
      <c r="BD2034" s="234"/>
      <c r="BE2034" s="245" t="s">
        <v>2110</v>
      </c>
      <c r="BK2034" s="234">
        <v>23700</v>
      </c>
      <c r="BL2034" s="234">
        <v>21000</v>
      </c>
      <c r="BM2034" s="234"/>
      <c r="BP2034" s="444"/>
      <c r="BQ2034" s="444"/>
      <c r="BU2034" s="395">
        <f t="shared" si="290"/>
        <v>0.32777609856689249</v>
      </c>
      <c r="BV2034" s="395">
        <f t="shared" si="291"/>
        <v>0.41137000289938858</v>
      </c>
      <c r="BZ2034" s="444">
        <v>14.9</v>
      </c>
      <c r="CA2034" s="444">
        <v>18.7</v>
      </c>
      <c r="CD2034" s="24" t="s">
        <v>2114</v>
      </c>
      <c r="CE2034" s="580">
        <v>14.9</v>
      </c>
      <c r="CF2034" s="580">
        <v>18.7</v>
      </c>
      <c r="CG2034" s="580"/>
      <c r="CH2034" s="580"/>
      <c r="CI2034" s="24" t="s">
        <v>4551</v>
      </c>
      <c r="CJ2034" s="101">
        <v>1.31</v>
      </c>
      <c r="CK2034" s="101">
        <v>1.45</v>
      </c>
      <c r="CN2034" s="175" t="s">
        <v>2096</v>
      </c>
      <c r="JB2034" s="234" t="s">
        <v>2084</v>
      </c>
      <c r="JC2034" s="231" t="s">
        <v>2098</v>
      </c>
      <c r="JD2034" s="177"/>
    </row>
    <row r="2035" spans="1:264" s="101" customFormat="1" x14ac:dyDescent="0.25">
      <c r="A2035" s="233">
        <v>92</v>
      </c>
      <c r="B2035" s="543" t="s">
        <v>4172</v>
      </c>
      <c r="C2035" s="234" t="s">
        <v>768</v>
      </c>
      <c r="D2035" s="234" t="s">
        <v>2118</v>
      </c>
      <c r="E2035" s="234">
        <v>2003</v>
      </c>
      <c r="F2035" s="234">
        <v>2000</v>
      </c>
      <c r="G2035" s="234" t="s">
        <v>2045</v>
      </c>
      <c r="H2035" s="234" t="s">
        <v>2044</v>
      </c>
      <c r="I2035" s="245" t="s">
        <v>2815</v>
      </c>
      <c r="J2035" s="234">
        <v>32.56</v>
      </c>
      <c r="K2035" s="234">
        <v>-83.9</v>
      </c>
      <c r="L2035" s="234">
        <v>16</v>
      </c>
      <c r="M2035" s="234">
        <v>18.100000000000001</v>
      </c>
      <c r="N2035" s="234"/>
      <c r="O2035" s="234">
        <v>1258</v>
      </c>
      <c r="P2035" s="234"/>
      <c r="Q2035" s="234"/>
      <c r="R2035" s="234">
        <v>7</v>
      </c>
      <c r="S2035" s="235" t="s">
        <v>1734</v>
      </c>
      <c r="U2035" s="235" t="s">
        <v>2113</v>
      </c>
      <c r="V2035" s="234" t="s">
        <v>1389</v>
      </c>
      <c r="W2035" s="236">
        <v>30</v>
      </c>
      <c r="X2035" s="234" t="s">
        <v>1389</v>
      </c>
      <c r="Y2035" s="234" t="s">
        <v>1389</v>
      </c>
      <c r="Z2035" s="237">
        <v>1.517611</v>
      </c>
      <c r="AA2035" s="368">
        <v>65</v>
      </c>
      <c r="AB2035" s="368">
        <v>20</v>
      </c>
      <c r="AC2035" s="234" t="s">
        <v>240</v>
      </c>
      <c r="AD2035" s="234"/>
      <c r="AE2035" s="234"/>
      <c r="AF2035" s="234"/>
      <c r="AG2035" s="234" t="s">
        <v>2043</v>
      </c>
      <c r="AH2035" s="234" t="s">
        <v>2033</v>
      </c>
      <c r="AI2035" s="234" t="s">
        <v>577</v>
      </c>
      <c r="AJ2035" s="234" t="s">
        <v>2094</v>
      </c>
      <c r="AK2035" s="245" t="s">
        <v>229</v>
      </c>
      <c r="AL2035" s="234"/>
      <c r="AM2035" s="234"/>
      <c r="AN2035" s="234"/>
      <c r="AO2035" s="234" t="s">
        <v>2018</v>
      </c>
      <c r="AP2035" s="234" t="s">
        <v>2018</v>
      </c>
      <c r="AQ2035" s="245" t="s">
        <v>2125</v>
      </c>
      <c r="AR2035" s="245" t="s">
        <v>2125</v>
      </c>
      <c r="AS2035" s="24" t="s">
        <v>177</v>
      </c>
      <c r="AT2035" s="234" t="s">
        <v>2040</v>
      </c>
      <c r="AU2035" s="234"/>
      <c r="AW2035" s="245" t="s">
        <v>119</v>
      </c>
      <c r="AX2035" s="234">
        <v>4</v>
      </c>
      <c r="AY2035" s="234">
        <v>4</v>
      </c>
      <c r="AZ2035" s="234" t="s">
        <v>141</v>
      </c>
      <c r="BA2035" s="234"/>
      <c r="BB2035" s="234">
        <v>1723</v>
      </c>
      <c r="BC2035" s="234">
        <v>9.8000000000000007</v>
      </c>
      <c r="BD2035" s="234"/>
      <c r="BE2035" s="245" t="s">
        <v>2110</v>
      </c>
      <c r="BK2035" s="234">
        <v>23700</v>
      </c>
      <c r="BL2035" s="234">
        <v>52100</v>
      </c>
      <c r="BM2035" s="234"/>
      <c r="BP2035" s="444"/>
      <c r="BQ2035" s="444"/>
      <c r="BU2035" s="395">
        <f t="shared" si="290"/>
        <v>0.32726875771634928</v>
      </c>
      <c r="BV2035" s="395">
        <f t="shared" si="291"/>
        <v>0.39535823079827431</v>
      </c>
      <c r="BZ2035" s="444">
        <v>14.9</v>
      </c>
      <c r="CA2035" s="444">
        <v>18</v>
      </c>
      <c r="CD2035" s="24" t="s">
        <v>2114</v>
      </c>
      <c r="CE2035" s="580">
        <v>14.9</v>
      </c>
      <c r="CF2035" s="580">
        <v>18</v>
      </c>
      <c r="CG2035" s="580"/>
      <c r="CH2035" s="580"/>
      <c r="CI2035" s="24" t="s">
        <v>4551</v>
      </c>
      <c r="CJ2035" s="101">
        <v>1.31</v>
      </c>
      <c r="CK2035" s="101">
        <v>1.41</v>
      </c>
      <c r="CN2035" s="175" t="s">
        <v>2096</v>
      </c>
      <c r="JB2035" s="234" t="s">
        <v>2084</v>
      </c>
      <c r="JC2035" s="231" t="s">
        <v>2098</v>
      </c>
      <c r="JD2035" s="177"/>
    </row>
    <row r="2036" spans="1:264" s="101" customFormat="1" x14ac:dyDescent="0.25">
      <c r="A2036" s="233">
        <v>92</v>
      </c>
      <c r="B2036" s="543" t="s">
        <v>4172</v>
      </c>
      <c r="C2036" s="234" t="s">
        <v>768</v>
      </c>
      <c r="D2036" s="234" t="s">
        <v>2118</v>
      </c>
      <c r="E2036" s="234">
        <v>2003</v>
      </c>
      <c r="F2036" s="234">
        <v>2000</v>
      </c>
      <c r="G2036" s="234" t="s">
        <v>2045</v>
      </c>
      <c r="H2036" s="234" t="s">
        <v>2044</v>
      </c>
      <c r="I2036" s="245" t="s">
        <v>2815</v>
      </c>
      <c r="J2036" s="234">
        <v>32.56</v>
      </c>
      <c r="K2036" s="234">
        <v>-83.9</v>
      </c>
      <c r="L2036" s="234">
        <v>16</v>
      </c>
      <c r="M2036" s="234">
        <v>18.100000000000001</v>
      </c>
      <c r="N2036" s="234"/>
      <c r="O2036" s="234">
        <v>1258</v>
      </c>
      <c r="P2036" s="234"/>
      <c r="Q2036" s="234"/>
      <c r="R2036" s="234">
        <v>7</v>
      </c>
      <c r="S2036" s="235" t="s">
        <v>1734</v>
      </c>
      <c r="U2036" s="235" t="s">
        <v>2113</v>
      </c>
      <c r="V2036" s="234" t="s">
        <v>1389</v>
      </c>
      <c r="W2036" s="236">
        <v>30</v>
      </c>
      <c r="X2036" s="234" t="s">
        <v>1389</v>
      </c>
      <c r="Y2036" s="234" t="s">
        <v>1389</v>
      </c>
      <c r="Z2036" s="237">
        <v>1.5189159999999999</v>
      </c>
      <c r="AA2036" s="368">
        <v>65</v>
      </c>
      <c r="AB2036" s="368">
        <v>20</v>
      </c>
      <c r="AC2036" s="234" t="s">
        <v>240</v>
      </c>
      <c r="AD2036" s="234"/>
      <c r="AE2036" s="234"/>
      <c r="AF2036" s="234"/>
      <c r="AG2036" s="234" t="s">
        <v>2043</v>
      </c>
      <c r="AH2036" s="234" t="s">
        <v>2042</v>
      </c>
      <c r="AI2036" s="234" t="s">
        <v>577</v>
      </c>
      <c r="AJ2036" s="234" t="s">
        <v>2094</v>
      </c>
      <c r="AK2036" s="245" t="s">
        <v>229</v>
      </c>
      <c r="AL2036" s="234"/>
      <c r="AM2036" s="234"/>
      <c r="AN2036" s="234"/>
      <c r="AO2036" s="234" t="s">
        <v>2018</v>
      </c>
      <c r="AP2036" s="234" t="s">
        <v>2018</v>
      </c>
      <c r="AQ2036" s="245" t="s">
        <v>2125</v>
      </c>
      <c r="AR2036" s="245" t="s">
        <v>2125</v>
      </c>
      <c r="AS2036" s="24" t="s">
        <v>177</v>
      </c>
      <c r="AT2036" s="234" t="s">
        <v>2040</v>
      </c>
      <c r="AU2036" s="234"/>
      <c r="AW2036" s="245" t="s">
        <v>119</v>
      </c>
      <c r="AX2036" s="234">
        <v>4</v>
      </c>
      <c r="AY2036" s="234">
        <v>4</v>
      </c>
      <c r="AZ2036" s="234" t="s">
        <v>141</v>
      </c>
      <c r="BA2036" s="234"/>
      <c r="BB2036" s="234">
        <v>2285</v>
      </c>
      <c r="BC2036" s="234">
        <v>13.8</v>
      </c>
      <c r="BD2036" s="234"/>
      <c r="BE2036" s="245" t="s">
        <v>2110</v>
      </c>
      <c r="BK2036" s="234">
        <v>23700</v>
      </c>
      <c r="BL2036" s="234">
        <v>45500</v>
      </c>
      <c r="BM2036" s="234"/>
      <c r="BP2036" s="444"/>
      <c r="BQ2036" s="444"/>
      <c r="BU2036" s="395">
        <f t="shared" si="290"/>
        <v>0.32698757973888398</v>
      </c>
      <c r="BV2036" s="395">
        <f t="shared" si="291"/>
        <v>0.39282400518966593</v>
      </c>
      <c r="BZ2036" s="444">
        <v>14.9</v>
      </c>
      <c r="CA2036" s="444">
        <v>17.899999999999999</v>
      </c>
      <c r="CD2036" s="24" t="s">
        <v>2114</v>
      </c>
      <c r="CE2036" s="580">
        <v>14.9</v>
      </c>
      <c r="CF2036" s="580">
        <v>17.899999999999999</v>
      </c>
      <c r="CG2036" s="580"/>
      <c r="CH2036" s="580"/>
      <c r="CI2036" s="24" t="s">
        <v>4551</v>
      </c>
      <c r="CJ2036" s="101">
        <v>1.31</v>
      </c>
      <c r="CK2036" s="101">
        <v>1.42</v>
      </c>
      <c r="CN2036" s="175" t="s">
        <v>2096</v>
      </c>
      <c r="JB2036" s="234" t="s">
        <v>2084</v>
      </c>
      <c r="JC2036" s="231" t="s">
        <v>2098</v>
      </c>
      <c r="JD2036" s="177"/>
    </row>
    <row r="2037" spans="1:264" s="284" customFormat="1" x14ac:dyDescent="0.25">
      <c r="A2037" s="277">
        <v>93</v>
      </c>
      <c r="B2037" s="542" t="s">
        <v>4202</v>
      </c>
      <c r="C2037" s="278" t="s">
        <v>768</v>
      </c>
      <c r="D2037" s="278" t="s">
        <v>2118</v>
      </c>
      <c r="E2037" s="278">
        <v>2002</v>
      </c>
      <c r="F2037" s="278">
        <v>1996</v>
      </c>
      <c r="G2037" s="278" t="s">
        <v>1749</v>
      </c>
      <c r="H2037" s="278" t="s">
        <v>2032</v>
      </c>
      <c r="I2037" s="278" t="s">
        <v>2815</v>
      </c>
      <c r="J2037" s="278">
        <v>32.57</v>
      </c>
      <c r="K2037" s="278">
        <v>-83.91</v>
      </c>
      <c r="L2037" s="278">
        <v>16</v>
      </c>
      <c r="M2037" s="278">
        <v>18.100000000000001</v>
      </c>
      <c r="N2037" s="278"/>
      <c r="O2037" s="278">
        <v>1258</v>
      </c>
      <c r="P2037" s="278"/>
      <c r="Q2037" s="278"/>
      <c r="R2037" s="278">
        <v>3</v>
      </c>
      <c r="S2037" s="280" t="s">
        <v>1982</v>
      </c>
      <c r="U2037" s="280" t="s">
        <v>2101</v>
      </c>
      <c r="V2037" s="278" t="s">
        <v>1379</v>
      </c>
      <c r="W2037" s="281">
        <v>20</v>
      </c>
      <c r="X2037" s="278" t="s">
        <v>1379</v>
      </c>
      <c r="Y2037" s="278" t="s">
        <v>1379</v>
      </c>
      <c r="Z2037" s="282">
        <v>1.39</v>
      </c>
      <c r="AA2037" s="370">
        <v>65</v>
      </c>
      <c r="AB2037" s="370">
        <v>25</v>
      </c>
      <c r="AC2037" s="278" t="s">
        <v>240</v>
      </c>
      <c r="AD2037" s="278">
        <v>6.5</v>
      </c>
      <c r="AE2037" s="278">
        <f>23.9/(100*100*Z2037*0.2)*100</f>
        <v>0.85971223021582732</v>
      </c>
      <c r="AF2037" s="278"/>
      <c r="AG2037" s="278" t="s">
        <v>2036</v>
      </c>
      <c r="AH2037" s="278" t="s">
        <v>2033</v>
      </c>
      <c r="AI2037" s="278" t="s">
        <v>577</v>
      </c>
      <c r="AJ2037" s="278" t="s">
        <v>2107</v>
      </c>
      <c r="AK2037" s="278" t="s">
        <v>1616</v>
      </c>
      <c r="AL2037" s="278" t="s">
        <v>2035</v>
      </c>
      <c r="AM2037" s="278" t="s">
        <v>2035</v>
      </c>
      <c r="AN2037" s="278" t="s">
        <v>177</v>
      </c>
      <c r="AO2037" s="278" t="s">
        <v>2111</v>
      </c>
      <c r="AP2037" s="278" t="s">
        <v>2111</v>
      </c>
      <c r="AQ2037" s="278" t="s">
        <v>2126</v>
      </c>
      <c r="AR2037" s="278" t="s">
        <v>2126</v>
      </c>
      <c r="AS2037" s="284" t="s">
        <v>177</v>
      </c>
      <c r="AT2037" s="278" t="s">
        <v>635</v>
      </c>
      <c r="AU2037" s="278" t="s">
        <v>635</v>
      </c>
      <c r="AV2037" s="278" t="s">
        <v>177</v>
      </c>
      <c r="AW2037" s="278" t="s">
        <v>160</v>
      </c>
      <c r="AX2037" s="278">
        <v>4</v>
      </c>
      <c r="AY2037" s="278">
        <v>4</v>
      </c>
      <c r="AZ2037" s="278" t="s">
        <v>141</v>
      </c>
      <c r="BA2037" s="278"/>
      <c r="BB2037" s="278">
        <v>2390</v>
      </c>
      <c r="BC2037" s="278">
        <v>11.7</v>
      </c>
      <c r="BD2037" s="278"/>
      <c r="BE2037" s="278"/>
      <c r="BK2037" s="278">
        <v>53900</v>
      </c>
      <c r="BL2037" s="278">
        <v>56700</v>
      </c>
      <c r="BM2037" s="278"/>
      <c r="BO2037" s="284" t="s">
        <v>2108</v>
      </c>
      <c r="BP2037" s="446"/>
      <c r="BQ2037" s="446"/>
      <c r="BU2037" s="395">
        <f t="shared" si="290"/>
        <v>0.8161470823341328</v>
      </c>
      <c r="BV2037" s="395">
        <f t="shared" si="291"/>
        <v>0.85131894484412485</v>
      </c>
      <c r="BZ2037" s="446">
        <f>AVERAGE(BZ2043,BZ2049,BZ2055,BZ2061,BZ2067,BZ2073,BZ2079,BZ2085,BZ2091)</f>
        <v>22.688888888888886</v>
      </c>
      <c r="CA2037" s="446">
        <f>AVERAGE(CA2043,CA2049,CA2055,CA2061,CA2067,CA2073,CA2079,CA2085,CA2091)</f>
        <v>23.666666666666668</v>
      </c>
      <c r="CD2037" s="284" t="s">
        <v>2095</v>
      </c>
      <c r="CE2037" s="590">
        <v>22.688888888888886</v>
      </c>
      <c r="CF2037" s="590">
        <v>23.666666666666668</v>
      </c>
      <c r="CG2037" s="590"/>
      <c r="CH2037" s="590"/>
      <c r="CI2037" s="284" t="s">
        <v>4551</v>
      </c>
      <c r="CJ2037" s="282">
        <f>AVERAGE(CJ2043,CJ2049,CJ2055,CJ2061,CJ2067,CJ2073,CJ2079,CJ2085,CJ2091)</f>
        <v>2.0988888888888888</v>
      </c>
      <c r="CK2037" s="282">
        <f>AVERAGE(CK2043,CK2049,CK2055,CK2061,CK2067,CK2073,CK2079,CK2085,CK2091)</f>
        <v>2.0277777777777777</v>
      </c>
      <c r="CN2037" s="284" t="s">
        <v>569</v>
      </c>
      <c r="JB2037" s="278" t="s">
        <v>2084</v>
      </c>
      <c r="JC2037" s="278" t="s">
        <v>2109</v>
      </c>
      <c r="JD2037" s="285"/>
    </row>
    <row r="2038" spans="1:264" s="284" customFormat="1" x14ac:dyDescent="0.25">
      <c r="A2038" s="277">
        <v>93</v>
      </c>
      <c r="B2038" s="542" t="s">
        <v>4202</v>
      </c>
      <c r="C2038" s="278" t="s">
        <v>768</v>
      </c>
      <c r="D2038" s="278" t="s">
        <v>2118</v>
      </c>
      <c r="E2038" s="278">
        <v>2002</v>
      </c>
      <c r="F2038" s="278">
        <v>1997</v>
      </c>
      <c r="G2038" s="278" t="s">
        <v>1749</v>
      </c>
      <c r="H2038" s="278" t="s">
        <v>2032</v>
      </c>
      <c r="I2038" s="278" t="s">
        <v>2815</v>
      </c>
      <c r="J2038" s="278">
        <v>32.57</v>
      </c>
      <c r="K2038" s="278">
        <v>-83.91</v>
      </c>
      <c r="L2038" s="278">
        <v>16</v>
      </c>
      <c r="M2038" s="278">
        <v>18.100000000000001</v>
      </c>
      <c r="N2038" s="278"/>
      <c r="O2038" s="278">
        <v>1258</v>
      </c>
      <c r="P2038" s="278"/>
      <c r="Q2038" s="278"/>
      <c r="R2038" s="278">
        <v>4</v>
      </c>
      <c r="S2038" s="280" t="s">
        <v>1982</v>
      </c>
      <c r="U2038" s="280" t="s">
        <v>2101</v>
      </c>
      <c r="V2038" s="278" t="s">
        <v>1379</v>
      </c>
      <c r="W2038" s="281">
        <v>20</v>
      </c>
      <c r="X2038" s="278" t="s">
        <v>1379</v>
      </c>
      <c r="Y2038" s="278" t="s">
        <v>1379</v>
      </c>
      <c r="Z2038" s="282">
        <v>1.39</v>
      </c>
      <c r="AA2038" s="370">
        <v>65</v>
      </c>
      <c r="AB2038" s="370">
        <v>25</v>
      </c>
      <c r="AC2038" s="278" t="s">
        <v>240</v>
      </c>
      <c r="AD2038" s="278">
        <v>6.5</v>
      </c>
      <c r="AE2038" s="278">
        <f t="shared" ref="AE2038:AE2039" si="292">23.9/(100*100*Z2038*0.2)*100</f>
        <v>0.85971223021582732</v>
      </c>
      <c r="AF2038" s="278"/>
      <c r="AG2038" s="278" t="s">
        <v>2036</v>
      </c>
      <c r="AH2038" s="278" t="s">
        <v>2033</v>
      </c>
      <c r="AI2038" s="278" t="s">
        <v>577</v>
      </c>
      <c r="AJ2038" s="278" t="s">
        <v>2107</v>
      </c>
      <c r="AK2038" s="278" t="s">
        <v>1616</v>
      </c>
      <c r="AL2038" s="278" t="s">
        <v>2035</v>
      </c>
      <c r="AM2038" s="278" t="s">
        <v>2035</v>
      </c>
      <c r="AN2038" s="278" t="s">
        <v>177</v>
      </c>
      <c r="AO2038" s="278" t="s">
        <v>2111</v>
      </c>
      <c r="AP2038" s="278" t="s">
        <v>2111</v>
      </c>
      <c r="AQ2038" s="278" t="s">
        <v>2126</v>
      </c>
      <c r="AR2038" s="278" t="s">
        <v>2126</v>
      </c>
      <c r="AS2038" s="284" t="s">
        <v>177</v>
      </c>
      <c r="AT2038" s="278" t="s">
        <v>635</v>
      </c>
      <c r="AU2038" s="278" t="s">
        <v>635</v>
      </c>
      <c r="AV2038" s="278" t="s">
        <v>177</v>
      </c>
      <c r="AW2038" s="278" t="s">
        <v>160</v>
      </c>
      <c r="AX2038" s="278">
        <v>4</v>
      </c>
      <c r="AY2038" s="278">
        <v>4</v>
      </c>
      <c r="AZ2038" s="278" t="s">
        <v>141</v>
      </c>
      <c r="BA2038" s="278"/>
      <c r="BB2038" s="278">
        <v>1802</v>
      </c>
      <c r="BC2038" s="278">
        <v>23.6</v>
      </c>
      <c r="BD2038" s="278"/>
      <c r="BE2038" s="278"/>
      <c r="BK2038" s="278">
        <v>33400</v>
      </c>
      <c r="BL2038" s="278">
        <v>34000</v>
      </c>
      <c r="BM2038" s="278"/>
      <c r="BO2038" s="284" t="s">
        <v>2108</v>
      </c>
      <c r="BP2038" s="446"/>
      <c r="BQ2038" s="446"/>
      <c r="BU2038" s="395">
        <f t="shared" si="290"/>
        <v>0.77697841726618722</v>
      </c>
      <c r="BV2038" s="395">
        <f t="shared" si="291"/>
        <v>0.80775379696243033</v>
      </c>
      <c r="BZ2038" s="446">
        <f>AVERAGE(BZ2044,BZ2050,BZ2056,BZ2062,BZ2068,BZ2074,BZ2080,BZ2086,BZ2092)</f>
        <v>21.6</v>
      </c>
      <c r="CA2038" s="446">
        <f>AVERAGE(CA2044,CA2050,CA2056,CA2062,CA2068,CA2074,CA2080,CA2086,CA2092)</f>
        <v>22.455555555555559</v>
      </c>
      <c r="CD2038" s="284" t="s">
        <v>2095</v>
      </c>
      <c r="CE2038" s="590">
        <v>21.6</v>
      </c>
      <c r="CF2038" s="590">
        <v>22.455555555555559</v>
      </c>
      <c r="CG2038" s="590"/>
      <c r="CH2038" s="590"/>
      <c r="CI2038" s="284" t="s">
        <v>4551</v>
      </c>
      <c r="CJ2038" s="282">
        <f>AVERAGE(CJ2044,CJ2050,CJ2056,CJ2062,CJ2068,CJ2074,CJ2080,CJ2086,CJ2092)</f>
        <v>1.7733333333333332</v>
      </c>
      <c r="CK2038" s="282">
        <f>AVERAGE(CK2044,CK2050,CK2056,CK2062,CK2068,CK2074,CK2080,CK2086,CK2092)</f>
        <v>1.8577777777777778</v>
      </c>
      <c r="CN2038" s="284" t="s">
        <v>569</v>
      </c>
      <c r="JB2038" s="278" t="s">
        <v>2084</v>
      </c>
      <c r="JC2038" s="278" t="s">
        <v>2109</v>
      </c>
      <c r="JD2038" s="285"/>
    </row>
    <row r="2039" spans="1:264" s="284" customFormat="1" x14ac:dyDescent="0.25">
      <c r="A2039" s="277">
        <v>93</v>
      </c>
      <c r="B2039" s="542" t="s">
        <v>4202</v>
      </c>
      <c r="C2039" s="278" t="s">
        <v>768</v>
      </c>
      <c r="D2039" s="278" t="s">
        <v>2118</v>
      </c>
      <c r="E2039" s="278">
        <v>2002</v>
      </c>
      <c r="F2039" s="278">
        <v>1998</v>
      </c>
      <c r="G2039" s="278" t="s">
        <v>1749</v>
      </c>
      <c r="H2039" s="278" t="s">
        <v>2032</v>
      </c>
      <c r="I2039" s="278" t="s">
        <v>2815</v>
      </c>
      <c r="J2039" s="278">
        <v>32.57</v>
      </c>
      <c r="K2039" s="278">
        <v>-83.91</v>
      </c>
      <c r="L2039" s="278">
        <v>16</v>
      </c>
      <c r="M2039" s="278">
        <v>18.100000000000001</v>
      </c>
      <c r="N2039" s="278"/>
      <c r="O2039" s="278">
        <v>1258</v>
      </c>
      <c r="P2039" s="278"/>
      <c r="Q2039" s="278"/>
      <c r="R2039" s="278">
        <v>5</v>
      </c>
      <c r="S2039" s="280" t="s">
        <v>1982</v>
      </c>
      <c r="U2039" s="280" t="s">
        <v>2101</v>
      </c>
      <c r="V2039" s="278" t="s">
        <v>1379</v>
      </c>
      <c r="W2039" s="281">
        <v>20</v>
      </c>
      <c r="X2039" s="278" t="s">
        <v>1379</v>
      </c>
      <c r="Y2039" s="278" t="s">
        <v>1379</v>
      </c>
      <c r="Z2039" s="282">
        <v>1.39</v>
      </c>
      <c r="AA2039" s="370">
        <v>65</v>
      </c>
      <c r="AB2039" s="370">
        <v>25</v>
      </c>
      <c r="AC2039" s="278" t="s">
        <v>240</v>
      </c>
      <c r="AD2039" s="278">
        <v>6.5</v>
      </c>
      <c r="AE2039" s="278">
        <f t="shared" si="292"/>
        <v>0.85971223021582732</v>
      </c>
      <c r="AF2039" s="278"/>
      <c r="AG2039" s="278" t="s">
        <v>2036</v>
      </c>
      <c r="AH2039" s="278" t="s">
        <v>2033</v>
      </c>
      <c r="AI2039" s="278" t="s">
        <v>577</v>
      </c>
      <c r="AJ2039" s="278" t="s">
        <v>2107</v>
      </c>
      <c r="AK2039" s="278" t="s">
        <v>1616</v>
      </c>
      <c r="AL2039" s="278" t="s">
        <v>2035</v>
      </c>
      <c r="AM2039" s="278" t="s">
        <v>2035</v>
      </c>
      <c r="AN2039" s="278" t="s">
        <v>177</v>
      </c>
      <c r="AO2039" s="278" t="s">
        <v>2111</v>
      </c>
      <c r="AP2039" s="278" t="s">
        <v>2111</v>
      </c>
      <c r="AQ2039" s="278" t="s">
        <v>2126</v>
      </c>
      <c r="AR2039" s="278" t="s">
        <v>2126</v>
      </c>
      <c r="AS2039" s="284" t="s">
        <v>177</v>
      </c>
      <c r="AT2039" s="278" t="s">
        <v>635</v>
      </c>
      <c r="AU2039" s="278" t="s">
        <v>635</v>
      </c>
      <c r="AV2039" s="278" t="s">
        <v>177</v>
      </c>
      <c r="AW2039" s="278" t="s">
        <v>160</v>
      </c>
      <c r="AX2039" s="278">
        <v>4</v>
      </c>
      <c r="AY2039" s="278">
        <v>4</v>
      </c>
      <c r="AZ2039" s="278" t="s">
        <v>141</v>
      </c>
      <c r="BA2039" s="278"/>
      <c r="BB2039" s="278">
        <v>2668</v>
      </c>
      <c r="BC2039" s="278">
        <v>11.1</v>
      </c>
      <c r="BD2039" s="278"/>
      <c r="BE2039" s="278"/>
      <c r="BK2039" s="278">
        <v>15000</v>
      </c>
      <c r="BL2039" s="278">
        <v>14800</v>
      </c>
      <c r="BM2039" s="278"/>
      <c r="BO2039" s="284" t="s">
        <v>2108</v>
      </c>
      <c r="BP2039" s="446"/>
      <c r="BQ2039" s="446"/>
      <c r="BU2039" s="395">
        <f t="shared" si="290"/>
        <v>0.76658673061550764</v>
      </c>
      <c r="BV2039" s="395">
        <f t="shared" si="291"/>
        <v>0.79776179056754615</v>
      </c>
      <c r="BZ2039" s="446">
        <f>AVERAGE(BZ2045,BZ2051,BZ2057,BZ2063,BZ2069,BZ2075,BZ2081,BZ2087,BZ2093)</f>
        <v>21.311111111111106</v>
      </c>
      <c r="CA2039" s="446">
        <f t="shared" ref="CA2039:CA2040" si="293">AVERAGE(CA2045,CA2051,CA2057,CA2063,CA2069,CA2075,CA2081,CA2087,CA2093)</f>
        <v>22.177777777777777</v>
      </c>
      <c r="CD2039" s="284" t="s">
        <v>2095</v>
      </c>
      <c r="CE2039" s="590">
        <v>21.311111111111106</v>
      </c>
      <c r="CF2039" s="590">
        <v>22.177777777777777</v>
      </c>
      <c r="CG2039" s="590"/>
      <c r="CH2039" s="590"/>
      <c r="CI2039" s="284" t="s">
        <v>4551</v>
      </c>
      <c r="CJ2039" s="282">
        <f t="shared" ref="CJ2039:CK2039" si="294">AVERAGE(CJ2045,CJ2051,CJ2057,CJ2063,CJ2069,CJ2075,CJ2081,CJ2087,CJ2093)</f>
        <v>1.6455555555555554</v>
      </c>
      <c r="CK2039" s="282">
        <f t="shared" si="294"/>
        <v>1.6166666666666667</v>
      </c>
      <c r="CN2039" s="284" t="s">
        <v>569</v>
      </c>
      <c r="JB2039" s="278" t="s">
        <v>2084</v>
      </c>
      <c r="JC2039" s="278" t="s">
        <v>2109</v>
      </c>
      <c r="JD2039" s="285"/>
    </row>
    <row r="2040" spans="1:264" s="284" customFormat="1" x14ac:dyDescent="0.25">
      <c r="A2040" s="277">
        <v>93</v>
      </c>
      <c r="B2040" s="542" t="s">
        <v>4202</v>
      </c>
      <c r="C2040" s="278" t="s">
        <v>768</v>
      </c>
      <c r="D2040" s="278" t="s">
        <v>2118</v>
      </c>
      <c r="E2040" s="278">
        <v>2002</v>
      </c>
      <c r="F2040" s="278">
        <v>1999</v>
      </c>
      <c r="G2040" s="278" t="s">
        <v>1749</v>
      </c>
      <c r="H2040" s="278" t="s">
        <v>2032</v>
      </c>
      <c r="I2040" s="278" t="s">
        <v>2815</v>
      </c>
      <c r="J2040" s="278">
        <v>32.57</v>
      </c>
      <c r="K2040" s="278">
        <v>-83.91</v>
      </c>
      <c r="L2040" s="278">
        <v>16</v>
      </c>
      <c r="M2040" s="278">
        <v>18.100000000000001</v>
      </c>
      <c r="N2040" s="278"/>
      <c r="O2040" s="278">
        <v>1258</v>
      </c>
      <c r="P2040" s="278"/>
      <c r="Q2040" s="278"/>
      <c r="R2040" s="278">
        <v>6</v>
      </c>
      <c r="S2040" s="280" t="s">
        <v>1982</v>
      </c>
      <c r="U2040" s="280" t="s">
        <v>2101</v>
      </c>
      <c r="V2040" s="278" t="s">
        <v>1379</v>
      </c>
      <c r="W2040" s="281">
        <v>20</v>
      </c>
      <c r="X2040" s="278" t="s">
        <v>1379</v>
      </c>
      <c r="Y2040" s="278" t="s">
        <v>1379</v>
      </c>
      <c r="Z2040" s="282">
        <v>1.39</v>
      </c>
      <c r="AA2040" s="370">
        <v>65</v>
      </c>
      <c r="AB2040" s="370">
        <v>25</v>
      </c>
      <c r="AC2040" s="278" t="s">
        <v>240</v>
      </c>
      <c r="AD2040" s="278">
        <v>6.5</v>
      </c>
      <c r="AE2040" s="278">
        <f t="shared" ref="AE2040" si="295">23.9/(100*100*Z2040*0.2)*100</f>
        <v>0.85971223021582732</v>
      </c>
      <c r="AF2040" s="278"/>
      <c r="AG2040" s="278" t="s">
        <v>2036</v>
      </c>
      <c r="AH2040" s="278" t="s">
        <v>2033</v>
      </c>
      <c r="AI2040" s="278" t="s">
        <v>577</v>
      </c>
      <c r="AJ2040" s="278" t="s">
        <v>2106</v>
      </c>
      <c r="AK2040" s="278" t="s">
        <v>1616</v>
      </c>
      <c r="AL2040" s="278" t="s">
        <v>2035</v>
      </c>
      <c r="AM2040" s="278" t="s">
        <v>2035</v>
      </c>
      <c r="AN2040" s="278" t="s">
        <v>177</v>
      </c>
      <c r="AO2040" s="278" t="s">
        <v>2111</v>
      </c>
      <c r="AP2040" s="278" t="s">
        <v>2111</v>
      </c>
      <c r="AQ2040" s="278" t="s">
        <v>2126</v>
      </c>
      <c r="AR2040" s="278" t="s">
        <v>2126</v>
      </c>
      <c r="AS2040" s="284" t="s">
        <v>177</v>
      </c>
      <c r="AT2040" s="278" t="s">
        <v>635</v>
      </c>
      <c r="AU2040" s="278" t="s">
        <v>635</v>
      </c>
      <c r="AV2040" s="278" t="s">
        <v>177</v>
      </c>
      <c r="AW2040" s="278" t="s">
        <v>160</v>
      </c>
      <c r="AX2040" s="278">
        <v>4</v>
      </c>
      <c r="AY2040" s="278">
        <v>4</v>
      </c>
      <c r="AZ2040" s="278" t="s">
        <v>141</v>
      </c>
      <c r="BA2040" s="278"/>
      <c r="BB2040" s="293">
        <v>2952</v>
      </c>
      <c r="BC2040" s="293">
        <v>15</v>
      </c>
      <c r="BD2040" s="278"/>
      <c r="BE2040" s="278"/>
      <c r="BK2040" s="278">
        <v>21100</v>
      </c>
      <c r="BL2040" s="278">
        <v>24600</v>
      </c>
      <c r="BM2040" s="278"/>
      <c r="BO2040" s="284" t="s">
        <v>2108</v>
      </c>
      <c r="BP2040" s="446"/>
      <c r="BQ2040" s="446"/>
      <c r="BU2040" s="395">
        <f t="shared" si="290"/>
        <v>0.72102318145483624</v>
      </c>
      <c r="BV2040" s="395">
        <f t="shared" si="291"/>
        <v>0.77937649880095938</v>
      </c>
      <c r="BZ2040" s="446">
        <f>AVERAGE(BZ2046,BZ2052,BZ2058,BZ2064,BZ2070,BZ2076,BZ2082,BZ2088,BZ2094)</f>
        <v>20.044444444444444</v>
      </c>
      <c r="CA2040" s="446">
        <f t="shared" si="293"/>
        <v>21.666666666666668</v>
      </c>
      <c r="CD2040" s="284" t="s">
        <v>2095</v>
      </c>
      <c r="CE2040" s="590">
        <v>20.044444444444444</v>
      </c>
      <c r="CF2040" s="590">
        <v>21.666666666666668</v>
      </c>
      <c r="CG2040" s="590"/>
      <c r="CH2040" s="590"/>
      <c r="CI2040" s="284" t="s">
        <v>4551</v>
      </c>
      <c r="CJ2040" s="282">
        <f t="shared" ref="CJ2040:CK2040" si="296">AVERAGE(CJ2046,CJ2052,CJ2058,CJ2064,CJ2070,CJ2076,CJ2082,CJ2088,CJ2094)</f>
        <v>1.5022222222222221</v>
      </c>
      <c r="CK2040" s="282">
        <f t="shared" si="296"/>
        <v>1.56</v>
      </c>
      <c r="CN2040" s="284" t="s">
        <v>569</v>
      </c>
      <c r="JB2040" s="278" t="s">
        <v>2084</v>
      </c>
      <c r="JC2040" s="278" t="s">
        <v>2109</v>
      </c>
      <c r="JD2040" s="285"/>
    </row>
    <row r="2041" spans="1:264" s="291" customFormat="1" x14ac:dyDescent="0.25">
      <c r="A2041" s="286">
        <v>93</v>
      </c>
      <c r="B2041" s="544" t="s">
        <v>4203</v>
      </c>
      <c r="C2041" s="287" t="s">
        <v>768</v>
      </c>
      <c r="D2041" s="287" t="s">
        <v>2118</v>
      </c>
      <c r="E2041" s="287">
        <v>2002</v>
      </c>
      <c r="F2041" s="287">
        <v>1994</v>
      </c>
      <c r="G2041" s="287" t="s">
        <v>1749</v>
      </c>
      <c r="H2041" s="287" t="s">
        <v>2032</v>
      </c>
      <c r="I2041" s="278" t="s">
        <v>2815</v>
      </c>
      <c r="J2041" s="287">
        <v>32.57</v>
      </c>
      <c r="K2041" s="287">
        <v>-83.91</v>
      </c>
      <c r="L2041" s="287">
        <v>16</v>
      </c>
      <c r="M2041" s="287">
        <v>18.100000000000001</v>
      </c>
      <c r="N2041" s="287"/>
      <c r="O2041" s="287">
        <v>1258</v>
      </c>
      <c r="P2041" s="287"/>
      <c r="Q2041" s="287"/>
      <c r="R2041" s="287">
        <v>1</v>
      </c>
      <c r="S2041" s="288" t="s">
        <v>1982</v>
      </c>
      <c r="U2041" s="288" t="s">
        <v>2101</v>
      </c>
      <c r="V2041" s="287" t="s">
        <v>1379</v>
      </c>
      <c r="W2041" s="289">
        <v>20</v>
      </c>
      <c r="X2041" s="287" t="s">
        <v>1379</v>
      </c>
      <c r="Y2041" s="287" t="s">
        <v>1379</v>
      </c>
      <c r="Z2041" s="290">
        <v>1.39</v>
      </c>
      <c r="AA2041" s="371">
        <v>65</v>
      </c>
      <c r="AB2041" s="371">
        <v>25</v>
      </c>
      <c r="AC2041" s="287" t="s">
        <v>240</v>
      </c>
      <c r="AD2041" s="287">
        <v>6.5</v>
      </c>
      <c r="AE2041" s="287">
        <f t="shared" ref="AE2041:AE2046" si="297">23.9/(100*100*Z2041*0.2)*100</f>
        <v>0.85971223021582732</v>
      </c>
      <c r="AF2041" s="287"/>
      <c r="AG2041" s="287" t="s">
        <v>2036</v>
      </c>
      <c r="AH2041" s="287" t="s">
        <v>2033</v>
      </c>
      <c r="AI2041" s="287" t="s">
        <v>577</v>
      </c>
      <c r="AJ2041" s="287" t="s">
        <v>2035</v>
      </c>
      <c r="AK2041" s="287" t="s">
        <v>1616</v>
      </c>
      <c r="AL2041" s="287" t="s">
        <v>2035</v>
      </c>
      <c r="AM2041" s="287" t="s">
        <v>2035</v>
      </c>
      <c r="AN2041" s="287" t="s">
        <v>177</v>
      </c>
      <c r="AO2041" s="287" t="s">
        <v>1046</v>
      </c>
      <c r="AP2041" s="287" t="s">
        <v>1046</v>
      </c>
      <c r="AQ2041" s="287" t="s">
        <v>2126</v>
      </c>
      <c r="AR2041" s="287" t="s">
        <v>2126</v>
      </c>
      <c r="AS2041" s="291" t="s">
        <v>177</v>
      </c>
      <c r="AT2041" s="287" t="s">
        <v>2038</v>
      </c>
      <c r="AU2041" s="287" t="s">
        <v>2038</v>
      </c>
      <c r="AV2041" s="287" t="s">
        <v>177</v>
      </c>
      <c r="AW2041" s="253" t="s">
        <v>160</v>
      </c>
      <c r="AX2041" s="287">
        <v>4</v>
      </c>
      <c r="AY2041" s="287">
        <v>4</v>
      </c>
      <c r="AZ2041" s="253" t="s">
        <v>141</v>
      </c>
      <c r="BA2041" s="287"/>
      <c r="BD2041" s="287"/>
      <c r="BE2041" s="287"/>
      <c r="BK2041" s="287"/>
      <c r="BL2041" s="287"/>
      <c r="BM2041" s="287"/>
      <c r="BP2041" s="447"/>
      <c r="BQ2041" s="447"/>
      <c r="BU2041" s="395">
        <f t="shared" si="290"/>
        <v>0.85971223021582743</v>
      </c>
      <c r="BV2041" s="395">
        <f t="shared" si="291"/>
        <v>0.85971223021582743</v>
      </c>
      <c r="BZ2041" s="447">
        <v>23.9</v>
      </c>
      <c r="CA2041" s="447">
        <v>23.9</v>
      </c>
      <c r="CD2041" s="291" t="s">
        <v>2095</v>
      </c>
      <c r="CE2041" s="592">
        <v>23.9</v>
      </c>
      <c r="CF2041" s="592">
        <v>23.9</v>
      </c>
      <c r="CG2041" s="592"/>
      <c r="CH2041" s="592"/>
      <c r="CI2041" s="291" t="s">
        <v>4551</v>
      </c>
      <c r="CJ2041" s="291">
        <v>1.95</v>
      </c>
      <c r="CK2041" s="291">
        <v>1.95</v>
      </c>
      <c r="CN2041" s="291" t="s">
        <v>569</v>
      </c>
      <c r="JB2041" s="287" t="s">
        <v>2084</v>
      </c>
      <c r="JC2041" s="253" t="s">
        <v>2109</v>
      </c>
      <c r="JD2041" s="292"/>
    </row>
    <row r="2042" spans="1:264" s="291" customFormat="1" x14ac:dyDescent="0.25">
      <c r="A2042" s="286">
        <v>93</v>
      </c>
      <c r="B2042" s="544" t="s">
        <v>4203</v>
      </c>
      <c r="C2042" s="287" t="s">
        <v>768</v>
      </c>
      <c r="D2042" s="287" t="s">
        <v>2118</v>
      </c>
      <c r="E2042" s="287">
        <v>2002</v>
      </c>
      <c r="F2042" s="287">
        <v>1995</v>
      </c>
      <c r="G2042" s="287" t="s">
        <v>1749</v>
      </c>
      <c r="H2042" s="287" t="s">
        <v>2032</v>
      </c>
      <c r="I2042" s="278" t="s">
        <v>2815</v>
      </c>
      <c r="J2042" s="287">
        <v>32.57</v>
      </c>
      <c r="K2042" s="287">
        <v>-83.91</v>
      </c>
      <c r="L2042" s="287">
        <v>16</v>
      </c>
      <c r="M2042" s="287">
        <v>18.100000000000001</v>
      </c>
      <c r="N2042" s="287"/>
      <c r="O2042" s="287">
        <v>1258</v>
      </c>
      <c r="P2042" s="287"/>
      <c r="Q2042" s="287"/>
      <c r="R2042" s="287">
        <v>2</v>
      </c>
      <c r="S2042" s="288" t="s">
        <v>1982</v>
      </c>
      <c r="U2042" s="288" t="s">
        <v>2101</v>
      </c>
      <c r="V2042" s="287" t="s">
        <v>1379</v>
      </c>
      <c r="W2042" s="289">
        <v>20</v>
      </c>
      <c r="X2042" s="287" t="s">
        <v>1379</v>
      </c>
      <c r="Y2042" s="287" t="s">
        <v>1379</v>
      </c>
      <c r="Z2042" s="290">
        <v>1.39</v>
      </c>
      <c r="AA2042" s="371">
        <v>65</v>
      </c>
      <c r="AB2042" s="371">
        <v>25</v>
      </c>
      <c r="AC2042" s="287" t="s">
        <v>240</v>
      </c>
      <c r="AD2042" s="287">
        <v>6.5</v>
      </c>
      <c r="AE2042" s="287">
        <f t="shared" si="297"/>
        <v>0.85971223021582732</v>
      </c>
      <c r="AF2042" s="287"/>
      <c r="AG2042" s="287" t="s">
        <v>2036</v>
      </c>
      <c r="AH2042" s="287" t="s">
        <v>2033</v>
      </c>
      <c r="AI2042" s="287" t="s">
        <v>577</v>
      </c>
      <c r="AJ2042" s="287" t="s">
        <v>2035</v>
      </c>
      <c r="AK2042" s="287" t="s">
        <v>1616</v>
      </c>
      <c r="AL2042" s="287" t="s">
        <v>2035</v>
      </c>
      <c r="AM2042" s="287" t="s">
        <v>2035</v>
      </c>
      <c r="AN2042" s="287" t="s">
        <v>177</v>
      </c>
      <c r="AO2042" s="287" t="s">
        <v>1046</v>
      </c>
      <c r="AP2042" s="287" t="s">
        <v>1046</v>
      </c>
      <c r="AQ2042" s="287" t="s">
        <v>2126</v>
      </c>
      <c r="AR2042" s="287" t="s">
        <v>2126</v>
      </c>
      <c r="AS2042" s="291" t="s">
        <v>177</v>
      </c>
      <c r="AT2042" s="287" t="s">
        <v>2038</v>
      </c>
      <c r="AU2042" s="287" t="s">
        <v>2038</v>
      </c>
      <c r="AV2042" s="287" t="s">
        <v>177</v>
      </c>
      <c r="AW2042" s="253" t="s">
        <v>160</v>
      </c>
      <c r="AX2042" s="287">
        <v>4</v>
      </c>
      <c r="AY2042" s="287">
        <v>4</v>
      </c>
      <c r="AZ2042" s="253" t="s">
        <v>141</v>
      </c>
      <c r="BA2042" s="287"/>
      <c r="BB2042" s="287"/>
      <c r="BC2042" s="287"/>
      <c r="BD2042" s="287"/>
      <c r="BE2042" s="287"/>
      <c r="BK2042" s="287"/>
      <c r="BL2042" s="287"/>
      <c r="BM2042" s="287"/>
      <c r="BP2042" s="447"/>
      <c r="BQ2042" s="447"/>
      <c r="BU2042" s="395">
        <f t="shared" si="290"/>
        <v>0.73741007194244612</v>
      </c>
      <c r="BV2042" s="395">
        <f t="shared" si="291"/>
        <v>0.87050359712230241</v>
      </c>
      <c r="BZ2042" s="447">
        <v>20.5</v>
      </c>
      <c r="CA2042" s="447">
        <v>24.2</v>
      </c>
      <c r="CD2042" s="291" t="s">
        <v>2095</v>
      </c>
      <c r="CE2042" s="592">
        <v>20.5</v>
      </c>
      <c r="CF2042" s="592">
        <v>24.2</v>
      </c>
      <c r="CG2042" s="592"/>
      <c r="CH2042" s="592"/>
      <c r="CI2042" s="291" t="s">
        <v>4551</v>
      </c>
      <c r="CJ2042" s="291">
        <v>1.93</v>
      </c>
      <c r="CK2042" s="291">
        <v>2.08</v>
      </c>
      <c r="CN2042" s="291" t="s">
        <v>569</v>
      </c>
      <c r="JB2042" s="287" t="s">
        <v>2084</v>
      </c>
      <c r="JC2042" s="253" t="s">
        <v>2109</v>
      </c>
      <c r="JD2042" s="292"/>
    </row>
    <row r="2043" spans="1:264" s="291" customFormat="1" x14ac:dyDescent="0.25">
      <c r="A2043" s="286">
        <v>93</v>
      </c>
      <c r="B2043" s="544" t="s">
        <v>4203</v>
      </c>
      <c r="C2043" s="287" t="s">
        <v>768</v>
      </c>
      <c r="D2043" s="287" t="s">
        <v>2118</v>
      </c>
      <c r="E2043" s="287">
        <v>2002</v>
      </c>
      <c r="F2043" s="287">
        <v>1996</v>
      </c>
      <c r="G2043" s="287" t="s">
        <v>1749</v>
      </c>
      <c r="H2043" s="287" t="s">
        <v>2032</v>
      </c>
      <c r="I2043" s="278" t="s">
        <v>2815</v>
      </c>
      <c r="J2043" s="287">
        <v>32.57</v>
      </c>
      <c r="K2043" s="287">
        <v>-83.91</v>
      </c>
      <c r="L2043" s="287">
        <v>16</v>
      </c>
      <c r="M2043" s="287">
        <v>18.100000000000001</v>
      </c>
      <c r="N2043" s="287"/>
      <c r="O2043" s="287">
        <v>1258</v>
      </c>
      <c r="P2043" s="287"/>
      <c r="Q2043" s="287"/>
      <c r="R2043" s="287">
        <v>3</v>
      </c>
      <c r="S2043" s="288" t="s">
        <v>1982</v>
      </c>
      <c r="U2043" s="288" t="s">
        <v>2101</v>
      </c>
      <c r="V2043" s="287" t="s">
        <v>1379</v>
      </c>
      <c r="W2043" s="289">
        <v>20</v>
      </c>
      <c r="X2043" s="287" t="s">
        <v>1379</v>
      </c>
      <c r="Y2043" s="287" t="s">
        <v>1379</v>
      </c>
      <c r="Z2043" s="290">
        <v>1.39</v>
      </c>
      <c r="AA2043" s="371">
        <v>65</v>
      </c>
      <c r="AB2043" s="371">
        <v>25</v>
      </c>
      <c r="AC2043" s="287" t="s">
        <v>240</v>
      </c>
      <c r="AD2043" s="287">
        <v>6.5</v>
      </c>
      <c r="AE2043" s="287">
        <f t="shared" si="297"/>
        <v>0.85971223021582732</v>
      </c>
      <c r="AF2043" s="287"/>
      <c r="AG2043" s="287" t="s">
        <v>2036</v>
      </c>
      <c r="AH2043" s="287" t="s">
        <v>2033</v>
      </c>
      <c r="AI2043" s="287" t="s">
        <v>577</v>
      </c>
      <c r="AJ2043" s="287" t="s">
        <v>2035</v>
      </c>
      <c r="AK2043" s="287" t="s">
        <v>1616</v>
      </c>
      <c r="AL2043" s="287" t="s">
        <v>2035</v>
      </c>
      <c r="AM2043" s="287" t="s">
        <v>2035</v>
      </c>
      <c r="AN2043" s="287" t="s">
        <v>177</v>
      </c>
      <c r="AO2043" s="287" t="s">
        <v>1046</v>
      </c>
      <c r="AP2043" s="287" t="s">
        <v>1046</v>
      </c>
      <c r="AQ2043" s="287" t="s">
        <v>2126</v>
      </c>
      <c r="AR2043" s="287" t="s">
        <v>2126</v>
      </c>
      <c r="AS2043" s="291" t="s">
        <v>177</v>
      </c>
      <c r="AT2043" s="287" t="s">
        <v>2038</v>
      </c>
      <c r="AU2043" s="287" t="s">
        <v>2038</v>
      </c>
      <c r="AV2043" s="287" t="s">
        <v>177</v>
      </c>
      <c r="AW2043" s="253" t="s">
        <v>160</v>
      </c>
      <c r="AX2043" s="287">
        <v>4</v>
      </c>
      <c r="AY2043" s="287">
        <v>4</v>
      </c>
      <c r="AZ2043" s="253" t="s">
        <v>141</v>
      </c>
      <c r="BA2043" s="287"/>
      <c r="BD2043" s="287"/>
      <c r="BE2043" s="287"/>
      <c r="BK2043" s="287"/>
      <c r="BL2043" s="287"/>
      <c r="BM2043" s="287"/>
      <c r="BP2043" s="447"/>
      <c r="BQ2043" s="447"/>
      <c r="BU2043" s="395">
        <f t="shared" si="290"/>
        <v>0.93525179856115115</v>
      </c>
      <c r="BV2043" s="395">
        <f t="shared" si="291"/>
        <v>1.02158273381295</v>
      </c>
      <c r="BZ2043" s="447">
        <v>26</v>
      </c>
      <c r="CA2043" s="447">
        <v>28.4</v>
      </c>
      <c r="CD2043" s="291" t="s">
        <v>2095</v>
      </c>
      <c r="CE2043" s="592">
        <v>26</v>
      </c>
      <c r="CF2043" s="592">
        <v>28.4</v>
      </c>
      <c r="CG2043" s="592"/>
      <c r="CH2043" s="592"/>
      <c r="CI2043" s="291" t="s">
        <v>4551</v>
      </c>
      <c r="CJ2043" s="291">
        <v>2.29</v>
      </c>
      <c r="CK2043" s="291">
        <v>2.5099999999999998</v>
      </c>
      <c r="CN2043" s="291" t="s">
        <v>569</v>
      </c>
      <c r="JB2043" s="287" t="s">
        <v>2084</v>
      </c>
      <c r="JC2043" s="253" t="s">
        <v>2109</v>
      </c>
      <c r="JD2043" s="292"/>
    </row>
    <row r="2044" spans="1:264" s="291" customFormat="1" x14ac:dyDescent="0.25">
      <c r="A2044" s="286">
        <v>93</v>
      </c>
      <c r="B2044" s="544" t="s">
        <v>4203</v>
      </c>
      <c r="C2044" s="287" t="s">
        <v>768</v>
      </c>
      <c r="D2044" s="287" t="s">
        <v>2118</v>
      </c>
      <c r="E2044" s="287">
        <v>2002</v>
      </c>
      <c r="F2044" s="287">
        <v>1997</v>
      </c>
      <c r="G2044" s="287" t="s">
        <v>1749</v>
      </c>
      <c r="H2044" s="287" t="s">
        <v>2032</v>
      </c>
      <c r="I2044" s="278" t="s">
        <v>2815</v>
      </c>
      <c r="J2044" s="287">
        <v>32.57</v>
      </c>
      <c r="K2044" s="287">
        <v>-83.91</v>
      </c>
      <c r="L2044" s="287">
        <v>16</v>
      </c>
      <c r="M2044" s="287">
        <v>18.100000000000001</v>
      </c>
      <c r="N2044" s="287"/>
      <c r="O2044" s="287">
        <v>1258</v>
      </c>
      <c r="P2044" s="287"/>
      <c r="Q2044" s="287"/>
      <c r="R2044" s="287">
        <v>4</v>
      </c>
      <c r="S2044" s="288" t="s">
        <v>1982</v>
      </c>
      <c r="U2044" s="288" t="s">
        <v>2101</v>
      </c>
      <c r="V2044" s="287" t="s">
        <v>1379</v>
      </c>
      <c r="W2044" s="289">
        <v>20</v>
      </c>
      <c r="X2044" s="287" t="s">
        <v>1379</v>
      </c>
      <c r="Y2044" s="287" t="s">
        <v>1379</v>
      </c>
      <c r="Z2044" s="290">
        <v>1.39</v>
      </c>
      <c r="AA2044" s="371">
        <v>65</v>
      </c>
      <c r="AB2044" s="371">
        <v>25</v>
      </c>
      <c r="AC2044" s="287" t="s">
        <v>240</v>
      </c>
      <c r="AD2044" s="287">
        <v>6.5</v>
      </c>
      <c r="AE2044" s="287">
        <f t="shared" si="297"/>
        <v>0.85971223021582732</v>
      </c>
      <c r="AF2044" s="287"/>
      <c r="AG2044" s="287" t="s">
        <v>2036</v>
      </c>
      <c r="AH2044" s="287" t="s">
        <v>2033</v>
      </c>
      <c r="AI2044" s="287" t="s">
        <v>577</v>
      </c>
      <c r="AJ2044" s="287" t="s">
        <v>2035</v>
      </c>
      <c r="AK2044" s="287" t="s">
        <v>1616</v>
      </c>
      <c r="AL2044" s="287" t="s">
        <v>2035</v>
      </c>
      <c r="AM2044" s="287" t="s">
        <v>2035</v>
      </c>
      <c r="AN2044" s="287" t="s">
        <v>177</v>
      </c>
      <c r="AO2044" s="287" t="s">
        <v>1046</v>
      </c>
      <c r="AP2044" s="287" t="s">
        <v>1046</v>
      </c>
      <c r="AQ2044" s="287" t="s">
        <v>2126</v>
      </c>
      <c r="AR2044" s="287" t="s">
        <v>2126</v>
      </c>
      <c r="AS2044" s="291" t="s">
        <v>177</v>
      </c>
      <c r="AT2044" s="287" t="s">
        <v>2038</v>
      </c>
      <c r="AU2044" s="287" t="s">
        <v>2038</v>
      </c>
      <c r="AV2044" s="287" t="s">
        <v>177</v>
      </c>
      <c r="AW2044" s="253" t="s">
        <v>160</v>
      </c>
      <c r="AX2044" s="287">
        <v>4</v>
      </c>
      <c r="AY2044" s="287">
        <v>4</v>
      </c>
      <c r="AZ2044" s="253" t="s">
        <v>141</v>
      </c>
      <c r="BA2044" s="287"/>
      <c r="BB2044" s="287"/>
      <c r="BC2044" s="287"/>
      <c r="BD2044" s="287"/>
      <c r="BE2044" s="287"/>
      <c r="BK2044" s="287"/>
      <c r="BL2044" s="287"/>
      <c r="BM2044" s="287"/>
      <c r="BP2044" s="447"/>
      <c r="BQ2044" s="447"/>
      <c r="BU2044" s="395">
        <f t="shared" si="290"/>
        <v>0.78417266187050372</v>
      </c>
      <c r="BV2044" s="395">
        <f t="shared" si="291"/>
        <v>0.88129496402877716</v>
      </c>
      <c r="BZ2044" s="447">
        <v>21.8</v>
      </c>
      <c r="CA2044" s="447">
        <v>24.5</v>
      </c>
      <c r="CD2044" s="291" t="s">
        <v>2095</v>
      </c>
      <c r="CE2044" s="592">
        <v>21.8</v>
      </c>
      <c r="CF2044" s="592">
        <v>24.5</v>
      </c>
      <c r="CG2044" s="592"/>
      <c r="CH2044" s="592"/>
      <c r="CI2044" s="291" t="s">
        <v>4551</v>
      </c>
      <c r="CJ2044" s="291">
        <v>1.7</v>
      </c>
      <c r="CK2044" s="291">
        <v>2.38</v>
      </c>
      <c r="CN2044" s="291" t="s">
        <v>569</v>
      </c>
      <c r="JB2044" s="287" t="s">
        <v>2084</v>
      </c>
      <c r="JC2044" s="253" t="s">
        <v>2109</v>
      </c>
      <c r="JD2044" s="292"/>
    </row>
    <row r="2045" spans="1:264" s="291" customFormat="1" x14ac:dyDescent="0.25">
      <c r="A2045" s="286">
        <v>93</v>
      </c>
      <c r="B2045" s="544" t="s">
        <v>4203</v>
      </c>
      <c r="C2045" s="287" t="s">
        <v>768</v>
      </c>
      <c r="D2045" s="287" t="s">
        <v>2118</v>
      </c>
      <c r="E2045" s="287">
        <v>2002</v>
      </c>
      <c r="F2045" s="287">
        <v>1998</v>
      </c>
      <c r="G2045" s="287" t="s">
        <v>1749</v>
      </c>
      <c r="H2045" s="287" t="s">
        <v>2032</v>
      </c>
      <c r="I2045" s="278" t="s">
        <v>2815</v>
      </c>
      <c r="J2045" s="287">
        <v>32.57</v>
      </c>
      <c r="K2045" s="287">
        <v>-83.91</v>
      </c>
      <c r="L2045" s="287">
        <v>16</v>
      </c>
      <c r="M2045" s="287">
        <v>18.100000000000001</v>
      </c>
      <c r="N2045" s="287"/>
      <c r="O2045" s="287">
        <v>1258</v>
      </c>
      <c r="P2045" s="287"/>
      <c r="Q2045" s="287"/>
      <c r="R2045" s="287">
        <v>5</v>
      </c>
      <c r="S2045" s="288" t="s">
        <v>1982</v>
      </c>
      <c r="U2045" s="288" t="s">
        <v>2101</v>
      </c>
      <c r="V2045" s="287" t="s">
        <v>1379</v>
      </c>
      <c r="W2045" s="289">
        <v>20</v>
      </c>
      <c r="X2045" s="287" t="s">
        <v>1379</v>
      </c>
      <c r="Y2045" s="287" t="s">
        <v>1379</v>
      </c>
      <c r="Z2045" s="290">
        <v>1.39</v>
      </c>
      <c r="AA2045" s="371">
        <v>65</v>
      </c>
      <c r="AB2045" s="371">
        <v>25</v>
      </c>
      <c r="AC2045" s="287" t="s">
        <v>240</v>
      </c>
      <c r="AD2045" s="287">
        <v>6.5</v>
      </c>
      <c r="AE2045" s="287">
        <f t="shared" si="297"/>
        <v>0.85971223021582732</v>
      </c>
      <c r="AF2045" s="287"/>
      <c r="AG2045" s="287" t="s">
        <v>2036</v>
      </c>
      <c r="AH2045" s="287" t="s">
        <v>2033</v>
      </c>
      <c r="AI2045" s="287" t="s">
        <v>577</v>
      </c>
      <c r="AJ2045" s="287" t="s">
        <v>2035</v>
      </c>
      <c r="AK2045" s="287" t="s">
        <v>1616</v>
      </c>
      <c r="AL2045" s="287" t="s">
        <v>2035</v>
      </c>
      <c r="AM2045" s="287" t="s">
        <v>2035</v>
      </c>
      <c r="AN2045" s="287" t="s">
        <v>177</v>
      </c>
      <c r="AO2045" s="287" t="s">
        <v>1046</v>
      </c>
      <c r="AP2045" s="287" t="s">
        <v>1046</v>
      </c>
      <c r="AQ2045" s="287" t="s">
        <v>2126</v>
      </c>
      <c r="AR2045" s="287" t="s">
        <v>2126</v>
      </c>
      <c r="AS2045" s="291" t="s">
        <v>177</v>
      </c>
      <c r="AT2045" s="287" t="s">
        <v>2038</v>
      </c>
      <c r="AU2045" s="287" t="s">
        <v>2038</v>
      </c>
      <c r="AV2045" s="287" t="s">
        <v>177</v>
      </c>
      <c r="AW2045" s="253" t="s">
        <v>160</v>
      </c>
      <c r="AX2045" s="287">
        <v>4</v>
      </c>
      <c r="AY2045" s="287">
        <v>4</v>
      </c>
      <c r="AZ2045" s="253" t="s">
        <v>141</v>
      </c>
      <c r="BA2045" s="287"/>
      <c r="BB2045" s="287"/>
      <c r="BC2045" s="287"/>
      <c r="BD2045" s="287"/>
      <c r="BE2045" s="287"/>
      <c r="BK2045" s="287"/>
      <c r="BL2045" s="287"/>
      <c r="BM2045" s="287"/>
      <c r="BP2045" s="447"/>
      <c r="BQ2045" s="447"/>
      <c r="BU2045" s="395">
        <f t="shared" si="290"/>
        <v>0.7697841726618706</v>
      </c>
      <c r="BV2045" s="395">
        <f t="shared" si="291"/>
        <v>0.85971223021582743</v>
      </c>
      <c r="BZ2045" s="447">
        <v>21.4</v>
      </c>
      <c r="CA2045" s="447">
        <v>23.9</v>
      </c>
      <c r="CD2045" s="291" t="s">
        <v>2095</v>
      </c>
      <c r="CE2045" s="592">
        <v>21.4</v>
      </c>
      <c r="CF2045" s="592">
        <v>23.9</v>
      </c>
      <c r="CG2045" s="592"/>
      <c r="CH2045" s="592"/>
      <c r="CI2045" s="291" t="s">
        <v>4551</v>
      </c>
      <c r="CJ2045" s="291">
        <v>1.6</v>
      </c>
      <c r="CK2045" s="291">
        <v>1.65</v>
      </c>
      <c r="CN2045" s="291" t="s">
        <v>569</v>
      </c>
      <c r="JB2045" s="287" t="s">
        <v>2084</v>
      </c>
      <c r="JC2045" s="253" t="s">
        <v>2109</v>
      </c>
      <c r="JD2045" s="292"/>
    </row>
    <row r="2046" spans="1:264" s="291" customFormat="1" x14ac:dyDescent="0.25">
      <c r="A2046" s="286">
        <v>93</v>
      </c>
      <c r="B2046" s="544" t="s">
        <v>4203</v>
      </c>
      <c r="C2046" s="287" t="s">
        <v>768</v>
      </c>
      <c r="D2046" s="287" t="s">
        <v>2118</v>
      </c>
      <c r="E2046" s="287">
        <v>2002</v>
      </c>
      <c r="F2046" s="287">
        <v>1999</v>
      </c>
      <c r="G2046" s="287" t="s">
        <v>1749</v>
      </c>
      <c r="H2046" s="287" t="s">
        <v>2032</v>
      </c>
      <c r="I2046" s="278" t="s">
        <v>2815</v>
      </c>
      <c r="J2046" s="287">
        <v>32.57</v>
      </c>
      <c r="K2046" s="287">
        <v>-83.91</v>
      </c>
      <c r="L2046" s="287">
        <v>16</v>
      </c>
      <c r="M2046" s="287">
        <v>18.100000000000001</v>
      </c>
      <c r="N2046" s="287"/>
      <c r="O2046" s="287">
        <v>1258</v>
      </c>
      <c r="P2046" s="287"/>
      <c r="Q2046" s="287"/>
      <c r="R2046" s="287">
        <v>6</v>
      </c>
      <c r="S2046" s="288" t="s">
        <v>1982</v>
      </c>
      <c r="U2046" s="288" t="s">
        <v>2101</v>
      </c>
      <c r="V2046" s="287" t="s">
        <v>1379</v>
      </c>
      <c r="W2046" s="289">
        <v>20</v>
      </c>
      <c r="X2046" s="287" t="s">
        <v>1379</v>
      </c>
      <c r="Y2046" s="287" t="s">
        <v>1379</v>
      </c>
      <c r="Z2046" s="290">
        <v>1.39</v>
      </c>
      <c r="AA2046" s="371">
        <v>65</v>
      </c>
      <c r="AB2046" s="371">
        <v>25</v>
      </c>
      <c r="AC2046" s="287" t="s">
        <v>240</v>
      </c>
      <c r="AD2046" s="287">
        <v>6.5</v>
      </c>
      <c r="AE2046" s="287">
        <f t="shared" si="297"/>
        <v>0.85971223021582732</v>
      </c>
      <c r="AF2046" s="287"/>
      <c r="AG2046" s="287" t="s">
        <v>2036</v>
      </c>
      <c r="AH2046" s="287" t="s">
        <v>2033</v>
      </c>
      <c r="AI2046" s="287" t="s">
        <v>577</v>
      </c>
      <c r="AJ2046" s="287" t="s">
        <v>2106</v>
      </c>
      <c r="AK2046" s="287" t="s">
        <v>1616</v>
      </c>
      <c r="AL2046" s="287" t="s">
        <v>2035</v>
      </c>
      <c r="AM2046" s="287" t="s">
        <v>2035</v>
      </c>
      <c r="AN2046" s="287" t="s">
        <v>177</v>
      </c>
      <c r="AO2046" s="287" t="s">
        <v>1046</v>
      </c>
      <c r="AP2046" s="287" t="s">
        <v>1046</v>
      </c>
      <c r="AQ2046" s="287" t="s">
        <v>2126</v>
      </c>
      <c r="AR2046" s="287" t="s">
        <v>2126</v>
      </c>
      <c r="AS2046" s="291" t="s">
        <v>177</v>
      </c>
      <c r="AT2046" s="287" t="s">
        <v>2038</v>
      </c>
      <c r="AU2046" s="287" t="s">
        <v>2038</v>
      </c>
      <c r="AV2046" s="287" t="s">
        <v>177</v>
      </c>
      <c r="AW2046" s="253" t="s">
        <v>160</v>
      </c>
      <c r="AX2046" s="287">
        <v>4</v>
      </c>
      <c r="AY2046" s="287">
        <v>4</v>
      </c>
      <c r="AZ2046" s="253" t="s">
        <v>141</v>
      </c>
      <c r="BA2046" s="287"/>
      <c r="BB2046" s="287"/>
      <c r="BC2046" s="287"/>
      <c r="BD2046" s="287"/>
      <c r="BE2046" s="287"/>
      <c r="BK2046" s="287"/>
      <c r="BL2046" s="287"/>
      <c r="BM2046" s="287"/>
      <c r="BP2046" s="447"/>
      <c r="BQ2046" s="447"/>
      <c r="BU2046" s="395">
        <f t="shared" si="290"/>
        <v>0.7158273381294965</v>
      </c>
      <c r="BV2046" s="395">
        <f t="shared" si="291"/>
        <v>0.8776978417266188</v>
      </c>
      <c r="BZ2046" s="447">
        <v>19.899999999999999</v>
      </c>
      <c r="CA2046" s="447">
        <v>24.4</v>
      </c>
      <c r="CD2046" s="291" t="s">
        <v>2095</v>
      </c>
      <c r="CE2046" s="592">
        <v>19.899999999999999</v>
      </c>
      <c r="CF2046" s="592">
        <v>24.4</v>
      </c>
      <c r="CG2046" s="592"/>
      <c r="CH2046" s="592"/>
      <c r="CI2046" s="291" t="s">
        <v>4551</v>
      </c>
      <c r="CJ2046" s="291">
        <v>1.6</v>
      </c>
      <c r="CK2046" s="291">
        <v>1.72</v>
      </c>
      <c r="CN2046" s="291" t="s">
        <v>569</v>
      </c>
      <c r="JB2046" s="287" t="s">
        <v>2084</v>
      </c>
      <c r="JC2046" s="253" t="s">
        <v>2109</v>
      </c>
      <c r="JD2046" s="292"/>
    </row>
    <row r="2047" spans="1:264" s="92" customFormat="1" x14ac:dyDescent="0.25">
      <c r="A2047" s="252">
        <v>93</v>
      </c>
      <c r="B2047" s="539" t="s">
        <v>4204</v>
      </c>
      <c r="C2047" s="253" t="s">
        <v>768</v>
      </c>
      <c r="D2047" s="253" t="s">
        <v>2118</v>
      </c>
      <c r="E2047" s="253">
        <v>2002</v>
      </c>
      <c r="F2047" s="253">
        <v>1994</v>
      </c>
      <c r="G2047" s="253" t="s">
        <v>1749</v>
      </c>
      <c r="H2047" s="253" t="s">
        <v>2032</v>
      </c>
      <c r="I2047" s="278" t="s">
        <v>2815</v>
      </c>
      <c r="J2047" s="253">
        <v>32.57</v>
      </c>
      <c r="K2047" s="253">
        <v>-83.91</v>
      </c>
      <c r="L2047" s="253">
        <v>16</v>
      </c>
      <c r="M2047" s="253">
        <v>18.100000000000001</v>
      </c>
      <c r="N2047" s="253"/>
      <c r="O2047" s="253">
        <v>1258</v>
      </c>
      <c r="P2047" s="253"/>
      <c r="Q2047" s="253"/>
      <c r="R2047" s="253">
        <v>1</v>
      </c>
      <c r="S2047" s="255" t="s">
        <v>1982</v>
      </c>
      <c r="U2047" s="255" t="s">
        <v>2101</v>
      </c>
      <c r="V2047" s="253" t="s">
        <v>1379</v>
      </c>
      <c r="W2047" s="256">
        <v>20</v>
      </c>
      <c r="X2047" s="253" t="s">
        <v>1379</v>
      </c>
      <c r="Y2047" s="253" t="s">
        <v>1379</v>
      </c>
      <c r="Z2047" s="257">
        <v>1.39</v>
      </c>
      <c r="AA2047" s="372">
        <v>65</v>
      </c>
      <c r="AB2047" s="372">
        <v>25</v>
      </c>
      <c r="AC2047" s="253" t="s">
        <v>240</v>
      </c>
      <c r="AD2047" s="253">
        <v>6.5</v>
      </c>
      <c r="AE2047" s="253">
        <f t="shared" ref="AE2047:AE2064" si="298">23.9/(100*100*Z2047*0.2)*100</f>
        <v>0.85971223021582732</v>
      </c>
      <c r="AF2047" s="253"/>
      <c r="AG2047" s="253" t="s">
        <v>2036</v>
      </c>
      <c r="AH2047" s="253" t="s">
        <v>2033</v>
      </c>
      <c r="AI2047" s="253" t="s">
        <v>577</v>
      </c>
      <c r="AJ2047" s="253" t="s">
        <v>2035</v>
      </c>
      <c r="AK2047" s="253" t="s">
        <v>1616</v>
      </c>
      <c r="AL2047" s="253" t="s">
        <v>2035</v>
      </c>
      <c r="AM2047" s="253" t="s">
        <v>2035</v>
      </c>
      <c r="AN2047" s="253" t="s">
        <v>177</v>
      </c>
      <c r="AO2047" s="253" t="s">
        <v>1046</v>
      </c>
      <c r="AP2047" s="253" t="s">
        <v>1046</v>
      </c>
      <c r="AQ2047" s="287" t="s">
        <v>2126</v>
      </c>
      <c r="AR2047" s="287" t="s">
        <v>2126</v>
      </c>
      <c r="AS2047" s="291" t="s">
        <v>177</v>
      </c>
      <c r="AT2047" s="253" t="s">
        <v>2037</v>
      </c>
      <c r="AU2047" s="253" t="s">
        <v>2037</v>
      </c>
      <c r="AV2047" s="287" t="s">
        <v>177</v>
      </c>
      <c r="AW2047" s="253" t="s">
        <v>160</v>
      </c>
      <c r="AX2047" s="253">
        <v>4</v>
      </c>
      <c r="AY2047" s="253">
        <v>4</v>
      </c>
      <c r="AZ2047" s="253" t="s">
        <v>141</v>
      </c>
      <c r="BA2047" s="253"/>
      <c r="BD2047" s="253"/>
      <c r="BE2047" s="253"/>
      <c r="BK2047" s="253"/>
      <c r="BL2047" s="253"/>
      <c r="BM2047" s="253"/>
      <c r="BP2047" s="438"/>
      <c r="BQ2047" s="438"/>
      <c r="BU2047" s="395">
        <f t="shared" si="290"/>
        <v>0.85971223021582743</v>
      </c>
      <c r="BV2047" s="395">
        <f t="shared" si="291"/>
        <v>0.85971223021582743</v>
      </c>
      <c r="BZ2047" s="438">
        <v>23.9</v>
      </c>
      <c r="CA2047" s="438">
        <v>23.9</v>
      </c>
      <c r="CD2047" s="291" t="s">
        <v>2095</v>
      </c>
      <c r="CE2047" s="577">
        <v>23.9</v>
      </c>
      <c r="CF2047" s="577">
        <v>23.9</v>
      </c>
      <c r="CG2047" s="577"/>
      <c r="CH2047" s="577"/>
      <c r="CI2047" s="291" t="s">
        <v>4551</v>
      </c>
      <c r="CJ2047" s="92">
        <v>1.95</v>
      </c>
      <c r="CK2047" s="92">
        <v>1.95</v>
      </c>
      <c r="CN2047" s="291" t="s">
        <v>569</v>
      </c>
      <c r="JB2047" s="253" t="s">
        <v>2084</v>
      </c>
      <c r="JC2047" s="253" t="s">
        <v>2109</v>
      </c>
      <c r="JD2047" s="259"/>
    </row>
    <row r="2048" spans="1:264" s="92" customFormat="1" x14ac:dyDescent="0.25">
      <c r="A2048" s="252">
        <v>93</v>
      </c>
      <c r="B2048" s="539" t="s">
        <v>4204</v>
      </c>
      <c r="C2048" s="253" t="s">
        <v>768</v>
      </c>
      <c r="D2048" s="253" t="s">
        <v>2118</v>
      </c>
      <c r="E2048" s="253">
        <v>2002</v>
      </c>
      <c r="F2048" s="253">
        <v>1995</v>
      </c>
      <c r="G2048" s="253" t="s">
        <v>1749</v>
      </c>
      <c r="H2048" s="253" t="s">
        <v>2032</v>
      </c>
      <c r="I2048" s="278" t="s">
        <v>2815</v>
      </c>
      <c r="J2048" s="253">
        <v>32.57</v>
      </c>
      <c r="K2048" s="253">
        <v>-83.91</v>
      </c>
      <c r="L2048" s="253">
        <v>16</v>
      </c>
      <c r="M2048" s="253">
        <v>18.100000000000001</v>
      </c>
      <c r="N2048" s="253"/>
      <c r="O2048" s="253">
        <v>1258</v>
      </c>
      <c r="P2048" s="253"/>
      <c r="Q2048" s="253"/>
      <c r="R2048" s="253">
        <v>2</v>
      </c>
      <c r="S2048" s="255" t="s">
        <v>1982</v>
      </c>
      <c r="U2048" s="255" t="s">
        <v>2101</v>
      </c>
      <c r="V2048" s="253" t="s">
        <v>1379</v>
      </c>
      <c r="W2048" s="256">
        <v>20</v>
      </c>
      <c r="X2048" s="253" t="s">
        <v>1379</v>
      </c>
      <c r="Y2048" s="253" t="s">
        <v>1379</v>
      </c>
      <c r="Z2048" s="257">
        <v>1.39</v>
      </c>
      <c r="AA2048" s="372">
        <v>65</v>
      </c>
      <c r="AB2048" s="372">
        <v>25</v>
      </c>
      <c r="AC2048" s="253" t="s">
        <v>240</v>
      </c>
      <c r="AD2048" s="253">
        <v>6.5</v>
      </c>
      <c r="AE2048" s="253">
        <f t="shared" si="298"/>
        <v>0.85971223021582732</v>
      </c>
      <c r="AF2048" s="253"/>
      <c r="AG2048" s="253" t="s">
        <v>2036</v>
      </c>
      <c r="AH2048" s="253" t="s">
        <v>2033</v>
      </c>
      <c r="AI2048" s="253" t="s">
        <v>577</v>
      </c>
      <c r="AJ2048" s="253" t="s">
        <v>2035</v>
      </c>
      <c r="AK2048" s="253" t="s">
        <v>1616</v>
      </c>
      <c r="AL2048" s="253" t="s">
        <v>2035</v>
      </c>
      <c r="AM2048" s="253" t="s">
        <v>2035</v>
      </c>
      <c r="AN2048" s="253" t="s">
        <v>177</v>
      </c>
      <c r="AO2048" s="253" t="s">
        <v>1046</v>
      </c>
      <c r="AP2048" s="253" t="s">
        <v>1046</v>
      </c>
      <c r="AQ2048" s="287" t="s">
        <v>2126</v>
      </c>
      <c r="AR2048" s="287" t="s">
        <v>2126</v>
      </c>
      <c r="AS2048" s="291" t="s">
        <v>177</v>
      </c>
      <c r="AT2048" s="253" t="s">
        <v>2037</v>
      </c>
      <c r="AU2048" s="253" t="s">
        <v>2037</v>
      </c>
      <c r="AV2048" s="287" t="s">
        <v>177</v>
      </c>
      <c r="AW2048" s="253" t="s">
        <v>160</v>
      </c>
      <c r="AX2048" s="253">
        <v>4</v>
      </c>
      <c r="AY2048" s="253">
        <v>4</v>
      </c>
      <c r="AZ2048" s="253" t="s">
        <v>141</v>
      </c>
      <c r="BA2048" s="253"/>
      <c r="BB2048" s="253"/>
      <c r="BC2048" s="253"/>
      <c r="BD2048" s="253"/>
      <c r="BE2048" s="253"/>
      <c r="BK2048" s="253"/>
      <c r="BL2048" s="253"/>
      <c r="BM2048" s="253"/>
      <c r="BP2048" s="438"/>
      <c r="BQ2048" s="438"/>
      <c r="BU2048" s="395">
        <f t="shared" ref="BU2048:BU2079" si="299">(BZ2048*1000000)/(100*100*Z2048*W2048/100*1000000)*100</f>
        <v>0.77697841726618722</v>
      </c>
      <c r="BV2048" s="395">
        <f t="shared" ref="BV2048:BV2079" si="300">(CA2048*1000000)/(100*100*Z2048*W2048/100*1000000)*100</f>
        <v>0.76618705035971235</v>
      </c>
      <c r="BZ2048" s="438">
        <v>21.6</v>
      </c>
      <c r="CA2048" s="438">
        <v>21.3</v>
      </c>
      <c r="CD2048" s="291" t="s">
        <v>2095</v>
      </c>
      <c r="CE2048" s="577">
        <v>21.6</v>
      </c>
      <c r="CF2048" s="577">
        <v>21.3</v>
      </c>
      <c r="CG2048" s="577"/>
      <c r="CH2048" s="577"/>
      <c r="CI2048" s="291" t="s">
        <v>4551</v>
      </c>
      <c r="CJ2048" s="92">
        <v>1.8</v>
      </c>
      <c r="CK2048" s="92">
        <v>1.82</v>
      </c>
      <c r="CN2048" s="291" t="s">
        <v>569</v>
      </c>
      <c r="JB2048" s="253" t="s">
        <v>2084</v>
      </c>
      <c r="JC2048" s="253" t="s">
        <v>2109</v>
      </c>
      <c r="JD2048" s="259"/>
    </row>
    <row r="2049" spans="1:264" s="92" customFormat="1" x14ac:dyDescent="0.25">
      <c r="A2049" s="252">
        <v>93</v>
      </c>
      <c r="B2049" s="539" t="s">
        <v>4204</v>
      </c>
      <c r="C2049" s="253" t="s">
        <v>768</v>
      </c>
      <c r="D2049" s="253" t="s">
        <v>2118</v>
      </c>
      <c r="E2049" s="253">
        <v>2002</v>
      </c>
      <c r="F2049" s="253">
        <v>1996</v>
      </c>
      <c r="G2049" s="253" t="s">
        <v>1749</v>
      </c>
      <c r="H2049" s="253" t="s">
        <v>2032</v>
      </c>
      <c r="I2049" s="278" t="s">
        <v>2815</v>
      </c>
      <c r="J2049" s="253">
        <v>32.57</v>
      </c>
      <c r="K2049" s="253">
        <v>-83.91</v>
      </c>
      <c r="L2049" s="253">
        <v>16</v>
      </c>
      <c r="M2049" s="253">
        <v>18.100000000000001</v>
      </c>
      <c r="N2049" s="253"/>
      <c r="O2049" s="253">
        <v>1258</v>
      </c>
      <c r="P2049" s="253"/>
      <c r="Q2049" s="253"/>
      <c r="R2049" s="253">
        <v>3</v>
      </c>
      <c r="S2049" s="255" t="s">
        <v>1982</v>
      </c>
      <c r="U2049" s="255" t="s">
        <v>2101</v>
      </c>
      <c r="V2049" s="253" t="s">
        <v>1379</v>
      </c>
      <c r="W2049" s="256">
        <v>20</v>
      </c>
      <c r="X2049" s="253" t="s">
        <v>1379</v>
      </c>
      <c r="Y2049" s="253" t="s">
        <v>1379</v>
      </c>
      <c r="Z2049" s="257">
        <v>1.39</v>
      </c>
      <c r="AA2049" s="372">
        <v>65</v>
      </c>
      <c r="AB2049" s="372">
        <v>25</v>
      </c>
      <c r="AC2049" s="253" t="s">
        <v>240</v>
      </c>
      <c r="AD2049" s="253">
        <v>6.5</v>
      </c>
      <c r="AE2049" s="253">
        <f t="shared" si="298"/>
        <v>0.85971223021582732</v>
      </c>
      <c r="AF2049" s="253"/>
      <c r="AG2049" s="253" t="s">
        <v>2036</v>
      </c>
      <c r="AH2049" s="253" t="s">
        <v>2033</v>
      </c>
      <c r="AI2049" s="253" t="s">
        <v>577</v>
      </c>
      <c r="AJ2049" s="253" t="s">
        <v>2035</v>
      </c>
      <c r="AK2049" s="253" t="s">
        <v>1616</v>
      </c>
      <c r="AL2049" s="253" t="s">
        <v>2035</v>
      </c>
      <c r="AM2049" s="253" t="s">
        <v>2035</v>
      </c>
      <c r="AN2049" s="253" t="s">
        <v>177</v>
      </c>
      <c r="AO2049" s="253" t="s">
        <v>1046</v>
      </c>
      <c r="AP2049" s="253" t="s">
        <v>1046</v>
      </c>
      <c r="AQ2049" s="287" t="s">
        <v>2126</v>
      </c>
      <c r="AR2049" s="287" t="s">
        <v>2126</v>
      </c>
      <c r="AS2049" s="291" t="s">
        <v>177</v>
      </c>
      <c r="AT2049" s="253" t="s">
        <v>2037</v>
      </c>
      <c r="AU2049" s="253" t="s">
        <v>2037</v>
      </c>
      <c r="AV2049" s="287" t="s">
        <v>177</v>
      </c>
      <c r="AW2049" s="253" t="s">
        <v>160</v>
      </c>
      <c r="AX2049" s="253">
        <v>4</v>
      </c>
      <c r="AY2049" s="253">
        <v>4</v>
      </c>
      <c r="AZ2049" s="253" t="s">
        <v>141</v>
      </c>
      <c r="BA2049" s="253"/>
      <c r="BD2049" s="253"/>
      <c r="BE2049" s="253"/>
      <c r="BK2049" s="253"/>
      <c r="BL2049" s="253"/>
      <c r="BM2049" s="253"/>
      <c r="BP2049" s="438"/>
      <c r="BQ2049" s="438"/>
      <c r="BU2049" s="395">
        <f t="shared" si="299"/>
        <v>0.88129496402877716</v>
      </c>
      <c r="BV2049" s="395">
        <f t="shared" si="300"/>
        <v>0.96762589928057574</v>
      </c>
      <c r="BZ2049" s="438">
        <v>24.5</v>
      </c>
      <c r="CA2049" s="438">
        <v>26.9</v>
      </c>
      <c r="CD2049" s="291" t="s">
        <v>2095</v>
      </c>
      <c r="CE2049" s="577">
        <v>24.5</v>
      </c>
      <c r="CF2049" s="577">
        <v>26.9</v>
      </c>
      <c r="CG2049" s="577"/>
      <c r="CH2049" s="577"/>
      <c r="CI2049" s="291" t="s">
        <v>4551</v>
      </c>
      <c r="CJ2049" s="92">
        <v>2.33</v>
      </c>
      <c r="CK2049" s="92">
        <v>2.4700000000000002</v>
      </c>
      <c r="CN2049" s="291" t="s">
        <v>569</v>
      </c>
      <c r="JB2049" s="253" t="s">
        <v>2084</v>
      </c>
      <c r="JC2049" s="253" t="s">
        <v>2109</v>
      </c>
      <c r="JD2049" s="259"/>
    </row>
    <row r="2050" spans="1:264" s="92" customFormat="1" x14ac:dyDescent="0.25">
      <c r="A2050" s="252">
        <v>93</v>
      </c>
      <c r="B2050" s="539" t="s">
        <v>4204</v>
      </c>
      <c r="C2050" s="253" t="s">
        <v>768</v>
      </c>
      <c r="D2050" s="253" t="s">
        <v>2118</v>
      </c>
      <c r="E2050" s="253">
        <v>2002</v>
      </c>
      <c r="F2050" s="253">
        <v>1997</v>
      </c>
      <c r="G2050" s="253" t="s">
        <v>1749</v>
      </c>
      <c r="H2050" s="253" t="s">
        <v>2032</v>
      </c>
      <c r="I2050" s="278" t="s">
        <v>2815</v>
      </c>
      <c r="J2050" s="253">
        <v>32.57</v>
      </c>
      <c r="K2050" s="253">
        <v>-83.91</v>
      </c>
      <c r="L2050" s="253">
        <v>16</v>
      </c>
      <c r="M2050" s="253">
        <v>18.100000000000001</v>
      </c>
      <c r="N2050" s="253"/>
      <c r="O2050" s="253">
        <v>1258</v>
      </c>
      <c r="P2050" s="253"/>
      <c r="Q2050" s="253"/>
      <c r="R2050" s="253">
        <v>4</v>
      </c>
      <c r="S2050" s="255" t="s">
        <v>1982</v>
      </c>
      <c r="U2050" s="255" t="s">
        <v>2101</v>
      </c>
      <c r="V2050" s="253" t="s">
        <v>1379</v>
      </c>
      <c r="W2050" s="256">
        <v>20</v>
      </c>
      <c r="X2050" s="253" t="s">
        <v>1379</v>
      </c>
      <c r="Y2050" s="253" t="s">
        <v>1379</v>
      </c>
      <c r="Z2050" s="257">
        <v>1.39</v>
      </c>
      <c r="AA2050" s="372">
        <v>65</v>
      </c>
      <c r="AB2050" s="372">
        <v>25</v>
      </c>
      <c r="AC2050" s="253" t="s">
        <v>240</v>
      </c>
      <c r="AD2050" s="253">
        <v>6.5</v>
      </c>
      <c r="AE2050" s="253">
        <f t="shared" si="298"/>
        <v>0.85971223021582732</v>
      </c>
      <c r="AF2050" s="253"/>
      <c r="AG2050" s="253" t="s">
        <v>2036</v>
      </c>
      <c r="AH2050" s="253" t="s">
        <v>2033</v>
      </c>
      <c r="AI2050" s="253" t="s">
        <v>577</v>
      </c>
      <c r="AJ2050" s="253" t="s">
        <v>2035</v>
      </c>
      <c r="AK2050" s="253" t="s">
        <v>1616</v>
      </c>
      <c r="AL2050" s="253" t="s">
        <v>2035</v>
      </c>
      <c r="AM2050" s="253" t="s">
        <v>2035</v>
      </c>
      <c r="AN2050" s="253" t="s">
        <v>177</v>
      </c>
      <c r="AO2050" s="253" t="s">
        <v>1046</v>
      </c>
      <c r="AP2050" s="253" t="s">
        <v>1046</v>
      </c>
      <c r="AQ2050" s="287" t="s">
        <v>2126</v>
      </c>
      <c r="AR2050" s="287" t="s">
        <v>2126</v>
      </c>
      <c r="AS2050" s="291" t="s">
        <v>177</v>
      </c>
      <c r="AT2050" s="253" t="s">
        <v>2037</v>
      </c>
      <c r="AU2050" s="253" t="s">
        <v>2037</v>
      </c>
      <c r="AV2050" s="287" t="s">
        <v>177</v>
      </c>
      <c r="AW2050" s="253" t="s">
        <v>160</v>
      </c>
      <c r="AX2050" s="253">
        <v>4</v>
      </c>
      <c r="AY2050" s="253">
        <v>4</v>
      </c>
      <c r="AZ2050" s="253" t="s">
        <v>141</v>
      </c>
      <c r="BA2050" s="253"/>
      <c r="BB2050" s="253"/>
      <c r="BC2050" s="253"/>
      <c r="BD2050" s="253"/>
      <c r="BE2050" s="253"/>
      <c r="BK2050" s="253"/>
      <c r="BL2050" s="253"/>
      <c r="BM2050" s="253"/>
      <c r="BP2050" s="438"/>
      <c r="BQ2050" s="438"/>
      <c r="BU2050" s="395">
        <f t="shared" si="299"/>
        <v>0.82014388489208645</v>
      </c>
      <c r="BV2050" s="395">
        <f t="shared" si="300"/>
        <v>0.85971223021582743</v>
      </c>
      <c r="BZ2050" s="438">
        <v>22.8</v>
      </c>
      <c r="CA2050" s="438">
        <v>23.9</v>
      </c>
      <c r="CD2050" s="291" t="s">
        <v>2095</v>
      </c>
      <c r="CE2050" s="577">
        <v>22.8</v>
      </c>
      <c r="CF2050" s="577">
        <v>23.9</v>
      </c>
      <c r="CG2050" s="577"/>
      <c r="CH2050" s="577"/>
      <c r="CI2050" s="291" t="s">
        <v>4551</v>
      </c>
      <c r="CJ2050" s="92">
        <v>1.94</v>
      </c>
      <c r="CK2050" s="92">
        <v>2.02</v>
      </c>
      <c r="CN2050" s="291" t="s">
        <v>569</v>
      </c>
      <c r="JB2050" s="253" t="s">
        <v>2084</v>
      </c>
      <c r="JC2050" s="253" t="s">
        <v>2109</v>
      </c>
      <c r="JD2050" s="259"/>
    </row>
    <row r="2051" spans="1:264" s="92" customFormat="1" x14ac:dyDescent="0.25">
      <c r="A2051" s="252">
        <v>93</v>
      </c>
      <c r="B2051" s="539" t="s">
        <v>4204</v>
      </c>
      <c r="C2051" s="253" t="s">
        <v>768</v>
      </c>
      <c r="D2051" s="253" t="s">
        <v>2118</v>
      </c>
      <c r="E2051" s="253">
        <v>2002</v>
      </c>
      <c r="F2051" s="253">
        <v>1998</v>
      </c>
      <c r="G2051" s="253" t="s">
        <v>1749</v>
      </c>
      <c r="H2051" s="253" t="s">
        <v>2032</v>
      </c>
      <c r="I2051" s="278" t="s">
        <v>2815</v>
      </c>
      <c r="J2051" s="253">
        <v>32.57</v>
      </c>
      <c r="K2051" s="253">
        <v>-83.91</v>
      </c>
      <c r="L2051" s="253">
        <v>16</v>
      </c>
      <c r="M2051" s="253">
        <v>18.100000000000001</v>
      </c>
      <c r="N2051" s="253"/>
      <c r="O2051" s="253">
        <v>1258</v>
      </c>
      <c r="P2051" s="253"/>
      <c r="Q2051" s="253"/>
      <c r="R2051" s="253">
        <v>5</v>
      </c>
      <c r="S2051" s="255" t="s">
        <v>1982</v>
      </c>
      <c r="U2051" s="255" t="s">
        <v>2101</v>
      </c>
      <c r="V2051" s="253" t="s">
        <v>1379</v>
      </c>
      <c r="W2051" s="256">
        <v>20</v>
      </c>
      <c r="X2051" s="253" t="s">
        <v>1379</v>
      </c>
      <c r="Y2051" s="253" t="s">
        <v>1379</v>
      </c>
      <c r="Z2051" s="257">
        <v>1.39</v>
      </c>
      <c r="AA2051" s="372">
        <v>65</v>
      </c>
      <c r="AB2051" s="372">
        <v>25</v>
      </c>
      <c r="AC2051" s="253" t="s">
        <v>240</v>
      </c>
      <c r="AD2051" s="253">
        <v>6.5</v>
      </c>
      <c r="AE2051" s="253">
        <f t="shared" si="298"/>
        <v>0.85971223021582732</v>
      </c>
      <c r="AF2051" s="253"/>
      <c r="AG2051" s="253" t="s">
        <v>2036</v>
      </c>
      <c r="AH2051" s="253" t="s">
        <v>2033</v>
      </c>
      <c r="AI2051" s="253" t="s">
        <v>577</v>
      </c>
      <c r="AJ2051" s="253" t="s">
        <v>2035</v>
      </c>
      <c r="AK2051" s="253" t="s">
        <v>1616</v>
      </c>
      <c r="AL2051" s="253" t="s">
        <v>2035</v>
      </c>
      <c r="AM2051" s="253" t="s">
        <v>2035</v>
      </c>
      <c r="AN2051" s="253" t="s">
        <v>177</v>
      </c>
      <c r="AO2051" s="253" t="s">
        <v>1046</v>
      </c>
      <c r="AP2051" s="253" t="s">
        <v>1046</v>
      </c>
      <c r="AQ2051" s="287" t="s">
        <v>2126</v>
      </c>
      <c r="AR2051" s="287" t="s">
        <v>2126</v>
      </c>
      <c r="AS2051" s="291" t="s">
        <v>177</v>
      </c>
      <c r="AT2051" s="253" t="s">
        <v>2037</v>
      </c>
      <c r="AU2051" s="253" t="s">
        <v>2037</v>
      </c>
      <c r="AV2051" s="287" t="s">
        <v>177</v>
      </c>
      <c r="AW2051" s="253" t="s">
        <v>160</v>
      </c>
      <c r="AX2051" s="253">
        <v>4</v>
      </c>
      <c r="AY2051" s="253">
        <v>4</v>
      </c>
      <c r="AZ2051" s="253" t="s">
        <v>141</v>
      </c>
      <c r="BA2051" s="253"/>
      <c r="BB2051" s="253"/>
      <c r="BC2051" s="253"/>
      <c r="BD2051" s="253"/>
      <c r="BE2051" s="253"/>
      <c r="BK2051" s="253"/>
      <c r="BL2051" s="253"/>
      <c r="BM2051" s="253"/>
      <c r="BP2051" s="438"/>
      <c r="BQ2051" s="438"/>
      <c r="BU2051" s="395">
        <f t="shared" si="299"/>
        <v>0.7625899280575541</v>
      </c>
      <c r="BV2051" s="395">
        <f t="shared" si="300"/>
        <v>0.85971223021582743</v>
      </c>
      <c r="BZ2051" s="438">
        <v>21.2</v>
      </c>
      <c r="CA2051" s="438">
        <v>23.9</v>
      </c>
      <c r="CD2051" s="291" t="s">
        <v>2095</v>
      </c>
      <c r="CE2051" s="577">
        <v>21.2</v>
      </c>
      <c r="CF2051" s="577">
        <v>23.9</v>
      </c>
      <c r="CG2051" s="577"/>
      <c r="CH2051" s="577"/>
      <c r="CI2051" s="291" t="s">
        <v>4551</v>
      </c>
      <c r="CJ2051" s="92">
        <v>1.57</v>
      </c>
      <c r="CK2051" s="92">
        <v>1.74</v>
      </c>
      <c r="CN2051" s="291" t="s">
        <v>569</v>
      </c>
      <c r="JB2051" s="253" t="s">
        <v>2084</v>
      </c>
      <c r="JC2051" s="253" t="s">
        <v>2109</v>
      </c>
      <c r="JD2051" s="259"/>
    </row>
    <row r="2052" spans="1:264" s="92" customFormat="1" x14ac:dyDescent="0.25">
      <c r="A2052" s="252">
        <v>93</v>
      </c>
      <c r="B2052" s="539" t="s">
        <v>4204</v>
      </c>
      <c r="C2052" s="253" t="s">
        <v>768</v>
      </c>
      <c r="D2052" s="253" t="s">
        <v>2118</v>
      </c>
      <c r="E2052" s="253">
        <v>2002</v>
      </c>
      <c r="F2052" s="253">
        <v>1999</v>
      </c>
      <c r="G2052" s="253" t="s">
        <v>1749</v>
      </c>
      <c r="H2052" s="253" t="s">
        <v>2032</v>
      </c>
      <c r="I2052" s="278" t="s">
        <v>2815</v>
      </c>
      <c r="J2052" s="253">
        <v>32.57</v>
      </c>
      <c r="K2052" s="253">
        <v>-83.91</v>
      </c>
      <c r="L2052" s="253">
        <v>16</v>
      </c>
      <c r="M2052" s="253">
        <v>18.100000000000001</v>
      </c>
      <c r="N2052" s="253"/>
      <c r="O2052" s="253">
        <v>1258</v>
      </c>
      <c r="P2052" s="253"/>
      <c r="Q2052" s="253"/>
      <c r="R2052" s="253">
        <v>6</v>
      </c>
      <c r="S2052" s="255" t="s">
        <v>1982</v>
      </c>
      <c r="U2052" s="255" t="s">
        <v>2101</v>
      </c>
      <c r="V2052" s="253" t="s">
        <v>1379</v>
      </c>
      <c r="W2052" s="256">
        <v>20</v>
      </c>
      <c r="X2052" s="253" t="s">
        <v>1379</v>
      </c>
      <c r="Y2052" s="253" t="s">
        <v>1379</v>
      </c>
      <c r="Z2052" s="257">
        <v>1.39</v>
      </c>
      <c r="AA2052" s="372">
        <v>65</v>
      </c>
      <c r="AB2052" s="372">
        <v>25</v>
      </c>
      <c r="AC2052" s="253" t="s">
        <v>240</v>
      </c>
      <c r="AD2052" s="253">
        <v>6.5</v>
      </c>
      <c r="AE2052" s="253">
        <f t="shared" si="298"/>
        <v>0.85971223021582732</v>
      </c>
      <c r="AF2052" s="253"/>
      <c r="AG2052" s="253" t="s">
        <v>2036</v>
      </c>
      <c r="AH2052" s="253" t="s">
        <v>2033</v>
      </c>
      <c r="AI2052" s="253" t="s">
        <v>577</v>
      </c>
      <c r="AJ2052" s="253" t="s">
        <v>2106</v>
      </c>
      <c r="AK2052" s="253" t="s">
        <v>1616</v>
      </c>
      <c r="AL2052" s="253" t="s">
        <v>2035</v>
      </c>
      <c r="AM2052" s="253" t="s">
        <v>2035</v>
      </c>
      <c r="AN2052" s="253" t="s">
        <v>177</v>
      </c>
      <c r="AO2052" s="253" t="s">
        <v>1046</v>
      </c>
      <c r="AP2052" s="253" t="s">
        <v>1046</v>
      </c>
      <c r="AQ2052" s="287" t="s">
        <v>2126</v>
      </c>
      <c r="AR2052" s="287" t="s">
        <v>2126</v>
      </c>
      <c r="AS2052" s="291" t="s">
        <v>177</v>
      </c>
      <c r="AT2052" s="253" t="s">
        <v>2037</v>
      </c>
      <c r="AU2052" s="253" t="s">
        <v>2037</v>
      </c>
      <c r="AV2052" s="287" t="s">
        <v>177</v>
      </c>
      <c r="AW2052" s="253" t="s">
        <v>160</v>
      </c>
      <c r="AX2052" s="253">
        <v>4</v>
      </c>
      <c r="AY2052" s="253">
        <v>4</v>
      </c>
      <c r="AZ2052" s="253" t="s">
        <v>141</v>
      </c>
      <c r="BA2052" s="253"/>
      <c r="BB2052" s="253"/>
      <c r="BC2052" s="253"/>
      <c r="BD2052" s="253"/>
      <c r="BE2052" s="253"/>
      <c r="BK2052" s="253"/>
      <c r="BL2052" s="253"/>
      <c r="BM2052" s="253"/>
      <c r="BP2052" s="438"/>
      <c r="BQ2052" s="438"/>
      <c r="BU2052" s="395">
        <f t="shared" si="299"/>
        <v>0.71223021582733825</v>
      </c>
      <c r="BV2052" s="395">
        <f t="shared" si="300"/>
        <v>0.87410071942446055</v>
      </c>
      <c r="BZ2052" s="438">
        <v>19.8</v>
      </c>
      <c r="CA2052" s="438">
        <v>24.3</v>
      </c>
      <c r="CD2052" s="291" t="s">
        <v>2095</v>
      </c>
      <c r="CE2052" s="577">
        <v>19.8</v>
      </c>
      <c r="CF2052" s="577">
        <v>24.3</v>
      </c>
      <c r="CG2052" s="577"/>
      <c r="CH2052" s="577"/>
      <c r="CI2052" s="291" t="s">
        <v>4551</v>
      </c>
      <c r="CJ2052" s="92">
        <v>1.48</v>
      </c>
      <c r="CK2052" s="92">
        <v>1.74</v>
      </c>
      <c r="CN2052" s="291" t="s">
        <v>569</v>
      </c>
      <c r="JB2052" s="253" t="s">
        <v>2084</v>
      </c>
      <c r="JC2052" s="253" t="s">
        <v>2109</v>
      </c>
      <c r="JD2052" s="259"/>
    </row>
    <row r="2053" spans="1:264" s="291" customFormat="1" x14ac:dyDescent="0.25">
      <c r="A2053" s="286">
        <v>93</v>
      </c>
      <c r="B2053" s="544" t="s">
        <v>4205</v>
      </c>
      <c r="C2053" s="287" t="s">
        <v>768</v>
      </c>
      <c r="D2053" s="287" t="s">
        <v>2118</v>
      </c>
      <c r="E2053" s="287">
        <v>2002</v>
      </c>
      <c r="F2053" s="287">
        <v>1994</v>
      </c>
      <c r="G2053" s="287" t="s">
        <v>1749</v>
      </c>
      <c r="H2053" s="287" t="s">
        <v>2032</v>
      </c>
      <c r="I2053" s="278" t="s">
        <v>2815</v>
      </c>
      <c r="J2053" s="287">
        <v>32.57</v>
      </c>
      <c r="K2053" s="287">
        <v>-83.91</v>
      </c>
      <c r="L2053" s="287">
        <v>16</v>
      </c>
      <c r="M2053" s="287">
        <v>18.100000000000001</v>
      </c>
      <c r="N2053" s="287"/>
      <c r="O2053" s="287">
        <v>1258</v>
      </c>
      <c r="P2053" s="287"/>
      <c r="Q2053" s="287"/>
      <c r="R2053" s="287">
        <v>1</v>
      </c>
      <c r="S2053" s="288" t="s">
        <v>1982</v>
      </c>
      <c r="U2053" s="288" t="s">
        <v>2101</v>
      </c>
      <c r="V2053" s="287" t="s">
        <v>1379</v>
      </c>
      <c r="W2053" s="289">
        <v>20</v>
      </c>
      <c r="X2053" s="287" t="s">
        <v>1379</v>
      </c>
      <c r="Y2053" s="287" t="s">
        <v>1379</v>
      </c>
      <c r="Z2053" s="290">
        <v>1.39</v>
      </c>
      <c r="AA2053" s="371">
        <v>65</v>
      </c>
      <c r="AB2053" s="371">
        <v>25</v>
      </c>
      <c r="AC2053" s="287" t="s">
        <v>240</v>
      </c>
      <c r="AD2053" s="287">
        <v>6.5</v>
      </c>
      <c r="AE2053" s="287">
        <f t="shared" si="298"/>
        <v>0.85971223021582732</v>
      </c>
      <c r="AF2053" s="287"/>
      <c r="AG2053" s="287" t="s">
        <v>2036</v>
      </c>
      <c r="AH2053" s="287" t="s">
        <v>2033</v>
      </c>
      <c r="AI2053" s="287" t="s">
        <v>577</v>
      </c>
      <c r="AJ2053" s="287" t="s">
        <v>2035</v>
      </c>
      <c r="AK2053" s="287" t="s">
        <v>1616</v>
      </c>
      <c r="AL2053" s="287" t="s">
        <v>2035</v>
      </c>
      <c r="AM2053" s="287" t="s">
        <v>2035</v>
      </c>
      <c r="AN2053" s="287" t="s">
        <v>177</v>
      </c>
      <c r="AO2053" s="287" t="s">
        <v>1046</v>
      </c>
      <c r="AP2053" s="287" t="s">
        <v>1046</v>
      </c>
      <c r="AQ2053" s="287" t="s">
        <v>2126</v>
      </c>
      <c r="AR2053" s="287" t="s">
        <v>2126</v>
      </c>
      <c r="AS2053" s="291" t="s">
        <v>177</v>
      </c>
      <c r="AT2053" s="287" t="s">
        <v>2034</v>
      </c>
      <c r="AU2053" s="287" t="s">
        <v>2034</v>
      </c>
      <c r="AV2053" s="287" t="s">
        <v>177</v>
      </c>
      <c r="AW2053" s="253" t="s">
        <v>160</v>
      </c>
      <c r="AX2053" s="287">
        <v>4</v>
      </c>
      <c r="AY2053" s="287">
        <v>4</v>
      </c>
      <c r="AZ2053" s="253" t="s">
        <v>141</v>
      </c>
      <c r="BA2053" s="287"/>
      <c r="BD2053" s="287"/>
      <c r="BE2053" s="287"/>
      <c r="BK2053" s="287"/>
      <c r="BL2053" s="287"/>
      <c r="BM2053" s="287"/>
      <c r="BP2053" s="447"/>
      <c r="BQ2053" s="447"/>
      <c r="BU2053" s="395">
        <f t="shared" si="299"/>
        <v>0.85971223021582743</v>
      </c>
      <c r="BV2053" s="395">
        <f t="shared" si="300"/>
        <v>0.85971223021582743</v>
      </c>
      <c r="BZ2053" s="447">
        <v>23.9</v>
      </c>
      <c r="CA2053" s="447">
        <v>23.9</v>
      </c>
      <c r="CD2053" s="291" t="s">
        <v>2095</v>
      </c>
      <c r="CE2053" s="592">
        <v>23.9</v>
      </c>
      <c r="CF2053" s="592">
        <v>23.9</v>
      </c>
      <c r="CG2053" s="592"/>
      <c r="CH2053" s="592"/>
      <c r="CI2053" s="291" t="s">
        <v>4551</v>
      </c>
      <c r="CJ2053" s="291">
        <v>1.95</v>
      </c>
      <c r="CK2053" s="291">
        <v>1.95</v>
      </c>
      <c r="CN2053" s="291" t="s">
        <v>569</v>
      </c>
      <c r="JB2053" s="287" t="s">
        <v>2084</v>
      </c>
      <c r="JC2053" s="253" t="s">
        <v>2109</v>
      </c>
      <c r="JD2053" s="292"/>
    </row>
    <row r="2054" spans="1:264" s="291" customFormat="1" x14ac:dyDescent="0.25">
      <c r="A2054" s="286">
        <v>93</v>
      </c>
      <c r="B2054" s="544" t="s">
        <v>4205</v>
      </c>
      <c r="C2054" s="287" t="s">
        <v>768</v>
      </c>
      <c r="D2054" s="287" t="s">
        <v>2118</v>
      </c>
      <c r="E2054" s="287">
        <v>2002</v>
      </c>
      <c r="F2054" s="287">
        <v>1995</v>
      </c>
      <c r="G2054" s="287" t="s">
        <v>1749</v>
      </c>
      <c r="H2054" s="287" t="s">
        <v>2032</v>
      </c>
      <c r="I2054" s="278" t="s">
        <v>2815</v>
      </c>
      <c r="J2054" s="287">
        <v>32.57</v>
      </c>
      <c r="K2054" s="287">
        <v>-83.91</v>
      </c>
      <c r="L2054" s="287">
        <v>16</v>
      </c>
      <c r="M2054" s="287">
        <v>18.100000000000001</v>
      </c>
      <c r="N2054" s="287"/>
      <c r="O2054" s="287">
        <v>1258</v>
      </c>
      <c r="P2054" s="287"/>
      <c r="Q2054" s="287"/>
      <c r="R2054" s="287">
        <v>2</v>
      </c>
      <c r="S2054" s="288" t="s">
        <v>1982</v>
      </c>
      <c r="U2054" s="288" t="s">
        <v>2101</v>
      </c>
      <c r="V2054" s="287" t="s">
        <v>1379</v>
      </c>
      <c r="W2054" s="289">
        <v>20</v>
      </c>
      <c r="X2054" s="287" t="s">
        <v>1379</v>
      </c>
      <c r="Y2054" s="287" t="s">
        <v>1379</v>
      </c>
      <c r="Z2054" s="290">
        <v>1.39</v>
      </c>
      <c r="AA2054" s="371">
        <v>65</v>
      </c>
      <c r="AB2054" s="371">
        <v>25</v>
      </c>
      <c r="AC2054" s="287" t="s">
        <v>240</v>
      </c>
      <c r="AD2054" s="287">
        <v>6.5</v>
      </c>
      <c r="AE2054" s="287">
        <f t="shared" si="298"/>
        <v>0.85971223021582732</v>
      </c>
      <c r="AF2054" s="287"/>
      <c r="AG2054" s="287" t="s">
        <v>2036</v>
      </c>
      <c r="AH2054" s="287" t="s">
        <v>2033</v>
      </c>
      <c r="AI2054" s="287" t="s">
        <v>577</v>
      </c>
      <c r="AJ2054" s="287" t="s">
        <v>2035</v>
      </c>
      <c r="AK2054" s="287" t="s">
        <v>1616</v>
      </c>
      <c r="AL2054" s="287" t="s">
        <v>2035</v>
      </c>
      <c r="AM2054" s="287" t="s">
        <v>2035</v>
      </c>
      <c r="AN2054" s="287" t="s">
        <v>177</v>
      </c>
      <c r="AO2054" s="287" t="s">
        <v>1046</v>
      </c>
      <c r="AP2054" s="287" t="s">
        <v>1046</v>
      </c>
      <c r="AQ2054" s="287" t="s">
        <v>2126</v>
      </c>
      <c r="AR2054" s="287" t="s">
        <v>2126</v>
      </c>
      <c r="AS2054" s="291" t="s">
        <v>177</v>
      </c>
      <c r="AT2054" s="287" t="s">
        <v>2034</v>
      </c>
      <c r="AU2054" s="287" t="s">
        <v>2034</v>
      </c>
      <c r="AV2054" s="287" t="s">
        <v>177</v>
      </c>
      <c r="AW2054" s="253" t="s">
        <v>160</v>
      </c>
      <c r="AX2054" s="287">
        <v>4</v>
      </c>
      <c r="AY2054" s="287">
        <v>4</v>
      </c>
      <c r="AZ2054" s="253" t="s">
        <v>141</v>
      </c>
      <c r="BA2054" s="287"/>
      <c r="BB2054" s="287"/>
      <c r="BC2054" s="287"/>
      <c r="BD2054" s="287"/>
      <c r="BE2054" s="287"/>
      <c r="BK2054" s="287"/>
      <c r="BL2054" s="287"/>
      <c r="BM2054" s="287"/>
      <c r="BP2054" s="447"/>
      <c r="BQ2054" s="447"/>
      <c r="BU2054" s="395">
        <f t="shared" si="299"/>
        <v>0.8093525179856117</v>
      </c>
      <c r="BV2054" s="395">
        <f t="shared" si="300"/>
        <v>0.76618705035971235</v>
      </c>
      <c r="BZ2054" s="447">
        <v>22.5</v>
      </c>
      <c r="CA2054" s="447">
        <v>21.3</v>
      </c>
      <c r="CD2054" s="291" t="s">
        <v>2095</v>
      </c>
      <c r="CE2054" s="592">
        <v>22.5</v>
      </c>
      <c r="CF2054" s="592">
        <v>21.3</v>
      </c>
      <c r="CG2054" s="592"/>
      <c r="CH2054" s="592"/>
      <c r="CI2054" s="291" t="s">
        <v>4551</v>
      </c>
      <c r="CJ2054" s="291">
        <v>2.0499999999999998</v>
      </c>
      <c r="CK2054" s="291">
        <v>1.72</v>
      </c>
      <c r="CN2054" s="291" t="s">
        <v>569</v>
      </c>
      <c r="JB2054" s="287" t="s">
        <v>2084</v>
      </c>
      <c r="JC2054" s="253" t="s">
        <v>2109</v>
      </c>
      <c r="JD2054" s="292"/>
    </row>
    <row r="2055" spans="1:264" s="291" customFormat="1" x14ac:dyDescent="0.25">
      <c r="A2055" s="286">
        <v>93</v>
      </c>
      <c r="B2055" s="544" t="s">
        <v>4205</v>
      </c>
      <c r="C2055" s="287" t="s">
        <v>768</v>
      </c>
      <c r="D2055" s="287" t="s">
        <v>2118</v>
      </c>
      <c r="E2055" s="287">
        <v>2002</v>
      </c>
      <c r="F2055" s="287">
        <v>1996</v>
      </c>
      <c r="G2055" s="287" t="s">
        <v>1749</v>
      </c>
      <c r="H2055" s="287" t="s">
        <v>2032</v>
      </c>
      <c r="I2055" s="278" t="s">
        <v>2815</v>
      </c>
      <c r="J2055" s="287">
        <v>32.57</v>
      </c>
      <c r="K2055" s="287">
        <v>-83.91</v>
      </c>
      <c r="L2055" s="287">
        <v>16</v>
      </c>
      <c r="M2055" s="287">
        <v>18.100000000000001</v>
      </c>
      <c r="N2055" s="287"/>
      <c r="O2055" s="287">
        <v>1258</v>
      </c>
      <c r="P2055" s="287"/>
      <c r="Q2055" s="287"/>
      <c r="R2055" s="287">
        <v>3</v>
      </c>
      <c r="S2055" s="288" t="s">
        <v>1982</v>
      </c>
      <c r="U2055" s="288" t="s">
        <v>2101</v>
      </c>
      <c r="V2055" s="287" t="s">
        <v>1379</v>
      </c>
      <c r="W2055" s="289">
        <v>20</v>
      </c>
      <c r="X2055" s="287" t="s">
        <v>1379</v>
      </c>
      <c r="Y2055" s="287" t="s">
        <v>1379</v>
      </c>
      <c r="Z2055" s="290">
        <v>1.39</v>
      </c>
      <c r="AA2055" s="371">
        <v>65</v>
      </c>
      <c r="AB2055" s="371">
        <v>25</v>
      </c>
      <c r="AC2055" s="287" t="s">
        <v>240</v>
      </c>
      <c r="AD2055" s="287">
        <v>6.5</v>
      </c>
      <c r="AE2055" s="287">
        <f t="shared" si="298"/>
        <v>0.85971223021582732</v>
      </c>
      <c r="AF2055" s="287"/>
      <c r="AG2055" s="287" t="s">
        <v>2036</v>
      </c>
      <c r="AH2055" s="287" t="s">
        <v>2033</v>
      </c>
      <c r="AI2055" s="287" t="s">
        <v>577</v>
      </c>
      <c r="AJ2055" s="287" t="s">
        <v>2035</v>
      </c>
      <c r="AK2055" s="287" t="s">
        <v>1616</v>
      </c>
      <c r="AL2055" s="287" t="s">
        <v>2035</v>
      </c>
      <c r="AM2055" s="287" t="s">
        <v>2035</v>
      </c>
      <c r="AN2055" s="287" t="s">
        <v>177</v>
      </c>
      <c r="AO2055" s="287" t="s">
        <v>1046</v>
      </c>
      <c r="AP2055" s="287" t="s">
        <v>1046</v>
      </c>
      <c r="AQ2055" s="287" t="s">
        <v>2126</v>
      </c>
      <c r="AR2055" s="287" t="s">
        <v>2126</v>
      </c>
      <c r="AS2055" s="291" t="s">
        <v>177</v>
      </c>
      <c r="AT2055" s="287" t="s">
        <v>2034</v>
      </c>
      <c r="AU2055" s="287" t="s">
        <v>2034</v>
      </c>
      <c r="AV2055" s="287" t="s">
        <v>177</v>
      </c>
      <c r="AW2055" s="253" t="s">
        <v>160</v>
      </c>
      <c r="AX2055" s="287">
        <v>4</v>
      </c>
      <c r="AY2055" s="287">
        <v>4</v>
      </c>
      <c r="AZ2055" s="253" t="s">
        <v>141</v>
      </c>
      <c r="BA2055" s="287"/>
      <c r="BD2055" s="287"/>
      <c r="BE2055" s="287"/>
      <c r="BK2055" s="287"/>
      <c r="BL2055" s="287"/>
      <c r="BM2055" s="287"/>
      <c r="BP2055" s="447"/>
      <c r="BQ2055" s="447"/>
      <c r="BU2055" s="395">
        <f t="shared" si="299"/>
        <v>1.035971223021583</v>
      </c>
      <c r="BV2055" s="395">
        <f t="shared" si="300"/>
        <v>0.89208633093525191</v>
      </c>
      <c r="BZ2055" s="447">
        <v>28.8</v>
      </c>
      <c r="CA2055" s="447">
        <v>24.8</v>
      </c>
      <c r="CD2055" s="291" t="s">
        <v>2095</v>
      </c>
      <c r="CE2055" s="592">
        <v>28.8</v>
      </c>
      <c r="CF2055" s="592">
        <v>24.8</v>
      </c>
      <c r="CG2055" s="592"/>
      <c r="CH2055" s="592"/>
      <c r="CI2055" s="291" t="s">
        <v>4551</v>
      </c>
      <c r="CJ2055" s="291">
        <v>2.54</v>
      </c>
      <c r="CK2055" s="291">
        <v>2.02</v>
      </c>
      <c r="CN2055" s="291" t="s">
        <v>569</v>
      </c>
      <c r="JB2055" s="287" t="s">
        <v>2084</v>
      </c>
      <c r="JC2055" s="253" t="s">
        <v>2109</v>
      </c>
      <c r="JD2055" s="292"/>
    </row>
    <row r="2056" spans="1:264" s="291" customFormat="1" x14ac:dyDescent="0.25">
      <c r="A2056" s="286">
        <v>93</v>
      </c>
      <c r="B2056" s="544" t="s">
        <v>4205</v>
      </c>
      <c r="C2056" s="287" t="s">
        <v>768</v>
      </c>
      <c r="D2056" s="287" t="s">
        <v>2118</v>
      </c>
      <c r="E2056" s="287">
        <v>2002</v>
      </c>
      <c r="F2056" s="287">
        <v>1997</v>
      </c>
      <c r="G2056" s="287" t="s">
        <v>1749</v>
      </c>
      <c r="H2056" s="287" t="s">
        <v>2032</v>
      </c>
      <c r="I2056" s="278" t="s">
        <v>2815</v>
      </c>
      <c r="J2056" s="287">
        <v>32.57</v>
      </c>
      <c r="K2056" s="287">
        <v>-83.91</v>
      </c>
      <c r="L2056" s="287">
        <v>16</v>
      </c>
      <c r="M2056" s="287">
        <v>18.100000000000001</v>
      </c>
      <c r="N2056" s="287"/>
      <c r="O2056" s="287">
        <v>1258</v>
      </c>
      <c r="P2056" s="287"/>
      <c r="Q2056" s="287"/>
      <c r="R2056" s="287">
        <v>4</v>
      </c>
      <c r="S2056" s="288" t="s">
        <v>1982</v>
      </c>
      <c r="U2056" s="288" t="s">
        <v>2101</v>
      </c>
      <c r="V2056" s="287" t="s">
        <v>1379</v>
      </c>
      <c r="W2056" s="289">
        <v>20</v>
      </c>
      <c r="X2056" s="287" t="s">
        <v>1379</v>
      </c>
      <c r="Y2056" s="287" t="s">
        <v>1379</v>
      </c>
      <c r="Z2056" s="290">
        <v>1.39</v>
      </c>
      <c r="AA2056" s="371">
        <v>65</v>
      </c>
      <c r="AB2056" s="371">
        <v>25</v>
      </c>
      <c r="AC2056" s="287" t="s">
        <v>240</v>
      </c>
      <c r="AD2056" s="287">
        <v>6.5</v>
      </c>
      <c r="AE2056" s="287">
        <f t="shared" si="298"/>
        <v>0.85971223021582732</v>
      </c>
      <c r="AF2056" s="287"/>
      <c r="AG2056" s="287" t="s">
        <v>2036</v>
      </c>
      <c r="AH2056" s="287" t="s">
        <v>2033</v>
      </c>
      <c r="AI2056" s="287" t="s">
        <v>577</v>
      </c>
      <c r="AJ2056" s="287" t="s">
        <v>2035</v>
      </c>
      <c r="AK2056" s="287" t="s">
        <v>1616</v>
      </c>
      <c r="AL2056" s="287" t="s">
        <v>2035</v>
      </c>
      <c r="AM2056" s="287" t="s">
        <v>2035</v>
      </c>
      <c r="AN2056" s="287" t="s">
        <v>177</v>
      </c>
      <c r="AO2056" s="287" t="s">
        <v>1046</v>
      </c>
      <c r="AP2056" s="287" t="s">
        <v>1046</v>
      </c>
      <c r="AQ2056" s="287" t="s">
        <v>2126</v>
      </c>
      <c r="AR2056" s="287" t="s">
        <v>2126</v>
      </c>
      <c r="AS2056" s="291" t="s">
        <v>177</v>
      </c>
      <c r="AT2056" s="287" t="s">
        <v>2034</v>
      </c>
      <c r="AU2056" s="287" t="s">
        <v>2034</v>
      </c>
      <c r="AV2056" s="287" t="s">
        <v>177</v>
      </c>
      <c r="AW2056" s="253" t="s">
        <v>160</v>
      </c>
      <c r="AX2056" s="287">
        <v>4</v>
      </c>
      <c r="AY2056" s="287">
        <v>4</v>
      </c>
      <c r="AZ2056" s="253" t="s">
        <v>141</v>
      </c>
      <c r="BA2056" s="287"/>
      <c r="BB2056" s="287"/>
      <c r="BC2056" s="287"/>
      <c r="BD2056" s="287"/>
      <c r="BE2056" s="287"/>
      <c r="BK2056" s="287"/>
      <c r="BL2056" s="287"/>
      <c r="BM2056" s="287"/>
      <c r="BP2056" s="447"/>
      <c r="BQ2056" s="447"/>
      <c r="BU2056" s="395">
        <f t="shared" si="299"/>
        <v>0.89568345323741017</v>
      </c>
      <c r="BV2056" s="395">
        <f t="shared" si="300"/>
        <v>0.8237410071942447</v>
      </c>
      <c r="BZ2056" s="447">
        <v>24.9</v>
      </c>
      <c r="CA2056" s="447">
        <v>22.9</v>
      </c>
      <c r="CD2056" s="291" t="s">
        <v>2095</v>
      </c>
      <c r="CE2056" s="592">
        <v>24.9</v>
      </c>
      <c r="CF2056" s="592">
        <v>22.9</v>
      </c>
      <c r="CG2056" s="592"/>
      <c r="CH2056" s="592"/>
      <c r="CI2056" s="291" t="s">
        <v>4551</v>
      </c>
      <c r="CJ2056" s="291">
        <v>2.15</v>
      </c>
      <c r="CK2056" s="291">
        <v>1.33</v>
      </c>
      <c r="CN2056" s="291" t="s">
        <v>569</v>
      </c>
      <c r="JB2056" s="287" t="s">
        <v>2084</v>
      </c>
      <c r="JC2056" s="253" t="s">
        <v>2109</v>
      </c>
      <c r="JD2056" s="292"/>
    </row>
    <row r="2057" spans="1:264" s="291" customFormat="1" x14ac:dyDescent="0.25">
      <c r="A2057" s="286">
        <v>93</v>
      </c>
      <c r="B2057" s="544" t="s">
        <v>4205</v>
      </c>
      <c r="C2057" s="287" t="s">
        <v>768</v>
      </c>
      <c r="D2057" s="287" t="s">
        <v>2118</v>
      </c>
      <c r="E2057" s="287">
        <v>2002</v>
      </c>
      <c r="F2057" s="287">
        <v>1998</v>
      </c>
      <c r="G2057" s="287" t="s">
        <v>1749</v>
      </c>
      <c r="H2057" s="287" t="s">
        <v>2032</v>
      </c>
      <c r="I2057" s="278" t="s">
        <v>2815</v>
      </c>
      <c r="J2057" s="287">
        <v>32.57</v>
      </c>
      <c r="K2057" s="287">
        <v>-83.91</v>
      </c>
      <c r="L2057" s="287">
        <v>16</v>
      </c>
      <c r="M2057" s="287">
        <v>18.100000000000001</v>
      </c>
      <c r="N2057" s="287"/>
      <c r="O2057" s="287">
        <v>1258</v>
      </c>
      <c r="P2057" s="287"/>
      <c r="Q2057" s="287"/>
      <c r="R2057" s="287">
        <v>5</v>
      </c>
      <c r="S2057" s="288" t="s">
        <v>1982</v>
      </c>
      <c r="U2057" s="288" t="s">
        <v>2101</v>
      </c>
      <c r="V2057" s="287" t="s">
        <v>1379</v>
      </c>
      <c r="W2057" s="289">
        <v>20</v>
      </c>
      <c r="X2057" s="287" t="s">
        <v>1379</v>
      </c>
      <c r="Y2057" s="287" t="s">
        <v>1379</v>
      </c>
      <c r="Z2057" s="290">
        <v>1.39</v>
      </c>
      <c r="AA2057" s="371">
        <v>65</v>
      </c>
      <c r="AB2057" s="371">
        <v>25</v>
      </c>
      <c r="AC2057" s="287" t="s">
        <v>240</v>
      </c>
      <c r="AD2057" s="287">
        <v>6.5</v>
      </c>
      <c r="AE2057" s="287">
        <f t="shared" si="298"/>
        <v>0.85971223021582732</v>
      </c>
      <c r="AF2057" s="287"/>
      <c r="AG2057" s="287" t="s">
        <v>2036</v>
      </c>
      <c r="AH2057" s="287" t="s">
        <v>2033</v>
      </c>
      <c r="AI2057" s="287" t="s">
        <v>577</v>
      </c>
      <c r="AJ2057" s="287" t="s">
        <v>2035</v>
      </c>
      <c r="AK2057" s="287" t="s">
        <v>1616</v>
      </c>
      <c r="AL2057" s="287" t="s">
        <v>2035</v>
      </c>
      <c r="AM2057" s="287" t="s">
        <v>2035</v>
      </c>
      <c r="AN2057" s="287" t="s">
        <v>177</v>
      </c>
      <c r="AO2057" s="287" t="s">
        <v>1046</v>
      </c>
      <c r="AP2057" s="287" t="s">
        <v>1046</v>
      </c>
      <c r="AQ2057" s="287" t="s">
        <v>2126</v>
      </c>
      <c r="AR2057" s="287" t="s">
        <v>2126</v>
      </c>
      <c r="AS2057" s="291" t="s">
        <v>177</v>
      </c>
      <c r="AT2057" s="287" t="s">
        <v>2034</v>
      </c>
      <c r="AU2057" s="287" t="s">
        <v>2034</v>
      </c>
      <c r="AV2057" s="287" t="s">
        <v>177</v>
      </c>
      <c r="AW2057" s="253" t="s">
        <v>160</v>
      </c>
      <c r="AX2057" s="287">
        <v>4</v>
      </c>
      <c r="AY2057" s="287">
        <v>4</v>
      </c>
      <c r="AZ2057" s="253" t="s">
        <v>141</v>
      </c>
      <c r="BA2057" s="287"/>
      <c r="BB2057" s="287"/>
      <c r="BC2057" s="287"/>
      <c r="BD2057" s="287"/>
      <c r="BE2057" s="287"/>
      <c r="BK2057" s="287"/>
      <c r="BL2057" s="287"/>
      <c r="BM2057" s="287"/>
      <c r="BP2057" s="447"/>
      <c r="BQ2057" s="447"/>
      <c r="BU2057" s="395">
        <f t="shared" si="299"/>
        <v>0.75539568345323749</v>
      </c>
      <c r="BV2057" s="395">
        <f t="shared" si="300"/>
        <v>0.84892086330935268</v>
      </c>
      <c r="BZ2057" s="447">
        <v>21</v>
      </c>
      <c r="CA2057" s="447">
        <v>23.6</v>
      </c>
      <c r="CD2057" s="291" t="s">
        <v>2095</v>
      </c>
      <c r="CE2057" s="592">
        <v>21</v>
      </c>
      <c r="CF2057" s="592">
        <v>23.6</v>
      </c>
      <c r="CG2057" s="592"/>
      <c r="CH2057" s="592"/>
      <c r="CI2057" s="291" t="s">
        <v>4551</v>
      </c>
      <c r="CJ2057" s="291">
        <v>1.62</v>
      </c>
      <c r="CK2057" s="291">
        <v>1.77</v>
      </c>
      <c r="CN2057" s="291" t="s">
        <v>569</v>
      </c>
      <c r="JB2057" s="287" t="s">
        <v>2084</v>
      </c>
      <c r="JC2057" s="253" t="s">
        <v>2109</v>
      </c>
      <c r="JD2057" s="292"/>
    </row>
    <row r="2058" spans="1:264" s="291" customFormat="1" x14ac:dyDescent="0.25">
      <c r="A2058" s="286">
        <v>93</v>
      </c>
      <c r="B2058" s="544" t="s">
        <v>4205</v>
      </c>
      <c r="C2058" s="287" t="s">
        <v>768</v>
      </c>
      <c r="D2058" s="287" t="s">
        <v>2118</v>
      </c>
      <c r="E2058" s="287">
        <v>2002</v>
      </c>
      <c r="F2058" s="287">
        <v>1999</v>
      </c>
      <c r="G2058" s="287" t="s">
        <v>1749</v>
      </c>
      <c r="H2058" s="287" t="s">
        <v>2032</v>
      </c>
      <c r="I2058" s="278" t="s">
        <v>2815</v>
      </c>
      <c r="J2058" s="287">
        <v>32.57</v>
      </c>
      <c r="K2058" s="287">
        <v>-83.91</v>
      </c>
      <c r="L2058" s="287">
        <v>16</v>
      </c>
      <c r="M2058" s="287">
        <v>18.100000000000001</v>
      </c>
      <c r="N2058" s="287"/>
      <c r="O2058" s="287">
        <v>1258</v>
      </c>
      <c r="P2058" s="287"/>
      <c r="Q2058" s="287"/>
      <c r="R2058" s="287">
        <v>6</v>
      </c>
      <c r="S2058" s="288" t="s">
        <v>1982</v>
      </c>
      <c r="U2058" s="288" t="s">
        <v>2101</v>
      </c>
      <c r="V2058" s="287" t="s">
        <v>1379</v>
      </c>
      <c r="W2058" s="289">
        <v>20</v>
      </c>
      <c r="X2058" s="287" t="s">
        <v>1379</v>
      </c>
      <c r="Y2058" s="287" t="s">
        <v>1379</v>
      </c>
      <c r="Z2058" s="290">
        <v>1.39</v>
      </c>
      <c r="AA2058" s="371">
        <v>65</v>
      </c>
      <c r="AB2058" s="371">
        <v>25</v>
      </c>
      <c r="AC2058" s="287" t="s">
        <v>240</v>
      </c>
      <c r="AD2058" s="287">
        <v>6.5</v>
      </c>
      <c r="AE2058" s="287">
        <f t="shared" si="298"/>
        <v>0.85971223021582732</v>
      </c>
      <c r="AF2058" s="287"/>
      <c r="AG2058" s="287" t="s">
        <v>2036</v>
      </c>
      <c r="AH2058" s="287" t="s">
        <v>2033</v>
      </c>
      <c r="AI2058" s="287" t="s">
        <v>577</v>
      </c>
      <c r="AJ2058" s="287" t="s">
        <v>2106</v>
      </c>
      <c r="AK2058" s="287" t="s">
        <v>1616</v>
      </c>
      <c r="AL2058" s="287" t="s">
        <v>2035</v>
      </c>
      <c r="AM2058" s="287" t="s">
        <v>2035</v>
      </c>
      <c r="AN2058" s="287" t="s">
        <v>177</v>
      </c>
      <c r="AO2058" s="287" t="s">
        <v>1046</v>
      </c>
      <c r="AP2058" s="287" t="s">
        <v>1046</v>
      </c>
      <c r="AQ2058" s="287" t="s">
        <v>2126</v>
      </c>
      <c r="AR2058" s="287" t="s">
        <v>2126</v>
      </c>
      <c r="AS2058" s="291" t="s">
        <v>177</v>
      </c>
      <c r="AT2058" s="287" t="s">
        <v>2034</v>
      </c>
      <c r="AU2058" s="287" t="s">
        <v>2034</v>
      </c>
      <c r="AV2058" s="287" t="s">
        <v>177</v>
      </c>
      <c r="AW2058" s="253" t="s">
        <v>160</v>
      </c>
      <c r="AX2058" s="287">
        <v>4</v>
      </c>
      <c r="AY2058" s="287">
        <v>4</v>
      </c>
      <c r="AZ2058" s="253" t="s">
        <v>141</v>
      </c>
      <c r="BA2058" s="287"/>
      <c r="BB2058" s="287"/>
      <c r="BC2058" s="287"/>
      <c r="BD2058" s="287"/>
      <c r="BE2058" s="287"/>
      <c r="BK2058" s="287"/>
      <c r="BL2058" s="287"/>
      <c r="BM2058" s="287"/>
      <c r="BP2058" s="447"/>
      <c r="BQ2058" s="447"/>
      <c r="BU2058" s="395">
        <f t="shared" si="299"/>
        <v>0.71223021582733825</v>
      </c>
      <c r="BV2058" s="395">
        <f t="shared" si="300"/>
        <v>0.87050359712230241</v>
      </c>
      <c r="BZ2058" s="447">
        <v>19.8</v>
      </c>
      <c r="CA2058" s="447">
        <v>24.2</v>
      </c>
      <c r="CD2058" s="291" t="s">
        <v>2095</v>
      </c>
      <c r="CE2058" s="592">
        <v>19.8</v>
      </c>
      <c r="CF2058" s="592">
        <v>24.2</v>
      </c>
      <c r="CG2058" s="592"/>
      <c r="CH2058" s="592"/>
      <c r="CI2058" s="291" t="s">
        <v>4551</v>
      </c>
      <c r="CJ2058" s="291">
        <v>1.56</v>
      </c>
      <c r="CK2058" s="291">
        <v>1.76</v>
      </c>
      <c r="CN2058" s="291" t="s">
        <v>569</v>
      </c>
      <c r="JB2058" s="287" t="s">
        <v>2084</v>
      </c>
      <c r="JC2058" s="253" t="s">
        <v>2109</v>
      </c>
      <c r="JD2058" s="292"/>
    </row>
    <row r="2059" spans="1:264" s="298" customFormat="1" x14ac:dyDescent="0.25">
      <c r="A2059" s="294">
        <v>93</v>
      </c>
      <c r="B2059" s="545" t="s">
        <v>4203</v>
      </c>
      <c r="C2059" s="293" t="s">
        <v>768</v>
      </c>
      <c r="D2059" s="293" t="s">
        <v>2118</v>
      </c>
      <c r="E2059" s="293">
        <v>2002</v>
      </c>
      <c r="F2059" s="293">
        <v>1994</v>
      </c>
      <c r="G2059" s="293" t="s">
        <v>1749</v>
      </c>
      <c r="H2059" s="293" t="s">
        <v>2032</v>
      </c>
      <c r="I2059" s="278" t="s">
        <v>2815</v>
      </c>
      <c r="J2059" s="293">
        <v>32.57</v>
      </c>
      <c r="K2059" s="293">
        <v>-83.91</v>
      </c>
      <c r="L2059" s="293">
        <v>16</v>
      </c>
      <c r="M2059" s="293">
        <v>18.100000000000001</v>
      </c>
      <c r="N2059" s="293"/>
      <c r="O2059" s="293">
        <v>1258</v>
      </c>
      <c r="P2059" s="293"/>
      <c r="Q2059" s="293"/>
      <c r="R2059" s="293">
        <v>1</v>
      </c>
      <c r="S2059" s="295" t="s">
        <v>1982</v>
      </c>
      <c r="U2059" s="295" t="s">
        <v>2101</v>
      </c>
      <c r="V2059" s="293" t="s">
        <v>1379</v>
      </c>
      <c r="W2059" s="296">
        <v>20</v>
      </c>
      <c r="X2059" s="293" t="s">
        <v>1379</v>
      </c>
      <c r="Y2059" s="293" t="s">
        <v>1379</v>
      </c>
      <c r="Z2059" s="297">
        <v>1.39</v>
      </c>
      <c r="AA2059" s="373">
        <v>65</v>
      </c>
      <c r="AB2059" s="373">
        <v>25</v>
      </c>
      <c r="AC2059" s="293" t="s">
        <v>240</v>
      </c>
      <c r="AD2059" s="293">
        <v>6.5</v>
      </c>
      <c r="AE2059" s="293">
        <f t="shared" si="298"/>
        <v>0.85971223021582732</v>
      </c>
      <c r="AF2059" s="293"/>
      <c r="AG2059" s="293" t="s">
        <v>2036</v>
      </c>
      <c r="AH2059" s="293" t="s">
        <v>2033</v>
      </c>
      <c r="AI2059" s="293" t="s">
        <v>577</v>
      </c>
      <c r="AJ2059" s="293" t="s">
        <v>2035</v>
      </c>
      <c r="AK2059" s="293" t="s">
        <v>1616</v>
      </c>
      <c r="AL2059" s="293" t="s">
        <v>2035</v>
      </c>
      <c r="AM2059" s="293" t="s">
        <v>2035</v>
      </c>
      <c r="AN2059" s="293" t="s">
        <v>177</v>
      </c>
      <c r="AO2059" s="293" t="s">
        <v>2039</v>
      </c>
      <c r="AP2059" s="293" t="s">
        <v>2039</v>
      </c>
      <c r="AQ2059" s="293" t="s">
        <v>2125</v>
      </c>
      <c r="AR2059" s="293" t="s">
        <v>2125</v>
      </c>
      <c r="AS2059" s="298" t="s">
        <v>177</v>
      </c>
      <c r="AT2059" s="293" t="s">
        <v>2038</v>
      </c>
      <c r="AU2059" s="293" t="s">
        <v>2038</v>
      </c>
      <c r="AV2059" s="298" t="s">
        <v>177</v>
      </c>
      <c r="AW2059" s="278" t="s">
        <v>160</v>
      </c>
      <c r="AX2059" s="293">
        <v>4</v>
      </c>
      <c r="AY2059" s="293">
        <v>4</v>
      </c>
      <c r="AZ2059" s="278" t="s">
        <v>141</v>
      </c>
      <c r="BA2059" s="293"/>
      <c r="BD2059" s="293"/>
      <c r="BE2059" s="293"/>
      <c r="BK2059" s="293"/>
      <c r="BL2059" s="293"/>
      <c r="BM2059" s="293"/>
      <c r="BP2059" s="448"/>
      <c r="BQ2059" s="448"/>
      <c r="BU2059" s="395">
        <f t="shared" si="299"/>
        <v>0.85971223021582743</v>
      </c>
      <c r="BV2059" s="395">
        <f t="shared" si="300"/>
        <v>0.85971223021582743</v>
      </c>
      <c r="BZ2059" s="448">
        <v>23.9</v>
      </c>
      <c r="CA2059" s="448">
        <v>23.9</v>
      </c>
      <c r="CD2059" s="298" t="s">
        <v>2095</v>
      </c>
      <c r="CE2059" s="593">
        <v>23.9</v>
      </c>
      <c r="CF2059" s="593">
        <v>23.9</v>
      </c>
      <c r="CG2059" s="593"/>
      <c r="CH2059" s="593"/>
      <c r="CI2059" s="298" t="s">
        <v>4551</v>
      </c>
      <c r="CJ2059" s="298">
        <v>1.95</v>
      </c>
      <c r="CK2059" s="298">
        <v>1.95</v>
      </c>
      <c r="CN2059" s="298" t="s">
        <v>569</v>
      </c>
      <c r="JB2059" s="293" t="s">
        <v>2084</v>
      </c>
      <c r="JC2059" s="278" t="s">
        <v>2109</v>
      </c>
      <c r="JD2059" s="299"/>
    </row>
    <row r="2060" spans="1:264" s="298" customFormat="1" x14ac:dyDescent="0.25">
      <c r="A2060" s="294">
        <v>93</v>
      </c>
      <c r="B2060" s="545" t="s">
        <v>4203</v>
      </c>
      <c r="C2060" s="293" t="s">
        <v>768</v>
      </c>
      <c r="D2060" s="293" t="s">
        <v>2118</v>
      </c>
      <c r="E2060" s="293">
        <v>2002</v>
      </c>
      <c r="F2060" s="293">
        <v>1995</v>
      </c>
      <c r="G2060" s="293" t="s">
        <v>1749</v>
      </c>
      <c r="H2060" s="293" t="s">
        <v>2032</v>
      </c>
      <c r="I2060" s="278" t="s">
        <v>2815</v>
      </c>
      <c r="J2060" s="293">
        <v>32.57</v>
      </c>
      <c r="K2060" s="293">
        <v>-83.91</v>
      </c>
      <c r="L2060" s="293">
        <v>16</v>
      </c>
      <c r="M2060" s="293">
        <v>18.100000000000001</v>
      </c>
      <c r="N2060" s="293"/>
      <c r="O2060" s="293">
        <v>1258</v>
      </c>
      <c r="P2060" s="293"/>
      <c r="Q2060" s="293"/>
      <c r="R2060" s="293">
        <v>2</v>
      </c>
      <c r="S2060" s="295" t="s">
        <v>1982</v>
      </c>
      <c r="U2060" s="295" t="s">
        <v>2101</v>
      </c>
      <c r="V2060" s="293" t="s">
        <v>1379</v>
      </c>
      <c r="W2060" s="296">
        <v>20</v>
      </c>
      <c r="X2060" s="293" t="s">
        <v>1379</v>
      </c>
      <c r="Y2060" s="293" t="s">
        <v>1379</v>
      </c>
      <c r="Z2060" s="297">
        <v>1.39</v>
      </c>
      <c r="AA2060" s="373">
        <v>65</v>
      </c>
      <c r="AB2060" s="373">
        <v>25</v>
      </c>
      <c r="AC2060" s="293" t="s">
        <v>240</v>
      </c>
      <c r="AD2060" s="293">
        <v>6.5</v>
      </c>
      <c r="AE2060" s="293">
        <f t="shared" si="298"/>
        <v>0.85971223021582732</v>
      </c>
      <c r="AF2060" s="293"/>
      <c r="AG2060" s="293" t="s">
        <v>2036</v>
      </c>
      <c r="AH2060" s="293" t="s">
        <v>2033</v>
      </c>
      <c r="AI2060" s="293" t="s">
        <v>577</v>
      </c>
      <c r="AJ2060" s="293" t="s">
        <v>2035</v>
      </c>
      <c r="AK2060" s="293" t="s">
        <v>1616</v>
      </c>
      <c r="AL2060" s="293" t="s">
        <v>2035</v>
      </c>
      <c r="AM2060" s="293" t="s">
        <v>2035</v>
      </c>
      <c r="AN2060" s="293" t="s">
        <v>177</v>
      </c>
      <c r="AO2060" s="293" t="s">
        <v>2039</v>
      </c>
      <c r="AP2060" s="293" t="s">
        <v>2039</v>
      </c>
      <c r="AQ2060" s="293" t="s">
        <v>2125</v>
      </c>
      <c r="AR2060" s="293" t="s">
        <v>2125</v>
      </c>
      <c r="AS2060" s="298" t="s">
        <v>177</v>
      </c>
      <c r="AT2060" s="293" t="s">
        <v>2038</v>
      </c>
      <c r="AU2060" s="293" t="s">
        <v>2038</v>
      </c>
      <c r="AV2060" s="298" t="s">
        <v>177</v>
      </c>
      <c r="AW2060" s="278" t="s">
        <v>160</v>
      </c>
      <c r="AX2060" s="293">
        <v>4</v>
      </c>
      <c r="AY2060" s="293">
        <v>4</v>
      </c>
      <c r="AZ2060" s="278" t="s">
        <v>141</v>
      </c>
      <c r="BA2060" s="293"/>
      <c r="BB2060" s="293"/>
      <c r="BC2060" s="293"/>
      <c r="BD2060" s="293"/>
      <c r="BE2060" s="293"/>
      <c r="BK2060" s="293"/>
      <c r="BL2060" s="293"/>
      <c r="BM2060" s="293"/>
      <c r="BP2060" s="448"/>
      <c r="BQ2060" s="448"/>
      <c r="BU2060" s="395">
        <f t="shared" si="299"/>
        <v>0.83453237410071945</v>
      </c>
      <c r="BV2060" s="395">
        <f t="shared" si="300"/>
        <v>0.76618705035971235</v>
      </c>
      <c r="BZ2060" s="448">
        <v>23.2</v>
      </c>
      <c r="CA2060" s="448">
        <v>21.3</v>
      </c>
      <c r="CD2060" s="298" t="s">
        <v>2095</v>
      </c>
      <c r="CE2060" s="593">
        <v>23.2</v>
      </c>
      <c r="CF2060" s="593">
        <v>21.3</v>
      </c>
      <c r="CG2060" s="593"/>
      <c r="CH2060" s="593"/>
      <c r="CI2060" s="298" t="s">
        <v>4551</v>
      </c>
      <c r="CJ2060" s="298">
        <v>1.63</v>
      </c>
      <c r="CK2060" s="298">
        <v>1.69</v>
      </c>
      <c r="CN2060" s="298" t="s">
        <v>569</v>
      </c>
      <c r="JB2060" s="293" t="s">
        <v>2084</v>
      </c>
      <c r="JC2060" s="278" t="s">
        <v>2109</v>
      </c>
      <c r="JD2060" s="299"/>
    </row>
    <row r="2061" spans="1:264" s="298" customFormat="1" x14ac:dyDescent="0.25">
      <c r="A2061" s="294">
        <v>93</v>
      </c>
      <c r="B2061" s="545" t="s">
        <v>4203</v>
      </c>
      <c r="C2061" s="293" t="s">
        <v>768</v>
      </c>
      <c r="D2061" s="293" t="s">
        <v>2118</v>
      </c>
      <c r="E2061" s="293">
        <v>2002</v>
      </c>
      <c r="F2061" s="293">
        <v>1996</v>
      </c>
      <c r="G2061" s="293" t="s">
        <v>1749</v>
      </c>
      <c r="H2061" s="293" t="s">
        <v>2032</v>
      </c>
      <c r="I2061" s="278" t="s">
        <v>2815</v>
      </c>
      <c r="J2061" s="293">
        <v>32.57</v>
      </c>
      <c r="K2061" s="293">
        <v>-83.91</v>
      </c>
      <c r="L2061" s="293">
        <v>16</v>
      </c>
      <c r="M2061" s="293">
        <v>18.100000000000001</v>
      </c>
      <c r="N2061" s="293"/>
      <c r="O2061" s="293">
        <v>1258</v>
      </c>
      <c r="P2061" s="293"/>
      <c r="Q2061" s="293"/>
      <c r="R2061" s="293">
        <v>3</v>
      </c>
      <c r="S2061" s="295" t="s">
        <v>1982</v>
      </c>
      <c r="U2061" s="295" t="s">
        <v>2101</v>
      </c>
      <c r="V2061" s="293" t="s">
        <v>1379</v>
      </c>
      <c r="W2061" s="296">
        <v>20</v>
      </c>
      <c r="X2061" s="293" t="s">
        <v>1379</v>
      </c>
      <c r="Y2061" s="293" t="s">
        <v>1379</v>
      </c>
      <c r="Z2061" s="297">
        <v>1.39</v>
      </c>
      <c r="AA2061" s="373">
        <v>65</v>
      </c>
      <c r="AB2061" s="373">
        <v>25</v>
      </c>
      <c r="AC2061" s="293" t="s">
        <v>240</v>
      </c>
      <c r="AD2061" s="293">
        <v>6.5</v>
      </c>
      <c r="AE2061" s="293">
        <f t="shared" si="298"/>
        <v>0.85971223021582732</v>
      </c>
      <c r="AF2061" s="293"/>
      <c r="AG2061" s="293" t="s">
        <v>2036</v>
      </c>
      <c r="AH2061" s="293" t="s">
        <v>2033</v>
      </c>
      <c r="AI2061" s="293" t="s">
        <v>577</v>
      </c>
      <c r="AJ2061" s="293" t="s">
        <v>2035</v>
      </c>
      <c r="AK2061" s="293" t="s">
        <v>1616</v>
      </c>
      <c r="AL2061" s="293" t="s">
        <v>2035</v>
      </c>
      <c r="AM2061" s="293" t="s">
        <v>2035</v>
      </c>
      <c r="AN2061" s="293" t="s">
        <v>177</v>
      </c>
      <c r="AO2061" s="293" t="s">
        <v>2039</v>
      </c>
      <c r="AP2061" s="293" t="s">
        <v>2039</v>
      </c>
      <c r="AQ2061" s="293" t="s">
        <v>2125</v>
      </c>
      <c r="AR2061" s="293" t="s">
        <v>2125</v>
      </c>
      <c r="AS2061" s="298" t="s">
        <v>177</v>
      </c>
      <c r="AT2061" s="293" t="s">
        <v>2038</v>
      </c>
      <c r="AU2061" s="293" t="s">
        <v>2038</v>
      </c>
      <c r="AV2061" s="298" t="s">
        <v>177</v>
      </c>
      <c r="AW2061" s="278" t="s">
        <v>160</v>
      </c>
      <c r="AX2061" s="293">
        <v>4</v>
      </c>
      <c r="AY2061" s="293">
        <v>4</v>
      </c>
      <c r="AZ2061" s="278" t="s">
        <v>141</v>
      </c>
      <c r="BA2061" s="293"/>
      <c r="BD2061" s="293"/>
      <c r="BE2061" s="293"/>
      <c r="BK2061" s="293"/>
      <c r="BL2061" s="293"/>
      <c r="BM2061" s="293"/>
      <c r="BP2061" s="448"/>
      <c r="BQ2061" s="448"/>
      <c r="BU2061" s="395">
        <f t="shared" si="299"/>
        <v>0.81654676258992809</v>
      </c>
      <c r="BV2061" s="395">
        <f t="shared" si="300"/>
        <v>0.83812949640287782</v>
      </c>
      <c r="BZ2061" s="448">
        <v>22.7</v>
      </c>
      <c r="CA2061" s="448">
        <v>23.3</v>
      </c>
      <c r="CD2061" s="298" t="s">
        <v>2095</v>
      </c>
      <c r="CE2061" s="593">
        <v>22.7</v>
      </c>
      <c r="CF2061" s="593">
        <v>23.3</v>
      </c>
      <c r="CG2061" s="593"/>
      <c r="CH2061" s="593"/>
      <c r="CI2061" s="298" t="s">
        <v>4551</v>
      </c>
      <c r="CJ2061" s="298">
        <v>2.06</v>
      </c>
      <c r="CK2061" s="298">
        <v>1.88</v>
      </c>
      <c r="CN2061" s="298" t="s">
        <v>569</v>
      </c>
      <c r="JB2061" s="293" t="s">
        <v>2084</v>
      </c>
      <c r="JC2061" s="278" t="s">
        <v>2109</v>
      </c>
      <c r="JD2061" s="299"/>
    </row>
    <row r="2062" spans="1:264" s="298" customFormat="1" x14ac:dyDescent="0.25">
      <c r="A2062" s="294">
        <v>93</v>
      </c>
      <c r="B2062" s="545" t="s">
        <v>4203</v>
      </c>
      <c r="C2062" s="293" t="s">
        <v>768</v>
      </c>
      <c r="D2062" s="293" t="s">
        <v>2118</v>
      </c>
      <c r="E2062" s="293">
        <v>2002</v>
      </c>
      <c r="F2062" s="293">
        <v>1997</v>
      </c>
      <c r="G2062" s="293" t="s">
        <v>1749</v>
      </c>
      <c r="H2062" s="293" t="s">
        <v>2032</v>
      </c>
      <c r="I2062" s="278" t="s">
        <v>2815</v>
      </c>
      <c r="J2062" s="293">
        <v>32.57</v>
      </c>
      <c r="K2062" s="293">
        <v>-83.91</v>
      </c>
      <c r="L2062" s="293">
        <v>16</v>
      </c>
      <c r="M2062" s="293">
        <v>18.100000000000001</v>
      </c>
      <c r="N2062" s="293"/>
      <c r="O2062" s="293">
        <v>1258</v>
      </c>
      <c r="P2062" s="293"/>
      <c r="Q2062" s="293"/>
      <c r="R2062" s="293">
        <v>4</v>
      </c>
      <c r="S2062" s="295" t="s">
        <v>1982</v>
      </c>
      <c r="U2062" s="295" t="s">
        <v>2101</v>
      </c>
      <c r="V2062" s="293" t="s">
        <v>1379</v>
      </c>
      <c r="W2062" s="296">
        <v>20</v>
      </c>
      <c r="X2062" s="293" t="s">
        <v>1379</v>
      </c>
      <c r="Y2062" s="293" t="s">
        <v>1379</v>
      </c>
      <c r="Z2062" s="297">
        <v>1.39</v>
      </c>
      <c r="AA2062" s="373">
        <v>65</v>
      </c>
      <c r="AB2062" s="373">
        <v>25</v>
      </c>
      <c r="AC2062" s="293" t="s">
        <v>240</v>
      </c>
      <c r="AD2062" s="293">
        <v>6.5</v>
      </c>
      <c r="AE2062" s="293">
        <f t="shared" si="298"/>
        <v>0.85971223021582732</v>
      </c>
      <c r="AF2062" s="293"/>
      <c r="AG2062" s="293" t="s">
        <v>2036</v>
      </c>
      <c r="AH2062" s="293" t="s">
        <v>2033</v>
      </c>
      <c r="AI2062" s="293" t="s">
        <v>577</v>
      </c>
      <c r="AJ2062" s="293" t="s">
        <v>2035</v>
      </c>
      <c r="AK2062" s="293" t="s">
        <v>1616</v>
      </c>
      <c r="AL2062" s="293" t="s">
        <v>2035</v>
      </c>
      <c r="AM2062" s="293" t="s">
        <v>2035</v>
      </c>
      <c r="AN2062" s="293" t="s">
        <v>177</v>
      </c>
      <c r="AO2062" s="293" t="s">
        <v>2039</v>
      </c>
      <c r="AP2062" s="293" t="s">
        <v>2039</v>
      </c>
      <c r="AQ2062" s="293" t="s">
        <v>2125</v>
      </c>
      <c r="AR2062" s="293" t="s">
        <v>2125</v>
      </c>
      <c r="AS2062" s="298" t="s">
        <v>177</v>
      </c>
      <c r="AT2062" s="293" t="s">
        <v>2038</v>
      </c>
      <c r="AU2062" s="293" t="s">
        <v>2038</v>
      </c>
      <c r="AV2062" s="298" t="s">
        <v>177</v>
      </c>
      <c r="AW2062" s="278" t="s">
        <v>160</v>
      </c>
      <c r="AX2062" s="293">
        <v>4</v>
      </c>
      <c r="AY2062" s="293">
        <v>4</v>
      </c>
      <c r="AZ2062" s="278" t="s">
        <v>141</v>
      </c>
      <c r="BA2062" s="293"/>
      <c r="BB2062" s="293"/>
      <c r="BC2062" s="293"/>
      <c r="BD2062" s="293"/>
      <c r="BE2062" s="293"/>
      <c r="BK2062" s="293"/>
      <c r="BL2062" s="293"/>
      <c r="BM2062" s="293"/>
      <c r="BP2062" s="448"/>
      <c r="BQ2062" s="448"/>
      <c r="BU2062" s="395">
        <f t="shared" si="299"/>
        <v>0.7697841726618706</v>
      </c>
      <c r="BV2062" s="395">
        <f t="shared" si="300"/>
        <v>0.83093525179856131</v>
      </c>
      <c r="BZ2062" s="448">
        <v>21.4</v>
      </c>
      <c r="CA2062" s="448">
        <v>23.1</v>
      </c>
      <c r="CD2062" s="298" t="s">
        <v>2095</v>
      </c>
      <c r="CE2062" s="593">
        <v>21.4</v>
      </c>
      <c r="CF2062" s="593">
        <v>23.1</v>
      </c>
      <c r="CG2062" s="593"/>
      <c r="CH2062" s="593"/>
      <c r="CI2062" s="298" t="s">
        <v>4551</v>
      </c>
      <c r="CJ2062" s="298">
        <v>1.78</v>
      </c>
      <c r="CK2062" s="298">
        <v>1.99</v>
      </c>
      <c r="CN2062" s="298" t="s">
        <v>569</v>
      </c>
      <c r="JB2062" s="293" t="s">
        <v>2084</v>
      </c>
      <c r="JC2062" s="278" t="s">
        <v>2109</v>
      </c>
      <c r="JD2062" s="299"/>
    </row>
    <row r="2063" spans="1:264" s="298" customFormat="1" x14ac:dyDescent="0.25">
      <c r="A2063" s="294">
        <v>93</v>
      </c>
      <c r="B2063" s="545" t="s">
        <v>4203</v>
      </c>
      <c r="C2063" s="293" t="s">
        <v>768</v>
      </c>
      <c r="D2063" s="293" t="s">
        <v>2118</v>
      </c>
      <c r="E2063" s="293">
        <v>2002</v>
      </c>
      <c r="F2063" s="293">
        <v>1998</v>
      </c>
      <c r="G2063" s="293" t="s">
        <v>1749</v>
      </c>
      <c r="H2063" s="293" t="s">
        <v>2032</v>
      </c>
      <c r="I2063" s="278" t="s">
        <v>2815</v>
      </c>
      <c r="J2063" s="293">
        <v>32.57</v>
      </c>
      <c r="K2063" s="293">
        <v>-83.91</v>
      </c>
      <c r="L2063" s="293">
        <v>16</v>
      </c>
      <c r="M2063" s="293">
        <v>18.100000000000001</v>
      </c>
      <c r="N2063" s="293"/>
      <c r="O2063" s="293">
        <v>1258</v>
      </c>
      <c r="P2063" s="293"/>
      <c r="Q2063" s="293"/>
      <c r="R2063" s="293">
        <v>5</v>
      </c>
      <c r="S2063" s="295" t="s">
        <v>1982</v>
      </c>
      <c r="U2063" s="295" t="s">
        <v>2101</v>
      </c>
      <c r="V2063" s="293" t="s">
        <v>1379</v>
      </c>
      <c r="W2063" s="296">
        <v>20</v>
      </c>
      <c r="X2063" s="293" t="s">
        <v>1379</v>
      </c>
      <c r="Y2063" s="293" t="s">
        <v>1379</v>
      </c>
      <c r="Z2063" s="297">
        <v>1.39</v>
      </c>
      <c r="AA2063" s="373">
        <v>65</v>
      </c>
      <c r="AB2063" s="373">
        <v>25</v>
      </c>
      <c r="AC2063" s="293" t="s">
        <v>240</v>
      </c>
      <c r="AD2063" s="293">
        <v>6.5</v>
      </c>
      <c r="AE2063" s="293">
        <f t="shared" si="298"/>
        <v>0.85971223021582732</v>
      </c>
      <c r="AF2063" s="293"/>
      <c r="AG2063" s="293" t="s">
        <v>2036</v>
      </c>
      <c r="AH2063" s="293" t="s">
        <v>2033</v>
      </c>
      <c r="AI2063" s="293" t="s">
        <v>577</v>
      </c>
      <c r="AJ2063" s="293" t="s">
        <v>2035</v>
      </c>
      <c r="AK2063" s="293" t="s">
        <v>1616</v>
      </c>
      <c r="AL2063" s="293" t="s">
        <v>2035</v>
      </c>
      <c r="AM2063" s="293" t="s">
        <v>2035</v>
      </c>
      <c r="AN2063" s="293" t="s">
        <v>177</v>
      </c>
      <c r="AO2063" s="293" t="s">
        <v>2039</v>
      </c>
      <c r="AP2063" s="293" t="s">
        <v>2039</v>
      </c>
      <c r="AQ2063" s="293" t="s">
        <v>2125</v>
      </c>
      <c r="AR2063" s="293" t="s">
        <v>2125</v>
      </c>
      <c r="AS2063" s="298" t="s">
        <v>177</v>
      </c>
      <c r="AT2063" s="293" t="s">
        <v>2038</v>
      </c>
      <c r="AU2063" s="293" t="s">
        <v>2038</v>
      </c>
      <c r="AV2063" s="298" t="s">
        <v>177</v>
      </c>
      <c r="AW2063" s="278" t="s">
        <v>160</v>
      </c>
      <c r="AX2063" s="293">
        <v>4</v>
      </c>
      <c r="AY2063" s="293">
        <v>4</v>
      </c>
      <c r="AZ2063" s="278" t="s">
        <v>141</v>
      </c>
      <c r="BA2063" s="293"/>
      <c r="BB2063" s="293"/>
      <c r="BC2063" s="293"/>
      <c r="BD2063" s="293"/>
      <c r="BE2063" s="293"/>
      <c r="BK2063" s="293"/>
      <c r="BL2063" s="293"/>
      <c r="BM2063" s="293"/>
      <c r="BP2063" s="448"/>
      <c r="BQ2063" s="448"/>
      <c r="BU2063" s="395">
        <f t="shared" si="299"/>
        <v>0.77697841726618722</v>
      </c>
      <c r="BV2063" s="395">
        <f t="shared" si="300"/>
        <v>0.74460431654676273</v>
      </c>
      <c r="BZ2063" s="448">
        <v>21.6</v>
      </c>
      <c r="CA2063" s="448">
        <v>20.7</v>
      </c>
      <c r="CD2063" s="298" t="s">
        <v>2095</v>
      </c>
      <c r="CE2063" s="593">
        <v>21.6</v>
      </c>
      <c r="CF2063" s="593">
        <v>20.7</v>
      </c>
      <c r="CG2063" s="593"/>
      <c r="CH2063" s="593"/>
      <c r="CI2063" s="298" t="s">
        <v>4551</v>
      </c>
      <c r="CJ2063" s="298">
        <v>1.71</v>
      </c>
      <c r="CK2063" s="298">
        <v>1.5</v>
      </c>
      <c r="CN2063" s="298" t="s">
        <v>569</v>
      </c>
      <c r="JB2063" s="293" t="s">
        <v>2084</v>
      </c>
      <c r="JC2063" s="278" t="s">
        <v>2109</v>
      </c>
      <c r="JD2063" s="299"/>
    </row>
    <row r="2064" spans="1:264" s="298" customFormat="1" x14ac:dyDescent="0.25">
      <c r="A2064" s="294">
        <v>93</v>
      </c>
      <c r="B2064" s="545" t="s">
        <v>4203</v>
      </c>
      <c r="C2064" s="293" t="s">
        <v>768</v>
      </c>
      <c r="D2064" s="293" t="s">
        <v>2118</v>
      </c>
      <c r="E2064" s="293">
        <v>2002</v>
      </c>
      <c r="F2064" s="293">
        <v>1999</v>
      </c>
      <c r="G2064" s="293" t="s">
        <v>1749</v>
      </c>
      <c r="H2064" s="293" t="s">
        <v>2032</v>
      </c>
      <c r="I2064" s="278" t="s">
        <v>2815</v>
      </c>
      <c r="J2064" s="293">
        <v>32.57</v>
      </c>
      <c r="K2064" s="293">
        <v>-83.91</v>
      </c>
      <c r="L2064" s="293">
        <v>16</v>
      </c>
      <c r="M2064" s="293">
        <v>18.100000000000001</v>
      </c>
      <c r="N2064" s="293"/>
      <c r="O2064" s="293">
        <v>1258</v>
      </c>
      <c r="P2064" s="293"/>
      <c r="Q2064" s="293"/>
      <c r="R2064" s="293">
        <v>6</v>
      </c>
      <c r="S2064" s="295" t="s">
        <v>1982</v>
      </c>
      <c r="U2064" s="295" t="s">
        <v>2101</v>
      </c>
      <c r="V2064" s="293" t="s">
        <v>1379</v>
      </c>
      <c r="W2064" s="296">
        <v>20</v>
      </c>
      <c r="X2064" s="293" t="s">
        <v>1379</v>
      </c>
      <c r="Y2064" s="293" t="s">
        <v>1379</v>
      </c>
      <c r="Z2064" s="297">
        <v>1.39</v>
      </c>
      <c r="AA2064" s="373">
        <v>65</v>
      </c>
      <c r="AB2064" s="373">
        <v>25</v>
      </c>
      <c r="AC2064" s="293" t="s">
        <v>240</v>
      </c>
      <c r="AD2064" s="293">
        <v>6.5</v>
      </c>
      <c r="AE2064" s="293">
        <f t="shared" si="298"/>
        <v>0.85971223021582732</v>
      </c>
      <c r="AF2064" s="293"/>
      <c r="AG2064" s="293" t="s">
        <v>2036</v>
      </c>
      <c r="AH2064" s="293" t="s">
        <v>2033</v>
      </c>
      <c r="AI2064" s="293" t="s">
        <v>577</v>
      </c>
      <c r="AJ2064" s="293" t="s">
        <v>2106</v>
      </c>
      <c r="AK2064" s="293" t="s">
        <v>1616</v>
      </c>
      <c r="AL2064" s="293" t="s">
        <v>2035</v>
      </c>
      <c r="AM2064" s="293" t="s">
        <v>2035</v>
      </c>
      <c r="AN2064" s="293" t="s">
        <v>177</v>
      </c>
      <c r="AO2064" s="293" t="s">
        <v>2039</v>
      </c>
      <c r="AP2064" s="293" t="s">
        <v>2039</v>
      </c>
      <c r="AQ2064" s="293" t="s">
        <v>2125</v>
      </c>
      <c r="AR2064" s="293" t="s">
        <v>2125</v>
      </c>
      <c r="AS2064" s="298" t="s">
        <v>177</v>
      </c>
      <c r="AT2064" s="293" t="s">
        <v>2038</v>
      </c>
      <c r="AU2064" s="293" t="s">
        <v>2038</v>
      </c>
      <c r="AV2064" s="298" t="s">
        <v>177</v>
      </c>
      <c r="AW2064" s="278" t="s">
        <v>160</v>
      </c>
      <c r="AX2064" s="293">
        <v>4</v>
      </c>
      <c r="AY2064" s="293">
        <v>4</v>
      </c>
      <c r="AZ2064" s="278" t="s">
        <v>141</v>
      </c>
      <c r="BA2064" s="293"/>
      <c r="BB2064" s="293"/>
      <c r="BC2064" s="293"/>
      <c r="BD2064" s="293"/>
      <c r="BE2064" s="293"/>
      <c r="BK2064" s="293"/>
      <c r="BL2064" s="293"/>
      <c r="BM2064" s="293"/>
      <c r="BP2064" s="448"/>
      <c r="BQ2064" s="448"/>
      <c r="BU2064" s="395">
        <f t="shared" si="299"/>
        <v>0.72302158273381312</v>
      </c>
      <c r="BV2064" s="395">
        <f t="shared" si="300"/>
        <v>0.72302158273381312</v>
      </c>
      <c r="BZ2064" s="448">
        <v>20.100000000000001</v>
      </c>
      <c r="CA2064" s="448">
        <v>20.100000000000001</v>
      </c>
      <c r="CD2064" s="298" t="s">
        <v>2095</v>
      </c>
      <c r="CE2064" s="593">
        <v>20.100000000000001</v>
      </c>
      <c r="CF2064" s="593">
        <v>20.100000000000001</v>
      </c>
      <c r="CG2064" s="593"/>
      <c r="CH2064" s="593"/>
      <c r="CI2064" s="298" t="s">
        <v>4551</v>
      </c>
      <c r="CJ2064" s="298">
        <v>1.43</v>
      </c>
      <c r="CK2064" s="298">
        <v>1.51</v>
      </c>
      <c r="CN2064" s="298" t="s">
        <v>569</v>
      </c>
      <c r="JB2064" s="293" t="s">
        <v>2084</v>
      </c>
      <c r="JC2064" s="278" t="s">
        <v>2109</v>
      </c>
      <c r="JD2064" s="299"/>
    </row>
    <row r="2065" spans="1:264" s="284" customFormat="1" x14ac:dyDescent="0.25">
      <c r="A2065" s="277">
        <v>93</v>
      </c>
      <c r="B2065" s="542" t="s">
        <v>4204</v>
      </c>
      <c r="C2065" s="278" t="s">
        <v>768</v>
      </c>
      <c r="D2065" s="293" t="s">
        <v>2118</v>
      </c>
      <c r="E2065" s="278">
        <v>2002</v>
      </c>
      <c r="F2065" s="278">
        <v>1994</v>
      </c>
      <c r="G2065" s="278" t="s">
        <v>1749</v>
      </c>
      <c r="H2065" s="278" t="s">
        <v>2032</v>
      </c>
      <c r="I2065" s="278" t="s">
        <v>2815</v>
      </c>
      <c r="J2065" s="278">
        <v>32.57</v>
      </c>
      <c r="K2065" s="278">
        <v>-83.91</v>
      </c>
      <c r="L2065" s="278">
        <v>16</v>
      </c>
      <c r="M2065" s="278">
        <v>18.100000000000001</v>
      </c>
      <c r="N2065" s="278"/>
      <c r="O2065" s="278">
        <v>1258</v>
      </c>
      <c r="P2065" s="278"/>
      <c r="Q2065" s="278"/>
      <c r="R2065" s="278">
        <v>1</v>
      </c>
      <c r="S2065" s="280" t="s">
        <v>1982</v>
      </c>
      <c r="U2065" s="280" t="s">
        <v>2101</v>
      </c>
      <c r="V2065" s="278" t="s">
        <v>1379</v>
      </c>
      <c r="W2065" s="281">
        <v>20</v>
      </c>
      <c r="X2065" s="278" t="s">
        <v>1379</v>
      </c>
      <c r="Y2065" s="278" t="s">
        <v>1379</v>
      </c>
      <c r="Z2065" s="282">
        <v>1.39</v>
      </c>
      <c r="AA2065" s="370">
        <v>65</v>
      </c>
      <c r="AB2065" s="370">
        <v>25</v>
      </c>
      <c r="AC2065" s="278" t="s">
        <v>240</v>
      </c>
      <c r="AD2065" s="278">
        <v>6.5</v>
      </c>
      <c r="AE2065" s="278">
        <f t="shared" ref="AE2065:AE2082" si="301">23.9/(100*100*Z2065*0.2)*100</f>
        <v>0.85971223021582732</v>
      </c>
      <c r="AF2065" s="278"/>
      <c r="AG2065" s="278" t="s">
        <v>2036</v>
      </c>
      <c r="AH2065" s="278" t="s">
        <v>2033</v>
      </c>
      <c r="AI2065" s="278" t="s">
        <v>577</v>
      </c>
      <c r="AJ2065" s="278" t="s">
        <v>2035</v>
      </c>
      <c r="AK2065" s="278" t="s">
        <v>1616</v>
      </c>
      <c r="AL2065" s="278" t="s">
        <v>2035</v>
      </c>
      <c r="AM2065" s="278" t="s">
        <v>2035</v>
      </c>
      <c r="AN2065" s="278" t="s">
        <v>177</v>
      </c>
      <c r="AO2065" s="278" t="s">
        <v>2039</v>
      </c>
      <c r="AP2065" s="278" t="s">
        <v>2039</v>
      </c>
      <c r="AQ2065" s="293" t="s">
        <v>2125</v>
      </c>
      <c r="AR2065" s="293" t="s">
        <v>2125</v>
      </c>
      <c r="AS2065" s="298" t="s">
        <v>177</v>
      </c>
      <c r="AT2065" s="278" t="s">
        <v>2037</v>
      </c>
      <c r="AU2065" s="278" t="s">
        <v>2037</v>
      </c>
      <c r="AV2065" s="298" t="s">
        <v>177</v>
      </c>
      <c r="AW2065" s="278" t="s">
        <v>160</v>
      </c>
      <c r="AX2065" s="278">
        <v>4</v>
      </c>
      <c r="AY2065" s="278">
        <v>4</v>
      </c>
      <c r="AZ2065" s="278" t="s">
        <v>141</v>
      </c>
      <c r="BA2065" s="278"/>
      <c r="BD2065" s="278"/>
      <c r="BE2065" s="278"/>
      <c r="BK2065" s="278"/>
      <c r="BL2065" s="278"/>
      <c r="BM2065" s="278"/>
      <c r="BP2065" s="446"/>
      <c r="BQ2065" s="446"/>
      <c r="BU2065" s="395">
        <f t="shared" si="299"/>
        <v>0.85971223021582743</v>
      </c>
      <c r="BV2065" s="395">
        <f t="shared" si="300"/>
        <v>0.85971223021582743</v>
      </c>
      <c r="BZ2065" s="446">
        <v>23.9</v>
      </c>
      <c r="CA2065" s="446">
        <v>23.9</v>
      </c>
      <c r="CD2065" s="284" t="s">
        <v>2095</v>
      </c>
      <c r="CE2065" s="590">
        <v>23.9</v>
      </c>
      <c r="CF2065" s="590">
        <v>23.9</v>
      </c>
      <c r="CG2065" s="590"/>
      <c r="CH2065" s="590"/>
      <c r="CI2065" s="284" t="s">
        <v>4551</v>
      </c>
      <c r="CJ2065" s="284">
        <v>1.95</v>
      </c>
      <c r="CK2065" s="284">
        <v>1.95</v>
      </c>
      <c r="CN2065" s="284" t="s">
        <v>569</v>
      </c>
      <c r="JB2065" s="278" t="s">
        <v>2084</v>
      </c>
      <c r="JC2065" s="278" t="s">
        <v>2109</v>
      </c>
      <c r="JD2065" s="285"/>
    </row>
    <row r="2066" spans="1:264" s="284" customFormat="1" x14ac:dyDescent="0.25">
      <c r="A2066" s="277">
        <v>93</v>
      </c>
      <c r="B2066" s="542" t="s">
        <v>4204</v>
      </c>
      <c r="C2066" s="278" t="s">
        <v>768</v>
      </c>
      <c r="D2066" s="293" t="s">
        <v>2118</v>
      </c>
      <c r="E2066" s="278">
        <v>2002</v>
      </c>
      <c r="F2066" s="278">
        <v>1995</v>
      </c>
      <c r="G2066" s="278" t="s">
        <v>1749</v>
      </c>
      <c r="H2066" s="278" t="s">
        <v>2032</v>
      </c>
      <c r="I2066" s="278" t="s">
        <v>2815</v>
      </c>
      <c r="J2066" s="278">
        <v>32.57</v>
      </c>
      <c r="K2066" s="278">
        <v>-83.91</v>
      </c>
      <c r="L2066" s="278">
        <v>16</v>
      </c>
      <c r="M2066" s="278">
        <v>18.100000000000001</v>
      </c>
      <c r="N2066" s="278"/>
      <c r="O2066" s="278">
        <v>1258</v>
      </c>
      <c r="P2066" s="278"/>
      <c r="Q2066" s="278"/>
      <c r="R2066" s="278">
        <v>2</v>
      </c>
      <c r="S2066" s="280" t="s">
        <v>1982</v>
      </c>
      <c r="U2066" s="280" t="s">
        <v>2101</v>
      </c>
      <c r="V2066" s="278" t="s">
        <v>1379</v>
      </c>
      <c r="W2066" s="281">
        <v>20</v>
      </c>
      <c r="X2066" s="278" t="s">
        <v>1379</v>
      </c>
      <c r="Y2066" s="278" t="s">
        <v>1379</v>
      </c>
      <c r="Z2066" s="282">
        <v>1.39</v>
      </c>
      <c r="AA2066" s="370">
        <v>65</v>
      </c>
      <c r="AB2066" s="370">
        <v>25</v>
      </c>
      <c r="AC2066" s="278" t="s">
        <v>240</v>
      </c>
      <c r="AD2066" s="278">
        <v>6.5</v>
      </c>
      <c r="AE2066" s="278">
        <f t="shared" si="301"/>
        <v>0.85971223021582732</v>
      </c>
      <c r="AF2066" s="278"/>
      <c r="AG2066" s="278" t="s">
        <v>2036</v>
      </c>
      <c r="AH2066" s="278" t="s">
        <v>2033</v>
      </c>
      <c r="AI2066" s="278" t="s">
        <v>577</v>
      </c>
      <c r="AJ2066" s="278" t="s">
        <v>2035</v>
      </c>
      <c r="AK2066" s="278" t="s">
        <v>1616</v>
      </c>
      <c r="AL2066" s="278" t="s">
        <v>2035</v>
      </c>
      <c r="AM2066" s="278" t="s">
        <v>2035</v>
      </c>
      <c r="AN2066" s="278" t="s">
        <v>177</v>
      </c>
      <c r="AO2066" s="278" t="s">
        <v>2039</v>
      </c>
      <c r="AP2066" s="278" t="s">
        <v>2039</v>
      </c>
      <c r="AQ2066" s="293" t="s">
        <v>2125</v>
      </c>
      <c r="AR2066" s="293" t="s">
        <v>2125</v>
      </c>
      <c r="AS2066" s="298" t="s">
        <v>177</v>
      </c>
      <c r="AT2066" s="278" t="s">
        <v>2037</v>
      </c>
      <c r="AU2066" s="278" t="s">
        <v>2037</v>
      </c>
      <c r="AV2066" s="298" t="s">
        <v>177</v>
      </c>
      <c r="AW2066" s="278" t="s">
        <v>160</v>
      </c>
      <c r="AX2066" s="278">
        <v>4</v>
      </c>
      <c r="AY2066" s="278">
        <v>4</v>
      </c>
      <c r="AZ2066" s="278" t="s">
        <v>141</v>
      </c>
      <c r="BA2066" s="278"/>
      <c r="BB2066" s="278"/>
      <c r="BC2066" s="278"/>
      <c r="BD2066" s="278"/>
      <c r="BE2066" s="278"/>
      <c r="BK2066" s="278"/>
      <c r="BL2066" s="278"/>
      <c r="BM2066" s="278"/>
      <c r="BP2066" s="446"/>
      <c r="BQ2066" s="446"/>
      <c r="BU2066" s="395">
        <f t="shared" si="299"/>
        <v>0.77338129496402885</v>
      </c>
      <c r="BV2066" s="395">
        <f t="shared" si="300"/>
        <v>0.79496402877697858</v>
      </c>
      <c r="BZ2066" s="446">
        <v>21.5</v>
      </c>
      <c r="CA2066" s="446">
        <v>22.1</v>
      </c>
      <c r="CD2066" s="284" t="s">
        <v>2095</v>
      </c>
      <c r="CE2066" s="590">
        <v>21.5</v>
      </c>
      <c r="CF2066" s="590">
        <v>22.1</v>
      </c>
      <c r="CG2066" s="590"/>
      <c r="CH2066" s="590"/>
      <c r="CI2066" s="284" t="s">
        <v>4551</v>
      </c>
      <c r="CJ2066" s="284">
        <v>2.0299999999999998</v>
      </c>
      <c r="CK2066" s="284">
        <v>1.88</v>
      </c>
      <c r="CN2066" s="284" t="s">
        <v>569</v>
      </c>
      <c r="JB2066" s="278" t="s">
        <v>2084</v>
      </c>
      <c r="JC2066" s="278" t="s">
        <v>2109</v>
      </c>
      <c r="JD2066" s="285"/>
    </row>
    <row r="2067" spans="1:264" s="284" customFormat="1" x14ac:dyDescent="0.25">
      <c r="A2067" s="277">
        <v>93</v>
      </c>
      <c r="B2067" s="542" t="s">
        <v>4204</v>
      </c>
      <c r="C2067" s="278" t="s">
        <v>768</v>
      </c>
      <c r="D2067" s="293" t="s">
        <v>2118</v>
      </c>
      <c r="E2067" s="278">
        <v>2002</v>
      </c>
      <c r="F2067" s="278">
        <v>1996</v>
      </c>
      <c r="G2067" s="278" t="s">
        <v>1749</v>
      </c>
      <c r="H2067" s="278" t="s">
        <v>2032</v>
      </c>
      <c r="I2067" s="278" t="s">
        <v>2815</v>
      </c>
      <c r="J2067" s="278">
        <v>32.57</v>
      </c>
      <c r="K2067" s="278">
        <v>-83.91</v>
      </c>
      <c r="L2067" s="278">
        <v>16</v>
      </c>
      <c r="M2067" s="278">
        <v>18.100000000000001</v>
      </c>
      <c r="N2067" s="278"/>
      <c r="O2067" s="278">
        <v>1258</v>
      </c>
      <c r="P2067" s="278"/>
      <c r="Q2067" s="278"/>
      <c r="R2067" s="278">
        <v>3</v>
      </c>
      <c r="S2067" s="280" t="s">
        <v>1982</v>
      </c>
      <c r="U2067" s="280" t="s">
        <v>2101</v>
      </c>
      <c r="V2067" s="278" t="s">
        <v>1379</v>
      </c>
      <c r="W2067" s="281">
        <v>20</v>
      </c>
      <c r="X2067" s="278" t="s">
        <v>1379</v>
      </c>
      <c r="Y2067" s="278" t="s">
        <v>1379</v>
      </c>
      <c r="Z2067" s="282">
        <v>1.39</v>
      </c>
      <c r="AA2067" s="370">
        <v>65</v>
      </c>
      <c r="AB2067" s="370">
        <v>25</v>
      </c>
      <c r="AC2067" s="278" t="s">
        <v>240</v>
      </c>
      <c r="AD2067" s="278">
        <v>6.5</v>
      </c>
      <c r="AE2067" s="278">
        <f t="shared" si="301"/>
        <v>0.85971223021582732</v>
      </c>
      <c r="AF2067" s="278"/>
      <c r="AG2067" s="278" t="s">
        <v>2036</v>
      </c>
      <c r="AH2067" s="278" t="s">
        <v>2033</v>
      </c>
      <c r="AI2067" s="278" t="s">
        <v>577</v>
      </c>
      <c r="AJ2067" s="278" t="s">
        <v>2035</v>
      </c>
      <c r="AK2067" s="278" t="s">
        <v>1616</v>
      </c>
      <c r="AL2067" s="278" t="s">
        <v>2035</v>
      </c>
      <c r="AM2067" s="278" t="s">
        <v>2035</v>
      </c>
      <c r="AN2067" s="278" t="s">
        <v>177</v>
      </c>
      <c r="AO2067" s="278" t="s">
        <v>2039</v>
      </c>
      <c r="AP2067" s="278" t="s">
        <v>2039</v>
      </c>
      <c r="AQ2067" s="293" t="s">
        <v>2125</v>
      </c>
      <c r="AR2067" s="293" t="s">
        <v>2125</v>
      </c>
      <c r="AS2067" s="298" t="s">
        <v>177</v>
      </c>
      <c r="AT2067" s="278" t="s">
        <v>2037</v>
      </c>
      <c r="AU2067" s="278" t="s">
        <v>2037</v>
      </c>
      <c r="AV2067" s="298" t="s">
        <v>177</v>
      </c>
      <c r="AW2067" s="278" t="s">
        <v>160</v>
      </c>
      <c r="AX2067" s="278">
        <v>4</v>
      </c>
      <c r="AY2067" s="278">
        <v>4</v>
      </c>
      <c r="AZ2067" s="278" t="s">
        <v>141</v>
      </c>
      <c r="BA2067" s="278"/>
      <c r="BD2067" s="278"/>
      <c r="BE2067" s="278"/>
      <c r="BK2067" s="278"/>
      <c r="BL2067" s="278"/>
      <c r="BM2067" s="278"/>
      <c r="BP2067" s="446"/>
      <c r="BQ2067" s="446"/>
      <c r="BU2067" s="395">
        <f t="shared" si="299"/>
        <v>0.72661870503597137</v>
      </c>
      <c r="BV2067" s="395">
        <f t="shared" si="300"/>
        <v>0.72302158273381312</v>
      </c>
      <c r="BZ2067" s="446">
        <v>20.2</v>
      </c>
      <c r="CA2067" s="446">
        <v>20.100000000000001</v>
      </c>
      <c r="CD2067" s="284" t="s">
        <v>2095</v>
      </c>
      <c r="CE2067" s="590">
        <v>20.2</v>
      </c>
      <c r="CF2067" s="590">
        <v>20.100000000000001</v>
      </c>
      <c r="CG2067" s="590"/>
      <c r="CH2067" s="590"/>
      <c r="CI2067" s="284" t="s">
        <v>4551</v>
      </c>
      <c r="CJ2067" s="284">
        <v>2.04</v>
      </c>
      <c r="CK2067" s="284">
        <v>1.71</v>
      </c>
      <c r="CN2067" s="284" t="s">
        <v>569</v>
      </c>
      <c r="JB2067" s="278" t="s">
        <v>2084</v>
      </c>
      <c r="JC2067" s="278" t="s">
        <v>2109</v>
      </c>
      <c r="JD2067" s="285"/>
    </row>
    <row r="2068" spans="1:264" s="284" customFormat="1" x14ac:dyDescent="0.25">
      <c r="A2068" s="277">
        <v>93</v>
      </c>
      <c r="B2068" s="542" t="s">
        <v>4204</v>
      </c>
      <c r="C2068" s="278" t="s">
        <v>768</v>
      </c>
      <c r="D2068" s="293" t="s">
        <v>2118</v>
      </c>
      <c r="E2068" s="278">
        <v>2002</v>
      </c>
      <c r="F2068" s="278">
        <v>1997</v>
      </c>
      <c r="G2068" s="278" t="s">
        <v>1749</v>
      </c>
      <c r="H2068" s="278" t="s">
        <v>2032</v>
      </c>
      <c r="I2068" s="278" t="s">
        <v>2815</v>
      </c>
      <c r="J2068" s="278">
        <v>32.57</v>
      </c>
      <c r="K2068" s="278">
        <v>-83.91</v>
      </c>
      <c r="L2068" s="278">
        <v>16</v>
      </c>
      <c r="M2068" s="278">
        <v>18.100000000000001</v>
      </c>
      <c r="N2068" s="278"/>
      <c r="O2068" s="278">
        <v>1258</v>
      </c>
      <c r="P2068" s="278"/>
      <c r="Q2068" s="278"/>
      <c r="R2068" s="278">
        <v>4</v>
      </c>
      <c r="S2068" s="280" t="s">
        <v>1982</v>
      </c>
      <c r="U2068" s="280" t="s">
        <v>2101</v>
      </c>
      <c r="V2068" s="278" t="s">
        <v>1379</v>
      </c>
      <c r="W2068" s="281">
        <v>20</v>
      </c>
      <c r="X2068" s="278" t="s">
        <v>1379</v>
      </c>
      <c r="Y2068" s="278" t="s">
        <v>1379</v>
      </c>
      <c r="Z2068" s="282">
        <v>1.39</v>
      </c>
      <c r="AA2068" s="370">
        <v>65</v>
      </c>
      <c r="AB2068" s="370">
        <v>25</v>
      </c>
      <c r="AC2068" s="278" t="s">
        <v>240</v>
      </c>
      <c r="AD2068" s="278">
        <v>6.5</v>
      </c>
      <c r="AE2068" s="278">
        <f t="shared" si="301"/>
        <v>0.85971223021582732</v>
      </c>
      <c r="AF2068" s="278"/>
      <c r="AG2068" s="278" t="s">
        <v>2036</v>
      </c>
      <c r="AH2068" s="278" t="s">
        <v>2033</v>
      </c>
      <c r="AI2068" s="278" t="s">
        <v>577</v>
      </c>
      <c r="AJ2068" s="278" t="s">
        <v>2035</v>
      </c>
      <c r="AK2068" s="278" t="s">
        <v>1616</v>
      </c>
      <c r="AL2068" s="278" t="s">
        <v>2035</v>
      </c>
      <c r="AM2068" s="278" t="s">
        <v>2035</v>
      </c>
      <c r="AN2068" s="278" t="s">
        <v>177</v>
      </c>
      <c r="AO2068" s="278" t="s">
        <v>2039</v>
      </c>
      <c r="AP2068" s="278" t="s">
        <v>2039</v>
      </c>
      <c r="AQ2068" s="293" t="s">
        <v>2125</v>
      </c>
      <c r="AR2068" s="293" t="s">
        <v>2125</v>
      </c>
      <c r="AS2068" s="298" t="s">
        <v>177</v>
      </c>
      <c r="AT2068" s="278" t="s">
        <v>2037</v>
      </c>
      <c r="AU2068" s="278" t="s">
        <v>2037</v>
      </c>
      <c r="AV2068" s="298" t="s">
        <v>177</v>
      </c>
      <c r="AW2068" s="278" t="s">
        <v>160</v>
      </c>
      <c r="AX2068" s="278">
        <v>4</v>
      </c>
      <c r="AY2068" s="278">
        <v>4</v>
      </c>
      <c r="AZ2068" s="278" t="s">
        <v>141</v>
      </c>
      <c r="BA2068" s="278"/>
      <c r="BB2068" s="278"/>
      <c r="BC2068" s="278"/>
      <c r="BD2068" s="278"/>
      <c r="BE2068" s="278"/>
      <c r="BK2068" s="278"/>
      <c r="BL2068" s="278"/>
      <c r="BM2068" s="278"/>
      <c r="BP2068" s="446"/>
      <c r="BQ2068" s="446"/>
      <c r="BU2068" s="395">
        <f t="shared" si="299"/>
        <v>0.79136690647482033</v>
      </c>
      <c r="BV2068" s="395">
        <f t="shared" si="300"/>
        <v>0.85251798561151104</v>
      </c>
      <c r="BZ2068" s="446">
        <v>22</v>
      </c>
      <c r="CA2068" s="446">
        <v>23.7</v>
      </c>
      <c r="CD2068" s="284" t="s">
        <v>2095</v>
      </c>
      <c r="CE2068" s="590">
        <v>22</v>
      </c>
      <c r="CF2068" s="590">
        <v>23.7</v>
      </c>
      <c r="CG2068" s="590"/>
      <c r="CH2068" s="590"/>
      <c r="CI2068" s="284" t="s">
        <v>4551</v>
      </c>
      <c r="CJ2068" s="284">
        <v>1.78</v>
      </c>
      <c r="CK2068" s="284">
        <v>2.0299999999999998</v>
      </c>
      <c r="CN2068" s="284" t="s">
        <v>569</v>
      </c>
      <c r="JB2068" s="278" t="s">
        <v>2084</v>
      </c>
      <c r="JC2068" s="278" t="s">
        <v>2109</v>
      </c>
      <c r="JD2068" s="285"/>
    </row>
    <row r="2069" spans="1:264" s="284" customFormat="1" x14ac:dyDescent="0.25">
      <c r="A2069" s="277">
        <v>93</v>
      </c>
      <c r="B2069" s="542" t="s">
        <v>4204</v>
      </c>
      <c r="C2069" s="278" t="s">
        <v>768</v>
      </c>
      <c r="D2069" s="293" t="s">
        <v>2118</v>
      </c>
      <c r="E2069" s="278">
        <v>2002</v>
      </c>
      <c r="F2069" s="278">
        <v>1998</v>
      </c>
      <c r="G2069" s="278" t="s">
        <v>1749</v>
      </c>
      <c r="H2069" s="278" t="s">
        <v>2032</v>
      </c>
      <c r="I2069" s="278" t="s">
        <v>2815</v>
      </c>
      <c r="J2069" s="278">
        <v>32.57</v>
      </c>
      <c r="K2069" s="278">
        <v>-83.91</v>
      </c>
      <c r="L2069" s="278">
        <v>16</v>
      </c>
      <c r="M2069" s="278">
        <v>18.100000000000001</v>
      </c>
      <c r="N2069" s="278"/>
      <c r="O2069" s="278">
        <v>1258</v>
      </c>
      <c r="P2069" s="278"/>
      <c r="Q2069" s="278"/>
      <c r="R2069" s="278">
        <v>5</v>
      </c>
      <c r="S2069" s="280" t="s">
        <v>1982</v>
      </c>
      <c r="U2069" s="280" t="s">
        <v>2101</v>
      </c>
      <c r="V2069" s="278" t="s">
        <v>1379</v>
      </c>
      <c r="W2069" s="281">
        <v>20</v>
      </c>
      <c r="X2069" s="278" t="s">
        <v>1379</v>
      </c>
      <c r="Y2069" s="278" t="s">
        <v>1379</v>
      </c>
      <c r="Z2069" s="282">
        <v>1.39</v>
      </c>
      <c r="AA2069" s="370">
        <v>65</v>
      </c>
      <c r="AB2069" s="370">
        <v>25</v>
      </c>
      <c r="AC2069" s="278" t="s">
        <v>240</v>
      </c>
      <c r="AD2069" s="278">
        <v>6.5</v>
      </c>
      <c r="AE2069" s="278">
        <f t="shared" si="301"/>
        <v>0.85971223021582732</v>
      </c>
      <c r="AF2069" s="278"/>
      <c r="AG2069" s="278" t="s">
        <v>2036</v>
      </c>
      <c r="AH2069" s="278" t="s">
        <v>2033</v>
      </c>
      <c r="AI2069" s="278" t="s">
        <v>577</v>
      </c>
      <c r="AJ2069" s="278" t="s">
        <v>2035</v>
      </c>
      <c r="AK2069" s="278" t="s">
        <v>1616</v>
      </c>
      <c r="AL2069" s="278" t="s">
        <v>2035</v>
      </c>
      <c r="AM2069" s="278" t="s">
        <v>2035</v>
      </c>
      <c r="AN2069" s="278" t="s">
        <v>177</v>
      </c>
      <c r="AO2069" s="278" t="s">
        <v>2039</v>
      </c>
      <c r="AP2069" s="278" t="s">
        <v>2039</v>
      </c>
      <c r="AQ2069" s="293" t="s">
        <v>2125</v>
      </c>
      <c r="AR2069" s="293" t="s">
        <v>2125</v>
      </c>
      <c r="AS2069" s="298" t="s">
        <v>177</v>
      </c>
      <c r="AT2069" s="278" t="s">
        <v>2037</v>
      </c>
      <c r="AU2069" s="278" t="s">
        <v>2037</v>
      </c>
      <c r="AV2069" s="298" t="s">
        <v>177</v>
      </c>
      <c r="AW2069" s="278" t="s">
        <v>160</v>
      </c>
      <c r="AX2069" s="278">
        <v>4</v>
      </c>
      <c r="AY2069" s="278">
        <v>4</v>
      </c>
      <c r="AZ2069" s="278" t="s">
        <v>141</v>
      </c>
      <c r="BA2069" s="278"/>
      <c r="BB2069" s="278"/>
      <c r="BC2069" s="278"/>
      <c r="BD2069" s="278"/>
      <c r="BE2069" s="278"/>
      <c r="BK2069" s="278"/>
      <c r="BL2069" s="278"/>
      <c r="BM2069" s="278"/>
      <c r="BP2069" s="446"/>
      <c r="BQ2069" s="446"/>
      <c r="BU2069" s="395">
        <f t="shared" si="299"/>
        <v>0.81294964028776995</v>
      </c>
      <c r="BV2069" s="395">
        <f t="shared" si="300"/>
        <v>0.74460431654676273</v>
      </c>
      <c r="BZ2069" s="446">
        <v>22.6</v>
      </c>
      <c r="CA2069" s="446">
        <v>20.7</v>
      </c>
      <c r="CD2069" s="284" t="s">
        <v>2095</v>
      </c>
      <c r="CE2069" s="590">
        <v>22.6</v>
      </c>
      <c r="CF2069" s="590">
        <v>20.7</v>
      </c>
      <c r="CG2069" s="590"/>
      <c r="CH2069" s="590"/>
      <c r="CI2069" s="284" t="s">
        <v>4551</v>
      </c>
      <c r="CJ2069" s="284">
        <v>1.69</v>
      </c>
      <c r="CK2069" s="284">
        <v>1.52</v>
      </c>
      <c r="CN2069" s="284" t="s">
        <v>569</v>
      </c>
      <c r="JB2069" s="278" t="s">
        <v>2084</v>
      </c>
      <c r="JC2069" s="278" t="s">
        <v>2109</v>
      </c>
      <c r="JD2069" s="285"/>
    </row>
    <row r="2070" spans="1:264" s="284" customFormat="1" x14ac:dyDescent="0.25">
      <c r="A2070" s="277">
        <v>93</v>
      </c>
      <c r="B2070" s="542" t="s">
        <v>4204</v>
      </c>
      <c r="C2070" s="278" t="s">
        <v>768</v>
      </c>
      <c r="D2070" s="293" t="s">
        <v>2118</v>
      </c>
      <c r="E2070" s="278">
        <v>2002</v>
      </c>
      <c r="F2070" s="278">
        <v>1999</v>
      </c>
      <c r="G2070" s="278" t="s">
        <v>1749</v>
      </c>
      <c r="H2070" s="278" t="s">
        <v>2032</v>
      </c>
      <c r="I2070" s="278" t="s">
        <v>2815</v>
      </c>
      <c r="J2070" s="278">
        <v>32.57</v>
      </c>
      <c r="K2070" s="278">
        <v>-83.91</v>
      </c>
      <c r="L2070" s="278">
        <v>16</v>
      </c>
      <c r="M2070" s="278">
        <v>18.100000000000001</v>
      </c>
      <c r="N2070" s="278"/>
      <c r="O2070" s="278">
        <v>1258</v>
      </c>
      <c r="P2070" s="278"/>
      <c r="Q2070" s="278"/>
      <c r="R2070" s="278">
        <v>6</v>
      </c>
      <c r="S2070" s="280" t="s">
        <v>1982</v>
      </c>
      <c r="U2070" s="280" t="s">
        <v>2101</v>
      </c>
      <c r="V2070" s="278" t="s">
        <v>1379</v>
      </c>
      <c r="W2070" s="281">
        <v>20</v>
      </c>
      <c r="X2070" s="278" t="s">
        <v>1379</v>
      </c>
      <c r="Y2070" s="278" t="s">
        <v>1379</v>
      </c>
      <c r="Z2070" s="282">
        <v>1.39</v>
      </c>
      <c r="AA2070" s="370">
        <v>65</v>
      </c>
      <c r="AB2070" s="370">
        <v>25</v>
      </c>
      <c r="AC2070" s="278" t="s">
        <v>240</v>
      </c>
      <c r="AD2070" s="278">
        <v>6.5</v>
      </c>
      <c r="AE2070" s="278">
        <f t="shared" si="301"/>
        <v>0.85971223021582732</v>
      </c>
      <c r="AF2070" s="278"/>
      <c r="AG2070" s="278" t="s">
        <v>2036</v>
      </c>
      <c r="AH2070" s="278" t="s">
        <v>2033</v>
      </c>
      <c r="AI2070" s="278" t="s">
        <v>577</v>
      </c>
      <c r="AJ2070" s="278" t="s">
        <v>2106</v>
      </c>
      <c r="AK2070" s="278" t="s">
        <v>1616</v>
      </c>
      <c r="AL2070" s="278" t="s">
        <v>2035</v>
      </c>
      <c r="AM2070" s="278" t="s">
        <v>2035</v>
      </c>
      <c r="AN2070" s="278" t="s">
        <v>177</v>
      </c>
      <c r="AO2070" s="278" t="s">
        <v>2039</v>
      </c>
      <c r="AP2070" s="278" t="s">
        <v>2039</v>
      </c>
      <c r="AQ2070" s="293" t="s">
        <v>2125</v>
      </c>
      <c r="AR2070" s="293" t="s">
        <v>2125</v>
      </c>
      <c r="AS2070" s="298" t="s">
        <v>177</v>
      </c>
      <c r="AT2070" s="278" t="s">
        <v>2037</v>
      </c>
      <c r="AU2070" s="278" t="s">
        <v>2037</v>
      </c>
      <c r="AV2070" s="298" t="s">
        <v>177</v>
      </c>
      <c r="AW2070" s="278" t="s">
        <v>160</v>
      </c>
      <c r="AX2070" s="278">
        <v>4</v>
      </c>
      <c r="AY2070" s="278">
        <v>4</v>
      </c>
      <c r="AZ2070" s="278" t="s">
        <v>141</v>
      </c>
      <c r="BA2070" s="278"/>
      <c r="BB2070" s="278"/>
      <c r="BC2070" s="278"/>
      <c r="BD2070" s="278"/>
      <c r="BE2070" s="278"/>
      <c r="BK2070" s="278"/>
      <c r="BL2070" s="278"/>
      <c r="BM2070" s="278"/>
      <c r="BP2070" s="446"/>
      <c r="BQ2070" s="446"/>
      <c r="BU2070" s="395">
        <f t="shared" si="299"/>
        <v>0.71942446043165476</v>
      </c>
      <c r="BV2070" s="395">
        <f t="shared" si="300"/>
        <v>0.73021582733812962</v>
      </c>
      <c r="BZ2070" s="446">
        <v>20</v>
      </c>
      <c r="CA2070" s="446">
        <v>20.3</v>
      </c>
      <c r="CD2070" s="284" t="s">
        <v>2095</v>
      </c>
      <c r="CE2070" s="590">
        <v>20</v>
      </c>
      <c r="CF2070" s="590">
        <v>20.3</v>
      </c>
      <c r="CG2070" s="590"/>
      <c r="CH2070" s="590"/>
      <c r="CI2070" s="284" t="s">
        <v>4551</v>
      </c>
      <c r="CJ2070" s="284">
        <v>1.41</v>
      </c>
      <c r="CK2070" s="284">
        <v>1.53</v>
      </c>
      <c r="CN2070" s="284" t="s">
        <v>569</v>
      </c>
      <c r="JB2070" s="278" t="s">
        <v>2084</v>
      </c>
      <c r="JC2070" s="278" t="s">
        <v>2109</v>
      </c>
      <c r="JD2070" s="285"/>
    </row>
    <row r="2071" spans="1:264" s="298" customFormat="1" x14ac:dyDescent="0.25">
      <c r="A2071" s="294">
        <v>93</v>
      </c>
      <c r="B2071" s="545" t="s">
        <v>4205</v>
      </c>
      <c r="C2071" s="293" t="s">
        <v>768</v>
      </c>
      <c r="D2071" s="293" t="s">
        <v>2118</v>
      </c>
      <c r="E2071" s="293">
        <v>2002</v>
      </c>
      <c r="F2071" s="293">
        <v>1994</v>
      </c>
      <c r="G2071" s="293" t="s">
        <v>1749</v>
      </c>
      <c r="H2071" s="293" t="s">
        <v>2032</v>
      </c>
      <c r="I2071" s="278" t="s">
        <v>2815</v>
      </c>
      <c r="J2071" s="293">
        <v>32.57</v>
      </c>
      <c r="K2071" s="293">
        <v>-83.91</v>
      </c>
      <c r="L2071" s="293">
        <v>16</v>
      </c>
      <c r="M2071" s="293">
        <v>18.100000000000001</v>
      </c>
      <c r="N2071" s="293"/>
      <c r="O2071" s="293">
        <v>1258</v>
      </c>
      <c r="P2071" s="293"/>
      <c r="Q2071" s="293"/>
      <c r="R2071" s="293">
        <v>1</v>
      </c>
      <c r="S2071" s="295" t="s">
        <v>1982</v>
      </c>
      <c r="U2071" s="295" t="s">
        <v>2101</v>
      </c>
      <c r="V2071" s="293" t="s">
        <v>1379</v>
      </c>
      <c r="W2071" s="296">
        <v>20</v>
      </c>
      <c r="X2071" s="293" t="s">
        <v>1379</v>
      </c>
      <c r="Y2071" s="293" t="s">
        <v>1379</v>
      </c>
      <c r="Z2071" s="297">
        <v>1.39</v>
      </c>
      <c r="AA2071" s="373">
        <v>65</v>
      </c>
      <c r="AB2071" s="373">
        <v>25</v>
      </c>
      <c r="AC2071" s="293" t="s">
        <v>240</v>
      </c>
      <c r="AD2071" s="293">
        <v>6.5</v>
      </c>
      <c r="AE2071" s="293">
        <f t="shared" si="301"/>
        <v>0.85971223021582732</v>
      </c>
      <c r="AF2071" s="293"/>
      <c r="AG2071" s="293" t="s">
        <v>2036</v>
      </c>
      <c r="AH2071" s="293" t="s">
        <v>2033</v>
      </c>
      <c r="AI2071" s="293" t="s">
        <v>577</v>
      </c>
      <c r="AJ2071" s="293" t="s">
        <v>2035</v>
      </c>
      <c r="AK2071" s="293" t="s">
        <v>1616</v>
      </c>
      <c r="AL2071" s="293" t="s">
        <v>2035</v>
      </c>
      <c r="AM2071" s="293" t="s">
        <v>2035</v>
      </c>
      <c r="AN2071" s="293" t="s">
        <v>177</v>
      </c>
      <c r="AO2071" s="293" t="s">
        <v>2039</v>
      </c>
      <c r="AP2071" s="293" t="s">
        <v>2039</v>
      </c>
      <c r="AQ2071" s="293" t="s">
        <v>2125</v>
      </c>
      <c r="AR2071" s="293" t="s">
        <v>2125</v>
      </c>
      <c r="AS2071" s="298" t="s">
        <v>177</v>
      </c>
      <c r="AT2071" s="293" t="s">
        <v>2034</v>
      </c>
      <c r="AU2071" s="293" t="s">
        <v>2034</v>
      </c>
      <c r="AV2071" s="298" t="s">
        <v>177</v>
      </c>
      <c r="AW2071" s="278" t="s">
        <v>160</v>
      </c>
      <c r="AX2071" s="293">
        <v>4</v>
      </c>
      <c r="AY2071" s="293">
        <v>4</v>
      </c>
      <c r="AZ2071" s="278" t="s">
        <v>141</v>
      </c>
      <c r="BA2071" s="293"/>
      <c r="BD2071" s="293"/>
      <c r="BE2071" s="293"/>
      <c r="BK2071" s="293"/>
      <c r="BL2071" s="293"/>
      <c r="BM2071" s="293"/>
      <c r="BP2071" s="448"/>
      <c r="BQ2071" s="448"/>
      <c r="BU2071" s="395">
        <f t="shared" si="299"/>
        <v>0.85971223021582743</v>
      </c>
      <c r="BV2071" s="395">
        <f t="shared" si="300"/>
        <v>0.85971223021582743</v>
      </c>
      <c r="BZ2071" s="448">
        <v>23.9</v>
      </c>
      <c r="CA2071" s="448">
        <v>23.9</v>
      </c>
      <c r="CD2071" s="298" t="s">
        <v>2095</v>
      </c>
      <c r="CE2071" s="593">
        <v>23.9</v>
      </c>
      <c r="CF2071" s="593">
        <v>23.9</v>
      </c>
      <c r="CG2071" s="593"/>
      <c r="CH2071" s="593"/>
      <c r="CI2071" s="298" t="s">
        <v>4551</v>
      </c>
      <c r="CJ2071" s="298">
        <v>1.95</v>
      </c>
      <c r="CK2071" s="298">
        <v>1.95</v>
      </c>
      <c r="CN2071" s="298" t="s">
        <v>569</v>
      </c>
      <c r="JB2071" s="293" t="s">
        <v>2084</v>
      </c>
      <c r="JC2071" s="278" t="s">
        <v>2109</v>
      </c>
      <c r="JD2071" s="299"/>
    </row>
    <row r="2072" spans="1:264" s="298" customFormat="1" x14ac:dyDescent="0.25">
      <c r="A2072" s="294">
        <v>93</v>
      </c>
      <c r="B2072" s="545" t="s">
        <v>4205</v>
      </c>
      <c r="C2072" s="293" t="s">
        <v>768</v>
      </c>
      <c r="D2072" s="293" t="s">
        <v>2118</v>
      </c>
      <c r="E2072" s="293">
        <v>2002</v>
      </c>
      <c r="F2072" s="293">
        <v>1995</v>
      </c>
      <c r="G2072" s="293" t="s">
        <v>1749</v>
      </c>
      <c r="H2072" s="293" t="s">
        <v>2032</v>
      </c>
      <c r="I2072" s="278" t="s">
        <v>2815</v>
      </c>
      <c r="J2072" s="293">
        <v>32.57</v>
      </c>
      <c r="K2072" s="293">
        <v>-83.91</v>
      </c>
      <c r="L2072" s="293">
        <v>16</v>
      </c>
      <c r="M2072" s="293">
        <v>18.100000000000001</v>
      </c>
      <c r="N2072" s="293"/>
      <c r="O2072" s="293">
        <v>1258</v>
      </c>
      <c r="P2072" s="293"/>
      <c r="Q2072" s="293"/>
      <c r="R2072" s="293">
        <v>2</v>
      </c>
      <c r="S2072" s="295" t="s">
        <v>1982</v>
      </c>
      <c r="U2072" s="295" t="s">
        <v>2101</v>
      </c>
      <c r="V2072" s="293" t="s">
        <v>1379</v>
      </c>
      <c r="W2072" s="296">
        <v>20</v>
      </c>
      <c r="X2072" s="293" t="s">
        <v>1379</v>
      </c>
      <c r="Y2072" s="293" t="s">
        <v>1379</v>
      </c>
      <c r="Z2072" s="297">
        <v>1.39</v>
      </c>
      <c r="AA2072" s="373">
        <v>65</v>
      </c>
      <c r="AB2072" s="373">
        <v>25</v>
      </c>
      <c r="AC2072" s="293" t="s">
        <v>240</v>
      </c>
      <c r="AD2072" s="293">
        <v>6.5</v>
      </c>
      <c r="AE2072" s="293">
        <f t="shared" si="301"/>
        <v>0.85971223021582732</v>
      </c>
      <c r="AF2072" s="293"/>
      <c r="AG2072" s="293" t="s">
        <v>2036</v>
      </c>
      <c r="AH2072" s="293" t="s">
        <v>2033</v>
      </c>
      <c r="AI2072" s="293" t="s">
        <v>577</v>
      </c>
      <c r="AJ2072" s="293" t="s">
        <v>2035</v>
      </c>
      <c r="AK2072" s="293" t="s">
        <v>1616</v>
      </c>
      <c r="AL2072" s="293" t="s">
        <v>2035</v>
      </c>
      <c r="AM2072" s="293" t="s">
        <v>2035</v>
      </c>
      <c r="AN2072" s="293" t="s">
        <v>177</v>
      </c>
      <c r="AO2072" s="293" t="s">
        <v>2039</v>
      </c>
      <c r="AP2072" s="293" t="s">
        <v>2039</v>
      </c>
      <c r="AQ2072" s="293" t="s">
        <v>2125</v>
      </c>
      <c r="AR2072" s="293" t="s">
        <v>2125</v>
      </c>
      <c r="AS2072" s="298" t="s">
        <v>177</v>
      </c>
      <c r="AT2072" s="293" t="s">
        <v>2034</v>
      </c>
      <c r="AU2072" s="293" t="s">
        <v>2034</v>
      </c>
      <c r="AV2072" s="298" t="s">
        <v>177</v>
      </c>
      <c r="AW2072" s="278" t="s">
        <v>160</v>
      </c>
      <c r="AX2072" s="293">
        <v>4</v>
      </c>
      <c r="AY2072" s="293">
        <v>4</v>
      </c>
      <c r="AZ2072" s="278" t="s">
        <v>141</v>
      </c>
      <c r="BA2072" s="293"/>
      <c r="BB2072" s="293"/>
      <c r="BC2072" s="293"/>
      <c r="BD2072" s="293"/>
      <c r="BE2072" s="293"/>
      <c r="BK2072" s="293"/>
      <c r="BL2072" s="293"/>
      <c r="BM2072" s="293"/>
      <c r="BP2072" s="448"/>
      <c r="BQ2072" s="448"/>
      <c r="BU2072" s="395">
        <f t="shared" si="299"/>
        <v>0.88848920863309377</v>
      </c>
      <c r="BV2072" s="395">
        <f t="shared" si="300"/>
        <v>0.88848920863309377</v>
      </c>
      <c r="BZ2072" s="448">
        <v>24.7</v>
      </c>
      <c r="CA2072" s="448">
        <v>24.7</v>
      </c>
      <c r="CD2072" s="298" t="s">
        <v>2095</v>
      </c>
      <c r="CE2072" s="593">
        <v>24.7</v>
      </c>
      <c r="CF2072" s="593">
        <v>24.7</v>
      </c>
      <c r="CG2072" s="593"/>
      <c r="CH2072" s="593"/>
      <c r="CI2072" s="298" t="s">
        <v>4551</v>
      </c>
      <c r="CJ2072" s="298">
        <v>2.04</v>
      </c>
      <c r="CK2072" s="298">
        <v>1.8</v>
      </c>
      <c r="CN2072" s="298" t="s">
        <v>569</v>
      </c>
      <c r="JB2072" s="293" t="s">
        <v>2084</v>
      </c>
      <c r="JC2072" s="278" t="s">
        <v>2109</v>
      </c>
      <c r="JD2072" s="299"/>
    </row>
    <row r="2073" spans="1:264" s="298" customFormat="1" x14ac:dyDescent="0.25">
      <c r="A2073" s="294">
        <v>93</v>
      </c>
      <c r="B2073" s="545" t="s">
        <v>4205</v>
      </c>
      <c r="C2073" s="293" t="s">
        <v>768</v>
      </c>
      <c r="D2073" s="293" t="s">
        <v>2118</v>
      </c>
      <c r="E2073" s="293">
        <v>2002</v>
      </c>
      <c r="F2073" s="293">
        <v>1996</v>
      </c>
      <c r="G2073" s="293" t="s">
        <v>1749</v>
      </c>
      <c r="H2073" s="293" t="s">
        <v>2032</v>
      </c>
      <c r="I2073" s="278" t="s">
        <v>2815</v>
      </c>
      <c r="J2073" s="293">
        <v>32.57</v>
      </c>
      <c r="K2073" s="293">
        <v>-83.91</v>
      </c>
      <c r="L2073" s="293">
        <v>16</v>
      </c>
      <c r="M2073" s="293">
        <v>18.100000000000001</v>
      </c>
      <c r="N2073" s="293"/>
      <c r="O2073" s="293">
        <v>1258</v>
      </c>
      <c r="P2073" s="293"/>
      <c r="Q2073" s="293"/>
      <c r="R2073" s="293">
        <v>3</v>
      </c>
      <c r="S2073" s="295" t="s">
        <v>1982</v>
      </c>
      <c r="U2073" s="295" t="s">
        <v>2101</v>
      </c>
      <c r="V2073" s="293" t="s">
        <v>1379</v>
      </c>
      <c r="W2073" s="296">
        <v>20</v>
      </c>
      <c r="X2073" s="293" t="s">
        <v>1379</v>
      </c>
      <c r="Y2073" s="293" t="s">
        <v>1379</v>
      </c>
      <c r="Z2073" s="297">
        <v>1.39</v>
      </c>
      <c r="AA2073" s="373">
        <v>65</v>
      </c>
      <c r="AB2073" s="373">
        <v>25</v>
      </c>
      <c r="AC2073" s="293" t="s">
        <v>240</v>
      </c>
      <c r="AD2073" s="293">
        <v>6.5</v>
      </c>
      <c r="AE2073" s="293">
        <f t="shared" si="301"/>
        <v>0.85971223021582732</v>
      </c>
      <c r="AF2073" s="293"/>
      <c r="AG2073" s="293" t="s">
        <v>2036</v>
      </c>
      <c r="AH2073" s="293" t="s">
        <v>2033</v>
      </c>
      <c r="AI2073" s="293" t="s">
        <v>577</v>
      </c>
      <c r="AJ2073" s="293" t="s">
        <v>2035</v>
      </c>
      <c r="AK2073" s="293" t="s">
        <v>1616</v>
      </c>
      <c r="AL2073" s="293" t="s">
        <v>2035</v>
      </c>
      <c r="AM2073" s="293" t="s">
        <v>2035</v>
      </c>
      <c r="AN2073" s="293" t="s">
        <v>177</v>
      </c>
      <c r="AO2073" s="293" t="s">
        <v>2039</v>
      </c>
      <c r="AP2073" s="293" t="s">
        <v>2039</v>
      </c>
      <c r="AQ2073" s="293" t="s">
        <v>2125</v>
      </c>
      <c r="AR2073" s="293" t="s">
        <v>2125</v>
      </c>
      <c r="AS2073" s="298" t="s">
        <v>177</v>
      </c>
      <c r="AT2073" s="293" t="s">
        <v>2034</v>
      </c>
      <c r="AU2073" s="293" t="s">
        <v>2034</v>
      </c>
      <c r="AV2073" s="298" t="s">
        <v>177</v>
      </c>
      <c r="AW2073" s="278" t="s">
        <v>160</v>
      </c>
      <c r="AX2073" s="293">
        <v>4</v>
      </c>
      <c r="AY2073" s="293">
        <v>4</v>
      </c>
      <c r="AZ2073" s="278" t="s">
        <v>141</v>
      </c>
      <c r="BA2073" s="293"/>
      <c r="BD2073" s="293"/>
      <c r="BE2073" s="293"/>
      <c r="BK2073" s="293"/>
      <c r="BL2073" s="293"/>
      <c r="BM2073" s="293"/>
      <c r="BP2073" s="448"/>
      <c r="BQ2073" s="448"/>
      <c r="BU2073" s="395">
        <f t="shared" si="299"/>
        <v>0.83453237410071945</v>
      </c>
      <c r="BV2073" s="395">
        <f t="shared" si="300"/>
        <v>0.97482014388489224</v>
      </c>
      <c r="BZ2073" s="448">
        <v>23.2</v>
      </c>
      <c r="CA2073" s="448">
        <v>27.1</v>
      </c>
      <c r="CD2073" s="298" t="s">
        <v>2095</v>
      </c>
      <c r="CE2073" s="593">
        <v>23.2</v>
      </c>
      <c r="CF2073" s="593">
        <v>27.1</v>
      </c>
      <c r="CG2073" s="593"/>
      <c r="CH2073" s="593"/>
      <c r="CI2073" s="298" t="s">
        <v>4551</v>
      </c>
      <c r="CJ2073" s="298">
        <v>2.1800000000000002</v>
      </c>
      <c r="CK2073" s="298">
        <v>2.25</v>
      </c>
      <c r="CN2073" s="298" t="s">
        <v>569</v>
      </c>
      <c r="JB2073" s="293" t="s">
        <v>2084</v>
      </c>
      <c r="JC2073" s="278" t="s">
        <v>2109</v>
      </c>
      <c r="JD2073" s="299"/>
    </row>
    <row r="2074" spans="1:264" s="298" customFormat="1" x14ac:dyDescent="0.25">
      <c r="A2074" s="294">
        <v>93</v>
      </c>
      <c r="B2074" s="545" t="s">
        <v>4205</v>
      </c>
      <c r="C2074" s="293" t="s">
        <v>768</v>
      </c>
      <c r="D2074" s="293" t="s">
        <v>2118</v>
      </c>
      <c r="E2074" s="293">
        <v>2002</v>
      </c>
      <c r="F2074" s="293">
        <v>1997</v>
      </c>
      <c r="G2074" s="293" t="s">
        <v>1749</v>
      </c>
      <c r="H2074" s="293" t="s">
        <v>2032</v>
      </c>
      <c r="I2074" s="278" t="s">
        <v>2815</v>
      </c>
      <c r="J2074" s="293">
        <v>32.57</v>
      </c>
      <c r="K2074" s="293">
        <v>-83.91</v>
      </c>
      <c r="L2074" s="293">
        <v>16</v>
      </c>
      <c r="M2074" s="293">
        <v>18.100000000000001</v>
      </c>
      <c r="N2074" s="293"/>
      <c r="O2074" s="293">
        <v>1258</v>
      </c>
      <c r="P2074" s="293"/>
      <c r="Q2074" s="293"/>
      <c r="R2074" s="293">
        <v>4</v>
      </c>
      <c r="S2074" s="295" t="s">
        <v>1982</v>
      </c>
      <c r="U2074" s="295" t="s">
        <v>2101</v>
      </c>
      <c r="V2074" s="293" t="s">
        <v>1379</v>
      </c>
      <c r="W2074" s="296">
        <v>20</v>
      </c>
      <c r="X2074" s="293" t="s">
        <v>1379</v>
      </c>
      <c r="Y2074" s="293" t="s">
        <v>1379</v>
      </c>
      <c r="Z2074" s="297">
        <v>1.39</v>
      </c>
      <c r="AA2074" s="373">
        <v>65</v>
      </c>
      <c r="AB2074" s="373">
        <v>25</v>
      </c>
      <c r="AC2074" s="293" t="s">
        <v>240</v>
      </c>
      <c r="AD2074" s="293">
        <v>6.5</v>
      </c>
      <c r="AE2074" s="293">
        <f t="shared" si="301"/>
        <v>0.85971223021582732</v>
      </c>
      <c r="AF2074" s="293"/>
      <c r="AG2074" s="293" t="s">
        <v>2036</v>
      </c>
      <c r="AH2074" s="293" t="s">
        <v>2033</v>
      </c>
      <c r="AI2074" s="293" t="s">
        <v>577</v>
      </c>
      <c r="AJ2074" s="293" t="s">
        <v>2035</v>
      </c>
      <c r="AK2074" s="293" t="s">
        <v>1616</v>
      </c>
      <c r="AL2074" s="293" t="s">
        <v>2035</v>
      </c>
      <c r="AM2074" s="293" t="s">
        <v>2035</v>
      </c>
      <c r="AN2074" s="293" t="s">
        <v>177</v>
      </c>
      <c r="AO2074" s="293" t="s">
        <v>2039</v>
      </c>
      <c r="AP2074" s="293" t="s">
        <v>2039</v>
      </c>
      <c r="AQ2074" s="293" t="s">
        <v>2125</v>
      </c>
      <c r="AR2074" s="293" t="s">
        <v>2125</v>
      </c>
      <c r="AS2074" s="298" t="s">
        <v>177</v>
      </c>
      <c r="AT2074" s="293" t="s">
        <v>2034</v>
      </c>
      <c r="AU2074" s="293" t="s">
        <v>2034</v>
      </c>
      <c r="AV2074" s="298" t="s">
        <v>177</v>
      </c>
      <c r="AW2074" s="278" t="s">
        <v>160</v>
      </c>
      <c r="AX2074" s="293">
        <v>4</v>
      </c>
      <c r="AY2074" s="293">
        <v>4</v>
      </c>
      <c r="AZ2074" s="278" t="s">
        <v>141</v>
      </c>
      <c r="BA2074" s="293"/>
      <c r="BB2074" s="293"/>
      <c r="BC2074" s="293"/>
      <c r="BD2074" s="293"/>
      <c r="BE2074" s="293"/>
      <c r="BK2074" s="293"/>
      <c r="BL2074" s="293"/>
      <c r="BM2074" s="293"/>
      <c r="BP2074" s="448"/>
      <c r="BQ2074" s="448"/>
      <c r="BU2074" s="395">
        <f t="shared" si="299"/>
        <v>0.89208633093525191</v>
      </c>
      <c r="BV2074" s="395">
        <f t="shared" si="300"/>
        <v>0.93525179856115115</v>
      </c>
      <c r="BZ2074" s="448">
        <v>24.8</v>
      </c>
      <c r="CA2074" s="448">
        <v>26</v>
      </c>
      <c r="CD2074" s="298" t="s">
        <v>2095</v>
      </c>
      <c r="CE2074" s="593">
        <v>24.8</v>
      </c>
      <c r="CF2074" s="593">
        <v>26</v>
      </c>
      <c r="CG2074" s="593"/>
      <c r="CH2074" s="593"/>
      <c r="CI2074" s="298" t="s">
        <v>4551</v>
      </c>
      <c r="CJ2074" s="298">
        <v>2.08</v>
      </c>
      <c r="CK2074" s="298">
        <v>2.25</v>
      </c>
      <c r="CN2074" s="298" t="s">
        <v>569</v>
      </c>
      <c r="JB2074" s="293" t="s">
        <v>2084</v>
      </c>
      <c r="JC2074" s="278" t="s">
        <v>2109</v>
      </c>
      <c r="JD2074" s="299"/>
    </row>
    <row r="2075" spans="1:264" s="298" customFormat="1" x14ac:dyDescent="0.25">
      <c r="A2075" s="294">
        <v>93</v>
      </c>
      <c r="B2075" s="545" t="s">
        <v>4205</v>
      </c>
      <c r="C2075" s="293" t="s">
        <v>768</v>
      </c>
      <c r="D2075" s="293" t="s">
        <v>2118</v>
      </c>
      <c r="E2075" s="293">
        <v>2002</v>
      </c>
      <c r="F2075" s="293">
        <v>1998</v>
      </c>
      <c r="G2075" s="293" t="s">
        <v>1749</v>
      </c>
      <c r="H2075" s="293" t="s">
        <v>2032</v>
      </c>
      <c r="I2075" s="278" t="s">
        <v>2815</v>
      </c>
      <c r="J2075" s="293">
        <v>32.57</v>
      </c>
      <c r="K2075" s="293">
        <v>-83.91</v>
      </c>
      <c r="L2075" s="293">
        <v>16</v>
      </c>
      <c r="M2075" s="293">
        <v>18.100000000000001</v>
      </c>
      <c r="N2075" s="293"/>
      <c r="O2075" s="293">
        <v>1258</v>
      </c>
      <c r="P2075" s="293"/>
      <c r="Q2075" s="293"/>
      <c r="R2075" s="293">
        <v>5</v>
      </c>
      <c r="S2075" s="295" t="s">
        <v>1982</v>
      </c>
      <c r="U2075" s="295" t="s">
        <v>2101</v>
      </c>
      <c r="V2075" s="293" t="s">
        <v>1379</v>
      </c>
      <c r="W2075" s="296">
        <v>20</v>
      </c>
      <c r="X2075" s="293" t="s">
        <v>1379</v>
      </c>
      <c r="Y2075" s="293" t="s">
        <v>1379</v>
      </c>
      <c r="Z2075" s="297">
        <v>1.39</v>
      </c>
      <c r="AA2075" s="373">
        <v>65</v>
      </c>
      <c r="AB2075" s="373">
        <v>25</v>
      </c>
      <c r="AC2075" s="293" t="s">
        <v>240</v>
      </c>
      <c r="AD2075" s="293">
        <v>6.5</v>
      </c>
      <c r="AE2075" s="293">
        <f t="shared" si="301"/>
        <v>0.85971223021582732</v>
      </c>
      <c r="AF2075" s="293"/>
      <c r="AG2075" s="293" t="s">
        <v>2036</v>
      </c>
      <c r="AH2075" s="293" t="s">
        <v>2033</v>
      </c>
      <c r="AI2075" s="293" t="s">
        <v>577</v>
      </c>
      <c r="AJ2075" s="293" t="s">
        <v>2035</v>
      </c>
      <c r="AK2075" s="293" t="s">
        <v>1616</v>
      </c>
      <c r="AL2075" s="293" t="s">
        <v>2035</v>
      </c>
      <c r="AM2075" s="293" t="s">
        <v>2035</v>
      </c>
      <c r="AN2075" s="293" t="s">
        <v>177</v>
      </c>
      <c r="AO2075" s="293" t="s">
        <v>2039</v>
      </c>
      <c r="AP2075" s="293" t="s">
        <v>2039</v>
      </c>
      <c r="AQ2075" s="293" t="s">
        <v>2125</v>
      </c>
      <c r="AR2075" s="293" t="s">
        <v>2125</v>
      </c>
      <c r="AS2075" s="298" t="s">
        <v>177</v>
      </c>
      <c r="AT2075" s="293" t="s">
        <v>2034</v>
      </c>
      <c r="AU2075" s="293" t="s">
        <v>2034</v>
      </c>
      <c r="AV2075" s="298" t="s">
        <v>177</v>
      </c>
      <c r="AW2075" s="278" t="s">
        <v>160</v>
      </c>
      <c r="AX2075" s="293">
        <v>4</v>
      </c>
      <c r="AY2075" s="293">
        <v>4</v>
      </c>
      <c r="AZ2075" s="278" t="s">
        <v>141</v>
      </c>
      <c r="BA2075" s="293"/>
      <c r="BB2075" s="293"/>
      <c r="BC2075" s="293"/>
      <c r="BD2075" s="293"/>
      <c r="BE2075" s="293"/>
      <c r="BK2075" s="293"/>
      <c r="BL2075" s="293"/>
      <c r="BM2075" s="293"/>
      <c r="BP2075" s="448"/>
      <c r="BQ2075" s="448"/>
      <c r="BU2075" s="395">
        <f t="shared" si="299"/>
        <v>0.85251798561151104</v>
      </c>
      <c r="BV2075" s="395">
        <f t="shared" si="300"/>
        <v>0.74460431654676273</v>
      </c>
      <c r="BZ2075" s="448">
        <v>23.7</v>
      </c>
      <c r="CA2075" s="448">
        <v>20.7</v>
      </c>
      <c r="CD2075" s="298" t="s">
        <v>2095</v>
      </c>
      <c r="CE2075" s="593">
        <v>23.7</v>
      </c>
      <c r="CF2075" s="593">
        <v>20.7</v>
      </c>
      <c r="CG2075" s="593"/>
      <c r="CH2075" s="593"/>
      <c r="CI2075" s="298" t="s">
        <v>4551</v>
      </c>
      <c r="CJ2075" s="298">
        <v>1.73</v>
      </c>
      <c r="CK2075" s="298">
        <v>1.51</v>
      </c>
      <c r="CN2075" s="298" t="s">
        <v>569</v>
      </c>
      <c r="JB2075" s="293" t="s">
        <v>2084</v>
      </c>
      <c r="JC2075" s="278" t="s">
        <v>2109</v>
      </c>
      <c r="JD2075" s="299"/>
    </row>
    <row r="2076" spans="1:264" s="298" customFormat="1" x14ac:dyDescent="0.25">
      <c r="A2076" s="294">
        <v>93</v>
      </c>
      <c r="B2076" s="545" t="s">
        <v>4205</v>
      </c>
      <c r="C2076" s="293" t="s">
        <v>768</v>
      </c>
      <c r="D2076" s="293" t="s">
        <v>2118</v>
      </c>
      <c r="E2076" s="293">
        <v>2002</v>
      </c>
      <c r="F2076" s="293">
        <v>1999</v>
      </c>
      <c r="G2076" s="293" t="s">
        <v>1749</v>
      </c>
      <c r="H2076" s="293" t="s">
        <v>2032</v>
      </c>
      <c r="I2076" s="278" t="s">
        <v>2815</v>
      </c>
      <c r="J2076" s="293">
        <v>32.57</v>
      </c>
      <c r="K2076" s="293">
        <v>-83.91</v>
      </c>
      <c r="L2076" s="293">
        <v>16</v>
      </c>
      <c r="M2076" s="293">
        <v>18.100000000000001</v>
      </c>
      <c r="N2076" s="293"/>
      <c r="O2076" s="293">
        <v>1258</v>
      </c>
      <c r="P2076" s="293"/>
      <c r="Q2076" s="293"/>
      <c r="R2076" s="293">
        <v>6</v>
      </c>
      <c r="S2076" s="295" t="s">
        <v>1982</v>
      </c>
      <c r="U2076" s="295" t="s">
        <v>2101</v>
      </c>
      <c r="V2076" s="293" t="s">
        <v>1379</v>
      </c>
      <c r="W2076" s="296">
        <v>20</v>
      </c>
      <c r="X2076" s="293" t="s">
        <v>1379</v>
      </c>
      <c r="Y2076" s="293" t="s">
        <v>1379</v>
      </c>
      <c r="Z2076" s="297">
        <v>1.39</v>
      </c>
      <c r="AA2076" s="373">
        <v>65</v>
      </c>
      <c r="AB2076" s="373">
        <v>25</v>
      </c>
      <c r="AC2076" s="293" t="s">
        <v>240</v>
      </c>
      <c r="AD2076" s="293">
        <v>6.5</v>
      </c>
      <c r="AE2076" s="293">
        <f t="shared" si="301"/>
        <v>0.85971223021582732</v>
      </c>
      <c r="AF2076" s="293"/>
      <c r="AG2076" s="293" t="s">
        <v>2036</v>
      </c>
      <c r="AH2076" s="293" t="s">
        <v>2033</v>
      </c>
      <c r="AI2076" s="293" t="s">
        <v>577</v>
      </c>
      <c r="AJ2076" s="293" t="s">
        <v>2106</v>
      </c>
      <c r="AK2076" s="293" t="s">
        <v>1616</v>
      </c>
      <c r="AL2076" s="293" t="s">
        <v>2035</v>
      </c>
      <c r="AM2076" s="293" t="s">
        <v>2035</v>
      </c>
      <c r="AN2076" s="293" t="s">
        <v>177</v>
      </c>
      <c r="AO2076" s="293" t="s">
        <v>2039</v>
      </c>
      <c r="AP2076" s="293" t="s">
        <v>2039</v>
      </c>
      <c r="AQ2076" s="293" t="s">
        <v>2125</v>
      </c>
      <c r="AR2076" s="293" t="s">
        <v>2125</v>
      </c>
      <c r="AS2076" s="298" t="s">
        <v>177</v>
      </c>
      <c r="AT2076" s="293" t="s">
        <v>2034</v>
      </c>
      <c r="AU2076" s="293" t="s">
        <v>2034</v>
      </c>
      <c r="AV2076" s="298" t="s">
        <v>177</v>
      </c>
      <c r="AW2076" s="278" t="s">
        <v>160</v>
      </c>
      <c r="AX2076" s="293">
        <v>4</v>
      </c>
      <c r="AY2076" s="293">
        <v>4</v>
      </c>
      <c r="AZ2076" s="278" t="s">
        <v>141</v>
      </c>
      <c r="BA2076" s="293"/>
      <c r="BB2076" s="293"/>
      <c r="BC2076" s="293"/>
      <c r="BD2076" s="293"/>
      <c r="BE2076" s="293"/>
      <c r="BK2076" s="293"/>
      <c r="BL2076" s="293"/>
      <c r="BM2076" s="293"/>
      <c r="BP2076" s="448"/>
      <c r="BQ2076" s="448"/>
      <c r="BU2076" s="395">
        <f t="shared" si="299"/>
        <v>0.73021582733812962</v>
      </c>
      <c r="BV2076" s="395">
        <f t="shared" si="300"/>
        <v>0.7158273381294965</v>
      </c>
      <c r="BZ2076" s="448">
        <v>20.3</v>
      </c>
      <c r="CA2076" s="448">
        <v>19.899999999999999</v>
      </c>
      <c r="CD2076" s="298" t="s">
        <v>2095</v>
      </c>
      <c r="CE2076" s="593">
        <v>20.3</v>
      </c>
      <c r="CF2076" s="593">
        <v>19.899999999999999</v>
      </c>
      <c r="CG2076" s="593"/>
      <c r="CH2076" s="593"/>
      <c r="CI2076" s="298" t="s">
        <v>4551</v>
      </c>
      <c r="CJ2076" s="298">
        <v>1.45</v>
      </c>
      <c r="CK2076" s="298">
        <v>1.55</v>
      </c>
      <c r="CN2076" s="298" t="s">
        <v>569</v>
      </c>
      <c r="JB2076" s="293" t="s">
        <v>2084</v>
      </c>
      <c r="JC2076" s="278" t="s">
        <v>2109</v>
      </c>
      <c r="JD2076" s="299"/>
    </row>
    <row r="2077" spans="1:264" s="291" customFormat="1" x14ac:dyDescent="0.25">
      <c r="A2077" s="286">
        <v>93</v>
      </c>
      <c r="B2077" s="544" t="s">
        <v>4203</v>
      </c>
      <c r="C2077" s="287" t="s">
        <v>768</v>
      </c>
      <c r="D2077" s="287" t="s">
        <v>2118</v>
      </c>
      <c r="E2077" s="287">
        <v>2002</v>
      </c>
      <c r="F2077" s="287">
        <v>1994</v>
      </c>
      <c r="G2077" s="287" t="s">
        <v>1749</v>
      </c>
      <c r="H2077" s="287" t="s">
        <v>2032</v>
      </c>
      <c r="I2077" s="278" t="s">
        <v>2815</v>
      </c>
      <c r="J2077" s="287">
        <v>32.57</v>
      </c>
      <c r="K2077" s="287">
        <v>-83.91</v>
      </c>
      <c r="L2077" s="287">
        <v>16</v>
      </c>
      <c r="M2077" s="287">
        <v>18.100000000000001</v>
      </c>
      <c r="N2077" s="287"/>
      <c r="O2077" s="287">
        <v>1258</v>
      </c>
      <c r="P2077" s="287"/>
      <c r="Q2077" s="287"/>
      <c r="R2077" s="287">
        <v>1</v>
      </c>
      <c r="S2077" s="288" t="s">
        <v>1982</v>
      </c>
      <c r="U2077" s="288" t="s">
        <v>2101</v>
      </c>
      <c r="V2077" s="287" t="s">
        <v>1379</v>
      </c>
      <c r="W2077" s="289">
        <v>20</v>
      </c>
      <c r="X2077" s="287" t="s">
        <v>1379</v>
      </c>
      <c r="Y2077" s="287" t="s">
        <v>1379</v>
      </c>
      <c r="Z2077" s="290">
        <v>1.39</v>
      </c>
      <c r="AA2077" s="371">
        <v>65</v>
      </c>
      <c r="AB2077" s="371">
        <v>25</v>
      </c>
      <c r="AC2077" s="287" t="s">
        <v>240</v>
      </c>
      <c r="AD2077" s="287">
        <v>6.5</v>
      </c>
      <c r="AE2077" s="287">
        <f t="shared" si="301"/>
        <v>0.85971223021582732</v>
      </c>
      <c r="AF2077" s="287"/>
      <c r="AG2077" s="287" t="s">
        <v>2036</v>
      </c>
      <c r="AH2077" s="287" t="s">
        <v>2033</v>
      </c>
      <c r="AI2077" s="287" t="s">
        <v>577</v>
      </c>
      <c r="AJ2077" s="287" t="s">
        <v>2035</v>
      </c>
      <c r="AK2077" s="287" t="s">
        <v>1616</v>
      </c>
      <c r="AL2077" s="287" t="s">
        <v>2035</v>
      </c>
      <c r="AM2077" s="287" t="s">
        <v>2035</v>
      </c>
      <c r="AN2077" s="287" t="s">
        <v>177</v>
      </c>
      <c r="AO2077" s="287" t="s">
        <v>2112</v>
      </c>
      <c r="AP2077" s="287" t="s">
        <v>2112</v>
      </c>
      <c r="AQ2077" s="287" t="s">
        <v>2125</v>
      </c>
      <c r="AR2077" s="287" t="s">
        <v>2125</v>
      </c>
      <c r="AS2077" s="291" t="s">
        <v>177</v>
      </c>
      <c r="AT2077" s="287" t="s">
        <v>2038</v>
      </c>
      <c r="AU2077" s="287" t="s">
        <v>2038</v>
      </c>
      <c r="AV2077" s="291" t="s">
        <v>177</v>
      </c>
      <c r="AW2077" s="253" t="s">
        <v>160</v>
      </c>
      <c r="AX2077" s="287">
        <v>4</v>
      </c>
      <c r="AY2077" s="287">
        <v>4</v>
      </c>
      <c r="AZ2077" s="253" t="s">
        <v>141</v>
      </c>
      <c r="BA2077" s="287"/>
      <c r="BD2077" s="287"/>
      <c r="BE2077" s="287"/>
      <c r="BK2077" s="287"/>
      <c r="BL2077" s="287"/>
      <c r="BM2077" s="287"/>
      <c r="BP2077" s="447"/>
      <c r="BQ2077" s="447"/>
      <c r="BU2077" s="395">
        <f t="shared" si="299"/>
        <v>0.85971223021582743</v>
      </c>
      <c r="BV2077" s="395">
        <f t="shared" si="300"/>
        <v>0.85971223021582743</v>
      </c>
      <c r="BZ2077" s="447">
        <v>23.9</v>
      </c>
      <c r="CA2077" s="447">
        <v>23.9</v>
      </c>
      <c r="CD2077" s="291" t="s">
        <v>2095</v>
      </c>
      <c r="CE2077" s="592">
        <v>23.9</v>
      </c>
      <c r="CF2077" s="592">
        <v>23.9</v>
      </c>
      <c r="CG2077" s="592"/>
      <c r="CH2077" s="592"/>
      <c r="CI2077" s="291" t="s">
        <v>4551</v>
      </c>
      <c r="CJ2077" s="291">
        <v>1.95</v>
      </c>
      <c r="CK2077" s="291">
        <v>1.95</v>
      </c>
      <c r="CN2077" s="291" t="s">
        <v>569</v>
      </c>
      <c r="JB2077" s="287" t="s">
        <v>2084</v>
      </c>
      <c r="JC2077" s="253" t="s">
        <v>2109</v>
      </c>
      <c r="JD2077" s="292"/>
    </row>
    <row r="2078" spans="1:264" s="291" customFormat="1" x14ac:dyDescent="0.25">
      <c r="A2078" s="286">
        <v>93</v>
      </c>
      <c r="B2078" s="544" t="s">
        <v>4203</v>
      </c>
      <c r="C2078" s="287" t="s">
        <v>768</v>
      </c>
      <c r="D2078" s="287" t="s">
        <v>2118</v>
      </c>
      <c r="E2078" s="287">
        <v>2002</v>
      </c>
      <c r="F2078" s="287">
        <v>1995</v>
      </c>
      <c r="G2078" s="287" t="s">
        <v>1749</v>
      </c>
      <c r="H2078" s="287" t="s">
        <v>2032</v>
      </c>
      <c r="I2078" s="278" t="s">
        <v>2815</v>
      </c>
      <c r="J2078" s="287">
        <v>32.57</v>
      </c>
      <c r="K2078" s="287">
        <v>-83.91</v>
      </c>
      <c r="L2078" s="287">
        <v>16</v>
      </c>
      <c r="M2078" s="287">
        <v>18.100000000000001</v>
      </c>
      <c r="N2078" s="287"/>
      <c r="O2078" s="287">
        <v>1258</v>
      </c>
      <c r="P2078" s="287"/>
      <c r="Q2078" s="287"/>
      <c r="R2078" s="287">
        <v>2</v>
      </c>
      <c r="S2078" s="288" t="s">
        <v>1982</v>
      </c>
      <c r="U2078" s="288" t="s">
        <v>2101</v>
      </c>
      <c r="V2078" s="287" t="s">
        <v>1379</v>
      </c>
      <c r="W2078" s="289">
        <v>20</v>
      </c>
      <c r="X2078" s="287" t="s">
        <v>1379</v>
      </c>
      <c r="Y2078" s="287" t="s">
        <v>1379</v>
      </c>
      <c r="Z2078" s="290">
        <v>1.39</v>
      </c>
      <c r="AA2078" s="371">
        <v>65</v>
      </c>
      <c r="AB2078" s="371">
        <v>25</v>
      </c>
      <c r="AC2078" s="287" t="s">
        <v>240</v>
      </c>
      <c r="AD2078" s="287">
        <v>6.5</v>
      </c>
      <c r="AE2078" s="287">
        <f t="shared" si="301"/>
        <v>0.85971223021582732</v>
      </c>
      <c r="AF2078" s="287"/>
      <c r="AG2078" s="287" t="s">
        <v>2036</v>
      </c>
      <c r="AH2078" s="287" t="s">
        <v>2033</v>
      </c>
      <c r="AI2078" s="287" t="s">
        <v>577</v>
      </c>
      <c r="AJ2078" s="287" t="s">
        <v>2035</v>
      </c>
      <c r="AK2078" s="287" t="s">
        <v>1616</v>
      </c>
      <c r="AL2078" s="287" t="s">
        <v>2035</v>
      </c>
      <c r="AM2078" s="287" t="s">
        <v>2035</v>
      </c>
      <c r="AN2078" s="287" t="s">
        <v>177</v>
      </c>
      <c r="AO2078" s="287" t="s">
        <v>2112</v>
      </c>
      <c r="AP2078" s="287" t="s">
        <v>2112</v>
      </c>
      <c r="AQ2078" s="287" t="s">
        <v>2125</v>
      </c>
      <c r="AR2078" s="287" t="s">
        <v>2125</v>
      </c>
      <c r="AS2078" s="291" t="s">
        <v>177</v>
      </c>
      <c r="AT2078" s="287" t="s">
        <v>2038</v>
      </c>
      <c r="AU2078" s="287" t="s">
        <v>2038</v>
      </c>
      <c r="AV2078" s="291" t="s">
        <v>177</v>
      </c>
      <c r="AW2078" s="253" t="s">
        <v>160</v>
      </c>
      <c r="AX2078" s="287">
        <v>4</v>
      </c>
      <c r="AY2078" s="287">
        <v>4</v>
      </c>
      <c r="AZ2078" s="253" t="s">
        <v>141</v>
      </c>
      <c r="BA2078" s="287"/>
      <c r="BB2078" s="287"/>
      <c r="BC2078" s="287"/>
      <c r="BD2078" s="287"/>
      <c r="BE2078" s="287"/>
      <c r="BK2078" s="287"/>
      <c r="BL2078" s="287"/>
      <c r="BM2078" s="287"/>
      <c r="BP2078" s="447"/>
      <c r="BQ2078" s="447"/>
      <c r="BU2078" s="395">
        <f t="shared" si="299"/>
        <v>0.73381294964028787</v>
      </c>
      <c r="BV2078" s="395">
        <f t="shared" si="300"/>
        <v>0.69784172661870514</v>
      </c>
      <c r="BZ2078" s="447">
        <v>20.399999999999999</v>
      </c>
      <c r="CA2078" s="447">
        <v>19.399999999999999</v>
      </c>
      <c r="CD2078" s="291" t="s">
        <v>2095</v>
      </c>
      <c r="CE2078" s="592">
        <v>20.399999999999999</v>
      </c>
      <c r="CF2078" s="592">
        <v>19.399999999999999</v>
      </c>
      <c r="CG2078" s="592"/>
      <c r="CH2078" s="592"/>
      <c r="CI2078" s="291" t="s">
        <v>4551</v>
      </c>
      <c r="CJ2078" s="291">
        <v>1.99</v>
      </c>
      <c r="CK2078" s="291">
        <v>1.45</v>
      </c>
      <c r="CN2078" s="291" t="s">
        <v>569</v>
      </c>
      <c r="JB2078" s="287" t="s">
        <v>2084</v>
      </c>
      <c r="JC2078" s="253" t="s">
        <v>2109</v>
      </c>
      <c r="JD2078" s="292"/>
    </row>
    <row r="2079" spans="1:264" s="291" customFormat="1" x14ac:dyDescent="0.25">
      <c r="A2079" s="286">
        <v>93</v>
      </c>
      <c r="B2079" s="544" t="s">
        <v>4203</v>
      </c>
      <c r="C2079" s="287" t="s">
        <v>768</v>
      </c>
      <c r="D2079" s="287" t="s">
        <v>2118</v>
      </c>
      <c r="E2079" s="287">
        <v>2002</v>
      </c>
      <c r="F2079" s="287">
        <v>1996</v>
      </c>
      <c r="G2079" s="287" t="s">
        <v>1749</v>
      </c>
      <c r="H2079" s="287" t="s">
        <v>2032</v>
      </c>
      <c r="I2079" s="278" t="s">
        <v>2815</v>
      </c>
      <c r="J2079" s="287">
        <v>32.57</v>
      </c>
      <c r="K2079" s="287">
        <v>-83.91</v>
      </c>
      <c r="L2079" s="287">
        <v>16</v>
      </c>
      <c r="M2079" s="287">
        <v>18.100000000000001</v>
      </c>
      <c r="N2079" s="287"/>
      <c r="O2079" s="287">
        <v>1258</v>
      </c>
      <c r="P2079" s="287"/>
      <c r="Q2079" s="287"/>
      <c r="R2079" s="287">
        <v>3</v>
      </c>
      <c r="S2079" s="288" t="s">
        <v>1982</v>
      </c>
      <c r="U2079" s="288" t="s">
        <v>2101</v>
      </c>
      <c r="V2079" s="287" t="s">
        <v>1379</v>
      </c>
      <c r="W2079" s="289">
        <v>20</v>
      </c>
      <c r="X2079" s="287" t="s">
        <v>1379</v>
      </c>
      <c r="Y2079" s="287" t="s">
        <v>1379</v>
      </c>
      <c r="Z2079" s="290">
        <v>1.39</v>
      </c>
      <c r="AA2079" s="371">
        <v>65</v>
      </c>
      <c r="AB2079" s="371">
        <v>25</v>
      </c>
      <c r="AC2079" s="287" t="s">
        <v>240</v>
      </c>
      <c r="AD2079" s="287">
        <v>6.5</v>
      </c>
      <c r="AE2079" s="287">
        <f t="shared" si="301"/>
        <v>0.85971223021582732</v>
      </c>
      <c r="AF2079" s="287"/>
      <c r="AG2079" s="287" t="s">
        <v>2036</v>
      </c>
      <c r="AH2079" s="287" t="s">
        <v>2033</v>
      </c>
      <c r="AI2079" s="287" t="s">
        <v>577</v>
      </c>
      <c r="AJ2079" s="287" t="s">
        <v>2035</v>
      </c>
      <c r="AK2079" s="287" t="s">
        <v>1616</v>
      </c>
      <c r="AL2079" s="287" t="s">
        <v>2035</v>
      </c>
      <c r="AM2079" s="287" t="s">
        <v>2035</v>
      </c>
      <c r="AN2079" s="287" t="s">
        <v>177</v>
      </c>
      <c r="AO2079" s="287" t="s">
        <v>2112</v>
      </c>
      <c r="AP2079" s="287" t="s">
        <v>2112</v>
      </c>
      <c r="AQ2079" s="287" t="s">
        <v>2125</v>
      </c>
      <c r="AR2079" s="287" t="s">
        <v>2125</v>
      </c>
      <c r="AS2079" s="291" t="s">
        <v>177</v>
      </c>
      <c r="AT2079" s="287" t="s">
        <v>2038</v>
      </c>
      <c r="AU2079" s="287" t="s">
        <v>2038</v>
      </c>
      <c r="AV2079" s="291" t="s">
        <v>177</v>
      </c>
      <c r="AW2079" s="253" t="s">
        <v>160</v>
      </c>
      <c r="AX2079" s="287">
        <v>4</v>
      </c>
      <c r="AY2079" s="287">
        <v>4</v>
      </c>
      <c r="AZ2079" s="253" t="s">
        <v>141</v>
      </c>
      <c r="BA2079" s="287"/>
      <c r="BD2079" s="287"/>
      <c r="BE2079" s="287"/>
      <c r="BK2079" s="287"/>
      <c r="BL2079" s="287"/>
      <c r="BM2079" s="287"/>
      <c r="BP2079" s="447"/>
      <c r="BQ2079" s="447"/>
      <c r="BU2079" s="395">
        <f t="shared" si="299"/>
        <v>0.75899280575539585</v>
      </c>
      <c r="BV2079" s="395">
        <f t="shared" si="300"/>
        <v>0.83453237410071945</v>
      </c>
      <c r="BZ2079" s="447">
        <v>21.1</v>
      </c>
      <c r="CA2079" s="447">
        <v>23.2</v>
      </c>
      <c r="CD2079" s="291" t="s">
        <v>2095</v>
      </c>
      <c r="CE2079" s="592">
        <v>21.1</v>
      </c>
      <c r="CF2079" s="592">
        <v>23.2</v>
      </c>
      <c r="CG2079" s="592"/>
      <c r="CH2079" s="592"/>
      <c r="CI2079" s="291" t="s">
        <v>4551</v>
      </c>
      <c r="CJ2079" s="291">
        <v>1.98</v>
      </c>
      <c r="CK2079" s="291">
        <v>2.0099999999999998</v>
      </c>
      <c r="CN2079" s="291" t="s">
        <v>569</v>
      </c>
      <c r="JB2079" s="287" t="s">
        <v>2084</v>
      </c>
      <c r="JC2079" s="253" t="s">
        <v>2109</v>
      </c>
      <c r="JD2079" s="292"/>
    </row>
    <row r="2080" spans="1:264" s="291" customFormat="1" x14ac:dyDescent="0.25">
      <c r="A2080" s="286">
        <v>93</v>
      </c>
      <c r="B2080" s="544" t="s">
        <v>4203</v>
      </c>
      <c r="C2080" s="287" t="s">
        <v>768</v>
      </c>
      <c r="D2080" s="287" t="s">
        <v>2118</v>
      </c>
      <c r="E2080" s="287">
        <v>2002</v>
      </c>
      <c r="F2080" s="287">
        <v>1997</v>
      </c>
      <c r="G2080" s="287" t="s">
        <v>1749</v>
      </c>
      <c r="H2080" s="287" t="s">
        <v>2032</v>
      </c>
      <c r="I2080" s="278" t="s">
        <v>2815</v>
      </c>
      <c r="J2080" s="287">
        <v>32.57</v>
      </c>
      <c r="K2080" s="287">
        <v>-83.91</v>
      </c>
      <c r="L2080" s="287">
        <v>16</v>
      </c>
      <c r="M2080" s="287">
        <v>18.100000000000001</v>
      </c>
      <c r="N2080" s="287"/>
      <c r="O2080" s="287">
        <v>1258</v>
      </c>
      <c r="P2080" s="287"/>
      <c r="Q2080" s="287"/>
      <c r="R2080" s="287">
        <v>4</v>
      </c>
      <c r="S2080" s="288" t="s">
        <v>1982</v>
      </c>
      <c r="U2080" s="288" t="s">
        <v>2101</v>
      </c>
      <c r="V2080" s="287" t="s">
        <v>1379</v>
      </c>
      <c r="W2080" s="289">
        <v>20</v>
      </c>
      <c r="X2080" s="287" t="s">
        <v>1379</v>
      </c>
      <c r="Y2080" s="287" t="s">
        <v>1379</v>
      </c>
      <c r="Z2080" s="290">
        <v>1.39</v>
      </c>
      <c r="AA2080" s="371">
        <v>65</v>
      </c>
      <c r="AB2080" s="371">
        <v>25</v>
      </c>
      <c r="AC2080" s="287" t="s">
        <v>240</v>
      </c>
      <c r="AD2080" s="287">
        <v>6.5</v>
      </c>
      <c r="AE2080" s="287">
        <f t="shared" si="301"/>
        <v>0.85971223021582732</v>
      </c>
      <c r="AF2080" s="287"/>
      <c r="AG2080" s="287" t="s">
        <v>2036</v>
      </c>
      <c r="AH2080" s="287" t="s">
        <v>2033</v>
      </c>
      <c r="AI2080" s="287" t="s">
        <v>577</v>
      </c>
      <c r="AJ2080" s="287" t="s">
        <v>2035</v>
      </c>
      <c r="AK2080" s="287" t="s">
        <v>1616</v>
      </c>
      <c r="AL2080" s="287" t="s">
        <v>2035</v>
      </c>
      <c r="AM2080" s="287" t="s">
        <v>2035</v>
      </c>
      <c r="AN2080" s="287" t="s">
        <v>177</v>
      </c>
      <c r="AO2080" s="287" t="s">
        <v>2112</v>
      </c>
      <c r="AP2080" s="287" t="s">
        <v>2112</v>
      </c>
      <c r="AQ2080" s="287" t="s">
        <v>2125</v>
      </c>
      <c r="AR2080" s="287" t="s">
        <v>2125</v>
      </c>
      <c r="AS2080" s="291" t="s">
        <v>177</v>
      </c>
      <c r="AT2080" s="287" t="s">
        <v>2038</v>
      </c>
      <c r="AU2080" s="287" t="s">
        <v>2038</v>
      </c>
      <c r="AV2080" s="291" t="s">
        <v>177</v>
      </c>
      <c r="AW2080" s="253" t="s">
        <v>160</v>
      </c>
      <c r="AX2080" s="287">
        <v>4</v>
      </c>
      <c r="AY2080" s="287">
        <v>4</v>
      </c>
      <c r="AZ2080" s="253" t="s">
        <v>141</v>
      </c>
      <c r="BA2080" s="287"/>
      <c r="BB2080" s="287"/>
      <c r="BC2080" s="287"/>
      <c r="BD2080" s="287"/>
      <c r="BE2080" s="287"/>
      <c r="BK2080" s="287"/>
      <c r="BL2080" s="287"/>
      <c r="BM2080" s="287"/>
      <c r="BP2080" s="447"/>
      <c r="BQ2080" s="447"/>
      <c r="BU2080" s="395">
        <f t="shared" ref="BU2080:BU2094" si="302">(BZ2080*1000000)/(100*100*Z2080*W2080/100*1000000)*100</f>
        <v>0.70143884892086339</v>
      </c>
      <c r="BV2080" s="395">
        <f t="shared" ref="BV2080:BV2094" si="303">(CA2080*1000000)/(100*100*Z2080*W2080/100*1000000)*100</f>
        <v>0.69784172661870514</v>
      </c>
      <c r="BZ2080" s="447">
        <v>19.5</v>
      </c>
      <c r="CA2080" s="447">
        <v>19.399999999999999</v>
      </c>
      <c r="CD2080" s="291" t="s">
        <v>2095</v>
      </c>
      <c r="CE2080" s="592">
        <v>19.5</v>
      </c>
      <c r="CF2080" s="592">
        <v>19.399999999999999</v>
      </c>
      <c r="CG2080" s="592"/>
      <c r="CH2080" s="592"/>
      <c r="CI2080" s="291" t="s">
        <v>4551</v>
      </c>
      <c r="CJ2080" s="291">
        <v>1.44</v>
      </c>
      <c r="CK2080" s="291">
        <v>1.52</v>
      </c>
      <c r="CN2080" s="291" t="s">
        <v>569</v>
      </c>
      <c r="JB2080" s="287" t="s">
        <v>2084</v>
      </c>
      <c r="JC2080" s="253" t="s">
        <v>2109</v>
      </c>
      <c r="JD2080" s="292"/>
    </row>
    <row r="2081" spans="1:264" s="291" customFormat="1" x14ac:dyDescent="0.25">
      <c r="A2081" s="286">
        <v>93</v>
      </c>
      <c r="B2081" s="544" t="s">
        <v>4203</v>
      </c>
      <c r="C2081" s="287" t="s">
        <v>768</v>
      </c>
      <c r="D2081" s="287" t="s">
        <v>2118</v>
      </c>
      <c r="E2081" s="287">
        <v>2002</v>
      </c>
      <c r="F2081" s="287">
        <v>1998</v>
      </c>
      <c r="G2081" s="287" t="s">
        <v>1749</v>
      </c>
      <c r="H2081" s="287" t="s">
        <v>2032</v>
      </c>
      <c r="I2081" s="278" t="s">
        <v>2815</v>
      </c>
      <c r="J2081" s="287">
        <v>32.57</v>
      </c>
      <c r="K2081" s="287">
        <v>-83.91</v>
      </c>
      <c r="L2081" s="287">
        <v>16</v>
      </c>
      <c r="M2081" s="287">
        <v>18.100000000000001</v>
      </c>
      <c r="N2081" s="287"/>
      <c r="O2081" s="287">
        <v>1258</v>
      </c>
      <c r="P2081" s="287"/>
      <c r="Q2081" s="287"/>
      <c r="R2081" s="287">
        <v>5</v>
      </c>
      <c r="S2081" s="288" t="s">
        <v>1982</v>
      </c>
      <c r="U2081" s="288" t="s">
        <v>2101</v>
      </c>
      <c r="V2081" s="287" t="s">
        <v>1379</v>
      </c>
      <c r="W2081" s="289">
        <v>20</v>
      </c>
      <c r="X2081" s="287" t="s">
        <v>1379</v>
      </c>
      <c r="Y2081" s="287" t="s">
        <v>1379</v>
      </c>
      <c r="Z2081" s="290">
        <v>1.39</v>
      </c>
      <c r="AA2081" s="371">
        <v>65</v>
      </c>
      <c r="AB2081" s="371">
        <v>25</v>
      </c>
      <c r="AC2081" s="287" t="s">
        <v>240</v>
      </c>
      <c r="AD2081" s="287">
        <v>6.5</v>
      </c>
      <c r="AE2081" s="287">
        <f t="shared" si="301"/>
        <v>0.85971223021582732</v>
      </c>
      <c r="AF2081" s="287"/>
      <c r="AG2081" s="287" t="s">
        <v>2036</v>
      </c>
      <c r="AH2081" s="287" t="s">
        <v>2033</v>
      </c>
      <c r="AI2081" s="287" t="s">
        <v>577</v>
      </c>
      <c r="AJ2081" s="287" t="s">
        <v>2035</v>
      </c>
      <c r="AK2081" s="287" t="s">
        <v>1616</v>
      </c>
      <c r="AL2081" s="287" t="s">
        <v>2035</v>
      </c>
      <c r="AM2081" s="287" t="s">
        <v>2035</v>
      </c>
      <c r="AN2081" s="287" t="s">
        <v>177</v>
      </c>
      <c r="AO2081" s="287" t="s">
        <v>2112</v>
      </c>
      <c r="AP2081" s="287" t="s">
        <v>2112</v>
      </c>
      <c r="AQ2081" s="287" t="s">
        <v>2125</v>
      </c>
      <c r="AR2081" s="287" t="s">
        <v>2125</v>
      </c>
      <c r="AS2081" s="291" t="s">
        <v>177</v>
      </c>
      <c r="AT2081" s="287" t="s">
        <v>2038</v>
      </c>
      <c r="AU2081" s="287" t="s">
        <v>2038</v>
      </c>
      <c r="AV2081" s="291" t="s">
        <v>177</v>
      </c>
      <c r="AW2081" s="253" t="s">
        <v>160</v>
      </c>
      <c r="AX2081" s="287">
        <v>4</v>
      </c>
      <c r="AY2081" s="287">
        <v>4</v>
      </c>
      <c r="AZ2081" s="253" t="s">
        <v>141</v>
      </c>
      <c r="BA2081" s="287"/>
      <c r="BB2081" s="287"/>
      <c r="BC2081" s="287"/>
      <c r="BD2081" s="287"/>
      <c r="BE2081" s="287"/>
      <c r="BK2081" s="287"/>
      <c r="BL2081" s="287"/>
      <c r="BM2081" s="287"/>
      <c r="BP2081" s="447"/>
      <c r="BQ2081" s="447"/>
      <c r="BU2081" s="395">
        <f t="shared" si="302"/>
        <v>0.72302158273381312</v>
      </c>
      <c r="BV2081" s="395">
        <f t="shared" si="303"/>
        <v>0.78776978417266197</v>
      </c>
      <c r="BZ2081" s="447">
        <v>20.100000000000001</v>
      </c>
      <c r="CA2081" s="447">
        <v>21.9</v>
      </c>
      <c r="CD2081" s="291" t="s">
        <v>2095</v>
      </c>
      <c r="CE2081" s="592">
        <v>20.100000000000001</v>
      </c>
      <c r="CF2081" s="592">
        <v>21.9</v>
      </c>
      <c r="CG2081" s="592"/>
      <c r="CH2081" s="592"/>
      <c r="CI2081" s="291" t="s">
        <v>4551</v>
      </c>
      <c r="CJ2081" s="291">
        <v>1.62</v>
      </c>
      <c r="CK2081" s="291">
        <v>1.6</v>
      </c>
      <c r="CN2081" s="291" t="s">
        <v>569</v>
      </c>
      <c r="JB2081" s="287" t="s">
        <v>2084</v>
      </c>
      <c r="JC2081" s="253" t="s">
        <v>2109</v>
      </c>
      <c r="JD2081" s="292"/>
    </row>
    <row r="2082" spans="1:264" s="291" customFormat="1" x14ac:dyDescent="0.25">
      <c r="A2082" s="286">
        <v>93</v>
      </c>
      <c r="B2082" s="544" t="s">
        <v>4203</v>
      </c>
      <c r="C2082" s="287" t="s">
        <v>768</v>
      </c>
      <c r="D2082" s="287" t="s">
        <v>2118</v>
      </c>
      <c r="E2082" s="287">
        <v>2002</v>
      </c>
      <c r="F2082" s="287">
        <v>1999</v>
      </c>
      <c r="G2082" s="287" t="s">
        <v>1749</v>
      </c>
      <c r="H2082" s="287" t="s">
        <v>2032</v>
      </c>
      <c r="I2082" s="278" t="s">
        <v>2815</v>
      </c>
      <c r="J2082" s="287">
        <v>32.57</v>
      </c>
      <c r="K2082" s="287">
        <v>-83.91</v>
      </c>
      <c r="L2082" s="287">
        <v>16</v>
      </c>
      <c r="M2082" s="287">
        <v>18.100000000000001</v>
      </c>
      <c r="N2082" s="287"/>
      <c r="O2082" s="287">
        <v>1258</v>
      </c>
      <c r="P2082" s="287"/>
      <c r="Q2082" s="287"/>
      <c r="R2082" s="287">
        <v>6</v>
      </c>
      <c r="S2082" s="288" t="s">
        <v>1982</v>
      </c>
      <c r="U2082" s="288" t="s">
        <v>2101</v>
      </c>
      <c r="V2082" s="287" t="s">
        <v>1379</v>
      </c>
      <c r="W2082" s="289">
        <v>20</v>
      </c>
      <c r="X2082" s="287" t="s">
        <v>1379</v>
      </c>
      <c r="Y2082" s="287" t="s">
        <v>1379</v>
      </c>
      <c r="Z2082" s="290">
        <v>1.39</v>
      </c>
      <c r="AA2082" s="371">
        <v>65</v>
      </c>
      <c r="AB2082" s="371">
        <v>25</v>
      </c>
      <c r="AC2082" s="287" t="s">
        <v>240</v>
      </c>
      <c r="AD2082" s="287">
        <v>6.5</v>
      </c>
      <c r="AE2082" s="287">
        <f t="shared" si="301"/>
        <v>0.85971223021582732</v>
      </c>
      <c r="AF2082" s="287"/>
      <c r="AG2082" s="287" t="s">
        <v>2036</v>
      </c>
      <c r="AH2082" s="287" t="s">
        <v>2033</v>
      </c>
      <c r="AI2082" s="287" t="s">
        <v>577</v>
      </c>
      <c r="AJ2082" s="287" t="s">
        <v>2106</v>
      </c>
      <c r="AK2082" s="287" t="s">
        <v>1616</v>
      </c>
      <c r="AL2082" s="287" t="s">
        <v>2035</v>
      </c>
      <c r="AM2082" s="287" t="s">
        <v>2035</v>
      </c>
      <c r="AN2082" s="287" t="s">
        <v>177</v>
      </c>
      <c r="AO2082" s="287" t="s">
        <v>2112</v>
      </c>
      <c r="AP2082" s="287" t="s">
        <v>2112</v>
      </c>
      <c r="AQ2082" s="287" t="s">
        <v>2125</v>
      </c>
      <c r="AR2082" s="287" t="s">
        <v>2125</v>
      </c>
      <c r="AS2082" s="291" t="s">
        <v>177</v>
      </c>
      <c r="AT2082" s="287" t="s">
        <v>2038</v>
      </c>
      <c r="AU2082" s="287" t="s">
        <v>2038</v>
      </c>
      <c r="AV2082" s="291" t="s">
        <v>177</v>
      </c>
      <c r="AW2082" s="253" t="s">
        <v>160</v>
      </c>
      <c r="AX2082" s="287">
        <v>4</v>
      </c>
      <c r="AY2082" s="287">
        <v>4</v>
      </c>
      <c r="AZ2082" s="253" t="s">
        <v>141</v>
      </c>
      <c r="BA2082" s="287"/>
      <c r="BB2082" s="287"/>
      <c r="BC2082" s="287"/>
      <c r="BD2082" s="287"/>
      <c r="BE2082" s="287"/>
      <c r="BK2082" s="287"/>
      <c r="BL2082" s="287"/>
      <c r="BM2082" s="287"/>
      <c r="BP2082" s="447"/>
      <c r="BQ2082" s="447"/>
      <c r="BU2082" s="395">
        <f t="shared" si="302"/>
        <v>0.72302158273381312</v>
      </c>
      <c r="BV2082" s="395">
        <f t="shared" si="303"/>
        <v>0.74820143884892099</v>
      </c>
      <c r="BZ2082" s="447">
        <v>20.100000000000001</v>
      </c>
      <c r="CA2082" s="447">
        <v>20.8</v>
      </c>
      <c r="CD2082" s="291" t="s">
        <v>2095</v>
      </c>
      <c r="CE2082" s="592">
        <v>20.100000000000001</v>
      </c>
      <c r="CF2082" s="592">
        <v>20.8</v>
      </c>
      <c r="CG2082" s="592"/>
      <c r="CH2082" s="592"/>
      <c r="CI2082" s="291" t="s">
        <v>4551</v>
      </c>
      <c r="CJ2082" s="291">
        <v>1.55</v>
      </c>
      <c r="CK2082" s="291">
        <v>1.41</v>
      </c>
      <c r="CN2082" s="291" t="s">
        <v>569</v>
      </c>
      <c r="JB2082" s="287" t="s">
        <v>2084</v>
      </c>
      <c r="JC2082" s="253" t="s">
        <v>2109</v>
      </c>
      <c r="JD2082" s="292"/>
    </row>
    <row r="2083" spans="1:264" s="92" customFormat="1" x14ac:dyDescent="0.25">
      <c r="A2083" s="252">
        <v>93</v>
      </c>
      <c r="B2083" s="539" t="s">
        <v>4204</v>
      </c>
      <c r="C2083" s="253" t="s">
        <v>768</v>
      </c>
      <c r="D2083" s="253" t="s">
        <v>2118</v>
      </c>
      <c r="E2083" s="253">
        <v>2002</v>
      </c>
      <c r="F2083" s="253">
        <v>1994</v>
      </c>
      <c r="G2083" s="253" t="s">
        <v>1749</v>
      </c>
      <c r="H2083" s="253" t="s">
        <v>2032</v>
      </c>
      <c r="I2083" s="278" t="s">
        <v>2815</v>
      </c>
      <c r="J2083" s="253">
        <v>32.57</v>
      </c>
      <c r="K2083" s="253">
        <v>-83.91</v>
      </c>
      <c r="L2083" s="253">
        <v>16</v>
      </c>
      <c r="M2083" s="253">
        <v>18.100000000000001</v>
      </c>
      <c r="N2083" s="253"/>
      <c r="O2083" s="253">
        <v>1258</v>
      </c>
      <c r="P2083" s="253"/>
      <c r="Q2083" s="253"/>
      <c r="R2083" s="253">
        <v>1</v>
      </c>
      <c r="S2083" s="255" t="s">
        <v>1982</v>
      </c>
      <c r="U2083" s="255" t="s">
        <v>2101</v>
      </c>
      <c r="V2083" s="253" t="s">
        <v>1379</v>
      </c>
      <c r="W2083" s="256">
        <v>20</v>
      </c>
      <c r="X2083" s="253" t="s">
        <v>1379</v>
      </c>
      <c r="Y2083" s="253" t="s">
        <v>1379</v>
      </c>
      <c r="Z2083" s="257">
        <v>1.39</v>
      </c>
      <c r="AA2083" s="372">
        <v>65</v>
      </c>
      <c r="AB2083" s="372">
        <v>25</v>
      </c>
      <c r="AC2083" s="253" t="s">
        <v>240</v>
      </c>
      <c r="AD2083" s="253">
        <v>6.5</v>
      </c>
      <c r="AE2083" s="253">
        <f t="shared" ref="AE2083:AE2094" si="304">23.9/(100*100*Z2083*0.2)*100</f>
        <v>0.85971223021582732</v>
      </c>
      <c r="AF2083" s="253"/>
      <c r="AG2083" s="253" t="s">
        <v>2036</v>
      </c>
      <c r="AH2083" s="253" t="s">
        <v>2033</v>
      </c>
      <c r="AI2083" s="253" t="s">
        <v>577</v>
      </c>
      <c r="AJ2083" s="253" t="s">
        <v>2035</v>
      </c>
      <c r="AK2083" s="253" t="s">
        <v>1616</v>
      </c>
      <c r="AL2083" s="253" t="s">
        <v>2035</v>
      </c>
      <c r="AM2083" s="253" t="s">
        <v>2035</v>
      </c>
      <c r="AN2083" s="253" t="s">
        <v>177</v>
      </c>
      <c r="AO2083" s="253" t="s">
        <v>2112</v>
      </c>
      <c r="AP2083" s="253" t="s">
        <v>2112</v>
      </c>
      <c r="AQ2083" s="287" t="s">
        <v>2125</v>
      </c>
      <c r="AR2083" s="287" t="s">
        <v>2125</v>
      </c>
      <c r="AS2083" s="291" t="s">
        <v>177</v>
      </c>
      <c r="AT2083" s="253" t="s">
        <v>2037</v>
      </c>
      <c r="AU2083" s="253" t="s">
        <v>2037</v>
      </c>
      <c r="AV2083" s="291" t="s">
        <v>177</v>
      </c>
      <c r="AW2083" s="253" t="s">
        <v>160</v>
      </c>
      <c r="AX2083" s="253">
        <v>4</v>
      </c>
      <c r="AY2083" s="253">
        <v>4</v>
      </c>
      <c r="AZ2083" s="253" t="s">
        <v>141</v>
      </c>
      <c r="BA2083" s="253"/>
      <c r="BD2083" s="253"/>
      <c r="BE2083" s="253"/>
      <c r="BK2083" s="253"/>
      <c r="BL2083" s="253"/>
      <c r="BM2083" s="253"/>
      <c r="BP2083" s="438"/>
      <c r="BQ2083" s="438"/>
      <c r="BU2083" s="395">
        <f t="shared" si="302"/>
        <v>0.85971223021582743</v>
      </c>
      <c r="BV2083" s="395">
        <f t="shared" si="303"/>
        <v>0.85971223021582743</v>
      </c>
      <c r="BZ2083" s="438">
        <v>23.9</v>
      </c>
      <c r="CA2083" s="438">
        <v>23.9</v>
      </c>
      <c r="CD2083" s="92" t="s">
        <v>2095</v>
      </c>
      <c r="CE2083" s="577">
        <v>23.9</v>
      </c>
      <c r="CF2083" s="577">
        <v>23.9</v>
      </c>
      <c r="CG2083" s="577"/>
      <c r="CH2083" s="577"/>
      <c r="CI2083" s="291" t="s">
        <v>4551</v>
      </c>
      <c r="CJ2083" s="92">
        <v>1.95</v>
      </c>
      <c r="CK2083" s="92">
        <v>1.95</v>
      </c>
      <c r="CN2083" s="92" t="s">
        <v>569</v>
      </c>
      <c r="JB2083" s="253" t="s">
        <v>2084</v>
      </c>
      <c r="JC2083" s="253" t="s">
        <v>2109</v>
      </c>
      <c r="JD2083" s="259"/>
    </row>
    <row r="2084" spans="1:264" s="92" customFormat="1" x14ac:dyDescent="0.25">
      <c r="A2084" s="252">
        <v>93</v>
      </c>
      <c r="B2084" s="539" t="s">
        <v>4204</v>
      </c>
      <c r="C2084" s="253" t="s">
        <v>768</v>
      </c>
      <c r="D2084" s="253" t="s">
        <v>2118</v>
      </c>
      <c r="E2084" s="253">
        <v>2002</v>
      </c>
      <c r="F2084" s="253">
        <v>1995</v>
      </c>
      <c r="G2084" s="253" t="s">
        <v>1749</v>
      </c>
      <c r="H2084" s="253" t="s">
        <v>2032</v>
      </c>
      <c r="I2084" s="278" t="s">
        <v>2815</v>
      </c>
      <c r="J2084" s="253">
        <v>32.57</v>
      </c>
      <c r="K2084" s="253">
        <v>-83.91</v>
      </c>
      <c r="L2084" s="253">
        <v>16</v>
      </c>
      <c r="M2084" s="253">
        <v>18.100000000000001</v>
      </c>
      <c r="N2084" s="253"/>
      <c r="O2084" s="253">
        <v>1258</v>
      </c>
      <c r="P2084" s="253"/>
      <c r="Q2084" s="253"/>
      <c r="R2084" s="253">
        <v>2</v>
      </c>
      <c r="S2084" s="255" t="s">
        <v>1982</v>
      </c>
      <c r="U2084" s="255" t="s">
        <v>2101</v>
      </c>
      <c r="V2084" s="253" t="s">
        <v>1379</v>
      </c>
      <c r="W2084" s="256">
        <v>20</v>
      </c>
      <c r="X2084" s="253" t="s">
        <v>1379</v>
      </c>
      <c r="Y2084" s="253" t="s">
        <v>1379</v>
      </c>
      <c r="Z2084" s="257">
        <v>1.39</v>
      </c>
      <c r="AA2084" s="372">
        <v>65</v>
      </c>
      <c r="AB2084" s="372">
        <v>25</v>
      </c>
      <c r="AC2084" s="253" t="s">
        <v>240</v>
      </c>
      <c r="AD2084" s="253">
        <v>6.5</v>
      </c>
      <c r="AE2084" s="253">
        <f t="shared" si="304"/>
        <v>0.85971223021582732</v>
      </c>
      <c r="AF2084" s="253"/>
      <c r="AG2084" s="253" t="s">
        <v>2036</v>
      </c>
      <c r="AH2084" s="253" t="s">
        <v>2033</v>
      </c>
      <c r="AI2084" s="253" t="s">
        <v>577</v>
      </c>
      <c r="AJ2084" s="253" t="s">
        <v>2035</v>
      </c>
      <c r="AK2084" s="253" t="s">
        <v>1616</v>
      </c>
      <c r="AL2084" s="253" t="s">
        <v>2035</v>
      </c>
      <c r="AM2084" s="253" t="s">
        <v>2035</v>
      </c>
      <c r="AN2084" s="253" t="s">
        <v>177</v>
      </c>
      <c r="AO2084" s="253" t="s">
        <v>2112</v>
      </c>
      <c r="AP2084" s="253" t="s">
        <v>2112</v>
      </c>
      <c r="AQ2084" s="287" t="s">
        <v>2125</v>
      </c>
      <c r="AR2084" s="287" t="s">
        <v>2125</v>
      </c>
      <c r="AS2084" s="291" t="s">
        <v>177</v>
      </c>
      <c r="AT2084" s="253" t="s">
        <v>2037</v>
      </c>
      <c r="AU2084" s="253" t="s">
        <v>2037</v>
      </c>
      <c r="AV2084" s="291" t="s">
        <v>177</v>
      </c>
      <c r="AW2084" s="253" t="s">
        <v>160</v>
      </c>
      <c r="AX2084" s="253">
        <v>4</v>
      </c>
      <c r="AY2084" s="253">
        <v>4</v>
      </c>
      <c r="AZ2084" s="253" t="s">
        <v>141</v>
      </c>
      <c r="BA2084" s="253"/>
      <c r="BB2084" s="253"/>
      <c r="BC2084" s="253"/>
      <c r="BD2084" s="253"/>
      <c r="BE2084" s="253"/>
      <c r="BK2084" s="253"/>
      <c r="BL2084" s="253"/>
      <c r="BM2084" s="253"/>
      <c r="BP2084" s="438"/>
      <c r="BQ2084" s="438"/>
      <c r="BU2084" s="395">
        <f t="shared" si="302"/>
        <v>0.61151079136690656</v>
      </c>
      <c r="BV2084" s="395">
        <f t="shared" si="303"/>
        <v>0.64748201438848929</v>
      </c>
      <c r="BZ2084" s="438">
        <v>17</v>
      </c>
      <c r="CA2084" s="438">
        <v>18</v>
      </c>
      <c r="CD2084" s="92" t="s">
        <v>2095</v>
      </c>
      <c r="CE2084" s="577">
        <v>17</v>
      </c>
      <c r="CF2084" s="577">
        <v>18</v>
      </c>
      <c r="CG2084" s="577"/>
      <c r="CH2084" s="577"/>
      <c r="CI2084" s="291" t="s">
        <v>4551</v>
      </c>
      <c r="CJ2084" s="92">
        <v>1.31</v>
      </c>
      <c r="CK2084" s="92">
        <v>1.38</v>
      </c>
      <c r="CN2084" s="92" t="s">
        <v>569</v>
      </c>
      <c r="JB2084" s="253" t="s">
        <v>2084</v>
      </c>
      <c r="JC2084" s="253" t="s">
        <v>2109</v>
      </c>
      <c r="JD2084" s="259"/>
    </row>
    <row r="2085" spans="1:264" s="92" customFormat="1" x14ac:dyDescent="0.25">
      <c r="A2085" s="252">
        <v>93</v>
      </c>
      <c r="B2085" s="539" t="s">
        <v>4204</v>
      </c>
      <c r="C2085" s="253" t="s">
        <v>768</v>
      </c>
      <c r="D2085" s="253" t="s">
        <v>2118</v>
      </c>
      <c r="E2085" s="253">
        <v>2002</v>
      </c>
      <c r="F2085" s="253">
        <v>1996</v>
      </c>
      <c r="G2085" s="253" t="s">
        <v>1749</v>
      </c>
      <c r="H2085" s="253" t="s">
        <v>2032</v>
      </c>
      <c r="I2085" s="278" t="s">
        <v>2815</v>
      </c>
      <c r="J2085" s="253">
        <v>32.57</v>
      </c>
      <c r="K2085" s="253">
        <v>-83.91</v>
      </c>
      <c r="L2085" s="253">
        <v>16</v>
      </c>
      <c r="M2085" s="253">
        <v>18.100000000000001</v>
      </c>
      <c r="N2085" s="253"/>
      <c r="O2085" s="253">
        <v>1258</v>
      </c>
      <c r="P2085" s="253"/>
      <c r="Q2085" s="253"/>
      <c r="R2085" s="253">
        <v>3</v>
      </c>
      <c r="S2085" s="255" t="s">
        <v>1982</v>
      </c>
      <c r="U2085" s="255" t="s">
        <v>2101</v>
      </c>
      <c r="V2085" s="253" t="s">
        <v>1379</v>
      </c>
      <c r="W2085" s="256">
        <v>20</v>
      </c>
      <c r="X2085" s="253" t="s">
        <v>1379</v>
      </c>
      <c r="Y2085" s="253" t="s">
        <v>1379</v>
      </c>
      <c r="Z2085" s="257">
        <v>1.39</v>
      </c>
      <c r="AA2085" s="372">
        <v>65</v>
      </c>
      <c r="AB2085" s="372">
        <v>25</v>
      </c>
      <c r="AC2085" s="253" t="s">
        <v>240</v>
      </c>
      <c r="AD2085" s="253">
        <v>6.5</v>
      </c>
      <c r="AE2085" s="253">
        <f t="shared" si="304"/>
        <v>0.85971223021582732</v>
      </c>
      <c r="AF2085" s="253"/>
      <c r="AG2085" s="253" t="s">
        <v>2036</v>
      </c>
      <c r="AH2085" s="253" t="s">
        <v>2033</v>
      </c>
      <c r="AI2085" s="253" t="s">
        <v>577</v>
      </c>
      <c r="AJ2085" s="253" t="s">
        <v>2035</v>
      </c>
      <c r="AK2085" s="253" t="s">
        <v>1616</v>
      </c>
      <c r="AL2085" s="253" t="s">
        <v>2035</v>
      </c>
      <c r="AM2085" s="253" t="s">
        <v>2035</v>
      </c>
      <c r="AN2085" s="253" t="s">
        <v>177</v>
      </c>
      <c r="AO2085" s="253" t="s">
        <v>2112</v>
      </c>
      <c r="AP2085" s="253" t="s">
        <v>2112</v>
      </c>
      <c r="AQ2085" s="287" t="s">
        <v>2125</v>
      </c>
      <c r="AR2085" s="287" t="s">
        <v>2125</v>
      </c>
      <c r="AS2085" s="291" t="s">
        <v>177</v>
      </c>
      <c r="AT2085" s="253" t="s">
        <v>2037</v>
      </c>
      <c r="AU2085" s="253" t="s">
        <v>2037</v>
      </c>
      <c r="AV2085" s="291" t="s">
        <v>177</v>
      </c>
      <c r="AW2085" s="253" t="s">
        <v>160</v>
      </c>
      <c r="AX2085" s="253">
        <v>4</v>
      </c>
      <c r="AY2085" s="253">
        <v>4</v>
      </c>
      <c r="AZ2085" s="253" t="s">
        <v>141</v>
      </c>
      <c r="BA2085" s="253"/>
      <c r="BD2085" s="253"/>
      <c r="BE2085" s="253"/>
      <c r="BK2085" s="253"/>
      <c r="BL2085" s="253"/>
      <c r="BM2085" s="253"/>
      <c r="BP2085" s="438"/>
      <c r="BQ2085" s="438"/>
      <c r="BU2085" s="395">
        <f t="shared" si="302"/>
        <v>0.70863309352518</v>
      </c>
      <c r="BV2085" s="395">
        <f t="shared" si="303"/>
        <v>0.64388489208633104</v>
      </c>
      <c r="BZ2085" s="438">
        <v>19.7</v>
      </c>
      <c r="CA2085" s="438">
        <v>17.899999999999999</v>
      </c>
      <c r="CD2085" s="92" t="s">
        <v>2095</v>
      </c>
      <c r="CE2085" s="577">
        <v>19.7</v>
      </c>
      <c r="CF2085" s="577">
        <v>17.899999999999999</v>
      </c>
      <c r="CG2085" s="577"/>
      <c r="CH2085" s="577"/>
      <c r="CI2085" s="291" t="s">
        <v>4551</v>
      </c>
      <c r="CJ2085" s="92">
        <v>1.68</v>
      </c>
      <c r="CK2085" s="92">
        <v>1.58</v>
      </c>
      <c r="CN2085" s="92" t="s">
        <v>569</v>
      </c>
      <c r="JB2085" s="253" t="s">
        <v>2084</v>
      </c>
      <c r="JC2085" s="253" t="s">
        <v>2109</v>
      </c>
      <c r="JD2085" s="259"/>
    </row>
    <row r="2086" spans="1:264" s="92" customFormat="1" x14ac:dyDescent="0.25">
      <c r="A2086" s="252">
        <v>93</v>
      </c>
      <c r="B2086" s="539" t="s">
        <v>4204</v>
      </c>
      <c r="C2086" s="253" t="s">
        <v>768</v>
      </c>
      <c r="D2086" s="253" t="s">
        <v>2118</v>
      </c>
      <c r="E2086" s="253">
        <v>2002</v>
      </c>
      <c r="F2086" s="253">
        <v>1997</v>
      </c>
      <c r="G2086" s="253" t="s">
        <v>1749</v>
      </c>
      <c r="H2086" s="253" t="s">
        <v>2032</v>
      </c>
      <c r="I2086" s="278" t="s">
        <v>2815</v>
      </c>
      <c r="J2086" s="253">
        <v>32.57</v>
      </c>
      <c r="K2086" s="253">
        <v>-83.91</v>
      </c>
      <c r="L2086" s="253">
        <v>16</v>
      </c>
      <c r="M2086" s="253">
        <v>18.100000000000001</v>
      </c>
      <c r="N2086" s="253"/>
      <c r="O2086" s="253">
        <v>1258</v>
      </c>
      <c r="P2086" s="253"/>
      <c r="Q2086" s="253"/>
      <c r="R2086" s="253">
        <v>4</v>
      </c>
      <c r="S2086" s="255" t="s">
        <v>1982</v>
      </c>
      <c r="U2086" s="255" t="s">
        <v>2101</v>
      </c>
      <c r="V2086" s="253" t="s">
        <v>1379</v>
      </c>
      <c r="W2086" s="256">
        <v>20</v>
      </c>
      <c r="X2086" s="253" t="s">
        <v>1379</v>
      </c>
      <c r="Y2086" s="253" t="s">
        <v>1379</v>
      </c>
      <c r="Z2086" s="257">
        <v>1.39</v>
      </c>
      <c r="AA2086" s="372">
        <v>65</v>
      </c>
      <c r="AB2086" s="372">
        <v>25</v>
      </c>
      <c r="AC2086" s="253" t="s">
        <v>240</v>
      </c>
      <c r="AD2086" s="253">
        <v>6.5</v>
      </c>
      <c r="AE2086" s="253">
        <f t="shared" si="304"/>
        <v>0.85971223021582732</v>
      </c>
      <c r="AF2086" s="253"/>
      <c r="AG2086" s="253" t="s">
        <v>2036</v>
      </c>
      <c r="AH2086" s="253" t="s">
        <v>2033</v>
      </c>
      <c r="AI2086" s="253" t="s">
        <v>577</v>
      </c>
      <c r="AJ2086" s="253" t="s">
        <v>2035</v>
      </c>
      <c r="AK2086" s="253" t="s">
        <v>1616</v>
      </c>
      <c r="AL2086" s="253" t="s">
        <v>2035</v>
      </c>
      <c r="AM2086" s="253" t="s">
        <v>2035</v>
      </c>
      <c r="AN2086" s="253" t="s">
        <v>177</v>
      </c>
      <c r="AO2086" s="253" t="s">
        <v>2112</v>
      </c>
      <c r="AP2086" s="253" t="s">
        <v>2112</v>
      </c>
      <c r="AQ2086" s="287" t="s">
        <v>2125</v>
      </c>
      <c r="AR2086" s="287" t="s">
        <v>2125</v>
      </c>
      <c r="AS2086" s="291" t="s">
        <v>177</v>
      </c>
      <c r="AT2086" s="253" t="s">
        <v>2037</v>
      </c>
      <c r="AU2086" s="253" t="s">
        <v>2037</v>
      </c>
      <c r="AV2086" s="291" t="s">
        <v>177</v>
      </c>
      <c r="AW2086" s="253" t="s">
        <v>160</v>
      </c>
      <c r="AX2086" s="253">
        <v>4</v>
      </c>
      <c r="AY2086" s="253">
        <v>4</v>
      </c>
      <c r="AZ2086" s="253" t="s">
        <v>141</v>
      </c>
      <c r="BA2086" s="253"/>
      <c r="BB2086" s="253"/>
      <c r="BC2086" s="253"/>
      <c r="BD2086" s="253"/>
      <c r="BE2086" s="253"/>
      <c r="BK2086" s="253"/>
      <c r="BL2086" s="253"/>
      <c r="BM2086" s="253"/>
      <c r="BP2086" s="438"/>
      <c r="BQ2086" s="438"/>
      <c r="BU2086" s="395">
        <f t="shared" si="302"/>
        <v>0.65107913669064754</v>
      </c>
      <c r="BV2086" s="395">
        <f t="shared" si="303"/>
        <v>0.6546762589928059</v>
      </c>
      <c r="BZ2086" s="438">
        <v>18.100000000000001</v>
      </c>
      <c r="CA2086" s="438">
        <v>18.2</v>
      </c>
      <c r="CD2086" s="92" t="s">
        <v>2095</v>
      </c>
      <c r="CE2086" s="577">
        <v>18.100000000000001</v>
      </c>
      <c r="CF2086" s="577">
        <v>18.2</v>
      </c>
      <c r="CG2086" s="577"/>
      <c r="CH2086" s="577"/>
      <c r="CI2086" s="291" t="s">
        <v>4551</v>
      </c>
      <c r="CJ2086" s="92">
        <v>1.4</v>
      </c>
      <c r="CK2086" s="92">
        <v>1.49</v>
      </c>
      <c r="CN2086" s="92" t="s">
        <v>569</v>
      </c>
      <c r="JB2086" s="253" t="s">
        <v>2084</v>
      </c>
      <c r="JC2086" s="253" t="s">
        <v>2109</v>
      </c>
      <c r="JD2086" s="259"/>
    </row>
    <row r="2087" spans="1:264" s="92" customFormat="1" x14ac:dyDescent="0.25">
      <c r="A2087" s="252">
        <v>93</v>
      </c>
      <c r="B2087" s="539" t="s">
        <v>4204</v>
      </c>
      <c r="C2087" s="253" t="s">
        <v>768</v>
      </c>
      <c r="D2087" s="253" t="s">
        <v>2118</v>
      </c>
      <c r="E2087" s="253">
        <v>2002</v>
      </c>
      <c r="F2087" s="253">
        <v>1998</v>
      </c>
      <c r="G2087" s="253" t="s">
        <v>1749</v>
      </c>
      <c r="H2087" s="253" t="s">
        <v>2032</v>
      </c>
      <c r="I2087" s="278" t="s">
        <v>2815</v>
      </c>
      <c r="J2087" s="253">
        <v>32.57</v>
      </c>
      <c r="K2087" s="253">
        <v>-83.91</v>
      </c>
      <c r="L2087" s="253">
        <v>16</v>
      </c>
      <c r="M2087" s="253">
        <v>18.100000000000001</v>
      </c>
      <c r="N2087" s="253"/>
      <c r="O2087" s="253">
        <v>1258</v>
      </c>
      <c r="P2087" s="253"/>
      <c r="Q2087" s="253"/>
      <c r="R2087" s="253">
        <v>5</v>
      </c>
      <c r="S2087" s="255" t="s">
        <v>1982</v>
      </c>
      <c r="U2087" s="255" t="s">
        <v>2101</v>
      </c>
      <c r="V2087" s="253" t="s">
        <v>1379</v>
      </c>
      <c r="W2087" s="256">
        <v>20</v>
      </c>
      <c r="X2087" s="253" t="s">
        <v>1379</v>
      </c>
      <c r="Y2087" s="253" t="s">
        <v>1379</v>
      </c>
      <c r="Z2087" s="257">
        <v>1.39</v>
      </c>
      <c r="AA2087" s="372">
        <v>65</v>
      </c>
      <c r="AB2087" s="372">
        <v>25</v>
      </c>
      <c r="AC2087" s="253" t="s">
        <v>240</v>
      </c>
      <c r="AD2087" s="253">
        <v>6.5</v>
      </c>
      <c r="AE2087" s="253">
        <f t="shared" si="304"/>
        <v>0.85971223021582732</v>
      </c>
      <c r="AF2087" s="253"/>
      <c r="AG2087" s="253" t="s">
        <v>2036</v>
      </c>
      <c r="AH2087" s="253" t="s">
        <v>2033</v>
      </c>
      <c r="AI2087" s="253" t="s">
        <v>577</v>
      </c>
      <c r="AJ2087" s="253" t="s">
        <v>2035</v>
      </c>
      <c r="AK2087" s="253" t="s">
        <v>1616</v>
      </c>
      <c r="AL2087" s="253" t="s">
        <v>2035</v>
      </c>
      <c r="AM2087" s="253" t="s">
        <v>2035</v>
      </c>
      <c r="AN2087" s="253" t="s">
        <v>177</v>
      </c>
      <c r="AO2087" s="253" t="s">
        <v>2112</v>
      </c>
      <c r="AP2087" s="253" t="s">
        <v>2112</v>
      </c>
      <c r="AQ2087" s="287" t="s">
        <v>2125</v>
      </c>
      <c r="AR2087" s="287" t="s">
        <v>2125</v>
      </c>
      <c r="AS2087" s="291" t="s">
        <v>177</v>
      </c>
      <c r="AT2087" s="253" t="s">
        <v>2037</v>
      </c>
      <c r="AU2087" s="253" t="s">
        <v>2037</v>
      </c>
      <c r="AV2087" s="291" t="s">
        <v>177</v>
      </c>
      <c r="AW2087" s="253" t="s">
        <v>160</v>
      </c>
      <c r="AX2087" s="253">
        <v>4</v>
      </c>
      <c r="AY2087" s="253">
        <v>4</v>
      </c>
      <c r="AZ2087" s="253" t="s">
        <v>141</v>
      </c>
      <c r="BA2087" s="253"/>
      <c r="BB2087" s="253"/>
      <c r="BC2087" s="253"/>
      <c r="BD2087" s="253"/>
      <c r="BE2087" s="253"/>
      <c r="BK2087" s="253"/>
      <c r="BL2087" s="253"/>
      <c r="BM2087" s="253"/>
      <c r="BP2087" s="438"/>
      <c r="BQ2087" s="438"/>
      <c r="BU2087" s="395">
        <f t="shared" si="302"/>
        <v>0.72302158273381312</v>
      </c>
      <c r="BV2087" s="395">
        <f t="shared" si="303"/>
        <v>0.79496402877697858</v>
      </c>
      <c r="BZ2087" s="438">
        <v>20.100000000000001</v>
      </c>
      <c r="CA2087" s="438">
        <v>22.1</v>
      </c>
      <c r="CD2087" s="92" t="s">
        <v>2095</v>
      </c>
      <c r="CE2087" s="577">
        <v>20.100000000000001</v>
      </c>
      <c r="CF2087" s="577">
        <v>22.1</v>
      </c>
      <c r="CG2087" s="577"/>
      <c r="CH2087" s="577"/>
      <c r="CI2087" s="291" t="s">
        <v>4551</v>
      </c>
      <c r="CJ2087" s="92">
        <v>1.63</v>
      </c>
      <c r="CK2087" s="92">
        <v>1.64</v>
      </c>
      <c r="CN2087" s="92" t="s">
        <v>569</v>
      </c>
      <c r="JB2087" s="253" t="s">
        <v>2084</v>
      </c>
      <c r="JC2087" s="253" t="s">
        <v>2109</v>
      </c>
      <c r="JD2087" s="259"/>
    </row>
    <row r="2088" spans="1:264" s="92" customFormat="1" x14ac:dyDescent="0.25">
      <c r="A2088" s="252">
        <v>93</v>
      </c>
      <c r="B2088" s="539" t="s">
        <v>4204</v>
      </c>
      <c r="C2088" s="253" t="s">
        <v>768</v>
      </c>
      <c r="D2088" s="253" t="s">
        <v>2118</v>
      </c>
      <c r="E2088" s="253">
        <v>2002</v>
      </c>
      <c r="F2088" s="253">
        <v>1999</v>
      </c>
      <c r="G2088" s="253" t="s">
        <v>1749</v>
      </c>
      <c r="H2088" s="253" t="s">
        <v>2032</v>
      </c>
      <c r="I2088" s="278" t="s">
        <v>2815</v>
      </c>
      <c r="J2088" s="253">
        <v>32.57</v>
      </c>
      <c r="K2088" s="253">
        <v>-83.91</v>
      </c>
      <c r="L2088" s="253">
        <v>16</v>
      </c>
      <c r="M2088" s="253">
        <v>18.100000000000001</v>
      </c>
      <c r="N2088" s="253"/>
      <c r="O2088" s="253">
        <v>1258</v>
      </c>
      <c r="P2088" s="253"/>
      <c r="Q2088" s="253"/>
      <c r="R2088" s="253">
        <v>6</v>
      </c>
      <c r="S2088" s="255" t="s">
        <v>1982</v>
      </c>
      <c r="U2088" s="255" t="s">
        <v>2101</v>
      </c>
      <c r="V2088" s="253" t="s">
        <v>1379</v>
      </c>
      <c r="W2088" s="256">
        <v>20</v>
      </c>
      <c r="X2088" s="253" t="s">
        <v>1379</v>
      </c>
      <c r="Y2088" s="253" t="s">
        <v>1379</v>
      </c>
      <c r="Z2088" s="257">
        <v>1.39</v>
      </c>
      <c r="AA2088" s="372">
        <v>65</v>
      </c>
      <c r="AB2088" s="372">
        <v>25</v>
      </c>
      <c r="AC2088" s="253" t="s">
        <v>240</v>
      </c>
      <c r="AD2088" s="253">
        <v>6.5</v>
      </c>
      <c r="AE2088" s="253">
        <f t="shared" si="304"/>
        <v>0.85971223021582732</v>
      </c>
      <c r="AF2088" s="253"/>
      <c r="AG2088" s="253" t="s">
        <v>2036</v>
      </c>
      <c r="AH2088" s="253" t="s">
        <v>2033</v>
      </c>
      <c r="AI2088" s="253" t="s">
        <v>577</v>
      </c>
      <c r="AJ2088" s="253" t="s">
        <v>2106</v>
      </c>
      <c r="AK2088" s="253" t="s">
        <v>1616</v>
      </c>
      <c r="AL2088" s="253" t="s">
        <v>2035</v>
      </c>
      <c r="AM2088" s="253" t="s">
        <v>2035</v>
      </c>
      <c r="AN2088" s="253" t="s">
        <v>177</v>
      </c>
      <c r="AO2088" s="253" t="s">
        <v>2112</v>
      </c>
      <c r="AP2088" s="253" t="s">
        <v>2112</v>
      </c>
      <c r="AQ2088" s="287" t="s">
        <v>2125</v>
      </c>
      <c r="AR2088" s="287" t="s">
        <v>2125</v>
      </c>
      <c r="AS2088" s="291" t="s">
        <v>177</v>
      </c>
      <c r="AT2088" s="253" t="s">
        <v>2037</v>
      </c>
      <c r="AU2088" s="253" t="s">
        <v>2037</v>
      </c>
      <c r="AV2088" s="291" t="s">
        <v>177</v>
      </c>
      <c r="AW2088" s="253" t="s">
        <v>160</v>
      </c>
      <c r="AX2088" s="253">
        <v>4</v>
      </c>
      <c r="AY2088" s="253">
        <v>4</v>
      </c>
      <c r="AZ2088" s="253" t="s">
        <v>141</v>
      </c>
      <c r="BA2088" s="253"/>
      <c r="BB2088" s="253"/>
      <c r="BC2088" s="253"/>
      <c r="BD2088" s="253"/>
      <c r="BE2088" s="253"/>
      <c r="BK2088" s="253"/>
      <c r="BL2088" s="253"/>
      <c r="BM2088" s="253"/>
      <c r="BP2088" s="438"/>
      <c r="BQ2088" s="438"/>
      <c r="BU2088" s="395">
        <f t="shared" si="302"/>
        <v>0.72302158273381312</v>
      </c>
      <c r="BV2088" s="395">
        <f t="shared" si="303"/>
        <v>0.75539568345323749</v>
      </c>
      <c r="BZ2088" s="438">
        <v>20.100000000000001</v>
      </c>
      <c r="CA2088" s="438">
        <v>21</v>
      </c>
      <c r="CD2088" s="92" t="s">
        <v>2095</v>
      </c>
      <c r="CE2088" s="577">
        <v>20.100000000000001</v>
      </c>
      <c r="CF2088" s="577">
        <v>21</v>
      </c>
      <c r="CG2088" s="577"/>
      <c r="CH2088" s="577"/>
      <c r="CI2088" s="291" t="s">
        <v>4551</v>
      </c>
      <c r="CJ2088" s="92">
        <v>1.51</v>
      </c>
      <c r="CK2088" s="92">
        <v>1.43</v>
      </c>
      <c r="CN2088" s="92" t="s">
        <v>569</v>
      </c>
      <c r="JB2088" s="253" t="s">
        <v>2084</v>
      </c>
      <c r="JC2088" s="253" t="s">
        <v>2109</v>
      </c>
      <c r="JD2088" s="259"/>
    </row>
    <row r="2089" spans="1:264" s="291" customFormat="1" x14ac:dyDescent="0.25">
      <c r="A2089" s="286">
        <v>93</v>
      </c>
      <c r="B2089" s="544" t="s">
        <v>4205</v>
      </c>
      <c r="C2089" s="287" t="s">
        <v>768</v>
      </c>
      <c r="D2089" s="287" t="s">
        <v>2118</v>
      </c>
      <c r="E2089" s="287">
        <v>2002</v>
      </c>
      <c r="F2089" s="287">
        <v>1994</v>
      </c>
      <c r="G2089" s="287" t="s">
        <v>1749</v>
      </c>
      <c r="H2089" s="287" t="s">
        <v>2032</v>
      </c>
      <c r="I2089" s="278" t="s">
        <v>2815</v>
      </c>
      <c r="J2089" s="287">
        <v>32.57</v>
      </c>
      <c r="K2089" s="287">
        <v>-83.91</v>
      </c>
      <c r="L2089" s="287">
        <v>16</v>
      </c>
      <c r="M2089" s="287">
        <v>18.100000000000001</v>
      </c>
      <c r="N2089" s="287"/>
      <c r="O2089" s="287">
        <v>1258</v>
      </c>
      <c r="P2089" s="287"/>
      <c r="Q2089" s="287"/>
      <c r="R2089" s="287">
        <v>1</v>
      </c>
      <c r="S2089" s="288" t="s">
        <v>1982</v>
      </c>
      <c r="U2089" s="288" t="s">
        <v>2101</v>
      </c>
      <c r="V2089" s="287" t="s">
        <v>1379</v>
      </c>
      <c r="W2089" s="289">
        <v>20</v>
      </c>
      <c r="X2089" s="287" t="s">
        <v>1379</v>
      </c>
      <c r="Y2089" s="287" t="s">
        <v>1379</v>
      </c>
      <c r="Z2089" s="290">
        <v>1.39</v>
      </c>
      <c r="AA2089" s="371">
        <v>65</v>
      </c>
      <c r="AB2089" s="371">
        <v>25</v>
      </c>
      <c r="AC2089" s="287" t="s">
        <v>240</v>
      </c>
      <c r="AD2089" s="287">
        <v>6.5</v>
      </c>
      <c r="AE2089" s="287">
        <f t="shared" si="304"/>
        <v>0.85971223021582732</v>
      </c>
      <c r="AF2089" s="287"/>
      <c r="AG2089" s="287" t="s">
        <v>2036</v>
      </c>
      <c r="AH2089" s="287" t="s">
        <v>2033</v>
      </c>
      <c r="AI2089" s="287" t="s">
        <v>577</v>
      </c>
      <c r="AJ2089" s="287" t="s">
        <v>2035</v>
      </c>
      <c r="AK2089" s="287" t="s">
        <v>1616</v>
      </c>
      <c r="AL2089" s="287" t="s">
        <v>2035</v>
      </c>
      <c r="AM2089" s="287" t="s">
        <v>2035</v>
      </c>
      <c r="AN2089" s="287" t="s">
        <v>177</v>
      </c>
      <c r="AO2089" s="287" t="s">
        <v>2112</v>
      </c>
      <c r="AP2089" s="287" t="s">
        <v>2112</v>
      </c>
      <c r="AQ2089" s="287" t="s">
        <v>2125</v>
      </c>
      <c r="AR2089" s="287" t="s">
        <v>2125</v>
      </c>
      <c r="AS2089" s="291" t="s">
        <v>177</v>
      </c>
      <c r="AT2089" s="287" t="s">
        <v>2034</v>
      </c>
      <c r="AU2089" s="287" t="s">
        <v>2034</v>
      </c>
      <c r="AV2089" s="291" t="s">
        <v>177</v>
      </c>
      <c r="AW2089" s="253" t="s">
        <v>160</v>
      </c>
      <c r="AX2089" s="287">
        <v>4</v>
      </c>
      <c r="AY2089" s="287">
        <v>4</v>
      </c>
      <c r="AZ2089" s="253" t="s">
        <v>141</v>
      </c>
      <c r="BA2089" s="287"/>
      <c r="BD2089" s="287"/>
      <c r="BE2089" s="287"/>
      <c r="BK2089" s="287"/>
      <c r="BL2089" s="287"/>
      <c r="BM2089" s="287"/>
      <c r="BP2089" s="447"/>
      <c r="BQ2089" s="447"/>
      <c r="BU2089" s="395">
        <f t="shared" si="302"/>
        <v>0.85971223021582743</v>
      </c>
      <c r="BV2089" s="395">
        <f t="shared" si="303"/>
        <v>0.85971223021582743</v>
      </c>
      <c r="BZ2089" s="447">
        <v>23.9</v>
      </c>
      <c r="CA2089" s="447">
        <v>23.9</v>
      </c>
      <c r="CD2089" s="291" t="s">
        <v>2095</v>
      </c>
      <c r="CE2089" s="592">
        <v>23.9</v>
      </c>
      <c r="CF2089" s="592">
        <v>23.9</v>
      </c>
      <c r="CG2089" s="592"/>
      <c r="CH2089" s="592"/>
      <c r="CI2089" s="291" t="s">
        <v>4551</v>
      </c>
      <c r="CJ2089" s="291">
        <v>1.95</v>
      </c>
      <c r="CK2089" s="291">
        <v>1.95</v>
      </c>
      <c r="CN2089" s="291" t="s">
        <v>569</v>
      </c>
      <c r="JB2089" s="287" t="s">
        <v>2084</v>
      </c>
      <c r="JC2089" s="253" t="s">
        <v>2109</v>
      </c>
      <c r="JD2089" s="292"/>
    </row>
    <row r="2090" spans="1:264" s="291" customFormat="1" x14ac:dyDescent="0.25">
      <c r="A2090" s="286">
        <v>93</v>
      </c>
      <c r="B2090" s="544" t="s">
        <v>4205</v>
      </c>
      <c r="C2090" s="287" t="s">
        <v>768</v>
      </c>
      <c r="D2090" s="287" t="s">
        <v>2118</v>
      </c>
      <c r="E2090" s="287">
        <v>2002</v>
      </c>
      <c r="F2090" s="287">
        <v>1995</v>
      </c>
      <c r="G2090" s="287" t="s">
        <v>1749</v>
      </c>
      <c r="H2090" s="287" t="s">
        <v>2032</v>
      </c>
      <c r="I2090" s="278" t="s">
        <v>2815</v>
      </c>
      <c r="J2090" s="287">
        <v>32.57</v>
      </c>
      <c r="K2090" s="287">
        <v>-83.91</v>
      </c>
      <c r="L2090" s="287">
        <v>16</v>
      </c>
      <c r="M2090" s="287">
        <v>18.100000000000001</v>
      </c>
      <c r="N2090" s="287"/>
      <c r="O2090" s="287">
        <v>1258</v>
      </c>
      <c r="P2090" s="287"/>
      <c r="Q2090" s="287"/>
      <c r="R2090" s="287">
        <v>2</v>
      </c>
      <c r="S2090" s="288" t="s">
        <v>1982</v>
      </c>
      <c r="U2090" s="288" t="s">
        <v>2101</v>
      </c>
      <c r="V2090" s="287" t="s">
        <v>1379</v>
      </c>
      <c r="W2090" s="289">
        <v>20</v>
      </c>
      <c r="X2090" s="287" t="s">
        <v>1379</v>
      </c>
      <c r="Y2090" s="287" t="s">
        <v>1379</v>
      </c>
      <c r="Z2090" s="290">
        <v>1.39</v>
      </c>
      <c r="AA2090" s="371">
        <v>65</v>
      </c>
      <c r="AB2090" s="371">
        <v>25</v>
      </c>
      <c r="AC2090" s="287" t="s">
        <v>240</v>
      </c>
      <c r="AD2090" s="287">
        <v>6.5</v>
      </c>
      <c r="AE2090" s="287">
        <f t="shared" si="304"/>
        <v>0.85971223021582732</v>
      </c>
      <c r="AF2090" s="287"/>
      <c r="AG2090" s="287" t="s">
        <v>2036</v>
      </c>
      <c r="AH2090" s="287" t="s">
        <v>2033</v>
      </c>
      <c r="AI2090" s="287" t="s">
        <v>577</v>
      </c>
      <c r="AJ2090" s="287" t="s">
        <v>2035</v>
      </c>
      <c r="AK2090" s="287" t="s">
        <v>1616</v>
      </c>
      <c r="AL2090" s="287" t="s">
        <v>2035</v>
      </c>
      <c r="AM2090" s="287" t="s">
        <v>2035</v>
      </c>
      <c r="AN2090" s="287" t="s">
        <v>177</v>
      </c>
      <c r="AO2090" s="287" t="s">
        <v>2112</v>
      </c>
      <c r="AP2090" s="287" t="s">
        <v>2112</v>
      </c>
      <c r="AQ2090" s="287" t="s">
        <v>2125</v>
      </c>
      <c r="AR2090" s="287" t="s">
        <v>2125</v>
      </c>
      <c r="AS2090" s="291" t="s">
        <v>177</v>
      </c>
      <c r="AT2090" s="287" t="s">
        <v>2034</v>
      </c>
      <c r="AU2090" s="287" t="s">
        <v>2034</v>
      </c>
      <c r="AV2090" s="291" t="s">
        <v>177</v>
      </c>
      <c r="AW2090" s="253" t="s">
        <v>160</v>
      </c>
      <c r="AX2090" s="287">
        <v>4</v>
      </c>
      <c r="AY2090" s="287">
        <v>4</v>
      </c>
      <c r="AZ2090" s="253" t="s">
        <v>141</v>
      </c>
      <c r="BA2090" s="287"/>
      <c r="BB2090" s="287"/>
      <c r="BC2090" s="287"/>
      <c r="BD2090" s="287"/>
      <c r="BE2090" s="287"/>
      <c r="BK2090" s="287"/>
      <c r="BL2090" s="287"/>
      <c r="BM2090" s="287"/>
      <c r="BP2090" s="447"/>
      <c r="BQ2090" s="447"/>
      <c r="BU2090" s="395">
        <f t="shared" si="302"/>
        <v>0.6546762589928059</v>
      </c>
      <c r="BV2090" s="395">
        <f t="shared" si="303"/>
        <v>0.68345323741007213</v>
      </c>
      <c r="BZ2090" s="447">
        <v>18.2</v>
      </c>
      <c r="CA2090" s="447">
        <v>19</v>
      </c>
      <c r="CD2090" s="291" t="s">
        <v>2095</v>
      </c>
      <c r="CE2090" s="592">
        <v>18.2</v>
      </c>
      <c r="CF2090" s="592">
        <v>19</v>
      </c>
      <c r="CG2090" s="592"/>
      <c r="CH2090" s="592"/>
      <c r="CI2090" s="291" t="s">
        <v>4551</v>
      </c>
      <c r="CJ2090" s="291">
        <v>1.82</v>
      </c>
      <c r="CK2090" s="291">
        <v>1.53</v>
      </c>
      <c r="CN2090" s="291" t="s">
        <v>569</v>
      </c>
      <c r="JB2090" s="287" t="s">
        <v>2084</v>
      </c>
      <c r="JC2090" s="253" t="s">
        <v>2109</v>
      </c>
      <c r="JD2090" s="292"/>
    </row>
    <row r="2091" spans="1:264" s="291" customFormat="1" x14ac:dyDescent="0.25">
      <c r="A2091" s="286">
        <v>93</v>
      </c>
      <c r="B2091" s="544" t="s">
        <v>4205</v>
      </c>
      <c r="C2091" s="287" t="s">
        <v>768</v>
      </c>
      <c r="D2091" s="287" t="s">
        <v>2118</v>
      </c>
      <c r="E2091" s="287">
        <v>2002</v>
      </c>
      <c r="F2091" s="287">
        <v>1996</v>
      </c>
      <c r="G2091" s="287" t="s">
        <v>1749</v>
      </c>
      <c r="H2091" s="287" t="s">
        <v>2032</v>
      </c>
      <c r="I2091" s="278" t="s">
        <v>2815</v>
      </c>
      <c r="J2091" s="287">
        <v>32.57</v>
      </c>
      <c r="K2091" s="287">
        <v>-83.91</v>
      </c>
      <c r="L2091" s="287">
        <v>16</v>
      </c>
      <c r="M2091" s="287">
        <v>18.100000000000001</v>
      </c>
      <c r="N2091" s="287"/>
      <c r="O2091" s="287">
        <v>1258</v>
      </c>
      <c r="P2091" s="287"/>
      <c r="Q2091" s="287"/>
      <c r="R2091" s="287">
        <v>3</v>
      </c>
      <c r="S2091" s="288" t="s">
        <v>1982</v>
      </c>
      <c r="U2091" s="288" t="s">
        <v>2101</v>
      </c>
      <c r="V2091" s="287" t="s">
        <v>1379</v>
      </c>
      <c r="W2091" s="289">
        <v>20</v>
      </c>
      <c r="X2091" s="287" t="s">
        <v>1379</v>
      </c>
      <c r="Y2091" s="287" t="s">
        <v>1379</v>
      </c>
      <c r="Z2091" s="290">
        <v>1.39</v>
      </c>
      <c r="AA2091" s="371">
        <v>65</v>
      </c>
      <c r="AB2091" s="371">
        <v>25</v>
      </c>
      <c r="AC2091" s="287" t="s">
        <v>240</v>
      </c>
      <c r="AD2091" s="287">
        <v>6.5</v>
      </c>
      <c r="AE2091" s="287">
        <f t="shared" si="304"/>
        <v>0.85971223021582732</v>
      </c>
      <c r="AF2091" s="287"/>
      <c r="AG2091" s="287" t="s">
        <v>2036</v>
      </c>
      <c r="AH2091" s="287" t="s">
        <v>2033</v>
      </c>
      <c r="AI2091" s="287" t="s">
        <v>577</v>
      </c>
      <c r="AJ2091" s="287" t="s">
        <v>2035</v>
      </c>
      <c r="AK2091" s="287" t="s">
        <v>1616</v>
      </c>
      <c r="AL2091" s="287" t="s">
        <v>2035</v>
      </c>
      <c r="AM2091" s="287" t="s">
        <v>2035</v>
      </c>
      <c r="AN2091" s="287" t="s">
        <v>177</v>
      </c>
      <c r="AO2091" s="287" t="s">
        <v>2112</v>
      </c>
      <c r="AP2091" s="287" t="s">
        <v>2112</v>
      </c>
      <c r="AQ2091" s="287" t="s">
        <v>2125</v>
      </c>
      <c r="AR2091" s="287" t="s">
        <v>2125</v>
      </c>
      <c r="AS2091" s="291" t="s">
        <v>177</v>
      </c>
      <c r="AT2091" s="287" t="s">
        <v>2034</v>
      </c>
      <c r="AU2091" s="287" t="s">
        <v>2034</v>
      </c>
      <c r="AV2091" s="291" t="s">
        <v>177</v>
      </c>
      <c r="AW2091" s="253" t="s">
        <v>160</v>
      </c>
      <c r="AX2091" s="287">
        <v>4</v>
      </c>
      <c r="AY2091" s="287">
        <v>4</v>
      </c>
      <c r="AZ2091" s="253" t="s">
        <v>141</v>
      </c>
      <c r="BA2091" s="287"/>
      <c r="BD2091" s="287"/>
      <c r="BE2091" s="287"/>
      <c r="BK2091" s="287"/>
      <c r="BL2091" s="287"/>
      <c r="BM2091" s="287"/>
      <c r="BP2091" s="447"/>
      <c r="BQ2091" s="447"/>
      <c r="BU2091" s="395">
        <f t="shared" si="302"/>
        <v>0.64748201438848929</v>
      </c>
      <c r="BV2091" s="395">
        <f t="shared" si="303"/>
        <v>0.76618705035971235</v>
      </c>
      <c r="BZ2091" s="447">
        <v>18</v>
      </c>
      <c r="CA2091" s="447">
        <v>21.3</v>
      </c>
      <c r="CD2091" s="291" t="s">
        <v>2095</v>
      </c>
      <c r="CE2091" s="592">
        <v>18</v>
      </c>
      <c r="CF2091" s="592">
        <v>21.3</v>
      </c>
      <c r="CG2091" s="592"/>
      <c r="CH2091" s="592"/>
      <c r="CI2091" s="291" t="s">
        <v>4551</v>
      </c>
      <c r="CJ2091" s="291">
        <v>1.79</v>
      </c>
      <c r="CK2091" s="291">
        <v>1.82</v>
      </c>
      <c r="CN2091" s="291" t="s">
        <v>569</v>
      </c>
      <c r="JB2091" s="287" t="s">
        <v>2084</v>
      </c>
      <c r="JC2091" s="253" t="s">
        <v>2109</v>
      </c>
      <c r="JD2091" s="292"/>
    </row>
    <row r="2092" spans="1:264" s="291" customFormat="1" x14ac:dyDescent="0.25">
      <c r="A2092" s="286">
        <v>93</v>
      </c>
      <c r="B2092" s="544" t="s">
        <v>4205</v>
      </c>
      <c r="C2092" s="287" t="s">
        <v>768</v>
      </c>
      <c r="D2092" s="287" t="s">
        <v>2118</v>
      </c>
      <c r="E2092" s="287">
        <v>2002</v>
      </c>
      <c r="F2092" s="287">
        <v>1997</v>
      </c>
      <c r="G2092" s="287" t="s">
        <v>1749</v>
      </c>
      <c r="H2092" s="287" t="s">
        <v>2032</v>
      </c>
      <c r="I2092" s="278" t="s">
        <v>2815</v>
      </c>
      <c r="J2092" s="287">
        <v>32.57</v>
      </c>
      <c r="K2092" s="287">
        <v>-83.91</v>
      </c>
      <c r="L2092" s="287">
        <v>16</v>
      </c>
      <c r="M2092" s="287">
        <v>18.100000000000001</v>
      </c>
      <c r="N2092" s="287"/>
      <c r="O2092" s="287">
        <v>1258</v>
      </c>
      <c r="P2092" s="287"/>
      <c r="Q2092" s="287"/>
      <c r="R2092" s="287">
        <v>4</v>
      </c>
      <c r="S2092" s="288" t="s">
        <v>1982</v>
      </c>
      <c r="U2092" s="288" t="s">
        <v>2101</v>
      </c>
      <c r="V2092" s="287" t="s">
        <v>1379</v>
      </c>
      <c r="W2092" s="289">
        <v>20</v>
      </c>
      <c r="X2092" s="287" t="s">
        <v>1379</v>
      </c>
      <c r="Y2092" s="287" t="s">
        <v>1379</v>
      </c>
      <c r="Z2092" s="290">
        <v>1.39</v>
      </c>
      <c r="AA2092" s="371">
        <v>65</v>
      </c>
      <c r="AB2092" s="371">
        <v>25</v>
      </c>
      <c r="AC2092" s="287" t="s">
        <v>240</v>
      </c>
      <c r="AD2092" s="287">
        <v>6.5</v>
      </c>
      <c r="AE2092" s="287">
        <f t="shared" si="304"/>
        <v>0.85971223021582732</v>
      </c>
      <c r="AF2092" s="287"/>
      <c r="AG2092" s="287" t="s">
        <v>2036</v>
      </c>
      <c r="AH2092" s="287" t="s">
        <v>2033</v>
      </c>
      <c r="AI2092" s="287" t="s">
        <v>577</v>
      </c>
      <c r="AJ2092" s="287" t="s">
        <v>2035</v>
      </c>
      <c r="AK2092" s="287" t="s">
        <v>1616</v>
      </c>
      <c r="AL2092" s="287" t="s">
        <v>2035</v>
      </c>
      <c r="AM2092" s="287" t="s">
        <v>2035</v>
      </c>
      <c r="AN2092" s="287" t="s">
        <v>177</v>
      </c>
      <c r="AO2092" s="287" t="s">
        <v>2112</v>
      </c>
      <c r="AP2092" s="287" t="s">
        <v>2112</v>
      </c>
      <c r="AQ2092" s="287" t="s">
        <v>2125</v>
      </c>
      <c r="AR2092" s="287" t="s">
        <v>2125</v>
      </c>
      <c r="AS2092" s="291" t="s">
        <v>177</v>
      </c>
      <c r="AT2092" s="287" t="s">
        <v>2034</v>
      </c>
      <c r="AU2092" s="287" t="s">
        <v>2034</v>
      </c>
      <c r="AV2092" s="291" t="s">
        <v>177</v>
      </c>
      <c r="AW2092" s="253" t="s">
        <v>160</v>
      </c>
      <c r="AX2092" s="287">
        <v>4</v>
      </c>
      <c r="AY2092" s="287">
        <v>4</v>
      </c>
      <c r="AZ2092" s="253" t="s">
        <v>141</v>
      </c>
      <c r="BA2092" s="287"/>
      <c r="BB2092" s="287"/>
      <c r="BC2092" s="287"/>
      <c r="BD2092" s="287"/>
      <c r="BE2092" s="287"/>
      <c r="BK2092" s="287"/>
      <c r="BL2092" s="287"/>
      <c r="BM2092" s="287"/>
      <c r="BP2092" s="447"/>
      <c r="BQ2092" s="447"/>
      <c r="BU2092" s="395">
        <f t="shared" si="302"/>
        <v>0.68705035971223027</v>
      </c>
      <c r="BV2092" s="395">
        <f t="shared" si="303"/>
        <v>0.73381294964028787</v>
      </c>
      <c r="BZ2092" s="447">
        <v>19.100000000000001</v>
      </c>
      <c r="CA2092" s="447">
        <v>20.399999999999999</v>
      </c>
      <c r="CD2092" s="291" t="s">
        <v>2095</v>
      </c>
      <c r="CE2092" s="592">
        <v>19.100000000000001</v>
      </c>
      <c r="CF2092" s="592">
        <v>20.399999999999999</v>
      </c>
      <c r="CG2092" s="592"/>
      <c r="CH2092" s="592"/>
      <c r="CI2092" s="291" t="s">
        <v>4551</v>
      </c>
      <c r="CJ2092" s="291">
        <v>1.69</v>
      </c>
      <c r="CK2092" s="291">
        <v>1.71</v>
      </c>
      <c r="CN2092" s="291" t="s">
        <v>569</v>
      </c>
      <c r="JB2092" s="287" t="s">
        <v>2084</v>
      </c>
      <c r="JC2092" s="253" t="s">
        <v>2109</v>
      </c>
      <c r="JD2092" s="292"/>
    </row>
    <row r="2093" spans="1:264" s="291" customFormat="1" x14ac:dyDescent="0.25">
      <c r="A2093" s="286">
        <v>93</v>
      </c>
      <c r="B2093" s="544" t="s">
        <v>4205</v>
      </c>
      <c r="C2093" s="287" t="s">
        <v>768</v>
      </c>
      <c r="D2093" s="287" t="s">
        <v>2118</v>
      </c>
      <c r="E2093" s="287">
        <v>2002</v>
      </c>
      <c r="F2093" s="287">
        <v>1998</v>
      </c>
      <c r="G2093" s="287" t="s">
        <v>1749</v>
      </c>
      <c r="H2093" s="287" t="s">
        <v>2032</v>
      </c>
      <c r="I2093" s="278" t="s">
        <v>2815</v>
      </c>
      <c r="J2093" s="287">
        <v>32.57</v>
      </c>
      <c r="K2093" s="287">
        <v>-83.91</v>
      </c>
      <c r="L2093" s="287">
        <v>16</v>
      </c>
      <c r="M2093" s="287">
        <v>18.100000000000001</v>
      </c>
      <c r="N2093" s="287"/>
      <c r="O2093" s="287">
        <v>1258</v>
      </c>
      <c r="P2093" s="287"/>
      <c r="Q2093" s="287"/>
      <c r="R2093" s="287">
        <v>5</v>
      </c>
      <c r="S2093" s="288" t="s">
        <v>1982</v>
      </c>
      <c r="U2093" s="288" t="s">
        <v>2101</v>
      </c>
      <c r="V2093" s="287" t="s">
        <v>1379</v>
      </c>
      <c r="W2093" s="289">
        <v>20</v>
      </c>
      <c r="X2093" s="287" t="s">
        <v>1379</v>
      </c>
      <c r="Y2093" s="287" t="s">
        <v>1379</v>
      </c>
      <c r="Z2093" s="290">
        <v>1.39</v>
      </c>
      <c r="AA2093" s="371">
        <v>65</v>
      </c>
      <c r="AB2093" s="371">
        <v>25</v>
      </c>
      <c r="AC2093" s="287" t="s">
        <v>240</v>
      </c>
      <c r="AD2093" s="287">
        <v>6.5</v>
      </c>
      <c r="AE2093" s="287">
        <f t="shared" si="304"/>
        <v>0.85971223021582732</v>
      </c>
      <c r="AF2093" s="287"/>
      <c r="AG2093" s="287" t="s">
        <v>2036</v>
      </c>
      <c r="AH2093" s="287" t="s">
        <v>2033</v>
      </c>
      <c r="AI2093" s="287" t="s">
        <v>577</v>
      </c>
      <c r="AJ2093" s="287" t="s">
        <v>2035</v>
      </c>
      <c r="AK2093" s="287" t="s">
        <v>1616</v>
      </c>
      <c r="AL2093" s="287" t="s">
        <v>2035</v>
      </c>
      <c r="AM2093" s="287" t="s">
        <v>2035</v>
      </c>
      <c r="AN2093" s="287" t="s">
        <v>177</v>
      </c>
      <c r="AO2093" s="287" t="s">
        <v>2112</v>
      </c>
      <c r="AP2093" s="287" t="s">
        <v>2112</v>
      </c>
      <c r="AQ2093" s="287" t="s">
        <v>2125</v>
      </c>
      <c r="AR2093" s="287" t="s">
        <v>2125</v>
      </c>
      <c r="AS2093" s="291" t="s">
        <v>177</v>
      </c>
      <c r="AT2093" s="287" t="s">
        <v>2034</v>
      </c>
      <c r="AU2093" s="287" t="s">
        <v>2034</v>
      </c>
      <c r="AV2093" s="291" t="s">
        <v>177</v>
      </c>
      <c r="AW2093" s="253" t="s">
        <v>160</v>
      </c>
      <c r="AX2093" s="287">
        <v>4</v>
      </c>
      <c r="AY2093" s="287">
        <v>4</v>
      </c>
      <c r="AZ2093" s="253" t="s">
        <v>141</v>
      </c>
      <c r="BA2093" s="287"/>
      <c r="BB2093" s="287"/>
      <c r="BC2093" s="287"/>
      <c r="BD2093" s="287"/>
      <c r="BE2093" s="287"/>
      <c r="BK2093" s="287"/>
      <c r="BL2093" s="287"/>
      <c r="BM2093" s="287"/>
      <c r="BP2093" s="447"/>
      <c r="BQ2093" s="447"/>
      <c r="BU2093" s="395">
        <f t="shared" si="302"/>
        <v>0.72302158273381312</v>
      </c>
      <c r="BV2093" s="395">
        <f t="shared" si="303"/>
        <v>0.79496402877697858</v>
      </c>
      <c r="BZ2093" s="447">
        <v>20.100000000000001</v>
      </c>
      <c r="CA2093" s="447">
        <v>22.1</v>
      </c>
      <c r="CD2093" s="291" t="s">
        <v>2095</v>
      </c>
      <c r="CE2093" s="592">
        <v>20.100000000000001</v>
      </c>
      <c r="CF2093" s="592">
        <v>22.1</v>
      </c>
      <c r="CG2093" s="592"/>
      <c r="CH2093" s="592"/>
      <c r="CI2093" s="291" t="s">
        <v>4551</v>
      </c>
      <c r="CJ2093" s="291">
        <v>1.64</v>
      </c>
      <c r="CK2093" s="291">
        <v>1.62</v>
      </c>
      <c r="CN2093" s="291" t="s">
        <v>569</v>
      </c>
      <c r="JB2093" s="287" t="s">
        <v>2084</v>
      </c>
      <c r="JC2093" s="253" t="s">
        <v>2109</v>
      </c>
      <c r="JD2093" s="292"/>
    </row>
    <row r="2094" spans="1:264" s="291" customFormat="1" x14ac:dyDescent="0.25">
      <c r="A2094" s="286">
        <v>93</v>
      </c>
      <c r="B2094" s="544" t="s">
        <v>4205</v>
      </c>
      <c r="C2094" s="287" t="s">
        <v>768</v>
      </c>
      <c r="D2094" s="287" t="s">
        <v>2118</v>
      </c>
      <c r="E2094" s="287">
        <v>2002</v>
      </c>
      <c r="F2094" s="287">
        <v>1999</v>
      </c>
      <c r="G2094" s="287" t="s">
        <v>1749</v>
      </c>
      <c r="H2094" s="287" t="s">
        <v>2032</v>
      </c>
      <c r="I2094" s="278" t="s">
        <v>2815</v>
      </c>
      <c r="J2094" s="287">
        <v>32.57</v>
      </c>
      <c r="K2094" s="287">
        <v>-83.91</v>
      </c>
      <c r="L2094" s="287">
        <v>16</v>
      </c>
      <c r="M2094" s="287">
        <v>18.100000000000001</v>
      </c>
      <c r="N2094" s="287"/>
      <c r="O2094" s="287">
        <v>1258</v>
      </c>
      <c r="P2094" s="287"/>
      <c r="Q2094" s="287"/>
      <c r="R2094" s="287">
        <v>6</v>
      </c>
      <c r="S2094" s="288" t="s">
        <v>1982</v>
      </c>
      <c r="U2094" s="288" t="s">
        <v>2101</v>
      </c>
      <c r="V2094" s="287" t="s">
        <v>1379</v>
      </c>
      <c r="W2094" s="289">
        <v>20</v>
      </c>
      <c r="X2094" s="287" t="s">
        <v>1379</v>
      </c>
      <c r="Y2094" s="287" t="s">
        <v>1379</v>
      </c>
      <c r="Z2094" s="290">
        <v>1.39</v>
      </c>
      <c r="AA2094" s="371">
        <v>65</v>
      </c>
      <c r="AB2094" s="371">
        <v>25</v>
      </c>
      <c r="AC2094" s="287" t="s">
        <v>240</v>
      </c>
      <c r="AD2094" s="287">
        <v>6.5</v>
      </c>
      <c r="AE2094" s="287">
        <f t="shared" si="304"/>
        <v>0.85971223021582732</v>
      </c>
      <c r="AF2094" s="287"/>
      <c r="AG2094" s="287" t="s">
        <v>2036</v>
      </c>
      <c r="AH2094" s="287" t="s">
        <v>2033</v>
      </c>
      <c r="AI2094" s="287" t="s">
        <v>577</v>
      </c>
      <c r="AJ2094" s="287" t="s">
        <v>2106</v>
      </c>
      <c r="AK2094" s="287" t="s">
        <v>1616</v>
      </c>
      <c r="AL2094" s="287" t="s">
        <v>2035</v>
      </c>
      <c r="AM2094" s="287" t="s">
        <v>2035</v>
      </c>
      <c r="AN2094" s="287" t="s">
        <v>177</v>
      </c>
      <c r="AO2094" s="287" t="s">
        <v>2112</v>
      </c>
      <c r="AP2094" s="287" t="s">
        <v>2112</v>
      </c>
      <c r="AQ2094" s="287" t="s">
        <v>2125</v>
      </c>
      <c r="AR2094" s="287" t="s">
        <v>2125</v>
      </c>
      <c r="AS2094" s="291" t="s">
        <v>177</v>
      </c>
      <c r="AT2094" s="287" t="s">
        <v>2034</v>
      </c>
      <c r="AU2094" s="287" t="s">
        <v>2034</v>
      </c>
      <c r="AV2094" s="291" t="s">
        <v>177</v>
      </c>
      <c r="AW2094" s="253" t="s">
        <v>160</v>
      </c>
      <c r="AX2094" s="287">
        <v>4</v>
      </c>
      <c r="AY2094" s="287">
        <v>4</v>
      </c>
      <c r="AZ2094" s="253" t="s">
        <v>141</v>
      </c>
      <c r="BA2094" s="287"/>
      <c r="BB2094" s="287"/>
      <c r="BC2094" s="287"/>
      <c r="BD2094" s="287"/>
      <c r="BE2094" s="287"/>
      <c r="BK2094" s="287"/>
      <c r="BL2094" s="287"/>
      <c r="BM2094" s="287"/>
      <c r="BP2094" s="447"/>
      <c r="BQ2094" s="447"/>
      <c r="BU2094" s="395">
        <f t="shared" si="302"/>
        <v>0.73021582733812962</v>
      </c>
      <c r="BV2094" s="395">
        <f t="shared" si="303"/>
        <v>0.71942446043165476</v>
      </c>
      <c r="BZ2094" s="447">
        <v>20.3</v>
      </c>
      <c r="CA2094" s="447">
        <v>20</v>
      </c>
      <c r="CD2094" s="291" t="s">
        <v>2095</v>
      </c>
      <c r="CE2094" s="592">
        <v>20.3</v>
      </c>
      <c r="CF2094" s="592">
        <v>20</v>
      </c>
      <c r="CG2094" s="592"/>
      <c r="CH2094" s="592"/>
      <c r="CI2094" s="291" t="s">
        <v>4551</v>
      </c>
      <c r="CJ2094" s="291">
        <v>1.53</v>
      </c>
      <c r="CK2094" s="291">
        <v>1.39</v>
      </c>
      <c r="CN2094" s="291" t="s">
        <v>569</v>
      </c>
      <c r="JB2094" s="287" t="s">
        <v>2084</v>
      </c>
      <c r="JC2094" s="253" t="s">
        <v>2109</v>
      </c>
      <c r="JD2094" s="292"/>
    </row>
    <row r="2095" spans="1:264" s="32" customFormat="1" x14ac:dyDescent="0.25">
      <c r="A2095" s="238">
        <v>94</v>
      </c>
      <c r="B2095" s="546" t="s">
        <v>4206</v>
      </c>
      <c r="C2095" s="238" t="s">
        <v>768</v>
      </c>
      <c r="D2095" s="239" t="s">
        <v>2118</v>
      </c>
      <c r="E2095" s="238">
        <v>2006</v>
      </c>
      <c r="F2095" s="239">
        <v>2001</v>
      </c>
      <c r="G2095" s="238" t="s">
        <v>1749</v>
      </c>
      <c r="H2095" s="238" t="s">
        <v>2030</v>
      </c>
      <c r="I2095" s="238" t="s">
        <v>2815</v>
      </c>
      <c r="J2095" s="239">
        <v>32.9</v>
      </c>
      <c r="K2095" s="239">
        <v>-82.48</v>
      </c>
      <c r="L2095" s="304">
        <v>72</v>
      </c>
      <c r="M2095" s="304">
        <f>AVERAGE(7.9,12.7,12.8,18.7,22.6,25.5,26.8,27.3,23.1,17.4,16.5,12.1)</f>
        <v>18.616666666666667</v>
      </c>
      <c r="N2095" s="304">
        <f>AVERAGE(7.9,9.7,13.7,17.9,22,25.3,26.8,26.2,23.6,18.3,13.5,9.1)</f>
        <v>17.833333333333332</v>
      </c>
      <c r="O2095" s="304">
        <v>710</v>
      </c>
      <c r="P2095" s="304">
        <v>1150</v>
      </c>
      <c r="Q2095" s="239"/>
      <c r="R2095" s="304">
        <v>1</v>
      </c>
      <c r="S2095" s="240" t="s">
        <v>1728</v>
      </c>
      <c r="U2095" s="240" t="s">
        <v>1864</v>
      </c>
      <c r="V2095" s="241" t="s">
        <v>1382</v>
      </c>
      <c r="W2095" s="241">
        <v>15</v>
      </c>
      <c r="X2095" s="241" t="s">
        <v>1382</v>
      </c>
      <c r="Y2095" s="241" t="s">
        <v>1382</v>
      </c>
      <c r="Z2095" s="242">
        <v>1.08</v>
      </c>
      <c r="AA2095" s="374">
        <v>65</v>
      </c>
      <c r="AB2095" s="374">
        <v>25</v>
      </c>
      <c r="AC2095" s="239" t="s">
        <v>240</v>
      </c>
      <c r="AD2095" s="239">
        <v>6.25</v>
      </c>
      <c r="AE2095" s="239">
        <f>18/(100*100*0.15*Z2095)*100</f>
        <v>1.1111111111111112</v>
      </c>
      <c r="AF2095" s="239"/>
      <c r="AG2095" s="238" t="s">
        <v>2029</v>
      </c>
      <c r="AH2095" s="304" t="s">
        <v>131</v>
      </c>
      <c r="AI2095" s="239" t="s">
        <v>1581</v>
      </c>
      <c r="AJ2095" s="304" t="s">
        <v>2027</v>
      </c>
      <c r="AK2095" s="239" t="s">
        <v>1646</v>
      </c>
      <c r="AL2095" s="239"/>
      <c r="AM2095" s="239"/>
      <c r="AN2095" s="239"/>
      <c r="AO2095" s="239"/>
      <c r="AP2095" s="239"/>
      <c r="AQ2095" s="239"/>
      <c r="AR2095" s="239"/>
      <c r="AS2095" s="304"/>
      <c r="AT2095" s="239"/>
      <c r="AU2095" s="239"/>
      <c r="AV2095" s="305"/>
      <c r="AW2095" s="239" t="s">
        <v>119</v>
      </c>
      <c r="AX2095" s="304">
        <v>4</v>
      </c>
      <c r="AY2095" s="304">
        <v>4</v>
      </c>
      <c r="AZ2095" s="239" t="s">
        <v>141</v>
      </c>
      <c r="BA2095" s="239"/>
      <c r="BB2095" s="239">
        <v>2080</v>
      </c>
      <c r="BC2095" s="239">
        <v>35</v>
      </c>
      <c r="BD2095" s="239"/>
      <c r="BE2095" s="239"/>
      <c r="BK2095" s="304">
        <v>6550</v>
      </c>
      <c r="BL2095" s="304">
        <v>6460</v>
      </c>
      <c r="BM2095" s="239">
        <v>1010</v>
      </c>
      <c r="BN2095" s="32">
        <v>1070</v>
      </c>
      <c r="BP2095" s="449">
        <f t="shared" ref="BP2095:BS2097" si="305">AVERAGE(BP2101,BP2104)</f>
        <v>1.08</v>
      </c>
      <c r="BQ2095" s="449">
        <f t="shared" si="305"/>
        <v>1.0900000000000001</v>
      </c>
      <c r="BR2095" s="306">
        <f t="shared" si="305"/>
        <v>4.4999999999999998E-2</v>
      </c>
      <c r="BS2095" s="306">
        <f t="shared" si="305"/>
        <v>0.04</v>
      </c>
      <c r="BW2095" s="451"/>
      <c r="BX2095" s="451"/>
      <c r="BZ2095" s="451"/>
      <c r="CA2095" s="451"/>
      <c r="CE2095" s="550"/>
      <c r="CF2095" s="550"/>
      <c r="CG2095" s="550"/>
      <c r="CH2095" s="550"/>
      <c r="JB2095" s="304" t="s">
        <v>2083</v>
      </c>
      <c r="JC2095" s="239"/>
      <c r="JD2095" s="243"/>
    </row>
    <row r="2096" spans="1:264" s="32" customFormat="1" x14ac:dyDescent="0.25">
      <c r="A2096" s="238">
        <v>94</v>
      </c>
      <c r="B2096" s="546" t="s">
        <v>4207</v>
      </c>
      <c r="C2096" s="238" t="s">
        <v>768</v>
      </c>
      <c r="D2096" s="239" t="s">
        <v>2118</v>
      </c>
      <c r="E2096" s="238">
        <v>2006</v>
      </c>
      <c r="F2096" s="239">
        <v>2001</v>
      </c>
      <c r="G2096" s="238" t="s">
        <v>1749</v>
      </c>
      <c r="H2096" s="238" t="s">
        <v>2030</v>
      </c>
      <c r="I2096" s="238" t="s">
        <v>2815</v>
      </c>
      <c r="J2096" s="239">
        <v>32.9</v>
      </c>
      <c r="K2096" s="239">
        <v>-82.48</v>
      </c>
      <c r="L2096" s="304">
        <v>72</v>
      </c>
      <c r="M2096" s="304">
        <f t="shared" ref="M2096:M2097" si="306">AVERAGE(7.9,12.7,12.8,18.7,22.6,25.5,26.8,27.3,23.1,17.4,16.5,12.1)</f>
        <v>18.616666666666667</v>
      </c>
      <c r="N2096" s="304">
        <f t="shared" ref="N2096:N2097" si="307">AVERAGE(7.9,9.7,13.7,17.9,22,25.3,26.8,26.2,23.6,18.3,13.5,9.1)</f>
        <v>17.833333333333332</v>
      </c>
      <c r="O2096" s="304">
        <v>710</v>
      </c>
      <c r="P2096" s="304">
        <v>1150</v>
      </c>
      <c r="Q2096" s="239"/>
      <c r="R2096" s="304">
        <v>1</v>
      </c>
      <c r="S2096" s="240" t="s">
        <v>1728</v>
      </c>
      <c r="U2096" s="240" t="s">
        <v>1864</v>
      </c>
      <c r="V2096" s="241" t="s">
        <v>1382</v>
      </c>
      <c r="W2096" s="241">
        <v>15</v>
      </c>
      <c r="X2096" s="241" t="s">
        <v>1382</v>
      </c>
      <c r="Y2096" s="241" t="s">
        <v>1382</v>
      </c>
      <c r="Z2096" s="242">
        <v>1.08</v>
      </c>
      <c r="AA2096" s="374">
        <v>65</v>
      </c>
      <c r="AB2096" s="374">
        <v>25</v>
      </c>
      <c r="AC2096" s="239" t="s">
        <v>240</v>
      </c>
      <c r="AD2096" s="239">
        <v>6.25</v>
      </c>
      <c r="AE2096" s="239">
        <f t="shared" ref="AE2096:AE2100" si="308">18/(100*100*0.15*Z2096)*100</f>
        <v>1.1111111111111112</v>
      </c>
      <c r="AF2096" s="239"/>
      <c r="AG2096" s="238" t="s">
        <v>2029</v>
      </c>
      <c r="AH2096" s="304" t="s">
        <v>2117</v>
      </c>
      <c r="AI2096" s="239" t="s">
        <v>1583</v>
      </c>
      <c r="AJ2096" s="304" t="s">
        <v>2027</v>
      </c>
      <c r="AK2096" s="239" t="s">
        <v>1646</v>
      </c>
      <c r="AL2096" s="239"/>
      <c r="AM2096" s="239"/>
      <c r="AN2096" s="239"/>
      <c r="AO2096" s="239"/>
      <c r="AP2096" s="239"/>
      <c r="AQ2096" s="239"/>
      <c r="AR2096" s="239"/>
      <c r="AS2096" s="304"/>
      <c r="AT2096" s="239"/>
      <c r="AU2096" s="239"/>
      <c r="AV2096" s="305"/>
      <c r="AW2096" s="239" t="s">
        <v>119</v>
      </c>
      <c r="AX2096" s="304">
        <v>4</v>
      </c>
      <c r="AY2096" s="304">
        <v>4</v>
      </c>
      <c r="AZ2096" s="239" t="s">
        <v>141</v>
      </c>
      <c r="BA2096" s="239"/>
      <c r="BB2096" s="239">
        <v>2120</v>
      </c>
      <c r="BC2096" s="239">
        <v>21</v>
      </c>
      <c r="BD2096" s="239"/>
      <c r="BE2096" s="239"/>
      <c r="BK2096" s="304">
        <v>6550</v>
      </c>
      <c r="BL2096" s="304">
        <v>7370</v>
      </c>
      <c r="BM2096" s="239">
        <v>1010</v>
      </c>
      <c r="BN2096" s="32">
        <v>970</v>
      </c>
      <c r="BP2096" s="449">
        <f t="shared" si="305"/>
        <v>1.08</v>
      </c>
      <c r="BQ2096" s="449">
        <f t="shared" si="305"/>
        <v>1.0649999999999999</v>
      </c>
      <c r="BR2096" s="306">
        <f t="shared" si="305"/>
        <v>4.4999999999999998E-2</v>
      </c>
      <c r="BS2096" s="306">
        <f t="shared" si="305"/>
        <v>8.5000000000000006E-2</v>
      </c>
      <c r="BW2096" s="451"/>
      <c r="BX2096" s="451"/>
      <c r="BZ2096" s="451"/>
      <c r="CA2096" s="451"/>
      <c r="CE2096" s="550"/>
      <c r="CF2096" s="550"/>
      <c r="CG2096" s="550"/>
      <c r="CH2096" s="550"/>
      <c r="JB2096" s="304" t="s">
        <v>2083</v>
      </c>
      <c r="JC2096" s="239"/>
      <c r="JD2096" s="243"/>
    </row>
    <row r="2097" spans="1:264" s="32" customFormat="1" x14ac:dyDescent="0.25">
      <c r="A2097" s="238">
        <v>94</v>
      </c>
      <c r="B2097" s="546" t="s">
        <v>4208</v>
      </c>
      <c r="C2097" s="238" t="s">
        <v>768</v>
      </c>
      <c r="D2097" s="239" t="s">
        <v>2118</v>
      </c>
      <c r="E2097" s="238">
        <v>2006</v>
      </c>
      <c r="F2097" s="239">
        <v>2001</v>
      </c>
      <c r="G2097" s="238" t="s">
        <v>1749</v>
      </c>
      <c r="H2097" s="238" t="s">
        <v>2030</v>
      </c>
      <c r="I2097" s="238" t="s">
        <v>2815</v>
      </c>
      <c r="J2097" s="239">
        <v>32.9</v>
      </c>
      <c r="K2097" s="239">
        <v>-82.48</v>
      </c>
      <c r="L2097" s="304">
        <v>72</v>
      </c>
      <c r="M2097" s="304">
        <f t="shared" si="306"/>
        <v>18.616666666666667</v>
      </c>
      <c r="N2097" s="304">
        <f t="shared" si="307"/>
        <v>17.833333333333332</v>
      </c>
      <c r="O2097" s="304">
        <v>710</v>
      </c>
      <c r="P2097" s="304">
        <v>1150</v>
      </c>
      <c r="Q2097" s="239"/>
      <c r="R2097" s="304">
        <v>1</v>
      </c>
      <c r="S2097" s="240" t="s">
        <v>1728</v>
      </c>
      <c r="U2097" s="240" t="s">
        <v>1864</v>
      </c>
      <c r="V2097" s="241" t="s">
        <v>1382</v>
      </c>
      <c r="W2097" s="241">
        <v>15</v>
      </c>
      <c r="X2097" s="241" t="s">
        <v>1382</v>
      </c>
      <c r="Y2097" s="241" t="s">
        <v>1382</v>
      </c>
      <c r="Z2097" s="242">
        <v>1.08</v>
      </c>
      <c r="AA2097" s="374">
        <v>65</v>
      </c>
      <c r="AB2097" s="374">
        <v>25</v>
      </c>
      <c r="AC2097" s="239" t="s">
        <v>240</v>
      </c>
      <c r="AD2097" s="239">
        <v>6.25</v>
      </c>
      <c r="AE2097" s="239">
        <f t="shared" si="308"/>
        <v>1.1111111111111112</v>
      </c>
      <c r="AF2097" s="239"/>
      <c r="AG2097" s="238" t="s">
        <v>2029</v>
      </c>
      <c r="AH2097" s="304" t="s">
        <v>2116</v>
      </c>
      <c r="AI2097" s="239" t="s">
        <v>635</v>
      </c>
      <c r="AJ2097" s="304" t="s">
        <v>2027</v>
      </c>
      <c r="AK2097" s="239" t="s">
        <v>1646</v>
      </c>
      <c r="AL2097" s="239"/>
      <c r="AM2097" s="239"/>
      <c r="AN2097" s="239"/>
      <c r="AO2097" s="239"/>
      <c r="AP2097" s="239"/>
      <c r="AQ2097" s="239"/>
      <c r="AR2097" s="239"/>
      <c r="AS2097" s="304"/>
      <c r="AT2097" s="239"/>
      <c r="AU2097" s="239"/>
      <c r="AV2097" s="305"/>
      <c r="AW2097" s="239" t="s">
        <v>119</v>
      </c>
      <c r="AX2097" s="304">
        <v>4</v>
      </c>
      <c r="AY2097" s="304">
        <v>4</v>
      </c>
      <c r="AZ2097" s="239" t="s">
        <v>141</v>
      </c>
      <c r="BA2097" s="239"/>
      <c r="BB2097" s="239">
        <v>3370</v>
      </c>
      <c r="BC2097" s="239">
        <v>32</v>
      </c>
      <c r="BD2097" s="239"/>
      <c r="BE2097" s="239"/>
      <c r="BK2097" s="304">
        <v>6550</v>
      </c>
      <c r="BL2097" s="304">
        <v>7680</v>
      </c>
      <c r="BM2097" s="239">
        <v>1010</v>
      </c>
      <c r="BN2097" s="32">
        <v>1170</v>
      </c>
      <c r="BP2097" s="449">
        <f t="shared" si="305"/>
        <v>1.08</v>
      </c>
      <c r="BQ2097" s="449">
        <f t="shared" si="305"/>
        <v>1.0750000000000002</v>
      </c>
      <c r="BR2097" s="306">
        <f t="shared" si="305"/>
        <v>4.4999999999999998E-2</v>
      </c>
      <c r="BS2097" s="306">
        <f t="shared" si="305"/>
        <v>7.5000000000000011E-2</v>
      </c>
      <c r="BW2097" s="451"/>
      <c r="BX2097" s="451"/>
      <c r="BZ2097" s="451"/>
      <c r="CA2097" s="451"/>
      <c r="CE2097" s="550"/>
      <c r="CF2097" s="550"/>
      <c r="CG2097" s="550"/>
      <c r="CH2097" s="550"/>
      <c r="JB2097" s="304" t="s">
        <v>2083</v>
      </c>
      <c r="JC2097" s="239"/>
      <c r="JD2097" s="243"/>
    </row>
    <row r="2098" spans="1:264" s="267" customFormat="1" x14ac:dyDescent="0.25">
      <c r="A2098" s="260">
        <v>94</v>
      </c>
      <c r="B2098" s="546" t="s">
        <v>4209</v>
      </c>
      <c r="C2098" s="260" t="s">
        <v>768</v>
      </c>
      <c r="D2098" s="261" t="s">
        <v>2118</v>
      </c>
      <c r="E2098" s="260">
        <v>2006</v>
      </c>
      <c r="F2098" s="261">
        <v>2002</v>
      </c>
      <c r="G2098" s="260" t="s">
        <v>1749</v>
      </c>
      <c r="H2098" s="260" t="s">
        <v>2030</v>
      </c>
      <c r="I2098" s="238" t="s">
        <v>2815</v>
      </c>
      <c r="J2098" s="261">
        <v>32.9</v>
      </c>
      <c r="K2098" s="261">
        <v>-82.48</v>
      </c>
      <c r="L2098" s="262">
        <v>72</v>
      </c>
      <c r="M2098" s="262">
        <f>AVERAGE(9.9,9.1,15.4,21,22.2,26.4,28.1,27.1,25.5,20.3,12.1,8)</f>
        <v>18.758333333333333</v>
      </c>
      <c r="N2098" s="262">
        <v>17.833333333333332</v>
      </c>
      <c r="O2098" s="262">
        <v>1024</v>
      </c>
      <c r="P2098" s="262">
        <v>1150</v>
      </c>
      <c r="Q2098" s="261"/>
      <c r="R2098" s="262">
        <v>2</v>
      </c>
      <c r="S2098" s="263" t="s">
        <v>1728</v>
      </c>
      <c r="U2098" s="263" t="s">
        <v>1864</v>
      </c>
      <c r="V2098" s="264" t="s">
        <v>1382</v>
      </c>
      <c r="W2098" s="264">
        <v>15</v>
      </c>
      <c r="X2098" s="264" t="s">
        <v>1382</v>
      </c>
      <c r="Y2098" s="264" t="s">
        <v>1382</v>
      </c>
      <c r="Z2098" s="265">
        <v>1.08</v>
      </c>
      <c r="AA2098" s="375">
        <v>65</v>
      </c>
      <c r="AB2098" s="375">
        <v>25</v>
      </c>
      <c r="AC2098" s="261" t="s">
        <v>240</v>
      </c>
      <c r="AD2098" s="261">
        <v>6.25</v>
      </c>
      <c r="AE2098" s="239">
        <f t="shared" si="308"/>
        <v>1.1111111111111112</v>
      </c>
      <c r="AF2098" s="261"/>
      <c r="AG2098" s="260" t="s">
        <v>2029</v>
      </c>
      <c r="AH2098" s="262" t="s">
        <v>131</v>
      </c>
      <c r="AI2098" s="261" t="s">
        <v>1581</v>
      </c>
      <c r="AJ2098" s="262" t="s">
        <v>2027</v>
      </c>
      <c r="AK2098" s="239" t="s">
        <v>1646</v>
      </c>
      <c r="AL2098" s="261"/>
      <c r="AM2098" s="261"/>
      <c r="AN2098" s="261"/>
      <c r="AO2098" s="261"/>
      <c r="AP2098" s="261"/>
      <c r="AQ2098" s="261"/>
      <c r="AR2098" s="261"/>
      <c r="AS2098" s="262"/>
      <c r="AT2098" s="261"/>
      <c r="AU2098" s="261"/>
      <c r="AV2098" s="266"/>
      <c r="AW2098" s="261" t="s">
        <v>119</v>
      </c>
      <c r="AX2098" s="262">
        <v>4</v>
      </c>
      <c r="AY2098" s="262">
        <v>4</v>
      </c>
      <c r="AZ2098" s="261" t="s">
        <v>141</v>
      </c>
      <c r="BA2098" s="261"/>
      <c r="BB2098" s="261">
        <v>1900</v>
      </c>
      <c r="BC2098" s="261">
        <v>17</v>
      </c>
      <c r="BD2098" s="261"/>
      <c r="BE2098" s="261"/>
      <c r="BK2098" s="262">
        <v>6280</v>
      </c>
      <c r="BL2098" s="262">
        <v>5440</v>
      </c>
      <c r="BM2098" s="261">
        <v>870</v>
      </c>
      <c r="BN2098" s="267">
        <v>670</v>
      </c>
      <c r="BP2098" s="450"/>
      <c r="BQ2098" s="450"/>
      <c r="BW2098" s="464"/>
      <c r="BX2098" s="464"/>
      <c r="BZ2098" s="464"/>
      <c r="CA2098" s="464"/>
      <c r="CE2098" s="594"/>
      <c r="CF2098" s="594"/>
      <c r="CG2098" s="594"/>
      <c r="CH2098" s="594"/>
      <c r="JB2098" s="262" t="s">
        <v>2083</v>
      </c>
      <c r="JC2098" s="261"/>
      <c r="JD2098" s="268"/>
    </row>
    <row r="2099" spans="1:264" s="267" customFormat="1" x14ac:dyDescent="0.25">
      <c r="A2099" s="260">
        <v>94</v>
      </c>
      <c r="B2099" s="546" t="s">
        <v>4210</v>
      </c>
      <c r="C2099" s="260" t="s">
        <v>768</v>
      </c>
      <c r="D2099" s="261" t="s">
        <v>2118</v>
      </c>
      <c r="E2099" s="260">
        <v>2006</v>
      </c>
      <c r="F2099" s="261">
        <v>2002</v>
      </c>
      <c r="G2099" s="260" t="s">
        <v>1749</v>
      </c>
      <c r="H2099" s="260" t="s">
        <v>2030</v>
      </c>
      <c r="I2099" s="238" t="s">
        <v>2815</v>
      </c>
      <c r="J2099" s="261">
        <v>32.9</v>
      </c>
      <c r="K2099" s="261">
        <v>-82.48</v>
      </c>
      <c r="L2099" s="262">
        <v>72</v>
      </c>
      <c r="M2099" s="262">
        <f t="shared" ref="M2099:M2100" si="309">AVERAGE(9.9,9.1,15.4,21,22.2,26.4,28.1,27.1,25.5,20.3,12.1,8)</f>
        <v>18.758333333333333</v>
      </c>
      <c r="N2099" s="262">
        <v>17.833333333333332</v>
      </c>
      <c r="O2099" s="262">
        <v>1024</v>
      </c>
      <c r="P2099" s="262">
        <v>1150</v>
      </c>
      <c r="Q2099" s="261"/>
      <c r="R2099" s="262">
        <v>2</v>
      </c>
      <c r="S2099" s="263" t="s">
        <v>1728</v>
      </c>
      <c r="U2099" s="263" t="s">
        <v>1864</v>
      </c>
      <c r="V2099" s="264" t="s">
        <v>1382</v>
      </c>
      <c r="W2099" s="264">
        <v>15</v>
      </c>
      <c r="X2099" s="264" t="s">
        <v>1382</v>
      </c>
      <c r="Y2099" s="264" t="s">
        <v>1382</v>
      </c>
      <c r="Z2099" s="265">
        <v>1.08</v>
      </c>
      <c r="AA2099" s="375">
        <v>65</v>
      </c>
      <c r="AB2099" s="375">
        <v>25</v>
      </c>
      <c r="AC2099" s="261" t="s">
        <v>240</v>
      </c>
      <c r="AD2099" s="261">
        <v>6.25</v>
      </c>
      <c r="AE2099" s="239">
        <f t="shared" si="308"/>
        <v>1.1111111111111112</v>
      </c>
      <c r="AF2099" s="261"/>
      <c r="AG2099" s="260" t="s">
        <v>2029</v>
      </c>
      <c r="AH2099" s="262" t="s">
        <v>2117</v>
      </c>
      <c r="AI2099" s="261" t="s">
        <v>1583</v>
      </c>
      <c r="AJ2099" s="262" t="s">
        <v>2027</v>
      </c>
      <c r="AK2099" s="239" t="s">
        <v>1646</v>
      </c>
      <c r="AL2099" s="261"/>
      <c r="AM2099" s="261"/>
      <c r="AN2099" s="261"/>
      <c r="AO2099" s="261"/>
      <c r="AP2099" s="261"/>
      <c r="AQ2099" s="261"/>
      <c r="AR2099" s="261"/>
      <c r="AS2099" s="262"/>
      <c r="AT2099" s="261"/>
      <c r="AU2099" s="261"/>
      <c r="AV2099" s="266"/>
      <c r="AW2099" s="261" t="s">
        <v>119</v>
      </c>
      <c r="AX2099" s="262">
        <v>4</v>
      </c>
      <c r="AY2099" s="262">
        <v>4</v>
      </c>
      <c r="AZ2099" s="261" t="s">
        <v>141</v>
      </c>
      <c r="BA2099" s="261"/>
      <c r="BB2099" s="261">
        <v>950</v>
      </c>
      <c r="BC2099" s="261">
        <v>12</v>
      </c>
      <c r="BD2099" s="261"/>
      <c r="BE2099" s="261"/>
      <c r="BK2099" s="262">
        <v>6280</v>
      </c>
      <c r="BL2099" s="262">
        <v>2200</v>
      </c>
      <c r="BM2099" s="261">
        <v>870</v>
      </c>
      <c r="BN2099" s="267">
        <v>230</v>
      </c>
      <c r="BP2099" s="450"/>
      <c r="BQ2099" s="450"/>
      <c r="BW2099" s="464"/>
      <c r="BX2099" s="464"/>
      <c r="BZ2099" s="464"/>
      <c r="CA2099" s="464"/>
      <c r="CE2099" s="594"/>
      <c r="CF2099" s="594"/>
      <c r="CG2099" s="594"/>
      <c r="CH2099" s="594"/>
      <c r="JB2099" s="262" t="s">
        <v>2083</v>
      </c>
      <c r="JC2099" s="261"/>
      <c r="JD2099" s="268"/>
    </row>
    <row r="2100" spans="1:264" s="267" customFormat="1" x14ac:dyDescent="0.25">
      <c r="A2100" s="260">
        <v>94</v>
      </c>
      <c r="B2100" s="546" t="s">
        <v>4211</v>
      </c>
      <c r="C2100" s="260" t="s">
        <v>768</v>
      </c>
      <c r="D2100" s="261" t="s">
        <v>2118</v>
      </c>
      <c r="E2100" s="260">
        <v>2006</v>
      </c>
      <c r="F2100" s="261">
        <v>2002</v>
      </c>
      <c r="G2100" s="260" t="s">
        <v>1749</v>
      </c>
      <c r="H2100" s="260" t="s">
        <v>2030</v>
      </c>
      <c r="I2100" s="238" t="s">
        <v>2815</v>
      </c>
      <c r="J2100" s="261">
        <v>32.9</v>
      </c>
      <c r="K2100" s="261">
        <v>-82.48</v>
      </c>
      <c r="L2100" s="262">
        <v>72</v>
      </c>
      <c r="M2100" s="262">
        <f t="shared" si="309"/>
        <v>18.758333333333333</v>
      </c>
      <c r="N2100" s="262">
        <v>17.833333333333332</v>
      </c>
      <c r="O2100" s="262">
        <v>1024</v>
      </c>
      <c r="P2100" s="262">
        <v>1150</v>
      </c>
      <c r="Q2100" s="261"/>
      <c r="R2100" s="262">
        <v>2</v>
      </c>
      <c r="S2100" s="263" t="s">
        <v>1728</v>
      </c>
      <c r="U2100" s="263" t="s">
        <v>1864</v>
      </c>
      <c r="V2100" s="264" t="s">
        <v>1382</v>
      </c>
      <c r="W2100" s="264">
        <v>15</v>
      </c>
      <c r="X2100" s="264" t="s">
        <v>1382</v>
      </c>
      <c r="Y2100" s="264" t="s">
        <v>1382</v>
      </c>
      <c r="Z2100" s="265">
        <v>1.08</v>
      </c>
      <c r="AA2100" s="375">
        <v>65</v>
      </c>
      <c r="AB2100" s="375">
        <v>25</v>
      </c>
      <c r="AC2100" s="261" t="s">
        <v>240</v>
      </c>
      <c r="AD2100" s="261">
        <v>6.25</v>
      </c>
      <c r="AE2100" s="239">
        <f t="shared" si="308"/>
        <v>1.1111111111111112</v>
      </c>
      <c r="AF2100" s="261"/>
      <c r="AG2100" s="260" t="s">
        <v>2029</v>
      </c>
      <c r="AH2100" s="262" t="s">
        <v>2116</v>
      </c>
      <c r="AI2100" s="261" t="s">
        <v>635</v>
      </c>
      <c r="AJ2100" s="262" t="s">
        <v>2027</v>
      </c>
      <c r="AK2100" s="239" t="s">
        <v>1646</v>
      </c>
      <c r="AL2100" s="261"/>
      <c r="AM2100" s="261"/>
      <c r="AN2100" s="261"/>
      <c r="AO2100" s="261"/>
      <c r="AP2100" s="261"/>
      <c r="AQ2100" s="261"/>
      <c r="AR2100" s="261"/>
      <c r="AS2100" s="262"/>
      <c r="AT2100" s="261"/>
      <c r="AU2100" s="261"/>
      <c r="AV2100" s="266"/>
      <c r="AW2100" s="261" t="s">
        <v>119</v>
      </c>
      <c r="AX2100" s="262">
        <v>4</v>
      </c>
      <c r="AY2100" s="262">
        <v>4</v>
      </c>
      <c r="AZ2100" s="261" t="s">
        <v>141</v>
      </c>
      <c r="BA2100" s="261"/>
      <c r="BB2100" s="261">
        <v>1960</v>
      </c>
      <c r="BC2100" s="261">
        <v>14</v>
      </c>
      <c r="BD2100" s="261"/>
      <c r="BE2100" s="261"/>
      <c r="BK2100" s="262">
        <v>6280</v>
      </c>
      <c r="BL2100" s="262">
        <v>2530</v>
      </c>
      <c r="BM2100" s="261">
        <v>870</v>
      </c>
      <c r="BN2100" s="267">
        <v>370</v>
      </c>
      <c r="BP2100" s="450"/>
      <c r="BQ2100" s="450"/>
      <c r="BW2100" s="464"/>
      <c r="BX2100" s="464"/>
      <c r="BZ2100" s="464"/>
      <c r="CA2100" s="464"/>
      <c r="CE2100" s="594"/>
      <c r="CF2100" s="594"/>
      <c r="CG2100" s="594"/>
      <c r="CH2100" s="594"/>
      <c r="JB2100" s="262" t="s">
        <v>2083</v>
      </c>
      <c r="JC2100" s="261"/>
      <c r="JD2100" s="268"/>
    </row>
    <row r="2101" spans="1:264" s="32" customFormat="1" x14ac:dyDescent="0.25">
      <c r="A2101" s="238">
        <v>94</v>
      </c>
      <c r="B2101" s="546" t="s">
        <v>4212</v>
      </c>
      <c r="C2101" s="238" t="s">
        <v>768</v>
      </c>
      <c r="D2101" s="239" t="s">
        <v>2118</v>
      </c>
      <c r="E2101" s="238">
        <v>2006</v>
      </c>
      <c r="F2101" s="239">
        <v>2002</v>
      </c>
      <c r="G2101" s="238" t="s">
        <v>1749</v>
      </c>
      <c r="H2101" s="238" t="s">
        <v>2030</v>
      </c>
      <c r="I2101" s="238" t="s">
        <v>2815</v>
      </c>
      <c r="J2101" s="239">
        <v>32.9</v>
      </c>
      <c r="K2101" s="239">
        <v>-82.48</v>
      </c>
      <c r="L2101" s="304">
        <v>72</v>
      </c>
      <c r="M2101" s="304">
        <f>AVERAGE(7.9,12.7,12.8,18.7,22.6,25.5,26.8,27.3,23.1,17.4,16.5,12.1)</f>
        <v>18.616666666666667</v>
      </c>
      <c r="N2101" s="304">
        <f>AVERAGE(7.9,9.7,13.7,17.9,22,25.3,26.8,26.2,23.6,18.3,13.5,9.1)</f>
        <v>17.833333333333332</v>
      </c>
      <c r="O2101" s="304">
        <v>710</v>
      </c>
      <c r="P2101" s="304">
        <v>1150</v>
      </c>
      <c r="Q2101" s="239"/>
      <c r="R2101" s="304">
        <v>2</v>
      </c>
      <c r="S2101" s="240" t="s">
        <v>1728</v>
      </c>
      <c r="U2101" s="240" t="s">
        <v>1864</v>
      </c>
      <c r="V2101" s="241" t="s">
        <v>1394</v>
      </c>
      <c r="W2101" s="241">
        <v>5</v>
      </c>
      <c r="X2101" s="241" t="s">
        <v>1394</v>
      </c>
      <c r="Y2101" s="241" t="s">
        <v>1394</v>
      </c>
      <c r="Z2101" s="242">
        <v>1.08</v>
      </c>
      <c r="AA2101" s="374">
        <v>65</v>
      </c>
      <c r="AB2101" s="374">
        <v>25</v>
      </c>
      <c r="AC2101" s="239" t="s">
        <v>240</v>
      </c>
      <c r="AD2101" s="239">
        <v>6.25</v>
      </c>
      <c r="AE2101" s="239">
        <f>18/(100*100*0.15*Z2101)*100</f>
        <v>1.1111111111111112</v>
      </c>
      <c r="AF2101" s="239"/>
      <c r="AG2101" s="238" t="s">
        <v>2029</v>
      </c>
      <c r="AH2101" s="304" t="s">
        <v>131</v>
      </c>
      <c r="AI2101" s="239" t="s">
        <v>1581</v>
      </c>
      <c r="AJ2101" s="304" t="s">
        <v>2027</v>
      </c>
      <c r="AK2101" s="239" t="s">
        <v>1646</v>
      </c>
      <c r="AL2101" s="239"/>
      <c r="AM2101" s="239"/>
      <c r="AN2101" s="239"/>
      <c r="AO2101" s="239"/>
      <c r="AP2101" s="239"/>
      <c r="AQ2101" s="239"/>
      <c r="AR2101" s="239"/>
      <c r="AS2101" s="304"/>
      <c r="AT2101" s="239"/>
      <c r="AU2101" s="239"/>
      <c r="AV2101" s="305"/>
      <c r="AW2101" s="239" t="s">
        <v>119</v>
      </c>
      <c r="AX2101" s="304">
        <v>4</v>
      </c>
      <c r="AY2101" s="304">
        <v>4</v>
      </c>
      <c r="AZ2101" s="239" t="s">
        <v>141</v>
      </c>
      <c r="BA2101" s="239"/>
      <c r="BD2101" s="239"/>
      <c r="BE2101" s="239"/>
      <c r="BK2101" s="304"/>
      <c r="BL2101" s="304"/>
      <c r="BM2101" s="239"/>
      <c r="BP2101" s="451">
        <v>1.06</v>
      </c>
      <c r="BQ2101" s="451">
        <v>1.08</v>
      </c>
      <c r="BR2101" s="32">
        <v>0.04</v>
      </c>
      <c r="BS2101" s="32">
        <v>7.0000000000000007E-2</v>
      </c>
      <c r="BW2101" s="397"/>
      <c r="BX2101" s="397"/>
      <c r="BZ2101" s="397"/>
      <c r="CA2101" s="397"/>
      <c r="CE2101" s="550"/>
      <c r="CF2101" s="550"/>
      <c r="CG2101" s="550"/>
      <c r="CH2101" s="550"/>
      <c r="JB2101" s="304" t="s">
        <v>2083</v>
      </c>
      <c r="JC2101" s="239"/>
      <c r="JD2101" s="243"/>
    </row>
    <row r="2102" spans="1:264" s="32" customFormat="1" x14ac:dyDescent="0.25">
      <c r="A2102" s="238">
        <v>94</v>
      </c>
      <c r="B2102" s="546" t="s">
        <v>4213</v>
      </c>
      <c r="C2102" s="238" t="s">
        <v>768</v>
      </c>
      <c r="D2102" s="239" t="s">
        <v>2118</v>
      </c>
      <c r="E2102" s="238">
        <v>2006</v>
      </c>
      <c r="F2102" s="239">
        <v>2002</v>
      </c>
      <c r="G2102" s="238" t="s">
        <v>1749</v>
      </c>
      <c r="H2102" s="238" t="s">
        <v>2030</v>
      </c>
      <c r="I2102" s="238" t="s">
        <v>2815</v>
      </c>
      <c r="J2102" s="239">
        <v>32.9</v>
      </c>
      <c r="K2102" s="239">
        <v>-82.48</v>
      </c>
      <c r="L2102" s="304">
        <v>72</v>
      </c>
      <c r="M2102" s="304">
        <f t="shared" ref="M2102:M2103" si="310">AVERAGE(7.9,12.7,12.8,18.7,22.6,25.5,26.8,27.3,23.1,17.4,16.5,12.1)</f>
        <v>18.616666666666667</v>
      </c>
      <c r="N2102" s="304">
        <f t="shared" ref="N2102:N2103" si="311">AVERAGE(7.9,9.7,13.7,17.9,22,25.3,26.8,26.2,23.6,18.3,13.5,9.1)</f>
        <v>17.833333333333332</v>
      </c>
      <c r="O2102" s="304">
        <v>710</v>
      </c>
      <c r="P2102" s="304">
        <v>1150</v>
      </c>
      <c r="Q2102" s="239"/>
      <c r="R2102" s="304">
        <v>2</v>
      </c>
      <c r="S2102" s="240" t="s">
        <v>1728</v>
      </c>
      <c r="U2102" s="240" t="s">
        <v>1864</v>
      </c>
      <c r="V2102" s="241" t="s">
        <v>1394</v>
      </c>
      <c r="W2102" s="241">
        <v>5</v>
      </c>
      <c r="X2102" s="241" t="s">
        <v>1394</v>
      </c>
      <c r="Y2102" s="241" t="s">
        <v>1394</v>
      </c>
      <c r="Z2102" s="242">
        <v>1.08</v>
      </c>
      <c r="AA2102" s="374">
        <v>65</v>
      </c>
      <c r="AB2102" s="374">
        <v>25</v>
      </c>
      <c r="AC2102" s="239" t="s">
        <v>240</v>
      </c>
      <c r="AD2102" s="239">
        <v>6.25</v>
      </c>
      <c r="AE2102" s="239">
        <f t="shared" ref="AE2102:AE2103" si="312">18/(100*100*0.15*Z2102)*100</f>
        <v>1.1111111111111112</v>
      </c>
      <c r="AF2102" s="239"/>
      <c r="AG2102" s="238" t="s">
        <v>2029</v>
      </c>
      <c r="AH2102" s="304" t="s">
        <v>2117</v>
      </c>
      <c r="AI2102" s="239" t="s">
        <v>1583</v>
      </c>
      <c r="AJ2102" s="304" t="s">
        <v>2027</v>
      </c>
      <c r="AK2102" s="239" t="s">
        <v>1646</v>
      </c>
      <c r="AL2102" s="239"/>
      <c r="AM2102" s="239"/>
      <c r="AN2102" s="239"/>
      <c r="AO2102" s="239"/>
      <c r="AP2102" s="239"/>
      <c r="AQ2102" s="239"/>
      <c r="AR2102" s="239"/>
      <c r="AS2102" s="304"/>
      <c r="AT2102" s="239"/>
      <c r="AU2102" s="239"/>
      <c r="AV2102" s="305"/>
      <c r="AW2102" s="239" t="s">
        <v>119</v>
      </c>
      <c r="AX2102" s="304">
        <v>4</v>
      </c>
      <c r="AY2102" s="304">
        <v>4</v>
      </c>
      <c r="AZ2102" s="239" t="s">
        <v>141</v>
      </c>
      <c r="BA2102" s="239"/>
      <c r="BD2102" s="239"/>
      <c r="BE2102" s="239"/>
      <c r="BK2102" s="304"/>
      <c r="BL2102" s="304"/>
      <c r="BM2102" s="239"/>
      <c r="BP2102" s="451">
        <v>1.06</v>
      </c>
      <c r="BQ2102" s="451">
        <v>1.05</v>
      </c>
      <c r="BR2102" s="32">
        <v>0.04</v>
      </c>
      <c r="BS2102" s="32">
        <v>0.1</v>
      </c>
      <c r="BW2102" s="397"/>
      <c r="BX2102" s="397"/>
      <c r="BZ2102" s="397"/>
      <c r="CA2102" s="397"/>
      <c r="CE2102" s="550"/>
      <c r="CF2102" s="550"/>
      <c r="CG2102" s="550"/>
      <c r="CH2102" s="550"/>
      <c r="JB2102" s="304" t="s">
        <v>2083</v>
      </c>
      <c r="JC2102" s="239"/>
      <c r="JD2102" s="243"/>
    </row>
    <row r="2103" spans="1:264" s="32" customFormat="1" x14ac:dyDescent="0.25">
      <c r="A2103" s="238">
        <v>94</v>
      </c>
      <c r="B2103" s="546" t="s">
        <v>4214</v>
      </c>
      <c r="C2103" s="238" t="s">
        <v>768</v>
      </c>
      <c r="D2103" s="239" t="s">
        <v>2118</v>
      </c>
      <c r="E2103" s="238">
        <v>2006</v>
      </c>
      <c r="F2103" s="239">
        <v>2002</v>
      </c>
      <c r="G2103" s="238" t="s">
        <v>1749</v>
      </c>
      <c r="H2103" s="238" t="s">
        <v>2030</v>
      </c>
      <c r="I2103" s="238" t="s">
        <v>2815</v>
      </c>
      <c r="J2103" s="239">
        <v>32.9</v>
      </c>
      <c r="K2103" s="239">
        <v>-82.48</v>
      </c>
      <c r="L2103" s="304">
        <v>72</v>
      </c>
      <c r="M2103" s="304">
        <f t="shared" si="310"/>
        <v>18.616666666666667</v>
      </c>
      <c r="N2103" s="304">
        <f t="shared" si="311"/>
        <v>17.833333333333332</v>
      </c>
      <c r="O2103" s="304">
        <v>710</v>
      </c>
      <c r="P2103" s="304">
        <v>1150</v>
      </c>
      <c r="Q2103" s="239"/>
      <c r="R2103" s="304">
        <v>2</v>
      </c>
      <c r="S2103" s="240" t="s">
        <v>1728</v>
      </c>
      <c r="U2103" s="240" t="s">
        <v>1864</v>
      </c>
      <c r="V2103" s="241" t="s">
        <v>1394</v>
      </c>
      <c r="W2103" s="241">
        <v>5</v>
      </c>
      <c r="X2103" s="241" t="s">
        <v>1394</v>
      </c>
      <c r="Y2103" s="241" t="s">
        <v>1394</v>
      </c>
      <c r="Z2103" s="242">
        <v>1.08</v>
      </c>
      <c r="AA2103" s="374">
        <v>65</v>
      </c>
      <c r="AB2103" s="374">
        <v>25</v>
      </c>
      <c r="AC2103" s="239" t="s">
        <v>240</v>
      </c>
      <c r="AD2103" s="239">
        <v>6.25</v>
      </c>
      <c r="AE2103" s="239">
        <f t="shared" si="312"/>
        <v>1.1111111111111112</v>
      </c>
      <c r="AF2103" s="239"/>
      <c r="AG2103" s="238" t="s">
        <v>2029</v>
      </c>
      <c r="AH2103" s="304" t="s">
        <v>2116</v>
      </c>
      <c r="AI2103" s="239" t="s">
        <v>635</v>
      </c>
      <c r="AJ2103" s="304" t="s">
        <v>2027</v>
      </c>
      <c r="AK2103" s="239" t="s">
        <v>1646</v>
      </c>
      <c r="AL2103" s="239"/>
      <c r="AM2103" s="239"/>
      <c r="AN2103" s="239"/>
      <c r="AO2103" s="239"/>
      <c r="AP2103" s="239"/>
      <c r="AQ2103" s="239"/>
      <c r="AR2103" s="239"/>
      <c r="AS2103" s="304"/>
      <c r="AT2103" s="239"/>
      <c r="AU2103" s="239"/>
      <c r="AV2103" s="305"/>
      <c r="AW2103" s="239" t="s">
        <v>119</v>
      </c>
      <c r="AX2103" s="304">
        <v>4</v>
      </c>
      <c r="AY2103" s="304">
        <v>4</v>
      </c>
      <c r="AZ2103" s="239" t="s">
        <v>141</v>
      </c>
      <c r="BA2103" s="239"/>
      <c r="BD2103" s="239"/>
      <c r="BE2103" s="239"/>
      <c r="BK2103" s="304"/>
      <c r="BL2103" s="304"/>
      <c r="BM2103" s="239"/>
      <c r="BP2103" s="451">
        <v>1.06</v>
      </c>
      <c r="BQ2103" s="451">
        <v>1.05</v>
      </c>
      <c r="BR2103" s="32">
        <v>0.04</v>
      </c>
      <c r="BS2103" s="32">
        <v>0.1</v>
      </c>
      <c r="BW2103" s="397"/>
      <c r="BX2103" s="397"/>
      <c r="BZ2103" s="397"/>
      <c r="CA2103" s="397"/>
      <c r="CE2103" s="550"/>
      <c r="CF2103" s="550"/>
      <c r="CG2103" s="550"/>
      <c r="CH2103" s="550"/>
      <c r="JB2103" s="304" t="s">
        <v>2083</v>
      </c>
      <c r="JC2103" s="239"/>
      <c r="JD2103" s="243"/>
    </row>
    <row r="2104" spans="1:264" s="24" customFormat="1" x14ac:dyDescent="0.25">
      <c r="A2104" s="244">
        <v>94</v>
      </c>
      <c r="B2104" s="546" t="s">
        <v>4215</v>
      </c>
      <c r="C2104" s="244" t="s">
        <v>768</v>
      </c>
      <c r="D2104" s="245" t="s">
        <v>2118</v>
      </c>
      <c r="E2104" s="244">
        <v>2006</v>
      </c>
      <c r="F2104" s="245">
        <v>2002</v>
      </c>
      <c r="G2104" s="244" t="s">
        <v>1749</v>
      </c>
      <c r="H2104" s="244" t="s">
        <v>2030</v>
      </c>
      <c r="I2104" s="238" t="s">
        <v>2815</v>
      </c>
      <c r="J2104" s="245">
        <v>32.9</v>
      </c>
      <c r="K2104" s="245">
        <v>-82.48</v>
      </c>
      <c r="L2104" s="307">
        <v>72</v>
      </c>
      <c r="M2104" s="307">
        <v>18.616666666666667</v>
      </c>
      <c r="N2104" s="307">
        <v>17.833333333333332</v>
      </c>
      <c r="O2104" s="307">
        <v>710</v>
      </c>
      <c r="P2104" s="307">
        <v>1150</v>
      </c>
      <c r="Q2104" s="245"/>
      <c r="R2104" s="307">
        <v>2</v>
      </c>
      <c r="S2104" s="246" t="s">
        <v>1728</v>
      </c>
      <c r="U2104" s="246" t="s">
        <v>1864</v>
      </c>
      <c r="V2104" s="247" t="s">
        <v>1412</v>
      </c>
      <c r="W2104" s="247">
        <v>10</v>
      </c>
      <c r="X2104" s="247" t="s">
        <v>1412</v>
      </c>
      <c r="Y2104" s="247" t="s">
        <v>1412</v>
      </c>
      <c r="Z2104" s="248">
        <v>1.08</v>
      </c>
      <c r="AA2104" s="376">
        <v>65</v>
      </c>
      <c r="AB2104" s="376">
        <v>25</v>
      </c>
      <c r="AC2104" s="245" t="s">
        <v>240</v>
      </c>
      <c r="AD2104" s="245">
        <v>6.25</v>
      </c>
      <c r="AE2104" s="245">
        <v>1.1111111111111112</v>
      </c>
      <c r="AF2104" s="245"/>
      <c r="AG2104" s="244" t="s">
        <v>2029</v>
      </c>
      <c r="AH2104" s="307" t="s">
        <v>131</v>
      </c>
      <c r="AI2104" s="245" t="s">
        <v>1581</v>
      </c>
      <c r="AJ2104" s="307" t="s">
        <v>2027</v>
      </c>
      <c r="AK2104" s="245" t="s">
        <v>1646</v>
      </c>
      <c r="AL2104" s="245"/>
      <c r="AM2104" s="245"/>
      <c r="AN2104" s="245"/>
      <c r="AO2104" s="245"/>
      <c r="AP2104" s="245"/>
      <c r="AQ2104" s="245"/>
      <c r="AR2104" s="245"/>
      <c r="AS2104" s="307"/>
      <c r="AT2104" s="245"/>
      <c r="AU2104" s="245"/>
      <c r="AV2104" s="308"/>
      <c r="AW2104" s="245" t="s">
        <v>119</v>
      </c>
      <c r="AX2104" s="307">
        <v>4</v>
      </c>
      <c r="AY2104" s="307">
        <v>4</v>
      </c>
      <c r="AZ2104" s="245" t="s">
        <v>141</v>
      </c>
      <c r="BA2104" s="245"/>
      <c r="BB2104" s="245"/>
      <c r="BC2104" s="245"/>
      <c r="BD2104" s="245"/>
      <c r="BE2104" s="245"/>
      <c r="BK2104" s="307"/>
      <c r="BL2104" s="307"/>
      <c r="BM2104" s="245"/>
      <c r="BP2104" s="437">
        <v>1.1000000000000001</v>
      </c>
      <c r="BQ2104" s="437">
        <v>1.1000000000000001</v>
      </c>
      <c r="BR2104" s="24">
        <v>0.05</v>
      </c>
      <c r="BS2104" s="24">
        <v>0.01</v>
      </c>
      <c r="BW2104" s="395"/>
      <c r="BX2104" s="395"/>
      <c r="BZ2104" s="395"/>
      <c r="CA2104" s="395"/>
      <c r="CE2104" s="548"/>
      <c r="CF2104" s="548"/>
      <c r="CG2104" s="548"/>
      <c r="CH2104" s="548"/>
      <c r="JB2104" s="307" t="s">
        <v>2083</v>
      </c>
      <c r="JC2104" s="245"/>
      <c r="JD2104" s="249"/>
    </row>
    <row r="2105" spans="1:264" s="24" customFormat="1" x14ac:dyDescent="0.25">
      <c r="A2105" s="244">
        <v>94</v>
      </c>
      <c r="B2105" s="546" t="s">
        <v>4216</v>
      </c>
      <c r="C2105" s="244" t="s">
        <v>768</v>
      </c>
      <c r="D2105" s="245" t="s">
        <v>2118</v>
      </c>
      <c r="E2105" s="244">
        <v>2006</v>
      </c>
      <c r="F2105" s="245">
        <v>2002</v>
      </c>
      <c r="G2105" s="244" t="s">
        <v>1749</v>
      </c>
      <c r="H2105" s="244" t="s">
        <v>2030</v>
      </c>
      <c r="I2105" s="238" t="s">
        <v>2815</v>
      </c>
      <c r="J2105" s="245">
        <v>32.9</v>
      </c>
      <c r="K2105" s="245">
        <v>-82.48</v>
      </c>
      <c r="L2105" s="307">
        <v>72</v>
      </c>
      <c r="M2105" s="307">
        <v>18.616666666666667</v>
      </c>
      <c r="N2105" s="307">
        <v>17.833333333333332</v>
      </c>
      <c r="O2105" s="307">
        <v>710</v>
      </c>
      <c r="P2105" s="307">
        <v>1150</v>
      </c>
      <c r="Q2105" s="245"/>
      <c r="R2105" s="307">
        <v>2</v>
      </c>
      <c r="S2105" s="246" t="s">
        <v>1728</v>
      </c>
      <c r="U2105" s="246" t="s">
        <v>1864</v>
      </c>
      <c r="V2105" s="247" t="s">
        <v>1412</v>
      </c>
      <c r="W2105" s="247">
        <v>10</v>
      </c>
      <c r="X2105" s="247" t="s">
        <v>1412</v>
      </c>
      <c r="Y2105" s="247" t="s">
        <v>1412</v>
      </c>
      <c r="Z2105" s="248">
        <v>1.08</v>
      </c>
      <c r="AA2105" s="376">
        <v>65</v>
      </c>
      <c r="AB2105" s="376">
        <v>25</v>
      </c>
      <c r="AC2105" s="245" t="s">
        <v>240</v>
      </c>
      <c r="AD2105" s="245">
        <v>6.25</v>
      </c>
      <c r="AE2105" s="245">
        <v>1.1111111111111112</v>
      </c>
      <c r="AF2105" s="245"/>
      <c r="AG2105" s="244" t="s">
        <v>2029</v>
      </c>
      <c r="AH2105" s="307" t="s">
        <v>2117</v>
      </c>
      <c r="AI2105" s="245" t="s">
        <v>1583</v>
      </c>
      <c r="AJ2105" s="307" t="s">
        <v>2027</v>
      </c>
      <c r="AK2105" s="245" t="s">
        <v>1646</v>
      </c>
      <c r="AL2105" s="245"/>
      <c r="AM2105" s="245"/>
      <c r="AN2105" s="245"/>
      <c r="AO2105" s="245"/>
      <c r="AP2105" s="245"/>
      <c r="AQ2105" s="245"/>
      <c r="AR2105" s="245"/>
      <c r="AS2105" s="307"/>
      <c r="AT2105" s="245"/>
      <c r="AU2105" s="245"/>
      <c r="AV2105" s="308"/>
      <c r="AW2105" s="245" t="s">
        <v>119</v>
      </c>
      <c r="AX2105" s="307">
        <v>4</v>
      </c>
      <c r="AY2105" s="307">
        <v>4</v>
      </c>
      <c r="AZ2105" s="245" t="s">
        <v>141</v>
      </c>
      <c r="BA2105" s="245"/>
      <c r="BB2105" s="245"/>
      <c r="BC2105" s="245"/>
      <c r="BD2105" s="245"/>
      <c r="BE2105" s="245"/>
      <c r="BK2105" s="307"/>
      <c r="BL2105" s="307"/>
      <c r="BM2105" s="245"/>
      <c r="BP2105" s="437">
        <v>1.1000000000000001</v>
      </c>
      <c r="BQ2105" s="437">
        <v>1.08</v>
      </c>
      <c r="BR2105" s="24">
        <v>0.05</v>
      </c>
      <c r="BS2105" s="24">
        <v>7.0000000000000007E-2</v>
      </c>
      <c r="BW2105" s="395"/>
      <c r="BX2105" s="395"/>
      <c r="BZ2105" s="395"/>
      <c r="CA2105" s="395"/>
      <c r="CE2105" s="548"/>
      <c r="CF2105" s="548"/>
      <c r="CG2105" s="548"/>
      <c r="CH2105" s="548"/>
      <c r="JB2105" s="307" t="s">
        <v>2083</v>
      </c>
      <c r="JC2105" s="245"/>
      <c r="JD2105" s="249"/>
    </row>
    <row r="2106" spans="1:264" s="24" customFormat="1" x14ac:dyDescent="0.25">
      <c r="A2106" s="244">
        <v>94</v>
      </c>
      <c r="B2106" s="546" t="s">
        <v>4217</v>
      </c>
      <c r="C2106" s="244" t="s">
        <v>768</v>
      </c>
      <c r="D2106" s="245" t="s">
        <v>2118</v>
      </c>
      <c r="E2106" s="244">
        <v>2006</v>
      </c>
      <c r="F2106" s="245">
        <v>2002</v>
      </c>
      <c r="G2106" s="244" t="s">
        <v>1749</v>
      </c>
      <c r="H2106" s="244" t="s">
        <v>2030</v>
      </c>
      <c r="I2106" s="238" t="s">
        <v>2815</v>
      </c>
      <c r="J2106" s="245">
        <v>32.9</v>
      </c>
      <c r="K2106" s="245">
        <v>-82.48</v>
      </c>
      <c r="L2106" s="307">
        <v>72</v>
      </c>
      <c r="M2106" s="307">
        <v>18.616666666666667</v>
      </c>
      <c r="N2106" s="307">
        <v>17.833333333333332</v>
      </c>
      <c r="O2106" s="307">
        <v>710</v>
      </c>
      <c r="P2106" s="307">
        <v>1150</v>
      </c>
      <c r="Q2106" s="245"/>
      <c r="R2106" s="307">
        <v>2</v>
      </c>
      <c r="S2106" s="246" t="s">
        <v>1728</v>
      </c>
      <c r="U2106" s="246" t="s">
        <v>1864</v>
      </c>
      <c r="V2106" s="247" t="s">
        <v>1412</v>
      </c>
      <c r="W2106" s="247">
        <v>10</v>
      </c>
      <c r="X2106" s="247" t="s">
        <v>1412</v>
      </c>
      <c r="Y2106" s="247" t="s">
        <v>1412</v>
      </c>
      <c r="Z2106" s="248">
        <v>1.08</v>
      </c>
      <c r="AA2106" s="376">
        <v>65</v>
      </c>
      <c r="AB2106" s="376">
        <v>25</v>
      </c>
      <c r="AC2106" s="245" t="s">
        <v>240</v>
      </c>
      <c r="AD2106" s="245">
        <v>6.25</v>
      </c>
      <c r="AE2106" s="245">
        <v>1.1111111111111112</v>
      </c>
      <c r="AF2106" s="245"/>
      <c r="AG2106" s="244" t="s">
        <v>2029</v>
      </c>
      <c r="AH2106" s="307" t="s">
        <v>2116</v>
      </c>
      <c r="AI2106" s="245" t="s">
        <v>635</v>
      </c>
      <c r="AJ2106" s="307" t="s">
        <v>2027</v>
      </c>
      <c r="AK2106" s="245" t="s">
        <v>1646</v>
      </c>
      <c r="AL2106" s="245"/>
      <c r="AM2106" s="245"/>
      <c r="AN2106" s="245"/>
      <c r="AO2106" s="245"/>
      <c r="AP2106" s="245"/>
      <c r="AQ2106" s="245"/>
      <c r="AR2106" s="245"/>
      <c r="AS2106" s="307"/>
      <c r="AT2106" s="245"/>
      <c r="AU2106" s="245"/>
      <c r="AV2106" s="308"/>
      <c r="AW2106" s="245" t="s">
        <v>119</v>
      </c>
      <c r="AX2106" s="307">
        <v>4</v>
      </c>
      <c r="AY2106" s="307">
        <v>4</v>
      </c>
      <c r="AZ2106" s="245" t="s">
        <v>141</v>
      </c>
      <c r="BA2106" s="245"/>
      <c r="BB2106" s="245"/>
      <c r="BC2106" s="245"/>
      <c r="BD2106" s="245"/>
      <c r="BE2106" s="245"/>
      <c r="BK2106" s="307"/>
      <c r="BL2106" s="307"/>
      <c r="BM2106" s="245"/>
      <c r="BP2106" s="437">
        <v>1.1000000000000001</v>
      </c>
      <c r="BQ2106" s="437">
        <v>1.1000000000000001</v>
      </c>
      <c r="BR2106" s="24">
        <v>0.05</v>
      </c>
      <c r="BS2106" s="24">
        <v>0.05</v>
      </c>
      <c r="BW2106" s="395"/>
      <c r="BX2106" s="395"/>
      <c r="BZ2106" s="395"/>
      <c r="CA2106" s="395"/>
      <c r="CE2106" s="548"/>
      <c r="CF2106" s="548"/>
      <c r="CG2106" s="548"/>
      <c r="CH2106" s="548"/>
      <c r="JB2106" s="307" t="s">
        <v>2083</v>
      </c>
      <c r="JC2106" s="245"/>
      <c r="JD2106" s="249"/>
    </row>
    <row r="2107" spans="1:264" s="36" customFormat="1" x14ac:dyDescent="0.25">
      <c r="A2107" s="224">
        <v>95</v>
      </c>
      <c r="B2107" s="226" t="s">
        <v>4218</v>
      </c>
      <c r="C2107" s="224" t="s">
        <v>768</v>
      </c>
      <c r="D2107" s="224" t="s">
        <v>2118</v>
      </c>
      <c r="E2107" s="224">
        <v>2007</v>
      </c>
      <c r="F2107" s="224">
        <v>1998</v>
      </c>
      <c r="G2107" s="224" t="s">
        <v>1749</v>
      </c>
      <c r="H2107" s="224" t="s">
        <v>2119</v>
      </c>
      <c r="I2107" s="224" t="s">
        <v>2815</v>
      </c>
      <c r="J2107" s="224">
        <f t="shared" ref="J2107:J2118" si="313">48+48/60</f>
        <v>48.8</v>
      </c>
      <c r="K2107" s="224">
        <f t="shared" ref="K2107:K2118" si="314">-110-1/60</f>
        <v>-110.01666666666667</v>
      </c>
      <c r="L2107" s="224">
        <v>871.2</v>
      </c>
      <c r="M2107" s="224"/>
      <c r="N2107" s="224"/>
      <c r="O2107" s="224"/>
      <c r="P2107" s="224"/>
      <c r="Q2107" s="224"/>
      <c r="R2107" s="226" t="s">
        <v>1977</v>
      </c>
      <c r="S2107" s="226" t="s">
        <v>1734</v>
      </c>
      <c r="U2107" s="226" t="s">
        <v>2120</v>
      </c>
      <c r="V2107" s="226" t="s">
        <v>1379</v>
      </c>
      <c r="W2107" s="226" t="s">
        <v>1715</v>
      </c>
      <c r="X2107" s="226" t="s">
        <v>1394</v>
      </c>
      <c r="Y2107" s="226" t="s">
        <v>1379</v>
      </c>
      <c r="Z2107" s="224">
        <v>1.31</v>
      </c>
      <c r="AA2107" s="377">
        <v>53</v>
      </c>
      <c r="AB2107" s="377">
        <v>21</v>
      </c>
      <c r="AC2107" s="224" t="s">
        <v>518</v>
      </c>
      <c r="AD2107" s="224">
        <v>8.3000000000000007</v>
      </c>
      <c r="AE2107" s="224">
        <f t="shared" ref="AE2107:AE2118" si="315">20.5/(100*100*0.2*Z2107)*100</f>
        <v>0.78244274809160308</v>
      </c>
      <c r="AF2107" s="224"/>
      <c r="AG2107" s="224" t="s">
        <v>1339</v>
      </c>
      <c r="AH2107" s="224" t="s">
        <v>562</v>
      </c>
      <c r="AI2107" s="224" t="s">
        <v>577</v>
      </c>
      <c r="AJ2107" s="224" t="s">
        <v>116</v>
      </c>
      <c r="AK2107" s="224" t="s">
        <v>116</v>
      </c>
      <c r="AL2107" s="224"/>
      <c r="AM2107" s="224"/>
      <c r="AN2107" s="224"/>
      <c r="AO2107" s="224"/>
      <c r="AP2107" s="224"/>
      <c r="AQ2107" s="224"/>
      <c r="AR2107" s="224"/>
      <c r="AS2107" s="224"/>
      <c r="AT2107" s="224"/>
      <c r="AU2107" s="224"/>
      <c r="AV2107" s="224"/>
      <c r="AW2107" s="224" t="s">
        <v>119</v>
      </c>
      <c r="AX2107" s="224"/>
      <c r="AY2107" s="224"/>
      <c r="AZ2107" s="224" t="s">
        <v>2121</v>
      </c>
      <c r="BA2107" s="224"/>
      <c r="BB2107" s="224"/>
      <c r="BC2107" s="224"/>
      <c r="BD2107" s="224"/>
      <c r="BE2107" s="224"/>
      <c r="BF2107" s="36">
        <v>2820</v>
      </c>
      <c r="BG2107" s="36">
        <v>5390</v>
      </c>
      <c r="BJ2107" s="36" t="s">
        <v>2122</v>
      </c>
      <c r="BP2107" s="407"/>
      <c r="BQ2107" s="407"/>
      <c r="BW2107" s="441"/>
      <c r="BX2107" s="441"/>
      <c r="BZ2107" s="441"/>
      <c r="CA2107" s="441"/>
      <c r="CE2107" s="560"/>
      <c r="CF2107" s="560"/>
      <c r="CG2107" s="560"/>
      <c r="CH2107" s="560"/>
      <c r="JB2107" s="224"/>
      <c r="JC2107" s="224"/>
      <c r="JD2107" s="230"/>
    </row>
    <row r="2108" spans="1:264" s="36" customFormat="1" x14ac:dyDescent="0.25">
      <c r="A2108" s="224">
        <v>95</v>
      </c>
      <c r="B2108" s="226" t="s">
        <v>4218</v>
      </c>
      <c r="C2108" s="224" t="s">
        <v>768</v>
      </c>
      <c r="D2108" s="224" t="s">
        <v>2118</v>
      </c>
      <c r="E2108" s="224">
        <v>2007</v>
      </c>
      <c r="F2108" s="224">
        <v>1999</v>
      </c>
      <c r="G2108" s="224" t="s">
        <v>1749</v>
      </c>
      <c r="H2108" s="224" t="s">
        <v>2119</v>
      </c>
      <c r="I2108" s="224" t="s">
        <v>2815</v>
      </c>
      <c r="J2108" s="224">
        <f t="shared" si="313"/>
        <v>48.8</v>
      </c>
      <c r="K2108" s="224">
        <f t="shared" si="314"/>
        <v>-110.01666666666667</v>
      </c>
      <c r="L2108" s="224">
        <v>871.2</v>
      </c>
      <c r="M2108" s="224"/>
      <c r="N2108" s="224"/>
      <c r="O2108" s="224"/>
      <c r="P2108" s="224"/>
      <c r="Q2108" s="224"/>
      <c r="R2108" s="226" t="s">
        <v>1847</v>
      </c>
      <c r="S2108" s="226" t="s">
        <v>1734</v>
      </c>
      <c r="U2108" s="226" t="s">
        <v>2120</v>
      </c>
      <c r="V2108" s="226" t="s">
        <v>1379</v>
      </c>
      <c r="W2108" s="226" t="s">
        <v>1715</v>
      </c>
      <c r="X2108" s="226" t="s">
        <v>1394</v>
      </c>
      <c r="Y2108" s="226" t="s">
        <v>1379</v>
      </c>
      <c r="Z2108" s="224">
        <v>1.31</v>
      </c>
      <c r="AA2108" s="377">
        <v>53</v>
      </c>
      <c r="AB2108" s="377">
        <v>21</v>
      </c>
      <c r="AC2108" s="224" t="s">
        <v>518</v>
      </c>
      <c r="AD2108" s="224">
        <v>8.3000000000000007</v>
      </c>
      <c r="AE2108" s="224">
        <f t="shared" si="315"/>
        <v>0.78244274809160308</v>
      </c>
      <c r="AF2108" s="224"/>
      <c r="AG2108" s="224" t="s">
        <v>1339</v>
      </c>
      <c r="AH2108" s="224" t="s">
        <v>562</v>
      </c>
      <c r="AI2108" s="224" t="s">
        <v>577</v>
      </c>
      <c r="AJ2108" s="224" t="s">
        <v>116</v>
      </c>
      <c r="AK2108" s="224" t="s">
        <v>116</v>
      </c>
      <c r="AL2108" s="224"/>
      <c r="AM2108" s="224"/>
      <c r="AN2108" s="224"/>
      <c r="AO2108" s="224"/>
      <c r="AP2108" s="224"/>
      <c r="AQ2108" s="224"/>
      <c r="AR2108" s="224"/>
      <c r="AS2108" s="224"/>
      <c r="AT2108" s="224"/>
      <c r="AU2108" s="224"/>
      <c r="AV2108" s="224"/>
      <c r="AW2108" s="224" t="s">
        <v>119</v>
      </c>
      <c r="AX2108" s="224"/>
      <c r="AY2108" s="224"/>
      <c r="AZ2108" s="224" t="s">
        <v>2121</v>
      </c>
      <c r="BA2108" s="224"/>
      <c r="BB2108" s="224"/>
      <c r="BC2108" s="224"/>
      <c r="BD2108" s="224"/>
      <c r="BE2108" s="224"/>
      <c r="BF2108" s="36">
        <v>3060</v>
      </c>
      <c r="BG2108" s="36">
        <v>2020</v>
      </c>
      <c r="BJ2108" s="36" t="s">
        <v>2122</v>
      </c>
      <c r="BP2108" s="407"/>
      <c r="BQ2108" s="407"/>
      <c r="BW2108" s="441"/>
      <c r="BX2108" s="441"/>
      <c r="BZ2108" s="441"/>
      <c r="CA2108" s="441"/>
      <c r="CE2108" s="560"/>
      <c r="CF2108" s="560"/>
      <c r="CG2108" s="560"/>
      <c r="CH2108" s="560"/>
      <c r="JB2108" s="224"/>
      <c r="JC2108" s="224"/>
      <c r="JD2108" s="230"/>
    </row>
    <row r="2109" spans="1:264" s="36" customFormat="1" x14ac:dyDescent="0.25">
      <c r="A2109" s="224">
        <v>95</v>
      </c>
      <c r="B2109" s="226" t="s">
        <v>4218</v>
      </c>
      <c r="C2109" s="224" t="s">
        <v>768</v>
      </c>
      <c r="D2109" s="224" t="s">
        <v>2118</v>
      </c>
      <c r="E2109" s="224">
        <v>2007</v>
      </c>
      <c r="F2109" s="224">
        <v>2000</v>
      </c>
      <c r="G2109" s="224" t="s">
        <v>1749</v>
      </c>
      <c r="H2109" s="224" t="s">
        <v>2119</v>
      </c>
      <c r="I2109" s="224" t="s">
        <v>2815</v>
      </c>
      <c r="J2109" s="224">
        <f t="shared" si="313"/>
        <v>48.8</v>
      </c>
      <c r="K2109" s="224">
        <f t="shared" si="314"/>
        <v>-110.01666666666667</v>
      </c>
      <c r="L2109" s="224">
        <v>871.2</v>
      </c>
      <c r="M2109" s="224"/>
      <c r="N2109" s="224"/>
      <c r="O2109" s="224"/>
      <c r="P2109" s="224"/>
      <c r="Q2109" s="224"/>
      <c r="R2109" s="226" t="s">
        <v>1728</v>
      </c>
      <c r="S2109" s="226" t="s">
        <v>1734</v>
      </c>
      <c r="U2109" s="226" t="s">
        <v>2120</v>
      </c>
      <c r="V2109" s="226" t="s">
        <v>1379</v>
      </c>
      <c r="W2109" s="226" t="s">
        <v>1715</v>
      </c>
      <c r="X2109" s="226" t="s">
        <v>1394</v>
      </c>
      <c r="Y2109" s="226" t="s">
        <v>1379</v>
      </c>
      <c r="Z2109" s="224">
        <v>1.31</v>
      </c>
      <c r="AA2109" s="377">
        <v>53</v>
      </c>
      <c r="AB2109" s="377">
        <v>21</v>
      </c>
      <c r="AC2109" s="224" t="s">
        <v>518</v>
      </c>
      <c r="AD2109" s="224">
        <v>8.3000000000000007</v>
      </c>
      <c r="AE2109" s="224">
        <f t="shared" si="315"/>
        <v>0.78244274809160308</v>
      </c>
      <c r="AF2109" s="224"/>
      <c r="AG2109" s="224" t="s">
        <v>1339</v>
      </c>
      <c r="AH2109" s="224" t="s">
        <v>562</v>
      </c>
      <c r="AI2109" s="224" t="s">
        <v>577</v>
      </c>
      <c r="AJ2109" s="224" t="s">
        <v>116</v>
      </c>
      <c r="AK2109" s="224" t="s">
        <v>116</v>
      </c>
      <c r="AL2109" s="224"/>
      <c r="AM2109" s="224"/>
      <c r="AN2109" s="224"/>
      <c r="AO2109" s="224"/>
      <c r="AP2109" s="224"/>
      <c r="AQ2109" s="224"/>
      <c r="AR2109" s="224"/>
      <c r="AS2109" s="224"/>
      <c r="AT2109" s="224"/>
      <c r="AU2109" s="224"/>
      <c r="AV2109" s="224"/>
      <c r="AW2109" s="224" t="s">
        <v>119</v>
      </c>
      <c r="AX2109" s="224"/>
      <c r="AY2109" s="224"/>
      <c r="AZ2109" s="224" t="s">
        <v>2121</v>
      </c>
      <c r="BA2109" s="224"/>
      <c r="BB2109" s="224"/>
      <c r="BC2109" s="224"/>
      <c r="BD2109" s="224"/>
      <c r="BE2109" s="224"/>
      <c r="BF2109" s="36">
        <v>1390</v>
      </c>
      <c r="BG2109" s="36">
        <v>1660</v>
      </c>
      <c r="BJ2109" s="36" t="s">
        <v>2122</v>
      </c>
      <c r="BP2109" s="407"/>
      <c r="BQ2109" s="407"/>
      <c r="BW2109" s="441"/>
      <c r="BX2109" s="441"/>
      <c r="BZ2109" s="441"/>
      <c r="CA2109" s="441"/>
      <c r="CE2109" s="560"/>
      <c r="CF2109" s="560"/>
      <c r="CG2109" s="560"/>
      <c r="CH2109" s="560"/>
      <c r="JB2109" s="224"/>
      <c r="JC2109" s="224"/>
      <c r="JD2109" s="230"/>
    </row>
    <row r="2110" spans="1:264" s="36" customFormat="1" x14ac:dyDescent="0.25">
      <c r="A2110" s="224">
        <v>95</v>
      </c>
      <c r="B2110" s="226" t="s">
        <v>4218</v>
      </c>
      <c r="C2110" s="224" t="s">
        <v>768</v>
      </c>
      <c r="D2110" s="224" t="s">
        <v>2118</v>
      </c>
      <c r="E2110" s="224">
        <v>2007</v>
      </c>
      <c r="F2110" s="224">
        <v>2001</v>
      </c>
      <c r="G2110" s="224" t="s">
        <v>1749</v>
      </c>
      <c r="H2110" s="224" t="s">
        <v>2119</v>
      </c>
      <c r="I2110" s="224" t="s">
        <v>2815</v>
      </c>
      <c r="J2110" s="224">
        <f t="shared" si="313"/>
        <v>48.8</v>
      </c>
      <c r="K2110" s="224">
        <f t="shared" si="314"/>
        <v>-110.01666666666667</v>
      </c>
      <c r="L2110" s="224">
        <v>871.2</v>
      </c>
      <c r="M2110" s="224"/>
      <c r="N2110" s="224"/>
      <c r="O2110" s="224"/>
      <c r="P2110" s="224"/>
      <c r="Q2110" s="224"/>
      <c r="R2110" s="226" t="s">
        <v>1858</v>
      </c>
      <c r="S2110" s="226" t="s">
        <v>1734</v>
      </c>
      <c r="U2110" s="226" t="s">
        <v>2120</v>
      </c>
      <c r="V2110" s="226" t="s">
        <v>1379</v>
      </c>
      <c r="W2110" s="226" t="s">
        <v>1715</v>
      </c>
      <c r="X2110" s="226" t="s">
        <v>1394</v>
      </c>
      <c r="Y2110" s="226" t="s">
        <v>1379</v>
      </c>
      <c r="Z2110" s="224">
        <v>1.31</v>
      </c>
      <c r="AA2110" s="377">
        <v>53</v>
      </c>
      <c r="AB2110" s="377">
        <v>21</v>
      </c>
      <c r="AC2110" s="224" t="s">
        <v>518</v>
      </c>
      <c r="AD2110" s="224">
        <v>8.3000000000000007</v>
      </c>
      <c r="AE2110" s="224">
        <f t="shared" si="315"/>
        <v>0.78244274809160308</v>
      </c>
      <c r="AF2110" s="224"/>
      <c r="AG2110" s="224" t="s">
        <v>1339</v>
      </c>
      <c r="AH2110" s="224" t="s">
        <v>562</v>
      </c>
      <c r="AI2110" s="224" t="s">
        <v>577</v>
      </c>
      <c r="AJ2110" s="224" t="s">
        <v>116</v>
      </c>
      <c r="AK2110" s="224" t="s">
        <v>116</v>
      </c>
      <c r="AL2110" s="224"/>
      <c r="AM2110" s="224"/>
      <c r="AN2110" s="224"/>
      <c r="AO2110" s="224"/>
      <c r="AP2110" s="224"/>
      <c r="AQ2110" s="224"/>
      <c r="AR2110" s="224"/>
      <c r="AS2110" s="224"/>
      <c r="AT2110" s="224"/>
      <c r="AU2110" s="224"/>
      <c r="AV2110" s="224"/>
      <c r="AW2110" s="224" t="s">
        <v>119</v>
      </c>
      <c r="AX2110" s="224"/>
      <c r="AY2110" s="224"/>
      <c r="AZ2110" s="224" t="s">
        <v>2121</v>
      </c>
      <c r="BA2110" s="224"/>
      <c r="BB2110" s="224"/>
      <c r="BC2110" s="224"/>
      <c r="BD2110" s="224"/>
      <c r="BE2110" s="224"/>
      <c r="BF2110" s="36">
        <v>630</v>
      </c>
      <c r="BG2110" s="36">
        <v>210</v>
      </c>
      <c r="BJ2110" s="36" t="s">
        <v>2122</v>
      </c>
      <c r="BP2110" s="407"/>
      <c r="BQ2110" s="407"/>
      <c r="BW2110" s="441"/>
      <c r="BX2110" s="441"/>
      <c r="BZ2110" s="441"/>
      <c r="CA2110" s="441"/>
      <c r="CE2110" s="560"/>
      <c r="CF2110" s="560"/>
      <c r="CG2110" s="560"/>
      <c r="CH2110" s="560"/>
      <c r="JB2110" s="224"/>
      <c r="JC2110" s="224"/>
      <c r="JD2110" s="230"/>
    </row>
    <row r="2111" spans="1:264" s="36" customFormat="1" x14ac:dyDescent="0.25">
      <c r="A2111" s="224">
        <v>95</v>
      </c>
      <c r="B2111" s="226" t="s">
        <v>4218</v>
      </c>
      <c r="C2111" s="224" t="s">
        <v>768</v>
      </c>
      <c r="D2111" s="224" t="s">
        <v>2118</v>
      </c>
      <c r="E2111" s="224">
        <v>2007</v>
      </c>
      <c r="F2111" s="224">
        <v>2002</v>
      </c>
      <c r="G2111" s="224" t="s">
        <v>1749</v>
      </c>
      <c r="H2111" s="224" t="s">
        <v>2119</v>
      </c>
      <c r="I2111" s="224" t="s">
        <v>2815</v>
      </c>
      <c r="J2111" s="224">
        <f t="shared" si="313"/>
        <v>48.8</v>
      </c>
      <c r="K2111" s="224">
        <f t="shared" si="314"/>
        <v>-110.01666666666667</v>
      </c>
      <c r="L2111" s="224">
        <v>871.2</v>
      </c>
      <c r="M2111" s="224"/>
      <c r="N2111" s="224"/>
      <c r="O2111" s="224"/>
      <c r="P2111" s="224"/>
      <c r="Q2111" s="224"/>
      <c r="R2111" s="226" t="s">
        <v>1722</v>
      </c>
      <c r="S2111" s="226" t="s">
        <v>1734</v>
      </c>
      <c r="U2111" s="226" t="s">
        <v>2120</v>
      </c>
      <c r="V2111" s="226" t="s">
        <v>1379</v>
      </c>
      <c r="W2111" s="226" t="s">
        <v>1715</v>
      </c>
      <c r="X2111" s="226" t="s">
        <v>1394</v>
      </c>
      <c r="Y2111" s="226" t="s">
        <v>1379</v>
      </c>
      <c r="Z2111" s="224">
        <v>1.31</v>
      </c>
      <c r="AA2111" s="377">
        <v>53</v>
      </c>
      <c r="AB2111" s="377">
        <v>21</v>
      </c>
      <c r="AC2111" s="224" t="s">
        <v>518</v>
      </c>
      <c r="AD2111" s="224">
        <v>8.3000000000000007</v>
      </c>
      <c r="AE2111" s="224">
        <f t="shared" si="315"/>
        <v>0.78244274809160308</v>
      </c>
      <c r="AF2111" s="224"/>
      <c r="AG2111" s="224" t="s">
        <v>1339</v>
      </c>
      <c r="AH2111" s="224" t="s">
        <v>562</v>
      </c>
      <c r="AI2111" s="224" t="s">
        <v>577</v>
      </c>
      <c r="AJ2111" s="224" t="s">
        <v>116</v>
      </c>
      <c r="AK2111" s="224" t="s">
        <v>116</v>
      </c>
      <c r="AL2111" s="224"/>
      <c r="AM2111" s="224"/>
      <c r="AN2111" s="224"/>
      <c r="AO2111" s="224"/>
      <c r="AP2111" s="224"/>
      <c r="AQ2111" s="224"/>
      <c r="AR2111" s="224"/>
      <c r="AS2111" s="224"/>
      <c r="AT2111" s="224"/>
      <c r="AU2111" s="224"/>
      <c r="AV2111" s="224"/>
      <c r="AW2111" s="224" t="s">
        <v>119</v>
      </c>
      <c r="AX2111" s="224"/>
      <c r="AY2111" s="224"/>
      <c r="AZ2111" s="224" t="s">
        <v>2121</v>
      </c>
      <c r="BA2111" s="224"/>
      <c r="BB2111" s="224"/>
      <c r="BC2111" s="224"/>
      <c r="BD2111" s="224"/>
      <c r="BE2111" s="224"/>
      <c r="BF2111" s="36">
        <v>1240</v>
      </c>
      <c r="BG2111" s="36">
        <v>2250</v>
      </c>
      <c r="BJ2111" s="36" t="s">
        <v>2122</v>
      </c>
      <c r="BP2111" s="407"/>
      <c r="BQ2111" s="407"/>
      <c r="BW2111" s="441"/>
      <c r="BX2111" s="441"/>
      <c r="BZ2111" s="441"/>
      <c r="CA2111" s="441"/>
      <c r="CE2111" s="560"/>
      <c r="CF2111" s="560"/>
      <c r="CG2111" s="560"/>
      <c r="CH2111" s="560"/>
      <c r="JB2111" s="224"/>
      <c r="JC2111" s="224"/>
      <c r="JD2111" s="230"/>
    </row>
    <row r="2112" spans="1:264" s="36" customFormat="1" x14ac:dyDescent="0.25">
      <c r="A2112" s="224">
        <v>95</v>
      </c>
      <c r="B2112" s="226" t="s">
        <v>4218</v>
      </c>
      <c r="C2112" s="224" t="s">
        <v>768</v>
      </c>
      <c r="D2112" s="224" t="s">
        <v>2118</v>
      </c>
      <c r="E2112" s="224">
        <v>2007</v>
      </c>
      <c r="F2112" s="224">
        <v>2003</v>
      </c>
      <c r="G2112" s="224" t="s">
        <v>1749</v>
      </c>
      <c r="H2112" s="224" t="s">
        <v>2119</v>
      </c>
      <c r="I2112" s="224" t="s">
        <v>2815</v>
      </c>
      <c r="J2112" s="224">
        <f t="shared" si="313"/>
        <v>48.8</v>
      </c>
      <c r="K2112" s="224">
        <f t="shared" si="314"/>
        <v>-110.01666666666667</v>
      </c>
      <c r="L2112" s="224">
        <v>871.2</v>
      </c>
      <c r="M2112" s="224"/>
      <c r="N2112" s="224"/>
      <c r="O2112" s="224"/>
      <c r="P2112" s="224"/>
      <c r="Q2112" s="224"/>
      <c r="R2112" s="226" t="s">
        <v>1843</v>
      </c>
      <c r="S2112" s="226" t="s">
        <v>1734</v>
      </c>
      <c r="U2112" s="226" t="s">
        <v>2120</v>
      </c>
      <c r="V2112" s="226" t="s">
        <v>1379</v>
      </c>
      <c r="W2112" s="226" t="s">
        <v>1715</v>
      </c>
      <c r="X2112" s="226" t="s">
        <v>1394</v>
      </c>
      <c r="Y2112" s="226" t="s">
        <v>1379</v>
      </c>
      <c r="Z2112" s="224">
        <v>1.31</v>
      </c>
      <c r="AA2112" s="377">
        <v>53</v>
      </c>
      <c r="AB2112" s="377">
        <v>21</v>
      </c>
      <c r="AC2112" s="224" t="s">
        <v>518</v>
      </c>
      <c r="AD2112" s="224">
        <v>8.3000000000000007</v>
      </c>
      <c r="AE2112" s="224">
        <f t="shared" si="315"/>
        <v>0.78244274809160308</v>
      </c>
      <c r="AF2112" s="224"/>
      <c r="AG2112" s="224" t="s">
        <v>1339</v>
      </c>
      <c r="AH2112" s="224" t="s">
        <v>562</v>
      </c>
      <c r="AI2112" s="224" t="s">
        <v>577</v>
      </c>
      <c r="AJ2112" s="224" t="s">
        <v>116</v>
      </c>
      <c r="AK2112" s="224" t="s">
        <v>116</v>
      </c>
      <c r="AL2112" s="224"/>
      <c r="AM2112" s="224"/>
      <c r="AN2112" s="224"/>
      <c r="AO2112" s="224"/>
      <c r="AP2112" s="224"/>
      <c r="AQ2112" s="224"/>
      <c r="AR2112" s="224"/>
      <c r="AS2112" s="224"/>
      <c r="AT2112" s="224"/>
      <c r="AU2112" s="224"/>
      <c r="AV2112" s="224"/>
      <c r="AW2112" s="224" t="s">
        <v>119</v>
      </c>
      <c r="AX2112" s="224"/>
      <c r="AY2112" s="224"/>
      <c r="AZ2112" s="224" t="s">
        <v>2121</v>
      </c>
      <c r="BA2112" s="224"/>
      <c r="BB2112" s="224"/>
      <c r="BC2112" s="224"/>
      <c r="BD2112" s="224"/>
      <c r="BE2112" s="224"/>
      <c r="BF2112" s="36">
        <v>1540</v>
      </c>
      <c r="BG2112" s="36">
        <v>880</v>
      </c>
      <c r="BJ2112" s="36" t="s">
        <v>2122</v>
      </c>
      <c r="BP2112" s="407"/>
      <c r="BQ2112" s="407"/>
      <c r="BW2112" s="441"/>
      <c r="BX2112" s="441"/>
      <c r="BZ2112" s="441"/>
      <c r="CA2112" s="441"/>
      <c r="CE2112" s="560"/>
      <c r="CF2112" s="560"/>
      <c r="CG2112" s="560"/>
      <c r="CH2112" s="560"/>
      <c r="JB2112" s="224"/>
      <c r="JC2112" s="224"/>
      <c r="JD2112" s="230"/>
    </row>
    <row r="2113" spans="1:264" s="284" customFormat="1" x14ac:dyDescent="0.25">
      <c r="A2113" s="278">
        <v>95</v>
      </c>
      <c r="B2113" s="280" t="s">
        <v>4219</v>
      </c>
      <c r="C2113" s="278" t="s">
        <v>768</v>
      </c>
      <c r="D2113" s="278" t="s">
        <v>2118</v>
      </c>
      <c r="E2113" s="278">
        <v>2007</v>
      </c>
      <c r="F2113" s="278">
        <v>2000</v>
      </c>
      <c r="G2113" s="278" t="s">
        <v>1749</v>
      </c>
      <c r="H2113" s="278" t="s">
        <v>2119</v>
      </c>
      <c r="I2113" s="224" t="s">
        <v>2815</v>
      </c>
      <c r="J2113" s="278">
        <f t="shared" si="313"/>
        <v>48.8</v>
      </c>
      <c r="K2113" s="278">
        <f t="shared" si="314"/>
        <v>-110.01666666666667</v>
      </c>
      <c r="L2113" s="278">
        <v>871.2</v>
      </c>
      <c r="M2113" s="278"/>
      <c r="N2113" s="278"/>
      <c r="O2113" s="278"/>
      <c r="P2113" s="278"/>
      <c r="Q2113" s="278"/>
      <c r="R2113" s="280" t="s">
        <v>1728</v>
      </c>
      <c r="S2113" s="280" t="s">
        <v>1734</v>
      </c>
      <c r="U2113" s="280" t="s">
        <v>2120</v>
      </c>
      <c r="V2113" s="280" t="s">
        <v>1394</v>
      </c>
      <c r="W2113" s="280" t="s">
        <v>1722</v>
      </c>
      <c r="X2113" s="280" t="s">
        <v>1394</v>
      </c>
      <c r="Y2113" s="280" t="s">
        <v>1379</v>
      </c>
      <c r="Z2113" s="278">
        <v>1.31</v>
      </c>
      <c r="AA2113" s="370">
        <v>53</v>
      </c>
      <c r="AB2113" s="370">
        <v>21</v>
      </c>
      <c r="AC2113" s="278" t="s">
        <v>518</v>
      </c>
      <c r="AD2113" s="278">
        <v>8.3000000000000007</v>
      </c>
      <c r="AE2113" s="278">
        <f t="shared" si="315"/>
        <v>0.78244274809160308</v>
      </c>
      <c r="AF2113" s="278"/>
      <c r="AG2113" s="278" t="s">
        <v>1339</v>
      </c>
      <c r="AH2113" s="278" t="s">
        <v>562</v>
      </c>
      <c r="AI2113" s="278" t="s">
        <v>577</v>
      </c>
      <c r="AJ2113" s="278" t="s">
        <v>116</v>
      </c>
      <c r="AK2113" s="278" t="s">
        <v>116</v>
      </c>
      <c r="AL2113" s="278"/>
      <c r="AM2113" s="278"/>
      <c r="AN2113" s="278"/>
      <c r="AO2113" s="278" t="s">
        <v>2125</v>
      </c>
      <c r="AP2113" s="278" t="s">
        <v>2125</v>
      </c>
      <c r="AQ2113" s="278" t="s">
        <v>2125</v>
      </c>
      <c r="AR2113" s="278" t="s">
        <v>2125</v>
      </c>
      <c r="AS2113" s="278" t="s">
        <v>177</v>
      </c>
      <c r="AT2113" s="278"/>
      <c r="AU2113" s="278"/>
      <c r="AV2113" s="278"/>
      <c r="AW2113" s="278" t="s">
        <v>119</v>
      </c>
      <c r="AX2113" s="278"/>
      <c r="AY2113" s="278"/>
      <c r="AZ2113" s="278" t="s">
        <v>2121</v>
      </c>
      <c r="BA2113" s="278"/>
      <c r="BB2113" s="278"/>
      <c r="BC2113" s="278"/>
      <c r="BD2113" s="278"/>
      <c r="BE2113" s="278"/>
      <c r="BP2113" s="452"/>
      <c r="BQ2113" s="452"/>
      <c r="BW2113" s="446"/>
      <c r="BX2113" s="446"/>
      <c r="BZ2113" s="446"/>
      <c r="CA2113" s="446"/>
      <c r="CE2113" s="590"/>
      <c r="CF2113" s="590"/>
      <c r="CG2113" s="590"/>
      <c r="CH2113" s="590"/>
      <c r="CJ2113" s="284">
        <v>0.62</v>
      </c>
      <c r="CK2113" s="284">
        <v>0.66</v>
      </c>
      <c r="CN2113" s="284" t="s">
        <v>2124</v>
      </c>
      <c r="HJ2113" s="284">
        <v>5.9</v>
      </c>
      <c r="HK2113" s="284">
        <v>22.2</v>
      </c>
      <c r="HN2113" s="284" t="s">
        <v>569</v>
      </c>
      <c r="IN2113" s="284">
        <f>312.5/(100*100*0.05*Z2113)*1000</f>
        <v>477.09923664122141</v>
      </c>
      <c r="IO2113" s="284">
        <f>334.87/(100*100*0.05*Z2113)*1000</f>
        <v>511.25190839694659</v>
      </c>
      <c r="IR2113" s="284" t="s">
        <v>2123</v>
      </c>
      <c r="IS2113" s="284">
        <v>37</v>
      </c>
      <c r="IT2113" s="284">
        <v>49</v>
      </c>
      <c r="IW2113" s="284" t="s">
        <v>179</v>
      </c>
      <c r="JB2113" s="278"/>
      <c r="JC2113" s="278"/>
      <c r="JD2113" s="285"/>
    </row>
    <row r="2114" spans="1:264" s="284" customFormat="1" x14ac:dyDescent="0.25">
      <c r="A2114" s="278">
        <v>95</v>
      </c>
      <c r="B2114" s="280" t="s">
        <v>4220</v>
      </c>
      <c r="C2114" s="278" t="s">
        <v>768</v>
      </c>
      <c r="D2114" s="278" t="s">
        <v>2118</v>
      </c>
      <c r="E2114" s="278">
        <v>2007</v>
      </c>
      <c r="F2114" s="278">
        <v>2000</v>
      </c>
      <c r="G2114" s="278" t="s">
        <v>1749</v>
      </c>
      <c r="H2114" s="278" t="s">
        <v>2119</v>
      </c>
      <c r="I2114" s="224" t="s">
        <v>2815</v>
      </c>
      <c r="J2114" s="278">
        <f t="shared" si="313"/>
        <v>48.8</v>
      </c>
      <c r="K2114" s="278">
        <f t="shared" si="314"/>
        <v>-110.01666666666667</v>
      </c>
      <c r="L2114" s="278">
        <v>871.2</v>
      </c>
      <c r="M2114" s="278"/>
      <c r="N2114" s="278"/>
      <c r="O2114" s="278"/>
      <c r="P2114" s="278"/>
      <c r="Q2114" s="278"/>
      <c r="R2114" s="280" t="s">
        <v>1728</v>
      </c>
      <c r="S2114" s="280" t="s">
        <v>1734</v>
      </c>
      <c r="U2114" s="280" t="s">
        <v>2120</v>
      </c>
      <c r="V2114" s="280" t="s">
        <v>1414</v>
      </c>
      <c r="W2114" s="280" t="s">
        <v>1717</v>
      </c>
      <c r="X2114" s="280" t="s">
        <v>1394</v>
      </c>
      <c r="Y2114" s="280" t="s">
        <v>1379</v>
      </c>
      <c r="Z2114" s="278">
        <v>1.31</v>
      </c>
      <c r="AA2114" s="370">
        <v>53</v>
      </c>
      <c r="AB2114" s="370">
        <v>21</v>
      </c>
      <c r="AC2114" s="278" t="s">
        <v>518</v>
      </c>
      <c r="AD2114" s="278">
        <v>8.3000000000000007</v>
      </c>
      <c r="AE2114" s="278">
        <f t="shared" si="315"/>
        <v>0.78244274809160308</v>
      </c>
      <c r="AF2114" s="278"/>
      <c r="AG2114" s="278" t="s">
        <v>1339</v>
      </c>
      <c r="AH2114" s="278" t="s">
        <v>562</v>
      </c>
      <c r="AI2114" s="278" t="s">
        <v>577</v>
      </c>
      <c r="AJ2114" s="278" t="s">
        <v>116</v>
      </c>
      <c r="AK2114" s="278" t="s">
        <v>116</v>
      </c>
      <c r="AL2114" s="278"/>
      <c r="AM2114" s="278"/>
      <c r="AN2114" s="278"/>
      <c r="AO2114" s="278" t="s">
        <v>2125</v>
      </c>
      <c r="AP2114" s="278" t="s">
        <v>2125</v>
      </c>
      <c r="AQ2114" s="278" t="s">
        <v>2125</v>
      </c>
      <c r="AR2114" s="278" t="s">
        <v>2125</v>
      </c>
      <c r="AS2114" s="278" t="s">
        <v>177</v>
      </c>
      <c r="AT2114" s="278"/>
      <c r="AU2114" s="278"/>
      <c r="AV2114" s="278"/>
      <c r="AW2114" s="278" t="s">
        <v>119</v>
      </c>
      <c r="AX2114" s="278"/>
      <c r="AY2114" s="278"/>
      <c r="AZ2114" s="278" t="s">
        <v>2121</v>
      </c>
      <c r="BA2114" s="278"/>
      <c r="BB2114" s="278"/>
      <c r="BC2114" s="278"/>
      <c r="BD2114" s="278"/>
      <c r="BE2114" s="278"/>
      <c r="BP2114" s="452"/>
      <c r="BQ2114" s="452"/>
      <c r="BW2114" s="446"/>
      <c r="BX2114" s="446"/>
      <c r="BZ2114" s="446"/>
      <c r="CA2114" s="446"/>
      <c r="CE2114" s="590"/>
      <c r="CF2114" s="590"/>
      <c r="CG2114" s="590"/>
      <c r="CH2114" s="590"/>
      <c r="CJ2114" s="284">
        <v>1.7</v>
      </c>
      <c r="CK2114" s="284">
        <v>2.21</v>
      </c>
      <c r="CN2114" s="284" t="s">
        <v>2124</v>
      </c>
      <c r="HJ2114" s="284">
        <v>11</v>
      </c>
      <c r="HK2114" s="284">
        <v>2.9</v>
      </c>
      <c r="HN2114" s="284" t="s">
        <v>569</v>
      </c>
      <c r="IS2114" s="284">
        <v>67.900000000000006</v>
      </c>
      <c r="IT2114" s="284">
        <v>18.5</v>
      </c>
      <c r="IW2114" s="284" t="s">
        <v>179</v>
      </c>
      <c r="JB2114" s="278"/>
      <c r="JC2114" s="278"/>
      <c r="JD2114" s="285"/>
    </row>
    <row r="2115" spans="1:264" s="36" customFormat="1" x14ac:dyDescent="0.25">
      <c r="A2115" s="224">
        <v>95</v>
      </c>
      <c r="B2115" s="226" t="s">
        <v>4218</v>
      </c>
      <c r="C2115" s="224" t="s">
        <v>768</v>
      </c>
      <c r="D2115" s="224" t="s">
        <v>2118</v>
      </c>
      <c r="E2115" s="224">
        <v>2007</v>
      </c>
      <c r="F2115" s="224">
        <v>2000</v>
      </c>
      <c r="G2115" s="224" t="s">
        <v>1749</v>
      </c>
      <c r="H2115" s="224" t="s">
        <v>2119</v>
      </c>
      <c r="I2115" s="224" t="s">
        <v>2815</v>
      </c>
      <c r="J2115" s="224">
        <f t="shared" si="313"/>
        <v>48.8</v>
      </c>
      <c r="K2115" s="224">
        <f t="shared" si="314"/>
        <v>-110.01666666666667</v>
      </c>
      <c r="L2115" s="224">
        <v>871.2</v>
      </c>
      <c r="M2115" s="224"/>
      <c r="N2115" s="224"/>
      <c r="O2115" s="224"/>
      <c r="P2115" s="224"/>
      <c r="Q2115" s="224"/>
      <c r="R2115" s="226" t="s">
        <v>1728</v>
      </c>
      <c r="S2115" s="226" t="s">
        <v>1734</v>
      </c>
      <c r="U2115" s="226" t="s">
        <v>2120</v>
      </c>
      <c r="V2115" s="226" t="s">
        <v>1379</v>
      </c>
      <c r="W2115" s="226" t="s">
        <v>1715</v>
      </c>
      <c r="X2115" s="226" t="s">
        <v>1394</v>
      </c>
      <c r="Y2115" s="226" t="s">
        <v>1379</v>
      </c>
      <c r="Z2115" s="224">
        <v>1.31</v>
      </c>
      <c r="AA2115" s="377">
        <v>53</v>
      </c>
      <c r="AB2115" s="377">
        <v>21</v>
      </c>
      <c r="AC2115" s="224" t="s">
        <v>518</v>
      </c>
      <c r="AD2115" s="224">
        <v>8.3000000000000007</v>
      </c>
      <c r="AE2115" s="224">
        <f t="shared" si="315"/>
        <v>0.78244274809160308</v>
      </c>
      <c r="AF2115" s="224"/>
      <c r="AG2115" s="224" t="s">
        <v>1339</v>
      </c>
      <c r="AH2115" s="224" t="s">
        <v>562</v>
      </c>
      <c r="AI2115" s="224" t="s">
        <v>577</v>
      </c>
      <c r="AJ2115" s="224" t="s">
        <v>116</v>
      </c>
      <c r="AK2115" s="224" t="s">
        <v>116</v>
      </c>
      <c r="AL2115" s="224"/>
      <c r="AM2115" s="224"/>
      <c r="AN2115" s="224"/>
      <c r="AO2115" s="224" t="s">
        <v>2125</v>
      </c>
      <c r="AP2115" s="224" t="s">
        <v>2125</v>
      </c>
      <c r="AQ2115" s="224" t="s">
        <v>2125</v>
      </c>
      <c r="AR2115" s="224" t="s">
        <v>2125</v>
      </c>
      <c r="AS2115" s="224" t="s">
        <v>177</v>
      </c>
      <c r="AT2115" s="224"/>
      <c r="AU2115" s="224"/>
      <c r="AV2115" s="224"/>
      <c r="AW2115" s="224" t="s">
        <v>119</v>
      </c>
      <c r="AX2115" s="224"/>
      <c r="AY2115" s="224"/>
      <c r="AZ2115" s="224" t="s">
        <v>2121</v>
      </c>
      <c r="BA2115" s="224"/>
      <c r="BB2115" s="224"/>
      <c r="BC2115" s="224"/>
      <c r="BD2115" s="224"/>
      <c r="BE2115" s="224"/>
      <c r="BP2115" s="407"/>
      <c r="BQ2115" s="407"/>
      <c r="BW2115" s="441"/>
      <c r="BX2115" s="441"/>
      <c r="BZ2115" s="441"/>
      <c r="CA2115" s="441"/>
      <c r="CE2115" s="560"/>
      <c r="CF2115" s="560"/>
      <c r="CG2115" s="560"/>
      <c r="CH2115" s="560"/>
      <c r="CJ2115" s="36">
        <v>2.3199999999999998</v>
      </c>
      <c r="CK2115" s="36">
        <v>2.87</v>
      </c>
      <c r="CN2115" s="36" t="s">
        <v>2124</v>
      </c>
      <c r="HJ2115" s="36">
        <v>16.899999999999999</v>
      </c>
      <c r="HK2115" s="36">
        <v>24.7</v>
      </c>
      <c r="HN2115" s="36" t="s">
        <v>569</v>
      </c>
      <c r="IS2115" s="36">
        <v>104.9</v>
      </c>
      <c r="IT2115" s="36">
        <v>67.5</v>
      </c>
      <c r="IW2115" s="36" t="s">
        <v>179</v>
      </c>
      <c r="JB2115" s="224"/>
      <c r="JC2115" s="224"/>
      <c r="JD2115" s="230"/>
    </row>
    <row r="2116" spans="1:264" s="284" customFormat="1" x14ac:dyDescent="0.25">
      <c r="A2116" s="278">
        <v>95</v>
      </c>
      <c r="B2116" s="280" t="s">
        <v>4219</v>
      </c>
      <c r="C2116" s="278" t="s">
        <v>768</v>
      </c>
      <c r="D2116" s="278" t="s">
        <v>2118</v>
      </c>
      <c r="E2116" s="278">
        <v>2007</v>
      </c>
      <c r="F2116" s="278">
        <v>2000</v>
      </c>
      <c r="G2116" s="278" t="s">
        <v>1749</v>
      </c>
      <c r="H2116" s="278" t="s">
        <v>2119</v>
      </c>
      <c r="I2116" s="224" t="s">
        <v>2815</v>
      </c>
      <c r="J2116" s="278">
        <f t="shared" si="313"/>
        <v>48.8</v>
      </c>
      <c r="K2116" s="278">
        <f t="shared" si="314"/>
        <v>-110.01666666666667</v>
      </c>
      <c r="L2116" s="278">
        <v>871.2</v>
      </c>
      <c r="M2116" s="278"/>
      <c r="N2116" s="278"/>
      <c r="O2116" s="278"/>
      <c r="P2116" s="278"/>
      <c r="Q2116" s="278"/>
      <c r="R2116" s="280" t="s">
        <v>1728</v>
      </c>
      <c r="S2116" s="280" t="s">
        <v>1734</v>
      </c>
      <c r="U2116" s="280" t="s">
        <v>2120</v>
      </c>
      <c r="V2116" s="280" t="s">
        <v>1394</v>
      </c>
      <c r="W2116" s="280" t="s">
        <v>1722</v>
      </c>
      <c r="X2116" s="280" t="s">
        <v>1394</v>
      </c>
      <c r="Y2116" s="280" t="s">
        <v>1379</v>
      </c>
      <c r="Z2116" s="278">
        <v>1.31</v>
      </c>
      <c r="AA2116" s="370">
        <v>53</v>
      </c>
      <c r="AB2116" s="370">
        <v>21</v>
      </c>
      <c r="AC2116" s="278" t="s">
        <v>518</v>
      </c>
      <c r="AD2116" s="278">
        <v>8.3000000000000007</v>
      </c>
      <c r="AE2116" s="278">
        <f t="shared" si="315"/>
        <v>0.78244274809160308</v>
      </c>
      <c r="AF2116" s="278"/>
      <c r="AG2116" s="278" t="s">
        <v>1339</v>
      </c>
      <c r="AH2116" s="278" t="s">
        <v>562</v>
      </c>
      <c r="AI2116" s="278" t="s">
        <v>577</v>
      </c>
      <c r="AJ2116" s="278" t="s">
        <v>116</v>
      </c>
      <c r="AK2116" s="278" t="s">
        <v>116</v>
      </c>
      <c r="AL2116" s="278"/>
      <c r="AM2116" s="278"/>
      <c r="AN2116" s="278"/>
      <c r="AO2116" s="278" t="s">
        <v>2126</v>
      </c>
      <c r="AP2116" s="278" t="s">
        <v>2126</v>
      </c>
      <c r="AQ2116" s="278" t="s">
        <v>2126</v>
      </c>
      <c r="AR2116" s="278" t="s">
        <v>2126</v>
      </c>
      <c r="AS2116" s="278" t="s">
        <v>177</v>
      </c>
      <c r="AT2116" s="278"/>
      <c r="AU2116" s="278"/>
      <c r="AV2116" s="278"/>
      <c r="AW2116" s="278" t="s">
        <v>119</v>
      </c>
      <c r="AX2116" s="278"/>
      <c r="AY2116" s="278"/>
      <c r="AZ2116" s="278" t="s">
        <v>2121</v>
      </c>
      <c r="BA2116" s="278"/>
      <c r="BB2116" s="278"/>
      <c r="BC2116" s="278"/>
      <c r="BD2116" s="278"/>
      <c r="BE2116" s="278"/>
      <c r="BP2116" s="452"/>
      <c r="BQ2116" s="452"/>
      <c r="BW2116" s="446"/>
      <c r="BX2116" s="446"/>
      <c r="BZ2116" s="446"/>
      <c r="CA2116" s="446"/>
      <c r="CE2116" s="590"/>
      <c r="CF2116" s="590"/>
      <c r="CG2116" s="590"/>
      <c r="CH2116" s="590"/>
      <c r="CJ2116" s="284">
        <v>0.92</v>
      </c>
      <c r="CK2116" s="284">
        <v>0.56000000000000005</v>
      </c>
      <c r="CN2116" s="284" t="s">
        <v>2124</v>
      </c>
      <c r="HJ2116" s="284">
        <v>4.5</v>
      </c>
      <c r="HK2116" s="284">
        <v>1.7</v>
      </c>
      <c r="HN2116" s="284" t="s">
        <v>569</v>
      </c>
      <c r="IS2116" s="284">
        <v>20</v>
      </c>
      <c r="IT2116" s="284">
        <v>22.9</v>
      </c>
      <c r="IW2116" s="284" t="s">
        <v>179</v>
      </c>
      <c r="JB2116" s="278"/>
      <c r="JC2116" s="278"/>
      <c r="JD2116" s="285"/>
    </row>
    <row r="2117" spans="1:264" s="284" customFormat="1" x14ac:dyDescent="0.25">
      <c r="A2117" s="278">
        <v>95</v>
      </c>
      <c r="B2117" s="280" t="s">
        <v>4220</v>
      </c>
      <c r="C2117" s="278" t="s">
        <v>768</v>
      </c>
      <c r="D2117" s="278" t="s">
        <v>2118</v>
      </c>
      <c r="E2117" s="278">
        <v>2007</v>
      </c>
      <c r="F2117" s="278">
        <v>2000</v>
      </c>
      <c r="G2117" s="278" t="s">
        <v>1749</v>
      </c>
      <c r="H2117" s="278" t="s">
        <v>2119</v>
      </c>
      <c r="I2117" s="224" t="s">
        <v>2815</v>
      </c>
      <c r="J2117" s="278">
        <f t="shared" si="313"/>
        <v>48.8</v>
      </c>
      <c r="K2117" s="278">
        <f t="shared" si="314"/>
        <v>-110.01666666666667</v>
      </c>
      <c r="L2117" s="278">
        <v>871.2</v>
      </c>
      <c r="M2117" s="278"/>
      <c r="N2117" s="278"/>
      <c r="O2117" s="278"/>
      <c r="P2117" s="278"/>
      <c r="Q2117" s="278"/>
      <c r="R2117" s="280" t="s">
        <v>1728</v>
      </c>
      <c r="S2117" s="280" t="s">
        <v>1734</v>
      </c>
      <c r="U2117" s="280" t="s">
        <v>2120</v>
      </c>
      <c r="V2117" s="280" t="s">
        <v>1414</v>
      </c>
      <c r="W2117" s="280" t="s">
        <v>1717</v>
      </c>
      <c r="X2117" s="280" t="s">
        <v>1394</v>
      </c>
      <c r="Y2117" s="280" t="s">
        <v>1379</v>
      </c>
      <c r="Z2117" s="278">
        <v>1.31</v>
      </c>
      <c r="AA2117" s="370">
        <v>53</v>
      </c>
      <c r="AB2117" s="370">
        <v>21</v>
      </c>
      <c r="AC2117" s="278" t="s">
        <v>518</v>
      </c>
      <c r="AD2117" s="278">
        <v>8.3000000000000007</v>
      </c>
      <c r="AE2117" s="278">
        <f t="shared" si="315"/>
        <v>0.78244274809160308</v>
      </c>
      <c r="AF2117" s="278"/>
      <c r="AG2117" s="278" t="s">
        <v>1339</v>
      </c>
      <c r="AH2117" s="278" t="s">
        <v>562</v>
      </c>
      <c r="AI2117" s="278" t="s">
        <v>577</v>
      </c>
      <c r="AJ2117" s="278" t="s">
        <v>116</v>
      </c>
      <c r="AK2117" s="278" t="s">
        <v>116</v>
      </c>
      <c r="AL2117" s="278"/>
      <c r="AM2117" s="278"/>
      <c r="AN2117" s="278"/>
      <c r="AO2117" s="278" t="s">
        <v>2126</v>
      </c>
      <c r="AP2117" s="278" t="s">
        <v>2126</v>
      </c>
      <c r="AQ2117" s="278" t="s">
        <v>2126</v>
      </c>
      <c r="AR2117" s="278" t="s">
        <v>2126</v>
      </c>
      <c r="AS2117" s="278" t="s">
        <v>177</v>
      </c>
      <c r="AT2117" s="278"/>
      <c r="AU2117" s="278"/>
      <c r="AV2117" s="278"/>
      <c r="AW2117" s="278" t="s">
        <v>119</v>
      </c>
      <c r="AX2117" s="278"/>
      <c r="AY2117" s="278"/>
      <c r="AZ2117" s="278" t="s">
        <v>2121</v>
      </c>
      <c r="BA2117" s="278"/>
      <c r="BB2117" s="278"/>
      <c r="BC2117" s="278"/>
      <c r="BD2117" s="278"/>
      <c r="BE2117" s="278"/>
      <c r="BP2117" s="452"/>
      <c r="BQ2117" s="452"/>
      <c r="BW2117" s="446"/>
      <c r="BX2117" s="446"/>
      <c r="BZ2117" s="446"/>
      <c r="CA2117" s="446"/>
      <c r="CE2117" s="590"/>
      <c r="CF2117" s="590"/>
      <c r="CG2117" s="590"/>
      <c r="CH2117" s="590"/>
      <c r="CJ2117" s="284">
        <v>1.41</v>
      </c>
      <c r="CK2117" s="284">
        <v>1.55</v>
      </c>
      <c r="CN2117" s="284" t="s">
        <v>2124</v>
      </c>
      <c r="HJ2117" s="284">
        <v>7.7</v>
      </c>
      <c r="HK2117" s="284">
        <v>7.8</v>
      </c>
      <c r="HN2117" s="284" t="s">
        <v>569</v>
      </c>
      <c r="IS2117" s="284">
        <v>47.4</v>
      </c>
      <c r="IT2117" s="284">
        <v>58.8</v>
      </c>
      <c r="IW2117" s="284" t="s">
        <v>179</v>
      </c>
      <c r="JB2117" s="278"/>
      <c r="JC2117" s="278"/>
      <c r="JD2117" s="285"/>
    </row>
    <row r="2118" spans="1:264" s="36" customFormat="1" x14ac:dyDescent="0.25">
      <c r="A2118" s="224">
        <v>95</v>
      </c>
      <c r="B2118" s="226" t="s">
        <v>4218</v>
      </c>
      <c r="C2118" s="224" t="s">
        <v>768</v>
      </c>
      <c r="D2118" s="224" t="s">
        <v>2118</v>
      </c>
      <c r="E2118" s="224">
        <v>2007</v>
      </c>
      <c r="F2118" s="224">
        <v>2000</v>
      </c>
      <c r="G2118" s="224" t="s">
        <v>1749</v>
      </c>
      <c r="H2118" s="224" t="s">
        <v>2119</v>
      </c>
      <c r="I2118" s="224" t="s">
        <v>2815</v>
      </c>
      <c r="J2118" s="224">
        <f t="shared" si="313"/>
        <v>48.8</v>
      </c>
      <c r="K2118" s="224">
        <f t="shared" si="314"/>
        <v>-110.01666666666667</v>
      </c>
      <c r="L2118" s="224">
        <v>871.2</v>
      </c>
      <c r="M2118" s="224"/>
      <c r="N2118" s="224"/>
      <c r="O2118" s="224"/>
      <c r="P2118" s="224"/>
      <c r="Q2118" s="224"/>
      <c r="R2118" s="226" t="s">
        <v>1728</v>
      </c>
      <c r="S2118" s="226" t="s">
        <v>1734</v>
      </c>
      <c r="U2118" s="226" t="s">
        <v>2120</v>
      </c>
      <c r="V2118" s="226" t="s">
        <v>1379</v>
      </c>
      <c r="W2118" s="226" t="s">
        <v>1715</v>
      </c>
      <c r="X2118" s="226" t="s">
        <v>1394</v>
      </c>
      <c r="Y2118" s="226" t="s">
        <v>1379</v>
      </c>
      <c r="Z2118" s="224">
        <v>1.31</v>
      </c>
      <c r="AA2118" s="377">
        <v>53</v>
      </c>
      <c r="AB2118" s="377">
        <v>21</v>
      </c>
      <c r="AC2118" s="224" t="s">
        <v>518</v>
      </c>
      <c r="AD2118" s="224">
        <v>8.3000000000000007</v>
      </c>
      <c r="AE2118" s="224">
        <f t="shared" si="315"/>
        <v>0.78244274809160308</v>
      </c>
      <c r="AF2118" s="224"/>
      <c r="AG2118" s="224" t="s">
        <v>1339</v>
      </c>
      <c r="AH2118" s="224" t="s">
        <v>562</v>
      </c>
      <c r="AI2118" s="224" t="s">
        <v>577</v>
      </c>
      <c r="AJ2118" s="224" t="s">
        <v>116</v>
      </c>
      <c r="AK2118" s="224" t="s">
        <v>116</v>
      </c>
      <c r="AL2118" s="224"/>
      <c r="AM2118" s="224"/>
      <c r="AN2118" s="224"/>
      <c r="AO2118" s="224" t="s">
        <v>2126</v>
      </c>
      <c r="AP2118" s="224" t="s">
        <v>2126</v>
      </c>
      <c r="AQ2118" s="224" t="s">
        <v>2126</v>
      </c>
      <c r="AR2118" s="224" t="s">
        <v>2126</v>
      </c>
      <c r="AS2118" s="224" t="s">
        <v>177</v>
      </c>
      <c r="AT2118" s="224"/>
      <c r="AU2118" s="224"/>
      <c r="AV2118" s="224"/>
      <c r="AW2118" s="224" t="s">
        <v>119</v>
      </c>
      <c r="AX2118" s="224"/>
      <c r="AY2118" s="224"/>
      <c r="AZ2118" s="224" t="s">
        <v>2121</v>
      </c>
      <c r="BA2118" s="224"/>
      <c r="BB2118" s="224"/>
      <c r="BC2118" s="224"/>
      <c r="BD2118" s="224"/>
      <c r="BE2118" s="224"/>
      <c r="BP2118" s="407"/>
      <c r="BQ2118" s="407"/>
      <c r="BW2118" s="441"/>
      <c r="BX2118" s="441"/>
      <c r="BZ2118" s="441"/>
      <c r="CA2118" s="441"/>
      <c r="CE2118" s="560"/>
      <c r="CF2118" s="560"/>
      <c r="CG2118" s="560"/>
      <c r="CH2118" s="560"/>
      <c r="CJ2118" s="36">
        <v>2.33</v>
      </c>
      <c r="CK2118" s="36">
        <v>2.61</v>
      </c>
      <c r="CN2118" s="36" t="s">
        <v>2124</v>
      </c>
      <c r="HJ2118" s="36">
        <v>12.2</v>
      </c>
      <c r="HK2118" s="36">
        <v>9.5</v>
      </c>
      <c r="HN2118" s="36" t="s">
        <v>569</v>
      </c>
      <c r="IS2118" s="36">
        <v>67.400000000000006</v>
      </c>
      <c r="IT2118" s="36">
        <v>81.7</v>
      </c>
      <c r="IW2118" s="36" t="s">
        <v>179</v>
      </c>
      <c r="JB2118" s="224"/>
      <c r="JC2118" s="224"/>
      <c r="JD2118" s="230"/>
    </row>
    <row r="2119" spans="1:264" s="40" customFormat="1" x14ac:dyDescent="0.25">
      <c r="A2119" s="156">
        <v>96</v>
      </c>
      <c r="B2119" s="158" t="s">
        <v>4221</v>
      </c>
      <c r="C2119" s="156" t="s">
        <v>2022</v>
      </c>
      <c r="D2119" s="156" t="s">
        <v>525</v>
      </c>
      <c r="E2119" s="156">
        <v>1990</v>
      </c>
      <c r="F2119" s="156">
        <v>1984</v>
      </c>
      <c r="G2119" s="156" t="s">
        <v>302</v>
      </c>
      <c r="H2119" s="156" t="s">
        <v>2021</v>
      </c>
      <c r="I2119" s="156" t="s">
        <v>2815</v>
      </c>
      <c r="J2119" s="156">
        <v>38.06</v>
      </c>
      <c r="K2119" s="156">
        <v>-84.59</v>
      </c>
      <c r="L2119" s="156">
        <v>294</v>
      </c>
      <c r="M2119" s="156">
        <v>12.8</v>
      </c>
      <c r="N2119" s="156"/>
      <c r="O2119" s="156">
        <v>1148.0999999999999</v>
      </c>
      <c r="P2119" s="156"/>
      <c r="Q2119" s="156"/>
      <c r="R2119" s="156">
        <v>1</v>
      </c>
      <c r="S2119" s="158" t="s">
        <v>1847</v>
      </c>
      <c r="U2119" s="158" t="s">
        <v>2129</v>
      </c>
      <c r="V2119" s="156" t="s">
        <v>1380</v>
      </c>
      <c r="W2119" s="155">
        <v>7.5</v>
      </c>
      <c r="X2119" s="156" t="s">
        <v>1380</v>
      </c>
      <c r="Y2119" s="156" t="s">
        <v>1380</v>
      </c>
      <c r="Z2119" s="163">
        <f>AVERAGE(Sheet1!BP2119:BQ2119)</f>
        <v>1.252</v>
      </c>
      <c r="AA2119" s="378">
        <v>65</v>
      </c>
      <c r="AB2119" s="378">
        <v>25</v>
      </c>
      <c r="AC2119" s="156" t="s">
        <v>450</v>
      </c>
      <c r="AD2119" s="156"/>
      <c r="AE2119" s="163">
        <v>1.97</v>
      </c>
      <c r="AF2119" s="156"/>
      <c r="AG2119" s="156" t="s">
        <v>2020</v>
      </c>
      <c r="AH2119" s="156" t="s">
        <v>2024</v>
      </c>
      <c r="AI2119" s="156" t="s">
        <v>577</v>
      </c>
      <c r="AJ2119" s="156" t="s">
        <v>2019</v>
      </c>
      <c r="AK2119" s="156" t="s">
        <v>132</v>
      </c>
      <c r="AL2119" s="156"/>
      <c r="AM2119" s="156"/>
      <c r="AN2119" s="156"/>
      <c r="AO2119" s="156" t="s">
        <v>1046</v>
      </c>
      <c r="AP2119" s="156" t="s">
        <v>1046</v>
      </c>
      <c r="AQ2119" s="156" t="s">
        <v>2126</v>
      </c>
      <c r="AR2119" s="156" t="s">
        <v>2126</v>
      </c>
      <c r="AS2119" s="40" t="s">
        <v>177</v>
      </c>
      <c r="AT2119" s="156" t="s">
        <v>2023</v>
      </c>
      <c r="AU2119" s="156" t="s">
        <v>2127</v>
      </c>
      <c r="AV2119" s="40" t="s">
        <v>177</v>
      </c>
      <c r="AW2119" s="156"/>
      <c r="AX2119" s="310">
        <v>4</v>
      </c>
      <c r="AY2119" s="310">
        <v>4</v>
      </c>
      <c r="AZ2119" s="156" t="s">
        <v>2121</v>
      </c>
      <c r="BA2119" s="156"/>
      <c r="BB2119" s="156">
        <v>3000</v>
      </c>
      <c r="BC2119" s="156">
        <f>BB2119/119</f>
        <v>25.210084033613445</v>
      </c>
      <c r="BD2119" s="156"/>
      <c r="BE2119" s="156"/>
      <c r="BK2119" s="156">
        <v>2750</v>
      </c>
      <c r="BL2119" s="156">
        <v>6400</v>
      </c>
      <c r="BM2119" s="156"/>
      <c r="BP2119" s="430">
        <v>1.2659199999999999</v>
      </c>
      <c r="BQ2119" s="430">
        <v>1.2380800000000001</v>
      </c>
      <c r="BU2119" s="430">
        <v>1.97</v>
      </c>
      <c r="BV2119" s="430">
        <v>2.13</v>
      </c>
      <c r="BZ2119" s="430">
        <f t="shared" ref="BZ2119:BZ2126" si="316">(BU2119/100*BP2119*W2119/100)*10000</f>
        <v>18.703967999999996</v>
      </c>
      <c r="CA2119" s="430">
        <f t="shared" ref="CA2119:CA2126" si="317">(BV2119/100*BQ2119*W2119/100)*10000</f>
        <v>19.778327999999998</v>
      </c>
      <c r="CD2119" s="40" t="s">
        <v>2095</v>
      </c>
      <c r="CE2119" s="569">
        <v>18.703967999999996</v>
      </c>
      <c r="CF2119" s="569">
        <v>19.778327999999998</v>
      </c>
      <c r="CG2119" s="569"/>
      <c r="CH2119" s="569"/>
      <c r="CI2119" s="40" t="s">
        <v>4551</v>
      </c>
      <c r="JB2119" s="156" t="s">
        <v>2082</v>
      </c>
      <c r="JC2119" s="156"/>
      <c r="JD2119" s="311"/>
    </row>
    <row r="2120" spans="1:264" s="40" customFormat="1" x14ac:dyDescent="0.25">
      <c r="A2120" s="156">
        <v>96</v>
      </c>
      <c r="B2120" s="158" t="s">
        <v>4221</v>
      </c>
      <c r="C2120" s="156" t="s">
        <v>2022</v>
      </c>
      <c r="D2120" s="156" t="s">
        <v>525</v>
      </c>
      <c r="E2120" s="156">
        <v>1990</v>
      </c>
      <c r="F2120" s="156">
        <v>1984</v>
      </c>
      <c r="G2120" s="156" t="s">
        <v>302</v>
      </c>
      <c r="H2120" s="156" t="s">
        <v>2021</v>
      </c>
      <c r="I2120" s="156" t="s">
        <v>2815</v>
      </c>
      <c r="J2120" s="156">
        <v>38.06</v>
      </c>
      <c r="K2120" s="156">
        <v>-84.59</v>
      </c>
      <c r="L2120" s="156">
        <v>294</v>
      </c>
      <c r="M2120" s="156">
        <v>12.8</v>
      </c>
      <c r="N2120" s="156"/>
      <c r="O2120" s="156">
        <v>1148.0999999999999</v>
      </c>
      <c r="P2120" s="156"/>
      <c r="Q2120" s="156"/>
      <c r="R2120" s="156">
        <v>1</v>
      </c>
      <c r="S2120" s="158" t="s">
        <v>1847</v>
      </c>
      <c r="U2120" s="158" t="s">
        <v>2129</v>
      </c>
      <c r="V2120" s="156" t="s">
        <v>1380</v>
      </c>
      <c r="W2120" s="155">
        <v>7.5</v>
      </c>
      <c r="X2120" s="156" t="s">
        <v>1380</v>
      </c>
      <c r="Y2120" s="156" t="s">
        <v>1380</v>
      </c>
      <c r="Z2120" s="163">
        <f>AVERAGE(Sheet1!BP2120:BQ2120)</f>
        <v>1.196755</v>
      </c>
      <c r="AA2120" s="378">
        <v>65</v>
      </c>
      <c r="AB2120" s="378">
        <v>25</v>
      </c>
      <c r="AC2120" s="156" t="s">
        <v>450</v>
      </c>
      <c r="AD2120" s="156"/>
      <c r="AE2120" s="163">
        <v>2.35</v>
      </c>
      <c r="AF2120" s="156"/>
      <c r="AG2120" s="156" t="s">
        <v>2020</v>
      </c>
      <c r="AH2120" s="156" t="s">
        <v>2024</v>
      </c>
      <c r="AI2120" s="156" t="s">
        <v>577</v>
      </c>
      <c r="AJ2120" s="156" t="s">
        <v>2019</v>
      </c>
      <c r="AK2120" s="156" t="s">
        <v>132</v>
      </c>
      <c r="AL2120" s="156"/>
      <c r="AM2120" s="156"/>
      <c r="AN2120" s="156"/>
      <c r="AO2120" s="156" t="s">
        <v>1046</v>
      </c>
      <c r="AP2120" s="156" t="s">
        <v>1046</v>
      </c>
      <c r="AQ2120" s="156" t="s">
        <v>2126</v>
      </c>
      <c r="AR2120" s="156" t="s">
        <v>2126</v>
      </c>
      <c r="AS2120" s="40" t="s">
        <v>177</v>
      </c>
      <c r="AT2120" s="156" t="s">
        <v>2017</v>
      </c>
      <c r="AU2120" s="156" t="s">
        <v>2128</v>
      </c>
      <c r="AV2120" s="40" t="s">
        <v>177</v>
      </c>
      <c r="AW2120" s="156"/>
      <c r="AX2120" s="310">
        <v>4</v>
      </c>
      <c r="AY2120" s="310">
        <v>4</v>
      </c>
      <c r="AZ2120" s="156" t="s">
        <v>2121</v>
      </c>
      <c r="BA2120" s="156"/>
      <c r="BB2120" s="156">
        <v>3300</v>
      </c>
      <c r="BC2120" s="156">
        <f>BB2120/132</f>
        <v>25</v>
      </c>
      <c r="BD2120" s="156"/>
      <c r="BE2120" s="156"/>
      <c r="BK2120" s="156">
        <v>6700</v>
      </c>
      <c r="BL2120" s="156">
        <v>8000</v>
      </c>
      <c r="BM2120" s="156"/>
      <c r="BP2120" s="430">
        <v>1.1998</v>
      </c>
      <c r="BQ2120" s="430">
        <v>1.19371</v>
      </c>
      <c r="BU2120" s="430">
        <v>2.35</v>
      </c>
      <c r="BV2120" s="430">
        <v>2.3850000000000002</v>
      </c>
      <c r="BZ2120" s="430">
        <f t="shared" si="316"/>
        <v>21.146474999999999</v>
      </c>
      <c r="CA2120" s="430">
        <f t="shared" si="317"/>
        <v>21.352487625000006</v>
      </c>
      <c r="CD2120" s="40" t="s">
        <v>2095</v>
      </c>
      <c r="CE2120" s="569">
        <v>21.146474999999999</v>
      </c>
      <c r="CF2120" s="569">
        <v>21.352487625000006</v>
      </c>
      <c r="CG2120" s="569"/>
      <c r="CH2120" s="569"/>
      <c r="CI2120" s="40" t="s">
        <v>4551</v>
      </c>
      <c r="JB2120" s="156" t="s">
        <v>2082</v>
      </c>
      <c r="JC2120" s="156"/>
      <c r="JD2120" s="311"/>
    </row>
    <row r="2121" spans="1:264" s="40" customFormat="1" x14ac:dyDescent="0.25">
      <c r="A2121" s="156">
        <v>96</v>
      </c>
      <c r="B2121" s="158" t="s">
        <v>4222</v>
      </c>
      <c r="C2121" s="156" t="s">
        <v>2022</v>
      </c>
      <c r="D2121" s="156" t="s">
        <v>525</v>
      </c>
      <c r="E2121" s="156">
        <v>1990</v>
      </c>
      <c r="F2121" s="156">
        <v>1985</v>
      </c>
      <c r="G2121" s="156" t="s">
        <v>302</v>
      </c>
      <c r="H2121" s="156" t="s">
        <v>2021</v>
      </c>
      <c r="I2121" s="156" t="s">
        <v>2815</v>
      </c>
      <c r="J2121" s="156">
        <v>38.06</v>
      </c>
      <c r="K2121" s="156">
        <v>-84.59</v>
      </c>
      <c r="L2121" s="156">
        <v>294</v>
      </c>
      <c r="M2121" s="156">
        <v>12.8</v>
      </c>
      <c r="N2121" s="156"/>
      <c r="O2121" s="156">
        <v>1148.0999999999999</v>
      </c>
      <c r="P2121" s="156"/>
      <c r="Q2121" s="156"/>
      <c r="R2121" s="156">
        <v>2</v>
      </c>
      <c r="S2121" s="158" t="s">
        <v>1847</v>
      </c>
      <c r="U2121" s="158" t="s">
        <v>2129</v>
      </c>
      <c r="V2121" s="156" t="s">
        <v>1380</v>
      </c>
      <c r="W2121" s="155">
        <v>7.5</v>
      </c>
      <c r="X2121" s="156" t="s">
        <v>1380</v>
      </c>
      <c r="Y2121" s="156" t="s">
        <v>1380</v>
      </c>
      <c r="Z2121" s="163">
        <f>AVERAGE(Sheet1!BP2121:BQ2121)</f>
        <v>1.320295</v>
      </c>
      <c r="AA2121" s="378">
        <v>65</v>
      </c>
      <c r="AB2121" s="378">
        <v>25</v>
      </c>
      <c r="AC2121" s="156" t="s">
        <v>450</v>
      </c>
      <c r="AD2121" s="156"/>
      <c r="AE2121" s="163">
        <v>1.64</v>
      </c>
      <c r="AF2121" s="156"/>
      <c r="AG2121" s="156" t="s">
        <v>2020</v>
      </c>
      <c r="AH2121" s="156" t="s">
        <v>2024</v>
      </c>
      <c r="AI2121" s="156" t="s">
        <v>577</v>
      </c>
      <c r="AJ2121" s="156" t="s">
        <v>2019</v>
      </c>
      <c r="AK2121" s="156" t="s">
        <v>132</v>
      </c>
      <c r="AL2121" s="156"/>
      <c r="AM2121" s="156"/>
      <c r="AN2121" s="156"/>
      <c r="AO2121" s="156" t="s">
        <v>2018</v>
      </c>
      <c r="AP2121" s="156" t="s">
        <v>2018</v>
      </c>
      <c r="AQ2121" s="156" t="s">
        <v>2125</v>
      </c>
      <c r="AR2121" s="156" t="s">
        <v>2125</v>
      </c>
      <c r="AS2121" s="40" t="s">
        <v>177</v>
      </c>
      <c r="AT2121" s="156" t="s">
        <v>2023</v>
      </c>
      <c r="AU2121" s="156" t="s">
        <v>2127</v>
      </c>
      <c r="AV2121" s="40" t="s">
        <v>177</v>
      </c>
      <c r="AW2121" s="156"/>
      <c r="AX2121" s="310">
        <v>4</v>
      </c>
      <c r="AY2121" s="310">
        <v>4</v>
      </c>
      <c r="AZ2121" s="156" t="s">
        <v>2121</v>
      </c>
      <c r="BA2121" s="156"/>
      <c r="BB2121" s="156">
        <v>3500</v>
      </c>
      <c r="BC2121" s="156">
        <f>BB2121/137</f>
        <v>25.547445255474454</v>
      </c>
      <c r="BD2121" s="156"/>
      <c r="BE2121" s="156"/>
      <c r="BK2121" s="156">
        <v>4000</v>
      </c>
      <c r="BL2121" s="156">
        <v>7100</v>
      </c>
      <c r="BM2121" s="156"/>
      <c r="BP2121" s="430">
        <v>1.32334</v>
      </c>
      <c r="BQ2121" s="430">
        <v>1.31725</v>
      </c>
      <c r="BU2121" s="430">
        <v>1.64</v>
      </c>
      <c r="BV2121" s="430">
        <v>1.675</v>
      </c>
      <c r="BZ2121" s="430">
        <f t="shared" si="316"/>
        <v>16.277082</v>
      </c>
      <c r="CA2121" s="430">
        <f t="shared" si="317"/>
        <v>16.547953124999999</v>
      </c>
      <c r="CD2121" s="40" t="s">
        <v>2095</v>
      </c>
      <c r="CE2121" s="569">
        <v>16.277082</v>
      </c>
      <c r="CF2121" s="569">
        <v>16.547953124999999</v>
      </c>
      <c r="CG2121" s="569"/>
      <c r="CH2121" s="569"/>
      <c r="CI2121" s="40" t="s">
        <v>4551</v>
      </c>
      <c r="JB2121" s="156" t="s">
        <v>2082</v>
      </c>
      <c r="JC2121" s="156"/>
      <c r="JD2121" s="311"/>
    </row>
    <row r="2122" spans="1:264" s="40" customFormat="1" x14ac:dyDescent="0.25">
      <c r="A2122" s="156">
        <v>96</v>
      </c>
      <c r="B2122" s="158" t="s">
        <v>4222</v>
      </c>
      <c r="C2122" s="156" t="s">
        <v>2022</v>
      </c>
      <c r="D2122" s="156" t="s">
        <v>525</v>
      </c>
      <c r="E2122" s="156">
        <v>1990</v>
      </c>
      <c r="F2122" s="156">
        <v>1985</v>
      </c>
      <c r="G2122" s="156" t="s">
        <v>302</v>
      </c>
      <c r="H2122" s="156" t="s">
        <v>2021</v>
      </c>
      <c r="I2122" s="156" t="s">
        <v>2815</v>
      </c>
      <c r="J2122" s="156">
        <v>38.06</v>
      </c>
      <c r="K2122" s="156">
        <v>-84.59</v>
      </c>
      <c r="L2122" s="156">
        <v>294</v>
      </c>
      <c r="M2122" s="156">
        <v>12.8</v>
      </c>
      <c r="N2122" s="156"/>
      <c r="O2122" s="156">
        <v>1148.0999999999999</v>
      </c>
      <c r="P2122" s="156"/>
      <c r="Q2122" s="156"/>
      <c r="R2122" s="156">
        <v>2</v>
      </c>
      <c r="S2122" s="158" t="s">
        <v>1847</v>
      </c>
      <c r="U2122" s="158" t="s">
        <v>2129</v>
      </c>
      <c r="V2122" s="156" t="s">
        <v>1380</v>
      </c>
      <c r="W2122" s="155">
        <v>7.5</v>
      </c>
      <c r="X2122" s="156" t="s">
        <v>1380</v>
      </c>
      <c r="Y2122" s="156" t="s">
        <v>1380</v>
      </c>
      <c r="Z2122" s="163">
        <f>AVERAGE(Sheet1!BP2122:BQ2122)</f>
        <v>1.3115950000000001</v>
      </c>
      <c r="AA2122" s="378">
        <v>65</v>
      </c>
      <c r="AB2122" s="378">
        <v>25</v>
      </c>
      <c r="AC2122" s="156" t="s">
        <v>450</v>
      </c>
      <c r="AD2122" s="156"/>
      <c r="AE2122" s="163">
        <v>1.675</v>
      </c>
      <c r="AF2122" s="156"/>
      <c r="AG2122" s="156" t="s">
        <v>2020</v>
      </c>
      <c r="AH2122" s="156" t="s">
        <v>2024</v>
      </c>
      <c r="AI2122" s="156" t="s">
        <v>577</v>
      </c>
      <c r="AJ2122" s="156" t="s">
        <v>2019</v>
      </c>
      <c r="AK2122" s="156" t="s">
        <v>132</v>
      </c>
      <c r="AL2122" s="156"/>
      <c r="AM2122" s="156"/>
      <c r="AN2122" s="156"/>
      <c r="AO2122" s="156" t="s">
        <v>2018</v>
      </c>
      <c r="AP2122" s="156" t="s">
        <v>2018</v>
      </c>
      <c r="AQ2122" s="156" t="s">
        <v>2125</v>
      </c>
      <c r="AR2122" s="156" t="s">
        <v>2125</v>
      </c>
      <c r="AS2122" s="40" t="s">
        <v>177</v>
      </c>
      <c r="AT2122" s="156" t="s">
        <v>2017</v>
      </c>
      <c r="AU2122" s="156" t="s">
        <v>2128</v>
      </c>
      <c r="AV2122" s="40" t="s">
        <v>177</v>
      </c>
      <c r="AW2122" s="156"/>
      <c r="AX2122" s="310">
        <v>4</v>
      </c>
      <c r="AY2122" s="310">
        <v>4</v>
      </c>
      <c r="AZ2122" s="156" t="s">
        <v>2121</v>
      </c>
      <c r="BA2122" s="156"/>
      <c r="BB2122" s="156">
        <v>3600</v>
      </c>
      <c r="BC2122" s="156">
        <f>BB2122/139</f>
        <v>25.899280575539567</v>
      </c>
      <c r="BD2122" s="156"/>
      <c r="BE2122" s="156"/>
      <c r="BK2122" s="156">
        <v>6600</v>
      </c>
      <c r="BL2122" s="156">
        <v>7700</v>
      </c>
      <c r="BM2122" s="156"/>
      <c r="BP2122" s="430">
        <v>1.31725</v>
      </c>
      <c r="BQ2122" s="430">
        <v>1.3059400000000001</v>
      </c>
      <c r="BU2122" s="430">
        <v>1.675</v>
      </c>
      <c r="BV2122" s="430">
        <v>1.7399999999999998</v>
      </c>
      <c r="BZ2122" s="430">
        <f t="shared" si="316"/>
        <v>16.547953124999999</v>
      </c>
      <c r="CA2122" s="430">
        <f t="shared" si="317"/>
        <v>17.042517</v>
      </c>
      <c r="CD2122" s="40" t="s">
        <v>2095</v>
      </c>
      <c r="CE2122" s="569">
        <v>16.547953124999999</v>
      </c>
      <c r="CF2122" s="569">
        <v>17.042517</v>
      </c>
      <c r="CG2122" s="569"/>
      <c r="CH2122" s="569"/>
      <c r="CI2122" s="40" t="s">
        <v>4551</v>
      </c>
      <c r="JB2122" s="156" t="s">
        <v>2082</v>
      </c>
      <c r="JC2122" s="156"/>
      <c r="JD2122" s="311"/>
    </row>
    <row r="2123" spans="1:264" s="24" customFormat="1" x14ac:dyDescent="0.25">
      <c r="A2123" s="245">
        <v>96</v>
      </c>
      <c r="B2123" s="246" t="s">
        <v>4221</v>
      </c>
      <c r="C2123" s="245" t="s">
        <v>2022</v>
      </c>
      <c r="D2123" s="245" t="s">
        <v>525</v>
      </c>
      <c r="E2123" s="245">
        <v>1990</v>
      </c>
      <c r="F2123" s="245">
        <v>1984</v>
      </c>
      <c r="G2123" s="245" t="s">
        <v>302</v>
      </c>
      <c r="H2123" s="245" t="s">
        <v>2021</v>
      </c>
      <c r="I2123" s="156" t="s">
        <v>2815</v>
      </c>
      <c r="J2123" s="245">
        <v>38.06</v>
      </c>
      <c r="K2123" s="245">
        <v>-84.59</v>
      </c>
      <c r="L2123" s="245">
        <v>294</v>
      </c>
      <c r="M2123" s="245">
        <v>12.8</v>
      </c>
      <c r="N2123" s="245"/>
      <c r="O2123" s="245">
        <v>1148.0999999999999</v>
      </c>
      <c r="P2123" s="245"/>
      <c r="Q2123" s="245"/>
      <c r="R2123" s="245">
        <v>1</v>
      </c>
      <c r="S2123" s="246" t="s">
        <v>1847</v>
      </c>
      <c r="U2123" s="246" t="s">
        <v>2129</v>
      </c>
      <c r="V2123" s="245" t="s">
        <v>1380</v>
      </c>
      <c r="W2123" s="247">
        <v>7.5</v>
      </c>
      <c r="X2123" s="245" t="s">
        <v>1380</v>
      </c>
      <c r="Y2123" s="245" t="s">
        <v>1380</v>
      </c>
      <c r="Z2123" s="248">
        <f>AVERAGE(Sheet1!BP2123:BQ2123)</f>
        <v>1.26244</v>
      </c>
      <c r="AA2123" s="379">
        <v>65</v>
      </c>
      <c r="AB2123" s="379">
        <v>25</v>
      </c>
      <c r="AC2123" s="245" t="s">
        <v>450</v>
      </c>
      <c r="AD2123" s="245"/>
      <c r="AE2123" s="248">
        <v>1.97</v>
      </c>
      <c r="AF2123" s="245"/>
      <c r="AG2123" s="245" t="s">
        <v>2020</v>
      </c>
      <c r="AH2123" s="245" t="s">
        <v>1753</v>
      </c>
      <c r="AI2123" s="245" t="s">
        <v>131</v>
      </c>
      <c r="AJ2123" s="245" t="s">
        <v>2019</v>
      </c>
      <c r="AK2123" s="245" t="s">
        <v>132</v>
      </c>
      <c r="AL2123" s="245"/>
      <c r="AM2123" s="245"/>
      <c r="AN2123" s="245"/>
      <c r="AO2123" s="245" t="s">
        <v>1046</v>
      </c>
      <c r="AP2123" s="245" t="s">
        <v>1046</v>
      </c>
      <c r="AQ2123" s="245" t="s">
        <v>2126</v>
      </c>
      <c r="AR2123" s="245" t="s">
        <v>2126</v>
      </c>
      <c r="AS2123" s="24" t="s">
        <v>177</v>
      </c>
      <c r="AT2123" s="245" t="s">
        <v>2023</v>
      </c>
      <c r="AU2123" s="245" t="s">
        <v>2127</v>
      </c>
      <c r="AV2123" s="24" t="s">
        <v>177</v>
      </c>
      <c r="AW2123" s="245"/>
      <c r="AX2123" s="250">
        <v>4</v>
      </c>
      <c r="AY2123" s="250">
        <v>4</v>
      </c>
      <c r="AZ2123" s="245" t="s">
        <v>2121</v>
      </c>
      <c r="BA2123" s="245"/>
      <c r="BB2123" s="245">
        <v>1700</v>
      </c>
      <c r="BC2123" s="245">
        <f>BB2123/27</f>
        <v>62.962962962962962</v>
      </c>
      <c r="BD2123" s="245"/>
      <c r="BE2123" s="245"/>
      <c r="BK2123" s="245">
        <v>2750</v>
      </c>
      <c r="BL2123" s="245">
        <v>2850</v>
      </c>
      <c r="BM2123" s="245"/>
      <c r="BP2123" s="437">
        <v>1.2659199999999999</v>
      </c>
      <c r="BQ2123" s="437">
        <v>1.2589600000000001</v>
      </c>
      <c r="BU2123" s="437">
        <v>1.97</v>
      </c>
      <c r="BV2123" s="437">
        <v>2.0100000000000002</v>
      </c>
      <c r="BZ2123" s="430">
        <f t="shared" si="316"/>
        <v>18.703967999999996</v>
      </c>
      <c r="CA2123" s="430">
        <f t="shared" si="317"/>
        <v>18.978822000000005</v>
      </c>
      <c r="CD2123" s="24" t="s">
        <v>2095</v>
      </c>
      <c r="CE2123" s="548">
        <v>18.703967999999996</v>
      </c>
      <c r="CF2123" s="548">
        <v>18.978822000000005</v>
      </c>
      <c r="CG2123" s="548"/>
      <c r="CH2123" s="548"/>
      <c r="CI2123" s="24" t="s">
        <v>4551</v>
      </c>
      <c r="JB2123" s="245" t="s">
        <v>2082</v>
      </c>
      <c r="JC2123" s="245"/>
      <c r="JD2123" s="249"/>
    </row>
    <row r="2124" spans="1:264" s="24" customFormat="1" x14ac:dyDescent="0.25">
      <c r="A2124" s="245">
        <v>96</v>
      </c>
      <c r="B2124" s="246" t="s">
        <v>4221</v>
      </c>
      <c r="C2124" s="245" t="s">
        <v>2022</v>
      </c>
      <c r="D2124" s="245" t="s">
        <v>525</v>
      </c>
      <c r="E2124" s="245">
        <v>1990</v>
      </c>
      <c r="F2124" s="245">
        <v>1984</v>
      </c>
      <c r="G2124" s="245" t="s">
        <v>302</v>
      </c>
      <c r="H2124" s="245" t="s">
        <v>2021</v>
      </c>
      <c r="I2124" s="156" t="s">
        <v>2815</v>
      </c>
      <c r="J2124" s="245">
        <v>38.06</v>
      </c>
      <c r="K2124" s="245">
        <v>-84.59</v>
      </c>
      <c r="L2124" s="245">
        <v>294</v>
      </c>
      <c r="M2124" s="245">
        <v>12.8</v>
      </c>
      <c r="N2124" s="245"/>
      <c r="O2124" s="245">
        <v>1148.0999999999999</v>
      </c>
      <c r="P2124" s="245"/>
      <c r="Q2124" s="245"/>
      <c r="R2124" s="245">
        <v>1</v>
      </c>
      <c r="S2124" s="246" t="s">
        <v>1847</v>
      </c>
      <c r="U2124" s="246" t="s">
        <v>2129</v>
      </c>
      <c r="V2124" s="245" t="s">
        <v>1380</v>
      </c>
      <c r="W2124" s="247">
        <v>7.5</v>
      </c>
      <c r="X2124" s="245" t="s">
        <v>1380</v>
      </c>
      <c r="Y2124" s="245" t="s">
        <v>1380</v>
      </c>
      <c r="Z2124" s="248">
        <f>AVERAGE(Sheet1!BP2124:BQ2124)</f>
        <v>1.2089349999999999</v>
      </c>
      <c r="AA2124" s="379">
        <v>65</v>
      </c>
      <c r="AB2124" s="379">
        <v>25</v>
      </c>
      <c r="AC2124" s="245" t="s">
        <v>450</v>
      </c>
      <c r="AD2124" s="245"/>
      <c r="AE2124" s="248">
        <v>2.35</v>
      </c>
      <c r="AF2124" s="245"/>
      <c r="AG2124" s="245" t="s">
        <v>2020</v>
      </c>
      <c r="AH2124" s="245" t="s">
        <v>1753</v>
      </c>
      <c r="AI2124" s="245" t="s">
        <v>131</v>
      </c>
      <c r="AJ2124" s="245" t="s">
        <v>2019</v>
      </c>
      <c r="AK2124" s="245" t="s">
        <v>132</v>
      </c>
      <c r="AL2124" s="245"/>
      <c r="AM2124" s="245"/>
      <c r="AN2124" s="245"/>
      <c r="AO2124" s="245" t="s">
        <v>1046</v>
      </c>
      <c r="AP2124" s="245" t="s">
        <v>1046</v>
      </c>
      <c r="AQ2124" s="245" t="s">
        <v>2126</v>
      </c>
      <c r="AR2124" s="245" t="s">
        <v>2126</v>
      </c>
      <c r="AS2124" s="24" t="s">
        <v>177</v>
      </c>
      <c r="AT2124" s="245" t="s">
        <v>2017</v>
      </c>
      <c r="AU2124" s="245" t="s">
        <v>2128</v>
      </c>
      <c r="AV2124" s="24" t="s">
        <v>177</v>
      </c>
      <c r="AW2124" s="245"/>
      <c r="AX2124" s="250">
        <v>4</v>
      </c>
      <c r="AY2124" s="250">
        <v>4</v>
      </c>
      <c r="AZ2124" s="245" t="s">
        <v>2121</v>
      </c>
      <c r="BA2124" s="245"/>
      <c r="BB2124" s="245">
        <v>3500</v>
      </c>
      <c r="BC2124" s="245">
        <f>BB2124/55</f>
        <v>63.636363636363633</v>
      </c>
      <c r="BD2124" s="245"/>
      <c r="BE2124" s="245"/>
      <c r="BK2124" s="245">
        <v>6700</v>
      </c>
      <c r="BL2124" s="245">
        <v>6600</v>
      </c>
      <c r="BM2124" s="245"/>
      <c r="BP2124" s="437">
        <v>1.1998</v>
      </c>
      <c r="BQ2124" s="437">
        <v>1.21807</v>
      </c>
      <c r="BU2124" s="437">
        <v>2.35</v>
      </c>
      <c r="BV2124" s="437">
        <v>2.2450000000000001</v>
      </c>
      <c r="BZ2124" s="430">
        <f t="shared" si="316"/>
        <v>21.146474999999999</v>
      </c>
      <c r="CA2124" s="430">
        <f t="shared" si="317"/>
        <v>20.509253624999999</v>
      </c>
      <c r="CD2124" s="24" t="s">
        <v>2095</v>
      </c>
      <c r="CE2124" s="548">
        <v>21.146474999999999</v>
      </c>
      <c r="CF2124" s="548">
        <v>20.509253624999999</v>
      </c>
      <c r="CG2124" s="548"/>
      <c r="CH2124" s="548"/>
      <c r="CI2124" s="24" t="s">
        <v>4551</v>
      </c>
      <c r="JB2124" s="245" t="s">
        <v>2082</v>
      </c>
      <c r="JC2124" s="245"/>
      <c r="JD2124" s="249"/>
    </row>
    <row r="2125" spans="1:264" s="24" customFormat="1" x14ac:dyDescent="0.25">
      <c r="A2125" s="245">
        <v>96</v>
      </c>
      <c r="B2125" s="246" t="s">
        <v>4222</v>
      </c>
      <c r="C2125" s="245" t="s">
        <v>2022</v>
      </c>
      <c r="D2125" s="245" t="s">
        <v>525</v>
      </c>
      <c r="E2125" s="245">
        <v>1990</v>
      </c>
      <c r="F2125" s="245">
        <v>1985</v>
      </c>
      <c r="G2125" s="245" t="s">
        <v>302</v>
      </c>
      <c r="H2125" s="245" t="s">
        <v>2021</v>
      </c>
      <c r="I2125" s="156" t="s">
        <v>2815</v>
      </c>
      <c r="J2125" s="245">
        <v>38.06</v>
      </c>
      <c r="K2125" s="245">
        <v>-84.59</v>
      </c>
      <c r="L2125" s="245">
        <v>294</v>
      </c>
      <c r="M2125" s="245">
        <v>12.8</v>
      </c>
      <c r="N2125" s="245"/>
      <c r="O2125" s="245">
        <v>1148.0999999999999</v>
      </c>
      <c r="P2125" s="245"/>
      <c r="Q2125" s="245"/>
      <c r="R2125" s="245">
        <v>2</v>
      </c>
      <c r="S2125" s="246" t="s">
        <v>1847</v>
      </c>
      <c r="U2125" s="246" t="s">
        <v>2129</v>
      </c>
      <c r="V2125" s="245" t="s">
        <v>1380</v>
      </c>
      <c r="W2125" s="247">
        <v>7.5</v>
      </c>
      <c r="X2125" s="245" t="s">
        <v>1380</v>
      </c>
      <c r="Y2125" s="245" t="s">
        <v>1380</v>
      </c>
      <c r="Z2125" s="248">
        <f>AVERAGE(Sheet1!BP2125:BQ2125)</f>
        <v>1.322905</v>
      </c>
      <c r="AA2125" s="379">
        <v>65</v>
      </c>
      <c r="AB2125" s="379">
        <v>25</v>
      </c>
      <c r="AC2125" s="245" t="s">
        <v>450</v>
      </c>
      <c r="AD2125" s="245"/>
      <c r="AE2125" s="248">
        <v>1.64</v>
      </c>
      <c r="AF2125" s="245"/>
      <c r="AG2125" s="245" t="s">
        <v>2020</v>
      </c>
      <c r="AH2125" s="245" t="s">
        <v>1753</v>
      </c>
      <c r="AI2125" s="245" t="s">
        <v>131</v>
      </c>
      <c r="AJ2125" s="245" t="s">
        <v>2019</v>
      </c>
      <c r="AK2125" s="245" t="s">
        <v>132</v>
      </c>
      <c r="AL2125" s="245"/>
      <c r="AM2125" s="245"/>
      <c r="AN2125" s="245"/>
      <c r="AO2125" s="245" t="s">
        <v>2018</v>
      </c>
      <c r="AP2125" s="245" t="s">
        <v>2018</v>
      </c>
      <c r="AQ2125" s="245" t="s">
        <v>2125</v>
      </c>
      <c r="AR2125" s="245" t="s">
        <v>2125</v>
      </c>
      <c r="AS2125" s="24" t="s">
        <v>177</v>
      </c>
      <c r="AT2125" s="245" t="s">
        <v>2023</v>
      </c>
      <c r="AU2125" s="245" t="s">
        <v>2127</v>
      </c>
      <c r="AV2125" s="24" t="s">
        <v>177</v>
      </c>
      <c r="AW2125" s="245"/>
      <c r="AX2125" s="250">
        <v>4</v>
      </c>
      <c r="AY2125" s="250">
        <v>4</v>
      </c>
      <c r="AZ2125" s="245" t="s">
        <v>2121</v>
      </c>
      <c r="BA2125" s="245"/>
      <c r="BB2125" s="245">
        <v>2600</v>
      </c>
      <c r="BC2125" s="245">
        <f>BB2125/25</f>
        <v>104</v>
      </c>
      <c r="BD2125" s="245"/>
      <c r="BE2125" s="245"/>
      <c r="BK2125" s="245">
        <v>4000</v>
      </c>
      <c r="BL2125" s="245">
        <v>3500</v>
      </c>
      <c r="BM2125" s="245"/>
      <c r="BP2125" s="437">
        <v>1.32334</v>
      </c>
      <c r="BQ2125" s="437">
        <v>1.32247</v>
      </c>
      <c r="BU2125" s="437">
        <v>1.64</v>
      </c>
      <c r="BV2125" s="437">
        <v>1.645</v>
      </c>
      <c r="BZ2125" s="430">
        <f t="shared" si="316"/>
        <v>16.277082</v>
      </c>
      <c r="CA2125" s="430">
        <f t="shared" si="317"/>
        <v>16.315973624999998</v>
      </c>
      <c r="CD2125" s="24" t="s">
        <v>2095</v>
      </c>
      <c r="CE2125" s="548">
        <v>16.277082</v>
      </c>
      <c r="CF2125" s="548">
        <v>16.315973624999998</v>
      </c>
      <c r="CG2125" s="548"/>
      <c r="CH2125" s="548"/>
      <c r="CI2125" s="24" t="s">
        <v>4551</v>
      </c>
      <c r="JB2125" s="245" t="s">
        <v>2082</v>
      </c>
      <c r="JC2125" s="245"/>
      <c r="JD2125" s="249"/>
    </row>
    <row r="2126" spans="1:264" s="24" customFormat="1" x14ac:dyDescent="0.25">
      <c r="A2126" s="245">
        <v>96</v>
      </c>
      <c r="B2126" s="246" t="s">
        <v>4222</v>
      </c>
      <c r="C2126" s="245" t="s">
        <v>2022</v>
      </c>
      <c r="D2126" s="245" t="s">
        <v>525</v>
      </c>
      <c r="E2126" s="245">
        <v>1990</v>
      </c>
      <c r="F2126" s="245">
        <v>1985</v>
      </c>
      <c r="G2126" s="245" t="s">
        <v>302</v>
      </c>
      <c r="H2126" s="245" t="s">
        <v>2021</v>
      </c>
      <c r="I2126" s="156" t="s">
        <v>2815</v>
      </c>
      <c r="J2126" s="245">
        <v>38.06</v>
      </c>
      <c r="K2126" s="245">
        <v>-84.59</v>
      </c>
      <c r="L2126" s="245">
        <v>294</v>
      </c>
      <c r="M2126" s="245">
        <v>12.8</v>
      </c>
      <c r="N2126" s="245"/>
      <c r="O2126" s="245">
        <v>1148.0999999999999</v>
      </c>
      <c r="P2126" s="245"/>
      <c r="Q2126" s="245"/>
      <c r="R2126" s="245">
        <v>2</v>
      </c>
      <c r="S2126" s="246" t="s">
        <v>1847</v>
      </c>
      <c r="U2126" s="246" t="s">
        <v>2129</v>
      </c>
      <c r="V2126" s="245" t="s">
        <v>1380</v>
      </c>
      <c r="W2126" s="247">
        <v>7.5</v>
      </c>
      <c r="X2126" s="245" t="s">
        <v>1380</v>
      </c>
      <c r="Y2126" s="245" t="s">
        <v>1380</v>
      </c>
      <c r="Z2126" s="248">
        <f>AVERAGE(Sheet1!BP2126:BQ2126)</f>
        <v>1.32334</v>
      </c>
      <c r="AA2126" s="379">
        <v>65</v>
      </c>
      <c r="AB2126" s="379">
        <v>25</v>
      </c>
      <c r="AC2126" s="245" t="s">
        <v>450</v>
      </c>
      <c r="AD2126" s="245"/>
      <c r="AE2126" s="248">
        <v>1.675</v>
      </c>
      <c r="AF2126" s="245"/>
      <c r="AG2126" s="245" t="s">
        <v>2020</v>
      </c>
      <c r="AH2126" s="245" t="s">
        <v>1753</v>
      </c>
      <c r="AI2126" s="245" t="s">
        <v>131</v>
      </c>
      <c r="AJ2126" s="245" t="s">
        <v>2019</v>
      </c>
      <c r="AK2126" s="245" t="s">
        <v>132</v>
      </c>
      <c r="AL2126" s="245"/>
      <c r="AM2126" s="245"/>
      <c r="AN2126" s="245"/>
      <c r="AO2126" s="245" t="s">
        <v>2018</v>
      </c>
      <c r="AP2126" s="245" t="s">
        <v>2018</v>
      </c>
      <c r="AQ2126" s="245" t="s">
        <v>2125</v>
      </c>
      <c r="AR2126" s="245" t="s">
        <v>2125</v>
      </c>
      <c r="AS2126" s="24" t="s">
        <v>177</v>
      </c>
      <c r="AT2126" s="245" t="s">
        <v>2017</v>
      </c>
      <c r="AU2126" s="245" t="s">
        <v>2128</v>
      </c>
      <c r="AV2126" s="24" t="s">
        <v>177</v>
      </c>
      <c r="AW2126" s="245"/>
      <c r="AX2126" s="250">
        <v>4</v>
      </c>
      <c r="AY2126" s="250">
        <v>4</v>
      </c>
      <c r="AZ2126" s="245" t="s">
        <v>2121</v>
      </c>
      <c r="BA2126" s="245"/>
      <c r="BB2126" s="245"/>
      <c r="BC2126" s="245"/>
      <c r="BD2126" s="245"/>
      <c r="BE2126" s="245"/>
      <c r="BK2126" s="245">
        <v>6600</v>
      </c>
      <c r="BL2126" s="245">
        <v>6900</v>
      </c>
      <c r="BM2126" s="245"/>
      <c r="BP2126" s="437">
        <v>1.31725</v>
      </c>
      <c r="BQ2126" s="437">
        <v>1.3294299999999999</v>
      </c>
      <c r="BU2126" s="437">
        <v>1.675</v>
      </c>
      <c r="BV2126" s="437">
        <v>1.605</v>
      </c>
      <c r="BZ2126" s="430">
        <f t="shared" si="316"/>
        <v>16.547953124999999</v>
      </c>
      <c r="CA2126" s="430">
        <f t="shared" si="317"/>
        <v>16.003013624999998</v>
      </c>
      <c r="CD2126" s="24" t="s">
        <v>2095</v>
      </c>
      <c r="CE2126" s="548">
        <v>16.547953124999999</v>
      </c>
      <c r="CF2126" s="548">
        <v>16.003013624999998</v>
      </c>
      <c r="CG2126" s="548"/>
      <c r="CH2126" s="548"/>
      <c r="CI2126" s="24" t="s">
        <v>4551</v>
      </c>
      <c r="JB2126" s="245" t="s">
        <v>2082</v>
      </c>
      <c r="JC2126" s="245"/>
      <c r="JD2126" s="249"/>
    </row>
    <row r="2127" spans="1:264" s="314" customFormat="1" x14ac:dyDescent="0.25">
      <c r="A2127" s="314">
        <v>97</v>
      </c>
      <c r="B2127" s="316" t="s">
        <v>4223</v>
      </c>
      <c r="C2127" s="185" t="s">
        <v>2130</v>
      </c>
      <c r="E2127" s="185">
        <v>2000</v>
      </c>
      <c r="F2127" s="314">
        <v>1994</v>
      </c>
      <c r="G2127" s="185" t="s">
        <v>2045</v>
      </c>
      <c r="H2127" s="185" t="s">
        <v>2131</v>
      </c>
      <c r="I2127" s="185" t="s">
        <v>2816</v>
      </c>
      <c r="J2127" s="314">
        <v>46.58</v>
      </c>
      <c r="K2127" s="314">
        <v>-71.23</v>
      </c>
      <c r="L2127" s="185">
        <v>132.1</v>
      </c>
      <c r="M2127" s="185"/>
      <c r="N2127" s="185"/>
      <c r="R2127" s="314">
        <v>2</v>
      </c>
      <c r="S2127" s="185">
        <v>4</v>
      </c>
      <c r="U2127" s="314" t="s">
        <v>2274</v>
      </c>
      <c r="V2127" s="185" t="s">
        <v>1379</v>
      </c>
      <c r="W2127" s="164">
        <v>20</v>
      </c>
      <c r="X2127" s="185" t="s">
        <v>1379</v>
      </c>
      <c r="Y2127" s="185" t="s">
        <v>1379</v>
      </c>
      <c r="Z2127" s="317">
        <v>1.6087</v>
      </c>
      <c r="AA2127" s="380">
        <v>27</v>
      </c>
      <c r="AB2127" s="380">
        <v>49</v>
      </c>
      <c r="AC2127" s="314" t="s">
        <v>139</v>
      </c>
      <c r="AG2127" s="185" t="s">
        <v>2132</v>
      </c>
      <c r="AH2127" s="185" t="s">
        <v>2133</v>
      </c>
      <c r="AI2127" s="314" t="s">
        <v>577</v>
      </c>
      <c r="AJ2127" s="185" t="s">
        <v>2134</v>
      </c>
      <c r="AK2127" s="314" t="s">
        <v>116</v>
      </c>
      <c r="AO2127" s="185" t="s">
        <v>2018</v>
      </c>
      <c r="AP2127" s="185" t="s">
        <v>2018</v>
      </c>
      <c r="AQ2127" s="185" t="s">
        <v>2125</v>
      </c>
      <c r="AR2127" s="185" t="s">
        <v>2125</v>
      </c>
      <c r="AS2127" s="314" t="s">
        <v>177</v>
      </c>
      <c r="AT2127" s="185" t="s">
        <v>2023</v>
      </c>
      <c r="AU2127" s="185" t="s">
        <v>2023</v>
      </c>
      <c r="AV2127" s="314" t="s">
        <v>177</v>
      </c>
      <c r="AW2127" s="185" t="s">
        <v>160</v>
      </c>
      <c r="AX2127" s="314">
        <v>3</v>
      </c>
      <c r="AY2127" s="185">
        <v>10</v>
      </c>
      <c r="AZ2127" s="314" t="s">
        <v>141</v>
      </c>
      <c r="BK2127" s="185">
        <v>930.4</v>
      </c>
      <c r="BL2127" s="314">
        <v>1644</v>
      </c>
      <c r="BN2127" s="315"/>
      <c r="BO2127" s="314" t="s">
        <v>569</v>
      </c>
      <c r="BP2127" s="433"/>
      <c r="BQ2127" s="433"/>
      <c r="BU2127" s="465">
        <f>1/1000000*1000*285</f>
        <v>0.28500000000000003</v>
      </c>
      <c r="BV2127" s="465">
        <f>1/1000000*1000*350</f>
        <v>0.35000000000000003</v>
      </c>
      <c r="BW2127" s="314">
        <f>1/1000000*1000*9.4</f>
        <v>9.4000000000000004E-3</v>
      </c>
      <c r="BX2127" s="314">
        <f>1/1000000*1000*7.8</f>
        <v>7.7999999999999996E-3</v>
      </c>
      <c r="BY2127" s="314" t="s">
        <v>2281</v>
      </c>
      <c r="BZ2127" s="465"/>
      <c r="CA2127" s="465"/>
      <c r="CD2127" s="314" t="s">
        <v>3122</v>
      </c>
      <c r="CE2127" s="595">
        <v>2.8499999999999998E-2</v>
      </c>
      <c r="CF2127" s="595">
        <v>3.4999999999999996E-2</v>
      </c>
      <c r="CG2127" s="595">
        <v>9.3999999999999997E-4</v>
      </c>
      <c r="CH2127" s="595">
        <v>7.7999999999999988E-4</v>
      </c>
      <c r="CI2127" s="314" t="s">
        <v>4546</v>
      </c>
      <c r="CJ2127" s="314">
        <v>28</v>
      </c>
      <c r="CK2127" s="314">
        <v>35</v>
      </c>
      <c r="CL2127" s="314">
        <v>1.3</v>
      </c>
      <c r="CM2127" s="314">
        <v>1.2</v>
      </c>
      <c r="CN2127" s="314" t="s">
        <v>2282</v>
      </c>
      <c r="CO2127" s="314">
        <v>56</v>
      </c>
      <c r="CP2127" s="314">
        <v>82</v>
      </c>
      <c r="CQ2127" s="314">
        <v>1.9</v>
      </c>
      <c r="CR2127" s="314">
        <v>1</v>
      </c>
      <c r="CS2127" s="314" t="s">
        <v>2280</v>
      </c>
      <c r="DS2127" s="314">
        <v>1.76</v>
      </c>
      <c r="DT2127" s="314">
        <v>1.88</v>
      </c>
      <c r="DU2127" s="314">
        <v>0.38</v>
      </c>
      <c r="DV2127" s="314">
        <v>0.5</v>
      </c>
      <c r="DW2127" s="314" t="s">
        <v>2279</v>
      </c>
      <c r="FU2127" s="316"/>
      <c r="FV2127" s="164"/>
      <c r="HJ2127" s="314">
        <v>130</v>
      </c>
      <c r="HK2127" s="314">
        <v>167</v>
      </c>
      <c r="HL2127" s="314">
        <v>11.9</v>
      </c>
      <c r="HM2127" s="314">
        <v>14.4</v>
      </c>
      <c r="HN2127" s="314" t="s">
        <v>2277</v>
      </c>
    </row>
    <row r="2128" spans="1:264" s="314" customFormat="1" x14ac:dyDescent="0.25">
      <c r="A2128" s="314">
        <v>97</v>
      </c>
      <c r="B2128" s="316" t="s">
        <v>4224</v>
      </c>
      <c r="C2128" s="185" t="s">
        <v>2130</v>
      </c>
      <c r="E2128" s="185">
        <v>2000</v>
      </c>
      <c r="F2128" s="314">
        <v>1994</v>
      </c>
      <c r="G2128" s="185" t="s">
        <v>2045</v>
      </c>
      <c r="H2128" s="185" t="s">
        <v>2131</v>
      </c>
      <c r="I2128" s="185" t="s">
        <v>2816</v>
      </c>
      <c r="J2128" s="314">
        <v>46.58</v>
      </c>
      <c r="K2128" s="314">
        <v>-71.23</v>
      </c>
      <c r="L2128" s="185">
        <v>132.1</v>
      </c>
      <c r="M2128" s="185"/>
      <c r="N2128" s="185"/>
      <c r="R2128" s="314">
        <v>2</v>
      </c>
      <c r="S2128" s="185">
        <v>4</v>
      </c>
      <c r="U2128" s="314" t="s">
        <v>2274</v>
      </c>
      <c r="V2128" s="185" t="s">
        <v>1379</v>
      </c>
      <c r="W2128" s="164">
        <v>20</v>
      </c>
      <c r="X2128" s="185" t="s">
        <v>1379</v>
      </c>
      <c r="Y2128" s="185" t="s">
        <v>1379</v>
      </c>
      <c r="Z2128" s="317">
        <v>1.6087</v>
      </c>
      <c r="AA2128" s="380">
        <v>27</v>
      </c>
      <c r="AB2128" s="380">
        <v>49</v>
      </c>
      <c r="AC2128" s="314" t="s">
        <v>139</v>
      </c>
      <c r="AG2128" s="185" t="s">
        <v>2132</v>
      </c>
      <c r="AH2128" s="185" t="s">
        <v>2136</v>
      </c>
      <c r="AI2128" s="314" t="s">
        <v>1581</v>
      </c>
      <c r="AJ2128" s="185" t="s">
        <v>2134</v>
      </c>
      <c r="AK2128" s="314" t="s">
        <v>116</v>
      </c>
      <c r="AO2128" s="185" t="s">
        <v>2018</v>
      </c>
      <c r="AP2128" s="185" t="s">
        <v>2018</v>
      </c>
      <c r="AQ2128" s="185" t="s">
        <v>2125</v>
      </c>
      <c r="AR2128" s="185" t="s">
        <v>2125</v>
      </c>
      <c r="AS2128" s="314" t="s">
        <v>177</v>
      </c>
      <c r="AT2128" s="185" t="s">
        <v>2023</v>
      </c>
      <c r="AU2128" s="185" t="s">
        <v>2023</v>
      </c>
      <c r="AV2128" s="314" t="s">
        <v>177</v>
      </c>
      <c r="AW2128" s="185" t="s">
        <v>160</v>
      </c>
      <c r="AX2128" s="314">
        <v>3</v>
      </c>
      <c r="AY2128" s="185">
        <v>10</v>
      </c>
      <c r="AZ2128" s="314" t="s">
        <v>141</v>
      </c>
      <c r="BK2128" s="185">
        <v>930.4</v>
      </c>
      <c r="BL2128" s="314">
        <v>2176</v>
      </c>
      <c r="BN2128" s="315"/>
      <c r="BO2128" s="314" t="s">
        <v>569</v>
      </c>
      <c r="BP2128" s="433"/>
      <c r="BQ2128" s="433"/>
      <c r="BU2128" s="465">
        <f t="shared" ref="BU2128:BU2131" si="318">1/1000000*1000*285</f>
        <v>0.28500000000000003</v>
      </c>
      <c r="BV2128" s="465">
        <f t="shared" ref="BV2128:BV2131" si="319">1/1000000*1000*350</f>
        <v>0.35000000000000003</v>
      </c>
      <c r="BW2128" s="314">
        <f t="shared" ref="BW2128:BW2131" si="320">1/1000000*1000*9.4</f>
        <v>9.4000000000000004E-3</v>
      </c>
      <c r="BX2128" s="314">
        <f t="shared" ref="BX2128:BX2131" si="321">1/1000000*1000*7.8</f>
        <v>7.7999999999999996E-3</v>
      </c>
      <c r="BY2128" s="314" t="s">
        <v>2281</v>
      </c>
      <c r="BZ2128" s="465"/>
      <c r="CA2128" s="465"/>
      <c r="CD2128" s="314" t="s">
        <v>3122</v>
      </c>
      <c r="CE2128" s="595">
        <v>2.8499999999999998E-2</v>
      </c>
      <c r="CF2128" s="595">
        <v>2.6699999999999998E-2</v>
      </c>
      <c r="CG2128" s="595">
        <v>9.3999999999999997E-4</v>
      </c>
      <c r="CH2128" s="595">
        <v>9.1999999999999981E-4</v>
      </c>
      <c r="CI2128" s="314" t="s">
        <v>4546</v>
      </c>
      <c r="CJ2128" s="314">
        <v>28</v>
      </c>
      <c r="CK2128" s="314">
        <v>48</v>
      </c>
      <c r="CL2128" s="314">
        <v>1.3</v>
      </c>
      <c r="CM2128" s="314">
        <v>0.9</v>
      </c>
      <c r="CN2128" s="314" t="s">
        <v>2282</v>
      </c>
      <c r="CO2128" s="314">
        <v>56</v>
      </c>
      <c r="CP2128" s="314">
        <v>85</v>
      </c>
      <c r="CQ2128" s="314">
        <v>1.9</v>
      </c>
      <c r="CR2128" s="314">
        <v>2.4</v>
      </c>
      <c r="CS2128" s="314" t="s">
        <v>2280</v>
      </c>
      <c r="DS2128" s="314">
        <v>1.76</v>
      </c>
      <c r="DT2128" s="314">
        <v>2.14</v>
      </c>
      <c r="DU2128" s="314">
        <v>0.38</v>
      </c>
      <c r="DV2128" s="314">
        <v>0.77</v>
      </c>
      <c r="DW2128" s="314" t="s">
        <v>2279</v>
      </c>
      <c r="FU2128" s="316"/>
      <c r="FV2128" s="164"/>
      <c r="HJ2128" s="314">
        <v>130</v>
      </c>
      <c r="HK2128" s="314">
        <v>172</v>
      </c>
      <c r="HL2128" s="314">
        <v>11.9</v>
      </c>
      <c r="HM2128" s="314">
        <v>18.7</v>
      </c>
      <c r="HN2128" s="314" t="s">
        <v>2277</v>
      </c>
    </row>
    <row r="2129" spans="1:222" s="314" customFormat="1" x14ac:dyDescent="0.25">
      <c r="A2129" s="314">
        <v>97</v>
      </c>
      <c r="B2129" s="316" t="s">
        <v>4224</v>
      </c>
      <c r="C2129" s="185" t="s">
        <v>2130</v>
      </c>
      <c r="E2129" s="185">
        <v>2000</v>
      </c>
      <c r="F2129" s="314">
        <v>1994</v>
      </c>
      <c r="G2129" s="185" t="s">
        <v>2045</v>
      </c>
      <c r="H2129" s="185" t="s">
        <v>2131</v>
      </c>
      <c r="I2129" s="185" t="s">
        <v>2816</v>
      </c>
      <c r="J2129" s="314">
        <v>46.58</v>
      </c>
      <c r="K2129" s="314">
        <v>-71.23</v>
      </c>
      <c r="L2129" s="185">
        <v>132.1</v>
      </c>
      <c r="M2129" s="185"/>
      <c r="N2129" s="185"/>
      <c r="R2129" s="314">
        <v>2</v>
      </c>
      <c r="S2129" s="185">
        <v>4</v>
      </c>
      <c r="U2129" s="314" t="s">
        <v>2274</v>
      </c>
      <c r="V2129" s="185" t="s">
        <v>1379</v>
      </c>
      <c r="W2129" s="164">
        <v>20</v>
      </c>
      <c r="X2129" s="185" t="s">
        <v>1379</v>
      </c>
      <c r="Y2129" s="185" t="s">
        <v>1379</v>
      </c>
      <c r="Z2129" s="317">
        <v>1.6087</v>
      </c>
      <c r="AA2129" s="380">
        <v>27</v>
      </c>
      <c r="AB2129" s="380">
        <v>49</v>
      </c>
      <c r="AC2129" s="314" t="s">
        <v>139</v>
      </c>
      <c r="AG2129" s="185" t="s">
        <v>2132</v>
      </c>
      <c r="AH2129" s="185" t="s">
        <v>2137</v>
      </c>
      <c r="AI2129" s="314" t="s">
        <v>1581</v>
      </c>
      <c r="AJ2129" s="185" t="s">
        <v>2134</v>
      </c>
      <c r="AK2129" s="314" t="s">
        <v>116</v>
      </c>
      <c r="AO2129" s="185" t="s">
        <v>2018</v>
      </c>
      <c r="AP2129" s="185" t="s">
        <v>2018</v>
      </c>
      <c r="AQ2129" s="185" t="s">
        <v>2125</v>
      </c>
      <c r="AR2129" s="185" t="s">
        <v>2125</v>
      </c>
      <c r="AS2129" s="314" t="s">
        <v>177</v>
      </c>
      <c r="AT2129" s="185" t="s">
        <v>2023</v>
      </c>
      <c r="AU2129" s="185" t="s">
        <v>2023</v>
      </c>
      <c r="AV2129" s="314" t="s">
        <v>177</v>
      </c>
      <c r="AW2129" s="185" t="s">
        <v>160</v>
      </c>
      <c r="AX2129" s="314">
        <v>3</v>
      </c>
      <c r="AY2129" s="185">
        <v>10</v>
      </c>
      <c r="AZ2129" s="314" t="s">
        <v>141</v>
      </c>
      <c r="BB2129" s="314">
        <v>3681</v>
      </c>
      <c r="BC2129" s="314">
        <v>30</v>
      </c>
      <c r="BK2129" s="185">
        <v>930.4</v>
      </c>
      <c r="BL2129" s="314">
        <v>1689</v>
      </c>
      <c r="BN2129" s="315"/>
      <c r="BO2129" s="314" t="s">
        <v>569</v>
      </c>
      <c r="BP2129" s="433"/>
      <c r="BQ2129" s="433"/>
      <c r="BU2129" s="465">
        <f t="shared" si="318"/>
        <v>0.28500000000000003</v>
      </c>
      <c r="BV2129" s="465">
        <f t="shared" si="319"/>
        <v>0.35000000000000003</v>
      </c>
      <c r="BW2129" s="314">
        <f t="shared" si="320"/>
        <v>9.4000000000000004E-3</v>
      </c>
      <c r="BX2129" s="314">
        <f t="shared" si="321"/>
        <v>7.7999999999999996E-3</v>
      </c>
      <c r="BY2129" s="314" t="s">
        <v>2281</v>
      </c>
      <c r="BZ2129" s="465"/>
      <c r="CA2129" s="465"/>
      <c r="CD2129" s="314" t="s">
        <v>3122</v>
      </c>
      <c r="CE2129" s="595">
        <v>2.8499999999999998E-2</v>
      </c>
      <c r="CF2129" s="595">
        <v>3.0799999999999998E-2</v>
      </c>
      <c r="CG2129" s="595">
        <v>9.3999999999999997E-4</v>
      </c>
      <c r="CH2129" s="595">
        <v>6.2E-4</v>
      </c>
      <c r="CI2129" s="314" t="s">
        <v>4546</v>
      </c>
      <c r="CJ2129" s="314">
        <v>28</v>
      </c>
      <c r="CK2129" s="314">
        <v>37</v>
      </c>
      <c r="CL2129" s="314">
        <v>1.3</v>
      </c>
      <c r="CM2129" s="314">
        <v>1</v>
      </c>
      <c r="CN2129" s="314" t="s">
        <v>2282</v>
      </c>
      <c r="CO2129" s="314">
        <v>56</v>
      </c>
      <c r="CP2129" s="314">
        <v>76</v>
      </c>
      <c r="CQ2129" s="314">
        <v>1.9</v>
      </c>
      <c r="CR2129" s="314">
        <v>2.2000000000000002</v>
      </c>
      <c r="CS2129" s="314" t="s">
        <v>2280</v>
      </c>
      <c r="DS2129" s="314">
        <v>1.76</v>
      </c>
      <c r="DT2129" s="314">
        <v>2.13</v>
      </c>
      <c r="DU2129" s="314">
        <v>0.38</v>
      </c>
      <c r="DV2129" s="314">
        <v>0.41</v>
      </c>
      <c r="DW2129" s="314" t="s">
        <v>2279</v>
      </c>
      <c r="FU2129" s="316"/>
      <c r="FV2129" s="164"/>
      <c r="HJ2129" s="314">
        <v>130</v>
      </c>
      <c r="HK2129" s="314">
        <v>133</v>
      </c>
      <c r="HL2129" s="314">
        <v>11.9</v>
      </c>
      <c r="HM2129" s="314">
        <v>15.5</v>
      </c>
      <c r="HN2129" s="314" t="s">
        <v>2277</v>
      </c>
    </row>
    <row r="2130" spans="1:222" s="314" customFormat="1" x14ac:dyDescent="0.25">
      <c r="A2130" s="314">
        <v>97</v>
      </c>
      <c r="B2130" s="316" t="s">
        <v>4225</v>
      </c>
      <c r="C2130" s="185" t="s">
        <v>2130</v>
      </c>
      <c r="E2130" s="185">
        <v>2000</v>
      </c>
      <c r="F2130" s="314">
        <v>1994</v>
      </c>
      <c r="G2130" s="185" t="s">
        <v>2045</v>
      </c>
      <c r="H2130" s="185" t="s">
        <v>2131</v>
      </c>
      <c r="I2130" s="185" t="s">
        <v>2816</v>
      </c>
      <c r="J2130" s="314">
        <v>46.58</v>
      </c>
      <c r="K2130" s="314">
        <v>-71.23</v>
      </c>
      <c r="L2130" s="185">
        <v>132.1</v>
      </c>
      <c r="M2130" s="185"/>
      <c r="N2130" s="185"/>
      <c r="R2130" s="314">
        <v>2</v>
      </c>
      <c r="S2130" s="185">
        <v>4</v>
      </c>
      <c r="U2130" s="314" t="s">
        <v>2274</v>
      </c>
      <c r="V2130" s="185" t="s">
        <v>1379</v>
      </c>
      <c r="W2130" s="164">
        <v>20</v>
      </c>
      <c r="X2130" s="185" t="s">
        <v>1379</v>
      </c>
      <c r="Y2130" s="185" t="s">
        <v>1379</v>
      </c>
      <c r="Z2130" s="317">
        <v>1.6087</v>
      </c>
      <c r="AA2130" s="380">
        <v>27</v>
      </c>
      <c r="AB2130" s="380">
        <v>49</v>
      </c>
      <c r="AC2130" s="314" t="s">
        <v>139</v>
      </c>
      <c r="AG2130" s="185" t="s">
        <v>2132</v>
      </c>
      <c r="AH2130" s="185" t="s">
        <v>2139</v>
      </c>
      <c r="AI2130" s="314" t="s">
        <v>1129</v>
      </c>
      <c r="AJ2130" s="185" t="s">
        <v>2134</v>
      </c>
      <c r="AK2130" s="314" t="s">
        <v>116</v>
      </c>
      <c r="AO2130" s="185" t="s">
        <v>2018</v>
      </c>
      <c r="AP2130" s="185" t="s">
        <v>2018</v>
      </c>
      <c r="AQ2130" s="185" t="s">
        <v>2125</v>
      </c>
      <c r="AR2130" s="185" t="s">
        <v>2125</v>
      </c>
      <c r="AS2130" s="314" t="s">
        <v>177</v>
      </c>
      <c r="AT2130" s="185" t="s">
        <v>2023</v>
      </c>
      <c r="AU2130" s="185" t="s">
        <v>2023</v>
      </c>
      <c r="AV2130" s="314" t="s">
        <v>177</v>
      </c>
      <c r="AW2130" s="185" t="s">
        <v>160</v>
      </c>
      <c r="AX2130" s="314">
        <v>3</v>
      </c>
      <c r="AY2130" s="185">
        <v>10</v>
      </c>
      <c r="AZ2130" s="314" t="s">
        <v>141</v>
      </c>
      <c r="BB2130" s="314">
        <v>4617</v>
      </c>
      <c r="BC2130" s="314">
        <v>25</v>
      </c>
      <c r="BK2130" s="185">
        <v>930.4</v>
      </c>
      <c r="BL2130" s="314">
        <v>2720</v>
      </c>
      <c r="BN2130" s="315"/>
      <c r="BO2130" s="314" t="s">
        <v>569</v>
      </c>
      <c r="BP2130" s="433"/>
      <c r="BQ2130" s="433"/>
      <c r="BU2130" s="465">
        <f t="shared" si="318"/>
        <v>0.28500000000000003</v>
      </c>
      <c r="BV2130" s="465">
        <f t="shared" si="319"/>
        <v>0.35000000000000003</v>
      </c>
      <c r="BW2130" s="314">
        <f t="shared" si="320"/>
        <v>9.4000000000000004E-3</v>
      </c>
      <c r="BX2130" s="314">
        <f t="shared" si="321"/>
        <v>7.7999999999999996E-3</v>
      </c>
      <c r="BY2130" s="314" t="s">
        <v>2281</v>
      </c>
      <c r="BZ2130" s="465"/>
      <c r="CA2130" s="465"/>
      <c r="CD2130" s="314" t="s">
        <v>3122</v>
      </c>
      <c r="CE2130" s="595">
        <v>2.8499999999999998E-2</v>
      </c>
      <c r="CF2130" s="595">
        <v>2.4799999999999999E-2</v>
      </c>
      <c r="CG2130" s="595">
        <v>9.3999999999999997E-4</v>
      </c>
      <c r="CH2130" s="595">
        <v>1.06E-3</v>
      </c>
      <c r="CI2130" s="314" t="s">
        <v>4546</v>
      </c>
      <c r="CJ2130" s="314">
        <v>28</v>
      </c>
      <c r="CK2130" s="314">
        <v>38</v>
      </c>
      <c r="CL2130" s="314">
        <v>1.3</v>
      </c>
      <c r="CM2130" s="314">
        <v>1.4</v>
      </c>
      <c r="CN2130" s="314" t="s">
        <v>2282</v>
      </c>
      <c r="CO2130" s="314">
        <v>56</v>
      </c>
      <c r="CP2130" s="314">
        <v>98</v>
      </c>
      <c r="CQ2130" s="314">
        <v>1.9</v>
      </c>
      <c r="CR2130" s="314">
        <v>2.9</v>
      </c>
      <c r="CS2130" s="314" t="s">
        <v>2280</v>
      </c>
      <c r="DS2130" s="314">
        <v>1.76</v>
      </c>
      <c r="DT2130" s="314">
        <v>1.29</v>
      </c>
      <c r="DU2130" s="314">
        <v>0.38</v>
      </c>
      <c r="DV2130" s="314">
        <v>0.69</v>
      </c>
      <c r="DW2130" s="314" t="s">
        <v>2279</v>
      </c>
      <c r="FU2130" s="316"/>
      <c r="FV2130" s="164"/>
      <c r="HJ2130" s="314">
        <v>130</v>
      </c>
      <c r="HK2130" s="314">
        <v>173</v>
      </c>
      <c r="HL2130" s="314">
        <v>11.9</v>
      </c>
      <c r="HM2130" s="314">
        <v>20.8</v>
      </c>
      <c r="HN2130" s="314" t="s">
        <v>2277</v>
      </c>
    </row>
    <row r="2131" spans="1:222" s="314" customFormat="1" x14ac:dyDescent="0.25">
      <c r="A2131" s="314">
        <v>97</v>
      </c>
      <c r="B2131" s="316" t="s">
        <v>4225</v>
      </c>
      <c r="C2131" s="185" t="s">
        <v>2130</v>
      </c>
      <c r="E2131" s="185">
        <v>2000</v>
      </c>
      <c r="F2131" s="314">
        <v>1994</v>
      </c>
      <c r="G2131" s="185" t="s">
        <v>2045</v>
      </c>
      <c r="H2131" s="185" t="s">
        <v>2131</v>
      </c>
      <c r="I2131" s="185" t="s">
        <v>2816</v>
      </c>
      <c r="J2131" s="314">
        <v>46.58</v>
      </c>
      <c r="K2131" s="314">
        <v>-71.23</v>
      </c>
      <c r="L2131" s="185">
        <v>132.1</v>
      </c>
      <c r="M2131" s="185"/>
      <c r="N2131" s="185"/>
      <c r="R2131" s="314">
        <v>2</v>
      </c>
      <c r="S2131" s="185">
        <v>4</v>
      </c>
      <c r="U2131" s="314" t="s">
        <v>2274</v>
      </c>
      <c r="V2131" s="185" t="s">
        <v>1379</v>
      </c>
      <c r="W2131" s="164">
        <v>20</v>
      </c>
      <c r="X2131" s="185" t="s">
        <v>1379</v>
      </c>
      <c r="Y2131" s="185" t="s">
        <v>1379</v>
      </c>
      <c r="Z2131" s="317">
        <v>1.6087</v>
      </c>
      <c r="AA2131" s="380">
        <v>27</v>
      </c>
      <c r="AB2131" s="380">
        <v>49</v>
      </c>
      <c r="AC2131" s="314" t="s">
        <v>139</v>
      </c>
      <c r="AG2131" s="185" t="s">
        <v>2132</v>
      </c>
      <c r="AH2131" s="185" t="s">
        <v>2138</v>
      </c>
      <c r="AI2131" s="314" t="s">
        <v>1129</v>
      </c>
      <c r="AJ2131" s="185" t="s">
        <v>2134</v>
      </c>
      <c r="AK2131" s="314" t="s">
        <v>116</v>
      </c>
      <c r="AO2131" s="185" t="s">
        <v>2018</v>
      </c>
      <c r="AP2131" s="185" t="s">
        <v>2018</v>
      </c>
      <c r="AQ2131" s="185" t="s">
        <v>2125</v>
      </c>
      <c r="AR2131" s="185" t="s">
        <v>2125</v>
      </c>
      <c r="AS2131" s="314" t="s">
        <v>177</v>
      </c>
      <c r="AT2131" s="185" t="s">
        <v>2023</v>
      </c>
      <c r="AU2131" s="185" t="s">
        <v>2023</v>
      </c>
      <c r="AV2131" s="314" t="s">
        <v>177</v>
      </c>
      <c r="AW2131" s="185" t="s">
        <v>160</v>
      </c>
      <c r="AX2131" s="314">
        <v>3</v>
      </c>
      <c r="AY2131" s="185">
        <v>10</v>
      </c>
      <c r="AZ2131" s="314" t="s">
        <v>141</v>
      </c>
      <c r="BB2131" s="314">
        <v>3772</v>
      </c>
      <c r="BC2131" s="314">
        <v>28</v>
      </c>
      <c r="BK2131" s="185">
        <v>930.4</v>
      </c>
      <c r="BL2131" s="314">
        <v>2256</v>
      </c>
      <c r="BN2131" s="315"/>
      <c r="BO2131" s="314" t="s">
        <v>569</v>
      </c>
      <c r="BP2131" s="433"/>
      <c r="BQ2131" s="433"/>
      <c r="BU2131" s="465">
        <f t="shared" si="318"/>
        <v>0.28500000000000003</v>
      </c>
      <c r="BV2131" s="465">
        <f t="shared" si="319"/>
        <v>0.35000000000000003</v>
      </c>
      <c r="BW2131" s="314">
        <f t="shared" si="320"/>
        <v>9.4000000000000004E-3</v>
      </c>
      <c r="BX2131" s="314">
        <f t="shared" si="321"/>
        <v>7.7999999999999996E-3</v>
      </c>
      <c r="BY2131" s="314" t="s">
        <v>2281</v>
      </c>
      <c r="BZ2131" s="465"/>
      <c r="CA2131" s="465"/>
      <c r="CD2131" s="314" t="s">
        <v>3122</v>
      </c>
      <c r="CE2131" s="595">
        <v>2.8499999999999998E-2</v>
      </c>
      <c r="CF2131" s="595">
        <v>3.9199999999999999E-2</v>
      </c>
      <c r="CG2131" s="595">
        <v>9.3999999999999997E-4</v>
      </c>
      <c r="CH2131" s="595">
        <v>7.1999999999999994E-4</v>
      </c>
      <c r="CI2131" s="314" t="s">
        <v>4546</v>
      </c>
      <c r="CJ2131" s="314">
        <v>28</v>
      </c>
      <c r="CK2131" s="314">
        <v>30</v>
      </c>
      <c r="CL2131" s="314">
        <v>1.3</v>
      </c>
      <c r="CM2131" s="314">
        <v>0.8</v>
      </c>
      <c r="CN2131" s="314" t="s">
        <v>2282</v>
      </c>
      <c r="CO2131" s="314">
        <v>56</v>
      </c>
      <c r="CP2131" s="314">
        <v>97</v>
      </c>
      <c r="CQ2131" s="314">
        <v>1.9</v>
      </c>
      <c r="CR2131" s="314">
        <v>1.2</v>
      </c>
      <c r="CS2131" s="314" t="s">
        <v>2280</v>
      </c>
      <c r="DS2131" s="314">
        <v>1.76</v>
      </c>
      <c r="DT2131" s="314">
        <v>1.93</v>
      </c>
      <c r="DU2131" s="314">
        <v>0.38</v>
      </c>
      <c r="DV2131" s="314">
        <v>0.4</v>
      </c>
      <c r="DW2131" s="314" t="s">
        <v>2279</v>
      </c>
      <c r="FU2131" s="316"/>
      <c r="FV2131" s="164"/>
      <c r="HJ2131" s="314">
        <v>130</v>
      </c>
      <c r="HK2131" s="314">
        <v>162</v>
      </c>
      <c r="HL2131" s="314">
        <v>11.9</v>
      </c>
      <c r="HM2131" s="314">
        <v>17.2</v>
      </c>
      <c r="HN2131" s="314" t="s">
        <v>2277</v>
      </c>
    </row>
    <row r="2132" spans="1:222" s="384" customFormat="1" x14ac:dyDescent="0.25">
      <c r="A2132" s="384">
        <v>97</v>
      </c>
      <c r="B2132" s="387" t="s">
        <v>4223</v>
      </c>
      <c r="C2132" s="223" t="s">
        <v>2130</v>
      </c>
      <c r="E2132" s="223">
        <v>2000</v>
      </c>
      <c r="F2132" s="384">
        <v>1994</v>
      </c>
      <c r="G2132" s="223" t="s">
        <v>2045</v>
      </c>
      <c r="H2132" s="223" t="s">
        <v>2131</v>
      </c>
      <c r="I2132" s="185" t="s">
        <v>2816</v>
      </c>
      <c r="J2132" s="384">
        <v>46.58</v>
      </c>
      <c r="K2132" s="384">
        <v>-71.23</v>
      </c>
      <c r="L2132" s="223">
        <v>132.1</v>
      </c>
      <c r="M2132" s="223"/>
      <c r="N2132" s="223"/>
      <c r="R2132" s="384">
        <v>2</v>
      </c>
      <c r="S2132" s="223">
        <v>4</v>
      </c>
      <c r="U2132" s="384" t="s">
        <v>2274</v>
      </c>
      <c r="V2132" s="223" t="s">
        <v>1379</v>
      </c>
      <c r="W2132" s="224">
        <v>20</v>
      </c>
      <c r="X2132" s="223" t="s">
        <v>1379</v>
      </c>
      <c r="Y2132" s="223" t="s">
        <v>1379</v>
      </c>
      <c r="Z2132" s="386">
        <v>1.6087</v>
      </c>
      <c r="AA2132" s="364">
        <v>27</v>
      </c>
      <c r="AB2132" s="364">
        <v>49</v>
      </c>
      <c r="AC2132" s="384" t="s">
        <v>139</v>
      </c>
      <c r="AG2132" s="223" t="s">
        <v>2132</v>
      </c>
      <c r="AH2132" s="223" t="s">
        <v>2133</v>
      </c>
      <c r="AI2132" s="384" t="s">
        <v>577</v>
      </c>
      <c r="AJ2132" s="223" t="s">
        <v>2134</v>
      </c>
      <c r="AK2132" s="384" t="s">
        <v>116</v>
      </c>
      <c r="AO2132" s="223" t="s">
        <v>2018</v>
      </c>
      <c r="AP2132" s="223" t="s">
        <v>2018</v>
      </c>
      <c r="AQ2132" s="223" t="s">
        <v>2125</v>
      </c>
      <c r="AR2132" s="223" t="s">
        <v>2125</v>
      </c>
      <c r="AS2132" s="384" t="s">
        <v>177</v>
      </c>
      <c r="AT2132" s="223" t="s">
        <v>2275</v>
      </c>
      <c r="AU2132" s="223" t="s">
        <v>2275</v>
      </c>
      <c r="AV2132" s="384" t="s">
        <v>177</v>
      </c>
      <c r="AW2132" s="223" t="s">
        <v>160</v>
      </c>
      <c r="AX2132" s="384">
        <v>3</v>
      </c>
      <c r="AY2132" s="223">
        <v>10</v>
      </c>
      <c r="AZ2132" s="384" t="s">
        <v>141</v>
      </c>
      <c r="BK2132" s="223">
        <v>1827</v>
      </c>
      <c r="BL2132" s="384">
        <v>2348</v>
      </c>
      <c r="BN2132" s="385"/>
      <c r="BO2132" s="384" t="s">
        <v>569</v>
      </c>
      <c r="BP2132" s="441"/>
      <c r="BQ2132" s="441"/>
      <c r="BU2132" s="440"/>
      <c r="BV2132" s="440"/>
      <c r="BZ2132" s="440"/>
      <c r="CA2132" s="440"/>
      <c r="CE2132" s="596"/>
      <c r="CF2132" s="596"/>
      <c r="CG2132" s="596"/>
      <c r="CH2132" s="596"/>
      <c r="FU2132" s="387"/>
      <c r="FV2132" s="224"/>
      <c r="HJ2132" s="384">
        <v>142</v>
      </c>
      <c r="HK2132" s="384">
        <v>158</v>
      </c>
      <c r="HL2132" s="384">
        <v>9.4</v>
      </c>
      <c r="HM2132" s="384">
        <v>10.7</v>
      </c>
      <c r="HN2132" s="384" t="s">
        <v>2278</v>
      </c>
    </row>
    <row r="2133" spans="1:222" s="384" customFormat="1" x14ac:dyDescent="0.25">
      <c r="A2133" s="384">
        <v>97</v>
      </c>
      <c r="B2133" s="387" t="s">
        <v>4224</v>
      </c>
      <c r="C2133" s="223" t="s">
        <v>2130</v>
      </c>
      <c r="E2133" s="223">
        <v>2000</v>
      </c>
      <c r="F2133" s="384">
        <v>1994</v>
      </c>
      <c r="G2133" s="223" t="s">
        <v>2045</v>
      </c>
      <c r="H2133" s="223" t="s">
        <v>2131</v>
      </c>
      <c r="I2133" s="185" t="s">
        <v>2816</v>
      </c>
      <c r="J2133" s="384">
        <v>46.58</v>
      </c>
      <c r="K2133" s="384">
        <v>-71.23</v>
      </c>
      <c r="L2133" s="223">
        <v>132.1</v>
      </c>
      <c r="M2133" s="223"/>
      <c r="N2133" s="223"/>
      <c r="R2133" s="384">
        <v>2</v>
      </c>
      <c r="S2133" s="223">
        <v>4</v>
      </c>
      <c r="U2133" s="384" t="s">
        <v>2274</v>
      </c>
      <c r="V2133" s="223" t="s">
        <v>1379</v>
      </c>
      <c r="W2133" s="224">
        <v>20</v>
      </c>
      <c r="X2133" s="223" t="s">
        <v>1379</v>
      </c>
      <c r="Y2133" s="223" t="s">
        <v>1379</v>
      </c>
      <c r="Z2133" s="386">
        <v>1.6087</v>
      </c>
      <c r="AA2133" s="364">
        <v>27</v>
      </c>
      <c r="AB2133" s="364">
        <v>49</v>
      </c>
      <c r="AC2133" s="384" t="s">
        <v>139</v>
      </c>
      <c r="AG2133" s="223" t="s">
        <v>2132</v>
      </c>
      <c r="AH2133" s="223" t="s">
        <v>2136</v>
      </c>
      <c r="AI2133" s="384" t="s">
        <v>1581</v>
      </c>
      <c r="AJ2133" s="223" t="s">
        <v>2134</v>
      </c>
      <c r="AK2133" s="384" t="s">
        <v>116</v>
      </c>
      <c r="AO2133" s="223" t="s">
        <v>2018</v>
      </c>
      <c r="AP2133" s="223" t="s">
        <v>2018</v>
      </c>
      <c r="AQ2133" s="223" t="s">
        <v>2125</v>
      </c>
      <c r="AR2133" s="223" t="s">
        <v>2125</v>
      </c>
      <c r="AS2133" s="384" t="s">
        <v>177</v>
      </c>
      <c r="AT2133" s="223" t="s">
        <v>2275</v>
      </c>
      <c r="AU2133" s="223" t="s">
        <v>2275</v>
      </c>
      <c r="AV2133" s="384" t="s">
        <v>177</v>
      </c>
      <c r="AW2133" s="223" t="s">
        <v>160</v>
      </c>
      <c r="AX2133" s="384">
        <v>3</v>
      </c>
      <c r="AY2133" s="223">
        <v>10</v>
      </c>
      <c r="AZ2133" s="384" t="s">
        <v>141</v>
      </c>
      <c r="BK2133" s="223">
        <v>1827</v>
      </c>
      <c r="BL2133" s="384">
        <v>3050</v>
      </c>
      <c r="BN2133" s="385"/>
      <c r="BO2133" s="384" t="s">
        <v>569</v>
      </c>
      <c r="BP2133" s="441"/>
      <c r="BQ2133" s="441"/>
      <c r="BU2133" s="440"/>
      <c r="BV2133" s="440"/>
      <c r="BZ2133" s="440"/>
      <c r="CA2133" s="440"/>
      <c r="CE2133" s="596"/>
      <c r="CF2133" s="596"/>
      <c r="CG2133" s="596"/>
      <c r="CH2133" s="596"/>
      <c r="FU2133" s="387"/>
      <c r="FV2133" s="224"/>
      <c r="HJ2133" s="384">
        <v>142</v>
      </c>
      <c r="HK2133" s="384">
        <v>170</v>
      </c>
      <c r="HL2133" s="384">
        <v>9.4</v>
      </c>
      <c r="HM2133" s="384">
        <v>13.9</v>
      </c>
      <c r="HN2133" s="384" t="s">
        <v>2278</v>
      </c>
    </row>
    <row r="2134" spans="1:222" s="384" customFormat="1" x14ac:dyDescent="0.25">
      <c r="A2134" s="384">
        <v>97</v>
      </c>
      <c r="B2134" s="387" t="s">
        <v>4224</v>
      </c>
      <c r="C2134" s="223" t="s">
        <v>2130</v>
      </c>
      <c r="E2134" s="223">
        <v>2000</v>
      </c>
      <c r="F2134" s="384">
        <v>1994</v>
      </c>
      <c r="G2134" s="223" t="s">
        <v>2045</v>
      </c>
      <c r="H2134" s="223" t="s">
        <v>2131</v>
      </c>
      <c r="I2134" s="185" t="s">
        <v>2816</v>
      </c>
      <c r="J2134" s="384">
        <v>46.58</v>
      </c>
      <c r="K2134" s="384">
        <v>-71.23</v>
      </c>
      <c r="L2134" s="223">
        <v>132.1</v>
      </c>
      <c r="M2134" s="223"/>
      <c r="N2134" s="223"/>
      <c r="R2134" s="384">
        <v>2</v>
      </c>
      <c r="S2134" s="223">
        <v>4</v>
      </c>
      <c r="U2134" s="384" t="s">
        <v>2274</v>
      </c>
      <c r="V2134" s="223" t="s">
        <v>1379</v>
      </c>
      <c r="W2134" s="224">
        <v>20</v>
      </c>
      <c r="X2134" s="223" t="s">
        <v>1379</v>
      </c>
      <c r="Y2134" s="223" t="s">
        <v>1379</v>
      </c>
      <c r="Z2134" s="386">
        <v>1.6087</v>
      </c>
      <c r="AA2134" s="364">
        <v>27</v>
      </c>
      <c r="AB2134" s="364">
        <v>49</v>
      </c>
      <c r="AC2134" s="384" t="s">
        <v>139</v>
      </c>
      <c r="AG2134" s="223" t="s">
        <v>2132</v>
      </c>
      <c r="AH2134" s="223" t="s">
        <v>2137</v>
      </c>
      <c r="AI2134" s="384" t="s">
        <v>1581</v>
      </c>
      <c r="AJ2134" s="223" t="s">
        <v>2134</v>
      </c>
      <c r="AK2134" s="384" t="s">
        <v>116</v>
      </c>
      <c r="AO2134" s="223" t="s">
        <v>2018</v>
      </c>
      <c r="AP2134" s="223" t="s">
        <v>2018</v>
      </c>
      <c r="AQ2134" s="223" t="s">
        <v>2125</v>
      </c>
      <c r="AR2134" s="223" t="s">
        <v>2125</v>
      </c>
      <c r="AS2134" s="384" t="s">
        <v>177</v>
      </c>
      <c r="AT2134" s="223" t="s">
        <v>2275</v>
      </c>
      <c r="AU2134" s="223" t="s">
        <v>2275</v>
      </c>
      <c r="AV2134" s="384" t="s">
        <v>177</v>
      </c>
      <c r="AW2134" s="223" t="s">
        <v>160</v>
      </c>
      <c r="AX2134" s="384">
        <v>3</v>
      </c>
      <c r="AY2134" s="223">
        <v>10</v>
      </c>
      <c r="AZ2134" s="384" t="s">
        <v>141</v>
      </c>
      <c r="BK2134" s="223">
        <v>1827</v>
      </c>
      <c r="BL2134" s="384">
        <v>3062</v>
      </c>
      <c r="BN2134" s="385"/>
      <c r="BO2134" s="384" t="s">
        <v>569</v>
      </c>
      <c r="BP2134" s="441"/>
      <c r="BQ2134" s="441"/>
      <c r="BU2134" s="440"/>
      <c r="BV2134" s="440"/>
      <c r="BZ2134" s="440"/>
      <c r="CA2134" s="440"/>
      <c r="CE2134" s="596"/>
      <c r="CF2134" s="596"/>
      <c r="CG2134" s="596"/>
      <c r="CH2134" s="596"/>
      <c r="FU2134" s="387"/>
      <c r="FV2134" s="224"/>
      <c r="HJ2134" s="384">
        <v>142</v>
      </c>
      <c r="HK2134" s="384">
        <v>134</v>
      </c>
      <c r="HL2134" s="384">
        <v>9.4</v>
      </c>
      <c r="HM2134" s="384">
        <v>10.6</v>
      </c>
      <c r="HN2134" s="384" t="s">
        <v>2278</v>
      </c>
    </row>
    <row r="2135" spans="1:222" s="384" customFormat="1" x14ac:dyDescent="0.25">
      <c r="A2135" s="384">
        <v>97</v>
      </c>
      <c r="B2135" s="387" t="s">
        <v>4225</v>
      </c>
      <c r="C2135" s="223" t="s">
        <v>2130</v>
      </c>
      <c r="E2135" s="223">
        <v>2000</v>
      </c>
      <c r="F2135" s="384">
        <v>1994</v>
      </c>
      <c r="G2135" s="223" t="s">
        <v>2045</v>
      </c>
      <c r="H2135" s="223" t="s">
        <v>2131</v>
      </c>
      <c r="I2135" s="185" t="s">
        <v>2816</v>
      </c>
      <c r="J2135" s="384">
        <v>46.58</v>
      </c>
      <c r="K2135" s="384">
        <v>-71.23</v>
      </c>
      <c r="L2135" s="223">
        <v>132.1</v>
      </c>
      <c r="M2135" s="223"/>
      <c r="N2135" s="223"/>
      <c r="R2135" s="384">
        <v>2</v>
      </c>
      <c r="S2135" s="223">
        <v>4</v>
      </c>
      <c r="U2135" s="384" t="s">
        <v>2274</v>
      </c>
      <c r="V2135" s="223" t="s">
        <v>1379</v>
      </c>
      <c r="W2135" s="224">
        <v>20</v>
      </c>
      <c r="X2135" s="223" t="s">
        <v>1379</v>
      </c>
      <c r="Y2135" s="223" t="s">
        <v>1379</v>
      </c>
      <c r="Z2135" s="386">
        <v>1.6087</v>
      </c>
      <c r="AA2135" s="364">
        <v>27</v>
      </c>
      <c r="AB2135" s="364">
        <v>49</v>
      </c>
      <c r="AC2135" s="384" t="s">
        <v>139</v>
      </c>
      <c r="AG2135" s="223" t="s">
        <v>2132</v>
      </c>
      <c r="AH2135" s="223" t="s">
        <v>2139</v>
      </c>
      <c r="AI2135" s="384" t="s">
        <v>1129</v>
      </c>
      <c r="AJ2135" s="223" t="s">
        <v>2134</v>
      </c>
      <c r="AK2135" s="384" t="s">
        <v>116</v>
      </c>
      <c r="AO2135" s="223" t="s">
        <v>2018</v>
      </c>
      <c r="AP2135" s="223" t="s">
        <v>2018</v>
      </c>
      <c r="AQ2135" s="223" t="s">
        <v>2125</v>
      </c>
      <c r="AR2135" s="223" t="s">
        <v>2125</v>
      </c>
      <c r="AS2135" s="384" t="s">
        <v>177</v>
      </c>
      <c r="AT2135" s="223" t="s">
        <v>2275</v>
      </c>
      <c r="AU2135" s="223" t="s">
        <v>2275</v>
      </c>
      <c r="AV2135" s="384" t="s">
        <v>177</v>
      </c>
      <c r="AW2135" s="223" t="s">
        <v>160</v>
      </c>
      <c r="AX2135" s="384">
        <v>3</v>
      </c>
      <c r="AY2135" s="223">
        <v>10</v>
      </c>
      <c r="AZ2135" s="384" t="s">
        <v>141</v>
      </c>
      <c r="BK2135" s="223">
        <v>1827</v>
      </c>
      <c r="BL2135" s="384">
        <v>3163</v>
      </c>
      <c r="BN2135" s="385"/>
      <c r="BO2135" s="384" t="s">
        <v>569</v>
      </c>
      <c r="BP2135" s="441"/>
      <c r="BQ2135" s="441"/>
      <c r="BU2135" s="440"/>
      <c r="BV2135" s="440"/>
      <c r="BZ2135" s="440"/>
      <c r="CA2135" s="440"/>
      <c r="CE2135" s="596"/>
      <c r="CF2135" s="596"/>
      <c r="CG2135" s="596"/>
      <c r="CH2135" s="596"/>
      <c r="FU2135" s="387"/>
      <c r="FV2135" s="224"/>
      <c r="HJ2135" s="384">
        <v>142</v>
      </c>
      <c r="HK2135" s="384">
        <v>178</v>
      </c>
      <c r="HL2135" s="384">
        <v>9.4</v>
      </c>
      <c r="HM2135" s="384">
        <v>14.1</v>
      </c>
      <c r="HN2135" s="384" t="s">
        <v>2278</v>
      </c>
    </row>
    <row r="2136" spans="1:222" s="384" customFormat="1" x14ac:dyDescent="0.25">
      <c r="A2136" s="384">
        <v>97</v>
      </c>
      <c r="B2136" s="387" t="s">
        <v>4225</v>
      </c>
      <c r="C2136" s="223" t="s">
        <v>2130</v>
      </c>
      <c r="E2136" s="223">
        <v>2000</v>
      </c>
      <c r="F2136" s="384">
        <v>1994</v>
      </c>
      <c r="G2136" s="223" t="s">
        <v>2045</v>
      </c>
      <c r="H2136" s="223" t="s">
        <v>2131</v>
      </c>
      <c r="I2136" s="185" t="s">
        <v>2816</v>
      </c>
      <c r="J2136" s="384">
        <v>46.58</v>
      </c>
      <c r="K2136" s="384">
        <v>-71.23</v>
      </c>
      <c r="L2136" s="223">
        <v>132.1</v>
      </c>
      <c r="M2136" s="223"/>
      <c r="N2136" s="223"/>
      <c r="R2136" s="384">
        <v>2</v>
      </c>
      <c r="S2136" s="223">
        <v>4</v>
      </c>
      <c r="U2136" s="384" t="s">
        <v>2274</v>
      </c>
      <c r="V2136" s="223" t="s">
        <v>1379</v>
      </c>
      <c r="W2136" s="224">
        <v>20</v>
      </c>
      <c r="X2136" s="223" t="s">
        <v>1379</v>
      </c>
      <c r="Y2136" s="223" t="s">
        <v>1379</v>
      </c>
      <c r="Z2136" s="386">
        <v>1.6087</v>
      </c>
      <c r="AA2136" s="364">
        <v>27</v>
      </c>
      <c r="AB2136" s="364">
        <v>49</v>
      </c>
      <c r="AC2136" s="384" t="s">
        <v>139</v>
      </c>
      <c r="AG2136" s="223" t="s">
        <v>2132</v>
      </c>
      <c r="AH2136" s="223" t="s">
        <v>2138</v>
      </c>
      <c r="AI2136" s="384" t="s">
        <v>1129</v>
      </c>
      <c r="AJ2136" s="223" t="s">
        <v>2134</v>
      </c>
      <c r="AK2136" s="384" t="s">
        <v>116</v>
      </c>
      <c r="AO2136" s="223" t="s">
        <v>2018</v>
      </c>
      <c r="AP2136" s="223" t="s">
        <v>2018</v>
      </c>
      <c r="AQ2136" s="223" t="s">
        <v>2125</v>
      </c>
      <c r="AR2136" s="223" t="s">
        <v>2125</v>
      </c>
      <c r="AS2136" s="384" t="s">
        <v>177</v>
      </c>
      <c r="AT2136" s="223" t="s">
        <v>2275</v>
      </c>
      <c r="AU2136" s="223" t="s">
        <v>2275</v>
      </c>
      <c r="AV2136" s="384" t="s">
        <v>177</v>
      </c>
      <c r="AW2136" s="223" t="s">
        <v>160</v>
      </c>
      <c r="AX2136" s="384">
        <v>3</v>
      </c>
      <c r="AY2136" s="223">
        <v>10</v>
      </c>
      <c r="AZ2136" s="384" t="s">
        <v>141</v>
      </c>
      <c r="BK2136" s="223">
        <v>1827</v>
      </c>
      <c r="BL2136" s="384">
        <v>2472</v>
      </c>
      <c r="BN2136" s="385"/>
      <c r="BO2136" s="384" t="s">
        <v>569</v>
      </c>
      <c r="BP2136" s="441"/>
      <c r="BQ2136" s="441"/>
      <c r="BU2136" s="440"/>
      <c r="BV2136" s="440"/>
      <c r="BZ2136" s="440"/>
      <c r="CA2136" s="440"/>
      <c r="CE2136" s="596"/>
      <c r="CF2136" s="596"/>
      <c r="CG2136" s="596"/>
      <c r="CH2136" s="596"/>
      <c r="FU2136" s="387"/>
      <c r="FV2136" s="224"/>
      <c r="HJ2136" s="384">
        <v>142</v>
      </c>
      <c r="HK2136" s="384">
        <v>159</v>
      </c>
      <c r="HL2136" s="384">
        <v>9.4</v>
      </c>
      <c r="HM2136" s="384">
        <v>13.9</v>
      </c>
      <c r="HN2136" s="384" t="s">
        <v>2278</v>
      </c>
    </row>
    <row r="2137" spans="1:222" s="314" customFormat="1" x14ac:dyDescent="0.25">
      <c r="A2137" s="314">
        <v>97</v>
      </c>
      <c r="B2137" s="316" t="s">
        <v>4223</v>
      </c>
      <c r="C2137" s="185" t="s">
        <v>2130</v>
      </c>
      <c r="E2137" s="185">
        <v>2000</v>
      </c>
      <c r="F2137" s="314">
        <v>1994</v>
      </c>
      <c r="G2137" s="185" t="s">
        <v>2045</v>
      </c>
      <c r="H2137" s="185" t="s">
        <v>2131</v>
      </c>
      <c r="I2137" s="185" t="s">
        <v>2816</v>
      </c>
      <c r="J2137" s="314">
        <v>46.58</v>
      </c>
      <c r="K2137" s="314">
        <v>-71.23</v>
      </c>
      <c r="L2137" s="185">
        <v>132.1</v>
      </c>
      <c r="M2137" s="185"/>
      <c r="N2137" s="185"/>
      <c r="R2137" s="314">
        <v>2</v>
      </c>
      <c r="S2137" s="185">
        <v>4</v>
      </c>
      <c r="U2137" s="314" t="s">
        <v>2274</v>
      </c>
      <c r="V2137" s="185" t="s">
        <v>1379</v>
      </c>
      <c r="W2137" s="164">
        <v>20</v>
      </c>
      <c r="X2137" s="185" t="s">
        <v>1379</v>
      </c>
      <c r="Y2137" s="185" t="s">
        <v>1379</v>
      </c>
      <c r="Z2137" s="317">
        <v>1.6087</v>
      </c>
      <c r="AA2137" s="380">
        <v>27</v>
      </c>
      <c r="AB2137" s="380">
        <v>49</v>
      </c>
      <c r="AC2137" s="314" t="s">
        <v>139</v>
      </c>
      <c r="AG2137" s="185" t="s">
        <v>2132</v>
      </c>
      <c r="AH2137" s="185" t="s">
        <v>2133</v>
      </c>
      <c r="AI2137" s="314" t="s">
        <v>577</v>
      </c>
      <c r="AJ2137" s="185" t="s">
        <v>2134</v>
      </c>
      <c r="AK2137" s="314" t="s">
        <v>116</v>
      </c>
      <c r="AO2137" s="185" t="s">
        <v>2018</v>
      </c>
      <c r="AP2137" s="185" t="s">
        <v>2018</v>
      </c>
      <c r="AQ2137" s="185" t="s">
        <v>2125</v>
      </c>
      <c r="AR2137" s="185" t="s">
        <v>2125</v>
      </c>
      <c r="AS2137" s="314" t="s">
        <v>177</v>
      </c>
      <c r="AT2137" s="185" t="s">
        <v>2150</v>
      </c>
      <c r="AU2137" s="185" t="s">
        <v>2150</v>
      </c>
      <c r="AV2137" s="314" t="s">
        <v>177</v>
      </c>
      <c r="AW2137" s="185" t="s">
        <v>160</v>
      </c>
      <c r="AX2137" s="314">
        <v>3</v>
      </c>
      <c r="AY2137" s="185">
        <v>10</v>
      </c>
      <c r="AZ2137" s="314" t="s">
        <v>141</v>
      </c>
      <c r="BK2137" s="185">
        <v>2712.4</v>
      </c>
      <c r="BL2137" s="314">
        <v>2747</v>
      </c>
      <c r="BN2137" s="315"/>
      <c r="BO2137" s="314" t="s">
        <v>569</v>
      </c>
      <c r="BP2137" s="433"/>
      <c r="BQ2137" s="433"/>
      <c r="BU2137" s="465"/>
      <c r="BV2137" s="465"/>
      <c r="BZ2137" s="465"/>
      <c r="CA2137" s="465"/>
      <c r="CE2137" s="595"/>
      <c r="CF2137" s="595"/>
      <c r="CG2137" s="595"/>
      <c r="CH2137" s="595"/>
      <c r="FU2137" s="316"/>
      <c r="FV2137" s="164"/>
    </row>
    <row r="2138" spans="1:222" s="314" customFormat="1" x14ac:dyDescent="0.25">
      <c r="A2138" s="314">
        <v>97</v>
      </c>
      <c r="B2138" s="316" t="s">
        <v>4224</v>
      </c>
      <c r="C2138" s="185" t="s">
        <v>2130</v>
      </c>
      <c r="E2138" s="185">
        <v>2000</v>
      </c>
      <c r="F2138" s="314">
        <v>1994</v>
      </c>
      <c r="G2138" s="185" t="s">
        <v>2045</v>
      </c>
      <c r="H2138" s="185" t="s">
        <v>2131</v>
      </c>
      <c r="I2138" s="185" t="s">
        <v>2816</v>
      </c>
      <c r="J2138" s="314">
        <v>46.58</v>
      </c>
      <c r="K2138" s="314">
        <v>-71.23</v>
      </c>
      <c r="L2138" s="185">
        <v>132.1</v>
      </c>
      <c r="M2138" s="185"/>
      <c r="N2138" s="185"/>
      <c r="R2138" s="314">
        <v>2</v>
      </c>
      <c r="S2138" s="185">
        <v>4</v>
      </c>
      <c r="U2138" s="314" t="s">
        <v>2274</v>
      </c>
      <c r="V2138" s="185" t="s">
        <v>1379</v>
      </c>
      <c r="W2138" s="164">
        <v>20</v>
      </c>
      <c r="X2138" s="185" t="s">
        <v>1379</v>
      </c>
      <c r="Y2138" s="185" t="s">
        <v>1379</v>
      </c>
      <c r="Z2138" s="317">
        <v>1.6087</v>
      </c>
      <c r="AA2138" s="380">
        <v>27</v>
      </c>
      <c r="AB2138" s="380">
        <v>49</v>
      </c>
      <c r="AC2138" s="314" t="s">
        <v>139</v>
      </c>
      <c r="AG2138" s="185" t="s">
        <v>2132</v>
      </c>
      <c r="AH2138" s="185" t="s">
        <v>2136</v>
      </c>
      <c r="AI2138" s="314" t="s">
        <v>1581</v>
      </c>
      <c r="AJ2138" s="185" t="s">
        <v>2134</v>
      </c>
      <c r="AK2138" s="314" t="s">
        <v>116</v>
      </c>
      <c r="AO2138" s="185" t="s">
        <v>2018</v>
      </c>
      <c r="AP2138" s="185" t="s">
        <v>2018</v>
      </c>
      <c r="AQ2138" s="185" t="s">
        <v>2125</v>
      </c>
      <c r="AR2138" s="185" t="s">
        <v>2125</v>
      </c>
      <c r="AS2138" s="314" t="s">
        <v>177</v>
      </c>
      <c r="AT2138" s="185" t="s">
        <v>2150</v>
      </c>
      <c r="AU2138" s="185" t="s">
        <v>2150</v>
      </c>
      <c r="AV2138" s="314" t="s">
        <v>177</v>
      </c>
      <c r="AW2138" s="185" t="s">
        <v>160</v>
      </c>
      <c r="AX2138" s="314">
        <v>3</v>
      </c>
      <c r="AY2138" s="185">
        <v>10</v>
      </c>
      <c r="AZ2138" s="314" t="s">
        <v>141</v>
      </c>
      <c r="BK2138" s="185">
        <v>2712.4</v>
      </c>
      <c r="BL2138" s="314">
        <v>3517</v>
      </c>
      <c r="BN2138" s="315"/>
      <c r="BO2138" s="314" t="s">
        <v>569</v>
      </c>
      <c r="BP2138" s="433"/>
      <c r="BQ2138" s="433"/>
      <c r="BU2138" s="465"/>
      <c r="BV2138" s="465"/>
      <c r="BZ2138" s="465"/>
      <c r="CA2138" s="465"/>
      <c r="CE2138" s="595"/>
      <c r="CF2138" s="595"/>
      <c r="CG2138" s="595"/>
      <c r="CH2138" s="595"/>
      <c r="FU2138" s="316"/>
      <c r="FV2138" s="164"/>
    </row>
    <row r="2139" spans="1:222" s="314" customFormat="1" x14ac:dyDescent="0.25">
      <c r="A2139" s="314">
        <v>97</v>
      </c>
      <c r="B2139" s="316" t="s">
        <v>4224</v>
      </c>
      <c r="C2139" s="185" t="s">
        <v>2130</v>
      </c>
      <c r="E2139" s="185">
        <v>2000</v>
      </c>
      <c r="F2139" s="314">
        <v>1994</v>
      </c>
      <c r="G2139" s="185" t="s">
        <v>2045</v>
      </c>
      <c r="H2139" s="185" t="s">
        <v>2131</v>
      </c>
      <c r="I2139" s="185" t="s">
        <v>2816</v>
      </c>
      <c r="J2139" s="314">
        <v>46.58</v>
      </c>
      <c r="K2139" s="314">
        <v>-71.23</v>
      </c>
      <c r="L2139" s="185">
        <v>132.1</v>
      </c>
      <c r="M2139" s="185"/>
      <c r="N2139" s="185"/>
      <c r="R2139" s="314">
        <v>2</v>
      </c>
      <c r="S2139" s="185">
        <v>4</v>
      </c>
      <c r="U2139" s="314" t="s">
        <v>2274</v>
      </c>
      <c r="V2139" s="185" t="s">
        <v>1379</v>
      </c>
      <c r="W2139" s="164">
        <v>20</v>
      </c>
      <c r="X2139" s="185" t="s">
        <v>1379</v>
      </c>
      <c r="Y2139" s="185" t="s">
        <v>1379</v>
      </c>
      <c r="Z2139" s="317">
        <v>1.6087</v>
      </c>
      <c r="AA2139" s="380">
        <v>27</v>
      </c>
      <c r="AB2139" s="380">
        <v>49</v>
      </c>
      <c r="AC2139" s="314" t="s">
        <v>139</v>
      </c>
      <c r="AG2139" s="185" t="s">
        <v>2132</v>
      </c>
      <c r="AH2139" s="185" t="s">
        <v>2137</v>
      </c>
      <c r="AI2139" s="314" t="s">
        <v>1581</v>
      </c>
      <c r="AJ2139" s="185" t="s">
        <v>2134</v>
      </c>
      <c r="AK2139" s="314" t="s">
        <v>116</v>
      </c>
      <c r="AO2139" s="185" t="s">
        <v>2018</v>
      </c>
      <c r="AP2139" s="185" t="s">
        <v>2018</v>
      </c>
      <c r="AQ2139" s="185" t="s">
        <v>2125</v>
      </c>
      <c r="AR2139" s="185" t="s">
        <v>2125</v>
      </c>
      <c r="AS2139" s="314" t="s">
        <v>177</v>
      </c>
      <c r="AT2139" s="185" t="s">
        <v>2150</v>
      </c>
      <c r="AU2139" s="185" t="s">
        <v>2150</v>
      </c>
      <c r="AV2139" s="314" t="s">
        <v>177</v>
      </c>
      <c r="AW2139" s="185" t="s">
        <v>160</v>
      </c>
      <c r="AX2139" s="314">
        <v>3</v>
      </c>
      <c r="AY2139" s="185">
        <v>10</v>
      </c>
      <c r="AZ2139" s="314" t="s">
        <v>141</v>
      </c>
      <c r="BK2139" s="185">
        <v>2712.4</v>
      </c>
      <c r="BL2139" s="314">
        <v>3517</v>
      </c>
      <c r="BN2139" s="315"/>
      <c r="BO2139" s="314" t="s">
        <v>569</v>
      </c>
      <c r="BP2139" s="433"/>
      <c r="BQ2139" s="433"/>
      <c r="BU2139" s="465"/>
      <c r="BV2139" s="465"/>
      <c r="BZ2139" s="465"/>
      <c r="CA2139" s="465"/>
      <c r="CE2139" s="595"/>
      <c r="CF2139" s="595"/>
      <c r="CG2139" s="595"/>
      <c r="CH2139" s="595"/>
      <c r="FU2139" s="316"/>
      <c r="FV2139" s="164"/>
    </row>
    <row r="2140" spans="1:222" s="314" customFormat="1" x14ac:dyDescent="0.25">
      <c r="A2140" s="314">
        <v>97</v>
      </c>
      <c r="B2140" s="316" t="s">
        <v>4225</v>
      </c>
      <c r="C2140" s="185" t="s">
        <v>2130</v>
      </c>
      <c r="E2140" s="185">
        <v>2000</v>
      </c>
      <c r="F2140" s="314">
        <v>1994</v>
      </c>
      <c r="G2140" s="185" t="s">
        <v>2045</v>
      </c>
      <c r="H2140" s="185" t="s">
        <v>2131</v>
      </c>
      <c r="I2140" s="185" t="s">
        <v>2816</v>
      </c>
      <c r="J2140" s="314">
        <v>46.58</v>
      </c>
      <c r="K2140" s="314">
        <v>-71.23</v>
      </c>
      <c r="L2140" s="185">
        <v>132.1</v>
      </c>
      <c r="M2140" s="185"/>
      <c r="N2140" s="185"/>
      <c r="R2140" s="314">
        <v>2</v>
      </c>
      <c r="S2140" s="185">
        <v>4</v>
      </c>
      <c r="U2140" s="314" t="s">
        <v>2274</v>
      </c>
      <c r="V2140" s="185" t="s">
        <v>1379</v>
      </c>
      <c r="W2140" s="164">
        <v>20</v>
      </c>
      <c r="X2140" s="185" t="s">
        <v>1379</v>
      </c>
      <c r="Y2140" s="185" t="s">
        <v>1379</v>
      </c>
      <c r="Z2140" s="317">
        <v>1.6087</v>
      </c>
      <c r="AA2140" s="380">
        <v>27</v>
      </c>
      <c r="AB2140" s="380">
        <v>49</v>
      </c>
      <c r="AC2140" s="314" t="s">
        <v>139</v>
      </c>
      <c r="AG2140" s="185" t="s">
        <v>2132</v>
      </c>
      <c r="AH2140" s="185" t="s">
        <v>2139</v>
      </c>
      <c r="AI2140" s="314" t="s">
        <v>1129</v>
      </c>
      <c r="AJ2140" s="185" t="s">
        <v>2134</v>
      </c>
      <c r="AK2140" s="314" t="s">
        <v>116</v>
      </c>
      <c r="AO2140" s="185" t="s">
        <v>2018</v>
      </c>
      <c r="AP2140" s="185" t="s">
        <v>2018</v>
      </c>
      <c r="AQ2140" s="185" t="s">
        <v>2125</v>
      </c>
      <c r="AR2140" s="185" t="s">
        <v>2125</v>
      </c>
      <c r="AS2140" s="314" t="s">
        <v>177</v>
      </c>
      <c r="AT2140" s="185" t="s">
        <v>2150</v>
      </c>
      <c r="AU2140" s="185" t="s">
        <v>2150</v>
      </c>
      <c r="AV2140" s="314" t="s">
        <v>177</v>
      </c>
      <c r="AW2140" s="185" t="s">
        <v>160</v>
      </c>
      <c r="AX2140" s="314">
        <v>3</v>
      </c>
      <c r="AY2140" s="185">
        <v>10</v>
      </c>
      <c r="AZ2140" s="314" t="s">
        <v>141</v>
      </c>
      <c r="BK2140" s="185">
        <v>2712.4</v>
      </c>
      <c r="BL2140" s="314">
        <v>3856</v>
      </c>
      <c r="BN2140" s="315"/>
      <c r="BO2140" s="314" t="s">
        <v>569</v>
      </c>
      <c r="BP2140" s="433"/>
      <c r="BQ2140" s="433"/>
      <c r="BU2140" s="465"/>
      <c r="BV2140" s="465"/>
      <c r="BZ2140" s="465"/>
      <c r="CA2140" s="465"/>
      <c r="CE2140" s="595"/>
      <c r="CF2140" s="595"/>
      <c r="CG2140" s="595"/>
      <c r="CH2140" s="595"/>
      <c r="FU2140" s="316"/>
      <c r="FV2140" s="164"/>
    </row>
    <row r="2141" spans="1:222" s="314" customFormat="1" x14ac:dyDescent="0.25">
      <c r="A2141" s="314">
        <v>97</v>
      </c>
      <c r="B2141" s="316" t="s">
        <v>4225</v>
      </c>
      <c r="C2141" s="185" t="s">
        <v>2130</v>
      </c>
      <c r="E2141" s="185">
        <v>2000</v>
      </c>
      <c r="F2141" s="314">
        <v>1994</v>
      </c>
      <c r="G2141" s="185" t="s">
        <v>2045</v>
      </c>
      <c r="H2141" s="185" t="s">
        <v>2131</v>
      </c>
      <c r="I2141" s="185" t="s">
        <v>2816</v>
      </c>
      <c r="J2141" s="314">
        <v>46.58</v>
      </c>
      <c r="K2141" s="314">
        <v>-71.23</v>
      </c>
      <c r="L2141" s="185">
        <v>132.1</v>
      </c>
      <c r="M2141" s="185"/>
      <c r="N2141" s="185"/>
      <c r="R2141" s="314">
        <v>2</v>
      </c>
      <c r="S2141" s="185">
        <v>4</v>
      </c>
      <c r="U2141" s="314" t="s">
        <v>2274</v>
      </c>
      <c r="V2141" s="185" t="s">
        <v>1379</v>
      </c>
      <c r="W2141" s="164">
        <v>20</v>
      </c>
      <c r="X2141" s="185" t="s">
        <v>1379</v>
      </c>
      <c r="Y2141" s="185" t="s">
        <v>1379</v>
      </c>
      <c r="Z2141" s="317">
        <v>1.6087</v>
      </c>
      <c r="AA2141" s="380">
        <v>27</v>
      </c>
      <c r="AB2141" s="380">
        <v>49</v>
      </c>
      <c r="AC2141" s="314" t="s">
        <v>139</v>
      </c>
      <c r="AG2141" s="185" t="s">
        <v>2132</v>
      </c>
      <c r="AH2141" s="185" t="s">
        <v>2138</v>
      </c>
      <c r="AI2141" s="314" t="s">
        <v>1129</v>
      </c>
      <c r="AJ2141" s="185" t="s">
        <v>2134</v>
      </c>
      <c r="AK2141" s="314" t="s">
        <v>116</v>
      </c>
      <c r="AO2141" s="185" t="s">
        <v>2018</v>
      </c>
      <c r="AP2141" s="185" t="s">
        <v>2018</v>
      </c>
      <c r="AQ2141" s="185" t="s">
        <v>2125</v>
      </c>
      <c r="AR2141" s="185" t="s">
        <v>2125</v>
      </c>
      <c r="AS2141" s="314" t="s">
        <v>177</v>
      </c>
      <c r="AT2141" s="185" t="s">
        <v>2150</v>
      </c>
      <c r="AU2141" s="185" t="s">
        <v>2150</v>
      </c>
      <c r="AV2141" s="314" t="s">
        <v>177</v>
      </c>
      <c r="AW2141" s="185" t="s">
        <v>160</v>
      </c>
      <c r="AX2141" s="314">
        <v>3</v>
      </c>
      <c r="AY2141" s="185">
        <v>10</v>
      </c>
      <c r="AZ2141" s="314" t="s">
        <v>141</v>
      </c>
      <c r="BK2141" s="185">
        <v>2712.4</v>
      </c>
      <c r="BL2141" s="314">
        <v>3777</v>
      </c>
      <c r="BN2141" s="315"/>
      <c r="BO2141" s="314" t="s">
        <v>569</v>
      </c>
      <c r="BP2141" s="433"/>
      <c r="BQ2141" s="433"/>
      <c r="BU2141" s="465"/>
      <c r="BV2141" s="465"/>
      <c r="BZ2141" s="465"/>
      <c r="CA2141" s="465"/>
      <c r="CE2141" s="595"/>
      <c r="CF2141" s="595"/>
      <c r="CG2141" s="595"/>
      <c r="CH2141" s="595"/>
      <c r="FU2141" s="316"/>
      <c r="FV2141" s="164"/>
    </row>
    <row r="2142" spans="1:222" s="384" customFormat="1" x14ac:dyDescent="0.25">
      <c r="A2142" s="384">
        <v>97</v>
      </c>
      <c r="B2142" s="387" t="s">
        <v>4223</v>
      </c>
      <c r="C2142" s="223" t="s">
        <v>2130</v>
      </c>
      <c r="E2142" s="223">
        <v>2000</v>
      </c>
      <c r="F2142" s="384">
        <v>1994</v>
      </c>
      <c r="G2142" s="223" t="s">
        <v>2045</v>
      </c>
      <c r="H2142" s="223" t="s">
        <v>2131</v>
      </c>
      <c r="I2142" s="185" t="s">
        <v>2816</v>
      </c>
      <c r="J2142" s="384">
        <v>46.58</v>
      </c>
      <c r="K2142" s="384">
        <v>-71.23</v>
      </c>
      <c r="L2142" s="223">
        <v>132.1</v>
      </c>
      <c r="M2142" s="223"/>
      <c r="N2142" s="223"/>
      <c r="R2142" s="384">
        <v>2</v>
      </c>
      <c r="S2142" s="223">
        <v>4</v>
      </c>
      <c r="U2142" s="384" t="s">
        <v>2274</v>
      </c>
      <c r="V2142" s="223" t="s">
        <v>1379</v>
      </c>
      <c r="W2142" s="224">
        <v>20</v>
      </c>
      <c r="X2142" s="223" t="s">
        <v>1379</v>
      </c>
      <c r="Y2142" s="223" t="s">
        <v>1379</v>
      </c>
      <c r="Z2142" s="386">
        <v>1.6087</v>
      </c>
      <c r="AA2142" s="364">
        <v>27</v>
      </c>
      <c r="AB2142" s="364">
        <v>49</v>
      </c>
      <c r="AC2142" s="384" t="s">
        <v>139</v>
      </c>
      <c r="AG2142" s="223" t="s">
        <v>2132</v>
      </c>
      <c r="AH2142" s="223" t="s">
        <v>2133</v>
      </c>
      <c r="AI2142" s="384" t="s">
        <v>577</v>
      </c>
      <c r="AJ2142" s="223" t="s">
        <v>2134</v>
      </c>
      <c r="AK2142" s="384" t="s">
        <v>116</v>
      </c>
      <c r="AO2142" s="223" t="s">
        <v>2018</v>
      </c>
      <c r="AP2142" s="223" t="s">
        <v>2018</v>
      </c>
      <c r="AQ2142" s="223" t="s">
        <v>2125</v>
      </c>
      <c r="AR2142" s="223" t="s">
        <v>2125</v>
      </c>
      <c r="AS2142" s="384" t="s">
        <v>177</v>
      </c>
      <c r="AT2142" s="223" t="s">
        <v>2276</v>
      </c>
      <c r="AU2142" s="223" t="s">
        <v>2276</v>
      </c>
      <c r="AV2142" s="384" t="s">
        <v>177</v>
      </c>
      <c r="AW2142" s="223" t="s">
        <v>160</v>
      </c>
      <c r="AX2142" s="384">
        <v>3</v>
      </c>
      <c r="AY2142" s="223">
        <v>10</v>
      </c>
      <c r="AZ2142" s="384" t="s">
        <v>141</v>
      </c>
      <c r="BK2142" s="223">
        <v>2420</v>
      </c>
      <c r="BL2142" s="384">
        <v>2816</v>
      </c>
      <c r="BN2142" s="385"/>
      <c r="BO2142" s="384" t="s">
        <v>569</v>
      </c>
      <c r="BP2142" s="441"/>
      <c r="BQ2142" s="441"/>
      <c r="BU2142" s="440"/>
      <c r="BV2142" s="440"/>
      <c r="BZ2142" s="440"/>
      <c r="CA2142" s="440"/>
      <c r="CE2142" s="596"/>
      <c r="CF2142" s="596"/>
      <c r="CG2142" s="596"/>
      <c r="CH2142" s="596"/>
      <c r="FU2142" s="387"/>
      <c r="FV2142" s="224"/>
    </row>
    <row r="2143" spans="1:222" s="384" customFormat="1" x14ac:dyDescent="0.25">
      <c r="A2143" s="384">
        <v>97</v>
      </c>
      <c r="B2143" s="387" t="s">
        <v>4224</v>
      </c>
      <c r="C2143" s="223" t="s">
        <v>2130</v>
      </c>
      <c r="E2143" s="223">
        <v>2000</v>
      </c>
      <c r="F2143" s="384">
        <v>1994</v>
      </c>
      <c r="G2143" s="223" t="s">
        <v>2045</v>
      </c>
      <c r="H2143" s="223" t="s">
        <v>2131</v>
      </c>
      <c r="I2143" s="185" t="s">
        <v>2816</v>
      </c>
      <c r="J2143" s="384">
        <v>46.58</v>
      </c>
      <c r="K2143" s="384">
        <v>-71.23</v>
      </c>
      <c r="L2143" s="223">
        <v>132.1</v>
      </c>
      <c r="M2143" s="223"/>
      <c r="N2143" s="223"/>
      <c r="R2143" s="384">
        <v>2</v>
      </c>
      <c r="S2143" s="223">
        <v>4</v>
      </c>
      <c r="U2143" s="384" t="s">
        <v>2274</v>
      </c>
      <c r="V2143" s="223" t="s">
        <v>1379</v>
      </c>
      <c r="W2143" s="224">
        <v>20</v>
      </c>
      <c r="X2143" s="223" t="s">
        <v>1379</v>
      </c>
      <c r="Y2143" s="223" t="s">
        <v>1379</v>
      </c>
      <c r="Z2143" s="386">
        <v>1.6087</v>
      </c>
      <c r="AA2143" s="364">
        <v>27</v>
      </c>
      <c r="AB2143" s="364">
        <v>49</v>
      </c>
      <c r="AC2143" s="384" t="s">
        <v>139</v>
      </c>
      <c r="AG2143" s="223" t="s">
        <v>2132</v>
      </c>
      <c r="AH2143" s="223" t="s">
        <v>2136</v>
      </c>
      <c r="AI2143" s="384" t="s">
        <v>1581</v>
      </c>
      <c r="AJ2143" s="223" t="s">
        <v>2134</v>
      </c>
      <c r="AK2143" s="384" t="s">
        <v>116</v>
      </c>
      <c r="AO2143" s="223" t="s">
        <v>2018</v>
      </c>
      <c r="AP2143" s="223" t="s">
        <v>2018</v>
      </c>
      <c r="AQ2143" s="223" t="s">
        <v>2125</v>
      </c>
      <c r="AR2143" s="223" t="s">
        <v>2125</v>
      </c>
      <c r="AS2143" s="384" t="s">
        <v>177</v>
      </c>
      <c r="AT2143" s="223" t="s">
        <v>2276</v>
      </c>
      <c r="AU2143" s="223" t="s">
        <v>2276</v>
      </c>
      <c r="AV2143" s="384" t="s">
        <v>177</v>
      </c>
      <c r="AW2143" s="223" t="s">
        <v>160</v>
      </c>
      <c r="AX2143" s="384">
        <v>3</v>
      </c>
      <c r="AY2143" s="223">
        <v>10</v>
      </c>
      <c r="AZ2143" s="384" t="s">
        <v>141</v>
      </c>
      <c r="BK2143" s="223">
        <v>2420</v>
      </c>
      <c r="BL2143" s="384">
        <v>3043</v>
      </c>
      <c r="BN2143" s="385"/>
      <c r="BO2143" s="384" t="s">
        <v>569</v>
      </c>
      <c r="BP2143" s="441"/>
      <c r="BQ2143" s="441"/>
      <c r="BU2143" s="440"/>
      <c r="BV2143" s="440"/>
      <c r="BZ2143" s="440"/>
      <c r="CA2143" s="440"/>
      <c r="CE2143" s="596"/>
      <c r="CF2143" s="596"/>
      <c r="CG2143" s="596"/>
      <c r="CH2143" s="596"/>
      <c r="FU2143" s="387"/>
      <c r="FV2143" s="224"/>
    </row>
    <row r="2144" spans="1:222" s="384" customFormat="1" x14ac:dyDescent="0.25">
      <c r="A2144" s="384">
        <v>97</v>
      </c>
      <c r="B2144" s="387" t="s">
        <v>4224</v>
      </c>
      <c r="C2144" s="223" t="s">
        <v>2130</v>
      </c>
      <c r="E2144" s="223">
        <v>2000</v>
      </c>
      <c r="F2144" s="384">
        <v>1994</v>
      </c>
      <c r="G2144" s="223" t="s">
        <v>2045</v>
      </c>
      <c r="H2144" s="223" t="s">
        <v>2131</v>
      </c>
      <c r="I2144" s="185" t="s">
        <v>2816</v>
      </c>
      <c r="J2144" s="384">
        <v>46.58</v>
      </c>
      <c r="K2144" s="384">
        <v>-71.23</v>
      </c>
      <c r="L2144" s="223">
        <v>132.1</v>
      </c>
      <c r="M2144" s="223"/>
      <c r="N2144" s="223"/>
      <c r="R2144" s="384">
        <v>2</v>
      </c>
      <c r="S2144" s="223">
        <v>4</v>
      </c>
      <c r="U2144" s="384" t="s">
        <v>2274</v>
      </c>
      <c r="V2144" s="223" t="s">
        <v>1379</v>
      </c>
      <c r="W2144" s="224">
        <v>20</v>
      </c>
      <c r="X2144" s="223" t="s">
        <v>1379</v>
      </c>
      <c r="Y2144" s="223" t="s">
        <v>1379</v>
      </c>
      <c r="Z2144" s="386">
        <v>1.6087</v>
      </c>
      <c r="AA2144" s="364">
        <v>27</v>
      </c>
      <c r="AB2144" s="364">
        <v>49</v>
      </c>
      <c r="AC2144" s="384" t="s">
        <v>139</v>
      </c>
      <c r="AG2144" s="223" t="s">
        <v>2132</v>
      </c>
      <c r="AH2144" s="223" t="s">
        <v>2137</v>
      </c>
      <c r="AI2144" s="384" t="s">
        <v>1581</v>
      </c>
      <c r="AJ2144" s="223" t="s">
        <v>2134</v>
      </c>
      <c r="AK2144" s="384" t="s">
        <v>116</v>
      </c>
      <c r="AO2144" s="223" t="s">
        <v>2018</v>
      </c>
      <c r="AP2144" s="223" t="s">
        <v>2018</v>
      </c>
      <c r="AQ2144" s="223" t="s">
        <v>2125</v>
      </c>
      <c r="AR2144" s="223" t="s">
        <v>2125</v>
      </c>
      <c r="AS2144" s="384" t="s">
        <v>177</v>
      </c>
      <c r="AT2144" s="223" t="s">
        <v>2276</v>
      </c>
      <c r="AU2144" s="223" t="s">
        <v>2276</v>
      </c>
      <c r="AV2144" s="384" t="s">
        <v>177</v>
      </c>
      <c r="AW2144" s="223" t="s">
        <v>160</v>
      </c>
      <c r="AX2144" s="384">
        <v>3</v>
      </c>
      <c r="AY2144" s="223">
        <v>10</v>
      </c>
      <c r="AZ2144" s="384" t="s">
        <v>141</v>
      </c>
      <c r="BK2144" s="223">
        <v>2420</v>
      </c>
      <c r="BL2144" s="384">
        <v>3564</v>
      </c>
      <c r="BN2144" s="385"/>
      <c r="BO2144" s="384" t="s">
        <v>569</v>
      </c>
      <c r="BP2144" s="441"/>
      <c r="BQ2144" s="441"/>
      <c r="BU2144" s="440"/>
      <c r="BV2144" s="440"/>
      <c r="BZ2144" s="440"/>
      <c r="CA2144" s="440"/>
      <c r="CE2144" s="596"/>
      <c r="CF2144" s="596"/>
      <c r="CG2144" s="596"/>
      <c r="CH2144" s="596"/>
      <c r="FU2144" s="387"/>
      <c r="FV2144" s="224"/>
    </row>
    <row r="2145" spans="1:178" s="384" customFormat="1" x14ac:dyDescent="0.25">
      <c r="A2145" s="384">
        <v>97</v>
      </c>
      <c r="B2145" s="387" t="s">
        <v>4225</v>
      </c>
      <c r="C2145" s="223" t="s">
        <v>2130</v>
      </c>
      <c r="E2145" s="223">
        <v>2000</v>
      </c>
      <c r="F2145" s="384">
        <v>1994</v>
      </c>
      <c r="G2145" s="223" t="s">
        <v>2045</v>
      </c>
      <c r="H2145" s="223" t="s">
        <v>2131</v>
      </c>
      <c r="I2145" s="185" t="s">
        <v>2816</v>
      </c>
      <c r="J2145" s="384">
        <v>46.58</v>
      </c>
      <c r="K2145" s="384">
        <v>-71.23</v>
      </c>
      <c r="L2145" s="223">
        <v>132.1</v>
      </c>
      <c r="M2145" s="223"/>
      <c r="N2145" s="223"/>
      <c r="R2145" s="384">
        <v>2</v>
      </c>
      <c r="S2145" s="223">
        <v>4</v>
      </c>
      <c r="U2145" s="384" t="s">
        <v>2274</v>
      </c>
      <c r="V2145" s="223" t="s">
        <v>1379</v>
      </c>
      <c r="W2145" s="224">
        <v>20</v>
      </c>
      <c r="X2145" s="223" t="s">
        <v>1379</v>
      </c>
      <c r="Y2145" s="223" t="s">
        <v>1379</v>
      </c>
      <c r="Z2145" s="386">
        <v>1.6087</v>
      </c>
      <c r="AA2145" s="364">
        <v>27</v>
      </c>
      <c r="AB2145" s="364">
        <v>49</v>
      </c>
      <c r="AC2145" s="384" t="s">
        <v>139</v>
      </c>
      <c r="AG2145" s="223" t="s">
        <v>2132</v>
      </c>
      <c r="AH2145" s="223" t="s">
        <v>2139</v>
      </c>
      <c r="AI2145" s="384" t="s">
        <v>1129</v>
      </c>
      <c r="AJ2145" s="223" t="s">
        <v>2134</v>
      </c>
      <c r="AK2145" s="384" t="s">
        <v>116</v>
      </c>
      <c r="AO2145" s="223" t="s">
        <v>2018</v>
      </c>
      <c r="AP2145" s="223" t="s">
        <v>2018</v>
      </c>
      <c r="AQ2145" s="223" t="s">
        <v>2125</v>
      </c>
      <c r="AR2145" s="223" t="s">
        <v>2125</v>
      </c>
      <c r="AS2145" s="384" t="s">
        <v>177</v>
      </c>
      <c r="AT2145" s="223" t="s">
        <v>2276</v>
      </c>
      <c r="AU2145" s="223" t="s">
        <v>2276</v>
      </c>
      <c r="AV2145" s="384" t="s">
        <v>177</v>
      </c>
      <c r="AW2145" s="223" t="s">
        <v>160</v>
      </c>
      <c r="AX2145" s="384">
        <v>3</v>
      </c>
      <c r="AY2145" s="223">
        <v>10</v>
      </c>
      <c r="AZ2145" s="384" t="s">
        <v>141</v>
      </c>
      <c r="BK2145" s="223">
        <v>2420</v>
      </c>
      <c r="BL2145" s="384">
        <v>3541</v>
      </c>
      <c r="BN2145" s="385"/>
      <c r="BO2145" s="384" t="s">
        <v>569</v>
      </c>
      <c r="BP2145" s="441"/>
      <c r="BQ2145" s="441"/>
      <c r="BU2145" s="440"/>
      <c r="BV2145" s="440"/>
      <c r="BZ2145" s="440"/>
      <c r="CA2145" s="440"/>
      <c r="CE2145" s="596"/>
      <c r="CF2145" s="596"/>
      <c r="CG2145" s="596"/>
      <c r="CH2145" s="596"/>
      <c r="FU2145" s="387"/>
      <c r="FV2145" s="224"/>
    </row>
    <row r="2146" spans="1:178" s="384" customFormat="1" x14ac:dyDescent="0.25">
      <c r="A2146" s="384">
        <v>97</v>
      </c>
      <c r="B2146" s="387" t="s">
        <v>4225</v>
      </c>
      <c r="C2146" s="223" t="s">
        <v>2130</v>
      </c>
      <c r="E2146" s="223">
        <v>2000</v>
      </c>
      <c r="F2146" s="384">
        <v>1994</v>
      </c>
      <c r="G2146" s="223" t="s">
        <v>2045</v>
      </c>
      <c r="H2146" s="223" t="s">
        <v>2131</v>
      </c>
      <c r="I2146" s="185" t="s">
        <v>2816</v>
      </c>
      <c r="J2146" s="384">
        <v>46.58</v>
      </c>
      <c r="K2146" s="384">
        <v>-71.23</v>
      </c>
      <c r="L2146" s="223">
        <v>132.1</v>
      </c>
      <c r="M2146" s="223"/>
      <c r="N2146" s="223"/>
      <c r="R2146" s="384">
        <v>2</v>
      </c>
      <c r="S2146" s="223">
        <v>4</v>
      </c>
      <c r="U2146" s="384" t="s">
        <v>2274</v>
      </c>
      <c r="V2146" s="223" t="s">
        <v>1379</v>
      </c>
      <c r="W2146" s="224">
        <v>20</v>
      </c>
      <c r="X2146" s="223" t="s">
        <v>1379</v>
      </c>
      <c r="Y2146" s="223" t="s">
        <v>1379</v>
      </c>
      <c r="Z2146" s="386">
        <v>1.6087</v>
      </c>
      <c r="AA2146" s="364">
        <v>27</v>
      </c>
      <c r="AB2146" s="364">
        <v>49</v>
      </c>
      <c r="AC2146" s="384" t="s">
        <v>139</v>
      </c>
      <c r="AG2146" s="223" t="s">
        <v>2132</v>
      </c>
      <c r="AH2146" s="223" t="s">
        <v>2138</v>
      </c>
      <c r="AI2146" s="384" t="s">
        <v>1129</v>
      </c>
      <c r="AJ2146" s="223" t="s">
        <v>2134</v>
      </c>
      <c r="AK2146" s="384" t="s">
        <v>116</v>
      </c>
      <c r="AO2146" s="223" t="s">
        <v>2018</v>
      </c>
      <c r="AP2146" s="223" t="s">
        <v>2018</v>
      </c>
      <c r="AQ2146" s="223" t="s">
        <v>2125</v>
      </c>
      <c r="AR2146" s="223" t="s">
        <v>2125</v>
      </c>
      <c r="AS2146" s="384" t="s">
        <v>177</v>
      </c>
      <c r="AT2146" s="223" t="s">
        <v>2276</v>
      </c>
      <c r="AU2146" s="223" t="s">
        <v>2276</v>
      </c>
      <c r="AV2146" s="384" t="s">
        <v>177</v>
      </c>
      <c r="AW2146" s="223" t="s">
        <v>160</v>
      </c>
      <c r="AX2146" s="384">
        <v>3</v>
      </c>
      <c r="AY2146" s="223">
        <v>10</v>
      </c>
      <c r="AZ2146" s="384" t="s">
        <v>141</v>
      </c>
      <c r="BK2146" s="223">
        <v>2420</v>
      </c>
      <c r="BL2146" s="384">
        <v>3088</v>
      </c>
      <c r="BN2146" s="385"/>
      <c r="BO2146" s="384" t="s">
        <v>569</v>
      </c>
      <c r="BP2146" s="441"/>
      <c r="BQ2146" s="441"/>
      <c r="BU2146" s="440"/>
      <c r="BV2146" s="440"/>
      <c r="BZ2146" s="440"/>
      <c r="CA2146" s="440"/>
      <c r="CE2146" s="596"/>
      <c r="CF2146" s="596"/>
      <c r="CG2146" s="596"/>
      <c r="CH2146" s="596"/>
      <c r="FU2146" s="387"/>
      <c r="FV2146" s="224"/>
    </row>
    <row r="2147" spans="1:178" s="239" customFormat="1" x14ac:dyDescent="0.25">
      <c r="A2147" s="239">
        <v>98</v>
      </c>
      <c r="B2147" s="240" t="s">
        <v>4226</v>
      </c>
      <c r="C2147" s="304" t="s">
        <v>2140</v>
      </c>
      <c r="E2147" s="304">
        <v>2006</v>
      </c>
      <c r="F2147" s="239">
        <v>1996</v>
      </c>
      <c r="G2147" s="304" t="s">
        <v>946</v>
      </c>
      <c r="H2147" s="304" t="s">
        <v>2141</v>
      </c>
      <c r="I2147" s="304" t="s">
        <v>2818</v>
      </c>
      <c r="J2147" s="239">
        <f>-29-45/60</f>
        <v>-29.75</v>
      </c>
      <c r="K2147" s="239">
        <f>-53-42/60</f>
        <v>-53.7</v>
      </c>
      <c r="L2147" s="304">
        <v>96</v>
      </c>
      <c r="M2147" s="304">
        <v>19.7</v>
      </c>
      <c r="O2147" s="304">
        <v>1769</v>
      </c>
      <c r="R2147" s="239">
        <v>5</v>
      </c>
      <c r="S2147" s="304">
        <v>10</v>
      </c>
      <c r="U2147" s="239" t="s">
        <v>2231</v>
      </c>
      <c r="V2147" s="238" t="s">
        <v>1394</v>
      </c>
      <c r="W2147" s="304">
        <v>5</v>
      </c>
      <c r="X2147" s="238" t="s">
        <v>1394</v>
      </c>
      <c r="Y2147" s="238" t="s">
        <v>1394</v>
      </c>
      <c r="Z2147" s="239">
        <v>1.2749999999999999</v>
      </c>
      <c r="AA2147" s="374">
        <v>66</v>
      </c>
      <c r="AB2147" s="374">
        <v>25.3</v>
      </c>
      <c r="AC2147" s="239" t="s">
        <v>240</v>
      </c>
      <c r="AD2147" s="239">
        <v>4.5</v>
      </c>
      <c r="AG2147" s="304" t="s">
        <v>2142</v>
      </c>
      <c r="AH2147" s="304" t="s">
        <v>115</v>
      </c>
      <c r="AI2147" s="239" t="s">
        <v>577</v>
      </c>
      <c r="AJ2147" s="304" t="s">
        <v>2143</v>
      </c>
      <c r="AK2147" s="239" t="s">
        <v>132</v>
      </c>
      <c r="AO2147" s="304" t="s">
        <v>156</v>
      </c>
      <c r="AP2147" s="304" t="s">
        <v>156</v>
      </c>
      <c r="AQ2147" s="304" t="s">
        <v>2126</v>
      </c>
      <c r="AR2147" s="304" t="s">
        <v>2126</v>
      </c>
      <c r="AS2147" s="239" t="s">
        <v>177</v>
      </c>
      <c r="AT2147" s="304" t="s">
        <v>2242</v>
      </c>
      <c r="AU2147" s="304" t="s">
        <v>2242</v>
      </c>
      <c r="AV2147" s="239" t="s">
        <v>177</v>
      </c>
      <c r="AW2147" s="304" t="s">
        <v>160</v>
      </c>
      <c r="AX2147" s="239">
        <v>5</v>
      </c>
      <c r="AY2147" s="304">
        <v>3</v>
      </c>
      <c r="AZ2147" s="239" t="s">
        <v>141</v>
      </c>
      <c r="BK2147" s="304"/>
      <c r="BN2147" s="242"/>
      <c r="BP2147" s="451"/>
      <c r="BQ2147" s="451"/>
      <c r="BU2147" s="451">
        <f t="shared" ref="BU2147:BU2184" si="322">(BZ2147*1000000)/(100*100*Z2147*W2147/100*1000000)*100</f>
        <v>1.060392156862745</v>
      </c>
      <c r="BV2147" s="451">
        <f t="shared" ref="BV2147:BV2184" si="323">(CA2147*1000000)/(100*100*Z2147*W2147/100*1000000)*100</f>
        <v>1.2894117647058825</v>
      </c>
      <c r="BZ2147" s="449">
        <v>6.76</v>
      </c>
      <c r="CA2147" s="449">
        <v>8.2200000000000006</v>
      </c>
      <c r="CD2147" s="239" t="s">
        <v>2095</v>
      </c>
      <c r="CE2147" s="597">
        <v>6.76</v>
      </c>
      <c r="CF2147" s="597">
        <v>8.2200000000000006</v>
      </c>
      <c r="CG2147" s="597"/>
      <c r="CH2147" s="597"/>
      <c r="CI2147" s="239" t="s">
        <v>4551</v>
      </c>
      <c r="FU2147" s="240"/>
    </row>
    <row r="2148" spans="1:178" s="239" customFormat="1" x14ac:dyDescent="0.25">
      <c r="A2148" s="239">
        <v>98</v>
      </c>
      <c r="B2148" s="240" t="s">
        <v>4226</v>
      </c>
      <c r="C2148" s="304" t="s">
        <v>2140</v>
      </c>
      <c r="E2148" s="304">
        <v>2006</v>
      </c>
      <c r="F2148" s="239">
        <v>1996</v>
      </c>
      <c r="G2148" s="304" t="s">
        <v>946</v>
      </c>
      <c r="H2148" s="304" t="s">
        <v>2141</v>
      </c>
      <c r="I2148" s="304" t="s">
        <v>2818</v>
      </c>
      <c r="J2148" s="239">
        <f>-29-45/60</f>
        <v>-29.75</v>
      </c>
      <c r="K2148" s="239">
        <f>-53-42/60</f>
        <v>-53.7</v>
      </c>
      <c r="L2148" s="304">
        <v>96</v>
      </c>
      <c r="M2148" s="304">
        <v>19.7</v>
      </c>
      <c r="O2148" s="304">
        <v>1769</v>
      </c>
      <c r="R2148" s="239">
        <v>5</v>
      </c>
      <c r="S2148" s="304">
        <v>10</v>
      </c>
      <c r="U2148" s="239" t="s">
        <v>2231</v>
      </c>
      <c r="V2148" s="238" t="s">
        <v>1394</v>
      </c>
      <c r="W2148" s="304">
        <v>5</v>
      </c>
      <c r="X2148" s="238" t="s">
        <v>1394</v>
      </c>
      <c r="Y2148" s="238" t="s">
        <v>1394</v>
      </c>
      <c r="Z2148" s="239">
        <v>1.2749999999999999</v>
      </c>
      <c r="AA2148" s="374">
        <v>66</v>
      </c>
      <c r="AB2148" s="374">
        <v>25.3</v>
      </c>
      <c r="AC2148" s="239" t="s">
        <v>240</v>
      </c>
      <c r="AD2148" s="239">
        <v>4.5</v>
      </c>
      <c r="AG2148" s="304" t="s">
        <v>2142</v>
      </c>
      <c r="AH2148" s="304" t="s">
        <v>2236</v>
      </c>
      <c r="AI2148" s="239" t="s">
        <v>577</v>
      </c>
      <c r="AJ2148" s="304" t="s">
        <v>2143</v>
      </c>
      <c r="AK2148" s="239" t="s">
        <v>132</v>
      </c>
      <c r="AO2148" s="304" t="s">
        <v>156</v>
      </c>
      <c r="AP2148" s="304" t="s">
        <v>156</v>
      </c>
      <c r="AQ2148" s="304" t="s">
        <v>2126</v>
      </c>
      <c r="AR2148" s="304" t="s">
        <v>2126</v>
      </c>
      <c r="AS2148" s="239" t="s">
        <v>177</v>
      </c>
      <c r="AT2148" s="304" t="s">
        <v>2242</v>
      </c>
      <c r="AU2148" s="304" t="s">
        <v>2242</v>
      </c>
      <c r="AV2148" s="239" t="s">
        <v>177</v>
      </c>
      <c r="AW2148" s="304" t="s">
        <v>160</v>
      </c>
      <c r="AX2148" s="239">
        <v>5</v>
      </c>
      <c r="AY2148" s="304">
        <v>3</v>
      </c>
      <c r="AZ2148" s="239" t="s">
        <v>141</v>
      </c>
      <c r="BK2148" s="304"/>
      <c r="BN2148" s="242"/>
      <c r="BP2148" s="451"/>
      <c r="BQ2148" s="451"/>
      <c r="BU2148" s="451">
        <f t="shared" si="322"/>
        <v>1.060392156862745</v>
      </c>
      <c r="BV2148" s="451">
        <f t="shared" si="323"/>
        <v>1.4776470588235293</v>
      </c>
      <c r="BZ2148" s="449">
        <v>6.76</v>
      </c>
      <c r="CA2148" s="449">
        <v>9.42</v>
      </c>
      <c r="CD2148" s="239" t="s">
        <v>2095</v>
      </c>
      <c r="CE2148" s="597">
        <v>6.76</v>
      </c>
      <c r="CF2148" s="597">
        <v>9.42</v>
      </c>
      <c r="CG2148" s="597"/>
      <c r="CH2148" s="597"/>
      <c r="CI2148" s="239" t="s">
        <v>4551</v>
      </c>
      <c r="FU2148" s="240"/>
    </row>
    <row r="2149" spans="1:178" s="239" customFormat="1" x14ac:dyDescent="0.25">
      <c r="A2149" s="239">
        <v>98</v>
      </c>
      <c r="B2149" s="240" t="s">
        <v>4227</v>
      </c>
      <c r="C2149" s="304" t="s">
        <v>2140</v>
      </c>
      <c r="E2149" s="304">
        <v>2006</v>
      </c>
      <c r="F2149" s="239">
        <v>1996</v>
      </c>
      <c r="G2149" s="304" t="s">
        <v>946</v>
      </c>
      <c r="H2149" s="304" t="s">
        <v>2141</v>
      </c>
      <c r="I2149" s="304" t="s">
        <v>2818</v>
      </c>
      <c r="J2149" s="239">
        <f>-29-45/60</f>
        <v>-29.75</v>
      </c>
      <c r="K2149" s="239">
        <f>-53-42/60</f>
        <v>-53.7</v>
      </c>
      <c r="L2149" s="304">
        <v>96</v>
      </c>
      <c r="M2149" s="304">
        <v>19.7</v>
      </c>
      <c r="O2149" s="304">
        <v>1769</v>
      </c>
      <c r="R2149" s="239">
        <v>5</v>
      </c>
      <c r="S2149" s="304">
        <v>10</v>
      </c>
      <c r="U2149" s="239" t="s">
        <v>2231</v>
      </c>
      <c r="V2149" s="238" t="s">
        <v>1379</v>
      </c>
      <c r="W2149" s="304">
        <v>20</v>
      </c>
      <c r="X2149" s="238" t="s">
        <v>1394</v>
      </c>
      <c r="Y2149" s="238" t="s">
        <v>1394</v>
      </c>
      <c r="Z2149" s="451">
        <v>0.98899999999999999</v>
      </c>
      <c r="AA2149" s="374">
        <v>66</v>
      </c>
      <c r="AB2149" s="374">
        <v>25.3</v>
      </c>
      <c r="AC2149" s="239" t="s">
        <v>240</v>
      </c>
      <c r="AD2149" s="239">
        <v>4.5</v>
      </c>
      <c r="AG2149" s="304" t="s">
        <v>2142</v>
      </c>
      <c r="AH2149" s="304" t="s">
        <v>115</v>
      </c>
      <c r="AI2149" s="239" t="s">
        <v>577</v>
      </c>
      <c r="AJ2149" s="304" t="s">
        <v>2143</v>
      </c>
      <c r="AK2149" s="239" t="s">
        <v>132</v>
      </c>
      <c r="AO2149" s="304" t="s">
        <v>156</v>
      </c>
      <c r="AP2149" s="304" t="s">
        <v>156</v>
      </c>
      <c r="AQ2149" s="304" t="s">
        <v>2126</v>
      </c>
      <c r="AR2149" s="304" t="s">
        <v>2126</v>
      </c>
      <c r="AS2149" s="239" t="s">
        <v>177</v>
      </c>
      <c r="AT2149" s="304" t="s">
        <v>2242</v>
      </c>
      <c r="AU2149" s="304" t="s">
        <v>2242</v>
      </c>
      <c r="AV2149" s="239" t="s">
        <v>177</v>
      </c>
      <c r="AW2149" s="304" t="s">
        <v>160</v>
      </c>
      <c r="AX2149" s="239">
        <v>5</v>
      </c>
      <c r="AY2149" s="304">
        <v>3</v>
      </c>
      <c r="AZ2149" s="239" t="s">
        <v>141</v>
      </c>
      <c r="BK2149" s="304"/>
      <c r="BN2149" s="242"/>
      <c r="BP2149" s="451">
        <v>1.2746200000000001</v>
      </c>
      <c r="BQ2149" s="451">
        <v>1.1719599999999999</v>
      </c>
      <c r="BU2149" s="451">
        <f t="shared" si="322"/>
        <v>0.97067745197168853</v>
      </c>
      <c r="BV2149" s="451">
        <f t="shared" si="323"/>
        <v>1.0515672396359959</v>
      </c>
      <c r="BZ2149" s="449">
        <v>19.2</v>
      </c>
      <c r="CA2149" s="449">
        <v>20.8</v>
      </c>
      <c r="CD2149" s="239" t="s">
        <v>2095</v>
      </c>
      <c r="CE2149" s="597">
        <v>19.2</v>
      </c>
      <c r="CF2149" s="597">
        <v>20.8</v>
      </c>
      <c r="CG2149" s="597"/>
      <c r="CH2149" s="597"/>
      <c r="CI2149" s="239" t="s">
        <v>4551</v>
      </c>
      <c r="FU2149" s="240"/>
    </row>
    <row r="2150" spans="1:178" s="239" customFormat="1" x14ac:dyDescent="0.25">
      <c r="A2150" s="239">
        <v>98</v>
      </c>
      <c r="B2150" s="240" t="s">
        <v>4227</v>
      </c>
      <c r="C2150" s="304" t="s">
        <v>2140</v>
      </c>
      <c r="E2150" s="304">
        <v>2006</v>
      </c>
      <c r="F2150" s="239">
        <v>1996</v>
      </c>
      <c r="G2150" s="304" t="s">
        <v>946</v>
      </c>
      <c r="H2150" s="304" t="s">
        <v>2141</v>
      </c>
      <c r="I2150" s="304" t="s">
        <v>2818</v>
      </c>
      <c r="J2150" s="239">
        <f>-29-45/60</f>
        <v>-29.75</v>
      </c>
      <c r="K2150" s="239">
        <f>-53-42/60</f>
        <v>-53.7</v>
      </c>
      <c r="L2150" s="304">
        <v>96</v>
      </c>
      <c r="M2150" s="304">
        <v>19.7</v>
      </c>
      <c r="O2150" s="304">
        <v>1769</v>
      </c>
      <c r="R2150" s="239">
        <v>5</v>
      </c>
      <c r="S2150" s="304">
        <v>10</v>
      </c>
      <c r="U2150" s="239" t="s">
        <v>2231</v>
      </c>
      <c r="V2150" s="238" t="s">
        <v>1379</v>
      </c>
      <c r="W2150" s="304">
        <v>20</v>
      </c>
      <c r="X2150" s="238" t="s">
        <v>1394</v>
      </c>
      <c r="Y2150" s="238" t="s">
        <v>1394</v>
      </c>
      <c r="Z2150" s="451">
        <v>0.98899999999999999</v>
      </c>
      <c r="AA2150" s="374">
        <v>66</v>
      </c>
      <c r="AB2150" s="374">
        <v>25.3</v>
      </c>
      <c r="AC2150" s="239" t="s">
        <v>240</v>
      </c>
      <c r="AD2150" s="239">
        <v>4.5</v>
      </c>
      <c r="AG2150" s="304" t="s">
        <v>2142</v>
      </c>
      <c r="AH2150" s="304" t="s">
        <v>2236</v>
      </c>
      <c r="AI2150" s="239" t="s">
        <v>577</v>
      </c>
      <c r="AJ2150" s="304" t="s">
        <v>2143</v>
      </c>
      <c r="AK2150" s="239" t="s">
        <v>132</v>
      </c>
      <c r="AO2150" s="304" t="s">
        <v>156</v>
      </c>
      <c r="AP2150" s="304" t="s">
        <v>156</v>
      </c>
      <c r="AQ2150" s="304" t="s">
        <v>2126</v>
      </c>
      <c r="AR2150" s="304" t="s">
        <v>2126</v>
      </c>
      <c r="AS2150" s="239" t="s">
        <v>177</v>
      </c>
      <c r="AT2150" s="304" t="s">
        <v>2242</v>
      </c>
      <c r="AU2150" s="304" t="s">
        <v>2242</v>
      </c>
      <c r="AV2150" s="239" t="s">
        <v>177</v>
      </c>
      <c r="AW2150" s="304" t="s">
        <v>160</v>
      </c>
      <c r="AX2150" s="239">
        <v>5</v>
      </c>
      <c r="AY2150" s="304">
        <v>3</v>
      </c>
      <c r="AZ2150" s="239" t="s">
        <v>141</v>
      </c>
      <c r="BK2150" s="304"/>
      <c r="BN2150" s="242"/>
      <c r="BP2150" s="451">
        <v>1.2746200000000001</v>
      </c>
      <c r="BQ2150" s="451">
        <v>1.1719599999999999</v>
      </c>
      <c r="BU2150" s="451">
        <f t="shared" si="322"/>
        <v>0.97067745197168853</v>
      </c>
      <c r="BV2150" s="451">
        <f t="shared" si="323"/>
        <v>1.268958543983822</v>
      </c>
      <c r="BZ2150" s="449">
        <v>19.2</v>
      </c>
      <c r="CA2150" s="449">
        <v>25.1</v>
      </c>
      <c r="CD2150" s="239" t="s">
        <v>2095</v>
      </c>
      <c r="CE2150" s="597">
        <v>19.2</v>
      </c>
      <c r="CF2150" s="597">
        <v>25.1</v>
      </c>
      <c r="CG2150" s="597"/>
      <c r="CH2150" s="597"/>
      <c r="CI2150" s="239" t="s">
        <v>4551</v>
      </c>
      <c r="FU2150" s="240"/>
    </row>
    <row r="2151" spans="1:178" s="245" customFormat="1" x14ac:dyDescent="0.25">
      <c r="A2151" s="245">
        <v>98</v>
      </c>
      <c r="B2151" s="246" t="s">
        <v>4228</v>
      </c>
      <c r="C2151" s="307" t="s">
        <v>2140</v>
      </c>
      <c r="E2151" s="247">
        <v>2006</v>
      </c>
      <c r="F2151" s="245">
        <v>1996</v>
      </c>
      <c r="G2151" s="307" t="s">
        <v>946</v>
      </c>
      <c r="H2151" s="247" t="s">
        <v>2233</v>
      </c>
      <c r="I2151" s="304" t="s">
        <v>2818</v>
      </c>
      <c r="J2151" s="245">
        <f>-30-50/60</f>
        <v>-30.833333333333332</v>
      </c>
      <c r="K2151" s="245">
        <f>-51-38/60</f>
        <v>-51.633333333333333</v>
      </c>
      <c r="L2151" s="247">
        <v>96</v>
      </c>
      <c r="M2151" s="247">
        <v>19.399999999999999</v>
      </c>
      <c r="O2151" s="247">
        <v>1440</v>
      </c>
      <c r="R2151" s="245">
        <v>8</v>
      </c>
      <c r="S2151" s="247">
        <v>15</v>
      </c>
      <c r="U2151" s="245" t="s">
        <v>2232</v>
      </c>
      <c r="V2151" s="244" t="s">
        <v>1394</v>
      </c>
      <c r="W2151" s="247">
        <v>5</v>
      </c>
      <c r="X2151" s="244" t="s">
        <v>1394</v>
      </c>
      <c r="Y2151" s="244" t="s">
        <v>1394</v>
      </c>
      <c r="Z2151" s="437">
        <v>1.2749999999999999</v>
      </c>
      <c r="AA2151" s="367">
        <v>54</v>
      </c>
      <c r="AB2151" s="367">
        <v>24</v>
      </c>
      <c r="AC2151" s="245" t="s">
        <v>518</v>
      </c>
      <c r="AD2151" s="245">
        <v>4.5</v>
      </c>
      <c r="AG2151" s="247" t="s">
        <v>2145</v>
      </c>
      <c r="AH2151" s="245" t="s">
        <v>2238</v>
      </c>
      <c r="AI2151" s="245" t="s">
        <v>577</v>
      </c>
      <c r="AJ2151" s="245" t="s">
        <v>2239</v>
      </c>
      <c r="AK2151" s="245" t="s">
        <v>1620</v>
      </c>
      <c r="AO2151" s="245" t="s">
        <v>156</v>
      </c>
      <c r="AP2151" s="245" t="s">
        <v>156</v>
      </c>
      <c r="AQ2151" s="245" t="s">
        <v>2126</v>
      </c>
      <c r="AR2151" s="245" t="s">
        <v>2126</v>
      </c>
      <c r="AS2151" s="245" t="s">
        <v>177</v>
      </c>
      <c r="AT2151" s="245" t="s">
        <v>2144</v>
      </c>
      <c r="AU2151" s="245" t="s">
        <v>2144</v>
      </c>
      <c r="AV2151" s="245" t="s">
        <v>177</v>
      </c>
      <c r="AW2151" s="307" t="s">
        <v>160</v>
      </c>
      <c r="AX2151" s="245">
        <v>5</v>
      </c>
      <c r="AY2151" s="247">
        <v>3</v>
      </c>
      <c r="AZ2151" s="245" t="s">
        <v>141</v>
      </c>
      <c r="BN2151" s="248"/>
      <c r="BP2151" s="437"/>
      <c r="BQ2151" s="437"/>
      <c r="BU2151" s="451">
        <f t="shared" si="322"/>
        <v>1.6423529411764706</v>
      </c>
      <c r="BV2151" s="451">
        <f t="shared" si="323"/>
        <v>2.2227450980392156</v>
      </c>
      <c r="BZ2151" s="437">
        <v>10.47</v>
      </c>
      <c r="CA2151" s="437">
        <v>14.17</v>
      </c>
      <c r="CD2151" s="245" t="s">
        <v>2095</v>
      </c>
      <c r="CE2151" s="598">
        <v>10.47</v>
      </c>
      <c r="CF2151" s="598">
        <v>14.17</v>
      </c>
      <c r="CG2151" s="598"/>
      <c r="CH2151" s="598"/>
      <c r="CI2151" s="245" t="s">
        <v>4551</v>
      </c>
      <c r="FU2151" s="246"/>
    </row>
    <row r="2152" spans="1:178" s="245" customFormat="1" x14ac:dyDescent="0.25">
      <c r="A2152" s="245">
        <v>98</v>
      </c>
      <c r="B2152" s="246" t="s">
        <v>4228</v>
      </c>
      <c r="C2152" s="307" t="s">
        <v>2140</v>
      </c>
      <c r="E2152" s="247">
        <v>2006</v>
      </c>
      <c r="F2152" s="245">
        <v>1996</v>
      </c>
      <c r="G2152" s="307" t="s">
        <v>946</v>
      </c>
      <c r="H2152" s="247" t="s">
        <v>2233</v>
      </c>
      <c r="I2152" s="304" t="s">
        <v>2818</v>
      </c>
      <c r="J2152" s="245">
        <f>-30-50/60</f>
        <v>-30.833333333333332</v>
      </c>
      <c r="K2152" s="245">
        <f>-51-38/60</f>
        <v>-51.633333333333333</v>
      </c>
      <c r="L2152" s="247">
        <v>96</v>
      </c>
      <c r="M2152" s="247">
        <v>19.399999999999999</v>
      </c>
      <c r="O2152" s="247">
        <v>1440</v>
      </c>
      <c r="R2152" s="245">
        <v>8</v>
      </c>
      <c r="S2152" s="247">
        <v>15</v>
      </c>
      <c r="U2152" s="245" t="s">
        <v>2232</v>
      </c>
      <c r="V2152" s="244" t="s">
        <v>1394</v>
      </c>
      <c r="W2152" s="247">
        <v>5</v>
      </c>
      <c r="X2152" s="244" t="s">
        <v>1394</v>
      </c>
      <c r="Y2152" s="244" t="s">
        <v>1394</v>
      </c>
      <c r="Z2152" s="437">
        <v>1.2749999999999999</v>
      </c>
      <c r="AA2152" s="367">
        <v>54</v>
      </c>
      <c r="AB2152" s="367">
        <v>24</v>
      </c>
      <c r="AC2152" s="245" t="s">
        <v>518</v>
      </c>
      <c r="AD2152" s="245">
        <v>4.5</v>
      </c>
      <c r="AG2152" s="247" t="s">
        <v>2145</v>
      </c>
      <c r="AH2152" s="245" t="s">
        <v>2237</v>
      </c>
      <c r="AI2152" s="245" t="s">
        <v>577</v>
      </c>
      <c r="AJ2152" s="245" t="s">
        <v>2239</v>
      </c>
      <c r="AK2152" s="245" t="s">
        <v>1620</v>
      </c>
      <c r="AO2152" s="245" t="s">
        <v>156</v>
      </c>
      <c r="AP2152" s="245" t="s">
        <v>156</v>
      </c>
      <c r="AQ2152" s="245" t="s">
        <v>2126</v>
      </c>
      <c r="AR2152" s="245" t="s">
        <v>2126</v>
      </c>
      <c r="AS2152" s="245" t="s">
        <v>177</v>
      </c>
      <c r="AT2152" s="245" t="s">
        <v>2144</v>
      </c>
      <c r="AU2152" s="245" t="s">
        <v>2144</v>
      </c>
      <c r="AV2152" s="245" t="s">
        <v>177</v>
      </c>
      <c r="AW2152" s="307" t="s">
        <v>160</v>
      </c>
      <c r="AX2152" s="245">
        <v>5</v>
      </c>
      <c r="AY2152" s="247">
        <v>3</v>
      </c>
      <c r="AZ2152" s="245" t="s">
        <v>141</v>
      </c>
      <c r="BN2152" s="248"/>
      <c r="BP2152" s="437"/>
      <c r="BQ2152" s="437"/>
      <c r="BU2152" s="451">
        <f t="shared" si="322"/>
        <v>1.6423529411764706</v>
      </c>
      <c r="BV2152" s="451">
        <f t="shared" si="323"/>
        <v>2.5882352941176472</v>
      </c>
      <c r="BZ2152" s="437">
        <v>10.47</v>
      </c>
      <c r="CA2152" s="437">
        <v>16.5</v>
      </c>
      <c r="CD2152" s="245" t="s">
        <v>2095</v>
      </c>
      <c r="CE2152" s="598">
        <v>10.47</v>
      </c>
      <c r="CF2152" s="598">
        <v>16.5</v>
      </c>
      <c r="CG2152" s="598"/>
      <c r="CH2152" s="598"/>
      <c r="CI2152" s="245" t="s">
        <v>4551</v>
      </c>
      <c r="FU2152" s="246"/>
    </row>
    <row r="2153" spans="1:178" s="245" customFormat="1" x14ac:dyDescent="0.25">
      <c r="A2153" s="245">
        <v>98</v>
      </c>
      <c r="B2153" s="246" t="s">
        <v>4229</v>
      </c>
      <c r="C2153" s="307" t="s">
        <v>2140</v>
      </c>
      <c r="E2153" s="247">
        <v>2006</v>
      </c>
      <c r="F2153" s="245">
        <v>1996</v>
      </c>
      <c r="G2153" s="307" t="s">
        <v>946</v>
      </c>
      <c r="H2153" s="247" t="s">
        <v>2233</v>
      </c>
      <c r="I2153" s="304" t="s">
        <v>2818</v>
      </c>
      <c r="J2153" s="245">
        <f>-30-50/60</f>
        <v>-30.833333333333332</v>
      </c>
      <c r="K2153" s="245">
        <f>-51-38/60</f>
        <v>-51.633333333333333</v>
      </c>
      <c r="L2153" s="247">
        <v>96</v>
      </c>
      <c r="M2153" s="247">
        <v>19.399999999999999</v>
      </c>
      <c r="O2153" s="247">
        <v>1440</v>
      </c>
      <c r="R2153" s="245">
        <v>8</v>
      </c>
      <c r="S2153" s="247">
        <v>15</v>
      </c>
      <c r="U2153" s="245" t="s">
        <v>2232</v>
      </c>
      <c r="V2153" s="244" t="s">
        <v>1379</v>
      </c>
      <c r="W2153" s="247">
        <v>20</v>
      </c>
      <c r="X2153" s="244" t="s">
        <v>1394</v>
      </c>
      <c r="Y2153" s="244" t="s">
        <v>1394</v>
      </c>
      <c r="Z2153" s="437">
        <v>0.98899999999999999</v>
      </c>
      <c r="AA2153" s="367">
        <v>54</v>
      </c>
      <c r="AB2153" s="367">
        <v>24</v>
      </c>
      <c r="AC2153" s="245" t="s">
        <v>518</v>
      </c>
      <c r="AD2153" s="245">
        <v>4.5</v>
      </c>
      <c r="AG2153" s="247" t="s">
        <v>2145</v>
      </c>
      <c r="AH2153" s="245" t="s">
        <v>2238</v>
      </c>
      <c r="AI2153" s="245" t="s">
        <v>577</v>
      </c>
      <c r="AJ2153" s="245" t="s">
        <v>2239</v>
      </c>
      <c r="AK2153" s="245" t="s">
        <v>1620</v>
      </c>
      <c r="AO2153" s="245" t="s">
        <v>156</v>
      </c>
      <c r="AP2153" s="245" t="s">
        <v>156</v>
      </c>
      <c r="AQ2153" s="245" t="s">
        <v>2126</v>
      </c>
      <c r="AR2153" s="245" t="s">
        <v>2126</v>
      </c>
      <c r="AS2153" s="245" t="s">
        <v>177</v>
      </c>
      <c r="AT2153" s="245" t="s">
        <v>2144</v>
      </c>
      <c r="AU2153" s="245" t="s">
        <v>2144</v>
      </c>
      <c r="AV2153" s="245" t="s">
        <v>177</v>
      </c>
      <c r="AW2153" s="307" t="s">
        <v>160</v>
      </c>
      <c r="AX2153" s="245">
        <v>5</v>
      </c>
      <c r="AY2153" s="247">
        <v>3</v>
      </c>
      <c r="AZ2153" s="245" t="s">
        <v>141</v>
      </c>
      <c r="BN2153" s="248"/>
      <c r="BP2153" s="437">
        <v>0.98926000000000003</v>
      </c>
      <c r="BQ2153" s="437">
        <v>0.89008000000000009</v>
      </c>
      <c r="BU2153" s="451">
        <f t="shared" si="322"/>
        <v>1.7997977755308394</v>
      </c>
      <c r="BV2153" s="451">
        <f t="shared" si="323"/>
        <v>1.9919110212335691</v>
      </c>
      <c r="BZ2153" s="437">
        <v>35.6</v>
      </c>
      <c r="CA2153" s="437">
        <v>39.4</v>
      </c>
      <c r="CD2153" s="245" t="s">
        <v>2095</v>
      </c>
      <c r="CE2153" s="598">
        <v>35.6</v>
      </c>
      <c r="CF2153" s="598">
        <v>39.4</v>
      </c>
      <c r="CG2153" s="598"/>
      <c r="CH2153" s="598"/>
      <c r="CI2153" s="245" t="s">
        <v>4551</v>
      </c>
      <c r="FU2153" s="246"/>
    </row>
    <row r="2154" spans="1:178" s="245" customFormat="1" x14ac:dyDescent="0.25">
      <c r="A2154" s="245">
        <v>98</v>
      </c>
      <c r="B2154" s="246" t="s">
        <v>4229</v>
      </c>
      <c r="C2154" s="307" t="s">
        <v>2140</v>
      </c>
      <c r="E2154" s="247">
        <v>2006</v>
      </c>
      <c r="F2154" s="245">
        <v>1996</v>
      </c>
      <c r="G2154" s="307" t="s">
        <v>946</v>
      </c>
      <c r="H2154" s="247" t="s">
        <v>2233</v>
      </c>
      <c r="I2154" s="304" t="s">
        <v>2818</v>
      </c>
      <c r="J2154" s="245">
        <f>-30-50/60</f>
        <v>-30.833333333333332</v>
      </c>
      <c r="K2154" s="245">
        <f>-51-38/60</f>
        <v>-51.633333333333333</v>
      </c>
      <c r="L2154" s="247">
        <v>96</v>
      </c>
      <c r="M2154" s="247">
        <v>19.399999999999999</v>
      </c>
      <c r="O2154" s="247">
        <v>1440</v>
      </c>
      <c r="R2154" s="245">
        <v>8</v>
      </c>
      <c r="S2154" s="247">
        <v>15</v>
      </c>
      <c r="U2154" s="245" t="s">
        <v>2232</v>
      </c>
      <c r="V2154" s="244" t="s">
        <v>1379</v>
      </c>
      <c r="W2154" s="247">
        <v>20</v>
      </c>
      <c r="X2154" s="244" t="s">
        <v>1394</v>
      </c>
      <c r="Y2154" s="244" t="s">
        <v>1394</v>
      </c>
      <c r="Z2154" s="437">
        <v>0.98899999999999999</v>
      </c>
      <c r="AA2154" s="367">
        <v>54</v>
      </c>
      <c r="AB2154" s="367">
        <v>24</v>
      </c>
      <c r="AC2154" s="245" t="s">
        <v>518</v>
      </c>
      <c r="AD2154" s="245">
        <v>4.5</v>
      </c>
      <c r="AG2154" s="247" t="s">
        <v>2145</v>
      </c>
      <c r="AH2154" s="245" t="s">
        <v>2237</v>
      </c>
      <c r="AI2154" s="245" t="s">
        <v>577</v>
      </c>
      <c r="AJ2154" s="245" t="s">
        <v>2239</v>
      </c>
      <c r="AK2154" s="245" t="s">
        <v>1620</v>
      </c>
      <c r="AO2154" s="245" t="s">
        <v>156</v>
      </c>
      <c r="AP2154" s="245" t="s">
        <v>156</v>
      </c>
      <c r="AQ2154" s="245" t="s">
        <v>2126</v>
      </c>
      <c r="AR2154" s="245" t="s">
        <v>2126</v>
      </c>
      <c r="AS2154" s="245" t="s">
        <v>177</v>
      </c>
      <c r="AT2154" s="245" t="s">
        <v>2144</v>
      </c>
      <c r="AU2154" s="245" t="s">
        <v>2144</v>
      </c>
      <c r="AV2154" s="245" t="s">
        <v>177</v>
      </c>
      <c r="AW2154" s="307" t="s">
        <v>160</v>
      </c>
      <c r="AX2154" s="245">
        <v>5</v>
      </c>
      <c r="AY2154" s="247">
        <v>3</v>
      </c>
      <c r="AZ2154" s="245" t="s">
        <v>141</v>
      </c>
      <c r="BN2154" s="248"/>
      <c r="BP2154" s="437">
        <v>0.98926000000000003</v>
      </c>
      <c r="BQ2154" s="437">
        <v>0.89008000000000009</v>
      </c>
      <c r="BU2154" s="451">
        <f t="shared" si="322"/>
        <v>1.7997977755308394</v>
      </c>
      <c r="BV2154" s="451">
        <f t="shared" si="323"/>
        <v>2.0879676440849342</v>
      </c>
      <c r="BZ2154" s="437">
        <v>35.6</v>
      </c>
      <c r="CA2154" s="437">
        <v>41.3</v>
      </c>
      <c r="CD2154" s="245" t="s">
        <v>2095</v>
      </c>
      <c r="CE2154" s="598">
        <v>35.6</v>
      </c>
      <c r="CF2154" s="598">
        <v>41.3</v>
      </c>
      <c r="CG2154" s="598"/>
      <c r="CH2154" s="598"/>
      <c r="CI2154" s="245" t="s">
        <v>4551</v>
      </c>
      <c r="FU2154" s="246"/>
    </row>
    <row r="2155" spans="1:178" s="239" customFormat="1" x14ac:dyDescent="0.25">
      <c r="A2155" s="239">
        <v>98</v>
      </c>
      <c r="B2155" s="240" t="s">
        <v>4230</v>
      </c>
      <c r="C2155" s="304" t="s">
        <v>2140</v>
      </c>
      <c r="E2155" s="304">
        <v>2006</v>
      </c>
      <c r="F2155" s="239">
        <v>1996</v>
      </c>
      <c r="G2155" s="304" t="s">
        <v>946</v>
      </c>
      <c r="H2155" s="304" t="s">
        <v>2234</v>
      </c>
      <c r="I2155" s="304" t="s">
        <v>2818</v>
      </c>
      <c r="J2155" s="239">
        <f>-28-36/60</f>
        <v>-28.6</v>
      </c>
      <c r="K2155" s="239">
        <f>-53-40/60</f>
        <v>-53.666666666666664</v>
      </c>
      <c r="L2155" s="304">
        <v>435</v>
      </c>
      <c r="M2155" s="304">
        <v>19.2</v>
      </c>
      <c r="O2155" s="304">
        <v>1727</v>
      </c>
      <c r="R2155" s="239">
        <v>9</v>
      </c>
      <c r="S2155" s="304">
        <v>18</v>
      </c>
      <c r="U2155" s="239" t="s">
        <v>2235</v>
      </c>
      <c r="V2155" s="238" t="s">
        <v>1394</v>
      </c>
      <c r="W2155" s="304">
        <v>5</v>
      </c>
      <c r="X2155" s="238" t="s">
        <v>1394</v>
      </c>
      <c r="Y2155" s="238" t="s">
        <v>1394</v>
      </c>
      <c r="Z2155" s="239">
        <v>1.2749999999999999</v>
      </c>
      <c r="AA2155" s="374">
        <v>31</v>
      </c>
      <c r="AB2155" s="374">
        <v>12</v>
      </c>
      <c r="AC2155" s="239" t="s">
        <v>796</v>
      </c>
      <c r="AD2155" s="239">
        <v>4.5</v>
      </c>
      <c r="AG2155" s="304" t="s">
        <v>2142</v>
      </c>
      <c r="AH2155" s="304" t="s">
        <v>2241</v>
      </c>
      <c r="AI2155" s="239" t="s">
        <v>635</v>
      </c>
      <c r="AJ2155" s="304" t="s">
        <v>2240</v>
      </c>
      <c r="AK2155" s="239" t="s">
        <v>1611</v>
      </c>
      <c r="AO2155" s="304" t="s">
        <v>2125</v>
      </c>
      <c r="AP2155" s="304" t="s">
        <v>2125</v>
      </c>
      <c r="AQ2155" s="304" t="s">
        <v>2125</v>
      </c>
      <c r="AR2155" s="304" t="s">
        <v>2125</v>
      </c>
      <c r="AS2155" s="239" t="s">
        <v>177</v>
      </c>
      <c r="AT2155" s="304" t="s">
        <v>2243</v>
      </c>
      <c r="AU2155" s="304" t="s">
        <v>2244</v>
      </c>
      <c r="AV2155" s="239" t="s">
        <v>502</v>
      </c>
      <c r="AW2155" s="304" t="s">
        <v>160</v>
      </c>
      <c r="AX2155" s="239">
        <v>5</v>
      </c>
      <c r="AY2155" s="304">
        <v>3</v>
      </c>
      <c r="AZ2155" s="239" t="s">
        <v>141</v>
      </c>
      <c r="BK2155" s="304"/>
      <c r="BN2155" s="242"/>
      <c r="BP2155" s="451"/>
      <c r="BQ2155" s="451"/>
      <c r="BU2155" s="451">
        <f t="shared" si="322"/>
        <v>1.9607843137254901</v>
      </c>
      <c r="BV2155" s="451">
        <f t="shared" si="323"/>
        <v>2.1019607843137256</v>
      </c>
      <c r="BZ2155" s="449">
        <v>12.5</v>
      </c>
      <c r="CA2155" s="449">
        <v>13.4</v>
      </c>
      <c r="CD2155" s="239" t="s">
        <v>2095</v>
      </c>
      <c r="CE2155" s="597">
        <v>12.5</v>
      </c>
      <c r="CF2155" s="597">
        <v>13.4</v>
      </c>
      <c r="CG2155" s="597"/>
      <c r="CH2155" s="597"/>
      <c r="CI2155" s="239" t="s">
        <v>4551</v>
      </c>
      <c r="FU2155" s="240"/>
    </row>
    <row r="2156" spans="1:178" s="239" customFormat="1" x14ac:dyDescent="0.25">
      <c r="A2156" s="239">
        <v>98</v>
      </c>
      <c r="B2156" s="240" t="s">
        <v>4230</v>
      </c>
      <c r="C2156" s="304" t="s">
        <v>2140</v>
      </c>
      <c r="E2156" s="304">
        <v>2006</v>
      </c>
      <c r="F2156" s="239">
        <v>1996</v>
      </c>
      <c r="G2156" s="304" t="s">
        <v>946</v>
      </c>
      <c r="H2156" s="304" t="s">
        <v>2234</v>
      </c>
      <c r="I2156" s="304" t="s">
        <v>2818</v>
      </c>
      <c r="J2156" s="239">
        <f>-28-36/60</f>
        <v>-28.6</v>
      </c>
      <c r="K2156" s="239">
        <f>-53-40/60</f>
        <v>-53.666666666666664</v>
      </c>
      <c r="L2156" s="304">
        <v>435</v>
      </c>
      <c r="M2156" s="304">
        <v>19.2</v>
      </c>
      <c r="O2156" s="304">
        <v>1727</v>
      </c>
      <c r="R2156" s="239">
        <v>9</v>
      </c>
      <c r="S2156" s="304">
        <v>18</v>
      </c>
      <c r="U2156" s="239" t="s">
        <v>2235</v>
      </c>
      <c r="V2156" s="238" t="s">
        <v>1394</v>
      </c>
      <c r="W2156" s="304">
        <v>5</v>
      </c>
      <c r="X2156" s="238" t="s">
        <v>1394</v>
      </c>
      <c r="Y2156" s="238" t="s">
        <v>1394</v>
      </c>
      <c r="Z2156" s="239">
        <v>1.2749999999999999</v>
      </c>
      <c r="AA2156" s="374">
        <v>31</v>
      </c>
      <c r="AB2156" s="374">
        <v>12</v>
      </c>
      <c r="AC2156" s="239" t="s">
        <v>796</v>
      </c>
      <c r="AD2156" s="239">
        <v>4.5</v>
      </c>
      <c r="AG2156" s="304" t="s">
        <v>2142</v>
      </c>
      <c r="AH2156" s="304" t="s">
        <v>2241</v>
      </c>
      <c r="AI2156" s="239" t="s">
        <v>635</v>
      </c>
      <c r="AJ2156" s="304" t="s">
        <v>2240</v>
      </c>
      <c r="AK2156" s="239" t="s">
        <v>1611</v>
      </c>
      <c r="AO2156" s="304" t="s">
        <v>2125</v>
      </c>
      <c r="AP2156" s="304" t="s">
        <v>2125</v>
      </c>
      <c r="AQ2156" s="304" t="s">
        <v>2125</v>
      </c>
      <c r="AR2156" s="304" t="s">
        <v>2125</v>
      </c>
      <c r="AS2156" s="239" t="s">
        <v>177</v>
      </c>
      <c r="AT2156" s="304" t="s">
        <v>2243</v>
      </c>
      <c r="AU2156" s="304" t="s">
        <v>2244</v>
      </c>
      <c r="AV2156" s="239" t="s">
        <v>502</v>
      </c>
      <c r="AW2156" s="304" t="s">
        <v>160</v>
      </c>
      <c r="AX2156" s="239">
        <v>5</v>
      </c>
      <c r="AY2156" s="304">
        <v>3</v>
      </c>
      <c r="AZ2156" s="239" t="s">
        <v>141</v>
      </c>
      <c r="BK2156" s="304"/>
      <c r="BN2156" s="242"/>
      <c r="BP2156" s="451"/>
      <c r="BQ2156" s="451"/>
      <c r="BU2156" s="451">
        <f t="shared" si="322"/>
        <v>2.5411764705882351</v>
      </c>
      <c r="BV2156" s="451">
        <f t="shared" si="323"/>
        <v>2.8235294117647061</v>
      </c>
      <c r="BZ2156" s="449">
        <v>16.2</v>
      </c>
      <c r="CA2156" s="449">
        <v>18</v>
      </c>
      <c r="CD2156" s="239" t="s">
        <v>2095</v>
      </c>
      <c r="CE2156" s="597">
        <v>16.2</v>
      </c>
      <c r="CF2156" s="597">
        <v>18</v>
      </c>
      <c r="CG2156" s="597"/>
      <c r="CH2156" s="597"/>
      <c r="CI2156" s="239" t="s">
        <v>4551</v>
      </c>
      <c r="FU2156" s="240"/>
    </row>
    <row r="2157" spans="1:178" s="239" customFormat="1" x14ac:dyDescent="0.25">
      <c r="A2157" s="239">
        <v>98</v>
      </c>
      <c r="B2157" s="240" t="s">
        <v>4231</v>
      </c>
      <c r="C2157" s="304" t="s">
        <v>2140</v>
      </c>
      <c r="E2157" s="304">
        <v>2006</v>
      </c>
      <c r="F2157" s="239">
        <v>1996</v>
      </c>
      <c r="G2157" s="304" t="s">
        <v>946</v>
      </c>
      <c r="H2157" s="304" t="s">
        <v>2234</v>
      </c>
      <c r="I2157" s="304" t="s">
        <v>2818</v>
      </c>
      <c r="J2157" s="239">
        <f>-28-36/60</f>
        <v>-28.6</v>
      </c>
      <c r="K2157" s="239">
        <f>-53-40/60</f>
        <v>-53.666666666666664</v>
      </c>
      <c r="L2157" s="304">
        <v>435</v>
      </c>
      <c r="M2157" s="304">
        <v>19.2</v>
      </c>
      <c r="O2157" s="304">
        <v>1727</v>
      </c>
      <c r="R2157" s="239">
        <v>9</v>
      </c>
      <c r="S2157" s="304">
        <v>18</v>
      </c>
      <c r="U2157" s="239" t="s">
        <v>2235</v>
      </c>
      <c r="V2157" s="238" t="s">
        <v>1379</v>
      </c>
      <c r="W2157" s="304">
        <v>20</v>
      </c>
      <c r="X2157" s="238" t="s">
        <v>1394</v>
      </c>
      <c r="Y2157" s="238" t="s">
        <v>1394</v>
      </c>
      <c r="Z2157" s="239">
        <v>0.98899999999999999</v>
      </c>
      <c r="AA2157" s="374">
        <v>31</v>
      </c>
      <c r="AB2157" s="374">
        <v>12</v>
      </c>
      <c r="AC2157" s="239" t="s">
        <v>796</v>
      </c>
      <c r="AD2157" s="239">
        <v>4.5</v>
      </c>
      <c r="AG2157" s="304" t="s">
        <v>2142</v>
      </c>
      <c r="AH2157" s="304" t="s">
        <v>2241</v>
      </c>
      <c r="AI2157" s="239" t="s">
        <v>635</v>
      </c>
      <c r="AJ2157" s="304" t="s">
        <v>2240</v>
      </c>
      <c r="AK2157" s="239" t="s">
        <v>1611</v>
      </c>
      <c r="AO2157" s="304" t="s">
        <v>156</v>
      </c>
      <c r="AP2157" s="304" t="s">
        <v>156</v>
      </c>
      <c r="AQ2157" s="304" t="s">
        <v>2126</v>
      </c>
      <c r="AR2157" s="304" t="s">
        <v>2126</v>
      </c>
      <c r="AS2157" s="239" t="s">
        <v>177</v>
      </c>
      <c r="AT2157" s="304" t="s">
        <v>2243</v>
      </c>
      <c r="AU2157" s="304" t="s">
        <v>2244</v>
      </c>
      <c r="AV2157" s="239" t="s">
        <v>502</v>
      </c>
      <c r="AW2157" s="304" t="s">
        <v>160</v>
      </c>
      <c r="AX2157" s="239">
        <v>5</v>
      </c>
      <c r="AY2157" s="304">
        <v>3</v>
      </c>
      <c r="AZ2157" s="239" t="s">
        <v>141</v>
      </c>
      <c r="BK2157" s="304"/>
      <c r="BN2157" s="242"/>
      <c r="BP2157" s="451"/>
      <c r="BQ2157" s="451"/>
      <c r="BU2157" s="451">
        <f t="shared" si="322"/>
        <v>2.462082912032356</v>
      </c>
      <c r="BV2157" s="451">
        <f t="shared" si="323"/>
        <v>2.7098078867542972</v>
      </c>
      <c r="BZ2157" s="449">
        <v>48.7</v>
      </c>
      <c r="CA2157" s="449">
        <v>53.6</v>
      </c>
      <c r="CD2157" s="239" t="s">
        <v>2095</v>
      </c>
      <c r="CE2157" s="597">
        <v>48.7</v>
      </c>
      <c r="CF2157" s="597">
        <v>53.6</v>
      </c>
      <c r="CG2157" s="597"/>
      <c r="CH2157" s="597"/>
      <c r="CI2157" s="239" t="s">
        <v>4551</v>
      </c>
      <c r="FU2157" s="240"/>
    </row>
    <row r="2158" spans="1:178" s="239" customFormat="1" x14ac:dyDescent="0.25">
      <c r="A2158" s="239">
        <v>98</v>
      </c>
      <c r="B2158" s="240" t="s">
        <v>4231</v>
      </c>
      <c r="C2158" s="304" t="s">
        <v>2140</v>
      </c>
      <c r="E2158" s="304">
        <v>2006</v>
      </c>
      <c r="F2158" s="239">
        <v>1996</v>
      </c>
      <c r="G2158" s="304" t="s">
        <v>946</v>
      </c>
      <c r="H2158" s="304" t="s">
        <v>2234</v>
      </c>
      <c r="I2158" s="304" t="s">
        <v>2818</v>
      </c>
      <c r="J2158" s="239">
        <f>-28-36/60</f>
        <v>-28.6</v>
      </c>
      <c r="K2158" s="239">
        <f>-53-40/60</f>
        <v>-53.666666666666664</v>
      </c>
      <c r="L2158" s="304">
        <v>435</v>
      </c>
      <c r="M2158" s="304">
        <v>19.2</v>
      </c>
      <c r="O2158" s="304">
        <v>1727</v>
      </c>
      <c r="R2158" s="239">
        <v>9</v>
      </c>
      <c r="S2158" s="304">
        <v>18</v>
      </c>
      <c r="U2158" s="239" t="s">
        <v>2235</v>
      </c>
      <c r="V2158" s="238" t="s">
        <v>1379</v>
      </c>
      <c r="W2158" s="304">
        <v>20</v>
      </c>
      <c r="X2158" s="238" t="s">
        <v>1394</v>
      </c>
      <c r="Y2158" s="238" t="s">
        <v>1394</v>
      </c>
      <c r="Z2158" s="239">
        <v>0.98899999999999999</v>
      </c>
      <c r="AA2158" s="374">
        <v>31</v>
      </c>
      <c r="AB2158" s="374">
        <v>12</v>
      </c>
      <c r="AC2158" s="239" t="s">
        <v>796</v>
      </c>
      <c r="AD2158" s="239">
        <v>4.5</v>
      </c>
      <c r="AG2158" s="304" t="s">
        <v>2142</v>
      </c>
      <c r="AH2158" s="304" t="s">
        <v>2241</v>
      </c>
      <c r="AI2158" s="239" t="s">
        <v>635</v>
      </c>
      <c r="AJ2158" s="304" t="s">
        <v>2240</v>
      </c>
      <c r="AK2158" s="239" t="s">
        <v>1611</v>
      </c>
      <c r="AO2158" s="304" t="s">
        <v>156</v>
      </c>
      <c r="AP2158" s="304" t="s">
        <v>156</v>
      </c>
      <c r="AQ2158" s="304" t="s">
        <v>2126</v>
      </c>
      <c r="AR2158" s="304" t="s">
        <v>2126</v>
      </c>
      <c r="AS2158" s="239" t="s">
        <v>177</v>
      </c>
      <c r="AT2158" s="304" t="s">
        <v>2243</v>
      </c>
      <c r="AU2158" s="304" t="s">
        <v>2244</v>
      </c>
      <c r="AV2158" s="239" t="s">
        <v>502</v>
      </c>
      <c r="AW2158" s="304" t="s">
        <v>160</v>
      </c>
      <c r="AX2158" s="239">
        <v>5</v>
      </c>
      <c r="AY2158" s="304">
        <v>3</v>
      </c>
      <c r="AZ2158" s="239" t="s">
        <v>141</v>
      </c>
      <c r="BK2158" s="304"/>
      <c r="BN2158" s="242"/>
      <c r="BP2158" s="451"/>
      <c r="BQ2158" s="451"/>
      <c r="BU2158" s="451">
        <f t="shared" si="322"/>
        <v>2.6188068756319516</v>
      </c>
      <c r="BV2158" s="451">
        <f t="shared" si="323"/>
        <v>2.9474216380182003</v>
      </c>
      <c r="BZ2158" s="449">
        <v>51.8</v>
      </c>
      <c r="CA2158" s="449">
        <v>58.3</v>
      </c>
      <c r="CD2158" s="239" t="s">
        <v>2095</v>
      </c>
      <c r="CE2158" s="597">
        <v>51.8</v>
      </c>
      <c r="CF2158" s="597">
        <v>58.3</v>
      </c>
      <c r="CG2158" s="597"/>
      <c r="CH2158" s="597"/>
      <c r="CI2158" s="239" t="s">
        <v>4551</v>
      </c>
      <c r="FU2158" s="240"/>
    </row>
    <row r="2159" spans="1:178" s="314" customFormat="1" x14ac:dyDescent="0.25">
      <c r="A2159" s="314">
        <v>99</v>
      </c>
      <c r="B2159" s="316" t="s">
        <v>4232</v>
      </c>
      <c r="C2159" s="164" t="s">
        <v>2146</v>
      </c>
      <c r="E2159" s="164">
        <v>2008</v>
      </c>
      <c r="G2159" s="164" t="s">
        <v>2147</v>
      </c>
      <c r="H2159" s="164" t="s">
        <v>2148</v>
      </c>
      <c r="I2159" s="164" t="s">
        <v>1109</v>
      </c>
      <c r="J2159" s="314">
        <v>53.25</v>
      </c>
      <c r="K2159" s="314">
        <v>13.25</v>
      </c>
      <c r="L2159" s="164">
        <v>44</v>
      </c>
      <c r="M2159" s="164">
        <v>8.9</v>
      </c>
      <c r="O2159" s="164">
        <v>495</v>
      </c>
      <c r="R2159" s="314">
        <v>5</v>
      </c>
      <c r="S2159" s="164">
        <v>10</v>
      </c>
      <c r="V2159" s="185" t="s">
        <v>1379</v>
      </c>
      <c r="W2159" s="164">
        <v>20</v>
      </c>
      <c r="X2159" s="185" t="s">
        <v>1379</v>
      </c>
      <c r="Y2159" s="185" t="s">
        <v>1379</v>
      </c>
      <c r="Z2159" s="433">
        <v>1.5478000000000001</v>
      </c>
      <c r="AA2159" s="358">
        <f>(72+87)/2</f>
        <v>79.5</v>
      </c>
      <c r="AB2159" s="358">
        <f>(10+25)/2</f>
        <v>17.5</v>
      </c>
      <c r="AC2159" s="314" t="s">
        <v>175</v>
      </c>
      <c r="AG2159" s="164" t="s">
        <v>2149</v>
      </c>
      <c r="AH2159" s="164" t="s">
        <v>2245</v>
      </c>
      <c r="AI2159" s="314" t="s">
        <v>1129</v>
      </c>
      <c r="AJ2159" s="164" t="s">
        <v>2246</v>
      </c>
      <c r="AK2159" s="314" t="s">
        <v>1616</v>
      </c>
      <c r="AO2159" s="185" t="s">
        <v>2135</v>
      </c>
      <c r="AP2159" s="185" t="s">
        <v>2135</v>
      </c>
      <c r="AQ2159" s="185"/>
      <c r="AR2159" s="185"/>
      <c r="AT2159" s="164" t="s">
        <v>2062</v>
      </c>
      <c r="AW2159" s="164" t="s">
        <v>160</v>
      </c>
      <c r="AY2159" s="164"/>
      <c r="BK2159" s="164"/>
      <c r="BN2159" s="315"/>
      <c r="BP2159" s="433">
        <v>1.5478000000000001</v>
      </c>
      <c r="BQ2159" s="433">
        <v>1.5350980000000001</v>
      </c>
      <c r="BU2159" s="451">
        <f t="shared" si="322"/>
        <v>0.34712772968083738</v>
      </c>
      <c r="BV2159" s="451">
        <f t="shared" si="323"/>
        <v>0.41952865615712631</v>
      </c>
      <c r="BZ2159" s="433">
        <v>10.745686000000001</v>
      </c>
      <c r="CA2159" s="433">
        <v>12.986929080000001</v>
      </c>
      <c r="CD2159" s="314" t="s">
        <v>2095</v>
      </c>
      <c r="CE2159" s="595">
        <v>10.745686000000001</v>
      </c>
      <c r="CF2159" s="595">
        <v>12.986929080000001</v>
      </c>
      <c r="CG2159" s="595"/>
      <c r="CH2159" s="595"/>
      <c r="CI2159" s="314" t="s">
        <v>4551</v>
      </c>
      <c r="FU2159" s="316"/>
      <c r="FV2159" s="164"/>
    </row>
    <row r="2160" spans="1:178" s="314" customFormat="1" x14ac:dyDescent="0.25">
      <c r="A2160" s="314">
        <v>99</v>
      </c>
      <c r="B2160" s="316" t="s">
        <v>4232</v>
      </c>
      <c r="C2160" s="164" t="s">
        <v>2146</v>
      </c>
      <c r="E2160" s="164">
        <v>2008</v>
      </c>
      <c r="G2160" s="164" t="s">
        <v>2147</v>
      </c>
      <c r="H2160" s="164" t="s">
        <v>2148</v>
      </c>
      <c r="I2160" s="164" t="s">
        <v>1109</v>
      </c>
      <c r="J2160" s="314">
        <v>53.25</v>
      </c>
      <c r="K2160" s="314">
        <v>13.25</v>
      </c>
      <c r="L2160" s="164">
        <v>44</v>
      </c>
      <c r="M2160" s="164">
        <v>8.9</v>
      </c>
      <c r="O2160" s="164">
        <v>495</v>
      </c>
      <c r="R2160" s="314">
        <v>5</v>
      </c>
      <c r="S2160" s="164">
        <v>10</v>
      </c>
      <c r="V2160" s="185" t="s">
        <v>1379</v>
      </c>
      <c r="W2160" s="164">
        <v>20</v>
      </c>
      <c r="X2160" s="185" t="s">
        <v>1379</v>
      </c>
      <c r="Y2160" s="185" t="s">
        <v>1379</v>
      </c>
      <c r="Z2160" s="433">
        <v>1.5166539999999999</v>
      </c>
      <c r="AA2160" s="358">
        <f t="shared" ref="AA2160:AA2164" si="324">(72+87)/2</f>
        <v>79.5</v>
      </c>
      <c r="AB2160" s="358">
        <f t="shared" ref="AB2160:AB2164" si="325">(10+25)/2</f>
        <v>17.5</v>
      </c>
      <c r="AC2160" s="314" t="s">
        <v>175</v>
      </c>
      <c r="AG2160" s="164" t="s">
        <v>2149</v>
      </c>
      <c r="AH2160" s="164" t="s">
        <v>2245</v>
      </c>
      <c r="AI2160" s="314" t="s">
        <v>1129</v>
      </c>
      <c r="AJ2160" s="164" t="s">
        <v>2246</v>
      </c>
      <c r="AK2160" s="314" t="s">
        <v>1616</v>
      </c>
      <c r="AO2160" s="185" t="s">
        <v>2135</v>
      </c>
      <c r="AP2160" s="185" t="s">
        <v>2135</v>
      </c>
      <c r="AQ2160" s="185"/>
      <c r="AR2160" s="185"/>
      <c r="AT2160" s="164" t="s">
        <v>2062</v>
      </c>
      <c r="AW2160" s="164" t="s">
        <v>160</v>
      </c>
      <c r="AY2160" s="164"/>
      <c r="BK2160" s="164"/>
      <c r="BN2160" s="315"/>
      <c r="BP2160" s="433">
        <v>1.5166539999999999</v>
      </c>
      <c r="BQ2160" s="433">
        <v>1.502734</v>
      </c>
      <c r="BU2160" s="451">
        <f t="shared" si="322"/>
        <v>0.52414478582458479</v>
      </c>
      <c r="BV2160" s="451">
        <f t="shared" si="323"/>
        <v>0.60341053793416299</v>
      </c>
      <c r="BZ2160" s="433">
        <v>15.898925719999999</v>
      </c>
      <c r="CA2160" s="433">
        <v>18.303300119999999</v>
      </c>
      <c r="CD2160" s="314" t="s">
        <v>2095</v>
      </c>
      <c r="CE2160" s="595">
        <v>15.898925719999999</v>
      </c>
      <c r="CF2160" s="595">
        <v>18.303300119999999</v>
      </c>
      <c r="CG2160" s="595"/>
      <c r="CH2160" s="595"/>
      <c r="CI2160" s="314" t="s">
        <v>4551</v>
      </c>
      <c r="FU2160" s="316"/>
      <c r="FV2160" s="164"/>
    </row>
    <row r="2161" spans="1:178" s="314" customFormat="1" x14ac:dyDescent="0.25">
      <c r="A2161" s="314">
        <v>99</v>
      </c>
      <c r="B2161" s="316" t="s">
        <v>4233</v>
      </c>
      <c r="C2161" s="164" t="s">
        <v>2146</v>
      </c>
      <c r="E2161" s="164">
        <v>2008</v>
      </c>
      <c r="G2161" s="164" t="s">
        <v>2147</v>
      </c>
      <c r="H2161" s="164" t="s">
        <v>2148</v>
      </c>
      <c r="I2161" s="164" t="s">
        <v>1109</v>
      </c>
      <c r="J2161" s="314">
        <v>53.25</v>
      </c>
      <c r="K2161" s="314">
        <v>13.25</v>
      </c>
      <c r="L2161" s="164">
        <v>44</v>
      </c>
      <c r="M2161" s="164">
        <v>8.9</v>
      </c>
      <c r="O2161" s="164">
        <v>495</v>
      </c>
      <c r="R2161" s="314">
        <v>5</v>
      </c>
      <c r="S2161" s="164">
        <v>10</v>
      </c>
      <c r="V2161" s="185" t="s">
        <v>1379</v>
      </c>
      <c r="W2161" s="164">
        <v>20</v>
      </c>
      <c r="X2161" s="185" t="s">
        <v>1379</v>
      </c>
      <c r="Y2161" s="185" t="s">
        <v>1379</v>
      </c>
      <c r="Z2161" s="433">
        <v>1.540144</v>
      </c>
      <c r="AA2161" s="358">
        <f t="shared" si="324"/>
        <v>79.5</v>
      </c>
      <c r="AB2161" s="358">
        <f t="shared" si="325"/>
        <v>17.5</v>
      </c>
      <c r="AC2161" s="314" t="s">
        <v>175</v>
      </c>
      <c r="AG2161" s="164" t="s">
        <v>2149</v>
      </c>
      <c r="AH2161" s="164" t="s">
        <v>2245</v>
      </c>
      <c r="AI2161" s="314" t="s">
        <v>1129</v>
      </c>
      <c r="AJ2161" s="164" t="s">
        <v>2246</v>
      </c>
      <c r="AK2161" s="314" t="s">
        <v>1616</v>
      </c>
      <c r="AO2161" s="185" t="s">
        <v>2135</v>
      </c>
      <c r="AP2161" s="185" t="s">
        <v>2135</v>
      </c>
      <c r="AQ2161" s="185"/>
      <c r="AR2161" s="185"/>
      <c r="AT2161" s="164" t="s">
        <v>2150</v>
      </c>
      <c r="AW2161" s="164" t="s">
        <v>160</v>
      </c>
      <c r="AY2161" s="164"/>
      <c r="BK2161" s="164"/>
      <c r="BN2161" s="315"/>
      <c r="BP2161" s="433">
        <v>1.540144</v>
      </c>
      <c r="BQ2161" s="433">
        <v>1.52257</v>
      </c>
      <c r="BU2161" s="451">
        <f t="shared" si="322"/>
        <v>0.38950421519026796</v>
      </c>
      <c r="BV2161" s="451">
        <f t="shared" si="323"/>
        <v>0.48935174243447371</v>
      </c>
      <c r="BZ2161" s="433">
        <v>11.997851600000001</v>
      </c>
      <c r="CA2161" s="433">
        <v>15.073443000000001</v>
      </c>
      <c r="CD2161" s="314" t="s">
        <v>2095</v>
      </c>
      <c r="CE2161" s="595">
        <v>11.997851600000001</v>
      </c>
      <c r="CF2161" s="595">
        <v>15.073443000000001</v>
      </c>
      <c r="CG2161" s="595"/>
      <c r="CH2161" s="595"/>
      <c r="CI2161" s="314" t="s">
        <v>4551</v>
      </c>
      <c r="FU2161" s="316"/>
      <c r="FV2161" s="164"/>
    </row>
    <row r="2162" spans="1:178" s="314" customFormat="1" x14ac:dyDescent="0.25">
      <c r="A2162" s="314">
        <v>99</v>
      </c>
      <c r="B2162" s="316" t="s">
        <v>4233</v>
      </c>
      <c r="C2162" s="164" t="s">
        <v>2146</v>
      </c>
      <c r="E2162" s="164">
        <v>2008</v>
      </c>
      <c r="G2162" s="164" t="s">
        <v>2147</v>
      </c>
      <c r="H2162" s="164" t="s">
        <v>2148</v>
      </c>
      <c r="I2162" s="164" t="s">
        <v>1109</v>
      </c>
      <c r="J2162" s="314">
        <v>53.25</v>
      </c>
      <c r="K2162" s="314">
        <v>13.25</v>
      </c>
      <c r="L2162" s="164">
        <v>44</v>
      </c>
      <c r="M2162" s="164">
        <v>8.9</v>
      </c>
      <c r="O2162" s="164">
        <v>495</v>
      </c>
      <c r="R2162" s="314">
        <v>5</v>
      </c>
      <c r="S2162" s="164">
        <v>10</v>
      </c>
      <c r="V2162" s="185" t="s">
        <v>1379</v>
      </c>
      <c r="W2162" s="164">
        <v>20</v>
      </c>
      <c r="X2162" s="185" t="s">
        <v>1379</v>
      </c>
      <c r="Y2162" s="185" t="s">
        <v>1379</v>
      </c>
      <c r="Z2162" s="433">
        <v>1.50169</v>
      </c>
      <c r="AA2162" s="358">
        <f t="shared" si="324"/>
        <v>79.5</v>
      </c>
      <c r="AB2162" s="358">
        <f t="shared" si="325"/>
        <v>17.5</v>
      </c>
      <c r="AC2162" s="314" t="s">
        <v>175</v>
      </c>
      <c r="AG2162" s="164" t="s">
        <v>2149</v>
      </c>
      <c r="AH2162" s="164" t="s">
        <v>2245</v>
      </c>
      <c r="AI2162" s="314" t="s">
        <v>1129</v>
      </c>
      <c r="AJ2162" s="164" t="s">
        <v>2246</v>
      </c>
      <c r="AK2162" s="314" t="s">
        <v>1616</v>
      </c>
      <c r="AO2162" s="185" t="s">
        <v>2135</v>
      </c>
      <c r="AP2162" s="185" t="s">
        <v>2135</v>
      </c>
      <c r="AQ2162" s="185"/>
      <c r="AR2162" s="185"/>
      <c r="AT2162" s="164" t="s">
        <v>2150</v>
      </c>
      <c r="AW2162" s="164" t="s">
        <v>160</v>
      </c>
      <c r="AY2162" s="164"/>
      <c r="BK2162" s="164"/>
      <c r="BN2162" s="315"/>
      <c r="BP2162" s="433">
        <v>1.50169</v>
      </c>
      <c r="BQ2162" s="433">
        <v>1.4888140000000001</v>
      </c>
      <c r="BU2162" s="451">
        <f t="shared" si="322"/>
        <v>0.60972678115989309</v>
      </c>
      <c r="BV2162" s="451">
        <f t="shared" si="323"/>
        <v>0.68309228003116484</v>
      </c>
      <c r="BZ2162" s="433">
        <v>18.312412200000001</v>
      </c>
      <c r="CA2162" s="433">
        <v>20.515856919999997</v>
      </c>
      <c r="CD2162" s="314" t="s">
        <v>2095</v>
      </c>
      <c r="CE2162" s="595">
        <v>18.312412200000001</v>
      </c>
      <c r="CF2162" s="595">
        <v>20.515856919999997</v>
      </c>
      <c r="CG2162" s="595"/>
      <c r="CH2162" s="595"/>
      <c r="CI2162" s="314" t="s">
        <v>4551</v>
      </c>
      <c r="FU2162" s="316"/>
      <c r="FV2162" s="164"/>
    </row>
    <row r="2163" spans="1:178" s="314" customFormat="1" x14ac:dyDescent="0.25">
      <c r="A2163" s="314">
        <v>99</v>
      </c>
      <c r="B2163" s="316" t="s">
        <v>4234</v>
      </c>
      <c r="C2163" s="164" t="s">
        <v>2146</v>
      </c>
      <c r="E2163" s="164">
        <v>2008</v>
      </c>
      <c r="G2163" s="164" t="s">
        <v>2147</v>
      </c>
      <c r="H2163" s="164" t="s">
        <v>2148</v>
      </c>
      <c r="I2163" s="164" t="s">
        <v>1109</v>
      </c>
      <c r="J2163" s="314">
        <v>53.25</v>
      </c>
      <c r="K2163" s="314">
        <v>13.25</v>
      </c>
      <c r="L2163" s="164">
        <v>44</v>
      </c>
      <c r="M2163" s="164">
        <v>8.9</v>
      </c>
      <c r="O2163" s="164">
        <v>495</v>
      </c>
      <c r="R2163" s="314">
        <v>5</v>
      </c>
      <c r="S2163" s="164">
        <v>10</v>
      </c>
      <c r="V2163" s="185" t="s">
        <v>1379</v>
      </c>
      <c r="W2163" s="164">
        <v>20</v>
      </c>
      <c r="X2163" s="185" t="s">
        <v>1379</v>
      </c>
      <c r="Y2163" s="185" t="s">
        <v>1379</v>
      </c>
      <c r="Z2163" s="433">
        <v>1.533358</v>
      </c>
      <c r="AA2163" s="358">
        <f t="shared" si="324"/>
        <v>79.5</v>
      </c>
      <c r="AB2163" s="358">
        <f t="shared" si="325"/>
        <v>17.5</v>
      </c>
      <c r="AC2163" s="314" t="s">
        <v>175</v>
      </c>
      <c r="AG2163" s="164" t="s">
        <v>2149</v>
      </c>
      <c r="AH2163" s="164" t="s">
        <v>2245</v>
      </c>
      <c r="AI2163" s="314" t="s">
        <v>1129</v>
      </c>
      <c r="AJ2163" s="164" t="s">
        <v>2246</v>
      </c>
      <c r="AK2163" s="314" t="s">
        <v>1616</v>
      </c>
      <c r="AO2163" s="185" t="s">
        <v>2135</v>
      </c>
      <c r="AP2163" s="185" t="s">
        <v>2135</v>
      </c>
      <c r="AQ2163" s="185"/>
      <c r="AR2163" s="185"/>
      <c r="AT2163" s="164" t="s">
        <v>2151</v>
      </c>
      <c r="AW2163" s="164" t="s">
        <v>160</v>
      </c>
      <c r="AY2163" s="164"/>
      <c r="BK2163" s="164"/>
      <c r="BN2163" s="315"/>
      <c r="BP2163" s="433">
        <v>1.533358</v>
      </c>
      <c r="BQ2163" s="433">
        <v>1.517698</v>
      </c>
      <c r="BU2163" s="451">
        <f t="shared" si="322"/>
        <v>0.42857782331327704</v>
      </c>
      <c r="BV2163" s="451">
        <f t="shared" si="323"/>
        <v>0.5176586641867067</v>
      </c>
      <c r="BZ2163" s="433">
        <v>13.143264679999998</v>
      </c>
      <c r="CA2163" s="433">
        <v>15.875121080000003</v>
      </c>
      <c r="CD2163" s="314" t="s">
        <v>2095</v>
      </c>
      <c r="CE2163" s="595">
        <v>13.143264679999998</v>
      </c>
      <c r="CF2163" s="595">
        <v>15.875121080000003</v>
      </c>
      <c r="CG2163" s="595"/>
      <c r="CH2163" s="595"/>
      <c r="CI2163" s="314" t="s">
        <v>4551</v>
      </c>
      <c r="FU2163" s="316"/>
      <c r="FV2163" s="164"/>
    </row>
    <row r="2164" spans="1:178" s="314" customFormat="1" x14ac:dyDescent="0.25">
      <c r="A2164" s="314">
        <v>99</v>
      </c>
      <c r="B2164" s="316" t="s">
        <v>4234</v>
      </c>
      <c r="C2164" s="164" t="s">
        <v>2146</v>
      </c>
      <c r="E2164" s="164">
        <v>2008</v>
      </c>
      <c r="G2164" s="164" t="s">
        <v>2147</v>
      </c>
      <c r="H2164" s="164" t="s">
        <v>2148</v>
      </c>
      <c r="I2164" s="164" t="s">
        <v>1109</v>
      </c>
      <c r="J2164" s="314">
        <v>53.25</v>
      </c>
      <c r="K2164" s="314">
        <v>13.25</v>
      </c>
      <c r="L2164" s="164">
        <v>44</v>
      </c>
      <c r="M2164" s="164">
        <v>8.9</v>
      </c>
      <c r="O2164" s="164">
        <v>495</v>
      </c>
      <c r="R2164" s="314">
        <v>5</v>
      </c>
      <c r="S2164" s="164">
        <v>10</v>
      </c>
      <c r="V2164" s="185" t="s">
        <v>1379</v>
      </c>
      <c r="W2164" s="164">
        <v>20</v>
      </c>
      <c r="X2164" s="185" t="s">
        <v>1379</v>
      </c>
      <c r="Y2164" s="185" t="s">
        <v>1379</v>
      </c>
      <c r="Z2164" s="433">
        <v>1.499776</v>
      </c>
      <c r="AA2164" s="358">
        <f t="shared" si="324"/>
        <v>79.5</v>
      </c>
      <c r="AB2164" s="358">
        <f t="shared" si="325"/>
        <v>17.5</v>
      </c>
      <c r="AC2164" s="314" t="s">
        <v>175</v>
      </c>
      <c r="AG2164" s="164" t="s">
        <v>2149</v>
      </c>
      <c r="AH2164" s="164" t="s">
        <v>2245</v>
      </c>
      <c r="AI2164" s="314" t="s">
        <v>1129</v>
      </c>
      <c r="AJ2164" s="164" t="s">
        <v>2246</v>
      </c>
      <c r="AK2164" s="314" t="s">
        <v>1616</v>
      </c>
      <c r="AO2164" s="185" t="s">
        <v>2135</v>
      </c>
      <c r="AP2164" s="185" t="s">
        <v>2135</v>
      </c>
      <c r="AQ2164" s="185"/>
      <c r="AR2164" s="185"/>
      <c r="AT2164" s="164" t="s">
        <v>2151</v>
      </c>
      <c r="AW2164" s="164" t="s">
        <v>160</v>
      </c>
      <c r="AY2164" s="164"/>
      <c r="BK2164" s="164"/>
      <c r="BN2164" s="315"/>
      <c r="BP2164" s="433">
        <v>1.499776</v>
      </c>
      <c r="BQ2164" s="433">
        <v>1.4928159999999999</v>
      </c>
      <c r="BU2164" s="451">
        <f t="shared" si="322"/>
        <v>0.62309492617564211</v>
      </c>
      <c r="BV2164" s="451">
        <f t="shared" si="323"/>
        <v>0.66290929845523583</v>
      </c>
      <c r="BZ2164" s="433">
        <v>18.690056319999997</v>
      </c>
      <c r="CA2164" s="433">
        <v>19.884309119999998</v>
      </c>
      <c r="CD2164" s="314" t="s">
        <v>2095</v>
      </c>
      <c r="CE2164" s="595">
        <v>18.690056319999997</v>
      </c>
      <c r="CF2164" s="595">
        <v>19.884309119999998</v>
      </c>
      <c r="CG2164" s="595"/>
      <c r="CH2164" s="595"/>
      <c r="CI2164" s="314" t="s">
        <v>4551</v>
      </c>
      <c r="FU2164" s="316"/>
      <c r="FV2164" s="164"/>
    </row>
    <row r="2165" spans="1:178" s="245" customFormat="1" x14ac:dyDescent="0.25">
      <c r="A2165" s="245">
        <v>100</v>
      </c>
      <c r="B2165" s="246" t="s">
        <v>4235</v>
      </c>
      <c r="C2165" s="245" t="s">
        <v>2152</v>
      </c>
      <c r="D2165" s="245" t="s">
        <v>2247</v>
      </c>
      <c r="E2165" s="245">
        <v>2000</v>
      </c>
      <c r="F2165" s="245">
        <v>1994</v>
      </c>
      <c r="G2165" s="245" t="s">
        <v>1749</v>
      </c>
      <c r="H2165" s="245" t="s">
        <v>2153</v>
      </c>
      <c r="I2165" s="245" t="s">
        <v>2818</v>
      </c>
      <c r="J2165" s="245">
        <f t="shared" ref="J2165:J2178" si="326">-30-51/60</f>
        <v>-30.85</v>
      </c>
      <c r="K2165" s="245">
        <f t="shared" ref="K2165:K2172" si="327">-51-38/60</f>
        <v>-51.633333333333333</v>
      </c>
      <c r="L2165" s="245">
        <v>96</v>
      </c>
      <c r="M2165" s="245">
        <v>19.399999999999999</v>
      </c>
      <c r="O2165" s="245">
        <v>1440</v>
      </c>
      <c r="R2165" s="245">
        <v>10</v>
      </c>
      <c r="S2165" s="245">
        <v>10</v>
      </c>
      <c r="U2165" s="245" t="s">
        <v>2250</v>
      </c>
      <c r="V2165" s="244" t="s">
        <v>1389</v>
      </c>
      <c r="W2165" s="245">
        <v>30</v>
      </c>
      <c r="X2165" s="244" t="s">
        <v>1389</v>
      </c>
      <c r="Y2165" s="244" t="s">
        <v>1389</v>
      </c>
      <c r="Z2165" s="245">
        <v>1.5</v>
      </c>
      <c r="AA2165" s="367">
        <v>54</v>
      </c>
      <c r="AB2165" s="367">
        <v>24</v>
      </c>
      <c r="AC2165" s="245" t="s">
        <v>518</v>
      </c>
      <c r="AE2165" s="319">
        <f>44.6/(100*100*0.3*Z2165)*100</f>
        <v>0.99111111111111116</v>
      </c>
      <c r="AG2165" s="245" t="s">
        <v>2154</v>
      </c>
      <c r="AH2165" s="245" t="s">
        <v>2155</v>
      </c>
      <c r="AI2165" s="245" t="s">
        <v>1583</v>
      </c>
      <c r="AJ2165" s="245" t="s">
        <v>2249</v>
      </c>
      <c r="AK2165" s="245" t="s">
        <v>1620</v>
      </c>
      <c r="AL2165" s="245" t="s">
        <v>2248</v>
      </c>
      <c r="AM2165" s="245" t="s">
        <v>2156</v>
      </c>
      <c r="AN2165" s="245" t="s">
        <v>177</v>
      </c>
      <c r="AO2165" s="245" t="s">
        <v>2018</v>
      </c>
      <c r="AP2165" s="245" t="s">
        <v>2018</v>
      </c>
      <c r="AQ2165" s="245" t="s">
        <v>2125</v>
      </c>
      <c r="AR2165" s="245" t="s">
        <v>2125</v>
      </c>
      <c r="AS2165" s="245" t="s">
        <v>177</v>
      </c>
      <c r="AW2165" s="245" t="s">
        <v>160</v>
      </c>
      <c r="AX2165" s="245">
        <v>3</v>
      </c>
      <c r="AZ2165" s="245" t="s">
        <v>141</v>
      </c>
      <c r="BN2165" s="248"/>
      <c r="BP2165" s="453"/>
      <c r="BQ2165" s="437"/>
      <c r="BU2165" s="451">
        <f t="shared" si="322"/>
        <v>0.99111111111111116</v>
      </c>
      <c r="BV2165" s="451">
        <f t="shared" si="323"/>
        <v>1.1155555555555556</v>
      </c>
      <c r="BZ2165" s="437">
        <v>44.6</v>
      </c>
      <c r="CA2165" s="437">
        <v>50.2</v>
      </c>
      <c r="CD2165" s="245" t="s">
        <v>2095</v>
      </c>
      <c r="CE2165" s="598">
        <v>44.6</v>
      </c>
      <c r="CF2165" s="598">
        <v>50.2</v>
      </c>
      <c r="CG2165" s="598"/>
      <c r="CH2165" s="598"/>
      <c r="CI2165" s="245" t="s">
        <v>4551</v>
      </c>
      <c r="CJ2165" s="245">
        <v>3765</v>
      </c>
      <c r="CK2165" s="245">
        <v>4262</v>
      </c>
      <c r="CN2165" s="245" t="s">
        <v>2251</v>
      </c>
      <c r="FU2165" s="246"/>
    </row>
    <row r="2166" spans="1:178" s="245" customFormat="1" x14ac:dyDescent="0.25">
      <c r="A2166" s="245">
        <v>100</v>
      </c>
      <c r="B2166" s="246" t="s">
        <v>4235</v>
      </c>
      <c r="C2166" s="245" t="s">
        <v>2152</v>
      </c>
      <c r="D2166" s="245" t="s">
        <v>2247</v>
      </c>
      <c r="E2166" s="245">
        <v>2000</v>
      </c>
      <c r="F2166" s="245">
        <v>1994</v>
      </c>
      <c r="G2166" s="245" t="s">
        <v>1749</v>
      </c>
      <c r="H2166" s="245" t="s">
        <v>2153</v>
      </c>
      <c r="I2166" s="245" t="s">
        <v>2818</v>
      </c>
      <c r="J2166" s="245">
        <f t="shared" si="326"/>
        <v>-30.85</v>
      </c>
      <c r="K2166" s="245">
        <f t="shared" si="327"/>
        <v>-51.633333333333333</v>
      </c>
      <c r="L2166" s="245">
        <v>96</v>
      </c>
      <c r="M2166" s="245">
        <v>19.399999999999999</v>
      </c>
      <c r="O2166" s="245">
        <v>1440</v>
      </c>
      <c r="R2166" s="245">
        <v>10</v>
      </c>
      <c r="S2166" s="245">
        <v>10</v>
      </c>
      <c r="U2166" s="245" t="s">
        <v>2250</v>
      </c>
      <c r="V2166" s="244" t="s">
        <v>1389</v>
      </c>
      <c r="W2166" s="245">
        <v>30</v>
      </c>
      <c r="X2166" s="244" t="s">
        <v>1389</v>
      </c>
      <c r="Y2166" s="244" t="s">
        <v>1389</v>
      </c>
      <c r="Z2166" s="245">
        <v>1.45</v>
      </c>
      <c r="AA2166" s="367">
        <v>54</v>
      </c>
      <c r="AB2166" s="367">
        <v>24</v>
      </c>
      <c r="AC2166" s="245" t="s">
        <v>518</v>
      </c>
      <c r="AE2166" s="319">
        <f>44.6/(100*100*0.3*Z2166)*100</f>
        <v>1.0252873563218392</v>
      </c>
      <c r="AG2166" s="245" t="s">
        <v>2154</v>
      </c>
      <c r="AH2166" s="245" t="s">
        <v>2155</v>
      </c>
      <c r="AI2166" s="245" t="s">
        <v>1583</v>
      </c>
      <c r="AJ2166" s="245" t="s">
        <v>2249</v>
      </c>
      <c r="AK2166" s="245" t="s">
        <v>1620</v>
      </c>
      <c r="AL2166" s="245" t="s">
        <v>2248</v>
      </c>
      <c r="AM2166" s="245" t="s">
        <v>2156</v>
      </c>
      <c r="AN2166" s="245" t="s">
        <v>177</v>
      </c>
      <c r="AO2166" s="245" t="s">
        <v>1046</v>
      </c>
      <c r="AP2166" s="245" t="s">
        <v>1046</v>
      </c>
      <c r="AQ2166" s="245" t="s">
        <v>2126</v>
      </c>
      <c r="AR2166" s="245" t="s">
        <v>2126</v>
      </c>
      <c r="AS2166" s="245" t="s">
        <v>177</v>
      </c>
      <c r="AW2166" s="245" t="s">
        <v>160</v>
      </c>
      <c r="AX2166" s="245">
        <v>3</v>
      </c>
      <c r="AZ2166" s="245" t="s">
        <v>141</v>
      </c>
      <c r="BN2166" s="248"/>
      <c r="BP2166" s="453"/>
      <c r="BQ2166" s="437"/>
      <c r="BU2166" s="451">
        <f t="shared" si="322"/>
        <v>1.1310344827586205</v>
      </c>
      <c r="BV2166" s="451">
        <f t="shared" si="323"/>
        <v>1.3011494252873563</v>
      </c>
      <c r="BZ2166" s="437">
        <v>49.2</v>
      </c>
      <c r="CA2166" s="437">
        <v>56.6</v>
      </c>
      <c r="CD2166" s="245" t="s">
        <v>2095</v>
      </c>
      <c r="CE2166" s="598">
        <v>49.2</v>
      </c>
      <c r="CF2166" s="598">
        <v>56.6</v>
      </c>
      <c r="CG2166" s="598"/>
      <c r="CH2166" s="598"/>
      <c r="CI2166" s="245" t="s">
        <v>4551</v>
      </c>
      <c r="CJ2166" s="245">
        <v>3805</v>
      </c>
      <c r="CK2166" s="245">
        <v>4665</v>
      </c>
      <c r="CN2166" s="245" t="s">
        <v>2251</v>
      </c>
      <c r="FU2166" s="246"/>
    </row>
    <row r="2167" spans="1:178" s="239" customFormat="1" x14ac:dyDescent="0.25">
      <c r="A2167" s="239">
        <v>100</v>
      </c>
      <c r="B2167" s="240" t="s">
        <v>4236</v>
      </c>
      <c r="C2167" s="239" t="s">
        <v>2152</v>
      </c>
      <c r="D2167" s="239" t="s">
        <v>2247</v>
      </c>
      <c r="E2167" s="239">
        <v>2000</v>
      </c>
      <c r="F2167" s="239">
        <v>1994</v>
      </c>
      <c r="G2167" s="239" t="s">
        <v>1749</v>
      </c>
      <c r="H2167" s="239" t="s">
        <v>2153</v>
      </c>
      <c r="I2167" s="245" t="s">
        <v>2818</v>
      </c>
      <c r="J2167" s="239">
        <f t="shared" si="326"/>
        <v>-30.85</v>
      </c>
      <c r="K2167" s="239">
        <f t="shared" si="327"/>
        <v>-51.633333333333333</v>
      </c>
      <c r="L2167" s="239">
        <v>96</v>
      </c>
      <c r="M2167" s="239">
        <v>19.399999999999999</v>
      </c>
      <c r="O2167" s="239">
        <v>1440</v>
      </c>
      <c r="R2167" s="239">
        <v>10</v>
      </c>
      <c r="S2167" s="239">
        <v>10</v>
      </c>
      <c r="U2167" s="239" t="s">
        <v>2250</v>
      </c>
      <c r="V2167" s="238" t="s">
        <v>2252</v>
      </c>
      <c r="W2167" s="239">
        <v>2.5</v>
      </c>
      <c r="X2167" s="238" t="s">
        <v>2252</v>
      </c>
      <c r="Y2167" s="238" t="s">
        <v>1389</v>
      </c>
      <c r="Z2167" s="239">
        <v>1.45</v>
      </c>
      <c r="AA2167" s="383">
        <v>54</v>
      </c>
      <c r="AB2167" s="383">
        <v>24</v>
      </c>
      <c r="AC2167" s="239" t="s">
        <v>518</v>
      </c>
      <c r="AG2167" s="239" t="s">
        <v>2154</v>
      </c>
      <c r="AH2167" s="239" t="s">
        <v>2155</v>
      </c>
      <c r="AI2167" s="239" t="s">
        <v>1583</v>
      </c>
      <c r="AJ2167" s="239" t="s">
        <v>2249</v>
      </c>
      <c r="AK2167" s="239" t="s">
        <v>1620</v>
      </c>
      <c r="AL2167" s="239" t="s">
        <v>2248</v>
      </c>
      <c r="AM2167" s="239" t="s">
        <v>2156</v>
      </c>
      <c r="AN2167" s="239" t="s">
        <v>177</v>
      </c>
      <c r="AO2167" s="239" t="s">
        <v>2018</v>
      </c>
      <c r="AP2167" s="239" t="s">
        <v>2018</v>
      </c>
      <c r="AQ2167" s="239" t="s">
        <v>2125</v>
      </c>
      <c r="AR2167" s="239" t="s">
        <v>2125</v>
      </c>
      <c r="AS2167" s="239" t="s">
        <v>177</v>
      </c>
      <c r="AW2167" s="239" t="s">
        <v>160</v>
      </c>
      <c r="AX2167" s="239">
        <v>3</v>
      </c>
      <c r="AZ2167" s="239" t="s">
        <v>141</v>
      </c>
      <c r="BN2167" s="242"/>
      <c r="BP2167" s="454"/>
      <c r="BQ2167" s="451"/>
      <c r="BU2167" s="451">
        <f t="shared" si="322"/>
        <v>4.515862068965518</v>
      </c>
      <c r="BV2167" s="451">
        <f t="shared" si="323"/>
        <v>5.009655172413793</v>
      </c>
      <c r="BZ2167" s="451">
        <v>16.37</v>
      </c>
      <c r="CA2167" s="451">
        <v>18.16</v>
      </c>
      <c r="CD2167" s="239" t="s">
        <v>2256</v>
      </c>
      <c r="CE2167" s="597">
        <v>16.37</v>
      </c>
      <c r="CF2167" s="597">
        <v>18.16</v>
      </c>
      <c r="CG2167" s="597"/>
      <c r="CH2167" s="597"/>
      <c r="CI2167" s="239" t="s">
        <v>4551</v>
      </c>
      <c r="CJ2167" s="239">
        <v>1.3</v>
      </c>
      <c r="CK2167" s="239">
        <v>1.47</v>
      </c>
      <c r="CN2167" s="239" t="s">
        <v>2256</v>
      </c>
      <c r="FU2167" s="240"/>
    </row>
    <row r="2168" spans="1:178" s="239" customFormat="1" x14ac:dyDescent="0.25">
      <c r="A2168" s="239">
        <v>100</v>
      </c>
      <c r="B2168" s="240" t="s">
        <v>4237</v>
      </c>
      <c r="C2168" s="239" t="s">
        <v>2152</v>
      </c>
      <c r="D2168" s="239" t="s">
        <v>2247</v>
      </c>
      <c r="E2168" s="239">
        <v>2000</v>
      </c>
      <c r="F2168" s="239">
        <v>1994</v>
      </c>
      <c r="G2168" s="239" t="s">
        <v>1749</v>
      </c>
      <c r="H2168" s="239" t="s">
        <v>2153</v>
      </c>
      <c r="I2168" s="245" t="s">
        <v>2818</v>
      </c>
      <c r="J2168" s="239">
        <f t="shared" si="326"/>
        <v>-30.85</v>
      </c>
      <c r="K2168" s="239">
        <f t="shared" si="327"/>
        <v>-51.633333333333333</v>
      </c>
      <c r="L2168" s="239">
        <v>96</v>
      </c>
      <c r="M2168" s="239">
        <v>19.399999999999999</v>
      </c>
      <c r="O2168" s="239">
        <v>1440</v>
      </c>
      <c r="R2168" s="239">
        <v>10</v>
      </c>
      <c r="S2168" s="239">
        <v>10</v>
      </c>
      <c r="U2168" s="239" t="s">
        <v>2250</v>
      </c>
      <c r="V2168" s="238" t="s">
        <v>2253</v>
      </c>
      <c r="W2168" s="239">
        <v>2.5</v>
      </c>
      <c r="X2168" s="238" t="s">
        <v>2252</v>
      </c>
      <c r="Y2168" s="238" t="s">
        <v>1389</v>
      </c>
      <c r="Z2168" s="239">
        <v>1.45</v>
      </c>
      <c r="AA2168" s="383">
        <v>54</v>
      </c>
      <c r="AB2168" s="383">
        <v>24</v>
      </c>
      <c r="AC2168" s="239" t="s">
        <v>518</v>
      </c>
      <c r="AG2168" s="239" t="s">
        <v>2154</v>
      </c>
      <c r="AH2168" s="239" t="s">
        <v>2155</v>
      </c>
      <c r="AI2168" s="239" t="s">
        <v>1583</v>
      </c>
      <c r="AJ2168" s="239" t="s">
        <v>2249</v>
      </c>
      <c r="AK2168" s="239" t="s">
        <v>1620</v>
      </c>
      <c r="AL2168" s="239" t="s">
        <v>2248</v>
      </c>
      <c r="AM2168" s="239" t="s">
        <v>2156</v>
      </c>
      <c r="AN2168" s="239" t="s">
        <v>177</v>
      </c>
      <c r="AO2168" s="239" t="s">
        <v>2018</v>
      </c>
      <c r="AP2168" s="239" t="s">
        <v>2018</v>
      </c>
      <c r="AQ2168" s="239" t="s">
        <v>2125</v>
      </c>
      <c r="AR2168" s="239" t="s">
        <v>2125</v>
      </c>
      <c r="AS2168" s="239" t="s">
        <v>177</v>
      </c>
      <c r="AW2168" s="239" t="s">
        <v>160</v>
      </c>
      <c r="AX2168" s="239">
        <v>3</v>
      </c>
      <c r="AZ2168" s="239" t="s">
        <v>141</v>
      </c>
      <c r="BN2168" s="242"/>
      <c r="BP2168" s="454"/>
      <c r="BQ2168" s="451"/>
      <c r="BU2168" s="451">
        <f t="shared" si="322"/>
        <v>4.2510344827586204</v>
      </c>
      <c r="BV2168" s="451">
        <f t="shared" si="323"/>
        <v>5.1227586206896554</v>
      </c>
      <c r="BZ2168" s="451">
        <v>15.41</v>
      </c>
      <c r="CA2168" s="451">
        <v>18.57</v>
      </c>
      <c r="CD2168" s="239" t="s">
        <v>2256</v>
      </c>
      <c r="CE2168" s="597">
        <v>15.41</v>
      </c>
      <c r="CF2168" s="597">
        <v>18.57</v>
      </c>
      <c r="CG2168" s="597"/>
      <c r="CH2168" s="597"/>
      <c r="CI2168" s="239" t="s">
        <v>4551</v>
      </c>
      <c r="CJ2168" s="239">
        <v>1.2669999999999999</v>
      </c>
      <c r="CK2168" s="239">
        <v>1.54</v>
      </c>
      <c r="CN2168" s="239" t="s">
        <v>2256</v>
      </c>
      <c r="FU2168" s="240"/>
    </row>
    <row r="2169" spans="1:178" s="239" customFormat="1" x14ac:dyDescent="0.25">
      <c r="A2169" s="239">
        <v>100</v>
      </c>
      <c r="B2169" s="240" t="s">
        <v>4238</v>
      </c>
      <c r="C2169" s="239" t="s">
        <v>2152</v>
      </c>
      <c r="D2169" s="239" t="s">
        <v>2247</v>
      </c>
      <c r="E2169" s="239">
        <v>2000</v>
      </c>
      <c r="F2169" s="239">
        <v>1994</v>
      </c>
      <c r="G2169" s="239" t="s">
        <v>1749</v>
      </c>
      <c r="H2169" s="239" t="s">
        <v>2153</v>
      </c>
      <c r="I2169" s="245" t="s">
        <v>2818</v>
      </c>
      <c r="J2169" s="239">
        <f t="shared" si="326"/>
        <v>-30.85</v>
      </c>
      <c r="K2169" s="239">
        <f t="shared" si="327"/>
        <v>-51.633333333333333</v>
      </c>
      <c r="L2169" s="239">
        <v>96</v>
      </c>
      <c r="M2169" s="239">
        <v>19.399999999999999</v>
      </c>
      <c r="O2169" s="239">
        <v>1440</v>
      </c>
      <c r="R2169" s="239">
        <v>10</v>
      </c>
      <c r="S2169" s="239">
        <v>10</v>
      </c>
      <c r="U2169" s="239" t="s">
        <v>2250</v>
      </c>
      <c r="V2169" s="238" t="s">
        <v>2254</v>
      </c>
      <c r="W2169" s="239">
        <v>2.5</v>
      </c>
      <c r="X2169" s="238" t="s">
        <v>2252</v>
      </c>
      <c r="Y2169" s="238" t="s">
        <v>1389</v>
      </c>
      <c r="Z2169" s="239">
        <v>1.45</v>
      </c>
      <c r="AA2169" s="383">
        <v>54</v>
      </c>
      <c r="AB2169" s="383">
        <v>24</v>
      </c>
      <c r="AC2169" s="239" t="s">
        <v>518</v>
      </c>
      <c r="AG2169" s="239" t="s">
        <v>2154</v>
      </c>
      <c r="AH2169" s="239" t="s">
        <v>2155</v>
      </c>
      <c r="AI2169" s="239" t="s">
        <v>1583</v>
      </c>
      <c r="AJ2169" s="239" t="s">
        <v>2249</v>
      </c>
      <c r="AK2169" s="239" t="s">
        <v>1620</v>
      </c>
      <c r="AL2169" s="239" t="s">
        <v>2248</v>
      </c>
      <c r="AM2169" s="239" t="s">
        <v>2156</v>
      </c>
      <c r="AN2169" s="239" t="s">
        <v>177</v>
      </c>
      <c r="AO2169" s="239" t="s">
        <v>2018</v>
      </c>
      <c r="AP2169" s="239" t="s">
        <v>2018</v>
      </c>
      <c r="AQ2169" s="239" t="s">
        <v>2125</v>
      </c>
      <c r="AR2169" s="239" t="s">
        <v>2125</v>
      </c>
      <c r="AS2169" s="239" t="s">
        <v>177</v>
      </c>
      <c r="AW2169" s="239" t="s">
        <v>160</v>
      </c>
      <c r="AX2169" s="239">
        <v>3</v>
      </c>
      <c r="AZ2169" s="239" t="s">
        <v>141</v>
      </c>
      <c r="BN2169" s="242"/>
      <c r="BP2169" s="454"/>
      <c r="BQ2169" s="451"/>
      <c r="BU2169" s="451">
        <f t="shared" si="322"/>
        <v>4.2510344827586204</v>
      </c>
      <c r="BV2169" s="451">
        <f t="shared" si="323"/>
        <v>4.7448275862068963</v>
      </c>
      <c r="BZ2169" s="451">
        <v>15.41</v>
      </c>
      <c r="CA2169" s="451">
        <v>17.2</v>
      </c>
      <c r="CD2169" s="239" t="s">
        <v>2256</v>
      </c>
      <c r="CE2169" s="597">
        <v>15.41</v>
      </c>
      <c r="CF2169" s="597">
        <v>17.2</v>
      </c>
      <c r="CG2169" s="597"/>
      <c r="CH2169" s="597"/>
      <c r="CI2169" s="239" t="s">
        <v>4551</v>
      </c>
      <c r="CJ2169" s="239">
        <v>1.2549999999999999</v>
      </c>
      <c r="CK2169" s="239">
        <v>1.47</v>
      </c>
      <c r="CN2169" s="239" t="s">
        <v>2256</v>
      </c>
      <c r="FU2169" s="240"/>
    </row>
    <row r="2170" spans="1:178" s="239" customFormat="1" x14ac:dyDescent="0.25">
      <c r="A2170" s="239">
        <v>100</v>
      </c>
      <c r="B2170" s="240" t="s">
        <v>4239</v>
      </c>
      <c r="C2170" s="239" t="s">
        <v>2152</v>
      </c>
      <c r="D2170" s="239" t="s">
        <v>2247</v>
      </c>
      <c r="E2170" s="239">
        <v>2000</v>
      </c>
      <c r="F2170" s="239">
        <v>1994</v>
      </c>
      <c r="G2170" s="239" t="s">
        <v>1749</v>
      </c>
      <c r="H2170" s="239" t="s">
        <v>2153</v>
      </c>
      <c r="I2170" s="245" t="s">
        <v>2818</v>
      </c>
      <c r="J2170" s="239">
        <f t="shared" si="326"/>
        <v>-30.85</v>
      </c>
      <c r="K2170" s="239">
        <f t="shared" si="327"/>
        <v>-51.633333333333333</v>
      </c>
      <c r="L2170" s="239">
        <v>96</v>
      </c>
      <c r="M2170" s="239">
        <v>19.399999999999999</v>
      </c>
      <c r="O2170" s="239">
        <v>1440</v>
      </c>
      <c r="R2170" s="239">
        <v>10</v>
      </c>
      <c r="S2170" s="239">
        <v>10</v>
      </c>
      <c r="U2170" s="239" t="s">
        <v>2250</v>
      </c>
      <c r="V2170" s="238" t="s">
        <v>2255</v>
      </c>
      <c r="W2170" s="239">
        <v>2.5</v>
      </c>
      <c r="X2170" s="238" t="s">
        <v>2252</v>
      </c>
      <c r="Y2170" s="238" t="s">
        <v>1389</v>
      </c>
      <c r="Z2170" s="239">
        <v>1.45</v>
      </c>
      <c r="AA2170" s="383">
        <v>54</v>
      </c>
      <c r="AB2170" s="383">
        <v>24</v>
      </c>
      <c r="AC2170" s="239" t="s">
        <v>518</v>
      </c>
      <c r="AG2170" s="239" t="s">
        <v>2154</v>
      </c>
      <c r="AH2170" s="239" t="s">
        <v>2155</v>
      </c>
      <c r="AI2170" s="239" t="s">
        <v>1583</v>
      </c>
      <c r="AJ2170" s="239" t="s">
        <v>2249</v>
      </c>
      <c r="AK2170" s="239" t="s">
        <v>1620</v>
      </c>
      <c r="AL2170" s="239" t="s">
        <v>2248</v>
      </c>
      <c r="AM2170" s="239" t="s">
        <v>2156</v>
      </c>
      <c r="AN2170" s="239" t="s">
        <v>177</v>
      </c>
      <c r="AO2170" s="239" t="s">
        <v>2018</v>
      </c>
      <c r="AP2170" s="239" t="s">
        <v>2018</v>
      </c>
      <c r="AQ2170" s="239" t="s">
        <v>2125</v>
      </c>
      <c r="AR2170" s="239" t="s">
        <v>2125</v>
      </c>
      <c r="AS2170" s="239" t="s">
        <v>177</v>
      </c>
      <c r="AW2170" s="239" t="s">
        <v>160</v>
      </c>
      <c r="AX2170" s="239">
        <v>3</v>
      </c>
      <c r="AZ2170" s="239" t="s">
        <v>141</v>
      </c>
      <c r="BN2170" s="242"/>
      <c r="BP2170" s="454"/>
      <c r="BQ2170" s="451"/>
      <c r="BU2170" s="451">
        <f t="shared" si="322"/>
        <v>4.0248275862068965</v>
      </c>
      <c r="BV2170" s="451">
        <f t="shared" si="323"/>
        <v>4.7448275862068963</v>
      </c>
      <c r="BZ2170" s="451">
        <v>14.59</v>
      </c>
      <c r="CA2170" s="451">
        <v>17.2</v>
      </c>
      <c r="CD2170" s="239" t="s">
        <v>2256</v>
      </c>
      <c r="CE2170" s="597">
        <v>14.59</v>
      </c>
      <c r="CF2170" s="597">
        <v>17.2</v>
      </c>
      <c r="CG2170" s="597"/>
      <c r="CH2170" s="597"/>
      <c r="CI2170" s="239" t="s">
        <v>4551</v>
      </c>
      <c r="CJ2170" s="239">
        <v>1.33</v>
      </c>
      <c r="CK2170" s="239">
        <v>1.51</v>
      </c>
      <c r="CN2170" s="239" t="s">
        <v>2256</v>
      </c>
      <c r="FU2170" s="240"/>
    </row>
    <row r="2171" spans="1:178" s="239" customFormat="1" x14ac:dyDescent="0.25">
      <c r="A2171" s="239">
        <v>100</v>
      </c>
      <c r="B2171" s="240" t="s">
        <v>4240</v>
      </c>
      <c r="C2171" s="239" t="s">
        <v>2152</v>
      </c>
      <c r="D2171" s="239" t="s">
        <v>2247</v>
      </c>
      <c r="E2171" s="239">
        <v>2000</v>
      </c>
      <c r="F2171" s="239">
        <v>1994</v>
      </c>
      <c r="G2171" s="239" t="s">
        <v>1749</v>
      </c>
      <c r="H2171" s="239" t="s">
        <v>2153</v>
      </c>
      <c r="I2171" s="245" t="s">
        <v>2818</v>
      </c>
      <c r="J2171" s="239">
        <f t="shared" si="326"/>
        <v>-30.85</v>
      </c>
      <c r="K2171" s="239">
        <f t="shared" si="327"/>
        <v>-51.633333333333333</v>
      </c>
      <c r="L2171" s="239">
        <v>96</v>
      </c>
      <c r="M2171" s="239">
        <v>19.399999999999999</v>
      </c>
      <c r="O2171" s="239">
        <v>1440</v>
      </c>
      <c r="R2171" s="239">
        <v>10</v>
      </c>
      <c r="S2171" s="239">
        <v>10</v>
      </c>
      <c r="U2171" s="239" t="s">
        <v>2250</v>
      </c>
      <c r="V2171" s="238" t="s">
        <v>1409</v>
      </c>
      <c r="W2171" s="239">
        <v>5</v>
      </c>
      <c r="X2171" s="238" t="s">
        <v>2252</v>
      </c>
      <c r="Y2171" s="238" t="s">
        <v>1389</v>
      </c>
      <c r="Z2171" s="239">
        <v>1.45</v>
      </c>
      <c r="AA2171" s="383">
        <v>54</v>
      </c>
      <c r="AB2171" s="383">
        <v>24</v>
      </c>
      <c r="AC2171" s="239" t="s">
        <v>518</v>
      </c>
      <c r="AG2171" s="239" t="s">
        <v>2154</v>
      </c>
      <c r="AH2171" s="239" t="s">
        <v>2155</v>
      </c>
      <c r="AI2171" s="239" t="s">
        <v>1583</v>
      </c>
      <c r="AJ2171" s="239" t="s">
        <v>2249</v>
      </c>
      <c r="AK2171" s="239" t="s">
        <v>1620</v>
      </c>
      <c r="AL2171" s="239" t="s">
        <v>2248</v>
      </c>
      <c r="AM2171" s="239" t="s">
        <v>2156</v>
      </c>
      <c r="AN2171" s="239" t="s">
        <v>177</v>
      </c>
      <c r="AO2171" s="239" t="s">
        <v>2018</v>
      </c>
      <c r="AP2171" s="239" t="s">
        <v>2018</v>
      </c>
      <c r="AQ2171" s="239" t="s">
        <v>2125</v>
      </c>
      <c r="AR2171" s="239" t="s">
        <v>2125</v>
      </c>
      <c r="AS2171" s="239" t="s">
        <v>177</v>
      </c>
      <c r="AW2171" s="239" t="s">
        <v>160</v>
      </c>
      <c r="AX2171" s="239">
        <v>3</v>
      </c>
      <c r="AZ2171" s="239" t="s">
        <v>141</v>
      </c>
      <c r="BN2171" s="242"/>
      <c r="BP2171" s="454"/>
      <c r="BQ2171" s="451"/>
      <c r="BU2171" s="451">
        <f t="shared" si="322"/>
        <v>2.0689655172413794</v>
      </c>
      <c r="BV2171" s="451">
        <f t="shared" si="323"/>
        <v>2.2399999999999998</v>
      </c>
      <c r="BZ2171" s="451">
        <v>15</v>
      </c>
      <c r="CA2171" s="451">
        <v>16.239999999999998</v>
      </c>
      <c r="CD2171" s="239" t="s">
        <v>2256</v>
      </c>
      <c r="CE2171" s="597">
        <v>15</v>
      </c>
      <c r="CF2171" s="597">
        <v>16.239999999999998</v>
      </c>
      <c r="CG2171" s="597"/>
      <c r="CH2171" s="597"/>
      <c r="CI2171" s="239" t="s">
        <v>4551</v>
      </c>
      <c r="CJ2171" s="239">
        <v>1.3</v>
      </c>
      <c r="CK2171" s="239">
        <v>1.3</v>
      </c>
      <c r="CN2171" s="239" t="s">
        <v>2256</v>
      </c>
      <c r="FU2171" s="240"/>
    </row>
    <row r="2172" spans="1:178" s="239" customFormat="1" x14ac:dyDescent="0.25">
      <c r="A2172" s="239">
        <v>100</v>
      </c>
      <c r="B2172" s="240" t="s">
        <v>4241</v>
      </c>
      <c r="C2172" s="239" t="s">
        <v>2152</v>
      </c>
      <c r="D2172" s="239" t="s">
        <v>2247</v>
      </c>
      <c r="E2172" s="239">
        <v>2000</v>
      </c>
      <c r="F2172" s="239">
        <v>1994</v>
      </c>
      <c r="G2172" s="239" t="s">
        <v>1749</v>
      </c>
      <c r="H2172" s="239" t="s">
        <v>2153</v>
      </c>
      <c r="I2172" s="245" t="s">
        <v>2818</v>
      </c>
      <c r="J2172" s="239">
        <f t="shared" si="326"/>
        <v>-30.85</v>
      </c>
      <c r="K2172" s="239">
        <f t="shared" si="327"/>
        <v>-51.633333333333333</v>
      </c>
      <c r="L2172" s="239">
        <v>96</v>
      </c>
      <c r="M2172" s="239">
        <v>19.399999999999999</v>
      </c>
      <c r="O2172" s="239">
        <v>1440</v>
      </c>
      <c r="R2172" s="239">
        <v>10</v>
      </c>
      <c r="S2172" s="239">
        <v>10</v>
      </c>
      <c r="U2172" s="239" t="s">
        <v>2250</v>
      </c>
      <c r="V2172" s="238" t="s">
        <v>1390</v>
      </c>
      <c r="W2172" s="239">
        <v>15</v>
      </c>
      <c r="X2172" s="238" t="s">
        <v>2252</v>
      </c>
      <c r="Y2172" s="238" t="s">
        <v>1389</v>
      </c>
      <c r="Z2172" s="239">
        <v>1.45</v>
      </c>
      <c r="AA2172" s="383">
        <v>54</v>
      </c>
      <c r="AB2172" s="383">
        <v>24</v>
      </c>
      <c r="AC2172" s="239" t="s">
        <v>518</v>
      </c>
      <c r="AG2172" s="239" t="s">
        <v>2154</v>
      </c>
      <c r="AH2172" s="239" t="s">
        <v>2155</v>
      </c>
      <c r="AI2172" s="239" t="s">
        <v>1583</v>
      </c>
      <c r="AJ2172" s="239" t="s">
        <v>2249</v>
      </c>
      <c r="AK2172" s="239" t="s">
        <v>1620</v>
      </c>
      <c r="AL2172" s="239" t="s">
        <v>2248</v>
      </c>
      <c r="AM2172" s="239" t="s">
        <v>2156</v>
      </c>
      <c r="AN2172" s="239" t="s">
        <v>177</v>
      </c>
      <c r="AO2172" s="239" t="s">
        <v>2018</v>
      </c>
      <c r="AP2172" s="239" t="s">
        <v>2018</v>
      </c>
      <c r="AQ2172" s="239" t="s">
        <v>2125</v>
      </c>
      <c r="AR2172" s="239" t="s">
        <v>2125</v>
      </c>
      <c r="AS2172" s="239" t="s">
        <v>177</v>
      </c>
      <c r="AW2172" s="239" t="s">
        <v>160</v>
      </c>
      <c r="AX2172" s="239">
        <v>3</v>
      </c>
      <c r="AZ2172" s="239" t="s">
        <v>141</v>
      </c>
      <c r="BN2172" s="242"/>
      <c r="BP2172" s="454"/>
      <c r="BQ2172" s="451"/>
      <c r="BU2172" s="451">
        <f t="shared" si="322"/>
        <v>0.65793103448275858</v>
      </c>
      <c r="BV2172" s="451">
        <f t="shared" si="323"/>
        <v>0.73379310344827586</v>
      </c>
      <c r="BZ2172" s="451">
        <v>14.31</v>
      </c>
      <c r="CA2172" s="451">
        <v>15.96</v>
      </c>
      <c r="CD2172" s="239" t="s">
        <v>2256</v>
      </c>
      <c r="CE2172" s="597">
        <v>14.31</v>
      </c>
      <c r="CF2172" s="597">
        <v>15.96</v>
      </c>
      <c r="CG2172" s="597"/>
      <c r="CH2172" s="597"/>
      <c r="CI2172" s="239" t="s">
        <v>4551</v>
      </c>
      <c r="CJ2172" s="239">
        <v>1.19</v>
      </c>
      <c r="CK2172" s="239">
        <v>1.39</v>
      </c>
      <c r="CN2172" s="239" t="s">
        <v>2256</v>
      </c>
      <c r="FU2172" s="240"/>
    </row>
    <row r="2173" spans="1:178" s="245" customFormat="1" x14ac:dyDescent="0.25">
      <c r="A2173" s="245">
        <v>100</v>
      </c>
      <c r="B2173" s="246" t="s">
        <v>4242</v>
      </c>
      <c r="C2173" s="245" t="s">
        <v>2152</v>
      </c>
      <c r="D2173" s="245" t="s">
        <v>2247</v>
      </c>
      <c r="E2173" s="245">
        <v>2000</v>
      </c>
      <c r="F2173" s="245">
        <v>1994</v>
      </c>
      <c r="G2173" s="245" t="s">
        <v>1749</v>
      </c>
      <c r="H2173" s="245" t="s">
        <v>2153</v>
      </c>
      <c r="I2173" s="245" t="s">
        <v>2818</v>
      </c>
      <c r="J2173" s="245">
        <f t="shared" si="326"/>
        <v>-30.85</v>
      </c>
      <c r="K2173" s="245">
        <f t="shared" ref="K2173:K2178" si="328">-51-38/60</f>
        <v>-51.633333333333333</v>
      </c>
      <c r="L2173" s="245">
        <v>96</v>
      </c>
      <c r="M2173" s="245">
        <v>19.399999999999999</v>
      </c>
      <c r="O2173" s="245">
        <v>1440</v>
      </c>
      <c r="R2173" s="245">
        <v>10</v>
      </c>
      <c r="S2173" s="245">
        <v>10</v>
      </c>
      <c r="U2173" s="245" t="s">
        <v>2250</v>
      </c>
      <c r="V2173" s="244" t="s">
        <v>2252</v>
      </c>
      <c r="W2173" s="245">
        <v>2.5</v>
      </c>
      <c r="X2173" s="244" t="s">
        <v>2252</v>
      </c>
      <c r="Y2173" s="244" t="s">
        <v>1389</v>
      </c>
      <c r="Z2173" s="245">
        <v>1.45</v>
      </c>
      <c r="AA2173" s="367">
        <v>54</v>
      </c>
      <c r="AB2173" s="367">
        <v>24</v>
      </c>
      <c r="AC2173" s="245" t="s">
        <v>518</v>
      </c>
      <c r="AG2173" s="245" t="s">
        <v>2154</v>
      </c>
      <c r="AH2173" s="245" t="s">
        <v>2155</v>
      </c>
      <c r="AI2173" s="245" t="s">
        <v>1583</v>
      </c>
      <c r="AJ2173" s="245" t="s">
        <v>2249</v>
      </c>
      <c r="AK2173" s="245" t="s">
        <v>1620</v>
      </c>
      <c r="AL2173" s="245" t="s">
        <v>2248</v>
      </c>
      <c r="AM2173" s="245" t="s">
        <v>2156</v>
      </c>
      <c r="AN2173" s="245" t="s">
        <v>177</v>
      </c>
      <c r="AO2173" s="245" t="s">
        <v>1046</v>
      </c>
      <c r="AP2173" s="245" t="s">
        <v>1046</v>
      </c>
      <c r="AQ2173" s="245" t="s">
        <v>2126</v>
      </c>
      <c r="AR2173" s="245" t="s">
        <v>2126</v>
      </c>
      <c r="AS2173" s="245" t="s">
        <v>177</v>
      </c>
      <c r="AW2173" s="245" t="s">
        <v>160</v>
      </c>
      <c r="AX2173" s="245">
        <v>3</v>
      </c>
      <c r="AZ2173" s="245" t="s">
        <v>141</v>
      </c>
      <c r="BN2173" s="248"/>
      <c r="BP2173" s="453"/>
      <c r="BQ2173" s="437"/>
      <c r="BU2173" s="451">
        <f t="shared" si="322"/>
        <v>6.3944827586206898</v>
      </c>
      <c r="BV2173" s="451">
        <f t="shared" si="323"/>
        <v>9.7627586206896559</v>
      </c>
      <c r="BZ2173" s="437">
        <v>23.18</v>
      </c>
      <c r="CA2173" s="437">
        <v>35.39</v>
      </c>
      <c r="CD2173" s="245" t="s">
        <v>2256</v>
      </c>
      <c r="CE2173" s="598">
        <v>23.18</v>
      </c>
      <c r="CF2173" s="598">
        <v>35.39</v>
      </c>
      <c r="CG2173" s="598"/>
      <c r="CH2173" s="598"/>
      <c r="CI2173" s="245" t="s">
        <v>4551</v>
      </c>
      <c r="CJ2173" s="245">
        <v>1.65</v>
      </c>
      <c r="CK2173" s="245">
        <v>2.93</v>
      </c>
      <c r="CN2173" s="245" t="s">
        <v>2256</v>
      </c>
      <c r="FU2173" s="246"/>
    </row>
    <row r="2174" spans="1:178" s="245" customFormat="1" x14ac:dyDescent="0.25">
      <c r="A2174" s="245">
        <v>100</v>
      </c>
      <c r="B2174" s="246" t="s">
        <v>4243</v>
      </c>
      <c r="C2174" s="245" t="s">
        <v>2152</v>
      </c>
      <c r="D2174" s="245" t="s">
        <v>2247</v>
      </c>
      <c r="E2174" s="245">
        <v>2000</v>
      </c>
      <c r="F2174" s="245">
        <v>1994</v>
      </c>
      <c r="G2174" s="245" t="s">
        <v>1749</v>
      </c>
      <c r="H2174" s="245" t="s">
        <v>2153</v>
      </c>
      <c r="I2174" s="245" t="s">
        <v>2818</v>
      </c>
      <c r="J2174" s="245">
        <f t="shared" si="326"/>
        <v>-30.85</v>
      </c>
      <c r="K2174" s="245">
        <f t="shared" si="328"/>
        <v>-51.633333333333333</v>
      </c>
      <c r="L2174" s="245">
        <v>96</v>
      </c>
      <c r="M2174" s="245">
        <v>19.399999999999999</v>
      </c>
      <c r="O2174" s="245">
        <v>1440</v>
      </c>
      <c r="R2174" s="245">
        <v>10</v>
      </c>
      <c r="S2174" s="245">
        <v>10</v>
      </c>
      <c r="U2174" s="245" t="s">
        <v>2250</v>
      </c>
      <c r="V2174" s="244" t="s">
        <v>2253</v>
      </c>
      <c r="W2174" s="245">
        <v>2.5</v>
      </c>
      <c r="X2174" s="244" t="s">
        <v>2252</v>
      </c>
      <c r="Y2174" s="244" t="s">
        <v>1389</v>
      </c>
      <c r="Z2174" s="245">
        <v>1.45</v>
      </c>
      <c r="AA2174" s="367">
        <v>54</v>
      </c>
      <c r="AB2174" s="367">
        <v>24</v>
      </c>
      <c r="AC2174" s="245" t="s">
        <v>518</v>
      </c>
      <c r="AG2174" s="245" t="s">
        <v>2154</v>
      </c>
      <c r="AH2174" s="245" t="s">
        <v>2155</v>
      </c>
      <c r="AI2174" s="245" t="s">
        <v>1583</v>
      </c>
      <c r="AJ2174" s="245" t="s">
        <v>2249</v>
      </c>
      <c r="AK2174" s="245" t="s">
        <v>1620</v>
      </c>
      <c r="AL2174" s="245" t="s">
        <v>2248</v>
      </c>
      <c r="AM2174" s="245" t="s">
        <v>2156</v>
      </c>
      <c r="AN2174" s="245" t="s">
        <v>177</v>
      </c>
      <c r="AO2174" s="245" t="s">
        <v>1046</v>
      </c>
      <c r="AP2174" s="245" t="s">
        <v>1046</v>
      </c>
      <c r="AQ2174" s="245" t="s">
        <v>2126</v>
      </c>
      <c r="AR2174" s="245" t="s">
        <v>2126</v>
      </c>
      <c r="AS2174" s="245" t="s">
        <v>177</v>
      </c>
      <c r="AW2174" s="245" t="s">
        <v>160</v>
      </c>
      <c r="AX2174" s="245">
        <v>3</v>
      </c>
      <c r="AZ2174" s="245" t="s">
        <v>141</v>
      </c>
      <c r="BN2174" s="248"/>
      <c r="BP2174" s="453"/>
      <c r="BQ2174" s="437"/>
      <c r="BU2174" s="451">
        <f t="shared" si="322"/>
        <v>5.2413793103448274</v>
      </c>
      <c r="BV2174" s="451">
        <f t="shared" si="323"/>
        <v>7.257931034482759</v>
      </c>
      <c r="BZ2174" s="437">
        <v>19</v>
      </c>
      <c r="CA2174" s="437">
        <v>26.31</v>
      </c>
      <c r="CD2174" s="245" t="s">
        <v>2256</v>
      </c>
      <c r="CE2174" s="598">
        <v>19</v>
      </c>
      <c r="CF2174" s="598">
        <v>26.31</v>
      </c>
      <c r="CG2174" s="598"/>
      <c r="CH2174" s="598"/>
      <c r="CI2174" s="245" t="s">
        <v>4551</v>
      </c>
      <c r="CJ2174" s="245">
        <v>1.59</v>
      </c>
      <c r="CK2174" s="245">
        <v>2.2999999999999998</v>
      </c>
      <c r="CN2174" s="245" t="s">
        <v>2256</v>
      </c>
      <c r="FU2174" s="246"/>
    </row>
    <row r="2175" spans="1:178" s="245" customFormat="1" x14ac:dyDescent="0.25">
      <c r="A2175" s="245">
        <v>100</v>
      </c>
      <c r="B2175" s="246" t="s">
        <v>4244</v>
      </c>
      <c r="C2175" s="245" t="s">
        <v>2152</v>
      </c>
      <c r="D2175" s="245" t="s">
        <v>2247</v>
      </c>
      <c r="E2175" s="245">
        <v>2000</v>
      </c>
      <c r="F2175" s="245">
        <v>1994</v>
      </c>
      <c r="G2175" s="245" t="s">
        <v>1749</v>
      </c>
      <c r="H2175" s="245" t="s">
        <v>2153</v>
      </c>
      <c r="I2175" s="245" t="s">
        <v>2818</v>
      </c>
      <c r="J2175" s="245">
        <f t="shared" si="326"/>
        <v>-30.85</v>
      </c>
      <c r="K2175" s="245">
        <f t="shared" si="328"/>
        <v>-51.633333333333333</v>
      </c>
      <c r="L2175" s="245">
        <v>96</v>
      </c>
      <c r="M2175" s="245">
        <v>19.399999999999999</v>
      </c>
      <c r="O2175" s="245">
        <v>1440</v>
      </c>
      <c r="R2175" s="245">
        <v>10</v>
      </c>
      <c r="S2175" s="245">
        <v>10</v>
      </c>
      <c r="U2175" s="245" t="s">
        <v>2250</v>
      </c>
      <c r="V2175" s="244" t="s">
        <v>2254</v>
      </c>
      <c r="W2175" s="245">
        <v>2.5</v>
      </c>
      <c r="X2175" s="244" t="s">
        <v>2252</v>
      </c>
      <c r="Y2175" s="244" t="s">
        <v>1389</v>
      </c>
      <c r="Z2175" s="245">
        <v>1.45</v>
      </c>
      <c r="AA2175" s="367">
        <v>54</v>
      </c>
      <c r="AB2175" s="367">
        <v>24</v>
      </c>
      <c r="AC2175" s="245" t="s">
        <v>518</v>
      </c>
      <c r="AG2175" s="245" t="s">
        <v>2154</v>
      </c>
      <c r="AH2175" s="245" t="s">
        <v>2155</v>
      </c>
      <c r="AI2175" s="245" t="s">
        <v>1583</v>
      </c>
      <c r="AJ2175" s="245" t="s">
        <v>2249</v>
      </c>
      <c r="AK2175" s="245" t="s">
        <v>1620</v>
      </c>
      <c r="AL2175" s="245" t="s">
        <v>2248</v>
      </c>
      <c r="AM2175" s="245" t="s">
        <v>2156</v>
      </c>
      <c r="AN2175" s="245" t="s">
        <v>177</v>
      </c>
      <c r="AO2175" s="245" t="s">
        <v>1046</v>
      </c>
      <c r="AP2175" s="245" t="s">
        <v>1046</v>
      </c>
      <c r="AQ2175" s="245" t="s">
        <v>2126</v>
      </c>
      <c r="AR2175" s="245" t="s">
        <v>2126</v>
      </c>
      <c r="AS2175" s="245" t="s">
        <v>177</v>
      </c>
      <c r="AW2175" s="245" t="s">
        <v>160</v>
      </c>
      <c r="AX2175" s="245">
        <v>3</v>
      </c>
      <c r="AZ2175" s="245" t="s">
        <v>141</v>
      </c>
      <c r="BN2175" s="248"/>
      <c r="BP2175" s="453"/>
      <c r="BQ2175" s="437"/>
      <c r="BU2175" s="451">
        <f t="shared" si="322"/>
        <v>4.4937931034482759</v>
      </c>
      <c r="BV2175" s="451">
        <f t="shared" si="323"/>
        <v>5.6165517241379312</v>
      </c>
      <c r="BZ2175" s="437">
        <v>16.29</v>
      </c>
      <c r="CA2175" s="437">
        <v>20.36</v>
      </c>
      <c r="CD2175" s="245" t="s">
        <v>2256</v>
      </c>
      <c r="CE2175" s="598">
        <v>16.29</v>
      </c>
      <c r="CF2175" s="598">
        <v>20.36</v>
      </c>
      <c r="CG2175" s="598"/>
      <c r="CH2175" s="598"/>
      <c r="CI2175" s="245" t="s">
        <v>4551</v>
      </c>
      <c r="CJ2175" s="245">
        <v>1.29</v>
      </c>
      <c r="CK2175" s="245">
        <v>1.75</v>
      </c>
      <c r="CN2175" s="245" t="s">
        <v>2256</v>
      </c>
      <c r="FU2175" s="246"/>
    </row>
    <row r="2176" spans="1:178" s="245" customFormat="1" x14ac:dyDescent="0.25">
      <c r="A2176" s="245">
        <v>100</v>
      </c>
      <c r="B2176" s="246" t="s">
        <v>4245</v>
      </c>
      <c r="C2176" s="245" t="s">
        <v>2152</v>
      </c>
      <c r="D2176" s="245" t="s">
        <v>2247</v>
      </c>
      <c r="E2176" s="245">
        <v>2000</v>
      </c>
      <c r="F2176" s="245">
        <v>1994</v>
      </c>
      <c r="G2176" s="245" t="s">
        <v>1749</v>
      </c>
      <c r="H2176" s="245" t="s">
        <v>2153</v>
      </c>
      <c r="I2176" s="245" t="s">
        <v>2818</v>
      </c>
      <c r="J2176" s="245">
        <f t="shared" si="326"/>
        <v>-30.85</v>
      </c>
      <c r="K2176" s="245">
        <f t="shared" si="328"/>
        <v>-51.633333333333333</v>
      </c>
      <c r="L2176" s="245">
        <v>96</v>
      </c>
      <c r="M2176" s="245">
        <v>19.399999999999999</v>
      </c>
      <c r="O2176" s="245">
        <v>1440</v>
      </c>
      <c r="R2176" s="245">
        <v>10</v>
      </c>
      <c r="S2176" s="245">
        <v>10</v>
      </c>
      <c r="U2176" s="245" t="s">
        <v>2250</v>
      </c>
      <c r="V2176" s="244" t="s">
        <v>2255</v>
      </c>
      <c r="W2176" s="245">
        <v>2.5</v>
      </c>
      <c r="X2176" s="244" t="s">
        <v>2252</v>
      </c>
      <c r="Y2176" s="244" t="s">
        <v>1389</v>
      </c>
      <c r="Z2176" s="245">
        <v>1.45</v>
      </c>
      <c r="AA2176" s="367">
        <v>54</v>
      </c>
      <c r="AB2176" s="367">
        <v>24</v>
      </c>
      <c r="AC2176" s="245" t="s">
        <v>518</v>
      </c>
      <c r="AG2176" s="245" t="s">
        <v>2154</v>
      </c>
      <c r="AH2176" s="245" t="s">
        <v>2155</v>
      </c>
      <c r="AI2176" s="245" t="s">
        <v>1583</v>
      </c>
      <c r="AJ2176" s="245" t="s">
        <v>2249</v>
      </c>
      <c r="AK2176" s="245" t="s">
        <v>1620</v>
      </c>
      <c r="AL2176" s="245" t="s">
        <v>2248</v>
      </c>
      <c r="AM2176" s="245" t="s">
        <v>2156</v>
      </c>
      <c r="AN2176" s="245" t="s">
        <v>177</v>
      </c>
      <c r="AO2176" s="245" t="s">
        <v>1046</v>
      </c>
      <c r="AP2176" s="245" t="s">
        <v>1046</v>
      </c>
      <c r="AQ2176" s="245" t="s">
        <v>2126</v>
      </c>
      <c r="AR2176" s="245" t="s">
        <v>2126</v>
      </c>
      <c r="AS2176" s="245" t="s">
        <v>177</v>
      </c>
      <c r="AW2176" s="245" t="s">
        <v>160</v>
      </c>
      <c r="AX2176" s="245">
        <v>3</v>
      </c>
      <c r="AZ2176" s="245" t="s">
        <v>141</v>
      </c>
      <c r="BN2176" s="248"/>
      <c r="BP2176" s="453"/>
      <c r="BQ2176" s="437"/>
      <c r="BU2176" s="451">
        <f t="shared" si="322"/>
        <v>4.3117241379310345</v>
      </c>
      <c r="BV2176" s="451">
        <f t="shared" si="323"/>
        <v>5.1337931034482764</v>
      </c>
      <c r="BZ2176" s="437">
        <v>15.63</v>
      </c>
      <c r="CA2176" s="437">
        <v>18.61</v>
      </c>
      <c r="CD2176" s="245" t="s">
        <v>2256</v>
      </c>
      <c r="CE2176" s="598">
        <v>15.63</v>
      </c>
      <c r="CF2176" s="598">
        <v>18.61</v>
      </c>
      <c r="CG2176" s="598"/>
      <c r="CH2176" s="598"/>
      <c r="CI2176" s="245" t="s">
        <v>4551</v>
      </c>
      <c r="CJ2176" s="245">
        <v>1.33</v>
      </c>
      <c r="CK2176" s="245">
        <v>1.58</v>
      </c>
      <c r="CN2176" s="245" t="s">
        <v>2256</v>
      </c>
      <c r="FU2176" s="246"/>
    </row>
    <row r="2177" spans="1:177" s="245" customFormat="1" x14ac:dyDescent="0.25">
      <c r="A2177" s="245">
        <v>100</v>
      </c>
      <c r="B2177" s="246" t="s">
        <v>4246</v>
      </c>
      <c r="C2177" s="245" t="s">
        <v>2152</v>
      </c>
      <c r="D2177" s="245" t="s">
        <v>2247</v>
      </c>
      <c r="E2177" s="245">
        <v>2000</v>
      </c>
      <c r="F2177" s="245">
        <v>1994</v>
      </c>
      <c r="G2177" s="245" t="s">
        <v>1749</v>
      </c>
      <c r="H2177" s="245" t="s">
        <v>2153</v>
      </c>
      <c r="I2177" s="245" t="s">
        <v>2818</v>
      </c>
      <c r="J2177" s="245">
        <f t="shared" si="326"/>
        <v>-30.85</v>
      </c>
      <c r="K2177" s="245">
        <f t="shared" si="328"/>
        <v>-51.633333333333333</v>
      </c>
      <c r="L2177" s="245">
        <v>96</v>
      </c>
      <c r="M2177" s="245">
        <v>19.399999999999999</v>
      </c>
      <c r="O2177" s="245">
        <v>1440</v>
      </c>
      <c r="R2177" s="245">
        <v>10</v>
      </c>
      <c r="S2177" s="245">
        <v>10</v>
      </c>
      <c r="U2177" s="245" t="s">
        <v>2250</v>
      </c>
      <c r="V2177" s="244" t="s">
        <v>1409</v>
      </c>
      <c r="W2177" s="245">
        <v>5</v>
      </c>
      <c r="X2177" s="244" t="s">
        <v>2252</v>
      </c>
      <c r="Y2177" s="244" t="s">
        <v>1389</v>
      </c>
      <c r="Z2177" s="245">
        <v>1.45</v>
      </c>
      <c r="AA2177" s="367">
        <v>54</v>
      </c>
      <c r="AB2177" s="367">
        <v>24</v>
      </c>
      <c r="AC2177" s="245" t="s">
        <v>518</v>
      </c>
      <c r="AG2177" s="245" t="s">
        <v>2154</v>
      </c>
      <c r="AH2177" s="245" t="s">
        <v>2155</v>
      </c>
      <c r="AI2177" s="245" t="s">
        <v>1583</v>
      </c>
      <c r="AJ2177" s="245" t="s">
        <v>2249</v>
      </c>
      <c r="AK2177" s="245" t="s">
        <v>1620</v>
      </c>
      <c r="AL2177" s="245" t="s">
        <v>2248</v>
      </c>
      <c r="AM2177" s="245" t="s">
        <v>2156</v>
      </c>
      <c r="AN2177" s="245" t="s">
        <v>177</v>
      </c>
      <c r="AO2177" s="245" t="s">
        <v>1046</v>
      </c>
      <c r="AP2177" s="245" t="s">
        <v>1046</v>
      </c>
      <c r="AQ2177" s="245" t="s">
        <v>2126</v>
      </c>
      <c r="AR2177" s="245" t="s">
        <v>2126</v>
      </c>
      <c r="AS2177" s="245" t="s">
        <v>177</v>
      </c>
      <c r="AW2177" s="245" t="s">
        <v>160</v>
      </c>
      <c r="AX2177" s="245">
        <v>3</v>
      </c>
      <c r="AZ2177" s="245" t="s">
        <v>141</v>
      </c>
      <c r="BN2177" s="248"/>
      <c r="BP2177" s="453"/>
      <c r="BQ2177" s="437"/>
      <c r="BU2177" s="451">
        <f t="shared" si="322"/>
        <v>2.0468965517241382</v>
      </c>
      <c r="BV2177" s="451">
        <f t="shared" si="323"/>
        <v>2.3089655172413792</v>
      </c>
      <c r="BZ2177" s="437">
        <v>14.84</v>
      </c>
      <c r="CA2177" s="437">
        <v>16.739999999999998</v>
      </c>
      <c r="CD2177" s="245" t="s">
        <v>2256</v>
      </c>
      <c r="CE2177" s="598">
        <v>14.84</v>
      </c>
      <c r="CF2177" s="598">
        <v>16.739999999999998</v>
      </c>
      <c r="CG2177" s="598"/>
      <c r="CH2177" s="598"/>
      <c r="CI2177" s="245" t="s">
        <v>4551</v>
      </c>
      <c r="CJ2177" s="245">
        <v>1.28</v>
      </c>
      <c r="CK2177" s="245">
        <v>1.43</v>
      </c>
      <c r="CN2177" s="245" t="s">
        <v>2256</v>
      </c>
      <c r="FU2177" s="246"/>
    </row>
    <row r="2178" spans="1:177" s="245" customFormat="1" x14ac:dyDescent="0.25">
      <c r="A2178" s="245">
        <v>100</v>
      </c>
      <c r="B2178" s="246" t="s">
        <v>4247</v>
      </c>
      <c r="C2178" s="245" t="s">
        <v>2152</v>
      </c>
      <c r="D2178" s="245" t="s">
        <v>2247</v>
      </c>
      <c r="E2178" s="245">
        <v>2000</v>
      </c>
      <c r="F2178" s="245">
        <v>1994</v>
      </c>
      <c r="G2178" s="245" t="s">
        <v>1749</v>
      </c>
      <c r="H2178" s="245" t="s">
        <v>2153</v>
      </c>
      <c r="I2178" s="245" t="s">
        <v>2818</v>
      </c>
      <c r="J2178" s="245">
        <f t="shared" si="326"/>
        <v>-30.85</v>
      </c>
      <c r="K2178" s="245">
        <f t="shared" si="328"/>
        <v>-51.633333333333333</v>
      </c>
      <c r="L2178" s="245">
        <v>96</v>
      </c>
      <c r="M2178" s="245">
        <v>19.399999999999999</v>
      </c>
      <c r="O2178" s="245">
        <v>1440</v>
      </c>
      <c r="R2178" s="245">
        <v>10</v>
      </c>
      <c r="S2178" s="245">
        <v>10</v>
      </c>
      <c r="U2178" s="245" t="s">
        <v>2250</v>
      </c>
      <c r="V2178" s="244" t="s">
        <v>1390</v>
      </c>
      <c r="W2178" s="245">
        <v>15</v>
      </c>
      <c r="X2178" s="244" t="s">
        <v>2252</v>
      </c>
      <c r="Y2178" s="244" t="s">
        <v>1389</v>
      </c>
      <c r="Z2178" s="245">
        <v>1.45</v>
      </c>
      <c r="AA2178" s="367">
        <v>54</v>
      </c>
      <c r="AB2178" s="367">
        <v>24</v>
      </c>
      <c r="AC2178" s="245" t="s">
        <v>518</v>
      </c>
      <c r="AG2178" s="245" t="s">
        <v>2154</v>
      </c>
      <c r="AH2178" s="245" t="s">
        <v>2155</v>
      </c>
      <c r="AI2178" s="245" t="s">
        <v>1583</v>
      </c>
      <c r="AJ2178" s="245" t="s">
        <v>2249</v>
      </c>
      <c r="AK2178" s="245" t="s">
        <v>1620</v>
      </c>
      <c r="AL2178" s="245" t="s">
        <v>2248</v>
      </c>
      <c r="AM2178" s="245" t="s">
        <v>2156</v>
      </c>
      <c r="AN2178" s="245" t="s">
        <v>177</v>
      </c>
      <c r="AO2178" s="245" t="s">
        <v>1046</v>
      </c>
      <c r="AP2178" s="245" t="s">
        <v>1046</v>
      </c>
      <c r="AQ2178" s="245" t="s">
        <v>2126</v>
      </c>
      <c r="AR2178" s="245" t="s">
        <v>2126</v>
      </c>
      <c r="AS2178" s="245" t="s">
        <v>177</v>
      </c>
      <c r="AW2178" s="245" t="s">
        <v>160</v>
      </c>
      <c r="AX2178" s="245">
        <v>3</v>
      </c>
      <c r="AZ2178" s="245" t="s">
        <v>141</v>
      </c>
      <c r="BN2178" s="248"/>
      <c r="BP2178" s="453"/>
      <c r="BQ2178" s="437"/>
      <c r="BU2178" s="451">
        <f t="shared" si="322"/>
        <v>0.74022988505747134</v>
      </c>
      <c r="BV2178" s="451">
        <f t="shared" si="323"/>
        <v>0.69011494252873562</v>
      </c>
      <c r="BZ2178" s="437">
        <v>16.100000000000001</v>
      </c>
      <c r="CA2178" s="437">
        <v>15.01</v>
      </c>
      <c r="CD2178" s="245" t="s">
        <v>2256</v>
      </c>
      <c r="CE2178" s="598">
        <v>16.100000000000001</v>
      </c>
      <c r="CF2178" s="598">
        <v>15.01</v>
      </c>
      <c r="CG2178" s="598"/>
      <c r="CH2178" s="598"/>
      <c r="CI2178" s="245" t="s">
        <v>4551</v>
      </c>
      <c r="CJ2178" s="245">
        <v>1.0900000000000001</v>
      </c>
      <c r="CK2178" s="245">
        <v>1.1200000000000001</v>
      </c>
      <c r="CN2178" s="245" t="s">
        <v>2256</v>
      </c>
      <c r="FU2178" s="246"/>
    </row>
    <row r="2179" spans="1:177" s="164" customFormat="1" x14ac:dyDescent="0.25">
      <c r="A2179" s="164">
        <v>101</v>
      </c>
      <c r="B2179" s="165" t="s">
        <v>4248</v>
      </c>
      <c r="C2179" s="164" t="s">
        <v>2157</v>
      </c>
      <c r="E2179" s="164">
        <v>2010</v>
      </c>
      <c r="F2179" s="164">
        <v>1997</v>
      </c>
      <c r="G2179" s="164" t="s">
        <v>2158</v>
      </c>
      <c r="H2179" s="164" t="s">
        <v>2159</v>
      </c>
      <c r="I2179" s="164" t="s">
        <v>2819</v>
      </c>
      <c r="J2179" s="164">
        <f>48+19/60</f>
        <v>48.31666666666667</v>
      </c>
      <c r="K2179" s="164">
        <f>2+23/60</f>
        <v>2.3833333333333333</v>
      </c>
      <c r="L2179" s="164">
        <v>512</v>
      </c>
      <c r="M2179" s="164">
        <v>11.5</v>
      </c>
      <c r="O2179" s="164">
        <v>604</v>
      </c>
      <c r="R2179" s="164">
        <v>7</v>
      </c>
      <c r="S2179" s="164">
        <v>16</v>
      </c>
      <c r="U2179" s="164" t="s">
        <v>2008</v>
      </c>
      <c r="V2179" s="185" t="s">
        <v>1389</v>
      </c>
      <c r="W2179" s="164">
        <v>30</v>
      </c>
      <c r="Z2179" s="317">
        <v>1.42</v>
      </c>
      <c r="AA2179" s="381"/>
      <c r="AB2179" s="381"/>
      <c r="AG2179" s="164" t="s">
        <v>2160</v>
      </c>
      <c r="AH2179" s="164" t="s">
        <v>2161</v>
      </c>
      <c r="AI2179" s="164" t="s">
        <v>1129</v>
      </c>
      <c r="AJ2179" s="164" t="s">
        <v>2264</v>
      </c>
      <c r="AK2179" s="164" t="s">
        <v>1653</v>
      </c>
      <c r="AL2179" s="164" t="s">
        <v>2162</v>
      </c>
      <c r="AM2179" s="164" t="s">
        <v>2162</v>
      </c>
      <c r="AN2179" s="164" t="s">
        <v>177</v>
      </c>
      <c r="AO2179" s="164" t="s">
        <v>2018</v>
      </c>
      <c r="AQ2179" s="164" t="s">
        <v>2125</v>
      </c>
      <c r="AR2179" s="164" t="s">
        <v>2125</v>
      </c>
      <c r="AT2179" s="164" t="s">
        <v>2163</v>
      </c>
      <c r="AW2179" s="185" t="s">
        <v>160</v>
      </c>
      <c r="AX2179" s="164">
        <v>3</v>
      </c>
      <c r="AY2179" s="164">
        <v>6</v>
      </c>
      <c r="AZ2179" s="164" t="s">
        <v>141</v>
      </c>
      <c r="BK2179" s="164">
        <f>(15.4+12+9)/3*1000</f>
        <v>12133.333333333332</v>
      </c>
      <c r="BL2179" s="164">
        <f>(15.9+12.6+9.1)/3*1000</f>
        <v>12533.333333333334</v>
      </c>
      <c r="BN2179" s="166"/>
      <c r="BO2179" s="164" t="s">
        <v>2271</v>
      </c>
      <c r="BP2179" s="433"/>
      <c r="BQ2179" s="433"/>
      <c r="BU2179" s="451">
        <f t="shared" si="322"/>
        <v>1.0492957746478873</v>
      </c>
      <c r="BV2179" s="451">
        <f t="shared" si="323"/>
        <v>1.0727699530516432</v>
      </c>
      <c r="BW2179" s="164">
        <f t="shared" ref="BW2179:BX2184" si="329">BU2179*(CB2179/BZ2179)</f>
        <v>5.692185752573773E-2</v>
      </c>
      <c r="BX2179" s="164">
        <f t="shared" si="329"/>
        <v>4.4724316627365382E-2</v>
      </c>
      <c r="BZ2179" s="433">
        <v>44.7</v>
      </c>
      <c r="CA2179" s="433">
        <v>45.7</v>
      </c>
      <c r="CB2179" s="164">
        <f>SQRT(3)*1.4</f>
        <v>2.4248711305964279</v>
      </c>
      <c r="CC2179" s="164">
        <f>SQRT(3)*1.1</f>
        <v>1.9052558883257651</v>
      </c>
      <c r="CD2179" s="164" t="s">
        <v>2095</v>
      </c>
      <c r="CE2179" s="586">
        <v>44.7</v>
      </c>
      <c r="CF2179" s="586">
        <v>45.7</v>
      </c>
      <c r="CG2179" s="586">
        <v>2.4248711305964279</v>
      </c>
      <c r="CH2179" s="586">
        <v>1.9052558883257651</v>
      </c>
      <c r="CI2179" s="164" t="s">
        <v>4551</v>
      </c>
      <c r="CJ2179" s="164">
        <v>4.8499999999999996</v>
      </c>
      <c r="CK2179" s="164">
        <v>5.07</v>
      </c>
      <c r="CL2179" s="164">
        <f>SQRT(3)*0.06</f>
        <v>0.10392304845413262</v>
      </c>
      <c r="CM2179" s="164">
        <f>SQRT(3)*0.1</f>
        <v>0.17320508075688773</v>
      </c>
      <c r="CN2179" s="164" t="s">
        <v>2259</v>
      </c>
      <c r="EW2179" s="164">
        <v>143</v>
      </c>
      <c r="EX2179" s="164">
        <v>140</v>
      </c>
      <c r="FA2179" s="164" t="s">
        <v>2272</v>
      </c>
      <c r="FB2179" s="164">
        <v>29</v>
      </c>
      <c r="FC2179" s="164">
        <v>18</v>
      </c>
      <c r="FF2179" s="164" t="s">
        <v>2273</v>
      </c>
      <c r="FU2179" s="165"/>
    </row>
    <row r="2180" spans="1:177" s="164" customFormat="1" x14ac:dyDescent="0.25">
      <c r="A2180" s="164">
        <v>101</v>
      </c>
      <c r="B2180" s="165" t="s">
        <v>4249</v>
      </c>
      <c r="C2180" s="164" t="s">
        <v>2157</v>
      </c>
      <c r="E2180" s="164">
        <v>2010</v>
      </c>
      <c r="F2180" s="164">
        <v>1997</v>
      </c>
      <c r="G2180" s="164" t="s">
        <v>2158</v>
      </c>
      <c r="H2180" s="164" t="s">
        <v>2159</v>
      </c>
      <c r="I2180" s="164" t="s">
        <v>2819</v>
      </c>
      <c r="J2180" s="164">
        <f>48+19/60</f>
        <v>48.31666666666667</v>
      </c>
      <c r="K2180" s="164">
        <f>2+23/60</f>
        <v>2.3833333333333333</v>
      </c>
      <c r="L2180" s="164">
        <v>512</v>
      </c>
      <c r="M2180" s="164">
        <v>11.5</v>
      </c>
      <c r="O2180" s="164">
        <v>604</v>
      </c>
      <c r="R2180" s="164">
        <v>7</v>
      </c>
      <c r="S2180" s="164">
        <v>16</v>
      </c>
      <c r="U2180" s="164" t="s">
        <v>2008</v>
      </c>
      <c r="V2180" s="185" t="s">
        <v>2164</v>
      </c>
      <c r="W2180" s="164">
        <v>28</v>
      </c>
      <c r="Z2180" s="317">
        <v>1.52</v>
      </c>
      <c r="AA2180" s="381"/>
      <c r="AB2180" s="381"/>
      <c r="AG2180" s="164" t="s">
        <v>2160</v>
      </c>
      <c r="AH2180" s="164" t="s">
        <v>2161</v>
      </c>
      <c r="AI2180" s="164" t="s">
        <v>1129</v>
      </c>
      <c r="AJ2180" s="164" t="s">
        <v>2264</v>
      </c>
      <c r="AK2180" s="164" t="s">
        <v>1653</v>
      </c>
      <c r="AL2180" s="164" t="s">
        <v>2162</v>
      </c>
      <c r="AM2180" s="164" t="s">
        <v>2162</v>
      </c>
      <c r="AN2180" s="164" t="s">
        <v>177</v>
      </c>
      <c r="AO2180" s="164" t="s">
        <v>1046</v>
      </c>
      <c r="AQ2180" s="164" t="s">
        <v>2126</v>
      </c>
      <c r="AR2180" s="164" t="s">
        <v>2126</v>
      </c>
      <c r="AT2180" s="164" t="s">
        <v>2163</v>
      </c>
      <c r="AW2180" s="185" t="s">
        <v>160</v>
      </c>
      <c r="AX2180" s="164">
        <v>3</v>
      </c>
      <c r="AY2180" s="164">
        <v>6</v>
      </c>
      <c r="AZ2180" s="164" t="s">
        <v>141</v>
      </c>
      <c r="BK2180" s="164">
        <f>(15.1+12.4+7.2)/3*1000</f>
        <v>11566.666666666668</v>
      </c>
      <c r="BL2180" s="164">
        <f>(15.6+12.4+6.9)/3*1000</f>
        <v>11633.333333333332</v>
      </c>
      <c r="BN2180" s="166"/>
      <c r="BO2180" s="164" t="s">
        <v>2271</v>
      </c>
      <c r="BP2180" s="433"/>
      <c r="BQ2180" s="433"/>
      <c r="BU2180" s="451">
        <f t="shared" si="322"/>
        <v>1.0385338345864663</v>
      </c>
      <c r="BV2180" s="451">
        <f t="shared" si="323"/>
        <v>1.0596804511278195</v>
      </c>
      <c r="BW2180" s="164">
        <f t="shared" si="329"/>
        <v>4.8836019010400675E-2</v>
      </c>
      <c r="BX2180" s="164">
        <f t="shared" si="329"/>
        <v>6.9184360264734276E-2</v>
      </c>
      <c r="BZ2180" s="433">
        <v>44.2</v>
      </c>
      <c r="CA2180" s="433">
        <v>45.1</v>
      </c>
      <c r="CB2180" s="164">
        <f>SQRT(3)*1.2</f>
        <v>2.0784609690826525</v>
      </c>
      <c r="CC2180" s="164">
        <f>SQRT(3)*1.7</f>
        <v>2.9444863728670914</v>
      </c>
      <c r="CD2180" s="164" t="s">
        <v>2095</v>
      </c>
      <c r="CE2180" s="586">
        <v>44.2</v>
      </c>
      <c r="CF2180" s="586">
        <v>45.1</v>
      </c>
      <c r="CG2180" s="586">
        <v>2.0784609690826525</v>
      </c>
      <c r="CH2180" s="586">
        <v>2.9444863728670914</v>
      </c>
      <c r="CI2180" s="164" t="s">
        <v>4551</v>
      </c>
      <c r="CJ2180" s="164">
        <v>4.8600000000000003</v>
      </c>
      <c r="CK2180" s="164">
        <v>5.0199999999999996</v>
      </c>
      <c r="CL2180" s="164">
        <f>SQRT(3)*0.15</f>
        <v>0.25980762113533157</v>
      </c>
      <c r="CM2180" s="164">
        <f>SQRT(3)*0.13</f>
        <v>0.22516660498395405</v>
      </c>
      <c r="CN2180" s="164" t="s">
        <v>2259</v>
      </c>
      <c r="EW2180" s="164">
        <v>143</v>
      </c>
      <c r="EX2180" s="164">
        <v>140</v>
      </c>
      <c r="FA2180" s="164" t="s">
        <v>2272</v>
      </c>
      <c r="FB2180" s="164">
        <v>21</v>
      </c>
      <c r="FC2180" s="164">
        <v>14</v>
      </c>
      <c r="FF2180" s="164" t="s">
        <v>2273</v>
      </c>
      <c r="FU2180" s="165"/>
    </row>
    <row r="2181" spans="1:177" s="224" customFormat="1" x14ac:dyDescent="0.25">
      <c r="A2181" s="224">
        <v>101</v>
      </c>
      <c r="B2181" s="226" t="s">
        <v>4250</v>
      </c>
      <c r="C2181" s="224" t="s">
        <v>2157</v>
      </c>
      <c r="E2181" s="224">
        <v>2010</v>
      </c>
      <c r="F2181" s="224">
        <v>1997</v>
      </c>
      <c r="G2181" s="224" t="s">
        <v>2158</v>
      </c>
      <c r="H2181" s="224" t="s">
        <v>2165</v>
      </c>
      <c r="I2181" s="164" t="s">
        <v>2819</v>
      </c>
      <c r="J2181" s="224">
        <f>48+3/60</f>
        <v>48.05</v>
      </c>
      <c r="K2181" s="224">
        <f>-4-4/60</f>
        <v>-4.0666666666666664</v>
      </c>
      <c r="L2181" s="224">
        <v>105</v>
      </c>
      <c r="M2181" s="224">
        <v>12.1</v>
      </c>
      <c r="O2181" s="224">
        <v>1213</v>
      </c>
      <c r="R2181" s="224">
        <v>7</v>
      </c>
      <c r="S2181" s="224">
        <v>13</v>
      </c>
      <c r="U2181" s="224" t="s">
        <v>2258</v>
      </c>
      <c r="V2181" s="223" t="s">
        <v>1389</v>
      </c>
      <c r="W2181" s="224">
        <v>30</v>
      </c>
      <c r="Z2181" s="386">
        <v>1.26</v>
      </c>
      <c r="AA2181" s="377"/>
      <c r="AB2181" s="377"/>
      <c r="AG2181" s="224" t="s">
        <v>2166</v>
      </c>
      <c r="AH2181" s="224" t="s">
        <v>2167</v>
      </c>
      <c r="AI2181" s="224" t="s">
        <v>131</v>
      </c>
      <c r="AJ2181" s="224" t="s">
        <v>2261</v>
      </c>
      <c r="AK2181" s="224" t="s">
        <v>1612</v>
      </c>
      <c r="AL2181" s="224" t="s">
        <v>2260</v>
      </c>
      <c r="AM2181" s="224" t="s">
        <v>2260</v>
      </c>
      <c r="AN2181" s="224" t="s">
        <v>177</v>
      </c>
      <c r="AO2181" s="224" t="s">
        <v>2018</v>
      </c>
      <c r="AQ2181" s="224" t="s">
        <v>2125</v>
      </c>
      <c r="AR2181" s="224" t="s">
        <v>2125</v>
      </c>
      <c r="AT2181" s="224" t="s">
        <v>2168</v>
      </c>
      <c r="AW2181" s="223" t="s">
        <v>160</v>
      </c>
      <c r="AX2181" s="224">
        <v>3</v>
      </c>
      <c r="AY2181" s="224">
        <v>6</v>
      </c>
      <c r="AZ2181" s="224" t="s">
        <v>141</v>
      </c>
      <c r="BK2181" s="224">
        <f>(11.9+14.4)/2*1000</f>
        <v>13150</v>
      </c>
      <c r="BL2181" s="224">
        <f>(12.2+14.7)/2*1000</f>
        <v>13450</v>
      </c>
      <c r="BN2181" s="228"/>
      <c r="BO2181" s="224" t="s">
        <v>2271</v>
      </c>
      <c r="BP2181" s="441"/>
      <c r="BQ2181" s="441"/>
      <c r="BU2181" s="451">
        <f t="shared" si="322"/>
        <v>2.6084656084656084</v>
      </c>
      <c r="BV2181" s="451">
        <f t="shared" si="323"/>
        <v>2.7222222222222219</v>
      </c>
      <c r="BW2181" s="164">
        <f t="shared" si="329"/>
        <v>0.1191357698327799</v>
      </c>
      <c r="BX2181" s="164">
        <f t="shared" si="329"/>
        <v>0.1283000598199168</v>
      </c>
      <c r="BZ2181" s="441">
        <v>98.6</v>
      </c>
      <c r="CA2181" s="441">
        <v>102.9</v>
      </c>
      <c r="CB2181" s="224">
        <f>SQRT(3)*2.6</f>
        <v>4.5033320996790804</v>
      </c>
      <c r="CC2181" s="224">
        <f>SQRT(3)*2.8</f>
        <v>4.8497422611928558</v>
      </c>
      <c r="CD2181" s="224" t="s">
        <v>2095</v>
      </c>
      <c r="CE2181" s="599">
        <v>98.6</v>
      </c>
      <c r="CF2181" s="599">
        <v>102.9</v>
      </c>
      <c r="CG2181" s="599">
        <v>4.5033320996790804</v>
      </c>
      <c r="CH2181" s="599">
        <v>4.8497422611928558</v>
      </c>
      <c r="CI2181" s="224" t="s">
        <v>4551</v>
      </c>
      <c r="CJ2181" s="224">
        <v>9.1999999999999993</v>
      </c>
      <c r="CK2181" s="224">
        <v>9.52</v>
      </c>
      <c r="CL2181" s="224">
        <f>SQRT(3)*0.23</f>
        <v>0.39837168574084175</v>
      </c>
      <c r="CM2181" s="224">
        <f>SQRT(3)*0.25</f>
        <v>0.4330127018922193</v>
      </c>
      <c r="CN2181" s="224" t="s">
        <v>2259</v>
      </c>
      <c r="EW2181" s="224">
        <v>593</v>
      </c>
      <c r="EX2181" s="224">
        <v>563</v>
      </c>
      <c r="FA2181" s="224" t="s">
        <v>2272</v>
      </c>
      <c r="FB2181" s="224">
        <v>71</v>
      </c>
      <c r="FC2181" s="224">
        <v>39</v>
      </c>
      <c r="FF2181" s="224" t="s">
        <v>2273</v>
      </c>
      <c r="FU2181" s="226"/>
    </row>
    <row r="2182" spans="1:177" s="164" customFormat="1" x14ac:dyDescent="0.25">
      <c r="A2182" s="164">
        <v>101</v>
      </c>
      <c r="B2182" s="165" t="s">
        <v>4251</v>
      </c>
      <c r="C2182" s="164" t="s">
        <v>2157</v>
      </c>
      <c r="E2182" s="164">
        <v>2010</v>
      </c>
      <c r="F2182" s="164">
        <v>1997</v>
      </c>
      <c r="G2182" s="164" t="s">
        <v>2158</v>
      </c>
      <c r="H2182" s="164" t="s">
        <v>2169</v>
      </c>
      <c r="I2182" s="164" t="s">
        <v>2819</v>
      </c>
      <c r="J2182" s="164">
        <v>48.93</v>
      </c>
      <c r="K2182" s="164">
        <f>4+14/60</f>
        <v>4.2333333333333334</v>
      </c>
      <c r="L2182" s="164">
        <v>203</v>
      </c>
      <c r="M2182" s="164">
        <v>10.8</v>
      </c>
      <c r="O2182" s="164">
        <v>605</v>
      </c>
      <c r="R2182" s="164">
        <v>7</v>
      </c>
      <c r="S2182" s="164">
        <v>17</v>
      </c>
      <c r="U2182" s="164" t="s">
        <v>2257</v>
      </c>
      <c r="V2182" s="185" t="s">
        <v>1389</v>
      </c>
      <c r="W2182" s="164">
        <v>30</v>
      </c>
      <c r="Z2182" s="317">
        <v>1.4</v>
      </c>
      <c r="AA2182" s="381"/>
      <c r="AB2182" s="381"/>
      <c r="AC2182" s="164" t="s">
        <v>139</v>
      </c>
      <c r="AG2182" s="164" t="s">
        <v>2170</v>
      </c>
      <c r="AH2182" s="164" t="s">
        <v>2171</v>
      </c>
      <c r="AI2182" s="164" t="s">
        <v>2262</v>
      </c>
      <c r="AJ2182" s="164" t="s">
        <v>2265</v>
      </c>
      <c r="AK2182" s="164" t="s">
        <v>1653</v>
      </c>
      <c r="AL2182" s="164" t="s">
        <v>2172</v>
      </c>
      <c r="AM2182" s="164" t="s">
        <v>2172</v>
      </c>
      <c r="AN2182" s="164" t="s">
        <v>177</v>
      </c>
      <c r="AO2182" s="164" t="s">
        <v>2018</v>
      </c>
      <c r="AQ2182" s="164" t="s">
        <v>2125</v>
      </c>
      <c r="AR2182" s="164" t="s">
        <v>2125</v>
      </c>
      <c r="AT2182" s="164" t="s">
        <v>2173</v>
      </c>
      <c r="AW2182" s="185" t="s">
        <v>160</v>
      </c>
      <c r="AX2182" s="164">
        <v>3</v>
      </c>
      <c r="AY2182" s="164">
        <v>6</v>
      </c>
      <c r="AZ2182" s="164" t="s">
        <v>141</v>
      </c>
      <c r="BK2182" s="164">
        <f>(22.8+14.7+8.1)/3*1000</f>
        <v>15200.000000000002</v>
      </c>
      <c r="BL2182" s="164">
        <f>(21.8+13.8+8.5)/3*1000</f>
        <v>14700.000000000002</v>
      </c>
      <c r="BN2182" s="166"/>
      <c r="BO2182" s="164" t="s">
        <v>2271</v>
      </c>
      <c r="BP2182" s="433"/>
      <c r="BQ2182" s="433"/>
      <c r="BU2182" s="451">
        <f t="shared" si="322"/>
        <v>1.4214285714285715</v>
      </c>
      <c r="BV2182" s="451">
        <f t="shared" si="323"/>
        <v>1.4690476190476192</v>
      </c>
      <c r="BW2182" s="164">
        <f t="shared" si="329"/>
        <v>0.24743582965269678</v>
      </c>
      <c r="BX2182" s="164">
        <f t="shared" si="329"/>
        <v>0.16083328927425289</v>
      </c>
      <c r="BZ2182" s="433">
        <v>59.7</v>
      </c>
      <c r="CA2182" s="433">
        <v>61.7</v>
      </c>
      <c r="CB2182" s="164">
        <f>SQRT(3)*6</f>
        <v>10.392304845413264</v>
      </c>
      <c r="CC2182" s="164">
        <f>SQRT(3)*3.9</f>
        <v>6.7549981495186211</v>
      </c>
      <c r="CD2182" s="164" t="s">
        <v>2095</v>
      </c>
      <c r="CE2182" s="586">
        <v>59.7</v>
      </c>
      <c r="CF2182" s="586">
        <v>61.7</v>
      </c>
      <c r="CG2182" s="586">
        <v>10.392304845413264</v>
      </c>
      <c r="CH2182" s="586">
        <v>6.7549981495186211</v>
      </c>
      <c r="CI2182" s="164" t="s">
        <v>4551</v>
      </c>
      <c r="CJ2182" s="164">
        <v>6.34</v>
      </c>
      <c r="CK2182" s="164">
        <v>6.72</v>
      </c>
      <c r="CL2182" s="164">
        <f>SQRT(3)*0.37</f>
        <v>0.64085879880048457</v>
      </c>
      <c r="CM2182" s="164">
        <f>SQRT(3)*0.26</f>
        <v>0.4503332099679081</v>
      </c>
      <c r="CN2182" s="164" t="s">
        <v>2259</v>
      </c>
      <c r="EW2182" s="164">
        <v>120</v>
      </c>
      <c r="EX2182" s="164">
        <v>94</v>
      </c>
      <c r="FA2182" s="164" t="s">
        <v>2272</v>
      </c>
      <c r="FB2182" s="164">
        <v>29</v>
      </c>
      <c r="FC2182" s="164">
        <v>11</v>
      </c>
      <c r="FF2182" s="164" t="s">
        <v>2273</v>
      </c>
      <c r="FU2182" s="165"/>
    </row>
    <row r="2183" spans="1:177" s="164" customFormat="1" x14ac:dyDescent="0.25">
      <c r="A2183" s="164">
        <v>101</v>
      </c>
      <c r="B2183" s="165" t="s">
        <v>4252</v>
      </c>
      <c r="C2183" s="164" t="s">
        <v>2157</v>
      </c>
      <c r="E2183" s="164">
        <v>2010</v>
      </c>
      <c r="F2183" s="164">
        <v>1997</v>
      </c>
      <c r="G2183" s="164" t="s">
        <v>2158</v>
      </c>
      <c r="H2183" s="164" t="s">
        <v>2169</v>
      </c>
      <c r="I2183" s="164" t="s">
        <v>2819</v>
      </c>
      <c r="J2183" s="164">
        <v>48.93</v>
      </c>
      <c r="K2183" s="164">
        <f t="shared" ref="K2183:K2184" si="330">4+14/60</f>
        <v>4.2333333333333334</v>
      </c>
      <c r="L2183" s="164">
        <v>203</v>
      </c>
      <c r="M2183" s="164">
        <v>10.8</v>
      </c>
      <c r="O2183" s="164">
        <v>605</v>
      </c>
      <c r="R2183" s="164">
        <v>7</v>
      </c>
      <c r="S2183" s="164">
        <v>17</v>
      </c>
      <c r="U2183" s="164" t="s">
        <v>2257</v>
      </c>
      <c r="V2183" s="185" t="s">
        <v>2174</v>
      </c>
      <c r="W2183" s="164">
        <v>23.5</v>
      </c>
      <c r="Z2183" s="317">
        <v>1.36</v>
      </c>
      <c r="AA2183" s="381"/>
      <c r="AB2183" s="381"/>
      <c r="AC2183" s="164" t="s">
        <v>139</v>
      </c>
      <c r="AG2183" s="164" t="s">
        <v>2170</v>
      </c>
      <c r="AH2183" s="164" t="s">
        <v>2171</v>
      </c>
      <c r="AI2183" s="164" t="s">
        <v>2262</v>
      </c>
      <c r="AJ2183" s="164" t="s">
        <v>2265</v>
      </c>
      <c r="AK2183" s="164" t="s">
        <v>1653</v>
      </c>
      <c r="AL2183" s="164" t="s">
        <v>2175</v>
      </c>
      <c r="AM2183" s="164" t="s">
        <v>2175</v>
      </c>
      <c r="AN2183" s="164" t="s">
        <v>177</v>
      </c>
      <c r="AO2183" s="164" t="s">
        <v>2018</v>
      </c>
      <c r="AQ2183" s="164" t="s">
        <v>2125</v>
      </c>
      <c r="AR2183" s="164" t="s">
        <v>2125</v>
      </c>
      <c r="AT2183" s="164" t="s">
        <v>2173</v>
      </c>
      <c r="AW2183" s="185" t="s">
        <v>160</v>
      </c>
      <c r="AX2183" s="164">
        <v>3</v>
      </c>
      <c r="AY2183" s="164">
        <v>6</v>
      </c>
      <c r="AZ2183" s="164" t="s">
        <v>141</v>
      </c>
      <c r="BK2183" s="164">
        <f>(20.5+11.8+7.6)/3*1000</f>
        <v>13299.999999999998</v>
      </c>
      <c r="BL2183" s="164">
        <f>(21.1+11.7+7.6)/3*1000</f>
        <v>13466.666666666666</v>
      </c>
      <c r="BN2183" s="166"/>
      <c r="BO2183" s="164" t="s">
        <v>2271</v>
      </c>
      <c r="BP2183" s="433"/>
      <c r="BQ2183" s="433"/>
      <c r="BU2183" s="451">
        <f t="shared" si="322"/>
        <v>1.5801001251564453</v>
      </c>
      <c r="BV2183" s="451">
        <f t="shared" si="323"/>
        <v>1.6426783479349185</v>
      </c>
      <c r="BW2183" s="164">
        <f t="shared" si="329"/>
        <v>0.21135788953437487</v>
      </c>
      <c r="BX2183" s="164">
        <f t="shared" si="329"/>
        <v>0.14090525968958323</v>
      </c>
      <c r="BZ2183" s="433">
        <v>50.5</v>
      </c>
      <c r="CA2183" s="433">
        <v>52.5</v>
      </c>
      <c r="CB2183" s="164">
        <f>SQRT(3)*3.9</f>
        <v>6.7549981495186211</v>
      </c>
      <c r="CC2183" s="164">
        <f>SQRT(3)*2.6</f>
        <v>4.5033320996790804</v>
      </c>
      <c r="CD2183" s="164" t="s">
        <v>2095</v>
      </c>
      <c r="CE2183" s="586">
        <v>50.5</v>
      </c>
      <c r="CF2183" s="586">
        <v>52.5</v>
      </c>
      <c r="CG2183" s="586">
        <v>6.7549981495186211</v>
      </c>
      <c r="CH2183" s="586">
        <v>4.5033320996790804</v>
      </c>
      <c r="CI2183" s="164" t="s">
        <v>4551</v>
      </c>
      <c r="CJ2183" s="164">
        <v>5.55</v>
      </c>
      <c r="CK2183" s="164">
        <v>5.77</v>
      </c>
      <c r="CL2183" s="164">
        <f>SQRT(3)*0.29</f>
        <v>0.50229473419497439</v>
      </c>
      <c r="CM2183" s="164">
        <f>SQRT(3)*0.11</f>
        <v>0.1905255888325765</v>
      </c>
      <c r="CN2183" s="164" t="s">
        <v>2259</v>
      </c>
      <c r="EW2183" s="164">
        <v>144</v>
      </c>
      <c r="EX2183" s="164">
        <v>123</v>
      </c>
      <c r="FA2183" s="164" t="s">
        <v>2272</v>
      </c>
      <c r="FB2183" s="164">
        <v>36</v>
      </c>
      <c r="FC2183" s="164">
        <v>15</v>
      </c>
      <c r="FF2183" s="164" t="s">
        <v>2273</v>
      </c>
      <c r="FU2183" s="165"/>
    </row>
    <row r="2184" spans="1:177" s="164" customFormat="1" x14ac:dyDescent="0.25">
      <c r="A2184" s="164">
        <v>101</v>
      </c>
      <c r="B2184" s="165" t="s">
        <v>4253</v>
      </c>
      <c r="C2184" s="164" t="s">
        <v>2157</v>
      </c>
      <c r="E2184" s="164">
        <v>2010</v>
      </c>
      <c r="F2184" s="164">
        <v>1997</v>
      </c>
      <c r="G2184" s="164" t="s">
        <v>2158</v>
      </c>
      <c r="H2184" s="164" t="s">
        <v>2169</v>
      </c>
      <c r="I2184" s="164" t="s">
        <v>2819</v>
      </c>
      <c r="J2184" s="164">
        <v>48.93</v>
      </c>
      <c r="K2184" s="164">
        <f t="shared" si="330"/>
        <v>4.2333333333333334</v>
      </c>
      <c r="L2184" s="164">
        <v>203</v>
      </c>
      <c r="M2184" s="164">
        <v>10.8</v>
      </c>
      <c r="O2184" s="164">
        <v>605</v>
      </c>
      <c r="R2184" s="164">
        <v>7</v>
      </c>
      <c r="S2184" s="164">
        <v>13</v>
      </c>
      <c r="U2184" s="164" t="s">
        <v>2258</v>
      </c>
      <c r="V2184" s="185" t="s">
        <v>2174</v>
      </c>
      <c r="W2184" s="164">
        <v>23.5</v>
      </c>
      <c r="Z2184" s="317">
        <v>1.36</v>
      </c>
      <c r="AA2184" s="381"/>
      <c r="AB2184" s="381"/>
      <c r="AC2184" s="164" t="s">
        <v>139</v>
      </c>
      <c r="AG2184" s="164" t="s">
        <v>2170</v>
      </c>
      <c r="AH2184" s="164" t="s">
        <v>2171</v>
      </c>
      <c r="AI2184" s="164" t="s">
        <v>2262</v>
      </c>
      <c r="AJ2184" s="164" t="s">
        <v>2265</v>
      </c>
      <c r="AK2184" s="164" t="s">
        <v>1653</v>
      </c>
      <c r="AL2184" s="164" t="s">
        <v>2175</v>
      </c>
      <c r="AM2184" s="164" t="s">
        <v>2175</v>
      </c>
      <c r="AN2184" s="164" t="s">
        <v>177</v>
      </c>
      <c r="AO2184" s="164" t="s">
        <v>2018</v>
      </c>
      <c r="AQ2184" s="164" t="s">
        <v>2125</v>
      </c>
      <c r="AR2184" s="164" t="s">
        <v>2125</v>
      </c>
      <c r="AT2184" s="164" t="s">
        <v>2176</v>
      </c>
      <c r="AW2184" s="185" t="s">
        <v>160</v>
      </c>
      <c r="AX2184" s="164">
        <v>3</v>
      </c>
      <c r="AY2184" s="164">
        <v>6</v>
      </c>
      <c r="AZ2184" s="164" t="s">
        <v>141</v>
      </c>
      <c r="BK2184" s="164">
        <f>20.5*1000</f>
        <v>20500</v>
      </c>
      <c r="BL2184" s="164">
        <f>21.1*1000</f>
        <v>21100</v>
      </c>
      <c r="BN2184" s="166"/>
      <c r="BO2184" s="164" t="s">
        <v>2271</v>
      </c>
      <c r="BP2184" s="433"/>
      <c r="BQ2184" s="433"/>
      <c r="BU2184" s="451">
        <f t="shared" si="322"/>
        <v>1.5707133917396743</v>
      </c>
      <c r="BV2184" s="451">
        <f t="shared" si="323"/>
        <v>1.6207759699624527</v>
      </c>
      <c r="BW2184" s="164">
        <f t="shared" si="329"/>
        <v>0.17342185807948704</v>
      </c>
      <c r="BX2184" s="164">
        <f t="shared" si="329"/>
        <v>0.10296922823469544</v>
      </c>
      <c r="BZ2184" s="433">
        <v>50.2</v>
      </c>
      <c r="CA2184" s="433">
        <v>51.8</v>
      </c>
      <c r="CB2184" s="164">
        <f>SQRT(3)*3.2</f>
        <v>5.5425625842204074</v>
      </c>
      <c r="CC2184" s="164">
        <f>SQRT(3)*1.9</f>
        <v>3.2908965343808667</v>
      </c>
      <c r="CD2184" s="164" t="s">
        <v>2095</v>
      </c>
      <c r="CE2184" s="586">
        <v>50.2</v>
      </c>
      <c r="CF2184" s="586">
        <v>51.8</v>
      </c>
      <c r="CG2184" s="586">
        <v>5.5425625842204074</v>
      </c>
      <c r="CH2184" s="586">
        <v>3.2908965343808667</v>
      </c>
      <c r="CI2184" s="164" t="s">
        <v>4551</v>
      </c>
      <c r="CJ2184" s="164">
        <v>5.44</v>
      </c>
      <c r="CK2184" s="164">
        <v>5.69</v>
      </c>
      <c r="CL2184" s="164">
        <f>SQRT(3)*0.18</f>
        <v>0.31176914536239786</v>
      </c>
      <c r="CM2184" s="164">
        <f>SQRT(3)*0.14</f>
        <v>0.24248711305964282</v>
      </c>
      <c r="CN2184" s="164" t="s">
        <v>2259</v>
      </c>
      <c r="EW2184" s="164">
        <v>144</v>
      </c>
      <c r="EX2184" s="164">
        <v>123</v>
      </c>
      <c r="FA2184" s="164" t="s">
        <v>2272</v>
      </c>
      <c r="FB2184" s="164">
        <v>31</v>
      </c>
      <c r="FC2184" s="164">
        <v>13</v>
      </c>
      <c r="FF2184" s="164" t="s">
        <v>2273</v>
      </c>
      <c r="FU2184" s="165"/>
    </row>
    <row r="2185" spans="1:177" s="388" customFormat="1" x14ac:dyDescent="0.25">
      <c r="A2185" s="388">
        <v>101</v>
      </c>
      <c r="B2185" s="392" t="s">
        <v>4254</v>
      </c>
      <c r="C2185" s="388" t="s">
        <v>2157</v>
      </c>
      <c r="E2185" s="388">
        <v>2010</v>
      </c>
      <c r="F2185" s="388">
        <v>2005</v>
      </c>
      <c r="G2185" s="388" t="s">
        <v>2158</v>
      </c>
      <c r="H2185" s="388" t="s">
        <v>2159</v>
      </c>
      <c r="I2185" s="164" t="s">
        <v>2819</v>
      </c>
      <c r="J2185" s="388">
        <f t="shared" ref="J2185:J2190" si="331">48+19/60</f>
        <v>48.31666666666667</v>
      </c>
      <c r="K2185" s="388">
        <f t="shared" ref="K2185:K2190" si="332">2+23/60</f>
        <v>2.3833333333333333</v>
      </c>
      <c r="L2185" s="388">
        <v>512</v>
      </c>
      <c r="M2185" s="388">
        <v>11.5</v>
      </c>
      <c r="O2185" s="388">
        <v>604</v>
      </c>
      <c r="R2185" s="388">
        <v>13</v>
      </c>
      <c r="S2185" s="388">
        <v>16</v>
      </c>
      <c r="U2185" s="388" t="s">
        <v>2008</v>
      </c>
      <c r="V2185" s="389" t="s">
        <v>1389</v>
      </c>
      <c r="W2185" s="388">
        <v>30</v>
      </c>
      <c r="AA2185" s="390"/>
      <c r="AB2185" s="390"/>
      <c r="AG2185" s="388" t="s">
        <v>2160</v>
      </c>
      <c r="AH2185" s="388" t="s">
        <v>2161</v>
      </c>
      <c r="AI2185" s="388" t="s">
        <v>1129</v>
      </c>
      <c r="AJ2185" s="388" t="s">
        <v>2266</v>
      </c>
      <c r="AK2185" s="388" t="s">
        <v>116</v>
      </c>
      <c r="AL2185" s="388" t="s">
        <v>2162</v>
      </c>
      <c r="AM2185" s="388" t="s">
        <v>2162</v>
      </c>
      <c r="AN2185" s="388" t="s">
        <v>177</v>
      </c>
      <c r="AO2185" s="388" t="s">
        <v>2018</v>
      </c>
      <c r="AQ2185" s="388" t="s">
        <v>2125</v>
      </c>
      <c r="AR2185" s="388" t="s">
        <v>2125</v>
      </c>
      <c r="AT2185" s="388" t="s">
        <v>2163</v>
      </c>
      <c r="AW2185" s="389" t="s">
        <v>160</v>
      </c>
      <c r="AX2185" s="388">
        <v>3</v>
      </c>
      <c r="AY2185" s="388">
        <v>6</v>
      </c>
      <c r="AZ2185" s="388" t="s">
        <v>141</v>
      </c>
      <c r="BK2185" s="388">
        <f>1000*15.7</f>
        <v>15700</v>
      </c>
      <c r="BL2185" s="388">
        <f>1000*15.6</f>
        <v>15600</v>
      </c>
      <c r="BN2185" s="391"/>
      <c r="BO2185" s="388" t="s">
        <v>2271</v>
      </c>
      <c r="BP2185" s="455"/>
      <c r="BQ2185" s="455"/>
      <c r="BU2185" s="455"/>
      <c r="BV2185" s="455"/>
      <c r="BZ2185" s="455"/>
      <c r="CA2185" s="455"/>
      <c r="CE2185" s="600"/>
      <c r="CF2185" s="600"/>
      <c r="CG2185" s="600"/>
      <c r="CH2185" s="600"/>
      <c r="FU2185" s="392"/>
    </row>
    <row r="2186" spans="1:177" s="388" customFormat="1" x14ac:dyDescent="0.25">
      <c r="A2186" s="388">
        <v>101</v>
      </c>
      <c r="B2186" s="392" t="s">
        <v>4255</v>
      </c>
      <c r="C2186" s="388" t="s">
        <v>2157</v>
      </c>
      <c r="E2186" s="388">
        <v>2010</v>
      </c>
      <c r="F2186" s="388">
        <v>2005</v>
      </c>
      <c r="G2186" s="388" t="s">
        <v>2158</v>
      </c>
      <c r="H2186" s="388" t="s">
        <v>2159</v>
      </c>
      <c r="I2186" s="164" t="s">
        <v>2819</v>
      </c>
      <c r="J2186" s="388">
        <f t="shared" si="331"/>
        <v>48.31666666666667</v>
      </c>
      <c r="K2186" s="388">
        <f t="shared" si="332"/>
        <v>2.3833333333333333</v>
      </c>
      <c r="L2186" s="388">
        <v>512</v>
      </c>
      <c r="M2186" s="388">
        <v>11.5</v>
      </c>
      <c r="O2186" s="388">
        <v>604</v>
      </c>
      <c r="R2186" s="388">
        <v>13</v>
      </c>
      <c r="S2186" s="388">
        <v>16</v>
      </c>
      <c r="U2186" s="388" t="s">
        <v>2008</v>
      </c>
      <c r="V2186" s="389" t="s">
        <v>1389</v>
      </c>
      <c r="W2186" s="388">
        <v>30</v>
      </c>
      <c r="AA2186" s="390"/>
      <c r="AB2186" s="390"/>
      <c r="AG2186" s="388" t="s">
        <v>2160</v>
      </c>
      <c r="AH2186" s="388" t="s">
        <v>2161</v>
      </c>
      <c r="AI2186" s="388" t="s">
        <v>1129</v>
      </c>
      <c r="AJ2186" s="388" t="s">
        <v>2267</v>
      </c>
      <c r="AK2186" s="388" t="s">
        <v>1646</v>
      </c>
      <c r="AL2186" s="388" t="s">
        <v>2162</v>
      </c>
      <c r="AM2186" s="388" t="s">
        <v>2162</v>
      </c>
      <c r="AN2186" s="388" t="s">
        <v>177</v>
      </c>
      <c r="AO2186" s="388" t="s">
        <v>2018</v>
      </c>
      <c r="AQ2186" s="388" t="s">
        <v>2125</v>
      </c>
      <c r="AR2186" s="388" t="s">
        <v>2125</v>
      </c>
      <c r="AT2186" s="388" t="s">
        <v>2163</v>
      </c>
      <c r="AW2186" s="389" t="s">
        <v>160</v>
      </c>
      <c r="AX2186" s="388">
        <v>3</v>
      </c>
      <c r="AY2186" s="388">
        <v>6</v>
      </c>
      <c r="AZ2186" s="388" t="s">
        <v>141</v>
      </c>
      <c r="BK2186" s="388">
        <f>1000*11.9</f>
        <v>11900</v>
      </c>
      <c r="BL2186" s="388">
        <f>1000*12.7</f>
        <v>12700</v>
      </c>
      <c r="BN2186" s="391"/>
      <c r="BO2186" s="388" t="s">
        <v>2271</v>
      </c>
      <c r="BP2186" s="455"/>
      <c r="BQ2186" s="455"/>
      <c r="BU2186" s="455"/>
      <c r="BV2186" s="455"/>
      <c r="BZ2186" s="455"/>
      <c r="CA2186" s="455"/>
      <c r="CE2186" s="600"/>
      <c r="CF2186" s="600"/>
      <c r="CG2186" s="600"/>
      <c r="CH2186" s="600"/>
      <c r="FU2186" s="392"/>
    </row>
    <row r="2187" spans="1:177" s="388" customFormat="1" x14ac:dyDescent="0.25">
      <c r="A2187" s="388">
        <v>101</v>
      </c>
      <c r="B2187" s="392" t="s">
        <v>4256</v>
      </c>
      <c r="C2187" s="388" t="s">
        <v>2157</v>
      </c>
      <c r="E2187" s="388">
        <v>2010</v>
      </c>
      <c r="F2187" s="388">
        <v>2005</v>
      </c>
      <c r="G2187" s="388" t="s">
        <v>2158</v>
      </c>
      <c r="H2187" s="388" t="s">
        <v>2159</v>
      </c>
      <c r="I2187" s="164" t="s">
        <v>2819</v>
      </c>
      <c r="J2187" s="388">
        <f t="shared" si="331"/>
        <v>48.31666666666667</v>
      </c>
      <c r="K2187" s="388">
        <f t="shared" si="332"/>
        <v>2.3833333333333333</v>
      </c>
      <c r="L2187" s="388">
        <v>512</v>
      </c>
      <c r="M2187" s="388">
        <v>11.5</v>
      </c>
      <c r="O2187" s="388">
        <v>604</v>
      </c>
      <c r="R2187" s="388">
        <v>13</v>
      </c>
      <c r="S2187" s="388">
        <v>16</v>
      </c>
      <c r="U2187" s="388" t="s">
        <v>2008</v>
      </c>
      <c r="V2187" s="389" t="s">
        <v>1389</v>
      </c>
      <c r="W2187" s="388">
        <v>30</v>
      </c>
      <c r="AA2187" s="390"/>
      <c r="AB2187" s="390"/>
      <c r="AG2187" s="388" t="s">
        <v>2160</v>
      </c>
      <c r="AH2187" s="388" t="s">
        <v>2161</v>
      </c>
      <c r="AI2187" s="388" t="s">
        <v>1129</v>
      </c>
      <c r="AJ2187" s="388" t="s">
        <v>2268</v>
      </c>
      <c r="AK2187" s="388" t="s">
        <v>229</v>
      </c>
      <c r="AL2187" s="388" t="s">
        <v>2162</v>
      </c>
      <c r="AM2187" s="388" t="s">
        <v>2162</v>
      </c>
      <c r="AN2187" s="388" t="s">
        <v>177</v>
      </c>
      <c r="AO2187" s="388" t="s">
        <v>2018</v>
      </c>
      <c r="AQ2187" s="388" t="s">
        <v>2125</v>
      </c>
      <c r="AR2187" s="388" t="s">
        <v>2125</v>
      </c>
      <c r="AT2187" s="388" t="s">
        <v>2163</v>
      </c>
      <c r="AW2187" s="389" t="s">
        <v>160</v>
      </c>
      <c r="AX2187" s="388">
        <v>3</v>
      </c>
      <c r="AY2187" s="388">
        <v>6</v>
      </c>
      <c r="AZ2187" s="388" t="s">
        <v>141</v>
      </c>
      <c r="BK2187" s="388">
        <f>1000*6.2</f>
        <v>6200</v>
      </c>
      <c r="BL2187" s="388">
        <f>1000*6.2</f>
        <v>6200</v>
      </c>
      <c r="BN2187" s="391"/>
      <c r="BO2187" s="388" t="s">
        <v>2271</v>
      </c>
      <c r="BP2187" s="455"/>
      <c r="BQ2187" s="455"/>
      <c r="BU2187" s="455"/>
      <c r="BV2187" s="455"/>
      <c r="BZ2187" s="455"/>
      <c r="CA2187" s="455"/>
      <c r="CE2187" s="600"/>
      <c r="CF2187" s="600"/>
      <c r="CG2187" s="600"/>
      <c r="CH2187" s="600"/>
      <c r="FU2187" s="392"/>
    </row>
    <row r="2188" spans="1:177" s="388" customFormat="1" x14ac:dyDescent="0.25">
      <c r="A2188" s="388">
        <v>101</v>
      </c>
      <c r="B2188" s="392" t="s">
        <v>4254</v>
      </c>
      <c r="C2188" s="388" t="s">
        <v>2157</v>
      </c>
      <c r="E2188" s="388">
        <v>2010</v>
      </c>
      <c r="F2188" s="388">
        <v>2005</v>
      </c>
      <c r="G2188" s="388" t="s">
        <v>2158</v>
      </c>
      <c r="H2188" s="388" t="s">
        <v>2159</v>
      </c>
      <c r="I2188" s="164" t="s">
        <v>2819</v>
      </c>
      <c r="J2188" s="388">
        <f t="shared" si="331"/>
        <v>48.31666666666667</v>
      </c>
      <c r="K2188" s="388">
        <f t="shared" si="332"/>
        <v>2.3833333333333333</v>
      </c>
      <c r="L2188" s="388">
        <v>512</v>
      </c>
      <c r="M2188" s="388">
        <v>11.5</v>
      </c>
      <c r="O2188" s="388">
        <v>604</v>
      </c>
      <c r="R2188" s="388">
        <v>13</v>
      </c>
      <c r="S2188" s="388">
        <v>16</v>
      </c>
      <c r="U2188" s="388" t="s">
        <v>2008</v>
      </c>
      <c r="V2188" s="389" t="s">
        <v>2164</v>
      </c>
      <c r="W2188" s="388">
        <v>28</v>
      </c>
      <c r="AA2188" s="390"/>
      <c r="AB2188" s="390"/>
      <c r="AG2188" s="388" t="s">
        <v>2160</v>
      </c>
      <c r="AH2188" s="388" t="s">
        <v>2161</v>
      </c>
      <c r="AI2188" s="388" t="s">
        <v>1129</v>
      </c>
      <c r="AJ2188" s="388" t="s">
        <v>2266</v>
      </c>
      <c r="AK2188" s="388" t="s">
        <v>116</v>
      </c>
      <c r="AL2188" s="388" t="s">
        <v>2162</v>
      </c>
      <c r="AM2188" s="388" t="s">
        <v>2162</v>
      </c>
      <c r="AN2188" s="388" t="s">
        <v>177</v>
      </c>
      <c r="AO2188" s="388" t="s">
        <v>1046</v>
      </c>
      <c r="AQ2188" s="388" t="s">
        <v>2126</v>
      </c>
      <c r="AR2188" s="388" t="s">
        <v>2126</v>
      </c>
      <c r="AT2188" s="388" t="s">
        <v>2163</v>
      </c>
      <c r="AW2188" s="389" t="s">
        <v>160</v>
      </c>
      <c r="AX2188" s="388">
        <v>3</v>
      </c>
      <c r="AY2188" s="388">
        <v>6</v>
      </c>
      <c r="AZ2188" s="388" t="s">
        <v>141</v>
      </c>
      <c r="BK2188" s="388">
        <f>1000*15.4</f>
        <v>15400</v>
      </c>
      <c r="BL2188" s="388">
        <f>1000*15</f>
        <v>15000</v>
      </c>
      <c r="BN2188" s="391"/>
      <c r="BO2188" s="388" t="s">
        <v>2271</v>
      </c>
      <c r="BP2188" s="455"/>
      <c r="BQ2188" s="455"/>
      <c r="BU2188" s="455"/>
      <c r="BV2188" s="455"/>
      <c r="BZ2188" s="455"/>
      <c r="CA2188" s="455"/>
      <c r="CE2188" s="600"/>
      <c r="CF2188" s="600"/>
      <c r="CG2188" s="600"/>
      <c r="CH2188" s="600"/>
      <c r="FU2188" s="392"/>
    </row>
    <row r="2189" spans="1:177" s="388" customFormat="1" x14ac:dyDescent="0.25">
      <c r="A2189" s="388">
        <v>101</v>
      </c>
      <c r="B2189" s="392" t="s">
        <v>4255</v>
      </c>
      <c r="C2189" s="388" t="s">
        <v>2157</v>
      </c>
      <c r="E2189" s="388">
        <v>2010</v>
      </c>
      <c r="F2189" s="388">
        <v>2005</v>
      </c>
      <c r="G2189" s="388" t="s">
        <v>2158</v>
      </c>
      <c r="H2189" s="388" t="s">
        <v>2159</v>
      </c>
      <c r="I2189" s="164" t="s">
        <v>2819</v>
      </c>
      <c r="J2189" s="388">
        <f t="shared" si="331"/>
        <v>48.31666666666667</v>
      </c>
      <c r="K2189" s="388">
        <f t="shared" si="332"/>
        <v>2.3833333333333333</v>
      </c>
      <c r="L2189" s="388">
        <v>512</v>
      </c>
      <c r="M2189" s="388">
        <v>11.5</v>
      </c>
      <c r="O2189" s="388">
        <v>604</v>
      </c>
      <c r="R2189" s="388">
        <v>13</v>
      </c>
      <c r="S2189" s="388">
        <v>16</v>
      </c>
      <c r="U2189" s="388" t="s">
        <v>2008</v>
      </c>
      <c r="V2189" s="389" t="s">
        <v>2164</v>
      </c>
      <c r="W2189" s="388">
        <v>28</v>
      </c>
      <c r="AA2189" s="390"/>
      <c r="AB2189" s="390"/>
      <c r="AG2189" s="388" t="s">
        <v>2160</v>
      </c>
      <c r="AH2189" s="388" t="s">
        <v>2161</v>
      </c>
      <c r="AI2189" s="388" t="s">
        <v>1129</v>
      </c>
      <c r="AJ2189" s="388" t="s">
        <v>2267</v>
      </c>
      <c r="AK2189" s="388" t="s">
        <v>1646</v>
      </c>
      <c r="AL2189" s="388" t="s">
        <v>2162</v>
      </c>
      <c r="AM2189" s="388" t="s">
        <v>2162</v>
      </c>
      <c r="AN2189" s="388" t="s">
        <v>177</v>
      </c>
      <c r="AO2189" s="388" t="s">
        <v>1046</v>
      </c>
      <c r="AQ2189" s="388" t="s">
        <v>2126</v>
      </c>
      <c r="AR2189" s="388" t="s">
        <v>2126</v>
      </c>
      <c r="AT2189" s="388" t="s">
        <v>2163</v>
      </c>
      <c r="AW2189" s="389" t="s">
        <v>160</v>
      </c>
      <c r="AX2189" s="388">
        <v>3</v>
      </c>
      <c r="AY2189" s="388">
        <v>6</v>
      </c>
      <c r="AZ2189" s="388" t="s">
        <v>141</v>
      </c>
      <c r="BK2189" s="388">
        <f>1000*12</f>
        <v>12000</v>
      </c>
      <c r="BL2189" s="388">
        <f>1000*12.2</f>
        <v>12200</v>
      </c>
      <c r="BN2189" s="391"/>
      <c r="BO2189" s="388" t="s">
        <v>2271</v>
      </c>
      <c r="BP2189" s="455"/>
      <c r="BQ2189" s="455"/>
      <c r="BU2189" s="455"/>
      <c r="BV2189" s="455"/>
      <c r="BZ2189" s="455"/>
      <c r="CA2189" s="455"/>
      <c r="CE2189" s="600"/>
      <c r="CF2189" s="600"/>
      <c r="CG2189" s="600"/>
      <c r="CH2189" s="600"/>
      <c r="FU2189" s="392"/>
    </row>
    <row r="2190" spans="1:177" s="388" customFormat="1" x14ac:dyDescent="0.25">
      <c r="A2190" s="388">
        <v>101</v>
      </c>
      <c r="B2190" s="392" t="s">
        <v>4256</v>
      </c>
      <c r="C2190" s="388" t="s">
        <v>2157</v>
      </c>
      <c r="E2190" s="388">
        <v>2010</v>
      </c>
      <c r="F2190" s="388">
        <v>2005</v>
      </c>
      <c r="G2190" s="388" t="s">
        <v>2158</v>
      </c>
      <c r="H2190" s="388" t="s">
        <v>2159</v>
      </c>
      <c r="I2190" s="164" t="s">
        <v>2819</v>
      </c>
      <c r="J2190" s="388">
        <f t="shared" si="331"/>
        <v>48.31666666666667</v>
      </c>
      <c r="K2190" s="388">
        <f t="shared" si="332"/>
        <v>2.3833333333333333</v>
      </c>
      <c r="L2190" s="388">
        <v>512</v>
      </c>
      <c r="M2190" s="388">
        <v>11.5</v>
      </c>
      <c r="O2190" s="388">
        <v>604</v>
      </c>
      <c r="R2190" s="388">
        <v>13</v>
      </c>
      <c r="S2190" s="388">
        <v>16</v>
      </c>
      <c r="U2190" s="388" t="s">
        <v>2008</v>
      </c>
      <c r="V2190" s="389" t="s">
        <v>2164</v>
      </c>
      <c r="W2190" s="388">
        <v>28</v>
      </c>
      <c r="AA2190" s="390"/>
      <c r="AB2190" s="390"/>
      <c r="AG2190" s="388" t="s">
        <v>2160</v>
      </c>
      <c r="AH2190" s="388" t="s">
        <v>2161</v>
      </c>
      <c r="AI2190" s="388" t="s">
        <v>1129</v>
      </c>
      <c r="AJ2190" s="388" t="s">
        <v>2268</v>
      </c>
      <c r="AK2190" s="388" t="s">
        <v>229</v>
      </c>
      <c r="AL2190" s="388" t="s">
        <v>2162</v>
      </c>
      <c r="AM2190" s="388" t="s">
        <v>2162</v>
      </c>
      <c r="AN2190" s="388" t="s">
        <v>177</v>
      </c>
      <c r="AO2190" s="388" t="s">
        <v>1046</v>
      </c>
      <c r="AQ2190" s="388" t="s">
        <v>2126</v>
      </c>
      <c r="AR2190" s="388" t="s">
        <v>2126</v>
      </c>
      <c r="AT2190" s="388" t="s">
        <v>2163</v>
      </c>
      <c r="AW2190" s="389" t="s">
        <v>160</v>
      </c>
      <c r="AX2190" s="388">
        <v>3</v>
      </c>
      <c r="AY2190" s="388">
        <v>6</v>
      </c>
      <c r="AZ2190" s="388" t="s">
        <v>141</v>
      </c>
      <c r="BK2190" s="388">
        <f>1000*4.8</f>
        <v>4800</v>
      </c>
      <c r="BL2190" s="388">
        <f>1000*4.9</f>
        <v>4900</v>
      </c>
      <c r="BN2190" s="391"/>
      <c r="BO2190" s="388" t="s">
        <v>2271</v>
      </c>
      <c r="BP2190" s="455"/>
      <c r="BQ2190" s="455"/>
      <c r="BU2190" s="455"/>
      <c r="BV2190" s="455"/>
      <c r="BZ2190" s="455"/>
      <c r="CA2190" s="455"/>
      <c r="CE2190" s="600"/>
      <c r="CF2190" s="600"/>
      <c r="CG2190" s="600"/>
      <c r="CH2190" s="600"/>
      <c r="FU2190" s="392"/>
    </row>
    <row r="2191" spans="1:177" s="224" customFormat="1" x14ac:dyDescent="0.25">
      <c r="A2191" s="224">
        <v>101</v>
      </c>
      <c r="B2191" s="226" t="s">
        <v>4250</v>
      </c>
      <c r="C2191" s="224" t="s">
        <v>2157</v>
      </c>
      <c r="E2191" s="224">
        <v>2010</v>
      </c>
      <c r="F2191" s="224">
        <v>2005</v>
      </c>
      <c r="G2191" s="224" t="s">
        <v>2158</v>
      </c>
      <c r="H2191" s="224" t="s">
        <v>2165</v>
      </c>
      <c r="I2191" s="164" t="s">
        <v>2819</v>
      </c>
      <c r="J2191" s="224">
        <f>48+3/60</f>
        <v>48.05</v>
      </c>
      <c r="K2191" s="224">
        <f>-4-4/60</f>
        <v>-4.0666666666666664</v>
      </c>
      <c r="L2191" s="224">
        <v>105</v>
      </c>
      <c r="M2191" s="224">
        <v>12.1</v>
      </c>
      <c r="O2191" s="224">
        <v>1213</v>
      </c>
      <c r="R2191" s="224">
        <v>10</v>
      </c>
      <c r="S2191" s="224">
        <v>13</v>
      </c>
      <c r="U2191" s="224" t="s">
        <v>2258</v>
      </c>
      <c r="V2191" s="223" t="s">
        <v>1389</v>
      </c>
      <c r="W2191" s="224">
        <v>30</v>
      </c>
      <c r="AA2191" s="377"/>
      <c r="AB2191" s="377"/>
      <c r="AG2191" s="224" t="s">
        <v>2166</v>
      </c>
      <c r="AH2191" s="224" t="s">
        <v>2167</v>
      </c>
      <c r="AI2191" s="224" t="s">
        <v>131</v>
      </c>
      <c r="AJ2191" s="224" t="s">
        <v>2266</v>
      </c>
      <c r="AK2191" s="224" t="s">
        <v>116</v>
      </c>
      <c r="AL2191" s="224" t="s">
        <v>2260</v>
      </c>
      <c r="AM2191" s="224" t="s">
        <v>2260</v>
      </c>
      <c r="AN2191" s="224" t="s">
        <v>177</v>
      </c>
      <c r="AO2191" s="224" t="s">
        <v>2018</v>
      </c>
      <c r="AQ2191" s="224" t="s">
        <v>2125</v>
      </c>
      <c r="AR2191" s="224" t="s">
        <v>2125</v>
      </c>
      <c r="AT2191" s="224" t="s">
        <v>2168</v>
      </c>
      <c r="AW2191" s="223" t="s">
        <v>160</v>
      </c>
      <c r="AX2191" s="224">
        <v>3</v>
      </c>
      <c r="AY2191" s="224">
        <v>6</v>
      </c>
      <c r="AZ2191" s="224" t="s">
        <v>141</v>
      </c>
      <c r="BK2191" s="224">
        <f>1000*10.2</f>
        <v>10200</v>
      </c>
      <c r="BL2191" s="224">
        <f>1000*10.2</f>
        <v>10200</v>
      </c>
      <c r="BN2191" s="228"/>
      <c r="BO2191" s="224" t="s">
        <v>2271</v>
      </c>
      <c r="BP2191" s="441"/>
      <c r="BQ2191" s="441"/>
      <c r="BU2191" s="441"/>
      <c r="BV2191" s="441"/>
      <c r="BZ2191" s="441"/>
      <c r="CA2191" s="441"/>
      <c r="CE2191" s="599"/>
      <c r="CF2191" s="599"/>
      <c r="CG2191" s="599"/>
      <c r="CH2191" s="599"/>
      <c r="FU2191" s="226"/>
    </row>
    <row r="2192" spans="1:177" s="224" customFormat="1" x14ac:dyDescent="0.25">
      <c r="A2192" s="224">
        <v>101</v>
      </c>
      <c r="B2192" s="226" t="s">
        <v>4250</v>
      </c>
      <c r="C2192" s="224" t="s">
        <v>2157</v>
      </c>
      <c r="E2192" s="224">
        <v>2010</v>
      </c>
      <c r="F2192" s="224">
        <v>2005</v>
      </c>
      <c r="G2192" s="224" t="s">
        <v>2158</v>
      </c>
      <c r="H2192" s="224" t="s">
        <v>2165</v>
      </c>
      <c r="I2192" s="164" t="s">
        <v>2819</v>
      </c>
      <c r="J2192" s="224">
        <f>48+3/60</f>
        <v>48.05</v>
      </c>
      <c r="K2192" s="224">
        <f>-4-4/60</f>
        <v>-4.0666666666666664</v>
      </c>
      <c r="L2192" s="224">
        <v>105</v>
      </c>
      <c r="M2192" s="224">
        <v>12.1</v>
      </c>
      <c r="O2192" s="224">
        <v>1213</v>
      </c>
      <c r="R2192" s="224">
        <v>10</v>
      </c>
      <c r="S2192" s="224">
        <v>13</v>
      </c>
      <c r="U2192" s="224" t="s">
        <v>2258</v>
      </c>
      <c r="V2192" s="223" t="s">
        <v>1389</v>
      </c>
      <c r="W2192" s="224">
        <v>30</v>
      </c>
      <c r="AA2192" s="377"/>
      <c r="AB2192" s="377"/>
      <c r="AG2192" s="224" t="s">
        <v>2166</v>
      </c>
      <c r="AH2192" s="224" t="s">
        <v>2167</v>
      </c>
      <c r="AI2192" s="224" t="s">
        <v>131</v>
      </c>
      <c r="AJ2192" s="224" t="s">
        <v>2269</v>
      </c>
      <c r="AK2192" s="224" t="s">
        <v>132</v>
      </c>
      <c r="AL2192" s="224" t="s">
        <v>2260</v>
      </c>
      <c r="AM2192" s="224" t="s">
        <v>2260</v>
      </c>
      <c r="AN2192" s="224" t="s">
        <v>177</v>
      </c>
      <c r="AO2192" s="224" t="s">
        <v>2018</v>
      </c>
      <c r="AQ2192" s="224" t="s">
        <v>2125</v>
      </c>
      <c r="AR2192" s="224" t="s">
        <v>2125</v>
      </c>
      <c r="AT2192" s="224" t="s">
        <v>2168</v>
      </c>
      <c r="AW2192" s="223" t="s">
        <v>160</v>
      </c>
      <c r="AX2192" s="224">
        <v>3</v>
      </c>
      <c r="AY2192" s="224">
        <v>6</v>
      </c>
      <c r="AZ2192" s="224" t="s">
        <v>141</v>
      </c>
      <c r="BK2192" s="224">
        <f>1000*11.8</f>
        <v>11800</v>
      </c>
      <c r="BL2192" s="224">
        <f>1000*12.7</f>
        <v>12700</v>
      </c>
      <c r="BN2192" s="228"/>
      <c r="BO2192" s="224" t="s">
        <v>2271</v>
      </c>
      <c r="BP2192" s="441"/>
      <c r="BQ2192" s="441"/>
      <c r="BU2192" s="441"/>
      <c r="BV2192" s="441"/>
      <c r="BZ2192" s="441"/>
      <c r="CA2192" s="441"/>
      <c r="CE2192" s="599"/>
      <c r="CF2192" s="599"/>
      <c r="CG2192" s="599"/>
      <c r="CH2192" s="599"/>
      <c r="FU2192" s="226"/>
    </row>
    <row r="2193" spans="1:242" s="164" customFormat="1" x14ac:dyDescent="0.25">
      <c r="A2193" s="164">
        <v>101</v>
      </c>
      <c r="B2193" s="165" t="s">
        <v>4257</v>
      </c>
      <c r="C2193" s="164" t="s">
        <v>2157</v>
      </c>
      <c r="E2193" s="164">
        <v>2010</v>
      </c>
      <c r="F2193" s="164">
        <v>2005</v>
      </c>
      <c r="G2193" s="164" t="s">
        <v>2158</v>
      </c>
      <c r="H2193" s="164" t="s">
        <v>2169</v>
      </c>
      <c r="I2193" s="164" t="s">
        <v>2819</v>
      </c>
      <c r="J2193" s="164">
        <v>48.93</v>
      </c>
      <c r="K2193" s="164">
        <f t="shared" ref="K2193:K2198" si="333">4+14/60</f>
        <v>4.2333333333333334</v>
      </c>
      <c r="L2193" s="164">
        <v>203</v>
      </c>
      <c r="M2193" s="164">
        <v>10.8</v>
      </c>
      <c r="O2193" s="164">
        <v>605</v>
      </c>
      <c r="R2193" s="164">
        <v>14</v>
      </c>
      <c r="S2193" s="164">
        <v>17</v>
      </c>
      <c r="U2193" s="164" t="s">
        <v>2257</v>
      </c>
      <c r="V2193" s="185" t="s">
        <v>2174</v>
      </c>
      <c r="W2193" s="164">
        <v>23.5</v>
      </c>
      <c r="AA2193" s="381"/>
      <c r="AB2193" s="381"/>
      <c r="AC2193" s="164" t="s">
        <v>139</v>
      </c>
      <c r="AG2193" s="164" t="s">
        <v>2170</v>
      </c>
      <c r="AH2193" s="164" t="s">
        <v>2171</v>
      </c>
      <c r="AI2193" s="164" t="s">
        <v>2262</v>
      </c>
      <c r="AJ2193" s="164" t="s">
        <v>2270</v>
      </c>
      <c r="AK2193" s="164" t="s">
        <v>229</v>
      </c>
      <c r="AL2193" s="164" t="s">
        <v>2175</v>
      </c>
      <c r="AM2193" s="164" t="s">
        <v>2175</v>
      </c>
      <c r="AN2193" s="164" t="s">
        <v>177</v>
      </c>
      <c r="AO2193" s="164" t="s">
        <v>2018</v>
      </c>
      <c r="AQ2193" s="164" t="s">
        <v>2125</v>
      </c>
      <c r="AR2193" s="164" t="s">
        <v>2125</v>
      </c>
      <c r="AT2193" s="164" t="s">
        <v>2173</v>
      </c>
      <c r="AW2193" s="185" t="s">
        <v>160</v>
      </c>
      <c r="AX2193" s="164">
        <v>3</v>
      </c>
      <c r="AY2193" s="164">
        <v>6</v>
      </c>
      <c r="AZ2193" s="164" t="s">
        <v>141</v>
      </c>
      <c r="BK2193" s="164">
        <f>1000*22.2</f>
        <v>22200</v>
      </c>
      <c r="BL2193" s="164">
        <f>1000*23.6</f>
        <v>23600</v>
      </c>
      <c r="BN2193" s="166"/>
      <c r="BO2193" s="164" t="s">
        <v>2271</v>
      </c>
      <c r="BP2193" s="433"/>
      <c r="BQ2193" s="433"/>
      <c r="BU2193" s="433"/>
      <c r="BV2193" s="433"/>
      <c r="BZ2193" s="433"/>
      <c r="CA2193" s="433"/>
      <c r="CE2193" s="586"/>
      <c r="CF2193" s="586"/>
      <c r="CG2193" s="586"/>
      <c r="CH2193" s="586"/>
      <c r="FU2193" s="165"/>
    </row>
    <row r="2194" spans="1:242" s="164" customFormat="1" x14ac:dyDescent="0.25">
      <c r="A2194" s="164">
        <v>101</v>
      </c>
      <c r="B2194" s="165" t="s">
        <v>4258</v>
      </c>
      <c r="C2194" s="164" t="s">
        <v>2157</v>
      </c>
      <c r="E2194" s="164">
        <v>2010</v>
      </c>
      <c r="F2194" s="164">
        <v>2005</v>
      </c>
      <c r="G2194" s="164" t="s">
        <v>2158</v>
      </c>
      <c r="H2194" s="164" t="s">
        <v>2169</v>
      </c>
      <c r="I2194" s="164" t="s">
        <v>2819</v>
      </c>
      <c r="J2194" s="164">
        <v>48.93</v>
      </c>
      <c r="K2194" s="164">
        <f t="shared" si="333"/>
        <v>4.2333333333333334</v>
      </c>
      <c r="L2194" s="164">
        <v>203</v>
      </c>
      <c r="M2194" s="164">
        <v>10.8</v>
      </c>
      <c r="O2194" s="164">
        <v>605</v>
      </c>
      <c r="R2194" s="164">
        <v>14</v>
      </c>
      <c r="S2194" s="164">
        <v>17</v>
      </c>
      <c r="U2194" s="164" t="s">
        <v>2257</v>
      </c>
      <c r="V2194" s="185" t="s">
        <v>2174</v>
      </c>
      <c r="W2194" s="164">
        <v>23.5</v>
      </c>
      <c r="AA2194" s="381"/>
      <c r="AB2194" s="381"/>
      <c r="AC2194" s="164" t="s">
        <v>139</v>
      </c>
      <c r="AG2194" s="164" t="s">
        <v>2170</v>
      </c>
      <c r="AH2194" s="164" t="s">
        <v>2171</v>
      </c>
      <c r="AI2194" s="164" t="s">
        <v>2262</v>
      </c>
      <c r="AJ2194" s="164" t="s">
        <v>2266</v>
      </c>
      <c r="AK2194" s="164" t="s">
        <v>116</v>
      </c>
      <c r="AL2194" s="164" t="s">
        <v>2175</v>
      </c>
      <c r="AM2194" s="164" t="s">
        <v>2175</v>
      </c>
      <c r="AN2194" s="164" t="s">
        <v>177</v>
      </c>
      <c r="AO2194" s="164" t="s">
        <v>2018</v>
      </c>
      <c r="AQ2194" s="164" t="s">
        <v>2125</v>
      </c>
      <c r="AR2194" s="164" t="s">
        <v>2125</v>
      </c>
      <c r="AT2194" s="164" t="s">
        <v>2173</v>
      </c>
      <c r="AW2194" s="185" t="s">
        <v>160</v>
      </c>
      <c r="AX2194" s="164">
        <v>3</v>
      </c>
      <c r="AY2194" s="164">
        <v>6</v>
      </c>
      <c r="AZ2194" s="164" t="s">
        <v>141</v>
      </c>
      <c r="BK2194" s="164">
        <f>1000*14.2</f>
        <v>14200</v>
      </c>
      <c r="BL2194" s="164">
        <f>1000*14.3</f>
        <v>14300</v>
      </c>
      <c r="BN2194" s="166"/>
      <c r="BO2194" s="164" t="s">
        <v>2271</v>
      </c>
      <c r="BP2194" s="433"/>
      <c r="BQ2194" s="433"/>
      <c r="BU2194" s="433"/>
      <c r="BV2194" s="433"/>
      <c r="BZ2194" s="433"/>
      <c r="CA2194" s="433"/>
      <c r="CE2194" s="586"/>
      <c r="CF2194" s="586"/>
      <c r="CG2194" s="586"/>
      <c r="CH2194" s="586"/>
      <c r="FU2194" s="165"/>
    </row>
    <row r="2195" spans="1:242" s="164" customFormat="1" x14ac:dyDescent="0.25">
      <c r="A2195" s="164">
        <v>101</v>
      </c>
      <c r="B2195" s="165" t="s">
        <v>4259</v>
      </c>
      <c r="C2195" s="164" t="s">
        <v>2157</v>
      </c>
      <c r="E2195" s="164">
        <v>2010</v>
      </c>
      <c r="F2195" s="164">
        <v>2005</v>
      </c>
      <c r="G2195" s="164" t="s">
        <v>2158</v>
      </c>
      <c r="H2195" s="164" t="s">
        <v>2169</v>
      </c>
      <c r="I2195" s="164" t="s">
        <v>2819</v>
      </c>
      <c r="J2195" s="164">
        <v>48.93</v>
      </c>
      <c r="K2195" s="164">
        <f t="shared" si="333"/>
        <v>4.2333333333333334</v>
      </c>
      <c r="L2195" s="164">
        <v>203</v>
      </c>
      <c r="M2195" s="164">
        <v>10.8</v>
      </c>
      <c r="O2195" s="164">
        <v>605</v>
      </c>
      <c r="R2195" s="164">
        <v>14</v>
      </c>
      <c r="S2195" s="164">
        <v>17</v>
      </c>
      <c r="U2195" s="164" t="s">
        <v>2257</v>
      </c>
      <c r="V2195" s="185" t="s">
        <v>2174</v>
      </c>
      <c r="W2195" s="164">
        <v>23.5</v>
      </c>
      <c r="AA2195" s="381"/>
      <c r="AB2195" s="381"/>
      <c r="AC2195" s="164" t="s">
        <v>139</v>
      </c>
      <c r="AG2195" s="164" t="s">
        <v>2170</v>
      </c>
      <c r="AH2195" s="164" t="s">
        <v>2171</v>
      </c>
      <c r="AI2195" s="164" t="s">
        <v>2262</v>
      </c>
      <c r="AJ2195" s="164" t="s">
        <v>2268</v>
      </c>
      <c r="AK2195" s="164" t="s">
        <v>229</v>
      </c>
      <c r="AL2195" s="164" t="s">
        <v>2175</v>
      </c>
      <c r="AM2195" s="164" t="s">
        <v>2175</v>
      </c>
      <c r="AN2195" s="164" t="s">
        <v>177</v>
      </c>
      <c r="AO2195" s="164" t="s">
        <v>2018</v>
      </c>
      <c r="AQ2195" s="164" t="s">
        <v>2125</v>
      </c>
      <c r="AR2195" s="164" t="s">
        <v>2125</v>
      </c>
      <c r="AT2195" s="164" t="s">
        <v>2173</v>
      </c>
      <c r="AW2195" s="185" t="s">
        <v>160</v>
      </c>
      <c r="AX2195" s="164">
        <v>3</v>
      </c>
      <c r="AY2195" s="164">
        <v>6</v>
      </c>
      <c r="AZ2195" s="164" t="s">
        <v>141</v>
      </c>
      <c r="BK2195" s="164">
        <f>1000*7.7</f>
        <v>7700</v>
      </c>
      <c r="BL2195" s="164">
        <f>1000*8.2</f>
        <v>8200</v>
      </c>
      <c r="BN2195" s="166"/>
      <c r="BO2195" s="164" t="s">
        <v>2271</v>
      </c>
      <c r="BP2195" s="433"/>
      <c r="BQ2195" s="433"/>
      <c r="BU2195" s="433"/>
      <c r="BV2195" s="433"/>
      <c r="BZ2195" s="433"/>
      <c r="CA2195" s="433"/>
      <c r="CE2195" s="586"/>
      <c r="CF2195" s="586"/>
      <c r="CG2195" s="586"/>
      <c r="CH2195" s="586"/>
      <c r="FU2195" s="165"/>
    </row>
    <row r="2196" spans="1:242" s="164" customFormat="1" x14ac:dyDescent="0.25">
      <c r="A2196" s="164">
        <v>101</v>
      </c>
      <c r="B2196" s="165" t="s">
        <v>4260</v>
      </c>
      <c r="C2196" s="164" t="s">
        <v>2157</v>
      </c>
      <c r="E2196" s="164">
        <v>2010</v>
      </c>
      <c r="F2196" s="164">
        <v>2005</v>
      </c>
      <c r="G2196" s="164" t="s">
        <v>2158</v>
      </c>
      <c r="H2196" s="164" t="s">
        <v>2169</v>
      </c>
      <c r="I2196" s="164" t="s">
        <v>2819</v>
      </c>
      <c r="J2196" s="164">
        <v>48.93</v>
      </c>
      <c r="K2196" s="164">
        <f t="shared" si="333"/>
        <v>4.2333333333333334</v>
      </c>
      <c r="L2196" s="164">
        <v>203</v>
      </c>
      <c r="M2196" s="164">
        <v>10.8</v>
      </c>
      <c r="O2196" s="164">
        <v>605</v>
      </c>
      <c r="R2196" s="164">
        <v>10</v>
      </c>
      <c r="S2196" s="164">
        <v>13</v>
      </c>
      <c r="U2196" s="164" t="s">
        <v>2258</v>
      </c>
      <c r="V2196" s="185" t="s">
        <v>2174</v>
      </c>
      <c r="W2196" s="164">
        <v>23.5</v>
      </c>
      <c r="AA2196" s="381"/>
      <c r="AB2196" s="381"/>
      <c r="AC2196" s="164" t="s">
        <v>139</v>
      </c>
      <c r="AG2196" s="164" t="s">
        <v>2170</v>
      </c>
      <c r="AH2196" s="164" t="s">
        <v>2171</v>
      </c>
      <c r="AI2196" s="164" t="s">
        <v>2262</v>
      </c>
      <c r="AJ2196" s="164" t="s">
        <v>2270</v>
      </c>
      <c r="AK2196" s="164" t="s">
        <v>229</v>
      </c>
      <c r="AL2196" s="164" t="s">
        <v>2175</v>
      </c>
      <c r="AM2196" s="164" t="s">
        <v>2175</v>
      </c>
      <c r="AN2196" s="164" t="s">
        <v>177</v>
      </c>
      <c r="AO2196" s="164" t="s">
        <v>2018</v>
      </c>
      <c r="AQ2196" s="164" t="s">
        <v>2125</v>
      </c>
      <c r="AR2196" s="164" t="s">
        <v>2125</v>
      </c>
      <c r="AT2196" s="164" t="s">
        <v>2176</v>
      </c>
      <c r="AW2196" s="185" t="s">
        <v>160</v>
      </c>
      <c r="AX2196" s="164">
        <v>3</v>
      </c>
      <c r="AY2196" s="164">
        <v>6</v>
      </c>
      <c r="AZ2196" s="164" t="s">
        <v>141</v>
      </c>
      <c r="BK2196" s="164">
        <f>1000*18.5</f>
        <v>18500</v>
      </c>
      <c r="BL2196" s="164">
        <f>1000*21.8</f>
        <v>21800</v>
      </c>
      <c r="BN2196" s="166"/>
      <c r="BO2196" s="164" t="s">
        <v>2271</v>
      </c>
      <c r="BP2196" s="433"/>
      <c r="BQ2196" s="433"/>
      <c r="BU2196" s="433"/>
      <c r="BV2196" s="433"/>
      <c r="BZ2196" s="433"/>
      <c r="CA2196" s="433"/>
      <c r="CE2196" s="586"/>
      <c r="CF2196" s="586"/>
      <c r="CG2196" s="586"/>
      <c r="CH2196" s="586"/>
      <c r="FU2196" s="165"/>
    </row>
    <row r="2197" spans="1:242" s="164" customFormat="1" x14ac:dyDescent="0.25">
      <c r="A2197" s="164">
        <v>101</v>
      </c>
      <c r="B2197" s="165" t="s">
        <v>4261</v>
      </c>
      <c r="C2197" s="164" t="s">
        <v>2157</v>
      </c>
      <c r="E2197" s="164">
        <v>2010</v>
      </c>
      <c r="F2197" s="164">
        <v>2005</v>
      </c>
      <c r="G2197" s="164" t="s">
        <v>2158</v>
      </c>
      <c r="H2197" s="164" t="s">
        <v>2169</v>
      </c>
      <c r="I2197" s="164" t="s">
        <v>2819</v>
      </c>
      <c r="J2197" s="164">
        <v>48.93</v>
      </c>
      <c r="K2197" s="164">
        <f t="shared" si="333"/>
        <v>4.2333333333333334</v>
      </c>
      <c r="L2197" s="164">
        <v>203</v>
      </c>
      <c r="M2197" s="164">
        <v>10.8</v>
      </c>
      <c r="O2197" s="164">
        <v>605</v>
      </c>
      <c r="R2197" s="164">
        <v>10</v>
      </c>
      <c r="S2197" s="164">
        <v>13</v>
      </c>
      <c r="U2197" s="164" t="s">
        <v>2258</v>
      </c>
      <c r="V2197" s="185" t="s">
        <v>2174</v>
      </c>
      <c r="W2197" s="164">
        <v>23.5</v>
      </c>
      <c r="AA2197" s="381"/>
      <c r="AB2197" s="381"/>
      <c r="AC2197" s="164" t="s">
        <v>139</v>
      </c>
      <c r="AG2197" s="164" t="s">
        <v>2170</v>
      </c>
      <c r="AH2197" s="164" t="s">
        <v>2171</v>
      </c>
      <c r="AI2197" s="164" t="s">
        <v>2262</v>
      </c>
      <c r="AJ2197" s="164" t="s">
        <v>2266</v>
      </c>
      <c r="AK2197" s="164" t="s">
        <v>116</v>
      </c>
      <c r="AL2197" s="164" t="s">
        <v>2175</v>
      </c>
      <c r="AM2197" s="164" t="s">
        <v>2175</v>
      </c>
      <c r="AN2197" s="164" t="s">
        <v>177</v>
      </c>
      <c r="AO2197" s="164" t="s">
        <v>2018</v>
      </c>
      <c r="AQ2197" s="164" t="s">
        <v>2125</v>
      </c>
      <c r="AR2197" s="164" t="s">
        <v>2125</v>
      </c>
      <c r="AT2197" s="164" t="s">
        <v>2176</v>
      </c>
      <c r="AW2197" s="185" t="s">
        <v>160</v>
      </c>
      <c r="AX2197" s="164">
        <v>3</v>
      </c>
      <c r="AY2197" s="164">
        <v>6</v>
      </c>
      <c r="AZ2197" s="164" t="s">
        <v>141</v>
      </c>
      <c r="BK2197" s="164">
        <f>1000*12.5</f>
        <v>12500</v>
      </c>
      <c r="BL2197" s="164">
        <f>1000*13.9</f>
        <v>13900</v>
      </c>
      <c r="BN2197" s="166"/>
      <c r="BO2197" s="164" t="s">
        <v>2271</v>
      </c>
      <c r="BP2197" s="433"/>
      <c r="BQ2197" s="433"/>
      <c r="BU2197" s="433"/>
      <c r="BV2197" s="433"/>
      <c r="BZ2197" s="433"/>
      <c r="CA2197" s="433"/>
      <c r="CE2197" s="586"/>
      <c r="CF2197" s="586"/>
      <c r="CG2197" s="586"/>
      <c r="CH2197" s="586"/>
      <c r="FU2197" s="165"/>
    </row>
    <row r="2198" spans="1:242" s="164" customFormat="1" x14ac:dyDescent="0.25">
      <c r="A2198" s="164">
        <v>101</v>
      </c>
      <c r="B2198" s="165" t="s">
        <v>4262</v>
      </c>
      <c r="C2198" s="164" t="s">
        <v>2157</v>
      </c>
      <c r="E2198" s="164">
        <v>2010</v>
      </c>
      <c r="F2198" s="164">
        <v>2005</v>
      </c>
      <c r="G2198" s="164" t="s">
        <v>2158</v>
      </c>
      <c r="H2198" s="164" t="s">
        <v>2169</v>
      </c>
      <c r="I2198" s="164" t="s">
        <v>2819</v>
      </c>
      <c r="J2198" s="164">
        <v>48.93</v>
      </c>
      <c r="K2198" s="164">
        <f t="shared" si="333"/>
        <v>4.2333333333333334</v>
      </c>
      <c r="L2198" s="164">
        <v>203</v>
      </c>
      <c r="M2198" s="164">
        <v>10.8</v>
      </c>
      <c r="O2198" s="164">
        <v>605</v>
      </c>
      <c r="R2198" s="164">
        <v>10</v>
      </c>
      <c r="S2198" s="164">
        <v>13</v>
      </c>
      <c r="U2198" s="164" t="s">
        <v>2258</v>
      </c>
      <c r="V2198" s="185" t="s">
        <v>2174</v>
      </c>
      <c r="W2198" s="164">
        <v>23.5</v>
      </c>
      <c r="AA2198" s="381"/>
      <c r="AB2198" s="381"/>
      <c r="AC2198" s="164" t="s">
        <v>139</v>
      </c>
      <c r="AG2198" s="164" t="s">
        <v>2170</v>
      </c>
      <c r="AH2198" s="164" t="s">
        <v>2171</v>
      </c>
      <c r="AI2198" s="164" t="s">
        <v>2262</v>
      </c>
      <c r="AJ2198" s="164" t="s">
        <v>2268</v>
      </c>
      <c r="AK2198" s="164" t="s">
        <v>229</v>
      </c>
      <c r="AL2198" s="164" t="s">
        <v>2175</v>
      </c>
      <c r="AM2198" s="164" t="s">
        <v>2175</v>
      </c>
      <c r="AN2198" s="164" t="s">
        <v>177</v>
      </c>
      <c r="AO2198" s="164" t="s">
        <v>2018</v>
      </c>
      <c r="AQ2198" s="164" t="s">
        <v>2125</v>
      </c>
      <c r="AR2198" s="164" t="s">
        <v>2125</v>
      </c>
      <c r="AT2198" s="164" t="s">
        <v>2176</v>
      </c>
      <c r="AW2198" s="185" t="s">
        <v>160</v>
      </c>
      <c r="AX2198" s="164">
        <v>3</v>
      </c>
      <c r="AY2198" s="164">
        <v>6</v>
      </c>
      <c r="AZ2198" s="164" t="s">
        <v>141</v>
      </c>
      <c r="BK2198" s="164">
        <f>1000*7.2</f>
        <v>7200</v>
      </c>
      <c r="BL2198" s="164">
        <f>1000*7.1</f>
        <v>7100</v>
      </c>
      <c r="BN2198" s="166"/>
      <c r="BO2198" s="164" t="s">
        <v>2271</v>
      </c>
      <c r="BP2198" s="433"/>
      <c r="BQ2198" s="433"/>
      <c r="BU2198" s="433"/>
      <c r="BV2198" s="433"/>
      <c r="BZ2198" s="433"/>
      <c r="CA2198" s="433"/>
      <c r="CE2198" s="586"/>
      <c r="CF2198" s="586"/>
      <c r="CG2198" s="586"/>
      <c r="CH2198" s="586"/>
      <c r="FU2198" s="165"/>
    </row>
    <row r="2199" spans="1:242" s="245" customFormat="1" x14ac:dyDescent="0.25">
      <c r="A2199" s="245">
        <v>102</v>
      </c>
      <c r="B2199" s="246" t="s">
        <v>4263</v>
      </c>
      <c r="C2199" s="245" t="s">
        <v>2177</v>
      </c>
      <c r="E2199" s="245">
        <v>2000</v>
      </c>
      <c r="F2199" s="245">
        <v>1995</v>
      </c>
      <c r="G2199" s="245" t="s">
        <v>2045</v>
      </c>
      <c r="H2199" s="245" t="s">
        <v>2178</v>
      </c>
      <c r="I2199" s="245" t="s">
        <v>2816</v>
      </c>
      <c r="J2199" s="245">
        <v>50.29</v>
      </c>
      <c r="K2199" s="245">
        <v>-107.8</v>
      </c>
      <c r="L2199" s="245">
        <v>817</v>
      </c>
      <c r="M2199" s="245">
        <v>3.3</v>
      </c>
      <c r="O2199" s="245">
        <v>350</v>
      </c>
      <c r="R2199" s="245">
        <v>9</v>
      </c>
      <c r="S2199" s="245">
        <v>9</v>
      </c>
      <c r="U2199" s="245" t="s">
        <v>2283</v>
      </c>
      <c r="V2199" s="244" t="s">
        <v>1380</v>
      </c>
      <c r="W2199" s="245">
        <v>7.5</v>
      </c>
      <c r="X2199" s="244" t="s">
        <v>1380</v>
      </c>
      <c r="Y2199" s="244" t="s">
        <v>1382</v>
      </c>
      <c r="Z2199" s="437">
        <v>1.289758</v>
      </c>
      <c r="AA2199" s="367"/>
      <c r="AB2199" s="367"/>
      <c r="AC2199" s="245" t="s">
        <v>139</v>
      </c>
      <c r="AE2199" s="245">
        <v>1.8</v>
      </c>
      <c r="AG2199" s="245" t="s">
        <v>2179</v>
      </c>
      <c r="AH2199" s="245" t="s">
        <v>2180</v>
      </c>
      <c r="AI2199" s="245" t="s">
        <v>577</v>
      </c>
      <c r="AJ2199" s="245" t="s">
        <v>2181</v>
      </c>
      <c r="AK2199" s="245" t="s">
        <v>116</v>
      </c>
      <c r="AO2199" s="245" t="s">
        <v>1046</v>
      </c>
      <c r="AQ2199" s="245" t="s">
        <v>2126</v>
      </c>
      <c r="AR2199" s="245" t="s">
        <v>2126</v>
      </c>
      <c r="AT2199" s="245" t="s">
        <v>2182</v>
      </c>
      <c r="AW2199" s="245" t="s">
        <v>160</v>
      </c>
      <c r="AX2199" s="245">
        <v>3</v>
      </c>
      <c r="AZ2199" s="245" t="s">
        <v>141</v>
      </c>
      <c r="BF2199" s="245">
        <v>6590</v>
      </c>
      <c r="BG2199" s="245">
        <v>6710</v>
      </c>
      <c r="BK2199" s="245">
        <v>3350</v>
      </c>
      <c r="BL2199" s="245">
        <v>3520</v>
      </c>
      <c r="BN2199" s="248"/>
      <c r="BP2199" s="437">
        <v>1.289758</v>
      </c>
      <c r="BQ2199" s="437">
        <v>1.2781</v>
      </c>
      <c r="BU2199" s="437">
        <v>1.79</v>
      </c>
      <c r="BV2199" s="437">
        <v>1.84</v>
      </c>
      <c r="BY2199" s="245" t="s">
        <v>2284</v>
      </c>
      <c r="BZ2199" s="437"/>
      <c r="CA2199" s="437"/>
      <c r="CD2199" s="245" t="s">
        <v>3120</v>
      </c>
      <c r="CE2199" s="598">
        <v>1.79</v>
      </c>
      <c r="CF2199" s="598">
        <v>1.84</v>
      </c>
      <c r="CG2199" s="598"/>
      <c r="CH2199" s="598"/>
      <c r="CI2199" s="245" t="s">
        <v>4546</v>
      </c>
      <c r="CJ2199" s="245">
        <v>1780</v>
      </c>
      <c r="CK2199" s="245">
        <v>1900</v>
      </c>
      <c r="CN2199" s="245" t="s">
        <v>2285</v>
      </c>
      <c r="FU2199" s="246"/>
      <c r="HE2199" s="245">
        <v>192</v>
      </c>
      <c r="HF2199" s="245">
        <v>256</v>
      </c>
      <c r="HI2199" s="245" t="s">
        <v>2286</v>
      </c>
      <c r="ID2199" s="245">
        <v>2872</v>
      </c>
      <c r="IE2199" s="245">
        <v>6222</v>
      </c>
      <c r="IH2199" s="245" t="s">
        <v>2287</v>
      </c>
    </row>
    <row r="2200" spans="1:242" s="245" customFormat="1" x14ac:dyDescent="0.25">
      <c r="A2200" s="245">
        <v>102</v>
      </c>
      <c r="B2200" s="246" t="s">
        <v>4263</v>
      </c>
      <c r="C2200" s="245" t="s">
        <v>2177</v>
      </c>
      <c r="E2200" s="245">
        <v>2000</v>
      </c>
      <c r="F2200" s="245">
        <v>1995</v>
      </c>
      <c r="G2200" s="245" t="s">
        <v>2045</v>
      </c>
      <c r="H2200" s="245" t="s">
        <v>2178</v>
      </c>
      <c r="I2200" s="245" t="s">
        <v>2816</v>
      </c>
      <c r="J2200" s="245">
        <v>50.29</v>
      </c>
      <c r="K2200" s="245">
        <v>-107.8</v>
      </c>
      <c r="L2200" s="245">
        <v>817</v>
      </c>
      <c r="M2200" s="245">
        <v>3.3</v>
      </c>
      <c r="O2200" s="245">
        <v>350</v>
      </c>
      <c r="R2200" s="245">
        <v>9</v>
      </c>
      <c r="S2200" s="245">
        <v>9</v>
      </c>
      <c r="U2200" s="245" t="s">
        <v>2283</v>
      </c>
      <c r="V2200" s="244" t="s">
        <v>1380</v>
      </c>
      <c r="W2200" s="245">
        <v>7.5</v>
      </c>
      <c r="X2200" s="244" t="s">
        <v>1380</v>
      </c>
      <c r="Y2200" s="244" t="s">
        <v>1382</v>
      </c>
      <c r="Z2200" s="437">
        <v>1.289758</v>
      </c>
      <c r="AA2200" s="367"/>
      <c r="AB2200" s="367"/>
      <c r="AC2200" s="245" t="s">
        <v>139</v>
      </c>
      <c r="AE2200" s="245">
        <v>1.8</v>
      </c>
      <c r="AG2200" s="245" t="s">
        <v>2179</v>
      </c>
      <c r="AH2200" s="245" t="s">
        <v>2180</v>
      </c>
      <c r="AI2200" s="245" t="s">
        <v>577</v>
      </c>
      <c r="AJ2200" s="245" t="s">
        <v>2181</v>
      </c>
      <c r="AK2200" s="245" t="s">
        <v>116</v>
      </c>
      <c r="AO2200" s="245" t="s">
        <v>1046</v>
      </c>
      <c r="AQ2200" s="245" t="s">
        <v>2126</v>
      </c>
      <c r="AR2200" s="245" t="s">
        <v>2126</v>
      </c>
      <c r="AT2200" s="245" t="s">
        <v>2182</v>
      </c>
      <c r="AW2200" s="245" t="s">
        <v>160</v>
      </c>
      <c r="AX2200" s="245">
        <v>3</v>
      </c>
      <c r="AZ2200" s="245" t="s">
        <v>141</v>
      </c>
      <c r="BF2200" s="245">
        <v>5090</v>
      </c>
      <c r="BG2200" s="245">
        <v>5750</v>
      </c>
      <c r="BK2200" s="245">
        <v>2870</v>
      </c>
      <c r="BL2200" s="245">
        <v>3310</v>
      </c>
      <c r="BN2200" s="248"/>
      <c r="BP2200" s="437">
        <v>1.289758</v>
      </c>
      <c r="BQ2200" s="437">
        <v>1.2781</v>
      </c>
      <c r="BU2200" s="437">
        <v>1.87</v>
      </c>
      <c r="BV2200" s="437">
        <v>2.06</v>
      </c>
      <c r="BY2200" s="245" t="s">
        <v>2284</v>
      </c>
      <c r="BZ2200" s="437"/>
      <c r="CA2200" s="437"/>
      <c r="CD2200" s="245" t="s">
        <v>3120</v>
      </c>
      <c r="CE2200" s="598">
        <v>1.87</v>
      </c>
      <c r="CF2200" s="598">
        <v>2.06</v>
      </c>
      <c r="CG2200" s="598"/>
      <c r="CH2200" s="598"/>
      <c r="CI2200" s="245" t="s">
        <v>4546</v>
      </c>
      <c r="CJ2200" s="245">
        <v>1840</v>
      </c>
      <c r="CK2200" s="245">
        <v>1990</v>
      </c>
      <c r="CN2200" s="245" t="s">
        <v>2285</v>
      </c>
      <c r="FU2200" s="246"/>
      <c r="HI2200" s="245" t="s">
        <v>2286</v>
      </c>
      <c r="ID2200" s="245">
        <v>2171</v>
      </c>
      <c r="IE2200" s="245">
        <v>4150</v>
      </c>
      <c r="IH2200" s="245" t="s">
        <v>2288</v>
      </c>
    </row>
    <row r="2201" spans="1:242" s="245" customFormat="1" x14ac:dyDescent="0.25">
      <c r="A2201" s="245">
        <v>102</v>
      </c>
      <c r="B2201" s="246" t="s">
        <v>4263</v>
      </c>
      <c r="C2201" s="245" t="s">
        <v>2177</v>
      </c>
      <c r="E2201" s="245">
        <v>2000</v>
      </c>
      <c r="F2201" s="245">
        <v>1995</v>
      </c>
      <c r="G2201" s="245" t="s">
        <v>2045</v>
      </c>
      <c r="H2201" s="245" t="s">
        <v>2178</v>
      </c>
      <c r="I2201" s="245" t="s">
        <v>2816</v>
      </c>
      <c r="J2201" s="245">
        <v>50.29</v>
      </c>
      <c r="K2201" s="245">
        <v>-107.8</v>
      </c>
      <c r="L2201" s="245">
        <v>817</v>
      </c>
      <c r="M2201" s="245">
        <v>3.3</v>
      </c>
      <c r="O2201" s="245">
        <v>350</v>
      </c>
      <c r="R2201" s="245">
        <v>9</v>
      </c>
      <c r="S2201" s="245">
        <v>9</v>
      </c>
      <c r="U2201" s="245" t="s">
        <v>2283</v>
      </c>
      <c r="V2201" s="244" t="s">
        <v>1380</v>
      </c>
      <c r="W2201" s="245">
        <v>7.5</v>
      </c>
      <c r="X2201" s="244" t="s">
        <v>1380</v>
      </c>
      <c r="Y2201" s="244" t="s">
        <v>1382</v>
      </c>
      <c r="Z2201" s="437">
        <v>1.289758</v>
      </c>
      <c r="AA2201" s="367"/>
      <c r="AB2201" s="367"/>
      <c r="AC2201" s="245" t="s">
        <v>139</v>
      </c>
      <c r="AE2201" s="245">
        <v>1.8</v>
      </c>
      <c r="AG2201" s="245" t="s">
        <v>2179</v>
      </c>
      <c r="AH2201" s="245" t="s">
        <v>2180</v>
      </c>
      <c r="AI2201" s="245" t="s">
        <v>577</v>
      </c>
      <c r="AJ2201" s="245" t="s">
        <v>2181</v>
      </c>
      <c r="AK2201" s="245" t="s">
        <v>116</v>
      </c>
      <c r="AO2201" s="245" t="s">
        <v>1046</v>
      </c>
      <c r="AQ2201" s="245" t="s">
        <v>2126</v>
      </c>
      <c r="AR2201" s="245" t="s">
        <v>2126</v>
      </c>
      <c r="AT2201" s="245" t="s">
        <v>2182</v>
      </c>
      <c r="AW2201" s="245" t="s">
        <v>160</v>
      </c>
      <c r="AX2201" s="245">
        <v>3</v>
      </c>
      <c r="AZ2201" s="245" t="s">
        <v>141</v>
      </c>
      <c r="BF2201" s="245">
        <v>4320</v>
      </c>
      <c r="BG2201" s="245">
        <v>4720</v>
      </c>
      <c r="BK2201" s="245">
        <v>2190</v>
      </c>
      <c r="BL2201" s="245">
        <v>2490</v>
      </c>
      <c r="BN2201" s="248"/>
      <c r="BP2201" s="437">
        <v>1.289758</v>
      </c>
      <c r="BQ2201" s="437">
        <v>1.2781</v>
      </c>
      <c r="BU2201" s="437">
        <v>1.85</v>
      </c>
      <c r="BV2201" s="437">
        <v>1.8</v>
      </c>
      <c r="BY2201" s="245" t="s">
        <v>2284</v>
      </c>
      <c r="BZ2201" s="437"/>
      <c r="CA2201" s="437"/>
      <c r="CD2201" s="245" t="s">
        <v>3120</v>
      </c>
      <c r="CE2201" s="598">
        <v>1.85</v>
      </c>
      <c r="CF2201" s="598">
        <v>1.8</v>
      </c>
      <c r="CG2201" s="598"/>
      <c r="CH2201" s="598"/>
      <c r="CI2201" s="245" t="s">
        <v>4546</v>
      </c>
      <c r="CJ2201" s="245">
        <v>1840</v>
      </c>
      <c r="CK2201" s="245">
        <v>1790</v>
      </c>
      <c r="CN2201" s="245" t="s">
        <v>2285</v>
      </c>
      <c r="FU2201" s="246"/>
      <c r="HE2201" s="245">
        <v>210</v>
      </c>
      <c r="HF2201" s="245">
        <v>206</v>
      </c>
      <c r="HI2201" s="245" t="s">
        <v>2286</v>
      </c>
    </row>
    <row r="2202" spans="1:242" s="239" customFormat="1" x14ac:dyDescent="0.25">
      <c r="A2202" s="239">
        <v>102</v>
      </c>
      <c r="B2202" s="240" t="s">
        <v>4264</v>
      </c>
      <c r="C2202" s="239" t="s">
        <v>2177</v>
      </c>
      <c r="E2202" s="239">
        <v>2000</v>
      </c>
      <c r="F2202" s="239">
        <v>1995</v>
      </c>
      <c r="G2202" s="239" t="s">
        <v>2045</v>
      </c>
      <c r="H2202" s="239" t="s">
        <v>2178</v>
      </c>
      <c r="I2202" s="245" t="s">
        <v>2816</v>
      </c>
      <c r="J2202" s="239">
        <v>50.29</v>
      </c>
      <c r="K2202" s="239">
        <v>-107.8</v>
      </c>
      <c r="L2202" s="239">
        <v>817</v>
      </c>
      <c r="M2202" s="239">
        <v>3.3</v>
      </c>
      <c r="O2202" s="239">
        <v>350</v>
      </c>
      <c r="R2202" s="239">
        <v>9</v>
      </c>
      <c r="S2202" s="239">
        <v>9</v>
      </c>
      <c r="U2202" s="239" t="s">
        <v>2283</v>
      </c>
      <c r="V2202" s="238" t="s">
        <v>1381</v>
      </c>
      <c r="W2202" s="239">
        <v>7.5</v>
      </c>
      <c r="X2202" s="238" t="s">
        <v>1380</v>
      </c>
      <c r="Y2202" s="238" t="s">
        <v>1382</v>
      </c>
      <c r="Z2202" s="451">
        <v>1.34596</v>
      </c>
      <c r="AA2202" s="383"/>
      <c r="AB2202" s="383"/>
      <c r="AC2202" s="239" t="s">
        <v>139</v>
      </c>
      <c r="AE2202" s="239">
        <v>1.8</v>
      </c>
      <c r="AG2202" s="239" t="s">
        <v>2179</v>
      </c>
      <c r="AH2202" s="239" t="s">
        <v>2180</v>
      </c>
      <c r="AI2202" s="239" t="s">
        <v>577</v>
      </c>
      <c r="AJ2202" s="239" t="s">
        <v>2181</v>
      </c>
      <c r="AK2202" s="239" t="s">
        <v>116</v>
      </c>
      <c r="AO2202" s="239" t="s">
        <v>1046</v>
      </c>
      <c r="AQ2202" s="239" t="s">
        <v>2126</v>
      </c>
      <c r="AR2202" s="239" t="s">
        <v>2126</v>
      </c>
      <c r="AT2202" s="239" t="s">
        <v>2182</v>
      </c>
      <c r="AW2202" s="239" t="s">
        <v>160</v>
      </c>
      <c r="AX2202" s="239">
        <v>3</v>
      </c>
      <c r="AZ2202" s="239" t="s">
        <v>141</v>
      </c>
      <c r="BF2202" s="239">
        <v>4130</v>
      </c>
      <c r="BG2202" s="239">
        <v>3860</v>
      </c>
      <c r="BK2202" s="239">
        <v>2530</v>
      </c>
      <c r="BL2202" s="239">
        <v>2370</v>
      </c>
      <c r="BN2202" s="242"/>
      <c r="BP2202" s="451">
        <v>1.34596</v>
      </c>
      <c r="BQ2202" s="451">
        <v>1.3477000000000001</v>
      </c>
      <c r="BU2202" s="451">
        <v>1.27</v>
      </c>
      <c r="BV2202" s="451">
        <v>1.1499999999999999</v>
      </c>
      <c r="BY2202" s="239" t="s">
        <v>2284</v>
      </c>
      <c r="BZ2202" s="451"/>
      <c r="CA2202" s="451"/>
      <c r="CD2202" s="239" t="s">
        <v>3120</v>
      </c>
      <c r="CE2202" s="597">
        <v>1.27</v>
      </c>
      <c r="CF2202" s="597">
        <v>1.1499999999999999</v>
      </c>
      <c r="CG2202" s="597"/>
      <c r="CH2202" s="597"/>
      <c r="CI2202" s="239" t="s">
        <v>4546</v>
      </c>
      <c r="CJ2202" s="239">
        <v>1330</v>
      </c>
      <c r="CK2202" s="239">
        <v>1280</v>
      </c>
      <c r="CN2202" s="239" t="s">
        <v>2285</v>
      </c>
      <c r="FU2202" s="240"/>
      <c r="HE2202" s="239">
        <v>37</v>
      </c>
      <c r="HF2202" s="239">
        <v>67</v>
      </c>
      <c r="HI2202" s="239" t="s">
        <v>2286</v>
      </c>
    </row>
    <row r="2203" spans="1:242" s="239" customFormat="1" x14ac:dyDescent="0.25">
      <c r="A2203" s="239">
        <v>102</v>
      </c>
      <c r="B2203" s="240" t="s">
        <v>4264</v>
      </c>
      <c r="C2203" s="239" t="s">
        <v>2177</v>
      </c>
      <c r="E2203" s="239">
        <v>2000</v>
      </c>
      <c r="F2203" s="239">
        <v>1995</v>
      </c>
      <c r="G2203" s="239" t="s">
        <v>2045</v>
      </c>
      <c r="H2203" s="239" t="s">
        <v>2178</v>
      </c>
      <c r="I2203" s="245" t="s">
        <v>2816</v>
      </c>
      <c r="J2203" s="239">
        <v>50.29</v>
      </c>
      <c r="K2203" s="239">
        <v>-107.8</v>
      </c>
      <c r="L2203" s="239">
        <v>817</v>
      </c>
      <c r="M2203" s="239">
        <v>3.3</v>
      </c>
      <c r="O2203" s="239">
        <v>350</v>
      </c>
      <c r="R2203" s="239">
        <v>9</v>
      </c>
      <c r="S2203" s="239">
        <v>9</v>
      </c>
      <c r="U2203" s="239" t="s">
        <v>2283</v>
      </c>
      <c r="V2203" s="238" t="s">
        <v>1381</v>
      </c>
      <c r="W2203" s="239">
        <v>7.5</v>
      </c>
      <c r="X2203" s="238" t="s">
        <v>1380</v>
      </c>
      <c r="Y2203" s="238" t="s">
        <v>1382</v>
      </c>
      <c r="Z2203" s="451">
        <v>1.34596</v>
      </c>
      <c r="AA2203" s="383"/>
      <c r="AB2203" s="383"/>
      <c r="AC2203" s="239" t="s">
        <v>139</v>
      </c>
      <c r="AE2203" s="239">
        <v>1.8</v>
      </c>
      <c r="AG2203" s="239" t="s">
        <v>2179</v>
      </c>
      <c r="AH2203" s="239" t="s">
        <v>2180</v>
      </c>
      <c r="AI2203" s="239" t="s">
        <v>577</v>
      </c>
      <c r="AJ2203" s="239" t="s">
        <v>2181</v>
      </c>
      <c r="AK2203" s="239" t="s">
        <v>116</v>
      </c>
      <c r="AO2203" s="239" t="s">
        <v>1046</v>
      </c>
      <c r="AQ2203" s="239" t="s">
        <v>2126</v>
      </c>
      <c r="AR2203" s="239" t="s">
        <v>2126</v>
      </c>
      <c r="AT2203" s="239" t="s">
        <v>2182</v>
      </c>
      <c r="AW2203" s="239" t="s">
        <v>160</v>
      </c>
      <c r="AX2203" s="239">
        <v>3</v>
      </c>
      <c r="AZ2203" s="239" t="s">
        <v>141</v>
      </c>
      <c r="BN2203" s="242"/>
      <c r="BP2203" s="451">
        <v>1.34596</v>
      </c>
      <c r="BQ2203" s="451">
        <v>1.3477000000000001</v>
      </c>
      <c r="BU2203" s="451">
        <v>1.65</v>
      </c>
      <c r="BV2203" s="451">
        <v>1.65</v>
      </c>
      <c r="BY2203" s="239" t="s">
        <v>2284</v>
      </c>
      <c r="BZ2203" s="451"/>
      <c r="CA2203" s="451"/>
      <c r="CD2203" s="239" t="s">
        <v>3120</v>
      </c>
      <c r="CE2203" s="597">
        <v>1.65</v>
      </c>
      <c r="CF2203" s="597">
        <v>1.65</v>
      </c>
      <c r="CG2203" s="597"/>
      <c r="CH2203" s="597"/>
      <c r="CI2203" s="239" t="s">
        <v>4546</v>
      </c>
      <c r="CJ2203" s="239">
        <v>1670</v>
      </c>
      <c r="CK2203" s="239">
        <v>1690</v>
      </c>
      <c r="CN2203" s="239" t="s">
        <v>2285</v>
      </c>
      <c r="FU2203" s="240"/>
      <c r="HI2203" s="239" t="s">
        <v>2286</v>
      </c>
    </row>
    <row r="2204" spans="1:242" s="239" customFormat="1" x14ac:dyDescent="0.25">
      <c r="A2204" s="239">
        <v>102</v>
      </c>
      <c r="B2204" s="240" t="s">
        <v>4264</v>
      </c>
      <c r="C2204" s="239" t="s">
        <v>2177</v>
      </c>
      <c r="E2204" s="239">
        <v>2000</v>
      </c>
      <c r="F2204" s="239">
        <v>1995</v>
      </c>
      <c r="G2204" s="239" t="s">
        <v>2045</v>
      </c>
      <c r="H2204" s="239" t="s">
        <v>2178</v>
      </c>
      <c r="I2204" s="245" t="s">
        <v>2816</v>
      </c>
      <c r="J2204" s="239">
        <v>50.29</v>
      </c>
      <c r="K2204" s="239">
        <v>-107.8</v>
      </c>
      <c r="L2204" s="239">
        <v>817</v>
      </c>
      <c r="M2204" s="239">
        <v>3.3</v>
      </c>
      <c r="O2204" s="239">
        <v>350</v>
      </c>
      <c r="R2204" s="239">
        <v>9</v>
      </c>
      <c r="S2204" s="239">
        <v>9</v>
      </c>
      <c r="U2204" s="239" t="s">
        <v>2283</v>
      </c>
      <c r="V2204" s="238" t="s">
        <v>1381</v>
      </c>
      <c r="W2204" s="239">
        <v>7.5</v>
      </c>
      <c r="X2204" s="238" t="s">
        <v>1380</v>
      </c>
      <c r="Y2204" s="238" t="s">
        <v>1382</v>
      </c>
      <c r="Z2204" s="451">
        <v>1.34596</v>
      </c>
      <c r="AA2204" s="383"/>
      <c r="AB2204" s="383"/>
      <c r="AC2204" s="239" t="s">
        <v>139</v>
      </c>
      <c r="AE2204" s="239">
        <v>1.8</v>
      </c>
      <c r="AG2204" s="239" t="s">
        <v>2179</v>
      </c>
      <c r="AH2204" s="239" t="s">
        <v>2180</v>
      </c>
      <c r="AI2204" s="239" t="s">
        <v>577</v>
      </c>
      <c r="AJ2204" s="239" t="s">
        <v>2181</v>
      </c>
      <c r="AK2204" s="239" t="s">
        <v>116</v>
      </c>
      <c r="AO2204" s="239" t="s">
        <v>1046</v>
      </c>
      <c r="AQ2204" s="239" t="s">
        <v>2126</v>
      </c>
      <c r="AR2204" s="239" t="s">
        <v>2126</v>
      </c>
      <c r="AT2204" s="239" t="s">
        <v>2182</v>
      </c>
      <c r="AW2204" s="239" t="s">
        <v>160</v>
      </c>
      <c r="AX2204" s="239">
        <v>3</v>
      </c>
      <c r="AZ2204" s="239" t="s">
        <v>141</v>
      </c>
      <c r="BN2204" s="242"/>
      <c r="BP2204" s="451">
        <v>1.34596</v>
      </c>
      <c r="BQ2204" s="451">
        <v>1.3477000000000001</v>
      </c>
      <c r="BU2204" s="451">
        <v>1.61</v>
      </c>
      <c r="BV2204" s="451">
        <v>1.7</v>
      </c>
      <c r="BY2204" s="239" t="s">
        <v>2284</v>
      </c>
      <c r="BZ2204" s="451"/>
      <c r="CA2204" s="451"/>
      <c r="CD2204" s="239" t="s">
        <v>3120</v>
      </c>
      <c r="CE2204" s="597">
        <v>1.61</v>
      </c>
      <c r="CF2204" s="597">
        <v>1.7</v>
      </c>
      <c r="CG2204" s="597"/>
      <c r="CH2204" s="597"/>
      <c r="CI2204" s="239" t="s">
        <v>4546</v>
      </c>
      <c r="CJ2204" s="239">
        <v>1670</v>
      </c>
      <c r="CK2204" s="239">
        <v>1330</v>
      </c>
      <c r="CN2204" s="239" t="s">
        <v>2285</v>
      </c>
      <c r="FU2204" s="240"/>
      <c r="HE2204" s="239">
        <v>49</v>
      </c>
      <c r="HF2204" s="239">
        <v>39</v>
      </c>
      <c r="HI2204" s="239" t="s">
        <v>2286</v>
      </c>
    </row>
    <row r="2205" spans="1:242" s="164" customFormat="1" x14ac:dyDescent="0.25">
      <c r="A2205" s="164">
        <v>103</v>
      </c>
      <c r="B2205" s="165" t="s">
        <v>4265</v>
      </c>
      <c r="C2205" s="164" t="s">
        <v>2224</v>
      </c>
      <c r="E2205" s="164">
        <v>2009</v>
      </c>
      <c r="G2205" s="164" t="s">
        <v>2225</v>
      </c>
      <c r="H2205" s="164" t="s">
        <v>2226</v>
      </c>
      <c r="I2205" s="164" t="s">
        <v>1109</v>
      </c>
      <c r="J2205" s="164">
        <v>52.13</v>
      </c>
      <c r="K2205" s="164">
        <v>13.22</v>
      </c>
      <c r="L2205" s="164">
        <v>32</v>
      </c>
      <c r="M2205" s="164">
        <v>8</v>
      </c>
      <c r="O2205" s="164">
        <v>586</v>
      </c>
      <c r="R2205" s="164">
        <v>44</v>
      </c>
      <c r="S2205" s="164">
        <v>44</v>
      </c>
      <c r="V2205" s="164" t="s">
        <v>1389</v>
      </c>
      <c r="W2205" s="164">
        <v>30</v>
      </c>
      <c r="X2205" s="164" t="s">
        <v>1389</v>
      </c>
      <c r="Y2205" s="164" t="s">
        <v>1389</v>
      </c>
      <c r="Z2205" s="164">
        <v>1.61</v>
      </c>
      <c r="AA2205" s="381"/>
      <c r="AB2205" s="381"/>
      <c r="AG2205" s="164" t="s">
        <v>2227</v>
      </c>
      <c r="AH2205" s="164" t="s">
        <v>131</v>
      </c>
      <c r="AI2205" s="164" t="s">
        <v>131</v>
      </c>
      <c r="AJ2205" s="164" t="s">
        <v>1645</v>
      </c>
      <c r="AK2205" s="164" t="s">
        <v>132</v>
      </c>
      <c r="AL2205" s="164" t="s">
        <v>2228</v>
      </c>
      <c r="AO2205" s="164" t="s">
        <v>2018</v>
      </c>
      <c r="AQ2205" s="164" t="s">
        <v>2125</v>
      </c>
      <c r="AR2205" s="164" t="s">
        <v>2125</v>
      </c>
      <c r="AT2205" s="164" t="s">
        <v>2229</v>
      </c>
      <c r="AW2205" s="164" t="s">
        <v>160</v>
      </c>
      <c r="AY2205" s="164" t="s">
        <v>2135</v>
      </c>
      <c r="BN2205" s="166"/>
      <c r="BP2205" s="433"/>
      <c r="BQ2205" s="433"/>
      <c r="BU2205" s="433">
        <f>(BZ2205*1000000)/(100*100*Z2205*W2205/100*1000000)*100</f>
        <v>0.45548654244306408</v>
      </c>
      <c r="BV2205" s="433">
        <f>(CA2205*1000000)/(100*100*Z2205*W2205/100*1000000)*100</f>
        <v>0.43478260869565211</v>
      </c>
      <c r="BZ2205" s="433">
        <v>22</v>
      </c>
      <c r="CA2205" s="433">
        <v>21</v>
      </c>
      <c r="CD2205" s="164" t="s">
        <v>2095</v>
      </c>
      <c r="CE2205" s="586">
        <v>22</v>
      </c>
      <c r="CF2205" s="586">
        <v>21</v>
      </c>
      <c r="CG2205" s="586"/>
      <c r="CH2205" s="586"/>
      <c r="CI2205" s="164" t="s">
        <v>4551</v>
      </c>
      <c r="FU2205" s="165"/>
    </row>
    <row r="2206" spans="1:242" s="164" customFormat="1" x14ac:dyDescent="0.25">
      <c r="A2206" s="164">
        <v>103</v>
      </c>
      <c r="B2206" s="165" t="s">
        <v>4265</v>
      </c>
      <c r="C2206" s="164" t="s">
        <v>2224</v>
      </c>
      <c r="E2206" s="164">
        <v>2009</v>
      </c>
      <c r="G2206" s="164" t="s">
        <v>2225</v>
      </c>
      <c r="H2206" s="164" t="s">
        <v>2226</v>
      </c>
      <c r="I2206" s="164" t="s">
        <v>1109</v>
      </c>
      <c r="J2206" s="164">
        <v>52.13</v>
      </c>
      <c r="K2206" s="164">
        <v>13.22</v>
      </c>
      <c r="L2206" s="164">
        <v>32</v>
      </c>
      <c r="M2206" s="164">
        <v>8</v>
      </c>
      <c r="O2206" s="164">
        <v>586</v>
      </c>
      <c r="R2206" s="164">
        <v>44</v>
      </c>
      <c r="S2206" s="164">
        <v>44</v>
      </c>
      <c r="V2206" s="164" t="s">
        <v>1389</v>
      </c>
      <c r="W2206" s="164">
        <v>30</v>
      </c>
      <c r="X2206" s="164" t="s">
        <v>1389</v>
      </c>
      <c r="Y2206" s="164" t="s">
        <v>1389</v>
      </c>
      <c r="Z2206" s="164">
        <v>1.61</v>
      </c>
      <c r="AA2206" s="381"/>
      <c r="AB2206" s="381"/>
      <c r="AG2206" s="164" t="s">
        <v>2227</v>
      </c>
      <c r="AH2206" s="164" t="s">
        <v>131</v>
      </c>
      <c r="AI2206" s="164" t="s">
        <v>131</v>
      </c>
      <c r="AJ2206" s="164" t="s">
        <v>1645</v>
      </c>
      <c r="AK2206" s="164" t="s">
        <v>132</v>
      </c>
      <c r="AL2206" s="164" t="s">
        <v>2228</v>
      </c>
      <c r="AO2206" s="164" t="s">
        <v>2018</v>
      </c>
      <c r="AQ2206" s="164" t="s">
        <v>2125</v>
      </c>
      <c r="AR2206" s="164" t="s">
        <v>2125</v>
      </c>
      <c r="AT2206" s="164" t="s">
        <v>2229</v>
      </c>
      <c r="AW2206" s="164" t="s">
        <v>160</v>
      </c>
      <c r="AY2206" s="164" t="s">
        <v>2135</v>
      </c>
      <c r="BN2206" s="166"/>
      <c r="BP2206" s="433"/>
      <c r="BQ2206" s="433"/>
      <c r="BU2206" s="433">
        <f>(BZ2206*1000000)/(100*100*Z2206*W2206/100*1000000)*100</f>
        <v>0.47826086956521729</v>
      </c>
      <c r="BV2206" s="433">
        <f>(CA2206*1000000)/(100*100*Z2206*W2206/100*1000000)*100</f>
        <v>0.50310559006211175</v>
      </c>
      <c r="BZ2206" s="433">
        <v>23.1</v>
      </c>
      <c r="CA2206" s="433">
        <v>24.3</v>
      </c>
      <c r="CD2206" s="164" t="s">
        <v>2095</v>
      </c>
      <c r="CE2206" s="586">
        <v>23.1</v>
      </c>
      <c r="CF2206" s="586">
        <v>24.3</v>
      </c>
      <c r="CG2206" s="586"/>
      <c r="CH2206" s="586"/>
      <c r="CI2206" s="164" t="s">
        <v>4551</v>
      </c>
      <c r="FU2206" s="165"/>
    </row>
    <row r="2207" spans="1:242" s="239" customFormat="1" x14ac:dyDescent="0.25">
      <c r="A2207" s="239">
        <v>104</v>
      </c>
      <c r="B2207" s="240" t="s">
        <v>4266</v>
      </c>
      <c r="C2207" s="239" t="s">
        <v>2183</v>
      </c>
      <c r="E2207" s="239">
        <v>2011</v>
      </c>
      <c r="F2207" s="239">
        <v>1993</v>
      </c>
      <c r="G2207" s="239" t="s">
        <v>1749</v>
      </c>
      <c r="H2207" s="239" t="s">
        <v>2184</v>
      </c>
      <c r="I2207" s="239" t="s">
        <v>2820</v>
      </c>
      <c r="J2207" s="239">
        <v>43.68</v>
      </c>
      <c r="K2207" s="239">
        <v>10.35</v>
      </c>
      <c r="L2207" s="239">
        <v>1.7</v>
      </c>
      <c r="M2207" s="239">
        <v>14.3</v>
      </c>
      <c r="O2207" s="239">
        <v>900</v>
      </c>
      <c r="R2207" s="239">
        <v>1</v>
      </c>
      <c r="S2207" s="239">
        <v>15</v>
      </c>
      <c r="U2207" s="239" t="s">
        <v>1995</v>
      </c>
      <c r="V2207" s="239" t="s">
        <v>1388</v>
      </c>
      <c r="W2207" s="239">
        <v>10</v>
      </c>
      <c r="X2207" s="239" t="s">
        <v>1388</v>
      </c>
      <c r="Y2207" s="239" t="s">
        <v>1389</v>
      </c>
      <c r="Z2207" s="239">
        <v>1.4</v>
      </c>
      <c r="AA2207" s="383">
        <v>44.3</v>
      </c>
      <c r="AB2207" s="383">
        <v>40.200000000000003</v>
      </c>
      <c r="AC2207" s="239" t="s">
        <v>139</v>
      </c>
      <c r="AD2207" s="239">
        <v>8.1999999999999993</v>
      </c>
      <c r="AG2207" s="239" t="s">
        <v>2185</v>
      </c>
      <c r="AH2207" s="239" t="s">
        <v>1753</v>
      </c>
      <c r="AI2207" s="239" t="s">
        <v>131</v>
      </c>
      <c r="AJ2207" s="239" t="s">
        <v>2186</v>
      </c>
      <c r="AK2207" s="239" t="s">
        <v>132</v>
      </c>
      <c r="AL2207" s="239" t="s">
        <v>2186</v>
      </c>
      <c r="AO2207" s="393" t="s">
        <v>2187</v>
      </c>
      <c r="AQ2207" s="239" t="s">
        <v>2125</v>
      </c>
      <c r="AR2207" s="239" t="s">
        <v>2125</v>
      </c>
      <c r="AT2207" s="239" t="s">
        <v>2188</v>
      </c>
      <c r="AW2207" s="239" t="s">
        <v>160</v>
      </c>
      <c r="AY2207" s="239">
        <v>2</v>
      </c>
      <c r="BN2207" s="242"/>
      <c r="BP2207" s="451">
        <v>1.4</v>
      </c>
      <c r="BQ2207" s="451">
        <v>1.39</v>
      </c>
      <c r="BU2207" s="451">
        <v>1.1200000000000001</v>
      </c>
      <c r="BV2207" s="451">
        <v>1.1299999999999999</v>
      </c>
      <c r="BY2207" s="239" t="s">
        <v>2284</v>
      </c>
      <c r="BZ2207" s="451"/>
      <c r="CA2207" s="451"/>
      <c r="CD2207" s="239" t="s">
        <v>3120</v>
      </c>
      <c r="CE2207" s="597">
        <v>1.1200000000000001</v>
      </c>
      <c r="CF2207" s="597">
        <v>1.1299999999999999</v>
      </c>
      <c r="CG2207" s="597"/>
      <c r="CH2207" s="597"/>
      <c r="CI2207" s="239" t="s">
        <v>4546</v>
      </c>
      <c r="FU2207" s="240"/>
    </row>
    <row r="2208" spans="1:242" s="239" customFormat="1" x14ac:dyDescent="0.25">
      <c r="A2208" s="239">
        <v>104</v>
      </c>
      <c r="B2208" s="240" t="s">
        <v>4266</v>
      </c>
      <c r="C2208" s="239" t="s">
        <v>2183</v>
      </c>
      <c r="E2208" s="239">
        <v>2011</v>
      </c>
      <c r="F2208" s="239">
        <v>1993</v>
      </c>
      <c r="G2208" s="239" t="s">
        <v>1749</v>
      </c>
      <c r="H2208" s="239" t="s">
        <v>2184</v>
      </c>
      <c r="I2208" s="239" t="s">
        <v>2820</v>
      </c>
      <c r="J2208" s="239">
        <v>43.68</v>
      </c>
      <c r="K2208" s="239">
        <v>10.35</v>
      </c>
      <c r="L2208" s="239">
        <v>1.7</v>
      </c>
      <c r="M2208" s="239">
        <v>14.3</v>
      </c>
      <c r="O2208" s="239">
        <v>900</v>
      </c>
      <c r="R2208" s="239">
        <v>1</v>
      </c>
      <c r="S2208" s="239">
        <v>15</v>
      </c>
      <c r="U2208" s="239" t="s">
        <v>1995</v>
      </c>
      <c r="V2208" s="239" t="s">
        <v>1388</v>
      </c>
      <c r="W2208" s="239">
        <v>10</v>
      </c>
      <c r="X2208" s="239" t="s">
        <v>1388</v>
      </c>
      <c r="Y2208" s="239" t="s">
        <v>1389</v>
      </c>
      <c r="Z2208" s="239">
        <v>1.4</v>
      </c>
      <c r="AA2208" s="383">
        <v>44.3</v>
      </c>
      <c r="AB2208" s="383">
        <v>40.200000000000003</v>
      </c>
      <c r="AC2208" s="239" t="s">
        <v>139</v>
      </c>
      <c r="AD2208" s="239">
        <v>8.1999999999999993</v>
      </c>
      <c r="AG2208" s="239" t="s">
        <v>2185</v>
      </c>
      <c r="AH2208" s="239" t="s">
        <v>1753</v>
      </c>
      <c r="AI2208" s="239" t="s">
        <v>131</v>
      </c>
      <c r="AJ2208" s="239" t="s">
        <v>2186</v>
      </c>
      <c r="AK2208" s="239" t="s">
        <v>132</v>
      </c>
      <c r="AL2208" s="239" t="s">
        <v>2186</v>
      </c>
      <c r="AO2208" s="393" t="s">
        <v>2187</v>
      </c>
      <c r="AQ2208" s="239" t="s">
        <v>2125</v>
      </c>
      <c r="AR2208" s="239" t="s">
        <v>2125</v>
      </c>
      <c r="AT2208" s="239" t="s">
        <v>2188</v>
      </c>
      <c r="AW2208" s="239" t="s">
        <v>160</v>
      </c>
      <c r="AY2208" s="239">
        <v>2</v>
      </c>
      <c r="BN2208" s="242"/>
      <c r="BP2208" s="451">
        <v>1.4</v>
      </c>
      <c r="BQ2208" s="451">
        <v>1.4</v>
      </c>
      <c r="BU2208" s="451">
        <v>1.1200000000000001</v>
      </c>
      <c r="BV2208" s="451">
        <v>1.08</v>
      </c>
      <c r="BY2208" s="239" t="s">
        <v>2284</v>
      </c>
      <c r="BZ2208" s="451"/>
      <c r="CA2208" s="451"/>
      <c r="CD2208" s="239" t="s">
        <v>3120</v>
      </c>
      <c r="CE2208" s="597">
        <v>1.1200000000000001</v>
      </c>
      <c r="CF2208" s="597">
        <v>1.08</v>
      </c>
      <c r="CG2208" s="597"/>
      <c r="CH2208" s="597"/>
      <c r="CI2208" s="239" t="s">
        <v>4546</v>
      </c>
      <c r="FU2208" s="240"/>
    </row>
    <row r="2209" spans="1:177" s="239" customFormat="1" x14ac:dyDescent="0.25">
      <c r="A2209" s="239">
        <v>104</v>
      </c>
      <c r="B2209" s="240" t="s">
        <v>4267</v>
      </c>
      <c r="C2209" s="239" t="s">
        <v>2183</v>
      </c>
      <c r="E2209" s="239">
        <v>2011</v>
      </c>
      <c r="F2209" s="239">
        <v>1993</v>
      </c>
      <c r="G2209" s="239" t="s">
        <v>1749</v>
      </c>
      <c r="H2209" s="239" t="s">
        <v>2184</v>
      </c>
      <c r="I2209" s="239" t="s">
        <v>2820</v>
      </c>
      <c r="J2209" s="239">
        <v>43.68</v>
      </c>
      <c r="K2209" s="239">
        <v>10.35</v>
      </c>
      <c r="L2209" s="239">
        <v>1.7</v>
      </c>
      <c r="M2209" s="239">
        <v>14.3</v>
      </c>
      <c r="O2209" s="239">
        <v>900</v>
      </c>
      <c r="R2209" s="239">
        <v>1</v>
      </c>
      <c r="S2209" s="239">
        <v>15</v>
      </c>
      <c r="U2209" s="239" t="s">
        <v>1995</v>
      </c>
      <c r="V2209" s="239" t="s">
        <v>1388</v>
      </c>
      <c r="W2209" s="239">
        <v>10</v>
      </c>
      <c r="X2209" s="239" t="s">
        <v>1388</v>
      </c>
      <c r="Y2209" s="239" t="s">
        <v>1389</v>
      </c>
      <c r="Z2209" s="239">
        <v>1.4</v>
      </c>
      <c r="AA2209" s="383">
        <v>44.3</v>
      </c>
      <c r="AB2209" s="383">
        <v>40.200000000000003</v>
      </c>
      <c r="AC2209" s="239" t="s">
        <v>139</v>
      </c>
      <c r="AD2209" s="239">
        <v>8.1999999999999993</v>
      </c>
      <c r="AG2209" s="239" t="s">
        <v>2185</v>
      </c>
      <c r="AH2209" s="239" t="s">
        <v>2189</v>
      </c>
      <c r="AI2209" s="239" t="s">
        <v>131</v>
      </c>
      <c r="AJ2209" s="239" t="s">
        <v>2289</v>
      </c>
      <c r="AK2209" s="239" t="s">
        <v>1612</v>
      </c>
      <c r="AL2209" s="239" t="s">
        <v>2190</v>
      </c>
      <c r="AO2209" s="393" t="s">
        <v>2187</v>
      </c>
      <c r="AQ2209" s="239" t="s">
        <v>2125</v>
      </c>
      <c r="AR2209" s="239" t="s">
        <v>2125</v>
      </c>
      <c r="AT2209" s="239" t="s">
        <v>2188</v>
      </c>
      <c r="AW2209" s="239" t="s">
        <v>160</v>
      </c>
      <c r="AY2209" s="239">
        <v>2</v>
      </c>
      <c r="BN2209" s="242"/>
      <c r="BP2209" s="451">
        <v>1.4</v>
      </c>
      <c r="BQ2209" s="451">
        <v>1.38</v>
      </c>
      <c r="BU2209" s="451">
        <v>1.1200000000000001</v>
      </c>
      <c r="BV2209" s="451">
        <v>1.0900000000000001</v>
      </c>
      <c r="BY2209" s="239" t="s">
        <v>2284</v>
      </c>
      <c r="BZ2209" s="451"/>
      <c r="CA2209" s="451"/>
      <c r="CD2209" s="239" t="s">
        <v>3120</v>
      </c>
      <c r="CE2209" s="597">
        <v>1.1200000000000001</v>
      </c>
      <c r="CF2209" s="597">
        <v>1.0900000000000001</v>
      </c>
      <c r="CG2209" s="597"/>
      <c r="CH2209" s="597"/>
      <c r="CI2209" s="239" t="s">
        <v>4546</v>
      </c>
      <c r="FU2209" s="240"/>
    </row>
    <row r="2210" spans="1:177" s="456" customFormat="1" x14ac:dyDescent="0.25">
      <c r="A2210" s="456">
        <v>104</v>
      </c>
      <c r="B2210" s="461" t="s">
        <v>4266</v>
      </c>
      <c r="C2210" s="456" t="s">
        <v>2183</v>
      </c>
      <c r="E2210" s="456">
        <v>2011</v>
      </c>
      <c r="F2210" s="456">
        <v>1998</v>
      </c>
      <c r="G2210" s="456" t="s">
        <v>1749</v>
      </c>
      <c r="H2210" s="456" t="s">
        <v>2184</v>
      </c>
      <c r="I2210" s="239" t="s">
        <v>2820</v>
      </c>
      <c r="J2210" s="456">
        <v>43.68</v>
      </c>
      <c r="K2210" s="456">
        <v>10.35</v>
      </c>
      <c r="L2210" s="239">
        <v>1.7</v>
      </c>
      <c r="M2210" s="456">
        <v>14.3</v>
      </c>
      <c r="O2210" s="456">
        <v>900</v>
      </c>
      <c r="R2210" s="456">
        <v>6</v>
      </c>
      <c r="S2210" s="456">
        <v>15</v>
      </c>
      <c r="U2210" s="456" t="s">
        <v>1995</v>
      </c>
      <c r="V2210" s="456" t="s">
        <v>1388</v>
      </c>
      <c r="W2210" s="456">
        <v>10</v>
      </c>
      <c r="X2210" s="456" t="s">
        <v>1388</v>
      </c>
      <c r="Y2210" s="456" t="s">
        <v>1389</v>
      </c>
      <c r="Z2210" s="456">
        <v>1.4</v>
      </c>
      <c r="AA2210" s="457">
        <v>44.3</v>
      </c>
      <c r="AB2210" s="457">
        <v>40.200000000000003</v>
      </c>
      <c r="AC2210" s="456" t="s">
        <v>139</v>
      </c>
      <c r="AD2210" s="456">
        <v>8.1999999999999993</v>
      </c>
      <c r="AG2210" s="456" t="s">
        <v>2185</v>
      </c>
      <c r="AH2210" s="456" t="s">
        <v>2189</v>
      </c>
      <c r="AI2210" s="456" t="s">
        <v>131</v>
      </c>
      <c r="AJ2210" s="456" t="s">
        <v>2289</v>
      </c>
      <c r="AK2210" s="456" t="s">
        <v>1612</v>
      </c>
      <c r="AL2210" s="456" t="s">
        <v>2190</v>
      </c>
      <c r="AO2210" s="458" t="s">
        <v>2187</v>
      </c>
      <c r="AQ2210" s="239" t="s">
        <v>2125</v>
      </c>
      <c r="AR2210" s="239" t="s">
        <v>2125</v>
      </c>
      <c r="AT2210" s="456" t="s">
        <v>2188</v>
      </c>
      <c r="AW2210" s="456" t="s">
        <v>160</v>
      </c>
      <c r="AY2210" s="456">
        <v>2</v>
      </c>
      <c r="BA2210" s="456">
        <f>43500/15</f>
        <v>2900</v>
      </c>
      <c r="BF2210" s="456">
        <f>1/15*1000*57.9</f>
        <v>3860</v>
      </c>
      <c r="BG2210" s="456">
        <f>1/15*1000*55.8</f>
        <v>3720</v>
      </c>
      <c r="BJ2210" s="456" t="s">
        <v>2290</v>
      </c>
      <c r="BN2210" s="459"/>
      <c r="BP2210" s="460">
        <v>1.4</v>
      </c>
      <c r="BQ2210" s="460">
        <v>1.39</v>
      </c>
      <c r="BU2210" s="460">
        <v>1.1000000000000001</v>
      </c>
      <c r="BV2210" s="460">
        <v>1.17</v>
      </c>
      <c r="BY2210" s="456" t="s">
        <v>2284</v>
      </c>
      <c r="BZ2210" s="460"/>
      <c r="CA2210" s="460"/>
      <c r="CD2210" s="239" t="s">
        <v>3120</v>
      </c>
      <c r="CE2210" s="601">
        <v>1.1000000000000001</v>
      </c>
      <c r="CF2210" s="601">
        <v>1.17</v>
      </c>
      <c r="CG2210" s="601"/>
      <c r="CH2210" s="601"/>
      <c r="CI2210" s="239" t="s">
        <v>4546</v>
      </c>
      <c r="FU2210" s="461"/>
    </row>
    <row r="2211" spans="1:177" s="456" customFormat="1" x14ac:dyDescent="0.25">
      <c r="A2211" s="456">
        <v>104</v>
      </c>
      <c r="B2211" s="461" t="s">
        <v>4268</v>
      </c>
      <c r="C2211" s="456" t="s">
        <v>2183</v>
      </c>
      <c r="E2211" s="456">
        <v>2011</v>
      </c>
      <c r="F2211" s="456">
        <v>1998</v>
      </c>
      <c r="G2211" s="456" t="s">
        <v>1749</v>
      </c>
      <c r="H2211" s="456" t="s">
        <v>2184</v>
      </c>
      <c r="I2211" s="239" t="s">
        <v>2820</v>
      </c>
      <c r="J2211" s="456">
        <v>43.68</v>
      </c>
      <c r="K2211" s="456">
        <v>10.35</v>
      </c>
      <c r="L2211" s="239">
        <v>1.7</v>
      </c>
      <c r="M2211" s="456">
        <v>14.3</v>
      </c>
      <c r="O2211" s="456">
        <v>900</v>
      </c>
      <c r="R2211" s="456">
        <v>6</v>
      </c>
      <c r="S2211" s="456">
        <v>15</v>
      </c>
      <c r="U2211" s="456" t="s">
        <v>1995</v>
      </c>
      <c r="V2211" s="456" t="s">
        <v>1388</v>
      </c>
      <c r="W2211" s="456">
        <v>10</v>
      </c>
      <c r="X2211" s="456" t="s">
        <v>1388</v>
      </c>
      <c r="Y2211" s="456" t="s">
        <v>1389</v>
      </c>
      <c r="Z2211" s="456">
        <v>1.4</v>
      </c>
      <c r="AA2211" s="457">
        <v>44.3</v>
      </c>
      <c r="AB2211" s="457">
        <v>40.200000000000003</v>
      </c>
      <c r="AC2211" s="456" t="s">
        <v>139</v>
      </c>
      <c r="AD2211" s="456">
        <v>8.1999999999999993</v>
      </c>
      <c r="AG2211" s="456" t="s">
        <v>2185</v>
      </c>
      <c r="AH2211" s="456" t="s">
        <v>2042</v>
      </c>
      <c r="AI2211" s="456" t="s">
        <v>577</v>
      </c>
      <c r="AJ2211" s="456" t="s">
        <v>2186</v>
      </c>
      <c r="AK2211" s="456" t="s">
        <v>132</v>
      </c>
      <c r="AL2211" s="456" t="s">
        <v>2186</v>
      </c>
      <c r="AO2211" s="458" t="s">
        <v>2187</v>
      </c>
      <c r="AQ2211" s="239" t="s">
        <v>2125</v>
      </c>
      <c r="AR2211" s="239" t="s">
        <v>2125</v>
      </c>
      <c r="AT2211" s="456" t="s">
        <v>2188</v>
      </c>
      <c r="AW2211" s="456" t="s">
        <v>160</v>
      </c>
      <c r="AY2211" s="456">
        <v>2</v>
      </c>
      <c r="BA2211" s="456">
        <f>36000/15</f>
        <v>2400</v>
      </c>
      <c r="BF2211" s="456">
        <f>1/15*1000*57.9</f>
        <v>3860</v>
      </c>
      <c r="BG2211" s="456">
        <f>1/15*1000*62.5</f>
        <v>4166.666666666667</v>
      </c>
      <c r="BJ2211" s="456" t="s">
        <v>2290</v>
      </c>
      <c r="BN2211" s="459"/>
      <c r="BP2211" s="460">
        <v>1.4</v>
      </c>
      <c r="BQ2211" s="460">
        <v>1.4</v>
      </c>
      <c r="BU2211" s="460">
        <v>1.1000000000000001</v>
      </c>
      <c r="BV2211" s="460">
        <v>1.1399999999999999</v>
      </c>
      <c r="BY2211" s="456" t="s">
        <v>2284</v>
      </c>
      <c r="BZ2211" s="460"/>
      <c r="CA2211" s="460"/>
      <c r="CD2211" s="239" t="s">
        <v>3120</v>
      </c>
      <c r="CE2211" s="601">
        <v>1.1000000000000001</v>
      </c>
      <c r="CF2211" s="601">
        <v>1.1399999999999999</v>
      </c>
      <c r="CG2211" s="601"/>
      <c r="CH2211" s="601"/>
      <c r="CI2211" s="239" t="s">
        <v>4546</v>
      </c>
      <c r="FU2211" s="461"/>
    </row>
    <row r="2212" spans="1:177" s="456" customFormat="1" x14ac:dyDescent="0.25">
      <c r="A2212" s="456">
        <v>104</v>
      </c>
      <c r="B2212" s="461" t="s">
        <v>4268</v>
      </c>
      <c r="C2212" s="456" t="s">
        <v>2183</v>
      </c>
      <c r="E2212" s="456">
        <v>2011</v>
      </c>
      <c r="F2212" s="456">
        <v>1998</v>
      </c>
      <c r="G2212" s="456" t="s">
        <v>1749</v>
      </c>
      <c r="H2212" s="456" t="s">
        <v>2184</v>
      </c>
      <c r="I2212" s="239" t="s">
        <v>2820</v>
      </c>
      <c r="J2212" s="456">
        <v>43.68</v>
      </c>
      <c r="K2212" s="456">
        <v>10.35</v>
      </c>
      <c r="L2212" s="239">
        <v>1.7</v>
      </c>
      <c r="M2212" s="456">
        <v>14.3</v>
      </c>
      <c r="O2212" s="456">
        <v>900</v>
      </c>
      <c r="R2212" s="456">
        <v>6</v>
      </c>
      <c r="S2212" s="456">
        <v>15</v>
      </c>
      <c r="U2212" s="456" t="s">
        <v>1995</v>
      </c>
      <c r="V2212" s="456" t="s">
        <v>1388</v>
      </c>
      <c r="W2212" s="456">
        <v>10</v>
      </c>
      <c r="X2212" s="456" t="s">
        <v>1388</v>
      </c>
      <c r="Y2212" s="456" t="s">
        <v>1389</v>
      </c>
      <c r="Z2212" s="456">
        <v>1.4</v>
      </c>
      <c r="AA2212" s="457">
        <v>44.3</v>
      </c>
      <c r="AB2212" s="457">
        <v>40.200000000000003</v>
      </c>
      <c r="AC2212" s="456" t="s">
        <v>139</v>
      </c>
      <c r="AD2212" s="456">
        <v>8.1999999999999993</v>
      </c>
      <c r="AG2212" s="456" t="s">
        <v>2185</v>
      </c>
      <c r="AH2212" s="456" t="s">
        <v>2042</v>
      </c>
      <c r="AI2212" s="456" t="s">
        <v>577</v>
      </c>
      <c r="AJ2212" s="456" t="s">
        <v>2186</v>
      </c>
      <c r="AK2212" s="456" t="s">
        <v>132</v>
      </c>
      <c r="AL2212" s="456" t="s">
        <v>2186</v>
      </c>
      <c r="AO2212" s="458" t="s">
        <v>2187</v>
      </c>
      <c r="AQ2212" s="239" t="s">
        <v>2125</v>
      </c>
      <c r="AR2212" s="239" t="s">
        <v>2125</v>
      </c>
      <c r="AT2212" s="456" t="s">
        <v>2188</v>
      </c>
      <c r="AW2212" s="456" t="s">
        <v>160</v>
      </c>
      <c r="AY2212" s="456">
        <v>2</v>
      </c>
      <c r="BA2212" s="456">
        <f>42400/15</f>
        <v>2826.6666666666665</v>
      </c>
      <c r="BF2212" s="456">
        <f>1/15*1000*57.9</f>
        <v>3860</v>
      </c>
      <c r="BG2212" s="456">
        <f>1/15*1000*65.1</f>
        <v>4340</v>
      </c>
      <c r="BJ2212" s="456" t="s">
        <v>2290</v>
      </c>
      <c r="BN2212" s="459"/>
      <c r="BP2212" s="460">
        <v>1.4</v>
      </c>
      <c r="BQ2212" s="460">
        <v>1.38</v>
      </c>
      <c r="BU2212" s="460">
        <v>1.1000000000000001</v>
      </c>
      <c r="BV2212" s="460">
        <v>1.2</v>
      </c>
      <c r="BY2212" s="456" t="s">
        <v>2284</v>
      </c>
      <c r="BZ2212" s="460"/>
      <c r="CA2212" s="460"/>
      <c r="CD2212" s="239" t="s">
        <v>3120</v>
      </c>
      <c r="CE2212" s="601">
        <v>1.1000000000000001</v>
      </c>
      <c r="CF2212" s="601">
        <v>1.2</v>
      </c>
      <c r="CG2212" s="601"/>
      <c r="CH2212" s="601"/>
      <c r="CI2212" s="239" t="s">
        <v>4546</v>
      </c>
      <c r="FU2212" s="461"/>
    </row>
    <row r="2213" spans="1:177" s="239" customFormat="1" x14ac:dyDescent="0.25">
      <c r="A2213" s="239">
        <v>104</v>
      </c>
      <c r="B2213" s="240" t="s">
        <v>4269</v>
      </c>
      <c r="C2213" s="239" t="s">
        <v>2183</v>
      </c>
      <c r="E2213" s="239">
        <v>2011</v>
      </c>
      <c r="F2213" s="239">
        <v>2008</v>
      </c>
      <c r="G2213" s="239" t="s">
        <v>1749</v>
      </c>
      <c r="H2213" s="239" t="s">
        <v>2184</v>
      </c>
      <c r="I2213" s="239" t="s">
        <v>2820</v>
      </c>
      <c r="J2213" s="239">
        <v>43.68</v>
      </c>
      <c r="K2213" s="239">
        <v>10.35</v>
      </c>
      <c r="L2213" s="239">
        <v>1.7</v>
      </c>
      <c r="M2213" s="239">
        <v>14.3</v>
      </c>
      <c r="O2213" s="239">
        <v>900</v>
      </c>
      <c r="R2213" s="239">
        <v>15</v>
      </c>
      <c r="S2213" s="239">
        <v>15</v>
      </c>
      <c r="U2213" s="239" t="s">
        <v>1995</v>
      </c>
      <c r="V2213" s="239" t="s">
        <v>1388</v>
      </c>
      <c r="W2213" s="239">
        <v>10</v>
      </c>
      <c r="X2213" s="239" t="s">
        <v>1388</v>
      </c>
      <c r="Y2213" s="239" t="s">
        <v>1389</v>
      </c>
      <c r="Z2213" s="239">
        <v>1.4</v>
      </c>
      <c r="AA2213" s="383">
        <v>44.3</v>
      </c>
      <c r="AB2213" s="383">
        <v>40.200000000000003</v>
      </c>
      <c r="AC2213" s="239" t="s">
        <v>139</v>
      </c>
      <c r="AD2213" s="239">
        <v>8.1999999999999993</v>
      </c>
      <c r="AG2213" s="239" t="s">
        <v>2185</v>
      </c>
      <c r="AH2213" s="239" t="s">
        <v>2042</v>
      </c>
      <c r="AI2213" s="239" t="s">
        <v>577</v>
      </c>
      <c r="AJ2213" s="239" t="s">
        <v>2190</v>
      </c>
      <c r="AK2213" s="239" t="s">
        <v>1612</v>
      </c>
      <c r="AL2213" s="239" t="s">
        <v>2190</v>
      </c>
      <c r="AO2213" s="393" t="s">
        <v>2187</v>
      </c>
      <c r="AQ2213" s="239" t="s">
        <v>2125</v>
      </c>
      <c r="AR2213" s="239" t="s">
        <v>2125</v>
      </c>
      <c r="AT2213" s="239" t="s">
        <v>2188</v>
      </c>
      <c r="AW2213" s="239" t="s">
        <v>160</v>
      </c>
      <c r="AY2213" s="239">
        <v>2</v>
      </c>
      <c r="BN2213" s="242"/>
      <c r="BP2213" s="451">
        <v>1.4</v>
      </c>
      <c r="BQ2213" s="451">
        <v>1.39</v>
      </c>
      <c r="BU2213" s="451">
        <v>1.24</v>
      </c>
      <c r="BV2213" s="451">
        <v>1.31</v>
      </c>
      <c r="BY2213" s="239" t="s">
        <v>2284</v>
      </c>
      <c r="BZ2213" s="451"/>
      <c r="CA2213" s="451"/>
      <c r="CD2213" s="239" t="s">
        <v>3120</v>
      </c>
      <c r="CE2213" s="597">
        <v>1.24</v>
      </c>
      <c r="CF2213" s="597">
        <v>1.31</v>
      </c>
      <c r="CG2213" s="597"/>
      <c r="CH2213" s="597"/>
      <c r="CI2213" s="239" t="s">
        <v>4546</v>
      </c>
      <c r="FU2213" s="240"/>
    </row>
    <row r="2214" spans="1:177" s="239" customFormat="1" x14ac:dyDescent="0.25">
      <c r="A2214" s="239">
        <v>104</v>
      </c>
      <c r="B2214" s="240" t="s">
        <v>4269</v>
      </c>
      <c r="C2214" s="239" t="s">
        <v>2183</v>
      </c>
      <c r="E2214" s="239">
        <v>2011</v>
      </c>
      <c r="F2214" s="239">
        <v>2008</v>
      </c>
      <c r="G2214" s="239" t="s">
        <v>1749</v>
      </c>
      <c r="H2214" s="239" t="s">
        <v>2184</v>
      </c>
      <c r="I2214" s="239" t="s">
        <v>2820</v>
      </c>
      <c r="J2214" s="239">
        <v>43.68</v>
      </c>
      <c r="K2214" s="239">
        <v>10.35</v>
      </c>
      <c r="L2214" s="239">
        <v>1.7</v>
      </c>
      <c r="M2214" s="239">
        <v>14.3</v>
      </c>
      <c r="O2214" s="239">
        <v>900</v>
      </c>
      <c r="R2214" s="239">
        <v>15</v>
      </c>
      <c r="S2214" s="239">
        <v>15</v>
      </c>
      <c r="U2214" s="239" t="s">
        <v>1995</v>
      </c>
      <c r="V2214" s="239" t="s">
        <v>1388</v>
      </c>
      <c r="W2214" s="239">
        <v>10</v>
      </c>
      <c r="X2214" s="239" t="s">
        <v>1388</v>
      </c>
      <c r="Y2214" s="239" t="s">
        <v>1389</v>
      </c>
      <c r="Z2214" s="239">
        <v>1.4</v>
      </c>
      <c r="AA2214" s="383">
        <v>44.3</v>
      </c>
      <c r="AB2214" s="383">
        <v>40.200000000000003</v>
      </c>
      <c r="AC2214" s="239" t="s">
        <v>139</v>
      </c>
      <c r="AD2214" s="239">
        <v>8.1999999999999993</v>
      </c>
      <c r="AG2214" s="239" t="s">
        <v>2185</v>
      </c>
      <c r="AH2214" s="239" t="s">
        <v>2042</v>
      </c>
      <c r="AI2214" s="239" t="s">
        <v>577</v>
      </c>
      <c r="AJ2214" s="239" t="s">
        <v>2190</v>
      </c>
      <c r="AK2214" s="239" t="s">
        <v>1612</v>
      </c>
      <c r="AL2214" s="239" t="s">
        <v>2190</v>
      </c>
      <c r="AO2214" s="393" t="s">
        <v>2187</v>
      </c>
      <c r="AQ2214" s="239" t="s">
        <v>2125</v>
      </c>
      <c r="AR2214" s="239" t="s">
        <v>2125</v>
      </c>
      <c r="AT2214" s="239" t="s">
        <v>2188</v>
      </c>
      <c r="AW2214" s="239" t="s">
        <v>160</v>
      </c>
      <c r="AY2214" s="239">
        <v>2</v>
      </c>
      <c r="BN2214" s="242"/>
      <c r="BP2214" s="451">
        <v>1.4</v>
      </c>
      <c r="BQ2214" s="451">
        <v>1.4</v>
      </c>
      <c r="BU2214" s="451">
        <v>1.24</v>
      </c>
      <c r="BV2214" s="451">
        <v>1.35</v>
      </c>
      <c r="BY2214" s="239" t="s">
        <v>2284</v>
      </c>
      <c r="BZ2214" s="451"/>
      <c r="CA2214" s="451"/>
      <c r="CD2214" s="239" t="s">
        <v>3120</v>
      </c>
      <c r="CE2214" s="597">
        <v>1.24</v>
      </c>
      <c r="CF2214" s="597">
        <v>1.35</v>
      </c>
      <c r="CG2214" s="597"/>
      <c r="CH2214" s="597"/>
      <c r="CI2214" s="239" t="s">
        <v>4546</v>
      </c>
      <c r="FU2214" s="240"/>
    </row>
    <row r="2215" spans="1:177" s="239" customFormat="1" x14ac:dyDescent="0.25">
      <c r="A2215" s="239">
        <v>104</v>
      </c>
      <c r="B2215" s="240" t="s">
        <v>4268</v>
      </c>
      <c r="C2215" s="239" t="s">
        <v>2183</v>
      </c>
      <c r="E2215" s="239">
        <v>2011</v>
      </c>
      <c r="F2215" s="239">
        <v>2008</v>
      </c>
      <c r="G2215" s="239" t="s">
        <v>1749</v>
      </c>
      <c r="H2215" s="239" t="s">
        <v>2184</v>
      </c>
      <c r="I2215" s="239" t="s">
        <v>2820</v>
      </c>
      <c r="J2215" s="239">
        <v>43.68</v>
      </c>
      <c r="K2215" s="239">
        <v>10.35</v>
      </c>
      <c r="L2215" s="239">
        <v>1.7</v>
      </c>
      <c r="M2215" s="239">
        <v>14.3</v>
      </c>
      <c r="O2215" s="239">
        <v>900</v>
      </c>
      <c r="R2215" s="239">
        <v>15</v>
      </c>
      <c r="S2215" s="239">
        <v>15</v>
      </c>
      <c r="U2215" s="239" t="s">
        <v>1995</v>
      </c>
      <c r="V2215" s="239" t="s">
        <v>1388</v>
      </c>
      <c r="W2215" s="239">
        <v>10</v>
      </c>
      <c r="X2215" s="239" t="s">
        <v>1388</v>
      </c>
      <c r="Y2215" s="239" t="s">
        <v>1389</v>
      </c>
      <c r="Z2215" s="239">
        <v>1.4</v>
      </c>
      <c r="AA2215" s="383">
        <v>44.3</v>
      </c>
      <c r="AB2215" s="383">
        <v>40.200000000000003</v>
      </c>
      <c r="AC2215" s="239" t="s">
        <v>139</v>
      </c>
      <c r="AD2215" s="239">
        <v>8.1999999999999993</v>
      </c>
      <c r="AG2215" s="239" t="s">
        <v>2185</v>
      </c>
      <c r="AH2215" s="239" t="s">
        <v>2191</v>
      </c>
      <c r="AI2215" s="239" t="s">
        <v>577</v>
      </c>
      <c r="AJ2215" s="239" t="s">
        <v>2186</v>
      </c>
      <c r="AK2215" s="239" t="s">
        <v>132</v>
      </c>
      <c r="AL2215" s="239" t="s">
        <v>2186</v>
      </c>
      <c r="AO2215" s="393" t="s">
        <v>2187</v>
      </c>
      <c r="AQ2215" s="239" t="s">
        <v>2125</v>
      </c>
      <c r="AR2215" s="239" t="s">
        <v>2125</v>
      </c>
      <c r="AT2215" s="239" t="s">
        <v>2188</v>
      </c>
      <c r="AW2215" s="239" t="s">
        <v>160</v>
      </c>
      <c r="AY2215" s="239">
        <v>2</v>
      </c>
      <c r="BN2215" s="242"/>
      <c r="BP2215" s="451">
        <v>1.4</v>
      </c>
      <c r="BQ2215" s="451">
        <v>1.38</v>
      </c>
      <c r="BU2215" s="451">
        <v>1.24</v>
      </c>
      <c r="BV2215" s="451">
        <v>1.37</v>
      </c>
      <c r="BY2215" s="239" t="s">
        <v>2284</v>
      </c>
      <c r="BZ2215" s="451"/>
      <c r="CA2215" s="451"/>
      <c r="CD2215" s="239" t="s">
        <v>3120</v>
      </c>
      <c r="CE2215" s="597">
        <v>1.24</v>
      </c>
      <c r="CF2215" s="597">
        <v>1.37</v>
      </c>
      <c r="CG2215" s="597"/>
      <c r="CH2215" s="597"/>
      <c r="CI2215" s="239" t="s">
        <v>4546</v>
      </c>
      <c r="FU2215" s="240"/>
    </row>
    <row r="2216" spans="1:177" s="245" customFormat="1" x14ac:dyDescent="0.25">
      <c r="A2216" s="245">
        <v>104</v>
      </c>
      <c r="B2216" s="246" t="s">
        <v>4270</v>
      </c>
      <c r="C2216" s="245" t="s">
        <v>2183</v>
      </c>
      <c r="E2216" s="245">
        <v>2011</v>
      </c>
      <c r="F2216" s="245">
        <v>1993</v>
      </c>
      <c r="G2216" s="245" t="s">
        <v>1749</v>
      </c>
      <c r="H2216" s="245" t="s">
        <v>2184</v>
      </c>
      <c r="I2216" s="239" t="s">
        <v>2820</v>
      </c>
      <c r="J2216" s="245">
        <v>43.68</v>
      </c>
      <c r="K2216" s="245">
        <v>10.35</v>
      </c>
      <c r="L2216" s="245">
        <v>1.7</v>
      </c>
      <c r="M2216" s="245">
        <v>14.3</v>
      </c>
      <c r="O2216" s="245">
        <v>900</v>
      </c>
      <c r="R2216" s="245">
        <v>1</v>
      </c>
      <c r="S2216" s="245">
        <v>15</v>
      </c>
      <c r="U2216" s="245" t="s">
        <v>1995</v>
      </c>
      <c r="V2216" s="245" t="s">
        <v>1408</v>
      </c>
      <c r="W2216" s="245">
        <v>20</v>
      </c>
      <c r="X2216" s="245" t="s">
        <v>1388</v>
      </c>
      <c r="Y2216" s="245" t="s">
        <v>1389</v>
      </c>
      <c r="Z2216" s="245">
        <v>1.48</v>
      </c>
      <c r="AA2216" s="367">
        <v>44.3</v>
      </c>
      <c r="AB2216" s="367">
        <v>40.200000000000003</v>
      </c>
      <c r="AC2216" s="245" t="s">
        <v>139</v>
      </c>
      <c r="AD2216" s="245">
        <v>8.1999999999999993</v>
      </c>
      <c r="AG2216" s="245" t="s">
        <v>2185</v>
      </c>
      <c r="AH2216" s="245" t="s">
        <v>1753</v>
      </c>
      <c r="AI2216" s="245" t="s">
        <v>131</v>
      </c>
      <c r="AJ2216" s="245" t="s">
        <v>2186</v>
      </c>
      <c r="AK2216" s="245" t="s">
        <v>132</v>
      </c>
      <c r="AL2216" s="245" t="s">
        <v>2186</v>
      </c>
      <c r="AO2216" s="250" t="s">
        <v>2187</v>
      </c>
      <c r="AQ2216" s="239" t="s">
        <v>2125</v>
      </c>
      <c r="AR2216" s="239" t="s">
        <v>2125</v>
      </c>
      <c r="AT2216" s="245" t="s">
        <v>2188</v>
      </c>
      <c r="AW2216" s="245" t="s">
        <v>160</v>
      </c>
      <c r="AY2216" s="245">
        <v>2</v>
      </c>
      <c r="BN2216" s="248"/>
      <c r="BP2216" s="437">
        <f>(1.47+1.48)/2</f>
        <v>1.4750000000000001</v>
      </c>
      <c r="BQ2216" s="437">
        <f>(1.49+1.48)/2</f>
        <v>1.4849999999999999</v>
      </c>
      <c r="BU2216" s="437">
        <v>1.03</v>
      </c>
      <c r="BV2216" s="437">
        <v>1.05</v>
      </c>
      <c r="BY2216" s="245" t="s">
        <v>2284</v>
      </c>
      <c r="BZ2216" s="437"/>
      <c r="CA2216" s="437"/>
      <c r="CD2216" s="245" t="s">
        <v>3120</v>
      </c>
      <c r="CE2216" s="598">
        <v>1.03</v>
      </c>
      <c r="CF2216" s="598">
        <v>1.05</v>
      </c>
      <c r="CG2216" s="598"/>
      <c r="CH2216" s="598"/>
      <c r="CI2216" s="245" t="s">
        <v>4546</v>
      </c>
      <c r="FU2216" s="246"/>
    </row>
    <row r="2217" spans="1:177" s="245" customFormat="1" x14ac:dyDescent="0.25">
      <c r="A2217" s="245">
        <v>104</v>
      </c>
      <c r="B2217" s="246" t="s">
        <v>4270</v>
      </c>
      <c r="C2217" s="245" t="s">
        <v>2183</v>
      </c>
      <c r="E2217" s="245">
        <v>2011</v>
      </c>
      <c r="F2217" s="245">
        <v>1993</v>
      </c>
      <c r="G2217" s="245" t="s">
        <v>1749</v>
      </c>
      <c r="H2217" s="245" t="s">
        <v>2184</v>
      </c>
      <c r="I2217" s="239" t="s">
        <v>2820</v>
      </c>
      <c r="J2217" s="245">
        <v>43.68</v>
      </c>
      <c r="K2217" s="245">
        <v>10.35</v>
      </c>
      <c r="L2217" s="245">
        <v>1.7</v>
      </c>
      <c r="M2217" s="245">
        <v>14.3</v>
      </c>
      <c r="O2217" s="245">
        <v>900</v>
      </c>
      <c r="R2217" s="245">
        <v>1</v>
      </c>
      <c r="S2217" s="245">
        <v>15</v>
      </c>
      <c r="U2217" s="245" t="s">
        <v>1995</v>
      </c>
      <c r="V2217" s="245" t="s">
        <v>1408</v>
      </c>
      <c r="W2217" s="245">
        <v>20</v>
      </c>
      <c r="X2217" s="245" t="s">
        <v>1388</v>
      </c>
      <c r="Y2217" s="245" t="s">
        <v>1389</v>
      </c>
      <c r="Z2217" s="245">
        <v>1.48</v>
      </c>
      <c r="AA2217" s="367">
        <v>44.3</v>
      </c>
      <c r="AB2217" s="367">
        <v>40.200000000000003</v>
      </c>
      <c r="AC2217" s="245" t="s">
        <v>139</v>
      </c>
      <c r="AD2217" s="245">
        <v>8.1999999999999993</v>
      </c>
      <c r="AG2217" s="245" t="s">
        <v>2185</v>
      </c>
      <c r="AH2217" s="245" t="s">
        <v>1753</v>
      </c>
      <c r="AI2217" s="245" t="s">
        <v>131</v>
      </c>
      <c r="AJ2217" s="245" t="s">
        <v>2186</v>
      </c>
      <c r="AK2217" s="245" t="s">
        <v>132</v>
      </c>
      <c r="AL2217" s="245" t="s">
        <v>2186</v>
      </c>
      <c r="AO2217" s="250" t="s">
        <v>2187</v>
      </c>
      <c r="AQ2217" s="239" t="s">
        <v>2125</v>
      </c>
      <c r="AR2217" s="239" t="s">
        <v>2125</v>
      </c>
      <c r="AT2217" s="245" t="s">
        <v>2188</v>
      </c>
      <c r="AW2217" s="245" t="s">
        <v>160</v>
      </c>
      <c r="AY2217" s="245">
        <v>2</v>
      </c>
      <c r="BN2217" s="248"/>
      <c r="BP2217" s="437">
        <f t="shared" ref="BP2217:BP2224" si="334">(1.47+1.48)/2</f>
        <v>1.4750000000000001</v>
      </c>
      <c r="BQ2217" s="437">
        <f>(1.47+1.5)/2</f>
        <v>1.4849999999999999</v>
      </c>
      <c r="BU2217" s="437">
        <v>1.03</v>
      </c>
      <c r="BV2217" s="437">
        <v>1.02</v>
      </c>
      <c r="BY2217" s="245" t="s">
        <v>2284</v>
      </c>
      <c r="BZ2217" s="437"/>
      <c r="CA2217" s="437"/>
      <c r="CD2217" s="245" t="s">
        <v>3120</v>
      </c>
      <c r="CE2217" s="598">
        <v>1.03</v>
      </c>
      <c r="CF2217" s="598">
        <v>1.02</v>
      </c>
      <c r="CG2217" s="598"/>
      <c r="CH2217" s="598"/>
      <c r="CI2217" s="245" t="s">
        <v>4546</v>
      </c>
      <c r="FU2217" s="246"/>
    </row>
    <row r="2218" spans="1:177" s="245" customFormat="1" x14ac:dyDescent="0.25">
      <c r="A2218" s="245">
        <v>104</v>
      </c>
      <c r="B2218" s="246" t="s">
        <v>4271</v>
      </c>
      <c r="C2218" s="245" t="s">
        <v>2183</v>
      </c>
      <c r="E2218" s="245">
        <v>2011</v>
      </c>
      <c r="F2218" s="245">
        <v>1993</v>
      </c>
      <c r="G2218" s="245" t="s">
        <v>1749</v>
      </c>
      <c r="H2218" s="245" t="s">
        <v>2184</v>
      </c>
      <c r="I2218" s="239" t="s">
        <v>2820</v>
      </c>
      <c r="J2218" s="245">
        <v>43.68</v>
      </c>
      <c r="K2218" s="245">
        <v>10.35</v>
      </c>
      <c r="L2218" s="245">
        <v>1.7</v>
      </c>
      <c r="M2218" s="245">
        <v>14.3</v>
      </c>
      <c r="O2218" s="245">
        <v>900</v>
      </c>
      <c r="R2218" s="245">
        <v>1</v>
      </c>
      <c r="S2218" s="245">
        <v>15</v>
      </c>
      <c r="U2218" s="245" t="s">
        <v>1995</v>
      </c>
      <c r="V2218" s="245" t="s">
        <v>1408</v>
      </c>
      <c r="W2218" s="245">
        <v>20</v>
      </c>
      <c r="X2218" s="245" t="s">
        <v>1388</v>
      </c>
      <c r="Y2218" s="245" t="s">
        <v>1389</v>
      </c>
      <c r="Z2218" s="245">
        <v>1.48</v>
      </c>
      <c r="AA2218" s="367">
        <v>44.3</v>
      </c>
      <c r="AB2218" s="367">
        <v>40.200000000000003</v>
      </c>
      <c r="AC2218" s="245" t="s">
        <v>139</v>
      </c>
      <c r="AD2218" s="245">
        <v>8.1999999999999993</v>
      </c>
      <c r="AG2218" s="245" t="s">
        <v>2185</v>
      </c>
      <c r="AH2218" s="245" t="s">
        <v>2189</v>
      </c>
      <c r="AI2218" s="245" t="s">
        <v>131</v>
      </c>
      <c r="AJ2218" s="245" t="s">
        <v>2289</v>
      </c>
      <c r="AK2218" s="245" t="s">
        <v>1612</v>
      </c>
      <c r="AL2218" s="245" t="s">
        <v>2190</v>
      </c>
      <c r="AO2218" s="250" t="s">
        <v>2187</v>
      </c>
      <c r="AQ2218" s="239" t="s">
        <v>2125</v>
      </c>
      <c r="AR2218" s="239" t="s">
        <v>2125</v>
      </c>
      <c r="AT2218" s="245" t="s">
        <v>2188</v>
      </c>
      <c r="AW2218" s="245" t="s">
        <v>160</v>
      </c>
      <c r="AY2218" s="245">
        <v>2</v>
      </c>
      <c r="BN2218" s="248"/>
      <c r="BP2218" s="437">
        <f t="shared" si="334"/>
        <v>1.4750000000000001</v>
      </c>
      <c r="BQ2218" s="437">
        <f>(1.46+1.5)/2</f>
        <v>1.48</v>
      </c>
      <c r="BU2218" s="437">
        <v>1.03</v>
      </c>
      <c r="BV2218" s="437">
        <v>1.02</v>
      </c>
      <c r="BY2218" s="245" t="s">
        <v>2284</v>
      </c>
      <c r="BZ2218" s="437"/>
      <c r="CA2218" s="437"/>
      <c r="CD2218" s="245" t="s">
        <v>3120</v>
      </c>
      <c r="CE2218" s="598">
        <v>1.03</v>
      </c>
      <c r="CF2218" s="598">
        <v>1.02</v>
      </c>
      <c r="CG2218" s="598"/>
      <c r="CH2218" s="598"/>
      <c r="CI2218" s="245" t="s">
        <v>4546</v>
      </c>
      <c r="FU2218" s="246"/>
    </row>
    <row r="2219" spans="1:177" s="245" customFormat="1" x14ac:dyDescent="0.25">
      <c r="A2219" s="245">
        <v>104</v>
      </c>
      <c r="B2219" s="246" t="s">
        <v>4271</v>
      </c>
      <c r="C2219" s="245" t="s">
        <v>2183</v>
      </c>
      <c r="E2219" s="245">
        <v>2011</v>
      </c>
      <c r="F2219" s="245">
        <v>1998</v>
      </c>
      <c r="G2219" s="245" t="s">
        <v>1749</v>
      </c>
      <c r="H2219" s="245" t="s">
        <v>2184</v>
      </c>
      <c r="I2219" s="239" t="s">
        <v>2820</v>
      </c>
      <c r="J2219" s="245">
        <v>43.68</v>
      </c>
      <c r="K2219" s="245">
        <v>10.35</v>
      </c>
      <c r="L2219" s="245">
        <v>1.7</v>
      </c>
      <c r="M2219" s="245">
        <v>14.3</v>
      </c>
      <c r="O2219" s="245">
        <v>900</v>
      </c>
      <c r="R2219" s="245">
        <v>6</v>
      </c>
      <c r="S2219" s="245">
        <v>15</v>
      </c>
      <c r="U2219" s="245" t="s">
        <v>1995</v>
      </c>
      <c r="V2219" s="245" t="s">
        <v>1408</v>
      </c>
      <c r="W2219" s="245">
        <v>20</v>
      </c>
      <c r="X2219" s="245" t="s">
        <v>1388</v>
      </c>
      <c r="Y2219" s="245" t="s">
        <v>1389</v>
      </c>
      <c r="Z2219" s="245">
        <v>1.48</v>
      </c>
      <c r="AA2219" s="367">
        <v>44.3</v>
      </c>
      <c r="AB2219" s="367">
        <v>40.200000000000003</v>
      </c>
      <c r="AC2219" s="245" t="s">
        <v>139</v>
      </c>
      <c r="AD2219" s="245">
        <v>8.1999999999999993</v>
      </c>
      <c r="AG2219" s="245" t="s">
        <v>2185</v>
      </c>
      <c r="AH2219" s="245" t="s">
        <v>2189</v>
      </c>
      <c r="AI2219" s="245" t="s">
        <v>131</v>
      </c>
      <c r="AJ2219" s="245" t="s">
        <v>2289</v>
      </c>
      <c r="AK2219" s="245" t="s">
        <v>1612</v>
      </c>
      <c r="AL2219" s="245" t="s">
        <v>2190</v>
      </c>
      <c r="AO2219" s="250" t="s">
        <v>2187</v>
      </c>
      <c r="AQ2219" s="239" t="s">
        <v>2125</v>
      </c>
      <c r="AR2219" s="239" t="s">
        <v>2125</v>
      </c>
      <c r="AT2219" s="245" t="s">
        <v>2188</v>
      </c>
      <c r="AW2219" s="245" t="s">
        <v>160</v>
      </c>
      <c r="AY2219" s="245">
        <v>2</v>
      </c>
      <c r="BN2219" s="248"/>
      <c r="BP2219" s="437">
        <f t="shared" si="334"/>
        <v>1.4750000000000001</v>
      </c>
      <c r="BQ2219" s="437">
        <f>(1.49+1.48)/2</f>
        <v>1.4849999999999999</v>
      </c>
      <c r="BU2219" s="437">
        <v>1.02</v>
      </c>
      <c r="BV2219" s="437">
        <v>1.01</v>
      </c>
      <c r="BY2219" s="245" t="s">
        <v>2284</v>
      </c>
      <c r="BZ2219" s="437"/>
      <c r="CA2219" s="437"/>
      <c r="CD2219" s="245" t="s">
        <v>3120</v>
      </c>
      <c r="CE2219" s="598">
        <v>1.02</v>
      </c>
      <c r="CF2219" s="598">
        <v>1.01</v>
      </c>
      <c r="CG2219" s="598"/>
      <c r="CH2219" s="598"/>
      <c r="CI2219" s="245" t="s">
        <v>4546</v>
      </c>
      <c r="FU2219" s="246"/>
    </row>
    <row r="2220" spans="1:177" s="245" customFormat="1" x14ac:dyDescent="0.25">
      <c r="A2220" s="245">
        <v>104</v>
      </c>
      <c r="B2220" s="246" t="s">
        <v>4272</v>
      </c>
      <c r="C2220" s="245" t="s">
        <v>2183</v>
      </c>
      <c r="E2220" s="245">
        <v>2011</v>
      </c>
      <c r="F2220" s="245">
        <v>1998</v>
      </c>
      <c r="G2220" s="245" t="s">
        <v>1749</v>
      </c>
      <c r="H2220" s="245" t="s">
        <v>2184</v>
      </c>
      <c r="I2220" s="239" t="s">
        <v>2820</v>
      </c>
      <c r="J2220" s="245">
        <v>43.68</v>
      </c>
      <c r="K2220" s="245">
        <v>10.35</v>
      </c>
      <c r="L2220" s="245">
        <v>1.7</v>
      </c>
      <c r="M2220" s="245">
        <v>14.3</v>
      </c>
      <c r="O2220" s="245">
        <v>900</v>
      </c>
      <c r="R2220" s="245">
        <v>6</v>
      </c>
      <c r="S2220" s="245">
        <v>15</v>
      </c>
      <c r="U2220" s="245" t="s">
        <v>1995</v>
      </c>
      <c r="V2220" s="245" t="s">
        <v>1408</v>
      </c>
      <c r="W2220" s="245">
        <v>20</v>
      </c>
      <c r="X2220" s="245" t="s">
        <v>1388</v>
      </c>
      <c r="Y2220" s="245" t="s">
        <v>1389</v>
      </c>
      <c r="Z2220" s="245">
        <v>1.48</v>
      </c>
      <c r="AA2220" s="367">
        <v>44.3</v>
      </c>
      <c r="AB2220" s="367">
        <v>40.200000000000003</v>
      </c>
      <c r="AC2220" s="245" t="s">
        <v>139</v>
      </c>
      <c r="AD2220" s="245">
        <v>8.1999999999999993</v>
      </c>
      <c r="AG2220" s="245" t="s">
        <v>2185</v>
      </c>
      <c r="AH2220" s="245" t="s">
        <v>2042</v>
      </c>
      <c r="AI2220" s="245" t="s">
        <v>577</v>
      </c>
      <c r="AJ2220" s="245" t="s">
        <v>2186</v>
      </c>
      <c r="AK2220" s="245" t="s">
        <v>132</v>
      </c>
      <c r="AL2220" s="245" t="s">
        <v>2186</v>
      </c>
      <c r="AO2220" s="250" t="s">
        <v>2187</v>
      </c>
      <c r="AQ2220" s="239" t="s">
        <v>2125</v>
      </c>
      <c r="AR2220" s="239" t="s">
        <v>2125</v>
      </c>
      <c r="AT2220" s="245" t="s">
        <v>2188</v>
      </c>
      <c r="AW2220" s="245" t="s">
        <v>160</v>
      </c>
      <c r="AY2220" s="245">
        <v>2</v>
      </c>
      <c r="BN2220" s="248"/>
      <c r="BP2220" s="437">
        <f t="shared" si="334"/>
        <v>1.4750000000000001</v>
      </c>
      <c r="BQ2220" s="437">
        <f>(1.47+1.5)/2</f>
        <v>1.4849999999999999</v>
      </c>
      <c r="BU2220" s="437">
        <v>1.02</v>
      </c>
      <c r="BV2220" s="437">
        <v>1.01</v>
      </c>
      <c r="BY2220" s="245" t="s">
        <v>2284</v>
      </c>
      <c r="BZ2220" s="437"/>
      <c r="CA2220" s="437"/>
      <c r="CD2220" s="245" t="s">
        <v>3120</v>
      </c>
      <c r="CE2220" s="598">
        <v>1.02</v>
      </c>
      <c r="CF2220" s="598">
        <v>1.01</v>
      </c>
      <c r="CG2220" s="598"/>
      <c r="CH2220" s="598"/>
      <c r="CI2220" s="245" t="s">
        <v>4546</v>
      </c>
      <c r="FU2220" s="246"/>
    </row>
    <row r="2221" spans="1:177" s="245" customFormat="1" x14ac:dyDescent="0.25">
      <c r="A2221" s="245">
        <v>104</v>
      </c>
      <c r="B2221" s="246" t="s">
        <v>4272</v>
      </c>
      <c r="C2221" s="245" t="s">
        <v>2183</v>
      </c>
      <c r="E2221" s="245">
        <v>2011</v>
      </c>
      <c r="F2221" s="245">
        <v>1998</v>
      </c>
      <c r="G2221" s="245" t="s">
        <v>1749</v>
      </c>
      <c r="H2221" s="245" t="s">
        <v>2184</v>
      </c>
      <c r="I2221" s="239" t="s">
        <v>2820</v>
      </c>
      <c r="J2221" s="245">
        <v>43.68</v>
      </c>
      <c r="K2221" s="245">
        <v>10.35</v>
      </c>
      <c r="L2221" s="245">
        <v>1.7</v>
      </c>
      <c r="M2221" s="245">
        <v>14.3</v>
      </c>
      <c r="O2221" s="245">
        <v>900</v>
      </c>
      <c r="R2221" s="245">
        <v>6</v>
      </c>
      <c r="S2221" s="245">
        <v>15</v>
      </c>
      <c r="U2221" s="245" t="s">
        <v>1995</v>
      </c>
      <c r="V2221" s="245" t="s">
        <v>1408</v>
      </c>
      <c r="W2221" s="245">
        <v>20</v>
      </c>
      <c r="X2221" s="245" t="s">
        <v>1388</v>
      </c>
      <c r="Y2221" s="245" t="s">
        <v>1389</v>
      </c>
      <c r="Z2221" s="245">
        <v>1.48</v>
      </c>
      <c r="AA2221" s="367">
        <v>44.3</v>
      </c>
      <c r="AB2221" s="367">
        <v>40.200000000000003</v>
      </c>
      <c r="AC2221" s="245" t="s">
        <v>139</v>
      </c>
      <c r="AD2221" s="245">
        <v>8.1999999999999993</v>
      </c>
      <c r="AG2221" s="245" t="s">
        <v>2185</v>
      </c>
      <c r="AH2221" s="245" t="s">
        <v>2042</v>
      </c>
      <c r="AI2221" s="245" t="s">
        <v>577</v>
      </c>
      <c r="AJ2221" s="245" t="s">
        <v>2186</v>
      </c>
      <c r="AK2221" s="245" t="s">
        <v>132</v>
      </c>
      <c r="AL2221" s="245" t="s">
        <v>2186</v>
      </c>
      <c r="AO2221" s="250" t="s">
        <v>2187</v>
      </c>
      <c r="AQ2221" s="239" t="s">
        <v>2125</v>
      </c>
      <c r="AR2221" s="239" t="s">
        <v>2125</v>
      </c>
      <c r="AT2221" s="245" t="s">
        <v>2188</v>
      </c>
      <c r="AW2221" s="245" t="s">
        <v>160</v>
      </c>
      <c r="AY2221" s="245">
        <v>2</v>
      </c>
      <c r="BN2221" s="248"/>
      <c r="BP2221" s="437">
        <f t="shared" si="334"/>
        <v>1.4750000000000001</v>
      </c>
      <c r="BQ2221" s="437">
        <f>(1.46+1.5)/2</f>
        <v>1.48</v>
      </c>
      <c r="BU2221" s="437">
        <v>1.02</v>
      </c>
      <c r="BV2221" s="437">
        <v>1.02</v>
      </c>
      <c r="BY2221" s="245" t="s">
        <v>2284</v>
      </c>
      <c r="BZ2221" s="437"/>
      <c r="CA2221" s="437"/>
      <c r="CD2221" s="245" t="s">
        <v>3120</v>
      </c>
      <c r="CE2221" s="598">
        <v>1.02</v>
      </c>
      <c r="CF2221" s="598">
        <v>1.02</v>
      </c>
      <c r="CG2221" s="598"/>
      <c r="CH2221" s="598"/>
      <c r="CI2221" s="245" t="s">
        <v>4546</v>
      </c>
      <c r="FU2221" s="246"/>
    </row>
    <row r="2222" spans="1:177" s="245" customFormat="1" x14ac:dyDescent="0.25">
      <c r="A2222" s="245">
        <v>104</v>
      </c>
      <c r="B2222" s="246" t="s">
        <v>4273</v>
      </c>
      <c r="C2222" s="245" t="s">
        <v>2183</v>
      </c>
      <c r="E2222" s="245">
        <v>2011</v>
      </c>
      <c r="F2222" s="245">
        <v>2008</v>
      </c>
      <c r="G2222" s="245" t="s">
        <v>1749</v>
      </c>
      <c r="H2222" s="245" t="s">
        <v>2184</v>
      </c>
      <c r="I2222" s="239" t="s">
        <v>2820</v>
      </c>
      <c r="J2222" s="245">
        <v>43.68</v>
      </c>
      <c r="K2222" s="245">
        <v>10.35</v>
      </c>
      <c r="L2222" s="245">
        <v>1.7</v>
      </c>
      <c r="M2222" s="245">
        <v>14.3</v>
      </c>
      <c r="O2222" s="245">
        <v>900</v>
      </c>
      <c r="R2222" s="245">
        <v>15</v>
      </c>
      <c r="S2222" s="245">
        <v>15</v>
      </c>
      <c r="U2222" s="245" t="s">
        <v>1995</v>
      </c>
      <c r="V2222" s="245" t="s">
        <v>1408</v>
      </c>
      <c r="W2222" s="245">
        <v>20</v>
      </c>
      <c r="X2222" s="245" t="s">
        <v>1388</v>
      </c>
      <c r="Y2222" s="245" t="s">
        <v>1389</v>
      </c>
      <c r="Z2222" s="245">
        <v>1.48</v>
      </c>
      <c r="AA2222" s="367">
        <v>44.3</v>
      </c>
      <c r="AB2222" s="367">
        <v>40.200000000000003</v>
      </c>
      <c r="AC2222" s="245" t="s">
        <v>139</v>
      </c>
      <c r="AD2222" s="245">
        <v>8.1999999999999993</v>
      </c>
      <c r="AG2222" s="245" t="s">
        <v>2185</v>
      </c>
      <c r="AH2222" s="245" t="s">
        <v>2042</v>
      </c>
      <c r="AI2222" s="245" t="s">
        <v>577</v>
      </c>
      <c r="AJ2222" s="245" t="s">
        <v>2190</v>
      </c>
      <c r="AK2222" s="245" t="s">
        <v>1612</v>
      </c>
      <c r="AL2222" s="245" t="s">
        <v>2190</v>
      </c>
      <c r="AO2222" s="250" t="s">
        <v>2187</v>
      </c>
      <c r="AQ2222" s="239" t="s">
        <v>2125</v>
      </c>
      <c r="AR2222" s="239" t="s">
        <v>2125</v>
      </c>
      <c r="AT2222" s="245" t="s">
        <v>2188</v>
      </c>
      <c r="AW2222" s="245" t="s">
        <v>160</v>
      </c>
      <c r="AY2222" s="245">
        <v>2</v>
      </c>
      <c r="BN2222" s="248"/>
      <c r="BP2222" s="437">
        <f t="shared" si="334"/>
        <v>1.4750000000000001</v>
      </c>
      <c r="BQ2222" s="437">
        <f>(1.49+1.48)/2</f>
        <v>1.4849999999999999</v>
      </c>
      <c r="BU2222" s="437">
        <v>0.99</v>
      </c>
      <c r="BV2222" s="437">
        <v>1.02</v>
      </c>
      <c r="BY2222" s="245" t="s">
        <v>2284</v>
      </c>
      <c r="BZ2222" s="437"/>
      <c r="CA2222" s="437"/>
      <c r="CD2222" s="245" t="s">
        <v>3120</v>
      </c>
      <c r="CE2222" s="598">
        <v>0.99</v>
      </c>
      <c r="CF2222" s="598">
        <v>1.02</v>
      </c>
      <c r="CG2222" s="598"/>
      <c r="CH2222" s="598"/>
      <c r="CI2222" s="245" t="s">
        <v>4546</v>
      </c>
      <c r="FU2222" s="246"/>
    </row>
    <row r="2223" spans="1:177" s="245" customFormat="1" x14ac:dyDescent="0.25">
      <c r="A2223" s="245">
        <v>104</v>
      </c>
      <c r="B2223" s="246" t="s">
        <v>4273</v>
      </c>
      <c r="C2223" s="245" t="s">
        <v>2183</v>
      </c>
      <c r="E2223" s="245">
        <v>2011</v>
      </c>
      <c r="F2223" s="245">
        <v>2008</v>
      </c>
      <c r="G2223" s="245" t="s">
        <v>1749</v>
      </c>
      <c r="H2223" s="245" t="s">
        <v>2184</v>
      </c>
      <c r="I2223" s="239" t="s">
        <v>2820</v>
      </c>
      <c r="J2223" s="245">
        <v>43.68</v>
      </c>
      <c r="K2223" s="245">
        <v>10.35</v>
      </c>
      <c r="L2223" s="245">
        <v>1.7</v>
      </c>
      <c r="M2223" s="245">
        <v>14.3</v>
      </c>
      <c r="O2223" s="245">
        <v>900</v>
      </c>
      <c r="R2223" s="245">
        <v>15</v>
      </c>
      <c r="S2223" s="245">
        <v>15</v>
      </c>
      <c r="U2223" s="245" t="s">
        <v>1995</v>
      </c>
      <c r="V2223" s="245" t="s">
        <v>1408</v>
      </c>
      <c r="W2223" s="245">
        <v>20</v>
      </c>
      <c r="X2223" s="245" t="s">
        <v>1388</v>
      </c>
      <c r="Y2223" s="245" t="s">
        <v>1389</v>
      </c>
      <c r="Z2223" s="245">
        <v>1.48</v>
      </c>
      <c r="AA2223" s="367">
        <v>44.3</v>
      </c>
      <c r="AB2223" s="367">
        <v>40.200000000000003</v>
      </c>
      <c r="AC2223" s="245" t="s">
        <v>139</v>
      </c>
      <c r="AD2223" s="245">
        <v>8.1999999999999993</v>
      </c>
      <c r="AG2223" s="245" t="s">
        <v>2185</v>
      </c>
      <c r="AH2223" s="245" t="s">
        <v>2042</v>
      </c>
      <c r="AI2223" s="245" t="s">
        <v>577</v>
      </c>
      <c r="AJ2223" s="245" t="s">
        <v>2190</v>
      </c>
      <c r="AK2223" s="245" t="s">
        <v>1612</v>
      </c>
      <c r="AL2223" s="245" t="s">
        <v>2190</v>
      </c>
      <c r="AO2223" s="250" t="s">
        <v>2187</v>
      </c>
      <c r="AQ2223" s="239" t="s">
        <v>2125</v>
      </c>
      <c r="AR2223" s="239" t="s">
        <v>2125</v>
      </c>
      <c r="AT2223" s="245" t="s">
        <v>2188</v>
      </c>
      <c r="AW2223" s="245" t="s">
        <v>160</v>
      </c>
      <c r="AY2223" s="245">
        <v>2</v>
      </c>
      <c r="BN2223" s="248"/>
      <c r="BP2223" s="437">
        <f t="shared" si="334"/>
        <v>1.4750000000000001</v>
      </c>
      <c r="BQ2223" s="437">
        <f>(1.47+1.5)/2</f>
        <v>1.4849999999999999</v>
      </c>
      <c r="BU2223" s="437">
        <v>0.99</v>
      </c>
      <c r="BV2223" s="437">
        <v>1.06</v>
      </c>
      <c r="BY2223" s="245" t="s">
        <v>2284</v>
      </c>
      <c r="BZ2223" s="437"/>
      <c r="CA2223" s="437"/>
      <c r="CD2223" s="245" t="s">
        <v>3120</v>
      </c>
      <c r="CE2223" s="598">
        <v>0.99</v>
      </c>
      <c r="CF2223" s="598">
        <v>1.06</v>
      </c>
      <c r="CG2223" s="598"/>
      <c r="CH2223" s="598"/>
      <c r="CI2223" s="245" t="s">
        <v>4546</v>
      </c>
      <c r="FU2223" s="246"/>
    </row>
    <row r="2224" spans="1:177" s="245" customFormat="1" x14ac:dyDescent="0.25">
      <c r="A2224" s="245">
        <v>104</v>
      </c>
      <c r="B2224" s="246" t="s">
        <v>4272</v>
      </c>
      <c r="C2224" s="245" t="s">
        <v>2183</v>
      </c>
      <c r="E2224" s="245">
        <v>2011</v>
      </c>
      <c r="F2224" s="245">
        <v>2008</v>
      </c>
      <c r="G2224" s="245" t="s">
        <v>1749</v>
      </c>
      <c r="H2224" s="245" t="s">
        <v>2184</v>
      </c>
      <c r="I2224" s="239" t="s">
        <v>2820</v>
      </c>
      <c r="J2224" s="245">
        <v>43.68</v>
      </c>
      <c r="K2224" s="245">
        <v>10.35</v>
      </c>
      <c r="L2224" s="245">
        <v>1.7</v>
      </c>
      <c r="M2224" s="245">
        <v>14.3</v>
      </c>
      <c r="O2224" s="245">
        <v>900</v>
      </c>
      <c r="R2224" s="245">
        <v>15</v>
      </c>
      <c r="S2224" s="245">
        <v>15</v>
      </c>
      <c r="U2224" s="245" t="s">
        <v>1995</v>
      </c>
      <c r="V2224" s="245" t="s">
        <v>1408</v>
      </c>
      <c r="W2224" s="245">
        <v>20</v>
      </c>
      <c r="X2224" s="245" t="s">
        <v>1388</v>
      </c>
      <c r="Y2224" s="245" t="s">
        <v>1389</v>
      </c>
      <c r="Z2224" s="245">
        <v>1.48</v>
      </c>
      <c r="AA2224" s="367">
        <v>44.3</v>
      </c>
      <c r="AB2224" s="367">
        <v>40.200000000000003</v>
      </c>
      <c r="AC2224" s="245" t="s">
        <v>139</v>
      </c>
      <c r="AD2224" s="245">
        <v>8.1999999999999993</v>
      </c>
      <c r="AG2224" s="245" t="s">
        <v>2185</v>
      </c>
      <c r="AH2224" s="245" t="s">
        <v>2191</v>
      </c>
      <c r="AI2224" s="245" t="s">
        <v>577</v>
      </c>
      <c r="AJ2224" s="245" t="s">
        <v>2186</v>
      </c>
      <c r="AK2224" s="245" t="s">
        <v>132</v>
      </c>
      <c r="AL2224" s="245" t="s">
        <v>2186</v>
      </c>
      <c r="AO2224" s="250" t="s">
        <v>2187</v>
      </c>
      <c r="AQ2224" s="239" t="s">
        <v>2125</v>
      </c>
      <c r="AR2224" s="239" t="s">
        <v>2125</v>
      </c>
      <c r="AT2224" s="245" t="s">
        <v>2188</v>
      </c>
      <c r="AW2224" s="245" t="s">
        <v>160</v>
      </c>
      <c r="AY2224" s="245">
        <v>2</v>
      </c>
      <c r="BN2224" s="248"/>
      <c r="BP2224" s="437">
        <f t="shared" si="334"/>
        <v>1.4750000000000001</v>
      </c>
      <c r="BQ2224" s="437">
        <f>(1.46+1.5)/2</f>
        <v>1.48</v>
      </c>
      <c r="BU2224" s="437">
        <v>0.99</v>
      </c>
      <c r="BV2224" s="437">
        <v>1.08</v>
      </c>
      <c r="BY2224" s="245" t="s">
        <v>2284</v>
      </c>
      <c r="BZ2224" s="437"/>
      <c r="CA2224" s="437"/>
      <c r="CD2224" s="245" t="s">
        <v>3120</v>
      </c>
      <c r="CE2224" s="598">
        <v>0.99</v>
      </c>
      <c r="CF2224" s="598">
        <v>1.08</v>
      </c>
      <c r="CG2224" s="598"/>
      <c r="CH2224" s="598"/>
      <c r="CI2224" s="245" t="s">
        <v>4546</v>
      </c>
      <c r="FU2224" s="246"/>
    </row>
    <row r="2225" spans="1:177" s="239" customFormat="1" x14ac:dyDescent="0.25">
      <c r="A2225" s="239">
        <v>104</v>
      </c>
      <c r="B2225" s="240" t="s">
        <v>4271</v>
      </c>
      <c r="C2225" s="239" t="s">
        <v>2183</v>
      </c>
      <c r="E2225" s="239">
        <v>2011</v>
      </c>
      <c r="F2225" s="239">
        <v>1993</v>
      </c>
      <c r="G2225" s="239" t="s">
        <v>1749</v>
      </c>
      <c r="H2225" s="239" t="s">
        <v>2184</v>
      </c>
      <c r="I2225" s="239" t="s">
        <v>2820</v>
      </c>
      <c r="J2225" s="239">
        <v>43.68</v>
      </c>
      <c r="K2225" s="239">
        <v>10.35</v>
      </c>
      <c r="L2225" s="239">
        <v>1.7</v>
      </c>
      <c r="M2225" s="239">
        <v>14.3</v>
      </c>
      <c r="O2225" s="239">
        <v>900</v>
      </c>
      <c r="R2225" s="239">
        <v>1</v>
      </c>
      <c r="S2225" s="239">
        <v>15</v>
      </c>
      <c r="U2225" s="239" t="s">
        <v>1995</v>
      </c>
      <c r="V2225" s="239" t="s">
        <v>1389</v>
      </c>
      <c r="W2225" s="239">
        <v>30</v>
      </c>
      <c r="X2225" s="239" t="s">
        <v>1389</v>
      </c>
      <c r="Y2225" s="239" t="s">
        <v>1389</v>
      </c>
      <c r="Z2225" s="239">
        <v>1.45</v>
      </c>
      <c r="AA2225" s="383">
        <v>44.3</v>
      </c>
      <c r="AB2225" s="383">
        <v>40.200000000000003</v>
      </c>
      <c r="AC2225" s="239" t="s">
        <v>139</v>
      </c>
      <c r="AD2225" s="239">
        <v>8.1999999999999993</v>
      </c>
      <c r="AG2225" s="239" t="s">
        <v>2185</v>
      </c>
      <c r="AH2225" s="239" t="s">
        <v>2189</v>
      </c>
      <c r="AI2225" s="239" t="s">
        <v>131</v>
      </c>
      <c r="AJ2225" s="239" t="s">
        <v>2289</v>
      </c>
      <c r="AK2225" s="239" t="s">
        <v>1612</v>
      </c>
      <c r="AL2225" s="239" t="s">
        <v>2190</v>
      </c>
      <c r="AO2225" s="393" t="s">
        <v>2187</v>
      </c>
      <c r="AQ2225" s="239" t="s">
        <v>2125</v>
      </c>
      <c r="AR2225" s="239" t="s">
        <v>2125</v>
      </c>
      <c r="AT2225" s="239" t="s">
        <v>2188</v>
      </c>
      <c r="AW2225" s="239" t="s">
        <v>160</v>
      </c>
      <c r="AY2225" s="239">
        <v>2</v>
      </c>
      <c r="BN2225" s="242"/>
      <c r="BP2225" s="451">
        <v>1.45</v>
      </c>
      <c r="BQ2225" s="451">
        <v>1.46</v>
      </c>
      <c r="BU2225" s="451">
        <f t="shared" ref="BU2225:BU2230" si="335">(BZ2225*1000000)/(100*100*Z2225*W2225/100*1000000)*100</f>
        <v>1.0393103448275862</v>
      </c>
      <c r="BV2225" s="451">
        <f t="shared" ref="BV2225:BV2230" si="336">(CA2225*1000000)/(100*100*Z2225*W2225/100*1000000)*100</f>
        <v>1.0560919540229885</v>
      </c>
      <c r="BZ2225" s="451">
        <v>45.21</v>
      </c>
      <c r="CA2225" s="451">
        <v>45.94</v>
      </c>
      <c r="CD2225" s="239" t="s">
        <v>2095</v>
      </c>
      <c r="CE2225" s="597">
        <v>45.21</v>
      </c>
      <c r="CF2225" s="597">
        <v>45.94</v>
      </c>
      <c r="CG2225" s="597"/>
      <c r="CH2225" s="597"/>
      <c r="CI2225" s="239" t="s">
        <v>4551</v>
      </c>
      <c r="CJ2225" s="239">
        <v>5.43</v>
      </c>
      <c r="CK2225" s="239">
        <v>5.52</v>
      </c>
      <c r="CN2225" s="239" t="s">
        <v>2095</v>
      </c>
      <c r="FU2225" s="240"/>
    </row>
    <row r="2226" spans="1:177" s="239" customFormat="1" x14ac:dyDescent="0.25">
      <c r="A2226" s="239">
        <v>104</v>
      </c>
      <c r="B2226" s="240" t="s">
        <v>4272</v>
      </c>
      <c r="C2226" s="239" t="s">
        <v>2183</v>
      </c>
      <c r="E2226" s="239">
        <v>2011</v>
      </c>
      <c r="F2226" s="239">
        <v>1993</v>
      </c>
      <c r="G2226" s="239" t="s">
        <v>1749</v>
      </c>
      <c r="H2226" s="239" t="s">
        <v>2184</v>
      </c>
      <c r="I2226" s="239" t="s">
        <v>2820</v>
      </c>
      <c r="J2226" s="239">
        <v>43.68</v>
      </c>
      <c r="K2226" s="239">
        <v>10.35</v>
      </c>
      <c r="L2226" s="239">
        <v>1.7</v>
      </c>
      <c r="M2226" s="239">
        <v>14.3</v>
      </c>
      <c r="O2226" s="239">
        <v>900</v>
      </c>
      <c r="R2226" s="239">
        <v>1</v>
      </c>
      <c r="S2226" s="239">
        <v>15</v>
      </c>
      <c r="U2226" s="239" t="s">
        <v>1995</v>
      </c>
      <c r="V2226" s="239" t="s">
        <v>1389</v>
      </c>
      <c r="W2226" s="239">
        <v>30</v>
      </c>
      <c r="X2226" s="239" t="s">
        <v>1389</v>
      </c>
      <c r="Y2226" s="239" t="s">
        <v>1389</v>
      </c>
      <c r="Z2226" s="239">
        <v>1.45</v>
      </c>
      <c r="AA2226" s="383">
        <v>44.3</v>
      </c>
      <c r="AB2226" s="383">
        <v>40.200000000000003</v>
      </c>
      <c r="AC2226" s="239" t="s">
        <v>139</v>
      </c>
      <c r="AD2226" s="239">
        <v>8.1999999999999993</v>
      </c>
      <c r="AG2226" s="239" t="s">
        <v>2185</v>
      </c>
      <c r="AH2226" s="239" t="s">
        <v>2042</v>
      </c>
      <c r="AI2226" s="239" t="s">
        <v>577</v>
      </c>
      <c r="AJ2226" s="239" t="s">
        <v>2186</v>
      </c>
      <c r="AK2226" s="239" t="s">
        <v>132</v>
      </c>
      <c r="AL2226" s="239" t="s">
        <v>2186</v>
      </c>
      <c r="AO2226" s="393" t="s">
        <v>2187</v>
      </c>
      <c r="AQ2226" s="239" t="s">
        <v>2125</v>
      </c>
      <c r="AR2226" s="239" t="s">
        <v>2125</v>
      </c>
      <c r="AT2226" s="239" t="s">
        <v>2188</v>
      </c>
      <c r="AW2226" s="239" t="s">
        <v>160</v>
      </c>
      <c r="AY2226" s="239">
        <v>2</v>
      </c>
      <c r="BN2226" s="242"/>
      <c r="BP2226" s="451">
        <v>1.45</v>
      </c>
      <c r="BQ2226" s="451">
        <v>1.46</v>
      </c>
      <c r="BU2226" s="451">
        <f t="shared" si="335"/>
        <v>1.0393103448275862</v>
      </c>
      <c r="BV2226" s="451">
        <f t="shared" si="336"/>
        <v>1.0213793103448277</v>
      </c>
      <c r="BZ2226" s="451">
        <v>45.21</v>
      </c>
      <c r="CA2226" s="451">
        <v>44.43</v>
      </c>
      <c r="CD2226" s="239" t="s">
        <v>2095</v>
      </c>
      <c r="CE2226" s="597">
        <v>45.21</v>
      </c>
      <c r="CF2226" s="597">
        <v>44.43</v>
      </c>
      <c r="CG2226" s="597"/>
      <c r="CH2226" s="597"/>
      <c r="CI2226" s="239" t="s">
        <v>4551</v>
      </c>
      <c r="CJ2226" s="239">
        <v>5.43</v>
      </c>
      <c r="CK2226" s="239">
        <v>5.36</v>
      </c>
      <c r="CN2226" s="239" t="s">
        <v>2095</v>
      </c>
      <c r="FU2226" s="240"/>
    </row>
    <row r="2227" spans="1:177" s="239" customFormat="1" x14ac:dyDescent="0.25">
      <c r="A2227" s="239">
        <v>104</v>
      </c>
      <c r="B2227" s="240" t="s">
        <v>4272</v>
      </c>
      <c r="C2227" s="239" t="s">
        <v>2183</v>
      </c>
      <c r="E2227" s="239">
        <v>2011</v>
      </c>
      <c r="F2227" s="239">
        <v>1993</v>
      </c>
      <c r="G2227" s="239" t="s">
        <v>1749</v>
      </c>
      <c r="H2227" s="239" t="s">
        <v>2184</v>
      </c>
      <c r="I2227" s="239" t="s">
        <v>2820</v>
      </c>
      <c r="J2227" s="239">
        <v>43.68</v>
      </c>
      <c r="K2227" s="239">
        <v>10.35</v>
      </c>
      <c r="L2227" s="239">
        <v>1.7</v>
      </c>
      <c r="M2227" s="239">
        <v>14.3</v>
      </c>
      <c r="O2227" s="239">
        <v>900</v>
      </c>
      <c r="R2227" s="239">
        <v>1</v>
      </c>
      <c r="S2227" s="239">
        <v>15</v>
      </c>
      <c r="U2227" s="239" t="s">
        <v>1995</v>
      </c>
      <c r="V2227" s="239" t="s">
        <v>1389</v>
      </c>
      <c r="W2227" s="239">
        <v>30</v>
      </c>
      <c r="X2227" s="239" t="s">
        <v>1389</v>
      </c>
      <c r="Y2227" s="239" t="s">
        <v>1389</v>
      </c>
      <c r="Z2227" s="239">
        <v>1.45</v>
      </c>
      <c r="AA2227" s="383">
        <v>44.3</v>
      </c>
      <c r="AB2227" s="383">
        <v>40.200000000000003</v>
      </c>
      <c r="AC2227" s="239" t="s">
        <v>139</v>
      </c>
      <c r="AD2227" s="239">
        <v>8.1999999999999993</v>
      </c>
      <c r="AG2227" s="239" t="s">
        <v>2185</v>
      </c>
      <c r="AH2227" s="239" t="s">
        <v>2042</v>
      </c>
      <c r="AI2227" s="239" t="s">
        <v>577</v>
      </c>
      <c r="AJ2227" s="239" t="s">
        <v>2186</v>
      </c>
      <c r="AK2227" s="239" t="s">
        <v>132</v>
      </c>
      <c r="AL2227" s="239" t="s">
        <v>2186</v>
      </c>
      <c r="AO2227" s="393" t="s">
        <v>2187</v>
      </c>
      <c r="AQ2227" s="239" t="s">
        <v>2125</v>
      </c>
      <c r="AR2227" s="239" t="s">
        <v>2125</v>
      </c>
      <c r="AT2227" s="239" t="s">
        <v>2188</v>
      </c>
      <c r="AW2227" s="239" t="s">
        <v>160</v>
      </c>
      <c r="AY2227" s="239">
        <v>2</v>
      </c>
      <c r="BN2227" s="242"/>
      <c r="BP2227" s="451">
        <v>1.45</v>
      </c>
      <c r="BQ2227" s="451">
        <v>1.46</v>
      </c>
      <c r="BU2227" s="451">
        <f t="shared" si="335"/>
        <v>1.0393103448275862</v>
      </c>
      <c r="BV2227" s="451">
        <f t="shared" si="336"/>
        <v>1.026896551724138</v>
      </c>
      <c r="BZ2227" s="451">
        <v>45.21</v>
      </c>
      <c r="CA2227" s="451">
        <v>44.67</v>
      </c>
      <c r="CD2227" s="239" t="s">
        <v>2095</v>
      </c>
      <c r="CE2227" s="597">
        <v>45.21</v>
      </c>
      <c r="CF2227" s="597">
        <v>44.67</v>
      </c>
      <c r="CG2227" s="597"/>
      <c r="CH2227" s="597"/>
      <c r="CI2227" s="239" t="s">
        <v>4551</v>
      </c>
      <c r="CJ2227" s="239">
        <v>5.43</v>
      </c>
      <c r="CK2227" s="239">
        <v>5.41</v>
      </c>
      <c r="CN2227" s="239" t="s">
        <v>2095</v>
      </c>
      <c r="FU2227" s="240"/>
    </row>
    <row r="2228" spans="1:177" s="239" customFormat="1" x14ac:dyDescent="0.25">
      <c r="A2228" s="239">
        <v>104</v>
      </c>
      <c r="B2228" s="240" t="s">
        <v>4271</v>
      </c>
      <c r="C2228" s="239" t="s">
        <v>2183</v>
      </c>
      <c r="E2228" s="239">
        <v>2011</v>
      </c>
      <c r="F2228" s="239">
        <v>2008</v>
      </c>
      <c r="G2228" s="239" t="s">
        <v>1749</v>
      </c>
      <c r="H2228" s="239" t="s">
        <v>2184</v>
      </c>
      <c r="I2228" s="239" t="s">
        <v>2820</v>
      </c>
      <c r="J2228" s="239">
        <v>43.68</v>
      </c>
      <c r="K2228" s="239">
        <v>10.35</v>
      </c>
      <c r="L2228" s="239">
        <v>1.7</v>
      </c>
      <c r="M2228" s="239">
        <v>14.3</v>
      </c>
      <c r="O2228" s="239">
        <v>900</v>
      </c>
      <c r="R2228" s="239">
        <v>15</v>
      </c>
      <c r="S2228" s="239">
        <v>15</v>
      </c>
      <c r="U2228" s="239" t="s">
        <v>1995</v>
      </c>
      <c r="V2228" s="239" t="s">
        <v>1389</v>
      </c>
      <c r="W2228" s="239">
        <v>30</v>
      </c>
      <c r="X2228" s="239" t="s">
        <v>1389</v>
      </c>
      <c r="Y2228" s="239" t="s">
        <v>1389</v>
      </c>
      <c r="Z2228" s="239">
        <v>1.45</v>
      </c>
      <c r="AA2228" s="383">
        <v>44.3</v>
      </c>
      <c r="AB2228" s="383">
        <v>40.200000000000003</v>
      </c>
      <c r="AC2228" s="239" t="s">
        <v>139</v>
      </c>
      <c r="AD2228" s="239">
        <v>8.1999999999999993</v>
      </c>
      <c r="AG2228" s="239" t="s">
        <v>2185</v>
      </c>
      <c r="AH2228" s="239" t="s">
        <v>2042</v>
      </c>
      <c r="AI2228" s="239" t="s">
        <v>577</v>
      </c>
      <c r="AJ2228" s="239" t="s">
        <v>2190</v>
      </c>
      <c r="AK2228" s="239" t="s">
        <v>1612</v>
      </c>
      <c r="AL2228" s="239" t="s">
        <v>2190</v>
      </c>
      <c r="AO2228" s="393" t="s">
        <v>2187</v>
      </c>
      <c r="AQ2228" s="239" t="s">
        <v>2125</v>
      </c>
      <c r="AR2228" s="239" t="s">
        <v>2125</v>
      </c>
      <c r="AT2228" s="239" t="s">
        <v>2188</v>
      </c>
      <c r="AW2228" s="239" t="s">
        <v>160</v>
      </c>
      <c r="AY2228" s="239">
        <v>2</v>
      </c>
      <c r="BN2228" s="242"/>
      <c r="BP2228" s="451">
        <v>1.45</v>
      </c>
      <c r="BQ2228" s="451">
        <v>1.46</v>
      </c>
      <c r="BU2228" s="451">
        <f t="shared" si="335"/>
        <v>1.0574712643678161</v>
      </c>
      <c r="BV2228" s="451">
        <f t="shared" si="336"/>
        <v>1.1151724137931034</v>
      </c>
      <c r="BZ2228" s="451">
        <v>46</v>
      </c>
      <c r="CA2228" s="451">
        <v>48.51</v>
      </c>
      <c r="CD2228" s="239" t="s">
        <v>2095</v>
      </c>
      <c r="CE2228" s="597">
        <v>46</v>
      </c>
      <c r="CF2228" s="597">
        <v>48.51</v>
      </c>
      <c r="CG2228" s="597"/>
      <c r="CH2228" s="597"/>
      <c r="CI2228" s="239" t="s">
        <v>4551</v>
      </c>
      <c r="CJ2228" s="239">
        <v>5.14</v>
      </c>
      <c r="CK2228" s="239">
        <v>5.4</v>
      </c>
      <c r="CN2228" s="239" t="s">
        <v>2095</v>
      </c>
      <c r="FU2228" s="240"/>
    </row>
    <row r="2229" spans="1:177" s="239" customFormat="1" x14ac:dyDescent="0.25">
      <c r="A2229" s="239">
        <v>104</v>
      </c>
      <c r="B2229" s="240" t="s">
        <v>4271</v>
      </c>
      <c r="C2229" s="239" t="s">
        <v>2183</v>
      </c>
      <c r="E2229" s="239">
        <v>2011</v>
      </c>
      <c r="F2229" s="239">
        <v>2008</v>
      </c>
      <c r="G2229" s="239" t="s">
        <v>1749</v>
      </c>
      <c r="H2229" s="239" t="s">
        <v>2184</v>
      </c>
      <c r="I2229" s="239" t="s">
        <v>2820</v>
      </c>
      <c r="J2229" s="239">
        <v>43.68</v>
      </c>
      <c r="K2229" s="239">
        <v>10.35</v>
      </c>
      <c r="L2229" s="239">
        <v>1.7</v>
      </c>
      <c r="M2229" s="239">
        <v>14.3</v>
      </c>
      <c r="O2229" s="239">
        <v>900</v>
      </c>
      <c r="R2229" s="239">
        <v>15</v>
      </c>
      <c r="S2229" s="239">
        <v>15</v>
      </c>
      <c r="U2229" s="239" t="s">
        <v>1995</v>
      </c>
      <c r="V2229" s="239" t="s">
        <v>1389</v>
      </c>
      <c r="W2229" s="239">
        <v>30</v>
      </c>
      <c r="X2229" s="239" t="s">
        <v>1389</v>
      </c>
      <c r="Y2229" s="239" t="s">
        <v>1389</v>
      </c>
      <c r="Z2229" s="239">
        <v>1.45</v>
      </c>
      <c r="AA2229" s="383">
        <v>44.3</v>
      </c>
      <c r="AB2229" s="383">
        <v>40.200000000000003</v>
      </c>
      <c r="AC2229" s="239" t="s">
        <v>139</v>
      </c>
      <c r="AD2229" s="239">
        <v>8.1999999999999993</v>
      </c>
      <c r="AG2229" s="239" t="s">
        <v>2185</v>
      </c>
      <c r="AH2229" s="239" t="s">
        <v>2042</v>
      </c>
      <c r="AI2229" s="239" t="s">
        <v>577</v>
      </c>
      <c r="AJ2229" s="239" t="s">
        <v>2190</v>
      </c>
      <c r="AK2229" s="239" t="s">
        <v>1612</v>
      </c>
      <c r="AL2229" s="239" t="s">
        <v>2190</v>
      </c>
      <c r="AO2229" s="393" t="s">
        <v>2187</v>
      </c>
      <c r="AQ2229" s="239" t="s">
        <v>2125</v>
      </c>
      <c r="AR2229" s="239" t="s">
        <v>2125</v>
      </c>
      <c r="AT2229" s="239" t="s">
        <v>2188</v>
      </c>
      <c r="AW2229" s="239" t="s">
        <v>160</v>
      </c>
      <c r="AY2229" s="239">
        <v>2</v>
      </c>
      <c r="BN2229" s="242"/>
      <c r="BP2229" s="451">
        <v>1.45</v>
      </c>
      <c r="BQ2229" s="451">
        <v>1.46</v>
      </c>
      <c r="BU2229" s="451">
        <f t="shared" si="335"/>
        <v>1.0574712643678161</v>
      </c>
      <c r="BV2229" s="451">
        <f t="shared" si="336"/>
        <v>1.1611494252873564</v>
      </c>
      <c r="BZ2229" s="451">
        <v>46</v>
      </c>
      <c r="CA2229" s="451">
        <v>50.51</v>
      </c>
      <c r="CD2229" s="239" t="s">
        <v>2095</v>
      </c>
      <c r="CE2229" s="597">
        <v>46</v>
      </c>
      <c r="CF2229" s="597">
        <v>50.51</v>
      </c>
      <c r="CG2229" s="597"/>
      <c r="CH2229" s="597"/>
      <c r="CI2229" s="239" t="s">
        <v>4551</v>
      </c>
      <c r="CJ2229" s="239">
        <v>5.14</v>
      </c>
      <c r="CK2229" s="239">
        <v>5.5</v>
      </c>
      <c r="CN2229" s="239" t="s">
        <v>2095</v>
      </c>
      <c r="FU2229" s="240"/>
    </row>
    <row r="2230" spans="1:177" s="239" customFormat="1" x14ac:dyDescent="0.25">
      <c r="A2230" s="239">
        <v>104</v>
      </c>
      <c r="B2230" s="240" t="s">
        <v>4272</v>
      </c>
      <c r="C2230" s="239" t="s">
        <v>2183</v>
      </c>
      <c r="E2230" s="239">
        <v>2011</v>
      </c>
      <c r="F2230" s="239">
        <v>2008</v>
      </c>
      <c r="G2230" s="239" t="s">
        <v>1749</v>
      </c>
      <c r="H2230" s="239" t="s">
        <v>2184</v>
      </c>
      <c r="I2230" s="239" t="s">
        <v>2820</v>
      </c>
      <c r="J2230" s="239">
        <v>43.68</v>
      </c>
      <c r="K2230" s="239">
        <v>10.35</v>
      </c>
      <c r="L2230" s="239">
        <v>1.7</v>
      </c>
      <c r="M2230" s="239">
        <v>14.3</v>
      </c>
      <c r="O2230" s="239">
        <v>900</v>
      </c>
      <c r="R2230" s="239">
        <v>15</v>
      </c>
      <c r="S2230" s="239">
        <v>15</v>
      </c>
      <c r="U2230" s="239" t="s">
        <v>1995</v>
      </c>
      <c r="V2230" s="239" t="s">
        <v>1389</v>
      </c>
      <c r="W2230" s="239">
        <v>30</v>
      </c>
      <c r="X2230" s="239" t="s">
        <v>1389</v>
      </c>
      <c r="Y2230" s="239" t="s">
        <v>1389</v>
      </c>
      <c r="Z2230" s="239">
        <v>1.45</v>
      </c>
      <c r="AA2230" s="383">
        <v>44.3</v>
      </c>
      <c r="AB2230" s="383">
        <v>40.200000000000003</v>
      </c>
      <c r="AC2230" s="239" t="s">
        <v>139</v>
      </c>
      <c r="AD2230" s="239">
        <v>8.1999999999999993</v>
      </c>
      <c r="AG2230" s="239" t="s">
        <v>2185</v>
      </c>
      <c r="AH2230" s="239" t="s">
        <v>2191</v>
      </c>
      <c r="AI2230" s="239" t="s">
        <v>577</v>
      </c>
      <c r="AJ2230" s="239" t="s">
        <v>2186</v>
      </c>
      <c r="AK2230" s="239" t="s">
        <v>132</v>
      </c>
      <c r="AL2230" s="239" t="s">
        <v>2186</v>
      </c>
      <c r="AO2230" s="393" t="s">
        <v>2187</v>
      </c>
      <c r="AQ2230" s="239" t="s">
        <v>2125</v>
      </c>
      <c r="AR2230" s="239" t="s">
        <v>2125</v>
      </c>
      <c r="AT2230" s="239" t="s">
        <v>2188</v>
      </c>
      <c r="AW2230" s="239" t="s">
        <v>160</v>
      </c>
      <c r="AY2230" s="239">
        <v>2</v>
      </c>
      <c r="BN2230" s="242"/>
      <c r="BP2230" s="451">
        <v>1.45</v>
      </c>
      <c r="BQ2230" s="451">
        <v>1.46</v>
      </c>
      <c r="BU2230" s="451">
        <f t="shared" si="335"/>
        <v>1.0574712643678161</v>
      </c>
      <c r="BV2230" s="451">
        <f t="shared" si="336"/>
        <v>1.1765517241379311</v>
      </c>
      <c r="BZ2230" s="451">
        <v>46</v>
      </c>
      <c r="CA2230" s="451">
        <v>51.18</v>
      </c>
      <c r="CD2230" s="239" t="s">
        <v>2095</v>
      </c>
      <c r="CE2230" s="597">
        <v>46</v>
      </c>
      <c r="CF2230" s="597">
        <v>51.18</v>
      </c>
      <c r="CG2230" s="597"/>
      <c r="CH2230" s="597"/>
      <c r="CI2230" s="239" t="s">
        <v>4551</v>
      </c>
      <c r="CJ2230" s="239">
        <v>5.14</v>
      </c>
      <c r="CK2230" s="239">
        <v>5.71</v>
      </c>
      <c r="CN2230" s="239" t="s">
        <v>2095</v>
      </c>
      <c r="FU2230" s="240"/>
    </row>
    <row r="2231" spans="1:177" s="156" customFormat="1" x14ac:dyDescent="0.25">
      <c r="A2231" s="164">
        <v>105</v>
      </c>
      <c r="B2231" s="165" t="s">
        <v>4274</v>
      </c>
      <c r="C2231" s="318" t="s">
        <v>2192</v>
      </c>
      <c r="E2231" s="318">
        <v>2007</v>
      </c>
      <c r="F2231" s="156">
        <v>1998</v>
      </c>
      <c r="G2231" s="168" t="s">
        <v>1749</v>
      </c>
      <c r="H2231" s="318" t="s">
        <v>2193</v>
      </c>
      <c r="I2231" s="318" t="s">
        <v>2818</v>
      </c>
      <c r="J2231" s="156">
        <v>-16.690000000000001</v>
      </c>
      <c r="K2231" s="156">
        <v>-49.26</v>
      </c>
      <c r="L2231" s="168">
        <v>789.7</v>
      </c>
      <c r="M2231" s="168">
        <v>22.5</v>
      </c>
      <c r="O2231" s="168">
        <v>1500</v>
      </c>
      <c r="R2231" s="156">
        <v>1</v>
      </c>
      <c r="S2231" s="168">
        <v>5</v>
      </c>
      <c r="U2231" s="156" t="s">
        <v>2016</v>
      </c>
      <c r="V2231" s="168" t="s">
        <v>1389</v>
      </c>
      <c r="W2231" s="168">
        <v>30</v>
      </c>
      <c r="X2231" s="168" t="s">
        <v>1389</v>
      </c>
      <c r="Y2231" s="168" t="s">
        <v>1389</v>
      </c>
      <c r="Z2231" s="156">
        <v>1.23</v>
      </c>
      <c r="AA2231" s="381">
        <v>20</v>
      </c>
      <c r="AB2231" s="381">
        <v>30</v>
      </c>
      <c r="AC2231" s="156" t="s">
        <v>796</v>
      </c>
      <c r="AE2231" s="156">
        <v>1.665</v>
      </c>
      <c r="AG2231" s="168" t="s">
        <v>2194</v>
      </c>
      <c r="AH2231" s="164" t="s">
        <v>2291</v>
      </c>
      <c r="AI2231" s="156" t="s">
        <v>1582</v>
      </c>
      <c r="AJ2231" s="164" t="s">
        <v>1128</v>
      </c>
      <c r="AK2231" s="156" t="s">
        <v>1646</v>
      </c>
      <c r="AO2231" s="164" t="s">
        <v>2292</v>
      </c>
      <c r="AP2231" s="156" t="s">
        <v>2293</v>
      </c>
      <c r="AQ2231" s="156" t="s">
        <v>2125</v>
      </c>
      <c r="AR2231" s="156" t="s">
        <v>2126</v>
      </c>
      <c r="AS2231" s="156" t="s">
        <v>502</v>
      </c>
      <c r="AT2231" s="164" t="s">
        <v>2195</v>
      </c>
      <c r="AW2231" s="168" t="s">
        <v>160</v>
      </c>
      <c r="AX2231" s="156">
        <v>6</v>
      </c>
      <c r="AY2231" s="168">
        <v>6</v>
      </c>
      <c r="BK2231" s="164"/>
      <c r="BN2231" s="163"/>
      <c r="BP2231" s="433">
        <v>1.23</v>
      </c>
      <c r="BQ2231" s="433">
        <v>1.3</v>
      </c>
      <c r="BU2231" s="433">
        <v>2.048</v>
      </c>
      <c r="BV2231" s="433">
        <v>2.145</v>
      </c>
      <c r="BY2231" s="156" t="s">
        <v>2284</v>
      </c>
      <c r="BZ2231" s="433"/>
      <c r="CA2231" s="433"/>
      <c r="CD2231" s="156" t="s">
        <v>3120</v>
      </c>
      <c r="CE2231" s="602">
        <v>2.048</v>
      </c>
      <c r="CF2231" s="602">
        <v>2.145</v>
      </c>
      <c r="CG2231" s="602"/>
      <c r="CH2231" s="602"/>
      <c r="CI2231" s="156" t="s">
        <v>4546</v>
      </c>
      <c r="FU2231" s="158"/>
    </row>
    <row r="2232" spans="1:177" s="156" customFormat="1" x14ac:dyDescent="0.25">
      <c r="A2232" s="164">
        <v>105</v>
      </c>
      <c r="B2232" s="165" t="s">
        <v>4274</v>
      </c>
      <c r="C2232" s="318" t="s">
        <v>2192</v>
      </c>
      <c r="E2232" s="318">
        <v>2007</v>
      </c>
      <c r="F2232" s="156">
        <v>2003</v>
      </c>
      <c r="G2232" s="168" t="s">
        <v>1749</v>
      </c>
      <c r="H2232" s="318" t="s">
        <v>2193</v>
      </c>
      <c r="I2232" s="318" t="s">
        <v>2818</v>
      </c>
      <c r="J2232" s="156">
        <v>-16.690000000000001</v>
      </c>
      <c r="K2232" s="156">
        <v>-49.26</v>
      </c>
      <c r="L2232" s="168">
        <v>789.7</v>
      </c>
      <c r="M2232" s="168">
        <v>22.5</v>
      </c>
      <c r="O2232" s="168">
        <v>1500</v>
      </c>
      <c r="R2232" s="156">
        <v>5</v>
      </c>
      <c r="S2232" s="168">
        <v>5</v>
      </c>
      <c r="U2232" s="156" t="s">
        <v>2016</v>
      </c>
      <c r="V2232" s="168" t="s">
        <v>1389</v>
      </c>
      <c r="W2232" s="168">
        <v>30</v>
      </c>
      <c r="X2232" s="168" t="s">
        <v>1389</v>
      </c>
      <c r="Y2232" s="168" t="s">
        <v>1389</v>
      </c>
      <c r="Z2232" s="156">
        <v>1.25</v>
      </c>
      <c r="AA2232" s="381">
        <v>20</v>
      </c>
      <c r="AB2232" s="381">
        <v>30</v>
      </c>
      <c r="AC2232" s="156" t="s">
        <v>796</v>
      </c>
      <c r="AE2232" s="156">
        <v>1.595</v>
      </c>
      <c r="AG2232" s="168" t="s">
        <v>2194</v>
      </c>
      <c r="AH2232" s="164" t="s">
        <v>2291</v>
      </c>
      <c r="AI2232" s="156" t="s">
        <v>1582</v>
      </c>
      <c r="AJ2232" s="164" t="s">
        <v>1128</v>
      </c>
      <c r="AK2232" s="156" t="s">
        <v>1646</v>
      </c>
      <c r="AO2232" s="164" t="s">
        <v>2292</v>
      </c>
      <c r="AP2232" s="156" t="s">
        <v>2293</v>
      </c>
      <c r="AQ2232" s="156" t="s">
        <v>2125</v>
      </c>
      <c r="AR2232" s="156" t="s">
        <v>2126</v>
      </c>
      <c r="AS2232" s="156" t="s">
        <v>502</v>
      </c>
      <c r="AT2232" s="164" t="s">
        <v>2195</v>
      </c>
      <c r="AW2232" s="168" t="s">
        <v>160</v>
      </c>
      <c r="AX2232" s="156">
        <v>6</v>
      </c>
      <c r="AY2232" s="168">
        <v>6</v>
      </c>
      <c r="BK2232" s="164"/>
      <c r="BN2232" s="163"/>
      <c r="BP2232" s="433">
        <v>1.25</v>
      </c>
      <c r="BQ2232" s="433">
        <v>1.27</v>
      </c>
      <c r="BU2232" s="433">
        <v>1.994</v>
      </c>
      <c r="BV2232" s="433">
        <v>2.2290000000000001</v>
      </c>
      <c r="BY2232" s="156" t="s">
        <v>2284</v>
      </c>
      <c r="BZ2232" s="433"/>
      <c r="CA2232" s="433"/>
      <c r="CD2232" s="156" t="s">
        <v>3120</v>
      </c>
      <c r="CE2232" s="602">
        <v>1.994</v>
      </c>
      <c r="CF2232" s="602">
        <v>2.2290000000000001</v>
      </c>
      <c r="CG2232" s="602"/>
      <c r="CH2232" s="602"/>
      <c r="CI2232" s="156" t="s">
        <v>4546</v>
      </c>
      <c r="FU2232" s="158"/>
    </row>
    <row r="2233" spans="1:177" s="245" customFormat="1" x14ac:dyDescent="0.25">
      <c r="A2233" s="245">
        <v>106</v>
      </c>
      <c r="B2233" s="246" t="s">
        <v>4275</v>
      </c>
      <c r="C2233" s="244" t="s">
        <v>2196</v>
      </c>
      <c r="D2233" s="245" t="s">
        <v>2295</v>
      </c>
      <c r="E2233" s="244">
        <v>2013</v>
      </c>
      <c r="F2233" s="245">
        <v>2009</v>
      </c>
      <c r="G2233" s="244" t="s">
        <v>2296</v>
      </c>
      <c r="H2233" s="244" t="s">
        <v>2297</v>
      </c>
      <c r="I2233" s="244" t="s">
        <v>2818</v>
      </c>
      <c r="J2233" s="245">
        <f>-16-27/60</f>
        <v>-16.45</v>
      </c>
      <c r="K2233" s="245">
        <f>-49-17/60</f>
        <v>-49.283333333333331</v>
      </c>
      <c r="L2233" s="244">
        <v>823</v>
      </c>
      <c r="M2233" s="244">
        <v>22.7</v>
      </c>
      <c r="O2233" s="244">
        <v>1500</v>
      </c>
      <c r="R2233" s="245">
        <v>9</v>
      </c>
      <c r="S2233" s="244">
        <v>10</v>
      </c>
      <c r="U2233" s="245" t="s">
        <v>2294</v>
      </c>
      <c r="V2233" s="244" t="s">
        <v>1379</v>
      </c>
      <c r="W2233" s="245">
        <v>20</v>
      </c>
      <c r="X2233" s="244" t="s">
        <v>1379</v>
      </c>
      <c r="Y2233" s="244" t="s">
        <v>1379</v>
      </c>
      <c r="Z2233" s="245">
        <v>1.304</v>
      </c>
      <c r="AA2233" s="376">
        <v>35</v>
      </c>
      <c r="AB2233" s="376">
        <v>11</v>
      </c>
      <c r="AC2233" s="245" t="s">
        <v>796</v>
      </c>
      <c r="AD2233" s="245">
        <v>6.2</v>
      </c>
      <c r="AE2233" s="245">
        <v>2.41</v>
      </c>
      <c r="AG2233" s="244" t="s">
        <v>2298</v>
      </c>
      <c r="AH2233" s="244" t="s">
        <v>2300</v>
      </c>
      <c r="AI2233" s="245" t="s">
        <v>1581</v>
      </c>
      <c r="AJ2233" s="244" t="s">
        <v>1128</v>
      </c>
      <c r="AK2233" s="245" t="s">
        <v>1646</v>
      </c>
      <c r="AO2233" s="244"/>
      <c r="AT2233" s="244"/>
      <c r="AW2233" s="244"/>
      <c r="AX2233" s="245">
        <v>3</v>
      </c>
      <c r="AY2233" s="244"/>
      <c r="AZ2233" s="245" t="s">
        <v>2121</v>
      </c>
      <c r="BK2233" s="244">
        <v>3521</v>
      </c>
      <c r="BL2233" s="245">
        <v>3069</v>
      </c>
      <c r="BN2233" s="248"/>
      <c r="BP2233" s="437">
        <v>1.3042</v>
      </c>
      <c r="BQ2233" s="437">
        <v>1.29898</v>
      </c>
      <c r="BU2233" s="437">
        <f>(BZ2233*1000000)/(100*100*BP2233*W2233/100*1000000)*100</f>
        <v>0.21787446327250423</v>
      </c>
      <c r="BV2233" s="437">
        <f>(CA2233*1000000)/(100*100*BQ2233*W2233/100*1000000)*100</f>
        <v>0.2225</v>
      </c>
      <c r="BZ2233" s="437">
        <v>5.6830375000000002</v>
      </c>
      <c r="CA2233" s="437">
        <v>5.7804610000000007</v>
      </c>
      <c r="CD2233" s="245" t="s">
        <v>2095</v>
      </c>
      <c r="CE2233" s="598">
        <v>5.6830375000000002</v>
      </c>
      <c r="CF2233" s="598">
        <v>5.7804610000000007</v>
      </c>
      <c r="CG2233" s="598"/>
      <c r="CH2233" s="598"/>
      <c r="CI2233" s="245" t="s">
        <v>4551</v>
      </c>
      <c r="FU2233" s="246"/>
    </row>
    <row r="2234" spans="1:177" s="245" customFormat="1" x14ac:dyDescent="0.25">
      <c r="A2234" s="245">
        <v>106</v>
      </c>
      <c r="B2234" s="246" t="s">
        <v>4275</v>
      </c>
      <c r="C2234" s="244" t="s">
        <v>2196</v>
      </c>
      <c r="D2234" s="245" t="s">
        <v>2295</v>
      </c>
      <c r="E2234" s="244">
        <v>2013</v>
      </c>
      <c r="F2234" s="245">
        <v>2009</v>
      </c>
      <c r="G2234" s="244" t="s">
        <v>2296</v>
      </c>
      <c r="H2234" s="244" t="s">
        <v>2297</v>
      </c>
      <c r="I2234" s="244" t="s">
        <v>2818</v>
      </c>
      <c r="J2234" s="245">
        <f t="shared" ref="J2234:J2237" si="337">-16-27/60</f>
        <v>-16.45</v>
      </c>
      <c r="K2234" s="245">
        <f t="shared" ref="K2234:K2237" si="338">-49-17/60</f>
        <v>-49.283333333333331</v>
      </c>
      <c r="L2234" s="244">
        <v>823</v>
      </c>
      <c r="M2234" s="244">
        <v>22.7</v>
      </c>
      <c r="O2234" s="244">
        <v>1500</v>
      </c>
      <c r="R2234" s="245">
        <v>9</v>
      </c>
      <c r="S2234" s="244">
        <v>10</v>
      </c>
      <c r="U2234" s="245" t="s">
        <v>2294</v>
      </c>
      <c r="V2234" s="244" t="s">
        <v>1379</v>
      </c>
      <c r="W2234" s="245">
        <v>20</v>
      </c>
      <c r="X2234" s="244" t="s">
        <v>1379</v>
      </c>
      <c r="Y2234" s="244" t="s">
        <v>1379</v>
      </c>
      <c r="Z2234" s="245">
        <v>1.304</v>
      </c>
      <c r="AA2234" s="376">
        <v>35</v>
      </c>
      <c r="AB2234" s="376">
        <v>11</v>
      </c>
      <c r="AC2234" s="245" t="s">
        <v>796</v>
      </c>
      <c r="AD2234" s="245">
        <v>6.2</v>
      </c>
      <c r="AE2234" s="245">
        <v>2.41</v>
      </c>
      <c r="AG2234" s="244" t="s">
        <v>2298</v>
      </c>
      <c r="AH2234" s="244" t="s">
        <v>2299</v>
      </c>
      <c r="AI2234" s="245" t="s">
        <v>1581</v>
      </c>
      <c r="AJ2234" s="244" t="s">
        <v>1128</v>
      </c>
      <c r="AK2234" s="245" t="s">
        <v>1646</v>
      </c>
      <c r="AO2234" s="244"/>
      <c r="AT2234" s="244"/>
      <c r="AW2234" s="244"/>
      <c r="AX2234" s="245">
        <v>3</v>
      </c>
      <c r="AY2234" s="244"/>
      <c r="AZ2234" s="245" t="s">
        <v>2121</v>
      </c>
      <c r="BK2234" s="244">
        <v>3521</v>
      </c>
      <c r="BL2234" s="245">
        <v>2429</v>
      </c>
      <c r="BN2234" s="248"/>
      <c r="BP2234" s="437">
        <v>1.3042</v>
      </c>
      <c r="BQ2234" s="437">
        <v>1.28854</v>
      </c>
      <c r="BU2234" s="437">
        <f>(BZ2234*1000000)/(100*100*BP2234*W2234/100*1000000)*100</f>
        <v>0.21612338981751267</v>
      </c>
      <c r="BV2234" s="437">
        <f>(CA2234*1000000)/(100*100*BQ2234*W2234/100*1000000)*100</f>
        <v>0.22999999999999998</v>
      </c>
      <c r="BZ2234" s="437">
        <v>5.6373625000000001</v>
      </c>
      <c r="CA2234" s="437">
        <v>5.9272840000000002</v>
      </c>
      <c r="CD2234" s="245" t="s">
        <v>2095</v>
      </c>
      <c r="CE2234" s="598">
        <v>5.6373625000000001</v>
      </c>
      <c r="CF2234" s="598">
        <v>5.9272840000000002</v>
      </c>
      <c r="CG2234" s="598"/>
      <c r="CH2234" s="598"/>
      <c r="CI2234" s="245" t="s">
        <v>4551</v>
      </c>
      <c r="FU2234" s="246"/>
    </row>
    <row r="2235" spans="1:177" s="245" customFormat="1" x14ac:dyDescent="0.25">
      <c r="A2235" s="245">
        <v>106</v>
      </c>
      <c r="B2235" s="246" t="s">
        <v>4275</v>
      </c>
      <c r="C2235" s="244" t="s">
        <v>2196</v>
      </c>
      <c r="D2235" s="245" t="s">
        <v>2295</v>
      </c>
      <c r="E2235" s="244">
        <v>2013</v>
      </c>
      <c r="F2235" s="245">
        <v>2009</v>
      </c>
      <c r="G2235" s="244" t="s">
        <v>2296</v>
      </c>
      <c r="H2235" s="244" t="s">
        <v>2297</v>
      </c>
      <c r="I2235" s="244" t="s">
        <v>2818</v>
      </c>
      <c r="J2235" s="245">
        <f t="shared" si="337"/>
        <v>-16.45</v>
      </c>
      <c r="K2235" s="245">
        <f t="shared" si="338"/>
        <v>-49.283333333333331</v>
      </c>
      <c r="L2235" s="244">
        <v>823</v>
      </c>
      <c r="M2235" s="244">
        <v>22.7</v>
      </c>
      <c r="O2235" s="244">
        <v>1500</v>
      </c>
      <c r="R2235" s="245">
        <v>9</v>
      </c>
      <c r="S2235" s="244">
        <v>10</v>
      </c>
      <c r="U2235" s="245" t="s">
        <v>2294</v>
      </c>
      <c r="V2235" s="244" t="s">
        <v>1379</v>
      </c>
      <c r="W2235" s="245">
        <v>20</v>
      </c>
      <c r="X2235" s="244" t="s">
        <v>1379</v>
      </c>
      <c r="Y2235" s="244" t="s">
        <v>1379</v>
      </c>
      <c r="Z2235" s="245">
        <v>1.304</v>
      </c>
      <c r="AA2235" s="376">
        <v>35</v>
      </c>
      <c r="AB2235" s="376">
        <v>11</v>
      </c>
      <c r="AC2235" s="245" t="s">
        <v>796</v>
      </c>
      <c r="AD2235" s="245">
        <v>6.2</v>
      </c>
      <c r="AE2235" s="245">
        <v>2.41</v>
      </c>
      <c r="AG2235" s="244" t="s">
        <v>2298</v>
      </c>
      <c r="AH2235" s="244" t="s">
        <v>2301</v>
      </c>
      <c r="AI2235" s="245" t="s">
        <v>1581</v>
      </c>
      <c r="AJ2235" s="244" t="s">
        <v>1128</v>
      </c>
      <c r="AK2235" s="245" t="s">
        <v>1646</v>
      </c>
      <c r="AO2235" s="244"/>
      <c r="AT2235" s="244"/>
      <c r="AW2235" s="244"/>
      <c r="AX2235" s="245">
        <v>3</v>
      </c>
      <c r="AY2235" s="244"/>
      <c r="AZ2235" s="245" t="s">
        <v>2121</v>
      </c>
      <c r="BK2235" s="244">
        <v>3521</v>
      </c>
      <c r="BL2235" s="245">
        <v>1855</v>
      </c>
      <c r="BN2235" s="248"/>
      <c r="BP2235" s="437">
        <v>1.3042</v>
      </c>
      <c r="BQ2235" s="437">
        <v>1.29898</v>
      </c>
      <c r="BU2235" s="437">
        <f>(BZ2235*1000000)/(100*100*BP2235*W2235/100*1000000)*100</f>
        <v>0.21787446327250423</v>
      </c>
      <c r="BV2235" s="437">
        <f>(CA2235*1000000)/(100*100*BQ2235*W2235/100*1000000)*100</f>
        <v>0.2225</v>
      </c>
      <c r="BZ2235" s="437">
        <v>5.6830375000000002</v>
      </c>
      <c r="CA2235" s="437">
        <v>5.7804610000000007</v>
      </c>
      <c r="CD2235" s="245" t="s">
        <v>2095</v>
      </c>
      <c r="CE2235" s="598">
        <v>5.6830375000000002</v>
      </c>
      <c r="CF2235" s="598">
        <v>5.7804610000000007</v>
      </c>
      <c r="CG2235" s="598"/>
      <c r="CH2235" s="598"/>
      <c r="CI2235" s="245" t="s">
        <v>4551</v>
      </c>
      <c r="FU2235" s="246"/>
    </row>
    <row r="2236" spans="1:177" s="245" customFormat="1" x14ac:dyDescent="0.25">
      <c r="A2236" s="245">
        <v>106</v>
      </c>
      <c r="B2236" s="246" t="s">
        <v>4275</v>
      </c>
      <c r="C2236" s="244" t="s">
        <v>2196</v>
      </c>
      <c r="D2236" s="245" t="s">
        <v>2295</v>
      </c>
      <c r="E2236" s="244">
        <v>2013</v>
      </c>
      <c r="F2236" s="245">
        <v>2009</v>
      </c>
      <c r="G2236" s="244" t="s">
        <v>2296</v>
      </c>
      <c r="H2236" s="244" t="s">
        <v>2297</v>
      </c>
      <c r="I2236" s="244" t="s">
        <v>2818</v>
      </c>
      <c r="J2236" s="245">
        <f t="shared" si="337"/>
        <v>-16.45</v>
      </c>
      <c r="K2236" s="245">
        <f t="shared" si="338"/>
        <v>-49.283333333333331</v>
      </c>
      <c r="L2236" s="244">
        <v>823</v>
      </c>
      <c r="M2236" s="244">
        <v>22.7</v>
      </c>
      <c r="O2236" s="244">
        <v>1500</v>
      </c>
      <c r="R2236" s="245">
        <v>9</v>
      </c>
      <c r="S2236" s="244">
        <v>10</v>
      </c>
      <c r="U2236" s="245" t="s">
        <v>2294</v>
      </c>
      <c r="V2236" s="244" t="s">
        <v>1379</v>
      </c>
      <c r="W2236" s="245">
        <v>20</v>
      </c>
      <c r="X2236" s="244" t="s">
        <v>1379</v>
      </c>
      <c r="Y2236" s="244" t="s">
        <v>1379</v>
      </c>
      <c r="Z2236" s="245">
        <v>1.304</v>
      </c>
      <c r="AA2236" s="376">
        <v>35</v>
      </c>
      <c r="AB2236" s="376">
        <v>11</v>
      </c>
      <c r="AC2236" s="245" t="s">
        <v>796</v>
      </c>
      <c r="AD2236" s="245">
        <v>6.2</v>
      </c>
      <c r="AE2236" s="245">
        <v>2.41</v>
      </c>
      <c r="AG2236" s="244" t="s">
        <v>2298</v>
      </c>
      <c r="AH2236" s="244" t="s">
        <v>2302</v>
      </c>
      <c r="AI2236" s="245" t="s">
        <v>1581</v>
      </c>
      <c r="AJ2236" s="244" t="s">
        <v>1128</v>
      </c>
      <c r="AK2236" s="245" t="s">
        <v>1646</v>
      </c>
      <c r="AO2236" s="244"/>
      <c r="AT2236" s="244"/>
      <c r="AW2236" s="244"/>
      <c r="AX2236" s="245">
        <v>3</v>
      </c>
      <c r="AY2236" s="244"/>
      <c r="AZ2236" s="245" t="s">
        <v>2121</v>
      </c>
      <c r="BK2236" s="244">
        <v>3521</v>
      </c>
      <c r="BL2236" s="245">
        <v>1982</v>
      </c>
      <c r="BN2236" s="248"/>
      <c r="BP2236" s="437">
        <v>1.3042</v>
      </c>
      <c r="BQ2236" s="437">
        <v>1.2711399999999999</v>
      </c>
      <c r="BU2236" s="437">
        <f>(BZ2236*1000000)/(100*100*BP2236*W2236/100*1000000)*100</f>
        <v>0.21320493405919336</v>
      </c>
      <c r="BV2236" s="437">
        <f>(CA2236*1000000)/(100*100*BQ2236*W2236/100*1000000)*100</f>
        <v>0.24249999999999999</v>
      </c>
      <c r="BZ2236" s="437">
        <v>5.5612374999999998</v>
      </c>
      <c r="CA2236" s="437">
        <v>6.1650289999999996</v>
      </c>
      <c r="CD2236" s="245" t="s">
        <v>2095</v>
      </c>
      <c r="CE2236" s="598">
        <v>5.5612374999999998</v>
      </c>
      <c r="CF2236" s="598">
        <v>6.1650289999999996</v>
      </c>
      <c r="CG2236" s="598"/>
      <c r="CH2236" s="598"/>
      <c r="CI2236" s="245" t="s">
        <v>4551</v>
      </c>
      <c r="FU2236" s="246"/>
    </row>
    <row r="2237" spans="1:177" s="245" customFormat="1" x14ac:dyDescent="0.25">
      <c r="A2237" s="245">
        <v>106</v>
      </c>
      <c r="B2237" s="246" t="s">
        <v>4275</v>
      </c>
      <c r="C2237" s="244" t="s">
        <v>2196</v>
      </c>
      <c r="D2237" s="245" t="s">
        <v>2295</v>
      </c>
      <c r="E2237" s="244">
        <v>2013</v>
      </c>
      <c r="F2237" s="245">
        <v>2009</v>
      </c>
      <c r="G2237" s="244" t="s">
        <v>2296</v>
      </c>
      <c r="H2237" s="244" t="s">
        <v>2297</v>
      </c>
      <c r="I2237" s="244" t="s">
        <v>2818</v>
      </c>
      <c r="J2237" s="245">
        <f t="shared" si="337"/>
        <v>-16.45</v>
      </c>
      <c r="K2237" s="245">
        <f t="shared" si="338"/>
        <v>-49.283333333333331</v>
      </c>
      <c r="L2237" s="244">
        <v>823</v>
      </c>
      <c r="M2237" s="244">
        <v>22.7</v>
      </c>
      <c r="O2237" s="244">
        <v>1500</v>
      </c>
      <c r="R2237" s="245">
        <v>9</v>
      </c>
      <c r="S2237" s="244">
        <v>10</v>
      </c>
      <c r="U2237" s="245" t="s">
        <v>2294</v>
      </c>
      <c r="V2237" s="244" t="s">
        <v>1379</v>
      </c>
      <c r="W2237" s="245">
        <v>20</v>
      </c>
      <c r="X2237" s="244" t="s">
        <v>1379</v>
      </c>
      <c r="Y2237" s="244" t="s">
        <v>1379</v>
      </c>
      <c r="Z2237" s="245">
        <v>1.304</v>
      </c>
      <c r="AA2237" s="376">
        <v>35</v>
      </c>
      <c r="AB2237" s="376">
        <v>11</v>
      </c>
      <c r="AC2237" s="245" t="s">
        <v>796</v>
      </c>
      <c r="AD2237" s="245">
        <v>6.2</v>
      </c>
      <c r="AE2237" s="245">
        <v>2.41</v>
      </c>
      <c r="AG2237" s="244" t="s">
        <v>2298</v>
      </c>
      <c r="AH2237" s="244" t="s">
        <v>527</v>
      </c>
      <c r="AI2237" s="245" t="s">
        <v>1581</v>
      </c>
      <c r="AJ2237" s="244" t="s">
        <v>1128</v>
      </c>
      <c r="AK2237" s="245" t="s">
        <v>1646</v>
      </c>
      <c r="AO2237" s="244"/>
      <c r="AT2237" s="244"/>
      <c r="AW2237" s="244"/>
      <c r="AX2237" s="245">
        <v>3</v>
      </c>
      <c r="AY2237" s="244"/>
      <c r="AZ2237" s="245" t="s">
        <v>2121</v>
      </c>
      <c r="BK2237" s="244">
        <v>3521</v>
      </c>
      <c r="BL2237" s="245">
        <v>3648</v>
      </c>
      <c r="BN2237" s="248"/>
      <c r="BP2237" s="437">
        <v>1.6087</v>
      </c>
      <c r="BQ2237" s="437">
        <v>1.6087</v>
      </c>
      <c r="BZ2237" s="437"/>
      <c r="CA2237" s="437"/>
      <c r="CE2237" s="598"/>
      <c r="CF2237" s="598"/>
      <c r="CG2237" s="598"/>
      <c r="CH2237" s="598"/>
      <c r="FU2237" s="246"/>
    </row>
    <row r="2238" spans="1:177" s="164" customFormat="1" x14ac:dyDescent="0.25">
      <c r="A2238" s="164">
        <v>107</v>
      </c>
      <c r="B2238" s="165" t="s">
        <v>4276</v>
      </c>
      <c r="C2238" s="164" t="s">
        <v>2197</v>
      </c>
      <c r="E2238" s="164">
        <v>1974</v>
      </c>
      <c r="G2238" s="164" t="s">
        <v>2198</v>
      </c>
      <c r="H2238" s="164" t="s">
        <v>2199</v>
      </c>
      <c r="I2238" s="164" t="s">
        <v>1109</v>
      </c>
      <c r="J2238" s="164">
        <v>50.76</v>
      </c>
      <c r="K2238" s="164">
        <v>8.89</v>
      </c>
      <c r="L2238" s="164">
        <v>152</v>
      </c>
      <c r="M2238" s="164">
        <v>8</v>
      </c>
      <c r="O2238" s="164">
        <v>600</v>
      </c>
      <c r="R2238" s="164">
        <v>8</v>
      </c>
      <c r="S2238" s="164">
        <v>8</v>
      </c>
      <c r="V2238" s="164" t="s">
        <v>2164</v>
      </c>
      <c r="W2238" s="164">
        <v>28</v>
      </c>
      <c r="X2238" s="164" t="s">
        <v>2164</v>
      </c>
      <c r="Y2238" s="164" t="s">
        <v>2164</v>
      </c>
      <c r="Z2238" s="433">
        <v>1.4486635000000001</v>
      </c>
      <c r="AA2238" s="381"/>
      <c r="AB2238" s="381"/>
      <c r="AG2238" s="164" t="s">
        <v>2200</v>
      </c>
      <c r="AH2238" s="164" t="s">
        <v>2201</v>
      </c>
      <c r="AI2238" s="164" t="s">
        <v>1129</v>
      </c>
      <c r="AJ2238" s="164" t="s">
        <v>2303</v>
      </c>
      <c r="AK2238" s="164" t="s">
        <v>1619</v>
      </c>
      <c r="AL2238" s="164" t="s">
        <v>2304</v>
      </c>
      <c r="AO2238" s="164" t="s">
        <v>2305</v>
      </c>
      <c r="AT2238" s="164" t="s">
        <v>2202</v>
      </c>
      <c r="AW2238" s="164" t="s">
        <v>160</v>
      </c>
      <c r="AY2238" s="164">
        <v>60</v>
      </c>
      <c r="BN2238" s="166"/>
      <c r="BP2238" s="433">
        <v>1.4486635000000001</v>
      </c>
      <c r="BQ2238" s="433">
        <v>1.4450965</v>
      </c>
      <c r="BU2238" s="437">
        <f t="shared" ref="BU2238:BU2250" si="339">(BZ2238*1000000)/(100*100*BP2238*W2238/100*1000000)*100</f>
        <v>0.91748532759678114</v>
      </c>
      <c r="BV2238" s="437">
        <f t="shared" ref="BV2238:BV2250" si="340">(CA2238*1000000)/(100*100*BQ2238*W2238/100*1000000)*100</f>
        <v>0.94024999999999992</v>
      </c>
      <c r="BZ2238" s="433">
        <v>37.215570164499994</v>
      </c>
      <c r="CA2238" s="433">
        <v>38.045055555499999</v>
      </c>
      <c r="CD2238" s="164" t="s">
        <v>2095</v>
      </c>
      <c r="CE2238" s="586">
        <v>37.215570164499994</v>
      </c>
      <c r="CF2238" s="586">
        <v>38.045055555499999</v>
      </c>
      <c r="CG2238" s="586"/>
      <c r="CH2238" s="586"/>
      <c r="CI2238" s="164" t="s">
        <v>4551</v>
      </c>
      <c r="FU2238" s="165"/>
    </row>
    <row r="2239" spans="1:177" s="164" customFormat="1" x14ac:dyDescent="0.25">
      <c r="A2239" s="164">
        <v>107</v>
      </c>
      <c r="B2239" s="165" t="s">
        <v>4277</v>
      </c>
      <c r="C2239" s="164" t="s">
        <v>2197</v>
      </c>
      <c r="E2239" s="164">
        <v>1974</v>
      </c>
      <c r="G2239" s="164" t="s">
        <v>2198</v>
      </c>
      <c r="H2239" s="164" t="s">
        <v>2199</v>
      </c>
      <c r="I2239" s="164" t="s">
        <v>1109</v>
      </c>
      <c r="J2239" s="164">
        <v>50.76</v>
      </c>
      <c r="K2239" s="164">
        <v>8.89</v>
      </c>
      <c r="L2239" s="164">
        <v>152</v>
      </c>
      <c r="M2239" s="164">
        <v>8</v>
      </c>
      <c r="O2239" s="164">
        <v>600</v>
      </c>
      <c r="R2239" s="164">
        <v>8</v>
      </c>
      <c r="S2239" s="164">
        <v>8</v>
      </c>
      <c r="V2239" s="164" t="s">
        <v>2164</v>
      </c>
      <c r="W2239" s="164">
        <v>28</v>
      </c>
      <c r="X2239" s="164" t="s">
        <v>2164</v>
      </c>
      <c r="Y2239" s="164" t="s">
        <v>2164</v>
      </c>
      <c r="Z2239" s="433">
        <v>1.447924</v>
      </c>
      <c r="AA2239" s="381"/>
      <c r="AB2239" s="381"/>
      <c r="AG2239" s="164" t="s">
        <v>2200</v>
      </c>
      <c r="AH2239" s="164" t="s">
        <v>2201</v>
      </c>
      <c r="AI2239" s="164" t="s">
        <v>1129</v>
      </c>
      <c r="AJ2239" s="164" t="s">
        <v>2303</v>
      </c>
      <c r="AK2239" s="164" t="s">
        <v>1619</v>
      </c>
      <c r="AL2239" s="164" t="s">
        <v>2304</v>
      </c>
      <c r="AO2239" s="164" t="s">
        <v>2305</v>
      </c>
      <c r="AT2239" s="164" t="s">
        <v>2203</v>
      </c>
      <c r="AW2239" s="164" t="s">
        <v>160</v>
      </c>
      <c r="AY2239" s="164">
        <v>60</v>
      </c>
      <c r="BN2239" s="166"/>
      <c r="BP2239" s="433">
        <v>1.447924</v>
      </c>
      <c r="BQ2239" s="433">
        <v>1.4407682500000001</v>
      </c>
      <c r="BU2239" s="437">
        <f t="shared" si="339"/>
        <v>0.91943352206331275</v>
      </c>
      <c r="BV2239" s="437">
        <f t="shared" si="340"/>
        <v>0.96512499999999979</v>
      </c>
      <c r="BZ2239" s="433">
        <v>37.275556164000008</v>
      </c>
      <c r="CA2239" s="433">
        <v>38.934600803875</v>
      </c>
      <c r="CD2239" s="164" t="s">
        <v>2095</v>
      </c>
      <c r="CE2239" s="586">
        <v>37.275556164000008</v>
      </c>
      <c r="CF2239" s="586">
        <v>38.934600803875</v>
      </c>
      <c r="CG2239" s="586"/>
      <c r="CH2239" s="586"/>
      <c r="CI2239" s="164" t="s">
        <v>4551</v>
      </c>
      <c r="FU2239" s="165"/>
    </row>
    <row r="2240" spans="1:177" s="164" customFormat="1" x14ac:dyDescent="0.25">
      <c r="A2240" s="164">
        <v>107</v>
      </c>
      <c r="B2240" s="165" t="s">
        <v>4278</v>
      </c>
      <c r="C2240" s="164" t="s">
        <v>2197</v>
      </c>
      <c r="E2240" s="164">
        <v>1974</v>
      </c>
      <c r="G2240" s="164" t="s">
        <v>2198</v>
      </c>
      <c r="H2240" s="164" t="s">
        <v>2199</v>
      </c>
      <c r="I2240" s="164" t="s">
        <v>1109</v>
      </c>
      <c r="J2240" s="164">
        <v>50.76</v>
      </c>
      <c r="K2240" s="164">
        <v>8.89</v>
      </c>
      <c r="L2240" s="164">
        <v>152</v>
      </c>
      <c r="M2240" s="164">
        <v>8</v>
      </c>
      <c r="O2240" s="164">
        <v>600</v>
      </c>
      <c r="R2240" s="164">
        <v>8</v>
      </c>
      <c r="S2240" s="164">
        <v>8</v>
      </c>
      <c r="V2240" s="164" t="s">
        <v>2164</v>
      </c>
      <c r="W2240" s="164">
        <v>28</v>
      </c>
      <c r="X2240" s="164" t="s">
        <v>2164</v>
      </c>
      <c r="Y2240" s="164" t="s">
        <v>2164</v>
      </c>
      <c r="Z2240" s="433">
        <v>1.4445527499999999</v>
      </c>
      <c r="AA2240" s="381"/>
      <c r="AB2240" s="381"/>
      <c r="AG2240" s="164" t="s">
        <v>2200</v>
      </c>
      <c r="AH2240" s="164" t="s">
        <v>2201</v>
      </c>
      <c r="AI2240" s="164" t="s">
        <v>1129</v>
      </c>
      <c r="AJ2240" s="164" t="s">
        <v>2303</v>
      </c>
      <c r="AK2240" s="164" t="s">
        <v>1619</v>
      </c>
      <c r="AL2240" s="164" t="s">
        <v>2304</v>
      </c>
      <c r="AO2240" s="164" t="s">
        <v>2305</v>
      </c>
      <c r="AT2240" s="164" t="s">
        <v>2204</v>
      </c>
      <c r="AW2240" s="164" t="s">
        <v>160</v>
      </c>
      <c r="AY2240" s="164">
        <v>60</v>
      </c>
      <c r="BN2240" s="166"/>
      <c r="BP2240" s="433">
        <v>1.4445527499999999</v>
      </c>
      <c r="BQ2240" s="433">
        <v>1.4378755000000001</v>
      </c>
      <c r="BU2240" s="437">
        <f t="shared" si="339"/>
        <v>0.93901437646531061</v>
      </c>
      <c r="BV2240" s="437">
        <f t="shared" si="340"/>
        <v>0.98175000000000012</v>
      </c>
      <c r="BZ2240" s="433">
        <v>37.980762394750002</v>
      </c>
      <c r="CA2240" s="433">
        <v>39.525759619500008</v>
      </c>
      <c r="CD2240" s="164" t="s">
        <v>2095</v>
      </c>
      <c r="CE2240" s="586">
        <v>37.980762394750002</v>
      </c>
      <c r="CF2240" s="586">
        <v>39.525759619500008</v>
      </c>
      <c r="CG2240" s="586"/>
      <c r="CH2240" s="586"/>
      <c r="CI2240" s="164" t="s">
        <v>4551</v>
      </c>
      <c r="FU2240" s="165"/>
    </row>
    <row r="2241" spans="1:262" s="164" customFormat="1" x14ac:dyDescent="0.25">
      <c r="A2241" s="164">
        <v>107</v>
      </c>
      <c r="B2241" s="165" t="s">
        <v>4279</v>
      </c>
      <c r="C2241" s="164" t="s">
        <v>2197</v>
      </c>
      <c r="E2241" s="164">
        <v>1974</v>
      </c>
      <c r="G2241" s="164" t="s">
        <v>2198</v>
      </c>
      <c r="H2241" s="164" t="s">
        <v>2199</v>
      </c>
      <c r="I2241" s="164" t="s">
        <v>1109</v>
      </c>
      <c r="J2241" s="164">
        <v>50.76</v>
      </c>
      <c r="K2241" s="164">
        <v>8.89</v>
      </c>
      <c r="L2241" s="164">
        <v>152</v>
      </c>
      <c r="M2241" s="164">
        <v>8</v>
      </c>
      <c r="O2241" s="164">
        <v>600</v>
      </c>
      <c r="R2241" s="164">
        <v>8</v>
      </c>
      <c r="S2241" s="164">
        <v>8</v>
      </c>
      <c r="V2241" s="164" t="s">
        <v>2164</v>
      </c>
      <c r="W2241" s="164">
        <v>28</v>
      </c>
      <c r="X2241" s="164" t="s">
        <v>2164</v>
      </c>
      <c r="Y2241" s="164" t="s">
        <v>2164</v>
      </c>
      <c r="Z2241" s="433">
        <v>1.44298675</v>
      </c>
      <c r="AA2241" s="381"/>
      <c r="AB2241" s="381"/>
      <c r="AG2241" s="164" t="s">
        <v>2200</v>
      </c>
      <c r="AH2241" s="164" t="s">
        <v>2201</v>
      </c>
      <c r="AI2241" s="164" t="s">
        <v>1129</v>
      </c>
      <c r="AJ2241" s="164" t="s">
        <v>2303</v>
      </c>
      <c r="AK2241" s="164" t="s">
        <v>1619</v>
      </c>
      <c r="AL2241" s="164" t="s">
        <v>2304</v>
      </c>
      <c r="AO2241" s="164" t="s">
        <v>2305</v>
      </c>
      <c r="AT2241" s="164" t="s">
        <v>2205</v>
      </c>
      <c r="AW2241" s="164" t="s">
        <v>160</v>
      </c>
      <c r="AY2241" s="164">
        <v>60</v>
      </c>
      <c r="BN2241" s="166"/>
      <c r="BP2241" s="433">
        <v>1.44298675</v>
      </c>
      <c r="BQ2241" s="433">
        <v>1.4377232500000001</v>
      </c>
      <c r="BU2241" s="437">
        <f t="shared" si="339"/>
        <v>0.94890107633957832</v>
      </c>
      <c r="BV2241" s="437">
        <f t="shared" si="340"/>
        <v>0.98262499999999986</v>
      </c>
      <c r="BZ2241" s="433">
        <v>38.339047046125003</v>
      </c>
      <c r="CA2241" s="433">
        <v>39.556798638875001</v>
      </c>
      <c r="CD2241" s="164" t="s">
        <v>2095</v>
      </c>
      <c r="CE2241" s="586">
        <v>38.339047046125003</v>
      </c>
      <c r="CF2241" s="586">
        <v>39.556798638875001</v>
      </c>
      <c r="CG2241" s="586"/>
      <c r="CH2241" s="586"/>
      <c r="CI2241" s="164" t="s">
        <v>4551</v>
      </c>
      <c r="FU2241" s="165"/>
    </row>
    <row r="2242" spans="1:262" s="164" customFormat="1" x14ac:dyDescent="0.25">
      <c r="A2242" s="164">
        <v>107</v>
      </c>
      <c r="B2242" s="165" t="s">
        <v>4276</v>
      </c>
      <c r="C2242" s="164" t="s">
        <v>2197</v>
      </c>
      <c r="E2242" s="164">
        <v>1974</v>
      </c>
      <c r="G2242" s="164" t="s">
        <v>2198</v>
      </c>
      <c r="H2242" s="164" t="s">
        <v>2199</v>
      </c>
      <c r="I2242" s="164" t="s">
        <v>1109</v>
      </c>
      <c r="J2242" s="164">
        <v>50.76</v>
      </c>
      <c r="K2242" s="164">
        <v>8.89</v>
      </c>
      <c r="L2242" s="164">
        <v>152</v>
      </c>
      <c r="M2242" s="164">
        <v>8</v>
      </c>
      <c r="O2242" s="164">
        <v>600</v>
      </c>
      <c r="R2242" s="164">
        <v>8</v>
      </c>
      <c r="S2242" s="164">
        <v>8</v>
      </c>
      <c r="V2242" s="164" t="s">
        <v>2164</v>
      </c>
      <c r="W2242" s="164">
        <v>28</v>
      </c>
      <c r="X2242" s="164" t="s">
        <v>2164</v>
      </c>
      <c r="Y2242" s="164" t="s">
        <v>2164</v>
      </c>
      <c r="Z2242" s="433">
        <v>1.4400722500000001</v>
      </c>
      <c r="AA2242" s="381"/>
      <c r="AB2242" s="381"/>
      <c r="AG2242" s="164" t="s">
        <v>2200</v>
      </c>
      <c r="AH2242" s="164" t="s">
        <v>2201</v>
      </c>
      <c r="AI2242" s="164" t="s">
        <v>1129</v>
      </c>
      <c r="AJ2242" s="164" t="s">
        <v>2303</v>
      </c>
      <c r="AK2242" s="164" t="s">
        <v>1619</v>
      </c>
      <c r="AL2242" s="164" t="s">
        <v>2304</v>
      </c>
      <c r="AO2242" s="164" t="s">
        <v>2305</v>
      </c>
      <c r="AT2242" s="164" t="s">
        <v>2206</v>
      </c>
      <c r="AW2242" s="164" t="s">
        <v>160</v>
      </c>
      <c r="AY2242" s="164">
        <v>60</v>
      </c>
      <c r="BN2242" s="166"/>
      <c r="BP2242" s="433">
        <v>1.4400722500000001</v>
      </c>
      <c r="BQ2242" s="433">
        <v>1.4327860000000001</v>
      </c>
      <c r="BU2242" s="437">
        <f t="shared" si="339"/>
        <v>0.96422157447308643</v>
      </c>
      <c r="BV2242" s="437">
        <f t="shared" si="340"/>
        <v>1.0109999999999999</v>
      </c>
      <c r="BZ2242" s="433">
        <v>38.879364503000005</v>
      </c>
      <c r="CA2242" s="433">
        <v>40.559306088</v>
      </c>
      <c r="CD2242" s="164" t="s">
        <v>2095</v>
      </c>
      <c r="CE2242" s="586">
        <v>38.879364503000005</v>
      </c>
      <c r="CF2242" s="586">
        <v>40.559306088</v>
      </c>
      <c r="CG2242" s="586"/>
      <c r="CH2242" s="586"/>
      <c r="CI2242" s="164" t="s">
        <v>4551</v>
      </c>
      <c r="FU2242" s="165"/>
    </row>
    <row r="2243" spans="1:262" s="164" customFormat="1" x14ac:dyDescent="0.25">
      <c r="A2243" s="164">
        <v>107</v>
      </c>
      <c r="B2243" s="165" t="s">
        <v>4277</v>
      </c>
      <c r="C2243" s="164" t="s">
        <v>2197</v>
      </c>
      <c r="E2243" s="164">
        <v>1974</v>
      </c>
      <c r="G2243" s="164" t="s">
        <v>2198</v>
      </c>
      <c r="H2243" s="164" t="s">
        <v>2199</v>
      </c>
      <c r="I2243" s="164" t="s">
        <v>1109</v>
      </c>
      <c r="J2243" s="164">
        <v>50.76</v>
      </c>
      <c r="K2243" s="164">
        <v>8.89</v>
      </c>
      <c r="L2243" s="164">
        <v>152</v>
      </c>
      <c r="M2243" s="164">
        <v>8</v>
      </c>
      <c r="O2243" s="164">
        <v>600</v>
      </c>
      <c r="R2243" s="164">
        <v>8</v>
      </c>
      <c r="S2243" s="164">
        <v>8</v>
      </c>
      <c r="V2243" s="164" t="s">
        <v>2164</v>
      </c>
      <c r="W2243" s="164">
        <v>28</v>
      </c>
      <c r="X2243" s="164" t="s">
        <v>2164</v>
      </c>
      <c r="Y2243" s="164" t="s">
        <v>2164</v>
      </c>
      <c r="Z2243" s="433">
        <v>1.4342649999999999</v>
      </c>
      <c r="AA2243" s="381"/>
      <c r="AB2243" s="381"/>
      <c r="AG2243" s="164" t="s">
        <v>2200</v>
      </c>
      <c r="AH2243" s="164" t="s">
        <v>2201</v>
      </c>
      <c r="AI2243" s="164" t="s">
        <v>1129</v>
      </c>
      <c r="AJ2243" s="164" t="s">
        <v>2303</v>
      </c>
      <c r="AK2243" s="164" t="s">
        <v>1619</v>
      </c>
      <c r="AL2243" s="164" t="s">
        <v>2304</v>
      </c>
      <c r="AO2243" s="164" t="s">
        <v>2305</v>
      </c>
      <c r="AT2243" s="164" t="s">
        <v>2207</v>
      </c>
      <c r="AW2243" s="164" t="s">
        <v>160</v>
      </c>
      <c r="AY2243" s="164">
        <v>60</v>
      </c>
      <c r="BN2243" s="166"/>
      <c r="BP2243" s="433">
        <v>1.4342649999999999</v>
      </c>
      <c r="BQ2243" s="433">
        <v>1.4286099999999999</v>
      </c>
      <c r="BU2243" s="437">
        <f t="shared" si="339"/>
        <v>0.99854735700864194</v>
      </c>
      <c r="BV2243" s="437">
        <f t="shared" si="340"/>
        <v>1.0350000000000001</v>
      </c>
      <c r="BZ2243" s="433">
        <v>40.101082699999992</v>
      </c>
      <c r="CA2243" s="433">
        <v>41.401117799999994</v>
      </c>
      <c r="CD2243" s="164" t="s">
        <v>2095</v>
      </c>
      <c r="CE2243" s="586">
        <v>40.101082699999992</v>
      </c>
      <c r="CF2243" s="586">
        <v>41.401117799999994</v>
      </c>
      <c r="CG2243" s="586"/>
      <c r="CH2243" s="586"/>
      <c r="CI2243" s="164" t="s">
        <v>4551</v>
      </c>
      <c r="FU2243" s="165"/>
    </row>
    <row r="2244" spans="1:262" s="164" customFormat="1" x14ac:dyDescent="0.25">
      <c r="A2244" s="164">
        <v>107</v>
      </c>
      <c r="B2244" s="165" t="s">
        <v>4278</v>
      </c>
      <c r="C2244" s="164" t="s">
        <v>2197</v>
      </c>
      <c r="E2244" s="164">
        <v>1974</v>
      </c>
      <c r="G2244" s="164" t="s">
        <v>2198</v>
      </c>
      <c r="H2244" s="164" t="s">
        <v>2199</v>
      </c>
      <c r="I2244" s="164" t="s">
        <v>1109</v>
      </c>
      <c r="J2244" s="164">
        <v>50.76</v>
      </c>
      <c r="K2244" s="164">
        <v>8.89</v>
      </c>
      <c r="L2244" s="164">
        <v>152</v>
      </c>
      <c r="M2244" s="164">
        <v>8</v>
      </c>
      <c r="O2244" s="164">
        <v>600</v>
      </c>
      <c r="R2244" s="164">
        <v>8</v>
      </c>
      <c r="S2244" s="164">
        <v>8</v>
      </c>
      <c r="V2244" s="164" t="s">
        <v>2164</v>
      </c>
      <c r="W2244" s="164">
        <v>28</v>
      </c>
      <c r="X2244" s="164" t="s">
        <v>2164</v>
      </c>
      <c r="Y2244" s="164" t="s">
        <v>2164</v>
      </c>
      <c r="Z2244" s="433">
        <v>1.4342649999999999</v>
      </c>
      <c r="AA2244" s="381"/>
      <c r="AB2244" s="381"/>
      <c r="AG2244" s="164" t="s">
        <v>2200</v>
      </c>
      <c r="AH2244" s="164" t="s">
        <v>2201</v>
      </c>
      <c r="AI2244" s="164" t="s">
        <v>1129</v>
      </c>
      <c r="AJ2244" s="164" t="s">
        <v>2303</v>
      </c>
      <c r="AK2244" s="164" t="s">
        <v>1619</v>
      </c>
      <c r="AL2244" s="164" t="s">
        <v>2304</v>
      </c>
      <c r="AO2244" s="164" t="s">
        <v>2305</v>
      </c>
      <c r="AT2244" s="164" t="s">
        <v>2208</v>
      </c>
      <c r="AW2244" s="164" t="s">
        <v>160</v>
      </c>
      <c r="AY2244" s="164">
        <v>60</v>
      </c>
      <c r="BN2244" s="166"/>
      <c r="BP2244" s="433">
        <v>1.4342649999999999</v>
      </c>
      <c r="BQ2244" s="433">
        <v>1.426609</v>
      </c>
      <c r="BU2244" s="437">
        <f t="shared" si="339"/>
        <v>0.9971487294886231</v>
      </c>
      <c r="BV2244" s="437">
        <f t="shared" si="340"/>
        <v>1.0464999999999998</v>
      </c>
      <c r="BZ2244" s="433">
        <v>40.044914630000001</v>
      </c>
      <c r="CA2244" s="433">
        <v>41.802496917999996</v>
      </c>
      <c r="CD2244" s="164" t="s">
        <v>2095</v>
      </c>
      <c r="CE2244" s="586">
        <v>40.044914630000001</v>
      </c>
      <c r="CF2244" s="586">
        <v>41.802496917999996</v>
      </c>
      <c r="CG2244" s="586"/>
      <c r="CH2244" s="586"/>
      <c r="CI2244" s="164" t="s">
        <v>4551</v>
      </c>
      <c r="FU2244" s="165"/>
    </row>
    <row r="2245" spans="1:262" s="164" customFormat="1" x14ac:dyDescent="0.25">
      <c r="A2245" s="164">
        <v>107</v>
      </c>
      <c r="B2245" s="165" t="s">
        <v>4279</v>
      </c>
      <c r="C2245" s="164" t="s">
        <v>2197</v>
      </c>
      <c r="E2245" s="164">
        <v>1974</v>
      </c>
      <c r="G2245" s="164" t="s">
        <v>2198</v>
      </c>
      <c r="H2245" s="164" t="s">
        <v>2199</v>
      </c>
      <c r="I2245" s="164" t="s">
        <v>1109</v>
      </c>
      <c r="J2245" s="164">
        <v>50.76</v>
      </c>
      <c r="K2245" s="164">
        <v>8.89</v>
      </c>
      <c r="L2245" s="164">
        <v>152</v>
      </c>
      <c r="M2245" s="164">
        <v>8</v>
      </c>
      <c r="O2245" s="164">
        <v>600</v>
      </c>
      <c r="R2245" s="164">
        <v>8</v>
      </c>
      <c r="S2245" s="164">
        <v>8</v>
      </c>
      <c r="V2245" s="164" t="s">
        <v>2164</v>
      </c>
      <c r="W2245" s="164">
        <v>28</v>
      </c>
      <c r="X2245" s="164" t="s">
        <v>2164</v>
      </c>
      <c r="Y2245" s="164" t="s">
        <v>2164</v>
      </c>
      <c r="Z2245" s="433">
        <v>1.4342867500000001</v>
      </c>
      <c r="AA2245" s="381"/>
      <c r="AB2245" s="381"/>
      <c r="AG2245" s="164" t="s">
        <v>2200</v>
      </c>
      <c r="AH2245" s="164" t="s">
        <v>2201</v>
      </c>
      <c r="AI2245" s="164" t="s">
        <v>1129</v>
      </c>
      <c r="AJ2245" s="164" t="s">
        <v>2303</v>
      </c>
      <c r="AK2245" s="164" t="s">
        <v>1619</v>
      </c>
      <c r="AL2245" s="164" t="s">
        <v>2304</v>
      </c>
      <c r="AO2245" s="164" t="s">
        <v>2305</v>
      </c>
      <c r="AT2245" s="164" t="s">
        <v>2209</v>
      </c>
      <c r="AW2245" s="164" t="s">
        <v>160</v>
      </c>
      <c r="AY2245" s="164">
        <v>60</v>
      </c>
      <c r="BN2245" s="166"/>
      <c r="BP2245" s="433">
        <v>1.4342867500000001</v>
      </c>
      <c r="BQ2245" s="433">
        <v>1.4248907500000001</v>
      </c>
      <c r="BU2245" s="437">
        <f t="shared" si="339"/>
        <v>0.99580845011030716</v>
      </c>
      <c r="BV2245" s="437">
        <f t="shared" si="340"/>
        <v>1.0563750000000001</v>
      </c>
      <c r="BZ2245" s="433">
        <v>39.991696234874993</v>
      </c>
      <c r="CA2245" s="433">
        <v>42.146131048875006</v>
      </c>
      <c r="CD2245" s="164" t="s">
        <v>2095</v>
      </c>
      <c r="CE2245" s="586">
        <v>39.991696234874993</v>
      </c>
      <c r="CF2245" s="586">
        <v>42.146131048875006</v>
      </c>
      <c r="CG2245" s="586"/>
      <c r="CH2245" s="586"/>
      <c r="CI2245" s="164" t="s">
        <v>4551</v>
      </c>
      <c r="FU2245" s="165"/>
    </row>
    <row r="2246" spans="1:262" s="239" customFormat="1" x14ac:dyDescent="0.25">
      <c r="A2246" s="239">
        <v>108</v>
      </c>
      <c r="B2246" s="240" t="s">
        <v>4280</v>
      </c>
      <c r="C2246" s="239" t="s">
        <v>2219</v>
      </c>
      <c r="E2246" s="239">
        <v>1996</v>
      </c>
      <c r="G2246" s="239" t="s">
        <v>2220</v>
      </c>
      <c r="H2246" s="239" t="s">
        <v>2221</v>
      </c>
      <c r="I2246" s="239" t="s">
        <v>2821</v>
      </c>
      <c r="J2246" s="239">
        <v>59.81</v>
      </c>
      <c r="K2246" s="239">
        <v>17.66</v>
      </c>
      <c r="L2246" s="239">
        <v>41</v>
      </c>
      <c r="M2246" s="239">
        <v>5</v>
      </c>
      <c r="O2246" s="239">
        <v>545</v>
      </c>
      <c r="R2246" s="239">
        <v>35</v>
      </c>
      <c r="S2246" s="239">
        <v>35</v>
      </c>
      <c r="V2246" s="239" t="s">
        <v>1382</v>
      </c>
      <c r="W2246" s="239">
        <v>15</v>
      </c>
      <c r="X2246" s="239" t="s">
        <v>1382</v>
      </c>
      <c r="Y2246" s="239" t="s">
        <v>1382</v>
      </c>
      <c r="Z2246" s="451">
        <v>1.36</v>
      </c>
      <c r="AA2246" s="383">
        <v>23</v>
      </c>
      <c r="AB2246" s="383">
        <v>41</v>
      </c>
      <c r="AC2246" s="239" t="s">
        <v>672</v>
      </c>
      <c r="AG2246" s="239" t="s">
        <v>2222</v>
      </c>
      <c r="AH2246" s="239" t="s">
        <v>2135</v>
      </c>
      <c r="AI2246" s="239" t="s">
        <v>1601</v>
      </c>
      <c r="AJ2246" s="239" t="s">
        <v>1601</v>
      </c>
      <c r="AK2246" s="239" t="s">
        <v>1601</v>
      </c>
      <c r="AO2246" s="239" t="s">
        <v>2135</v>
      </c>
      <c r="AT2246" s="239" t="s">
        <v>2223</v>
      </c>
      <c r="AW2246" s="239" t="s">
        <v>160</v>
      </c>
      <c r="AY2246" s="239">
        <v>5</v>
      </c>
      <c r="BK2246" s="241"/>
      <c r="BN2246" s="242"/>
      <c r="BP2246" s="451">
        <v>1.36</v>
      </c>
      <c r="BQ2246" s="451">
        <v>1.36</v>
      </c>
      <c r="BU2246" s="437">
        <f t="shared" si="339"/>
        <v>1.23</v>
      </c>
      <c r="BV2246" s="437">
        <f t="shared" si="340"/>
        <v>1.77</v>
      </c>
      <c r="BZ2246" s="451">
        <v>25.092000000000002</v>
      </c>
      <c r="CA2246" s="451">
        <v>36.108000000000004</v>
      </c>
      <c r="CD2246" s="239" t="s">
        <v>2095</v>
      </c>
      <c r="CE2246" s="597">
        <v>25.092000000000002</v>
      </c>
      <c r="CF2246" s="597">
        <v>36.108000000000004</v>
      </c>
      <c r="CG2246" s="597"/>
      <c r="CH2246" s="597"/>
      <c r="CI2246" s="239" t="s">
        <v>4551</v>
      </c>
      <c r="FU2246" s="240"/>
    </row>
    <row r="2247" spans="1:262" s="164" customFormat="1" x14ac:dyDescent="0.25">
      <c r="A2247" s="164">
        <v>109</v>
      </c>
      <c r="B2247" s="165" t="s">
        <v>4281</v>
      </c>
      <c r="C2247" s="164" t="s">
        <v>2210</v>
      </c>
      <c r="D2247" s="164" t="s">
        <v>2306</v>
      </c>
      <c r="E2247" s="164">
        <v>2004</v>
      </c>
      <c r="F2247" s="164">
        <v>1999</v>
      </c>
      <c r="G2247" s="164" t="s">
        <v>2211</v>
      </c>
      <c r="H2247" s="164" t="s">
        <v>2212</v>
      </c>
      <c r="I2247" s="164" t="s">
        <v>2822</v>
      </c>
      <c r="J2247" s="164">
        <v>55.47</v>
      </c>
      <c r="K2247" s="164">
        <v>9.1</v>
      </c>
      <c r="L2247" s="164">
        <v>45</v>
      </c>
      <c r="M2247" s="164">
        <v>7.6</v>
      </c>
      <c r="O2247" s="164">
        <v>862</v>
      </c>
      <c r="R2247" s="164">
        <v>19</v>
      </c>
      <c r="S2247" s="164">
        <v>22</v>
      </c>
      <c r="U2247" s="164" t="s">
        <v>2307</v>
      </c>
      <c r="V2247" s="164" t="s">
        <v>1379</v>
      </c>
      <c r="W2247" s="164">
        <v>20</v>
      </c>
      <c r="X2247" s="164" t="s">
        <v>1379</v>
      </c>
      <c r="Y2247" s="164" t="s">
        <v>1379</v>
      </c>
      <c r="Z2247" s="433">
        <v>1.4051200000000001</v>
      </c>
      <c r="AA2247" s="381">
        <v>69</v>
      </c>
      <c r="AB2247" s="381">
        <v>16</v>
      </c>
      <c r="AC2247" s="164" t="s">
        <v>240</v>
      </c>
      <c r="AG2247" s="164" t="s">
        <v>2213</v>
      </c>
      <c r="AH2247" s="164" t="s">
        <v>2214</v>
      </c>
      <c r="AI2247" s="164" t="s">
        <v>131</v>
      </c>
      <c r="AJ2247" s="164" t="s">
        <v>2215</v>
      </c>
      <c r="AK2247" s="164" t="s">
        <v>1646</v>
      </c>
      <c r="AO2247" s="164" t="s">
        <v>2216</v>
      </c>
      <c r="AQ2247" s="164" t="s">
        <v>2125</v>
      </c>
      <c r="AR2247" s="164" t="s">
        <v>2125</v>
      </c>
      <c r="AT2247" s="164" t="s">
        <v>2217</v>
      </c>
      <c r="AW2247" s="164" t="s">
        <v>160</v>
      </c>
      <c r="BN2247" s="166"/>
      <c r="BP2247" s="433">
        <v>1.4051200000000001</v>
      </c>
      <c r="BQ2247" s="433">
        <v>1.3842400000000001</v>
      </c>
      <c r="BU2247" s="437">
        <f t="shared" si="339"/>
        <v>1.1526138692780687</v>
      </c>
      <c r="BV2247" s="437">
        <f t="shared" si="340"/>
        <v>1.2900000000000003</v>
      </c>
      <c r="BZ2247" s="433">
        <v>32.391216</v>
      </c>
      <c r="CA2247" s="433">
        <v>35.713392000000006</v>
      </c>
      <c r="CD2247" s="164" t="s">
        <v>2095</v>
      </c>
      <c r="CE2247" s="586">
        <v>32.391216</v>
      </c>
      <c r="CF2247" s="586">
        <v>35.713392000000006</v>
      </c>
      <c r="CG2247" s="586"/>
      <c r="CH2247" s="586"/>
      <c r="CI2247" s="164" t="s">
        <v>4551</v>
      </c>
      <c r="FU2247" s="165"/>
    </row>
    <row r="2248" spans="1:262" s="164" customFormat="1" x14ac:dyDescent="0.25">
      <c r="A2248" s="164">
        <v>109</v>
      </c>
      <c r="B2248" s="165" t="s">
        <v>4281</v>
      </c>
      <c r="C2248" s="164" t="s">
        <v>2210</v>
      </c>
      <c r="D2248" s="164" t="s">
        <v>2306</v>
      </c>
      <c r="E2248" s="164">
        <v>2004</v>
      </c>
      <c r="F2248" s="164">
        <v>1999</v>
      </c>
      <c r="G2248" s="164" t="s">
        <v>2211</v>
      </c>
      <c r="H2248" s="164" t="s">
        <v>2212</v>
      </c>
      <c r="I2248" s="164" t="s">
        <v>2822</v>
      </c>
      <c r="J2248" s="164">
        <v>55.47</v>
      </c>
      <c r="K2248" s="164">
        <v>9.1</v>
      </c>
      <c r="L2248" s="164">
        <v>45</v>
      </c>
      <c r="M2248" s="164">
        <v>7.6</v>
      </c>
      <c r="O2248" s="164">
        <v>862</v>
      </c>
      <c r="R2248" s="164">
        <v>19</v>
      </c>
      <c r="S2248" s="164">
        <v>22</v>
      </c>
      <c r="U2248" s="164" t="s">
        <v>2307</v>
      </c>
      <c r="V2248" s="164" t="s">
        <v>1379</v>
      </c>
      <c r="W2248" s="164">
        <v>20</v>
      </c>
      <c r="X2248" s="164" t="s">
        <v>1379</v>
      </c>
      <c r="Y2248" s="164" t="s">
        <v>1379</v>
      </c>
      <c r="Z2248" s="433">
        <v>1.3772800000000001</v>
      </c>
      <c r="AA2248" s="381">
        <v>69</v>
      </c>
      <c r="AB2248" s="381">
        <v>16</v>
      </c>
      <c r="AC2248" s="164" t="s">
        <v>240</v>
      </c>
      <c r="AG2248" s="164" t="s">
        <v>2213</v>
      </c>
      <c r="AH2248" s="164" t="s">
        <v>2214</v>
      </c>
      <c r="AI2248" s="164" t="s">
        <v>131</v>
      </c>
      <c r="AJ2248" s="164" t="s">
        <v>2215</v>
      </c>
      <c r="AK2248" s="164" t="s">
        <v>1646</v>
      </c>
      <c r="AO2248" s="164" t="s">
        <v>2216</v>
      </c>
      <c r="AQ2248" s="164" t="s">
        <v>2125</v>
      </c>
      <c r="AR2248" s="164" t="s">
        <v>2125</v>
      </c>
      <c r="AT2248" s="164" t="s">
        <v>2217</v>
      </c>
      <c r="AW2248" s="164" t="s">
        <v>160</v>
      </c>
      <c r="BN2248" s="166"/>
      <c r="BP2248" s="433">
        <v>1.3772800000000001</v>
      </c>
      <c r="BQ2248" s="433">
        <v>1.35466</v>
      </c>
      <c r="BU2248" s="437">
        <f t="shared" si="339"/>
        <v>1.3081565113847584</v>
      </c>
      <c r="BV2248" s="437">
        <f t="shared" si="340"/>
        <v>1.46</v>
      </c>
      <c r="BZ2248" s="433">
        <v>36.033956000000003</v>
      </c>
      <c r="CA2248" s="433">
        <v>39.556072</v>
      </c>
      <c r="CD2248" s="164" t="s">
        <v>2095</v>
      </c>
      <c r="CE2248" s="586">
        <v>36.033956000000003</v>
      </c>
      <c r="CF2248" s="586">
        <v>39.556072</v>
      </c>
      <c r="CG2248" s="586"/>
      <c r="CH2248" s="586"/>
      <c r="CI2248" s="164" t="s">
        <v>4551</v>
      </c>
      <c r="FU2248" s="165"/>
    </row>
    <row r="2249" spans="1:262" s="164" customFormat="1" x14ac:dyDescent="0.25">
      <c r="A2249" s="164">
        <v>109</v>
      </c>
      <c r="B2249" s="165" t="s">
        <v>4281</v>
      </c>
      <c r="C2249" s="164" t="s">
        <v>2210</v>
      </c>
      <c r="D2249" s="164" t="s">
        <v>2306</v>
      </c>
      <c r="E2249" s="164">
        <v>2004</v>
      </c>
      <c r="F2249" s="164">
        <v>1999</v>
      </c>
      <c r="G2249" s="164" t="s">
        <v>2211</v>
      </c>
      <c r="H2249" s="164" t="s">
        <v>2212</v>
      </c>
      <c r="I2249" s="164" t="s">
        <v>2822</v>
      </c>
      <c r="J2249" s="164">
        <v>55.47</v>
      </c>
      <c r="K2249" s="164">
        <v>9.1</v>
      </c>
      <c r="L2249" s="164">
        <v>45</v>
      </c>
      <c r="M2249" s="164">
        <v>7.6</v>
      </c>
      <c r="O2249" s="164">
        <v>862</v>
      </c>
      <c r="R2249" s="164">
        <v>19</v>
      </c>
      <c r="S2249" s="164">
        <v>22</v>
      </c>
      <c r="U2249" s="164" t="s">
        <v>2307</v>
      </c>
      <c r="V2249" s="164" t="s">
        <v>1379</v>
      </c>
      <c r="W2249" s="164">
        <v>20</v>
      </c>
      <c r="X2249" s="164" t="s">
        <v>1379</v>
      </c>
      <c r="Y2249" s="164" t="s">
        <v>1379</v>
      </c>
      <c r="Z2249" s="433">
        <v>1.3529200000000001</v>
      </c>
      <c r="AA2249" s="381">
        <v>69</v>
      </c>
      <c r="AB2249" s="381">
        <v>16</v>
      </c>
      <c r="AC2249" s="164" t="s">
        <v>240</v>
      </c>
      <c r="AG2249" s="164" t="s">
        <v>2213</v>
      </c>
      <c r="AH2249" s="164" t="s">
        <v>2214</v>
      </c>
      <c r="AI2249" s="164" t="s">
        <v>131</v>
      </c>
      <c r="AJ2249" s="164" t="s">
        <v>2215</v>
      </c>
      <c r="AK2249" s="164" t="s">
        <v>1646</v>
      </c>
      <c r="AO2249" s="164" t="s">
        <v>2216</v>
      </c>
      <c r="AQ2249" s="164" t="s">
        <v>2125</v>
      </c>
      <c r="AR2249" s="164" t="s">
        <v>2125</v>
      </c>
      <c r="AT2249" s="164" t="s">
        <v>2217</v>
      </c>
      <c r="AW2249" s="164" t="s">
        <v>160</v>
      </c>
      <c r="BN2249" s="166"/>
      <c r="BP2249" s="433">
        <v>1.3529200000000001</v>
      </c>
      <c r="BQ2249" s="433">
        <v>1.3372600000000001</v>
      </c>
      <c r="BU2249" s="437">
        <f t="shared" si="339"/>
        <v>1.4529848032403985</v>
      </c>
      <c r="BV2249" s="437">
        <f t="shared" si="340"/>
        <v>1.5600000000000003</v>
      </c>
      <c r="BZ2249" s="433">
        <v>39.315443999999999</v>
      </c>
      <c r="CA2249" s="433">
        <v>41.722512000000009</v>
      </c>
      <c r="CD2249" s="164" t="s">
        <v>2095</v>
      </c>
      <c r="CE2249" s="586">
        <v>39.315443999999999</v>
      </c>
      <c r="CF2249" s="586">
        <v>41.722512000000009</v>
      </c>
      <c r="CG2249" s="586"/>
      <c r="CH2249" s="586"/>
      <c r="CI2249" s="164" t="s">
        <v>4551</v>
      </c>
      <c r="FU2249" s="165"/>
    </row>
    <row r="2250" spans="1:262" s="164" customFormat="1" x14ac:dyDescent="0.25">
      <c r="A2250" s="164">
        <v>109</v>
      </c>
      <c r="B2250" s="165" t="s">
        <v>4281</v>
      </c>
      <c r="C2250" s="164" t="s">
        <v>2210</v>
      </c>
      <c r="D2250" s="164" t="s">
        <v>2306</v>
      </c>
      <c r="E2250" s="164">
        <v>2004</v>
      </c>
      <c r="F2250" s="164">
        <v>1999</v>
      </c>
      <c r="G2250" s="164" t="s">
        <v>2211</v>
      </c>
      <c r="H2250" s="164" t="s">
        <v>2212</v>
      </c>
      <c r="I2250" s="164" t="s">
        <v>2822</v>
      </c>
      <c r="J2250" s="164">
        <v>55.47</v>
      </c>
      <c r="K2250" s="164">
        <v>9.1</v>
      </c>
      <c r="L2250" s="164">
        <v>45</v>
      </c>
      <c r="M2250" s="164">
        <v>7.6</v>
      </c>
      <c r="O2250" s="164">
        <v>862</v>
      </c>
      <c r="R2250" s="164">
        <v>19</v>
      </c>
      <c r="S2250" s="164">
        <v>22</v>
      </c>
      <c r="U2250" s="164" t="s">
        <v>2307</v>
      </c>
      <c r="V2250" s="164" t="s">
        <v>1379</v>
      </c>
      <c r="W2250" s="164">
        <v>20</v>
      </c>
      <c r="X2250" s="164" t="s">
        <v>1379</v>
      </c>
      <c r="Y2250" s="164" t="s">
        <v>1379</v>
      </c>
      <c r="Z2250" s="433">
        <v>1.3303</v>
      </c>
      <c r="AA2250" s="381">
        <v>69</v>
      </c>
      <c r="AB2250" s="381">
        <v>16</v>
      </c>
      <c r="AC2250" s="164" t="s">
        <v>240</v>
      </c>
      <c r="AG2250" s="164" t="s">
        <v>2213</v>
      </c>
      <c r="AH2250" s="164" t="s">
        <v>2214</v>
      </c>
      <c r="AI2250" s="164" t="s">
        <v>131</v>
      </c>
      <c r="AJ2250" s="164" t="s">
        <v>2215</v>
      </c>
      <c r="AK2250" s="164" t="s">
        <v>1646</v>
      </c>
      <c r="AO2250" s="164" t="s">
        <v>2216</v>
      </c>
      <c r="AQ2250" s="164" t="s">
        <v>2125</v>
      </c>
      <c r="AR2250" s="164" t="s">
        <v>2125</v>
      </c>
      <c r="AT2250" s="164" t="s">
        <v>2217</v>
      </c>
      <c r="AW2250" s="164" t="s">
        <v>160</v>
      </c>
      <c r="BN2250" s="166"/>
      <c r="BP2250" s="433">
        <v>1.3303</v>
      </c>
      <c r="BQ2250" s="433">
        <v>1.31812</v>
      </c>
      <c r="BU2250" s="437">
        <f t="shared" si="339"/>
        <v>1.5853506727805757</v>
      </c>
      <c r="BV2250" s="437">
        <f t="shared" si="340"/>
        <v>1.67</v>
      </c>
      <c r="BZ2250" s="433">
        <v>42.179839999999999</v>
      </c>
      <c r="CA2250" s="433">
        <v>44.025207999999999</v>
      </c>
      <c r="CD2250" s="164" t="s">
        <v>2095</v>
      </c>
      <c r="CE2250" s="586">
        <v>42.179839999999999</v>
      </c>
      <c r="CF2250" s="586">
        <v>44.025207999999999</v>
      </c>
      <c r="CG2250" s="586"/>
      <c r="CH2250" s="586"/>
      <c r="CI2250" s="164" t="s">
        <v>4551</v>
      </c>
      <c r="FU2250" s="165"/>
    </row>
    <row r="2251" spans="1:262" s="245" customFormat="1" x14ac:dyDescent="0.25">
      <c r="A2251" s="245">
        <v>110</v>
      </c>
      <c r="B2251" s="246" t="s">
        <v>4282</v>
      </c>
      <c r="C2251" s="244" t="s">
        <v>2218</v>
      </c>
      <c r="D2251" s="245" t="s">
        <v>2308</v>
      </c>
      <c r="E2251" s="244">
        <v>1982</v>
      </c>
      <c r="F2251" s="245">
        <v>1978</v>
      </c>
      <c r="G2251" s="244" t="s">
        <v>1749</v>
      </c>
      <c r="H2251" s="244" t="s">
        <v>2309</v>
      </c>
      <c r="I2251" s="244" t="s">
        <v>2823</v>
      </c>
      <c r="J2251" s="245">
        <v>7.38</v>
      </c>
      <c r="K2251" s="245">
        <v>3.95</v>
      </c>
      <c r="L2251" s="244">
        <v>229.3</v>
      </c>
      <c r="M2251" s="244"/>
      <c r="O2251" s="244"/>
      <c r="R2251" s="245">
        <v>4</v>
      </c>
      <c r="S2251" s="244">
        <v>4</v>
      </c>
      <c r="U2251" s="245" t="s">
        <v>2310</v>
      </c>
      <c r="V2251" s="245" t="s">
        <v>1382</v>
      </c>
      <c r="W2251" s="245">
        <v>15</v>
      </c>
      <c r="X2251" s="245" t="s">
        <v>1382</v>
      </c>
      <c r="Y2251" s="245" t="s">
        <v>1382</v>
      </c>
      <c r="Z2251" s="245">
        <v>1.31</v>
      </c>
      <c r="AA2251" s="376">
        <v>69.3</v>
      </c>
      <c r="AB2251" s="376">
        <v>9.5</v>
      </c>
      <c r="AC2251" s="245" t="s">
        <v>240</v>
      </c>
      <c r="AE2251" s="245">
        <v>1.7</v>
      </c>
      <c r="AG2251" s="244" t="s">
        <v>2311</v>
      </c>
      <c r="AH2251" s="244" t="s">
        <v>2312</v>
      </c>
      <c r="AI2251" s="245" t="s">
        <v>1581</v>
      </c>
      <c r="AJ2251" s="244" t="s">
        <v>1645</v>
      </c>
      <c r="AK2251" s="245" t="s">
        <v>132</v>
      </c>
      <c r="AO2251" s="244"/>
      <c r="AT2251" s="244"/>
      <c r="AW2251" s="244" t="s">
        <v>160</v>
      </c>
      <c r="AX2251" s="245">
        <v>3</v>
      </c>
      <c r="AY2251" s="244"/>
      <c r="AZ2251" s="245" t="s">
        <v>141</v>
      </c>
      <c r="BK2251" s="244"/>
      <c r="BN2251" s="248"/>
      <c r="BP2251" s="437">
        <v>1.5</v>
      </c>
      <c r="BQ2251" s="437">
        <v>1.33</v>
      </c>
      <c r="BU2251" s="598">
        <v>1.2</v>
      </c>
      <c r="BV2251" s="598">
        <v>1.5</v>
      </c>
      <c r="BY2251" s="245" t="s">
        <v>164</v>
      </c>
      <c r="BZ2251" s="437"/>
      <c r="CA2251" s="437"/>
      <c r="CD2251" s="245" t="s">
        <v>3120</v>
      </c>
      <c r="CE2251" s="598">
        <v>1.2</v>
      </c>
      <c r="CF2251" s="598">
        <v>1.5</v>
      </c>
      <c r="CG2251" s="598"/>
      <c r="CH2251" s="598"/>
      <c r="CI2251" s="245" t="s">
        <v>4546</v>
      </c>
      <c r="CJ2251" s="245">
        <v>0.12</v>
      </c>
      <c r="CK2251" s="245">
        <v>0.18</v>
      </c>
      <c r="CN2251" s="245" t="s">
        <v>164</v>
      </c>
      <c r="CT2251" s="245">
        <v>0.4</v>
      </c>
      <c r="CU2251" s="245">
        <v>0.9</v>
      </c>
      <c r="CY2251" s="245">
        <v>5.5</v>
      </c>
      <c r="CZ2251" s="245">
        <v>5.2</v>
      </c>
      <c r="DD2251" s="245">
        <f>4+0.8</f>
        <v>4.8</v>
      </c>
      <c r="DE2251" s="245">
        <f>6.2+1.3</f>
        <v>7.5</v>
      </c>
      <c r="DH2251" s="245" t="s">
        <v>2314</v>
      </c>
      <c r="FU2251" s="246"/>
    </row>
    <row r="2252" spans="1:262" s="245" customFormat="1" x14ac:dyDescent="0.25">
      <c r="A2252" s="245">
        <v>110</v>
      </c>
      <c r="B2252" s="246" t="s">
        <v>4282</v>
      </c>
      <c r="C2252" s="244" t="s">
        <v>2218</v>
      </c>
      <c r="D2252" s="245" t="s">
        <v>2308</v>
      </c>
      <c r="E2252" s="244">
        <v>1982</v>
      </c>
      <c r="F2252" s="245">
        <v>1978</v>
      </c>
      <c r="G2252" s="244" t="s">
        <v>1749</v>
      </c>
      <c r="H2252" s="244" t="s">
        <v>2309</v>
      </c>
      <c r="I2252" s="244" t="s">
        <v>2823</v>
      </c>
      <c r="J2252" s="245">
        <v>7.38</v>
      </c>
      <c r="K2252" s="245">
        <v>3.95</v>
      </c>
      <c r="L2252" s="244">
        <v>229.3</v>
      </c>
      <c r="M2252" s="244"/>
      <c r="O2252" s="244"/>
      <c r="R2252" s="245">
        <v>4</v>
      </c>
      <c r="S2252" s="244">
        <v>4</v>
      </c>
      <c r="U2252" s="245" t="s">
        <v>2310</v>
      </c>
      <c r="V2252" s="245" t="s">
        <v>1382</v>
      </c>
      <c r="W2252" s="245">
        <v>15</v>
      </c>
      <c r="X2252" s="245" t="s">
        <v>1382</v>
      </c>
      <c r="Y2252" s="245" t="s">
        <v>1382</v>
      </c>
      <c r="Z2252" s="245">
        <v>1.31</v>
      </c>
      <c r="AA2252" s="376">
        <v>69.3</v>
      </c>
      <c r="AB2252" s="376">
        <v>9.5</v>
      </c>
      <c r="AC2252" s="245" t="s">
        <v>240</v>
      </c>
      <c r="AE2252" s="245">
        <v>1.7</v>
      </c>
      <c r="AG2252" s="244" t="s">
        <v>2311</v>
      </c>
      <c r="AH2252" s="244" t="s">
        <v>2313</v>
      </c>
      <c r="AI2252" s="245" t="s">
        <v>577</v>
      </c>
      <c r="AJ2252" s="244" t="s">
        <v>1645</v>
      </c>
      <c r="AK2252" s="245" t="s">
        <v>132</v>
      </c>
      <c r="AO2252" s="244"/>
      <c r="AT2252" s="244"/>
      <c r="AW2252" s="244" t="s">
        <v>160</v>
      </c>
      <c r="AX2252" s="245">
        <v>3</v>
      </c>
      <c r="AY2252" s="244"/>
      <c r="AZ2252" s="245" t="s">
        <v>141</v>
      </c>
      <c r="BK2252" s="244"/>
      <c r="BN2252" s="248"/>
      <c r="BP2252" s="437">
        <v>1.5</v>
      </c>
      <c r="BQ2252" s="437">
        <v>1.29</v>
      </c>
      <c r="BU2252" s="598">
        <v>1.2</v>
      </c>
      <c r="BV2252" s="598">
        <v>1.6</v>
      </c>
      <c r="BY2252" s="245" t="s">
        <v>164</v>
      </c>
      <c r="BZ2252" s="437"/>
      <c r="CA2252" s="437"/>
      <c r="CD2252" s="245" t="s">
        <v>3120</v>
      </c>
      <c r="CE2252" s="598">
        <v>1.2</v>
      </c>
      <c r="CF2252" s="598">
        <v>1.6</v>
      </c>
      <c r="CG2252" s="598"/>
      <c r="CH2252" s="598"/>
      <c r="CI2252" s="245" t="s">
        <v>4546</v>
      </c>
      <c r="CJ2252" s="245">
        <v>0.12</v>
      </c>
      <c r="CK2252" s="245">
        <v>0.2</v>
      </c>
      <c r="CN2252" s="245" t="s">
        <v>164</v>
      </c>
      <c r="CT2252" s="245">
        <v>0.4</v>
      </c>
      <c r="CU2252" s="245">
        <v>0.9</v>
      </c>
      <c r="CY2252" s="245">
        <v>5.5</v>
      </c>
      <c r="CZ2252" s="245">
        <v>5.6</v>
      </c>
      <c r="DD2252" s="245">
        <f>4+0.8</f>
        <v>4.8</v>
      </c>
      <c r="DE2252" s="245">
        <f>6.7+1.6</f>
        <v>8.3000000000000007</v>
      </c>
      <c r="DH2252" s="245" t="s">
        <v>2314</v>
      </c>
      <c r="FU2252" s="246"/>
    </row>
    <row r="2253" spans="1:262" s="239" customFormat="1" x14ac:dyDescent="0.25">
      <c r="A2253" s="239">
        <v>110</v>
      </c>
      <c r="B2253" s="240" t="s">
        <v>4283</v>
      </c>
      <c r="C2253" s="238" t="s">
        <v>2218</v>
      </c>
      <c r="D2253" s="239" t="s">
        <v>2308</v>
      </c>
      <c r="E2253" s="238">
        <v>1982</v>
      </c>
      <c r="F2253" s="239">
        <v>1978</v>
      </c>
      <c r="G2253" s="238" t="s">
        <v>1749</v>
      </c>
      <c r="H2253" s="238" t="s">
        <v>2309</v>
      </c>
      <c r="I2253" s="244" t="s">
        <v>2823</v>
      </c>
      <c r="J2253" s="239">
        <v>7.38</v>
      </c>
      <c r="K2253" s="239">
        <v>3.95</v>
      </c>
      <c r="L2253" s="238">
        <v>229.3</v>
      </c>
      <c r="M2253" s="238"/>
      <c r="O2253" s="238"/>
      <c r="R2253" s="239">
        <v>4</v>
      </c>
      <c r="S2253" s="238">
        <v>4</v>
      </c>
      <c r="U2253" s="239" t="s">
        <v>2310</v>
      </c>
      <c r="V2253" s="239" t="s">
        <v>1388</v>
      </c>
      <c r="W2253" s="239">
        <v>10</v>
      </c>
      <c r="X2253" s="239" t="s">
        <v>1382</v>
      </c>
      <c r="Y2253" s="239" t="s">
        <v>1382</v>
      </c>
      <c r="Z2253" s="239">
        <v>1.31</v>
      </c>
      <c r="AA2253" s="374">
        <v>69.3</v>
      </c>
      <c r="AB2253" s="374">
        <v>9.5</v>
      </c>
      <c r="AC2253" s="239" t="s">
        <v>240</v>
      </c>
      <c r="AE2253" s="239">
        <v>1.7</v>
      </c>
      <c r="AG2253" s="238" t="s">
        <v>2311</v>
      </c>
      <c r="AH2253" s="238" t="s">
        <v>2315</v>
      </c>
      <c r="AI2253" s="239" t="s">
        <v>1581</v>
      </c>
      <c r="AJ2253" s="238" t="s">
        <v>1645</v>
      </c>
      <c r="AK2253" s="239" t="s">
        <v>132</v>
      </c>
      <c r="AO2253" s="238"/>
      <c r="AT2253" s="238"/>
      <c r="AW2253" s="238" t="s">
        <v>160</v>
      </c>
      <c r="AX2253" s="239">
        <v>3</v>
      </c>
      <c r="AY2253" s="238"/>
      <c r="AZ2253" s="239" t="s">
        <v>141</v>
      </c>
      <c r="BD2253" s="239" t="s">
        <v>2323</v>
      </c>
      <c r="BK2253" s="238"/>
      <c r="BN2253" s="242"/>
      <c r="BP2253" s="451">
        <v>1.39</v>
      </c>
      <c r="BQ2253" s="451">
        <v>1.5</v>
      </c>
      <c r="BR2253" s="239">
        <f>0.07*SQRT(3)</f>
        <v>0.12124355652982141</v>
      </c>
      <c r="BS2253" s="239">
        <f>SQRT(3)*0.07</f>
        <v>0.12124355652982141</v>
      </c>
      <c r="BU2253" s="451"/>
      <c r="BV2253" s="451"/>
      <c r="BZ2253" s="451"/>
      <c r="CA2253" s="451"/>
      <c r="CE2253" s="597"/>
      <c r="CF2253" s="597"/>
      <c r="CG2253" s="597"/>
      <c r="CH2253" s="597"/>
      <c r="DZ2253" s="239">
        <v>44.4</v>
      </c>
      <c r="EA2253" s="239">
        <v>46.4</v>
      </c>
      <c r="EB2253" s="239" t="s">
        <v>1017</v>
      </c>
      <c r="EH2253" s="239">
        <v>45.58</v>
      </c>
      <c r="EI2253" s="239">
        <v>59.625</v>
      </c>
      <c r="FL2253" s="239">
        <v>12</v>
      </c>
      <c r="FM2253" s="239">
        <v>11.2</v>
      </c>
      <c r="FU2253" s="240"/>
      <c r="JB2253" s="239" t="s">
        <v>2323</v>
      </c>
    </row>
    <row r="2254" spans="1:262" s="239" customFormat="1" x14ac:dyDescent="0.25">
      <c r="A2254" s="239">
        <v>110</v>
      </c>
      <c r="B2254" s="240" t="s">
        <v>4283</v>
      </c>
      <c r="C2254" s="238" t="s">
        <v>2218</v>
      </c>
      <c r="D2254" s="239" t="s">
        <v>2308</v>
      </c>
      <c r="E2254" s="238">
        <v>1982</v>
      </c>
      <c r="F2254" s="239">
        <v>1978</v>
      </c>
      <c r="G2254" s="238" t="s">
        <v>1749</v>
      </c>
      <c r="H2254" s="238" t="s">
        <v>2309</v>
      </c>
      <c r="I2254" s="244" t="s">
        <v>2823</v>
      </c>
      <c r="J2254" s="239">
        <v>7.38</v>
      </c>
      <c r="K2254" s="239">
        <v>3.95</v>
      </c>
      <c r="L2254" s="238">
        <v>229.3</v>
      </c>
      <c r="M2254" s="238"/>
      <c r="O2254" s="238"/>
      <c r="R2254" s="239">
        <v>4</v>
      </c>
      <c r="S2254" s="238">
        <v>4</v>
      </c>
      <c r="U2254" s="239" t="s">
        <v>2310</v>
      </c>
      <c r="V2254" s="239" t="s">
        <v>1388</v>
      </c>
      <c r="W2254" s="239">
        <v>10</v>
      </c>
      <c r="X2254" s="239" t="s">
        <v>1382</v>
      </c>
      <c r="Y2254" s="239" t="s">
        <v>1382</v>
      </c>
      <c r="Z2254" s="239">
        <v>1.31</v>
      </c>
      <c r="AA2254" s="374">
        <v>69.3</v>
      </c>
      <c r="AB2254" s="374">
        <v>9.5</v>
      </c>
      <c r="AC2254" s="239" t="s">
        <v>240</v>
      </c>
      <c r="AE2254" s="239">
        <v>1.7</v>
      </c>
      <c r="AG2254" s="238" t="s">
        <v>2311</v>
      </c>
      <c r="AH2254" s="238" t="s">
        <v>2316</v>
      </c>
      <c r="AI2254" s="239" t="s">
        <v>1581</v>
      </c>
      <c r="AJ2254" s="238" t="s">
        <v>1645</v>
      </c>
      <c r="AK2254" s="239" t="s">
        <v>132</v>
      </c>
      <c r="AO2254" s="238"/>
      <c r="AT2254" s="238"/>
      <c r="AW2254" s="238" t="s">
        <v>160</v>
      </c>
      <c r="AX2254" s="239">
        <v>3</v>
      </c>
      <c r="AY2254" s="238"/>
      <c r="AZ2254" s="239" t="s">
        <v>141</v>
      </c>
      <c r="BD2254" s="239" t="s">
        <v>2323</v>
      </c>
      <c r="BK2254" s="238"/>
      <c r="BN2254" s="242"/>
      <c r="BP2254" s="451">
        <v>1.39</v>
      </c>
      <c r="BQ2254" s="451">
        <v>1.49</v>
      </c>
      <c r="BR2254" s="239">
        <f t="shared" ref="BR2254:BR2260" si="341">0.07*SQRT(3)</f>
        <v>0.12124355652982141</v>
      </c>
      <c r="BS2254" s="239">
        <f>SQRT(3)*0.08</f>
        <v>0.13856406460551018</v>
      </c>
      <c r="BU2254" s="451"/>
      <c r="BV2254" s="451"/>
      <c r="BZ2254" s="451"/>
      <c r="CA2254" s="451"/>
      <c r="CE2254" s="597"/>
      <c r="CF2254" s="597"/>
      <c r="CG2254" s="597"/>
      <c r="CH2254" s="597"/>
      <c r="DZ2254" s="239">
        <v>44.4</v>
      </c>
      <c r="EA2254" s="239">
        <v>51.8</v>
      </c>
      <c r="EB2254" s="239" t="s">
        <v>1017</v>
      </c>
      <c r="EH2254" s="239">
        <v>45.58</v>
      </c>
      <c r="EI2254" s="239">
        <v>63.75</v>
      </c>
      <c r="FL2254" s="239">
        <v>12</v>
      </c>
      <c r="FM2254" s="239">
        <v>13</v>
      </c>
      <c r="FU2254" s="240"/>
      <c r="JB2254" s="239" t="s">
        <v>2323</v>
      </c>
    </row>
    <row r="2255" spans="1:262" s="239" customFormat="1" x14ac:dyDescent="0.25">
      <c r="A2255" s="239">
        <v>110</v>
      </c>
      <c r="B2255" s="240" t="s">
        <v>4283</v>
      </c>
      <c r="C2255" s="238" t="s">
        <v>2218</v>
      </c>
      <c r="D2255" s="239" t="s">
        <v>2308</v>
      </c>
      <c r="E2255" s="238">
        <v>1982</v>
      </c>
      <c r="F2255" s="239">
        <v>1978</v>
      </c>
      <c r="G2255" s="238" t="s">
        <v>1749</v>
      </c>
      <c r="H2255" s="238" t="s">
        <v>2309</v>
      </c>
      <c r="I2255" s="244" t="s">
        <v>2823</v>
      </c>
      <c r="J2255" s="239">
        <v>7.38</v>
      </c>
      <c r="K2255" s="239">
        <v>3.95</v>
      </c>
      <c r="L2255" s="238">
        <v>229.3</v>
      </c>
      <c r="M2255" s="238"/>
      <c r="O2255" s="238"/>
      <c r="R2255" s="239">
        <v>4</v>
      </c>
      <c r="S2255" s="238">
        <v>4</v>
      </c>
      <c r="U2255" s="239" t="s">
        <v>2310</v>
      </c>
      <c r="V2255" s="239" t="s">
        <v>1388</v>
      </c>
      <c r="W2255" s="239">
        <v>10</v>
      </c>
      <c r="X2255" s="239" t="s">
        <v>1382</v>
      </c>
      <c r="Y2255" s="239" t="s">
        <v>1382</v>
      </c>
      <c r="Z2255" s="239">
        <v>1.31</v>
      </c>
      <c r="AA2255" s="374">
        <v>69.3</v>
      </c>
      <c r="AB2255" s="374">
        <v>9.5</v>
      </c>
      <c r="AC2255" s="239" t="s">
        <v>240</v>
      </c>
      <c r="AE2255" s="239">
        <v>1.7</v>
      </c>
      <c r="AG2255" s="238" t="s">
        <v>2311</v>
      </c>
      <c r="AH2255" s="238" t="s">
        <v>2317</v>
      </c>
      <c r="AI2255" s="239" t="s">
        <v>1581</v>
      </c>
      <c r="AJ2255" s="238" t="s">
        <v>1645</v>
      </c>
      <c r="AK2255" s="239" t="s">
        <v>132</v>
      </c>
      <c r="AO2255" s="238"/>
      <c r="AT2255" s="238"/>
      <c r="AW2255" s="238" t="s">
        <v>160</v>
      </c>
      <c r="AX2255" s="239">
        <v>3</v>
      </c>
      <c r="AY2255" s="238"/>
      <c r="AZ2255" s="239" t="s">
        <v>141</v>
      </c>
      <c r="BD2255" s="239" t="s">
        <v>2323</v>
      </c>
      <c r="BK2255" s="238"/>
      <c r="BN2255" s="242"/>
      <c r="BP2255" s="451">
        <v>1.39</v>
      </c>
      <c r="BQ2255" s="451">
        <v>1.41</v>
      </c>
      <c r="BR2255" s="239">
        <f t="shared" si="341"/>
        <v>0.12124355652982141</v>
      </c>
      <c r="BS2255" s="239">
        <f>SQRT(3)*0.06</f>
        <v>0.10392304845413262</v>
      </c>
      <c r="BU2255" s="451"/>
      <c r="BV2255" s="451"/>
      <c r="BZ2255" s="451"/>
      <c r="CA2255" s="451"/>
      <c r="CE2255" s="597"/>
      <c r="CF2255" s="597"/>
      <c r="CG2255" s="597"/>
      <c r="CH2255" s="597"/>
      <c r="DZ2255" s="239">
        <v>44.4</v>
      </c>
      <c r="EA2255" s="239">
        <v>52.3</v>
      </c>
      <c r="EB2255" s="239" t="s">
        <v>1017</v>
      </c>
      <c r="EH2255" s="239">
        <v>45.58</v>
      </c>
      <c r="EI2255" s="239">
        <v>55.51</v>
      </c>
      <c r="FL2255" s="239">
        <v>12</v>
      </c>
      <c r="FM2255" s="239">
        <v>13.6</v>
      </c>
      <c r="FU2255" s="240"/>
      <c r="JB2255" s="239" t="s">
        <v>2323</v>
      </c>
    </row>
    <row r="2256" spans="1:262" s="466" customFormat="1" x14ac:dyDescent="0.25">
      <c r="A2256" s="466">
        <v>110</v>
      </c>
      <c r="B2256" s="471" t="s">
        <v>4284</v>
      </c>
      <c r="C2256" s="467" t="s">
        <v>2218</v>
      </c>
      <c r="D2256" s="466" t="s">
        <v>2308</v>
      </c>
      <c r="E2256" s="467">
        <v>1982</v>
      </c>
      <c r="F2256" s="466">
        <v>1978</v>
      </c>
      <c r="G2256" s="467" t="s">
        <v>1749</v>
      </c>
      <c r="H2256" s="467" t="s">
        <v>2309</v>
      </c>
      <c r="I2256" s="244" t="s">
        <v>2823</v>
      </c>
      <c r="J2256" s="466">
        <v>7.38</v>
      </c>
      <c r="K2256" s="466">
        <v>3.95</v>
      </c>
      <c r="L2256" s="467">
        <v>229.3</v>
      </c>
      <c r="M2256" s="467"/>
      <c r="O2256" s="467"/>
      <c r="R2256" s="466">
        <v>4</v>
      </c>
      <c r="S2256" s="467">
        <v>4</v>
      </c>
      <c r="U2256" s="466" t="s">
        <v>2310</v>
      </c>
      <c r="V2256" s="466" t="s">
        <v>1388</v>
      </c>
      <c r="W2256" s="466">
        <v>10</v>
      </c>
      <c r="X2256" s="466" t="s">
        <v>1382</v>
      </c>
      <c r="Y2256" s="466" t="s">
        <v>1382</v>
      </c>
      <c r="Z2256" s="466">
        <v>1.31</v>
      </c>
      <c r="AA2256" s="468">
        <v>69.3</v>
      </c>
      <c r="AB2256" s="468">
        <v>9.5</v>
      </c>
      <c r="AC2256" s="466" t="s">
        <v>240</v>
      </c>
      <c r="AE2256" s="466">
        <v>1.7</v>
      </c>
      <c r="AG2256" s="467" t="s">
        <v>2311</v>
      </c>
      <c r="AH2256" s="467" t="s">
        <v>2318</v>
      </c>
      <c r="AI2256" s="466" t="s">
        <v>577</v>
      </c>
      <c r="AJ2256" s="238" t="s">
        <v>1645</v>
      </c>
      <c r="AK2256" s="239" t="s">
        <v>132</v>
      </c>
      <c r="AO2256" s="467"/>
      <c r="AT2256" s="467"/>
      <c r="AW2256" s="467" t="s">
        <v>160</v>
      </c>
      <c r="AX2256" s="239">
        <v>3</v>
      </c>
      <c r="AY2256" s="467"/>
      <c r="AZ2256" s="239" t="s">
        <v>141</v>
      </c>
      <c r="BD2256" s="239" t="s">
        <v>2323</v>
      </c>
      <c r="BK2256" s="467"/>
      <c r="BN2256" s="469"/>
      <c r="BP2256" s="451">
        <v>1.39</v>
      </c>
      <c r="BQ2256" s="470">
        <v>1.44</v>
      </c>
      <c r="BR2256" s="239">
        <f t="shared" si="341"/>
        <v>0.12124355652982141</v>
      </c>
      <c r="BS2256" s="466">
        <f>SQRT(3)*0.07</f>
        <v>0.12124355652982141</v>
      </c>
      <c r="BU2256" s="470"/>
      <c r="BV2256" s="470"/>
      <c r="BZ2256" s="470"/>
      <c r="CA2256" s="470"/>
      <c r="CE2256" s="603"/>
      <c r="CF2256" s="603"/>
      <c r="CG2256" s="603"/>
      <c r="CH2256" s="603"/>
      <c r="DZ2256" s="239">
        <v>44.4</v>
      </c>
      <c r="EA2256" s="466">
        <v>46</v>
      </c>
      <c r="EB2256" s="239" t="s">
        <v>1017</v>
      </c>
      <c r="EH2256" s="239">
        <v>45.58</v>
      </c>
      <c r="EI2256" s="466">
        <v>77.41</v>
      </c>
      <c r="FL2256" s="239">
        <v>12</v>
      </c>
      <c r="FM2256" s="466">
        <v>12.5</v>
      </c>
      <c r="FU2256" s="471"/>
      <c r="JB2256" s="239" t="s">
        <v>2323</v>
      </c>
    </row>
    <row r="2257" spans="1:262" s="466" customFormat="1" x14ac:dyDescent="0.25">
      <c r="A2257" s="466">
        <v>110</v>
      </c>
      <c r="B2257" s="471" t="s">
        <v>4284</v>
      </c>
      <c r="C2257" s="467" t="s">
        <v>2218</v>
      </c>
      <c r="D2257" s="466" t="s">
        <v>2308</v>
      </c>
      <c r="E2257" s="467">
        <v>1982</v>
      </c>
      <c r="F2257" s="466">
        <v>1978</v>
      </c>
      <c r="G2257" s="467" t="s">
        <v>1749</v>
      </c>
      <c r="H2257" s="467" t="s">
        <v>2309</v>
      </c>
      <c r="I2257" s="244" t="s">
        <v>2823</v>
      </c>
      <c r="J2257" s="466">
        <v>7.38</v>
      </c>
      <c r="K2257" s="466">
        <v>3.95</v>
      </c>
      <c r="L2257" s="467">
        <v>229.3</v>
      </c>
      <c r="M2257" s="467"/>
      <c r="O2257" s="467"/>
      <c r="R2257" s="466">
        <v>4</v>
      </c>
      <c r="S2257" s="467">
        <v>4</v>
      </c>
      <c r="U2257" s="466" t="s">
        <v>2310</v>
      </c>
      <c r="V2257" s="466" t="s">
        <v>1388</v>
      </c>
      <c r="W2257" s="466">
        <v>10</v>
      </c>
      <c r="X2257" s="466" t="s">
        <v>1382</v>
      </c>
      <c r="Y2257" s="466" t="s">
        <v>1382</v>
      </c>
      <c r="Z2257" s="466">
        <v>1.31</v>
      </c>
      <c r="AA2257" s="468">
        <v>69.3</v>
      </c>
      <c r="AB2257" s="468">
        <v>9.5</v>
      </c>
      <c r="AC2257" s="466" t="s">
        <v>240</v>
      </c>
      <c r="AE2257" s="466">
        <v>1.7</v>
      </c>
      <c r="AG2257" s="467" t="s">
        <v>2311</v>
      </c>
      <c r="AH2257" s="467" t="s">
        <v>2319</v>
      </c>
      <c r="AI2257" s="466" t="s">
        <v>577</v>
      </c>
      <c r="AJ2257" s="238" t="s">
        <v>1645</v>
      </c>
      <c r="AK2257" s="239" t="s">
        <v>132</v>
      </c>
      <c r="AO2257" s="467"/>
      <c r="AT2257" s="467"/>
      <c r="AW2257" s="467" t="s">
        <v>160</v>
      </c>
      <c r="AX2257" s="239">
        <v>3</v>
      </c>
      <c r="AY2257" s="467"/>
      <c r="AZ2257" s="239" t="s">
        <v>141</v>
      </c>
      <c r="BD2257" s="239" t="s">
        <v>2323</v>
      </c>
      <c r="BK2257" s="467"/>
      <c r="BN2257" s="469"/>
      <c r="BP2257" s="451">
        <v>1.39</v>
      </c>
      <c r="BQ2257" s="470">
        <v>1.45</v>
      </c>
      <c r="BR2257" s="239">
        <f t="shared" si="341"/>
        <v>0.12124355652982141</v>
      </c>
      <c r="BS2257" s="466">
        <f>SQRT(3)*0.06</f>
        <v>0.10392304845413262</v>
      </c>
      <c r="BU2257" s="470"/>
      <c r="BV2257" s="470"/>
      <c r="BZ2257" s="470"/>
      <c r="CA2257" s="470"/>
      <c r="CE2257" s="603"/>
      <c r="CF2257" s="603"/>
      <c r="CG2257" s="603"/>
      <c r="CH2257" s="603"/>
      <c r="DZ2257" s="239">
        <v>44.4</v>
      </c>
      <c r="EA2257" s="466">
        <v>45.7</v>
      </c>
      <c r="EB2257" s="239" t="s">
        <v>1017</v>
      </c>
      <c r="EH2257" s="239">
        <v>45.58</v>
      </c>
      <c r="EI2257" s="466">
        <v>72.73</v>
      </c>
      <c r="FL2257" s="239">
        <v>12</v>
      </c>
      <c r="FM2257" s="466">
        <v>12.6</v>
      </c>
      <c r="FU2257" s="471"/>
      <c r="JB2257" s="239" t="s">
        <v>2323</v>
      </c>
    </row>
    <row r="2258" spans="1:262" s="466" customFormat="1" x14ac:dyDescent="0.25">
      <c r="A2258" s="466">
        <v>110</v>
      </c>
      <c r="B2258" s="471" t="s">
        <v>4284</v>
      </c>
      <c r="C2258" s="467" t="s">
        <v>2218</v>
      </c>
      <c r="D2258" s="466" t="s">
        <v>2308</v>
      </c>
      <c r="E2258" s="467">
        <v>1982</v>
      </c>
      <c r="F2258" s="466">
        <v>1978</v>
      </c>
      <c r="G2258" s="467" t="s">
        <v>1749</v>
      </c>
      <c r="H2258" s="467" t="s">
        <v>2309</v>
      </c>
      <c r="I2258" s="244" t="s">
        <v>2823</v>
      </c>
      <c r="J2258" s="466">
        <v>7.38</v>
      </c>
      <c r="K2258" s="466">
        <v>3.95</v>
      </c>
      <c r="L2258" s="467">
        <v>229.3</v>
      </c>
      <c r="M2258" s="467"/>
      <c r="O2258" s="467"/>
      <c r="R2258" s="466">
        <v>4</v>
      </c>
      <c r="S2258" s="467">
        <v>4</v>
      </c>
      <c r="U2258" s="466" t="s">
        <v>2310</v>
      </c>
      <c r="V2258" s="466" t="s">
        <v>1388</v>
      </c>
      <c r="W2258" s="466">
        <v>10</v>
      </c>
      <c r="X2258" s="466" t="s">
        <v>1382</v>
      </c>
      <c r="Y2258" s="466" t="s">
        <v>1382</v>
      </c>
      <c r="Z2258" s="466">
        <v>1.31</v>
      </c>
      <c r="AA2258" s="468">
        <v>69.3</v>
      </c>
      <c r="AB2258" s="468">
        <v>9.5</v>
      </c>
      <c r="AC2258" s="466" t="s">
        <v>240</v>
      </c>
      <c r="AE2258" s="466">
        <v>1.7</v>
      </c>
      <c r="AG2258" s="467" t="s">
        <v>2311</v>
      </c>
      <c r="AH2258" s="467" t="s">
        <v>2320</v>
      </c>
      <c r="AI2258" s="466" t="s">
        <v>577</v>
      </c>
      <c r="AJ2258" s="238" t="s">
        <v>1645</v>
      </c>
      <c r="AK2258" s="239" t="s">
        <v>132</v>
      </c>
      <c r="AO2258" s="467"/>
      <c r="AT2258" s="467"/>
      <c r="AW2258" s="467" t="s">
        <v>160</v>
      </c>
      <c r="AX2258" s="239">
        <v>3</v>
      </c>
      <c r="AY2258" s="467"/>
      <c r="AZ2258" s="239" t="s">
        <v>141</v>
      </c>
      <c r="BD2258" s="239" t="s">
        <v>2323</v>
      </c>
      <c r="BK2258" s="467"/>
      <c r="BN2258" s="469"/>
      <c r="BP2258" s="451">
        <v>1.39</v>
      </c>
      <c r="BQ2258" s="470">
        <v>1.46</v>
      </c>
      <c r="BR2258" s="239">
        <f t="shared" si="341"/>
        <v>0.12124355652982141</v>
      </c>
      <c r="BS2258" s="466">
        <f>SQRT(3)*0.04</f>
        <v>6.9282032302755092E-2</v>
      </c>
      <c r="BU2258" s="470"/>
      <c r="BV2258" s="470"/>
      <c r="BZ2258" s="470"/>
      <c r="CA2258" s="470"/>
      <c r="CE2258" s="603"/>
      <c r="CF2258" s="603"/>
      <c r="CG2258" s="603"/>
      <c r="CH2258" s="603"/>
      <c r="DZ2258" s="239">
        <v>44.4</v>
      </c>
      <c r="EA2258" s="466">
        <v>47.7</v>
      </c>
      <c r="EB2258" s="239" t="s">
        <v>1017</v>
      </c>
      <c r="EH2258" s="239">
        <v>45.58</v>
      </c>
      <c r="EI2258" s="466">
        <v>76.290000000000006</v>
      </c>
      <c r="FL2258" s="239">
        <v>12</v>
      </c>
      <c r="FM2258" s="466">
        <v>13</v>
      </c>
      <c r="FU2258" s="471"/>
      <c r="JB2258" s="239" t="s">
        <v>2323</v>
      </c>
    </row>
    <row r="2259" spans="1:262" s="466" customFormat="1" x14ac:dyDescent="0.25">
      <c r="A2259" s="466">
        <v>110</v>
      </c>
      <c r="B2259" s="471" t="s">
        <v>4284</v>
      </c>
      <c r="C2259" s="467" t="s">
        <v>2218</v>
      </c>
      <c r="D2259" s="466" t="s">
        <v>2308</v>
      </c>
      <c r="E2259" s="467">
        <v>1982</v>
      </c>
      <c r="F2259" s="466">
        <v>1978</v>
      </c>
      <c r="G2259" s="467" t="s">
        <v>1749</v>
      </c>
      <c r="H2259" s="467" t="s">
        <v>2309</v>
      </c>
      <c r="I2259" s="244" t="s">
        <v>2823</v>
      </c>
      <c r="J2259" s="466">
        <v>7.38</v>
      </c>
      <c r="K2259" s="466">
        <v>3.95</v>
      </c>
      <c r="L2259" s="467">
        <v>229.3</v>
      </c>
      <c r="M2259" s="467"/>
      <c r="O2259" s="467"/>
      <c r="R2259" s="466">
        <v>4</v>
      </c>
      <c r="S2259" s="467">
        <v>4</v>
      </c>
      <c r="U2259" s="466" t="s">
        <v>2310</v>
      </c>
      <c r="V2259" s="466" t="s">
        <v>1388</v>
      </c>
      <c r="W2259" s="466">
        <v>10</v>
      </c>
      <c r="X2259" s="466" t="s">
        <v>1382</v>
      </c>
      <c r="Y2259" s="466" t="s">
        <v>1382</v>
      </c>
      <c r="Z2259" s="466">
        <v>1.31</v>
      </c>
      <c r="AA2259" s="468">
        <v>69.3</v>
      </c>
      <c r="AB2259" s="468">
        <v>9.5</v>
      </c>
      <c r="AC2259" s="466" t="s">
        <v>240</v>
      </c>
      <c r="AE2259" s="466">
        <v>1.7</v>
      </c>
      <c r="AG2259" s="467" t="s">
        <v>2311</v>
      </c>
      <c r="AH2259" s="467" t="s">
        <v>2321</v>
      </c>
      <c r="AI2259" s="466" t="s">
        <v>577</v>
      </c>
      <c r="AJ2259" s="238" t="s">
        <v>1645</v>
      </c>
      <c r="AK2259" s="239" t="s">
        <v>132</v>
      </c>
      <c r="AO2259" s="467"/>
      <c r="AT2259" s="467"/>
      <c r="AW2259" s="467" t="s">
        <v>160</v>
      </c>
      <c r="AX2259" s="239">
        <v>3</v>
      </c>
      <c r="AY2259" s="467"/>
      <c r="AZ2259" s="239" t="s">
        <v>141</v>
      </c>
      <c r="BD2259" s="239" t="s">
        <v>2323</v>
      </c>
      <c r="BK2259" s="467"/>
      <c r="BN2259" s="469"/>
      <c r="BP2259" s="451">
        <v>1.39</v>
      </c>
      <c r="BQ2259" s="470">
        <v>1.42</v>
      </c>
      <c r="BR2259" s="239">
        <f t="shared" si="341"/>
        <v>0.12124355652982141</v>
      </c>
      <c r="BS2259" s="466">
        <f>SQRT(3)*0.08</f>
        <v>0.13856406460551018</v>
      </c>
      <c r="BU2259" s="470"/>
      <c r="BV2259" s="470"/>
      <c r="BZ2259" s="470"/>
      <c r="CA2259" s="470"/>
      <c r="CE2259" s="603"/>
      <c r="CF2259" s="603"/>
      <c r="CG2259" s="603"/>
      <c r="CH2259" s="603"/>
      <c r="DZ2259" s="239">
        <v>44.4</v>
      </c>
      <c r="EA2259" s="466">
        <v>49.6</v>
      </c>
      <c r="EB2259" s="239" t="s">
        <v>1017</v>
      </c>
      <c r="EH2259" s="239">
        <v>45.58</v>
      </c>
      <c r="EI2259" s="466">
        <v>122.71</v>
      </c>
      <c r="FL2259" s="239">
        <v>12</v>
      </c>
      <c r="FM2259" s="466">
        <v>13.5</v>
      </c>
      <c r="FU2259" s="471"/>
      <c r="JB2259" s="239" t="s">
        <v>2323</v>
      </c>
    </row>
    <row r="2260" spans="1:262" s="466" customFormat="1" x14ac:dyDescent="0.25">
      <c r="A2260" s="466">
        <v>110</v>
      </c>
      <c r="B2260" s="471" t="s">
        <v>4284</v>
      </c>
      <c r="C2260" s="467" t="s">
        <v>2218</v>
      </c>
      <c r="D2260" s="466" t="s">
        <v>2308</v>
      </c>
      <c r="E2260" s="467">
        <v>1982</v>
      </c>
      <c r="F2260" s="466">
        <v>1978</v>
      </c>
      <c r="G2260" s="467" t="s">
        <v>1749</v>
      </c>
      <c r="H2260" s="467" t="s">
        <v>2309</v>
      </c>
      <c r="I2260" s="244" t="s">
        <v>2823</v>
      </c>
      <c r="J2260" s="466">
        <v>7.38</v>
      </c>
      <c r="K2260" s="466">
        <v>3.95</v>
      </c>
      <c r="L2260" s="467">
        <v>229.3</v>
      </c>
      <c r="M2260" s="467"/>
      <c r="O2260" s="467"/>
      <c r="R2260" s="466">
        <v>4</v>
      </c>
      <c r="S2260" s="467">
        <v>4</v>
      </c>
      <c r="U2260" s="466" t="s">
        <v>2310</v>
      </c>
      <c r="V2260" s="466" t="s">
        <v>1388</v>
      </c>
      <c r="W2260" s="466">
        <v>10</v>
      </c>
      <c r="X2260" s="466" t="s">
        <v>1382</v>
      </c>
      <c r="Y2260" s="466" t="s">
        <v>1382</v>
      </c>
      <c r="Z2260" s="466">
        <v>1.31</v>
      </c>
      <c r="AA2260" s="468">
        <v>69.3</v>
      </c>
      <c r="AB2260" s="468">
        <v>9.5</v>
      </c>
      <c r="AC2260" s="466" t="s">
        <v>240</v>
      </c>
      <c r="AE2260" s="466">
        <v>1.7</v>
      </c>
      <c r="AG2260" s="467" t="s">
        <v>2311</v>
      </c>
      <c r="AH2260" s="467" t="s">
        <v>2322</v>
      </c>
      <c r="AI2260" s="466" t="s">
        <v>577</v>
      </c>
      <c r="AJ2260" s="238" t="s">
        <v>1645</v>
      </c>
      <c r="AK2260" s="239" t="s">
        <v>132</v>
      </c>
      <c r="AO2260" s="467"/>
      <c r="AT2260" s="467"/>
      <c r="AW2260" s="467" t="s">
        <v>160</v>
      </c>
      <c r="AX2260" s="239">
        <v>3</v>
      </c>
      <c r="AY2260" s="467"/>
      <c r="AZ2260" s="239" t="s">
        <v>141</v>
      </c>
      <c r="BD2260" s="239" t="s">
        <v>2323</v>
      </c>
      <c r="BK2260" s="467"/>
      <c r="BN2260" s="469"/>
      <c r="BP2260" s="451">
        <v>1.39</v>
      </c>
      <c r="BQ2260" s="470">
        <v>1.44</v>
      </c>
      <c r="BR2260" s="239">
        <f t="shared" si="341"/>
        <v>0.12124355652982141</v>
      </c>
      <c r="BS2260" s="466">
        <f>SQRT(3)*0.07</f>
        <v>0.12124355652982141</v>
      </c>
      <c r="BU2260" s="470"/>
      <c r="BV2260" s="470"/>
      <c r="BZ2260" s="470"/>
      <c r="CA2260" s="470"/>
      <c r="CE2260" s="603"/>
      <c r="CF2260" s="603"/>
      <c r="CG2260" s="603"/>
      <c r="CH2260" s="603"/>
      <c r="DZ2260" s="239">
        <v>44.4</v>
      </c>
      <c r="EA2260" s="466">
        <v>49.4</v>
      </c>
      <c r="EB2260" s="239" t="s">
        <v>1017</v>
      </c>
      <c r="EH2260" s="239">
        <v>45.58</v>
      </c>
      <c r="EI2260" s="466">
        <v>101.185</v>
      </c>
      <c r="FL2260" s="239">
        <v>12</v>
      </c>
      <c r="FM2260" s="466">
        <v>13.2</v>
      </c>
      <c r="FU2260" s="471"/>
      <c r="JB2260" s="239" t="s">
        <v>2323</v>
      </c>
    </row>
    <row r="2261" spans="1:262" s="245" customFormat="1" x14ac:dyDescent="0.25">
      <c r="A2261" s="245">
        <v>110</v>
      </c>
      <c r="B2261" s="246" t="s">
        <v>4284</v>
      </c>
      <c r="C2261" s="244" t="s">
        <v>2218</v>
      </c>
      <c r="D2261" s="245" t="s">
        <v>2308</v>
      </c>
      <c r="E2261" s="244">
        <v>1982</v>
      </c>
      <c r="F2261" s="245">
        <v>1978</v>
      </c>
      <c r="G2261" s="244" t="s">
        <v>1749</v>
      </c>
      <c r="H2261" s="244" t="s">
        <v>2309</v>
      </c>
      <c r="I2261" s="244" t="s">
        <v>2823</v>
      </c>
      <c r="J2261" s="245">
        <v>7.38</v>
      </c>
      <c r="K2261" s="245">
        <v>3.95</v>
      </c>
      <c r="L2261" s="244">
        <v>229.3</v>
      </c>
      <c r="M2261" s="244"/>
      <c r="O2261" s="244"/>
      <c r="R2261" s="245">
        <v>4</v>
      </c>
      <c r="S2261" s="244">
        <v>4</v>
      </c>
      <c r="U2261" s="245" t="s">
        <v>2310</v>
      </c>
      <c r="V2261" s="245" t="s">
        <v>1388</v>
      </c>
      <c r="W2261" s="245">
        <v>10</v>
      </c>
      <c r="X2261" s="245" t="s">
        <v>1382</v>
      </c>
      <c r="Y2261" s="245" t="s">
        <v>1382</v>
      </c>
      <c r="Z2261" s="245">
        <v>1.31</v>
      </c>
      <c r="AA2261" s="376">
        <v>69.3</v>
      </c>
      <c r="AB2261" s="376">
        <v>9.5</v>
      </c>
      <c r="AC2261" s="245" t="s">
        <v>240</v>
      </c>
      <c r="AE2261" s="245">
        <v>1.7</v>
      </c>
      <c r="AG2261" s="244" t="s">
        <v>2311</v>
      </c>
      <c r="AH2261" s="244" t="s">
        <v>2315</v>
      </c>
      <c r="AI2261" s="245" t="s">
        <v>1581</v>
      </c>
      <c r="AJ2261" s="244" t="s">
        <v>1645</v>
      </c>
      <c r="AK2261" s="245" t="s">
        <v>132</v>
      </c>
      <c r="AO2261" s="244"/>
      <c r="AT2261" s="244"/>
      <c r="AW2261" s="244" t="s">
        <v>160</v>
      </c>
      <c r="AX2261" s="245">
        <v>3</v>
      </c>
      <c r="AY2261" s="244"/>
      <c r="AZ2261" s="245" t="s">
        <v>141</v>
      </c>
      <c r="BD2261" s="245" t="s">
        <v>2324</v>
      </c>
      <c r="BK2261" s="244"/>
      <c r="BN2261" s="248"/>
      <c r="BP2261" s="437">
        <v>1.38</v>
      </c>
      <c r="BQ2261" s="437">
        <v>1.48</v>
      </c>
      <c r="BR2261" s="245">
        <f>SQRT(3)*0.1</f>
        <v>0.17320508075688773</v>
      </c>
      <c r="BS2261" s="245">
        <f>SQRT(3)*0.1</f>
        <v>0.17320508075688773</v>
      </c>
      <c r="BU2261" s="437"/>
      <c r="BV2261" s="437"/>
      <c r="BZ2261" s="437"/>
      <c r="CA2261" s="437"/>
      <c r="CE2261" s="598"/>
      <c r="CF2261" s="598"/>
      <c r="CG2261" s="598"/>
      <c r="CH2261" s="598"/>
      <c r="DZ2261" s="245">
        <v>53.3</v>
      </c>
      <c r="EA2261" s="245">
        <v>50.2</v>
      </c>
      <c r="EB2261" s="245" t="s">
        <v>1017</v>
      </c>
      <c r="FU2261" s="246"/>
      <c r="JB2261" s="245" t="s">
        <v>2324</v>
      </c>
    </row>
    <row r="2262" spans="1:262" s="245" customFormat="1" x14ac:dyDescent="0.25">
      <c r="A2262" s="245">
        <v>110</v>
      </c>
      <c r="B2262" s="246" t="s">
        <v>4284</v>
      </c>
      <c r="C2262" s="244" t="s">
        <v>2218</v>
      </c>
      <c r="D2262" s="245" t="s">
        <v>2308</v>
      </c>
      <c r="E2262" s="244">
        <v>1982</v>
      </c>
      <c r="F2262" s="245">
        <v>1978</v>
      </c>
      <c r="G2262" s="244" t="s">
        <v>1749</v>
      </c>
      <c r="H2262" s="244" t="s">
        <v>2309</v>
      </c>
      <c r="I2262" s="244" t="s">
        <v>2823</v>
      </c>
      <c r="J2262" s="245">
        <v>7.38</v>
      </c>
      <c r="K2262" s="245">
        <v>3.95</v>
      </c>
      <c r="L2262" s="244">
        <v>229.3</v>
      </c>
      <c r="M2262" s="244"/>
      <c r="O2262" s="244"/>
      <c r="R2262" s="245">
        <v>4</v>
      </c>
      <c r="S2262" s="244">
        <v>4</v>
      </c>
      <c r="U2262" s="245" t="s">
        <v>2310</v>
      </c>
      <c r="V2262" s="245" t="s">
        <v>1388</v>
      </c>
      <c r="W2262" s="245">
        <v>10</v>
      </c>
      <c r="X2262" s="245" t="s">
        <v>1382</v>
      </c>
      <c r="Y2262" s="245" t="s">
        <v>1382</v>
      </c>
      <c r="Z2262" s="245">
        <v>1.31</v>
      </c>
      <c r="AA2262" s="376">
        <v>69.3</v>
      </c>
      <c r="AB2262" s="376">
        <v>9.5</v>
      </c>
      <c r="AC2262" s="245" t="s">
        <v>240</v>
      </c>
      <c r="AE2262" s="245">
        <v>1.7</v>
      </c>
      <c r="AG2262" s="244" t="s">
        <v>2311</v>
      </c>
      <c r="AH2262" s="244" t="s">
        <v>2316</v>
      </c>
      <c r="AI2262" s="245" t="s">
        <v>1581</v>
      </c>
      <c r="AJ2262" s="244" t="s">
        <v>1645</v>
      </c>
      <c r="AK2262" s="245" t="s">
        <v>132</v>
      </c>
      <c r="AO2262" s="244"/>
      <c r="AT2262" s="244"/>
      <c r="AW2262" s="244" t="s">
        <v>160</v>
      </c>
      <c r="AX2262" s="245">
        <v>3</v>
      </c>
      <c r="AY2262" s="244"/>
      <c r="AZ2262" s="245" t="s">
        <v>141</v>
      </c>
      <c r="BD2262" s="245" t="s">
        <v>2324</v>
      </c>
      <c r="BK2262" s="244"/>
      <c r="BN2262" s="248"/>
      <c r="BP2262" s="437">
        <v>1.38</v>
      </c>
      <c r="BQ2262" s="437">
        <v>1.49</v>
      </c>
      <c r="BR2262" s="245">
        <f t="shared" ref="BR2262:BR2268" si="342">SQRT(3)*0.1</f>
        <v>0.17320508075688773</v>
      </c>
      <c r="BS2262" s="245">
        <f>SQRT(3)*0.1</f>
        <v>0.17320508075688773</v>
      </c>
      <c r="BU2262" s="437"/>
      <c r="BV2262" s="437"/>
      <c r="BZ2262" s="437"/>
      <c r="CA2262" s="437"/>
      <c r="CE2262" s="598"/>
      <c r="CF2262" s="598"/>
      <c r="CG2262" s="598"/>
      <c r="CH2262" s="598"/>
      <c r="DZ2262" s="245">
        <v>53.3</v>
      </c>
      <c r="EA2262" s="245">
        <v>55.2</v>
      </c>
      <c r="EB2262" s="245" t="s">
        <v>1017</v>
      </c>
      <c r="FU2262" s="246"/>
      <c r="JB2262" s="245" t="s">
        <v>2324</v>
      </c>
    </row>
    <row r="2263" spans="1:262" s="245" customFormat="1" x14ac:dyDescent="0.25">
      <c r="A2263" s="245">
        <v>110</v>
      </c>
      <c r="B2263" s="246" t="s">
        <v>4284</v>
      </c>
      <c r="C2263" s="244" t="s">
        <v>2218</v>
      </c>
      <c r="D2263" s="245" t="s">
        <v>2308</v>
      </c>
      <c r="E2263" s="244">
        <v>1982</v>
      </c>
      <c r="F2263" s="245">
        <v>1978</v>
      </c>
      <c r="G2263" s="244" t="s">
        <v>1749</v>
      </c>
      <c r="H2263" s="244" t="s">
        <v>2309</v>
      </c>
      <c r="I2263" s="244" t="s">
        <v>2823</v>
      </c>
      <c r="J2263" s="245">
        <v>7.38</v>
      </c>
      <c r="K2263" s="245">
        <v>3.95</v>
      </c>
      <c r="L2263" s="244">
        <v>229.3</v>
      </c>
      <c r="M2263" s="244"/>
      <c r="O2263" s="244"/>
      <c r="R2263" s="245">
        <v>4</v>
      </c>
      <c r="S2263" s="244">
        <v>4</v>
      </c>
      <c r="U2263" s="245" t="s">
        <v>2310</v>
      </c>
      <c r="V2263" s="245" t="s">
        <v>1388</v>
      </c>
      <c r="W2263" s="245">
        <v>10</v>
      </c>
      <c r="X2263" s="245" t="s">
        <v>1382</v>
      </c>
      <c r="Y2263" s="245" t="s">
        <v>1382</v>
      </c>
      <c r="Z2263" s="245">
        <v>1.31</v>
      </c>
      <c r="AA2263" s="376">
        <v>69.3</v>
      </c>
      <c r="AB2263" s="376">
        <v>9.5</v>
      </c>
      <c r="AC2263" s="245" t="s">
        <v>240</v>
      </c>
      <c r="AE2263" s="245">
        <v>1.7</v>
      </c>
      <c r="AG2263" s="244" t="s">
        <v>2311</v>
      </c>
      <c r="AH2263" s="244" t="s">
        <v>2317</v>
      </c>
      <c r="AI2263" s="245" t="s">
        <v>1581</v>
      </c>
      <c r="AJ2263" s="244" t="s">
        <v>1645</v>
      </c>
      <c r="AK2263" s="245" t="s">
        <v>132</v>
      </c>
      <c r="AO2263" s="244"/>
      <c r="AT2263" s="244"/>
      <c r="AW2263" s="244" t="s">
        <v>160</v>
      </c>
      <c r="AX2263" s="245">
        <v>3</v>
      </c>
      <c r="AY2263" s="244"/>
      <c r="AZ2263" s="245" t="s">
        <v>141</v>
      </c>
      <c r="BD2263" s="245" t="s">
        <v>2324</v>
      </c>
      <c r="BK2263" s="244"/>
      <c r="BN2263" s="248"/>
      <c r="BP2263" s="437">
        <v>1.38</v>
      </c>
      <c r="BQ2263" s="437">
        <v>1.43</v>
      </c>
      <c r="BR2263" s="245">
        <f t="shared" si="342"/>
        <v>0.17320508075688773</v>
      </c>
      <c r="BS2263" s="245">
        <f>SQRT(3)*0.08</f>
        <v>0.13856406460551018</v>
      </c>
      <c r="BU2263" s="437"/>
      <c r="BV2263" s="437"/>
      <c r="BZ2263" s="437"/>
      <c r="CA2263" s="437"/>
      <c r="CE2263" s="598"/>
      <c r="CF2263" s="598"/>
      <c r="CG2263" s="598"/>
      <c r="CH2263" s="598"/>
      <c r="DZ2263" s="245">
        <v>53.3</v>
      </c>
      <c r="EA2263" s="245">
        <v>53.7</v>
      </c>
      <c r="EB2263" s="245" t="s">
        <v>1017</v>
      </c>
      <c r="FU2263" s="246"/>
      <c r="JB2263" s="245" t="s">
        <v>2324</v>
      </c>
    </row>
    <row r="2264" spans="1:262" s="472" customFormat="1" x14ac:dyDescent="0.25">
      <c r="A2264" s="472">
        <v>110</v>
      </c>
      <c r="B2264" s="477" t="s">
        <v>4284</v>
      </c>
      <c r="C2264" s="473" t="s">
        <v>2218</v>
      </c>
      <c r="D2264" s="472" t="s">
        <v>2308</v>
      </c>
      <c r="E2264" s="473">
        <v>1982</v>
      </c>
      <c r="F2264" s="472">
        <v>1978</v>
      </c>
      <c r="G2264" s="473" t="s">
        <v>1749</v>
      </c>
      <c r="H2264" s="473" t="s">
        <v>2309</v>
      </c>
      <c r="I2264" s="244" t="s">
        <v>2823</v>
      </c>
      <c r="J2264" s="472">
        <v>7.38</v>
      </c>
      <c r="K2264" s="472">
        <v>3.95</v>
      </c>
      <c r="L2264" s="473">
        <v>229.3</v>
      </c>
      <c r="M2264" s="473"/>
      <c r="O2264" s="473"/>
      <c r="R2264" s="472">
        <v>4</v>
      </c>
      <c r="S2264" s="473">
        <v>4</v>
      </c>
      <c r="U2264" s="472" t="s">
        <v>2310</v>
      </c>
      <c r="V2264" s="472" t="s">
        <v>1388</v>
      </c>
      <c r="W2264" s="472">
        <v>10</v>
      </c>
      <c r="X2264" s="472" t="s">
        <v>1382</v>
      </c>
      <c r="Y2264" s="472" t="s">
        <v>1382</v>
      </c>
      <c r="Z2264" s="472">
        <v>1.31</v>
      </c>
      <c r="AA2264" s="474">
        <v>69.3</v>
      </c>
      <c r="AB2264" s="474">
        <v>9.5</v>
      </c>
      <c r="AC2264" s="472" t="s">
        <v>240</v>
      </c>
      <c r="AE2264" s="472">
        <v>1.7</v>
      </c>
      <c r="AG2264" s="473" t="s">
        <v>2311</v>
      </c>
      <c r="AH2264" s="473" t="s">
        <v>2318</v>
      </c>
      <c r="AI2264" s="472" t="s">
        <v>577</v>
      </c>
      <c r="AJ2264" s="244" t="s">
        <v>1645</v>
      </c>
      <c r="AK2264" s="245" t="s">
        <v>132</v>
      </c>
      <c r="AO2264" s="473"/>
      <c r="AT2264" s="473"/>
      <c r="AW2264" s="473" t="s">
        <v>160</v>
      </c>
      <c r="AX2264" s="245">
        <v>3</v>
      </c>
      <c r="AY2264" s="473"/>
      <c r="AZ2264" s="245" t="s">
        <v>141</v>
      </c>
      <c r="BD2264" s="245" t="s">
        <v>2324</v>
      </c>
      <c r="BK2264" s="473"/>
      <c r="BN2264" s="475"/>
      <c r="BP2264" s="437">
        <v>1.38</v>
      </c>
      <c r="BQ2264" s="476">
        <v>1.45</v>
      </c>
      <c r="BR2264" s="245">
        <f t="shared" si="342"/>
        <v>0.17320508075688773</v>
      </c>
      <c r="BS2264" s="472">
        <f>SQRT(3)*0.06</f>
        <v>0.10392304845413262</v>
      </c>
      <c r="BU2264" s="476"/>
      <c r="BV2264" s="476"/>
      <c r="BZ2264" s="476"/>
      <c r="CA2264" s="476"/>
      <c r="CE2264" s="604"/>
      <c r="CF2264" s="604"/>
      <c r="CG2264" s="604"/>
      <c r="CH2264" s="604"/>
      <c r="DZ2264" s="245">
        <v>53.3</v>
      </c>
      <c r="EA2264" s="472">
        <v>52.4</v>
      </c>
      <c r="EB2264" s="472" t="s">
        <v>1017</v>
      </c>
      <c r="FU2264" s="477"/>
      <c r="JB2264" s="245" t="s">
        <v>2324</v>
      </c>
    </row>
    <row r="2265" spans="1:262" s="472" customFormat="1" x14ac:dyDescent="0.25">
      <c r="A2265" s="472">
        <v>110</v>
      </c>
      <c r="B2265" s="477" t="s">
        <v>4284</v>
      </c>
      <c r="C2265" s="473" t="s">
        <v>2218</v>
      </c>
      <c r="D2265" s="472" t="s">
        <v>2308</v>
      </c>
      <c r="E2265" s="473">
        <v>1982</v>
      </c>
      <c r="F2265" s="472">
        <v>1978</v>
      </c>
      <c r="G2265" s="473" t="s">
        <v>1749</v>
      </c>
      <c r="H2265" s="473" t="s">
        <v>2309</v>
      </c>
      <c r="I2265" s="244" t="s">
        <v>2823</v>
      </c>
      <c r="J2265" s="472">
        <v>7.38</v>
      </c>
      <c r="K2265" s="472">
        <v>3.95</v>
      </c>
      <c r="L2265" s="473">
        <v>229.3</v>
      </c>
      <c r="M2265" s="473"/>
      <c r="O2265" s="473"/>
      <c r="R2265" s="472">
        <v>4</v>
      </c>
      <c r="S2265" s="473">
        <v>4</v>
      </c>
      <c r="U2265" s="472" t="s">
        <v>2310</v>
      </c>
      <c r="V2265" s="472" t="s">
        <v>1388</v>
      </c>
      <c r="W2265" s="472">
        <v>10</v>
      </c>
      <c r="X2265" s="472" t="s">
        <v>1382</v>
      </c>
      <c r="Y2265" s="472" t="s">
        <v>1382</v>
      </c>
      <c r="Z2265" s="472">
        <v>1.31</v>
      </c>
      <c r="AA2265" s="474">
        <v>69.3</v>
      </c>
      <c r="AB2265" s="474">
        <v>9.5</v>
      </c>
      <c r="AC2265" s="472" t="s">
        <v>240</v>
      </c>
      <c r="AE2265" s="472">
        <v>1.7</v>
      </c>
      <c r="AG2265" s="473" t="s">
        <v>2311</v>
      </c>
      <c r="AH2265" s="473" t="s">
        <v>2319</v>
      </c>
      <c r="AI2265" s="472" t="s">
        <v>577</v>
      </c>
      <c r="AJ2265" s="244" t="s">
        <v>1645</v>
      </c>
      <c r="AK2265" s="245" t="s">
        <v>132</v>
      </c>
      <c r="AO2265" s="473"/>
      <c r="AT2265" s="473"/>
      <c r="AW2265" s="473" t="s">
        <v>160</v>
      </c>
      <c r="AX2265" s="245">
        <v>3</v>
      </c>
      <c r="AY2265" s="473"/>
      <c r="AZ2265" s="245" t="s">
        <v>141</v>
      </c>
      <c r="BD2265" s="245" t="s">
        <v>2324</v>
      </c>
      <c r="BK2265" s="473"/>
      <c r="BN2265" s="475"/>
      <c r="BP2265" s="437">
        <v>1.38</v>
      </c>
      <c r="BQ2265" s="476">
        <v>1.46</v>
      </c>
      <c r="BR2265" s="245">
        <f t="shared" si="342"/>
        <v>0.17320508075688773</v>
      </c>
      <c r="BS2265" s="472">
        <f>SQRT(3)*0.09</f>
        <v>0.15588457268119893</v>
      </c>
      <c r="BU2265" s="476"/>
      <c r="BV2265" s="476"/>
      <c r="BZ2265" s="476"/>
      <c r="CA2265" s="476"/>
      <c r="CE2265" s="604"/>
      <c r="CF2265" s="604"/>
      <c r="CG2265" s="604"/>
      <c r="CH2265" s="604"/>
      <c r="DZ2265" s="245">
        <v>53.3</v>
      </c>
      <c r="EA2265" s="472">
        <v>53.6</v>
      </c>
      <c r="EB2265" s="472" t="s">
        <v>1017</v>
      </c>
      <c r="FU2265" s="477"/>
      <c r="JB2265" s="245" t="s">
        <v>2324</v>
      </c>
    </row>
    <row r="2266" spans="1:262" s="472" customFormat="1" x14ac:dyDescent="0.25">
      <c r="A2266" s="472">
        <v>110</v>
      </c>
      <c r="B2266" s="477" t="s">
        <v>4284</v>
      </c>
      <c r="C2266" s="473" t="s">
        <v>2218</v>
      </c>
      <c r="D2266" s="472" t="s">
        <v>2308</v>
      </c>
      <c r="E2266" s="473">
        <v>1982</v>
      </c>
      <c r="F2266" s="472">
        <v>1978</v>
      </c>
      <c r="G2266" s="473" t="s">
        <v>1749</v>
      </c>
      <c r="H2266" s="473" t="s">
        <v>2309</v>
      </c>
      <c r="I2266" s="244" t="s">
        <v>2823</v>
      </c>
      <c r="J2266" s="472">
        <v>7.38</v>
      </c>
      <c r="K2266" s="472">
        <v>3.95</v>
      </c>
      <c r="L2266" s="473">
        <v>229.3</v>
      </c>
      <c r="M2266" s="473"/>
      <c r="O2266" s="473"/>
      <c r="R2266" s="472">
        <v>4</v>
      </c>
      <c r="S2266" s="473">
        <v>4</v>
      </c>
      <c r="U2266" s="472" t="s">
        <v>2310</v>
      </c>
      <c r="V2266" s="472" t="s">
        <v>1388</v>
      </c>
      <c r="W2266" s="472">
        <v>10</v>
      </c>
      <c r="X2266" s="472" t="s">
        <v>1382</v>
      </c>
      <c r="Y2266" s="472" t="s">
        <v>1382</v>
      </c>
      <c r="Z2266" s="472">
        <v>1.31</v>
      </c>
      <c r="AA2266" s="474">
        <v>69.3</v>
      </c>
      <c r="AB2266" s="474">
        <v>9.5</v>
      </c>
      <c r="AC2266" s="472" t="s">
        <v>240</v>
      </c>
      <c r="AE2266" s="472">
        <v>1.7</v>
      </c>
      <c r="AG2266" s="473" t="s">
        <v>2311</v>
      </c>
      <c r="AH2266" s="473" t="s">
        <v>2320</v>
      </c>
      <c r="AI2266" s="472" t="s">
        <v>577</v>
      </c>
      <c r="AJ2266" s="244" t="s">
        <v>1645</v>
      </c>
      <c r="AK2266" s="245" t="s">
        <v>132</v>
      </c>
      <c r="AO2266" s="473"/>
      <c r="AT2266" s="473"/>
      <c r="AW2266" s="473" t="s">
        <v>160</v>
      </c>
      <c r="AX2266" s="245">
        <v>3</v>
      </c>
      <c r="AY2266" s="473"/>
      <c r="AZ2266" s="245" t="s">
        <v>141</v>
      </c>
      <c r="BD2266" s="245" t="s">
        <v>2324</v>
      </c>
      <c r="BK2266" s="473"/>
      <c r="BN2266" s="475"/>
      <c r="BP2266" s="437">
        <v>1.38</v>
      </c>
      <c r="BQ2266" s="476">
        <v>1.45</v>
      </c>
      <c r="BR2266" s="245">
        <f t="shared" si="342"/>
        <v>0.17320508075688773</v>
      </c>
      <c r="BS2266" s="472">
        <f>SQRT(3)*0.08</f>
        <v>0.13856406460551018</v>
      </c>
      <c r="BU2266" s="476"/>
      <c r="BV2266" s="476"/>
      <c r="BZ2266" s="476"/>
      <c r="CA2266" s="476"/>
      <c r="CE2266" s="604"/>
      <c r="CF2266" s="604"/>
      <c r="CG2266" s="604"/>
      <c r="CH2266" s="604"/>
      <c r="DZ2266" s="245">
        <v>53.3</v>
      </c>
      <c r="EA2266" s="472">
        <v>53.5</v>
      </c>
      <c r="EB2266" s="472" t="s">
        <v>1017</v>
      </c>
      <c r="FU2266" s="477"/>
      <c r="JB2266" s="245" t="s">
        <v>2324</v>
      </c>
    </row>
    <row r="2267" spans="1:262" s="472" customFormat="1" x14ac:dyDescent="0.25">
      <c r="A2267" s="472">
        <v>110</v>
      </c>
      <c r="B2267" s="477" t="s">
        <v>4284</v>
      </c>
      <c r="C2267" s="473" t="s">
        <v>2218</v>
      </c>
      <c r="D2267" s="472" t="s">
        <v>2308</v>
      </c>
      <c r="E2267" s="473">
        <v>1982</v>
      </c>
      <c r="F2267" s="472">
        <v>1978</v>
      </c>
      <c r="G2267" s="473" t="s">
        <v>1749</v>
      </c>
      <c r="H2267" s="473" t="s">
        <v>2309</v>
      </c>
      <c r="I2267" s="244" t="s">
        <v>2823</v>
      </c>
      <c r="J2267" s="472">
        <v>7.38</v>
      </c>
      <c r="K2267" s="472">
        <v>3.95</v>
      </c>
      <c r="L2267" s="473">
        <v>229.3</v>
      </c>
      <c r="M2267" s="473"/>
      <c r="O2267" s="473"/>
      <c r="R2267" s="472">
        <v>4</v>
      </c>
      <c r="S2267" s="473">
        <v>4</v>
      </c>
      <c r="U2267" s="472" t="s">
        <v>2310</v>
      </c>
      <c r="V2267" s="472" t="s">
        <v>1388</v>
      </c>
      <c r="W2267" s="472">
        <v>10</v>
      </c>
      <c r="X2267" s="472" t="s">
        <v>1382</v>
      </c>
      <c r="Y2267" s="472" t="s">
        <v>1382</v>
      </c>
      <c r="Z2267" s="472">
        <v>1.31</v>
      </c>
      <c r="AA2267" s="474">
        <v>69.3</v>
      </c>
      <c r="AB2267" s="474">
        <v>9.5</v>
      </c>
      <c r="AC2267" s="472" t="s">
        <v>240</v>
      </c>
      <c r="AE2267" s="472">
        <v>1.7</v>
      </c>
      <c r="AG2267" s="473" t="s">
        <v>2311</v>
      </c>
      <c r="AH2267" s="473" t="s">
        <v>2321</v>
      </c>
      <c r="AI2267" s="472" t="s">
        <v>577</v>
      </c>
      <c r="AJ2267" s="244" t="s">
        <v>1645</v>
      </c>
      <c r="AK2267" s="245" t="s">
        <v>132</v>
      </c>
      <c r="AO2267" s="473"/>
      <c r="AT2267" s="473"/>
      <c r="AW2267" s="473" t="s">
        <v>160</v>
      </c>
      <c r="AX2267" s="245">
        <v>3</v>
      </c>
      <c r="AY2267" s="473"/>
      <c r="AZ2267" s="245" t="s">
        <v>141</v>
      </c>
      <c r="BD2267" s="245" t="s">
        <v>2324</v>
      </c>
      <c r="BK2267" s="473"/>
      <c r="BN2267" s="475"/>
      <c r="BP2267" s="437">
        <v>1.38</v>
      </c>
      <c r="BQ2267" s="476">
        <v>1.46</v>
      </c>
      <c r="BR2267" s="245">
        <f t="shared" si="342"/>
        <v>0.17320508075688773</v>
      </c>
      <c r="BS2267" s="472">
        <f>SQRT(3)*0.07</f>
        <v>0.12124355652982141</v>
      </c>
      <c r="BU2267" s="476"/>
      <c r="BV2267" s="476"/>
      <c r="BZ2267" s="476"/>
      <c r="CA2267" s="476"/>
      <c r="CE2267" s="604"/>
      <c r="CF2267" s="604"/>
      <c r="CG2267" s="604"/>
      <c r="CH2267" s="604"/>
      <c r="DZ2267" s="245">
        <v>53.3</v>
      </c>
      <c r="EA2267" s="472">
        <v>51.3</v>
      </c>
      <c r="EB2267" s="472" t="s">
        <v>1017</v>
      </c>
      <c r="FU2267" s="477"/>
      <c r="JB2267" s="245" t="s">
        <v>2324</v>
      </c>
    </row>
    <row r="2268" spans="1:262" s="472" customFormat="1" x14ac:dyDescent="0.25">
      <c r="A2268" s="472">
        <v>110</v>
      </c>
      <c r="B2268" s="477" t="s">
        <v>4284</v>
      </c>
      <c r="C2268" s="473" t="s">
        <v>2218</v>
      </c>
      <c r="D2268" s="472" t="s">
        <v>2308</v>
      </c>
      <c r="E2268" s="473">
        <v>1982</v>
      </c>
      <c r="F2268" s="472">
        <v>1978</v>
      </c>
      <c r="G2268" s="473" t="s">
        <v>1749</v>
      </c>
      <c r="H2268" s="473" t="s">
        <v>2309</v>
      </c>
      <c r="I2268" s="244" t="s">
        <v>2823</v>
      </c>
      <c r="J2268" s="472">
        <v>7.38</v>
      </c>
      <c r="K2268" s="472">
        <v>3.95</v>
      </c>
      <c r="L2268" s="473">
        <v>229.3</v>
      </c>
      <c r="M2268" s="473"/>
      <c r="O2268" s="473"/>
      <c r="R2268" s="472">
        <v>4</v>
      </c>
      <c r="S2268" s="473">
        <v>4</v>
      </c>
      <c r="U2268" s="472" t="s">
        <v>2310</v>
      </c>
      <c r="V2268" s="472" t="s">
        <v>1388</v>
      </c>
      <c r="W2268" s="472">
        <v>10</v>
      </c>
      <c r="X2268" s="472" t="s">
        <v>1382</v>
      </c>
      <c r="Y2268" s="472" t="s">
        <v>1382</v>
      </c>
      <c r="Z2268" s="472">
        <v>1.31</v>
      </c>
      <c r="AA2268" s="474">
        <v>69.3</v>
      </c>
      <c r="AB2268" s="474">
        <v>9.5</v>
      </c>
      <c r="AC2268" s="472" t="s">
        <v>240</v>
      </c>
      <c r="AE2268" s="472">
        <v>1.7</v>
      </c>
      <c r="AG2268" s="473" t="s">
        <v>2311</v>
      </c>
      <c r="AH2268" s="473" t="s">
        <v>2322</v>
      </c>
      <c r="AI2268" s="472" t="s">
        <v>577</v>
      </c>
      <c r="AJ2268" s="244" t="s">
        <v>1645</v>
      </c>
      <c r="AK2268" s="245" t="s">
        <v>132</v>
      </c>
      <c r="AO2268" s="473"/>
      <c r="AT2268" s="473"/>
      <c r="AW2268" s="473" t="s">
        <v>160</v>
      </c>
      <c r="AX2268" s="245">
        <v>3</v>
      </c>
      <c r="AY2268" s="473"/>
      <c r="AZ2268" s="245" t="s">
        <v>141</v>
      </c>
      <c r="BD2268" s="245" t="s">
        <v>2324</v>
      </c>
      <c r="BK2268" s="473"/>
      <c r="BN2268" s="475"/>
      <c r="BP2268" s="437">
        <v>1.38</v>
      </c>
      <c r="BQ2268" s="476">
        <v>1.47</v>
      </c>
      <c r="BR2268" s="245">
        <f t="shared" si="342"/>
        <v>0.17320508075688773</v>
      </c>
      <c r="BS2268" s="472">
        <f>SQRT(3)*0.06</f>
        <v>0.10392304845413262</v>
      </c>
      <c r="BU2268" s="476"/>
      <c r="BV2268" s="476"/>
      <c r="BZ2268" s="476"/>
      <c r="CA2268" s="476"/>
      <c r="CE2268" s="604"/>
      <c r="CF2268" s="604"/>
      <c r="CG2268" s="604"/>
      <c r="CH2268" s="604"/>
      <c r="DZ2268" s="245">
        <v>53.3</v>
      </c>
      <c r="EA2268" s="472">
        <v>50.7</v>
      </c>
      <c r="EB2268" s="472" t="s">
        <v>1017</v>
      </c>
      <c r="FU2268" s="477"/>
      <c r="JB2268" s="245" t="s">
        <v>2324</v>
      </c>
    </row>
    <row r="2269" spans="1:262" s="239" customFormat="1" x14ac:dyDescent="0.25">
      <c r="A2269" s="239">
        <v>110</v>
      </c>
      <c r="B2269" s="240" t="s">
        <v>4284</v>
      </c>
      <c r="C2269" s="238" t="s">
        <v>2218</v>
      </c>
      <c r="D2269" s="239" t="s">
        <v>2308</v>
      </c>
      <c r="E2269" s="238">
        <v>1982</v>
      </c>
      <c r="F2269" s="239">
        <v>1976</v>
      </c>
      <c r="G2269" s="238" t="s">
        <v>1749</v>
      </c>
      <c r="H2269" s="238" t="s">
        <v>2309</v>
      </c>
      <c r="I2269" s="244" t="s">
        <v>2823</v>
      </c>
      <c r="J2269" s="239">
        <v>7.38</v>
      </c>
      <c r="K2269" s="239">
        <v>3.95</v>
      </c>
      <c r="L2269" s="238">
        <v>229.3</v>
      </c>
      <c r="M2269" s="238"/>
      <c r="O2269" s="238"/>
      <c r="R2269" s="239">
        <v>2</v>
      </c>
      <c r="S2269" s="238">
        <v>4</v>
      </c>
      <c r="U2269" s="239" t="s">
        <v>2310</v>
      </c>
      <c r="V2269" s="239" t="s">
        <v>1388</v>
      </c>
      <c r="W2269" s="239">
        <v>10</v>
      </c>
      <c r="X2269" s="239" t="s">
        <v>1382</v>
      </c>
      <c r="Y2269" s="239" t="s">
        <v>1382</v>
      </c>
      <c r="Z2269" s="239">
        <v>1.31</v>
      </c>
      <c r="AA2269" s="374">
        <v>69.3</v>
      </c>
      <c r="AB2269" s="374">
        <v>9.5</v>
      </c>
      <c r="AC2269" s="239" t="s">
        <v>240</v>
      </c>
      <c r="AE2269" s="239">
        <v>1.7</v>
      </c>
      <c r="AG2269" s="238" t="s">
        <v>2311</v>
      </c>
      <c r="AH2269" s="238" t="s">
        <v>2315</v>
      </c>
      <c r="AI2269" s="239" t="s">
        <v>1581</v>
      </c>
      <c r="AJ2269" s="238" t="s">
        <v>1645</v>
      </c>
      <c r="AK2269" s="239" t="s">
        <v>132</v>
      </c>
      <c r="AO2269" s="238"/>
      <c r="AT2269" s="238"/>
      <c r="AW2269" s="238" t="s">
        <v>160</v>
      </c>
      <c r="AX2269" s="239">
        <v>3</v>
      </c>
      <c r="AY2269" s="238"/>
      <c r="AZ2269" s="239" t="s">
        <v>141</v>
      </c>
      <c r="BD2269" s="239" t="s">
        <v>2323</v>
      </c>
      <c r="BF2269" s="239">
        <v>5300</v>
      </c>
      <c r="BG2269" s="239">
        <v>5800</v>
      </c>
      <c r="BJ2269" s="239" t="s">
        <v>2325</v>
      </c>
      <c r="BK2269" s="238">
        <v>1800</v>
      </c>
      <c r="BL2269" s="239">
        <v>300</v>
      </c>
      <c r="BN2269" s="242"/>
      <c r="BP2269" s="451"/>
      <c r="BQ2269" s="451"/>
      <c r="BU2269" s="451"/>
      <c r="BV2269" s="451"/>
      <c r="BZ2269" s="451"/>
      <c r="CA2269" s="451"/>
      <c r="CE2269" s="597"/>
      <c r="CF2269" s="597"/>
      <c r="CG2269" s="597"/>
      <c r="CH2269" s="597"/>
      <c r="FU2269" s="240"/>
    </row>
    <row r="2270" spans="1:262" s="239" customFormat="1" x14ac:dyDescent="0.25">
      <c r="A2270" s="239">
        <v>110</v>
      </c>
      <c r="B2270" s="240" t="s">
        <v>4284</v>
      </c>
      <c r="C2270" s="238" t="s">
        <v>2218</v>
      </c>
      <c r="D2270" s="239" t="s">
        <v>2308</v>
      </c>
      <c r="E2270" s="238">
        <v>1982</v>
      </c>
      <c r="F2270" s="239">
        <v>1976</v>
      </c>
      <c r="G2270" s="238" t="s">
        <v>1749</v>
      </c>
      <c r="H2270" s="238" t="s">
        <v>2309</v>
      </c>
      <c r="I2270" s="244" t="s">
        <v>2823</v>
      </c>
      <c r="J2270" s="239">
        <v>7.38</v>
      </c>
      <c r="K2270" s="239">
        <v>3.95</v>
      </c>
      <c r="L2270" s="238">
        <v>229.3</v>
      </c>
      <c r="M2270" s="238"/>
      <c r="O2270" s="238"/>
      <c r="R2270" s="239">
        <v>2</v>
      </c>
      <c r="S2270" s="238">
        <v>4</v>
      </c>
      <c r="U2270" s="239" t="s">
        <v>2310</v>
      </c>
      <c r="V2270" s="239" t="s">
        <v>1388</v>
      </c>
      <c r="W2270" s="239">
        <v>10</v>
      </c>
      <c r="X2270" s="239" t="s">
        <v>1382</v>
      </c>
      <c r="Y2270" s="239" t="s">
        <v>1382</v>
      </c>
      <c r="Z2270" s="239">
        <v>1.31</v>
      </c>
      <c r="AA2270" s="374">
        <v>69.3</v>
      </c>
      <c r="AB2270" s="374">
        <v>9.5</v>
      </c>
      <c r="AC2270" s="239" t="s">
        <v>240</v>
      </c>
      <c r="AE2270" s="239">
        <v>1.7</v>
      </c>
      <c r="AG2270" s="238" t="s">
        <v>2311</v>
      </c>
      <c r="AH2270" s="238" t="s">
        <v>2316</v>
      </c>
      <c r="AI2270" s="239" t="s">
        <v>1581</v>
      </c>
      <c r="AJ2270" s="238" t="s">
        <v>1645</v>
      </c>
      <c r="AK2270" s="239" t="s">
        <v>132</v>
      </c>
      <c r="AO2270" s="238"/>
      <c r="AT2270" s="238"/>
      <c r="AW2270" s="238" t="s">
        <v>160</v>
      </c>
      <c r="AX2270" s="239">
        <v>3</v>
      </c>
      <c r="AY2270" s="238"/>
      <c r="AZ2270" s="239" t="s">
        <v>141</v>
      </c>
      <c r="BD2270" s="239" t="s">
        <v>2323</v>
      </c>
      <c r="BF2270" s="239">
        <v>5300</v>
      </c>
      <c r="BG2270" s="239">
        <v>800</v>
      </c>
      <c r="BJ2270" s="239" t="s">
        <v>2325</v>
      </c>
      <c r="BK2270" s="238">
        <v>1800</v>
      </c>
      <c r="BL2270" s="239">
        <v>100</v>
      </c>
      <c r="BN2270" s="242"/>
      <c r="BP2270" s="451"/>
      <c r="BQ2270" s="451"/>
      <c r="BU2270" s="451"/>
      <c r="BV2270" s="451"/>
      <c r="BZ2270" s="451"/>
      <c r="CA2270" s="451"/>
      <c r="CE2270" s="597"/>
      <c r="CF2270" s="597"/>
      <c r="CG2270" s="597"/>
      <c r="CH2270" s="597"/>
      <c r="FU2270" s="240"/>
    </row>
    <row r="2271" spans="1:262" s="239" customFormat="1" x14ac:dyDescent="0.25">
      <c r="A2271" s="239">
        <v>110</v>
      </c>
      <c r="B2271" s="240" t="s">
        <v>4284</v>
      </c>
      <c r="C2271" s="238" t="s">
        <v>2218</v>
      </c>
      <c r="D2271" s="239" t="s">
        <v>2308</v>
      </c>
      <c r="E2271" s="238">
        <v>1982</v>
      </c>
      <c r="F2271" s="239">
        <v>1976</v>
      </c>
      <c r="G2271" s="238" t="s">
        <v>1749</v>
      </c>
      <c r="H2271" s="238" t="s">
        <v>2309</v>
      </c>
      <c r="I2271" s="244" t="s">
        <v>2823</v>
      </c>
      <c r="J2271" s="239">
        <v>7.38</v>
      </c>
      <c r="K2271" s="239">
        <v>3.95</v>
      </c>
      <c r="L2271" s="238">
        <v>229.3</v>
      </c>
      <c r="M2271" s="238"/>
      <c r="O2271" s="238"/>
      <c r="R2271" s="239">
        <v>2</v>
      </c>
      <c r="S2271" s="238">
        <v>4</v>
      </c>
      <c r="U2271" s="239" t="s">
        <v>2310</v>
      </c>
      <c r="V2271" s="239" t="s">
        <v>1388</v>
      </c>
      <c r="W2271" s="239">
        <v>10</v>
      </c>
      <c r="X2271" s="239" t="s">
        <v>1382</v>
      </c>
      <c r="Y2271" s="239" t="s">
        <v>1382</v>
      </c>
      <c r="Z2271" s="239">
        <v>1.31</v>
      </c>
      <c r="AA2271" s="374">
        <v>69.3</v>
      </c>
      <c r="AB2271" s="374">
        <v>9.5</v>
      </c>
      <c r="AC2271" s="239" t="s">
        <v>240</v>
      </c>
      <c r="AE2271" s="239">
        <v>1.7</v>
      </c>
      <c r="AG2271" s="238" t="s">
        <v>2311</v>
      </c>
      <c r="AH2271" s="238" t="s">
        <v>2317</v>
      </c>
      <c r="AI2271" s="239" t="s">
        <v>1581</v>
      </c>
      <c r="AJ2271" s="238" t="s">
        <v>1645</v>
      </c>
      <c r="AK2271" s="239" t="s">
        <v>132</v>
      </c>
      <c r="AO2271" s="238"/>
      <c r="AT2271" s="238"/>
      <c r="AW2271" s="238" t="s">
        <v>160</v>
      </c>
      <c r="AX2271" s="239">
        <v>3</v>
      </c>
      <c r="AY2271" s="238"/>
      <c r="AZ2271" s="239" t="s">
        <v>141</v>
      </c>
      <c r="BD2271" s="239" t="s">
        <v>2323</v>
      </c>
      <c r="BJ2271" s="239" t="s">
        <v>2325</v>
      </c>
      <c r="BK2271" s="238">
        <v>1800</v>
      </c>
      <c r="BL2271" s="239">
        <v>100</v>
      </c>
      <c r="BN2271" s="242"/>
      <c r="BP2271" s="451"/>
      <c r="BQ2271" s="451"/>
      <c r="BU2271" s="451"/>
      <c r="BV2271" s="451"/>
      <c r="BZ2271" s="451"/>
      <c r="CA2271" s="451"/>
      <c r="CE2271" s="597"/>
      <c r="CF2271" s="597"/>
      <c r="CG2271" s="597"/>
      <c r="CH2271" s="597"/>
      <c r="FU2271" s="240"/>
    </row>
    <row r="2272" spans="1:262" s="466" customFormat="1" x14ac:dyDescent="0.25">
      <c r="A2272" s="466">
        <v>110</v>
      </c>
      <c r="B2272" s="471" t="s">
        <v>4284</v>
      </c>
      <c r="C2272" s="467" t="s">
        <v>2218</v>
      </c>
      <c r="D2272" s="466" t="s">
        <v>2308</v>
      </c>
      <c r="E2272" s="467">
        <v>1982</v>
      </c>
      <c r="F2272" s="239">
        <v>1976</v>
      </c>
      <c r="G2272" s="467" t="s">
        <v>1749</v>
      </c>
      <c r="H2272" s="467" t="s">
        <v>2309</v>
      </c>
      <c r="I2272" s="244" t="s">
        <v>2823</v>
      </c>
      <c r="J2272" s="466">
        <v>7.38</v>
      </c>
      <c r="K2272" s="466">
        <v>3.95</v>
      </c>
      <c r="L2272" s="467">
        <v>229.3</v>
      </c>
      <c r="M2272" s="467"/>
      <c r="O2272" s="467"/>
      <c r="R2272" s="466">
        <v>2</v>
      </c>
      <c r="S2272" s="467">
        <v>4</v>
      </c>
      <c r="U2272" s="466" t="s">
        <v>2310</v>
      </c>
      <c r="V2272" s="466" t="s">
        <v>1388</v>
      </c>
      <c r="W2272" s="466">
        <v>10</v>
      </c>
      <c r="X2272" s="466" t="s">
        <v>1382</v>
      </c>
      <c r="Y2272" s="466" t="s">
        <v>1382</v>
      </c>
      <c r="Z2272" s="466">
        <v>1.31</v>
      </c>
      <c r="AA2272" s="468">
        <v>69.3</v>
      </c>
      <c r="AB2272" s="468">
        <v>9.5</v>
      </c>
      <c r="AC2272" s="466" t="s">
        <v>240</v>
      </c>
      <c r="AE2272" s="466">
        <v>1.7</v>
      </c>
      <c r="AG2272" s="467" t="s">
        <v>2311</v>
      </c>
      <c r="AH2272" s="467" t="s">
        <v>2318</v>
      </c>
      <c r="AI2272" s="466" t="s">
        <v>577</v>
      </c>
      <c r="AJ2272" s="238" t="s">
        <v>1645</v>
      </c>
      <c r="AK2272" s="239" t="s">
        <v>132</v>
      </c>
      <c r="AO2272" s="467"/>
      <c r="AT2272" s="467"/>
      <c r="AW2272" s="467" t="s">
        <v>160</v>
      </c>
      <c r="AX2272" s="239">
        <v>3</v>
      </c>
      <c r="AY2272" s="467"/>
      <c r="AZ2272" s="239" t="s">
        <v>141</v>
      </c>
      <c r="BD2272" s="239" t="s">
        <v>2323</v>
      </c>
      <c r="BF2272" s="239">
        <v>5300</v>
      </c>
      <c r="BG2272" s="466">
        <v>7900</v>
      </c>
      <c r="BJ2272" s="239" t="s">
        <v>2325</v>
      </c>
      <c r="BK2272" s="238">
        <v>1800</v>
      </c>
      <c r="BL2272" s="466">
        <v>3200</v>
      </c>
      <c r="BN2272" s="469"/>
      <c r="BP2272" s="451"/>
      <c r="BQ2272" s="470"/>
      <c r="BR2272" s="239"/>
      <c r="BU2272" s="470"/>
      <c r="BV2272" s="470"/>
      <c r="BZ2272" s="470"/>
      <c r="CA2272" s="470"/>
      <c r="CE2272" s="603"/>
      <c r="CF2272" s="603"/>
      <c r="CG2272" s="603"/>
      <c r="CH2272" s="603"/>
      <c r="DZ2272" s="239"/>
      <c r="EB2272" s="239"/>
      <c r="EH2272" s="239"/>
      <c r="FL2272" s="239"/>
      <c r="FU2272" s="471"/>
      <c r="JB2272" s="239"/>
    </row>
    <row r="2273" spans="1:262" s="466" customFormat="1" x14ac:dyDescent="0.25">
      <c r="A2273" s="466">
        <v>110</v>
      </c>
      <c r="B2273" s="471" t="s">
        <v>4284</v>
      </c>
      <c r="C2273" s="467" t="s">
        <v>2218</v>
      </c>
      <c r="D2273" s="466" t="s">
        <v>2308</v>
      </c>
      <c r="E2273" s="467">
        <v>1982</v>
      </c>
      <c r="F2273" s="239">
        <v>1976</v>
      </c>
      <c r="G2273" s="467" t="s">
        <v>1749</v>
      </c>
      <c r="H2273" s="467" t="s">
        <v>2309</v>
      </c>
      <c r="I2273" s="244" t="s">
        <v>2823</v>
      </c>
      <c r="J2273" s="466">
        <v>7.38</v>
      </c>
      <c r="K2273" s="466">
        <v>3.95</v>
      </c>
      <c r="L2273" s="467">
        <v>229.3</v>
      </c>
      <c r="M2273" s="467"/>
      <c r="O2273" s="467"/>
      <c r="R2273" s="466">
        <v>2</v>
      </c>
      <c r="S2273" s="467">
        <v>4</v>
      </c>
      <c r="U2273" s="466" t="s">
        <v>2310</v>
      </c>
      <c r="V2273" s="466" t="s">
        <v>1388</v>
      </c>
      <c r="W2273" s="466">
        <v>10</v>
      </c>
      <c r="X2273" s="466" t="s">
        <v>1382</v>
      </c>
      <c r="Y2273" s="466" t="s">
        <v>1382</v>
      </c>
      <c r="Z2273" s="466">
        <v>1.31</v>
      </c>
      <c r="AA2273" s="468">
        <v>69.3</v>
      </c>
      <c r="AB2273" s="468">
        <v>9.5</v>
      </c>
      <c r="AC2273" s="466" t="s">
        <v>240</v>
      </c>
      <c r="AE2273" s="466">
        <v>1.7</v>
      </c>
      <c r="AG2273" s="467" t="s">
        <v>2311</v>
      </c>
      <c r="AH2273" s="467" t="s">
        <v>2319</v>
      </c>
      <c r="AI2273" s="466" t="s">
        <v>577</v>
      </c>
      <c r="AJ2273" s="238" t="s">
        <v>1645</v>
      </c>
      <c r="AK2273" s="239" t="s">
        <v>132</v>
      </c>
      <c r="AO2273" s="467"/>
      <c r="AT2273" s="467"/>
      <c r="AW2273" s="467" t="s">
        <v>160</v>
      </c>
      <c r="AX2273" s="239">
        <v>3</v>
      </c>
      <c r="AY2273" s="467"/>
      <c r="AZ2273" s="239" t="s">
        <v>141</v>
      </c>
      <c r="BD2273" s="239" t="s">
        <v>2323</v>
      </c>
      <c r="BF2273" s="239">
        <v>5300</v>
      </c>
      <c r="BG2273" s="466">
        <v>8400</v>
      </c>
      <c r="BJ2273" s="239" t="s">
        <v>2325</v>
      </c>
      <c r="BK2273" s="238">
        <v>1800</v>
      </c>
      <c r="BL2273" s="466">
        <v>3100</v>
      </c>
      <c r="BN2273" s="469"/>
      <c r="BP2273" s="451"/>
      <c r="BQ2273" s="470"/>
      <c r="BR2273" s="239"/>
      <c r="BU2273" s="470"/>
      <c r="BV2273" s="470"/>
      <c r="BZ2273" s="470"/>
      <c r="CA2273" s="470"/>
      <c r="CE2273" s="603"/>
      <c r="CF2273" s="603"/>
      <c r="CG2273" s="603"/>
      <c r="CH2273" s="603"/>
      <c r="DZ2273" s="239"/>
      <c r="EB2273" s="239"/>
      <c r="EH2273" s="239"/>
      <c r="FL2273" s="239"/>
      <c r="FU2273" s="471"/>
      <c r="JB2273" s="239"/>
    </row>
    <row r="2274" spans="1:262" s="466" customFormat="1" x14ac:dyDescent="0.25">
      <c r="A2274" s="466">
        <v>110</v>
      </c>
      <c r="B2274" s="471" t="s">
        <v>4284</v>
      </c>
      <c r="C2274" s="467" t="s">
        <v>2218</v>
      </c>
      <c r="D2274" s="466" t="s">
        <v>2308</v>
      </c>
      <c r="E2274" s="467">
        <v>1982</v>
      </c>
      <c r="F2274" s="239">
        <v>1976</v>
      </c>
      <c r="G2274" s="467" t="s">
        <v>1749</v>
      </c>
      <c r="H2274" s="467" t="s">
        <v>2309</v>
      </c>
      <c r="I2274" s="244" t="s">
        <v>2823</v>
      </c>
      <c r="J2274" s="466">
        <v>7.38</v>
      </c>
      <c r="K2274" s="466">
        <v>3.95</v>
      </c>
      <c r="L2274" s="467">
        <v>229.3</v>
      </c>
      <c r="M2274" s="467"/>
      <c r="O2274" s="467"/>
      <c r="R2274" s="466">
        <v>2</v>
      </c>
      <c r="S2274" s="467">
        <v>4</v>
      </c>
      <c r="U2274" s="466" t="s">
        <v>2310</v>
      </c>
      <c r="V2274" s="466" t="s">
        <v>1388</v>
      </c>
      <c r="W2274" s="466">
        <v>10</v>
      </c>
      <c r="X2274" s="466" t="s">
        <v>1382</v>
      </c>
      <c r="Y2274" s="466" t="s">
        <v>1382</v>
      </c>
      <c r="Z2274" s="466">
        <v>1.31</v>
      </c>
      <c r="AA2274" s="468">
        <v>69.3</v>
      </c>
      <c r="AB2274" s="468">
        <v>9.5</v>
      </c>
      <c r="AC2274" s="466" t="s">
        <v>240</v>
      </c>
      <c r="AE2274" s="466">
        <v>1.7</v>
      </c>
      <c r="AG2274" s="467" t="s">
        <v>2311</v>
      </c>
      <c r="AH2274" s="467" t="s">
        <v>2320</v>
      </c>
      <c r="AI2274" s="466" t="s">
        <v>577</v>
      </c>
      <c r="AJ2274" s="238" t="s">
        <v>1645</v>
      </c>
      <c r="AK2274" s="239" t="s">
        <v>132</v>
      </c>
      <c r="AO2274" s="467"/>
      <c r="AT2274" s="467"/>
      <c r="AW2274" s="467" t="s">
        <v>160</v>
      </c>
      <c r="AX2274" s="239">
        <v>3</v>
      </c>
      <c r="AY2274" s="467"/>
      <c r="AZ2274" s="239" t="s">
        <v>141</v>
      </c>
      <c r="BD2274" s="239" t="s">
        <v>2323</v>
      </c>
      <c r="BF2274" s="239">
        <v>5300</v>
      </c>
      <c r="BG2274" s="466">
        <v>3400</v>
      </c>
      <c r="BJ2274" s="239" t="s">
        <v>2325</v>
      </c>
      <c r="BK2274" s="238">
        <v>1800</v>
      </c>
      <c r="BL2274" s="466">
        <v>2100</v>
      </c>
      <c r="BN2274" s="469"/>
      <c r="BP2274" s="451"/>
      <c r="BQ2274" s="470"/>
      <c r="BR2274" s="239"/>
      <c r="BU2274" s="470"/>
      <c r="BV2274" s="470"/>
      <c r="BZ2274" s="470"/>
      <c r="CA2274" s="470"/>
      <c r="CE2274" s="603"/>
      <c r="CF2274" s="603"/>
      <c r="CG2274" s="603"/>
      <c r="CH2274" s="603"/>
      <c r="DZ2274" s="239"/>
      <c r="EB2274" s="239"/>
      <c r="EH2274" s="239"/>
      <c r="FL2274" s="239"/>
      <c r="FU2274" s="471"/>
      <c r="JB2274" s="239"/>
    </row>
    <row r="2275" spans="1:262" s="466" customFormat="1" x14ac:dyDescent="0.25">
      <c r="A2275" s="466">
        <v>110</v>
      </c>
      <c r="B2275" s="471" t="s">
        <v>4284</v>
      </c>
      <c r="C2275" s="467" t="s">
        <v>2218</v>
      </c>
      <c r="D2275" s="466" t="s">
        <v>2308</v>
      </c>
      <c r="E2275" s="467">
        <v>1982</v>
      </c>
      <c r="F2275" s="239">
        <v>1976</v>
      </c>
      <c r="G2275" s="467" t="s">
        <v>1749</v>
      </c>
      <c r="H2275" s="467" t="s">
        <v>2309</v>
      </c>
      <c r="I2275" s="244" t="s">
        <v>2823</v>
      </c>
      <c r="J2275" s="466">
        <v>7.38</v>
      </c>
      <c r="K2275" s="466">
        <v>3.95</v>
      </c>
      <c r="L2275" s="467">
        <v>229.3</v>
      </c>
      <c r="M2275" s="467"/>
      <c r="O2275" s="467"/>
      <c r="R2275" s="466">
        <v>2</v>
      </c>
      <c r="S2275" s="467">
        <v>4</v>
      </c>
      <c r="U2275" s="466" t="s">
        <v>2310</v>
      </c>
      <c r="V2275" s="466" t="s">
        <v>1388</v>
      </c>
      <c r="W2275" s="466">
        <v>10</v>
      </c>
      <c r="X2275" s="466" t="s">
        <v>1382</v>
      </c>
      <c r="Y2275" s="466" t="s">
        <v>1382</v>
      </c>
      <c r="Z2275" s="466">
        <v>1.31</v>
      </c>
      <c r="AA2275" s="468">
        <v>69.3</v>
      </c>
      <c r="AB2275" s="468">
        <v>9.5</v>
      </c>
      <c r="AC2275" s="466" t="s">
        <v>240</v>
      </c>
      <c r="AE2275" s="466">
        <v>1.7</v>
      </c>
      <c r="AG2275" s="467" t="s">
        <v>2311</v>
      </c>
      <c r="AH2275" s="467" t="s">
        <v>2321</v>
      </c>
      <c r="AI2275" s="466" t="s">
        <v>577</v>
      </c>
      <c r="AJ2275" s="238" t="s">
        <v>1645</v>
      </c>
      <c r="AK2275" s="239" t="s">
        <v>132</v>
      </c>
      <c r="AO2275" s="467"/>
      <c r="AT2275" s="467"/>
      <c r="AW2275" s="467" t="s">
        <v>160</v>
      </c>
      <c r="AX2275" s="239">
        <v>3</v>
      </c>
      <c r="AY2275" s="467"/>
      <c r="AZ2275" s="239" t="s">
        <v>141</v>
      </c>
      <c r="BD2275" s="239" t="s">
        <v>2323</v>
      </c>
      <c r="BF2275" s="239">
        <v>5300</v>
      </c>
      <c r="BG2275" s="466">
        <v>7800</v>
      </c>
      <c r="BJ2275" s="239" t="s">
        <v>2325</v>
      </c>
      <c r="BK2275" s="238">
        <v>1800</v>
      </c>
      <c r="BL2275" s="466">
        <v>3600</v>
      </c>
      <c r="BN2275" s="469"/>
      <c r="BP2275" s="451"/>
      <c r="BQ2275" s="470"/>
      <c r="BR2275" s="239"/>
      <c r="BU2275" s="470"/>
      <c r="BV2275" s="470"/>
      <c r="BZ2275" s="470"/>
      <c r="CA2275" s="470"/>
      <c r="CE2275" s="603"/>
      <c r="CF2275" s="603"/>
      <c r="CG2275" s="603"/>
      <c r="CH2275" s="603"/>
      <c r="DZ2275" s="239"/>
      <c r="EB2275" s="239"/>
      <c r="EH2275" s="239"/>
      <c r="FL2275" s="239"/>
      <c r="FU2275" s="471"/>
      <c r="JB2275" s="239"/>
    </row>
    <row r="2276" spans="1:262" s="466" customFormat="1" x14ac:dyDescent="0.25">
      <c r="A2276" s="466">
        <v>110</v>
      </c>
      <c r="B2276" s="471" t="s">
        <v>4284</v>
      </c>
      <c r="C2276" s="467" t="s">
        <v>2218</v>
      </c>
      <c r="D2276" s="466" t="s">
        <v>2308</v>
      </c>
      <c r="E2276" s="467">
        <v>1982</v>
      </c>
      <c r="F2276" s="239">
        <v>1976</v>
      </c>
      <c r="G2276" s="467" t="s">
        <v>1749</v>
      </c>
      <c r="H2276" s="467" t="s">
        <v>2309</v>
      </c>
      <c r="I2276" s="244" t="s">
        <v>2823</v>
      </c>
      <c r="J2276" s="466">
        <v>7.38</v>
      </c>
      <c r="K2276" s="466">
        <v>3.95</v>
      </c>
      <c r="L2276" s="467">
        <v>229.3</v>
      </c>
      <c r="M2276" s="467"/>
      <c r="O2276" s="467"/>
      <c r="R2276" s="466">
        <v>2</v>
      </c>
      <c r="S2276" s="467">
        <v>4</v>
      </c>
      <c r="U2276" s="466" t="s">
        <v>2310</v>
      </c>
      <c r="V2276" s="466" t="s">
        <v>1388</v>
      </c>
      <c r="W2276" s="466">
        <v>10</v>
      </c>
      <c r="X2276" s="466" t="s">
        <v>1382</v>
      </c>
      <c r="Y2276" s="466" t="s">
        <v>1382</v>
      </c>
      <c r="Z2276" s="466">
        <v>1.31</v>
      </c>
      <c r="AA2276" s="468">
        <v>69.3</v>
      </c>
      <c r="AB2276" s="468">
        <v>9.5</v>
      </c>
      <c r="AC2276" s="466" t="s">
        <v>240</v>
      </c>
      <c r="AE2276" s="466">
        <v>1.7</v>
      </c>
      <c r="AG2276" s="467" t="s">
        <v>2311</v>
      </c>
      <c r="AH2276" s="467" t="s">
        <v>2322</v>
      </c>
      <c r="AI2276" s="466" t="s">
        <v>577</v>
      </c>
      <c r="AJ2276" s="238" t="s">
        <v>1645</v>
      </c>
      <c r="AK2276" s="239" t="s">
        <v>132</v>
      </c>
      <c r="AO2276" s="467"/>
      <c r="AT2276" s="467"/>
      <c r="AW2276" s="467" t="s">
        <v>160</v>
      </c>
      <c r="AX2276" s="239">
        <v>3</v>
      </c>
      <c r="AY2276" s="467"/>
      <c r="AZ2276" s="239" t="s">
        <v>141</v>
      </c>
      <c r="BD2276" s="239" t="s">
        <v>2323</v>
      </c>
      <c r="BF2276" s="239">
        <v>5300</v>
      </c>
      <c r="BG2276" s="466">
        <v>8700</v>
      </c>
      <c r="BJ2276" s="239" t="s">
        <v>2325</v>
      </c>
      <c r="BK2276" s="238">
        <v>1800</v>
      </c>
      <c r="BL2276" s="466">
        <v>2200</v>
      </c>
      <c r="BN2276" s="469"/>
      <c r="BP2276" s="451"/>
      <c r="BQ2276" s="470"/>
      <c r="BR2276" s="239"/>
      <c r="BU2276" s="470"/>
      <c r="BV2276" s="470"/>
      <c r="BZ2276" s="470"/>
      <c r="CA2276" s="470"/>
      <c r="CE2276" s="603"/>
      <c r="CF2276" s="603"/>
      <c r="CG2276" s="603"/>
      <c r="CH2276" s="603"/>
      <c r="DZ2276" s="239"/>
      <c r="EB2276" s="239"/>
      <c r="EH2276" s="239"/>
      <c r="FL2276" s="239"/>
      <c r="FU2276" s="471"/>
      <c r="JB2276" s="239"/>
    </row>
    <row r="2277" spans="1:262" s="245" customFormat="1" x14ac:dyDescent="0.25">
      <c r="A2277" s="245">
        <v>110</v>
      </c>
      <c r="B2277" s="246" t="s">
        <v>4284</v>
      </c>
      <c r="C2277" s="244" t="s">
        <v>2218</v>
      </c>
      <c r="D2277" s="245" t="s">
        <v>2308</v>
      </c>
      <c r="E2277" s="244">
        <v>1982</v>
      </c>
      <c r="F2277" s="245">
        <v>1977</v>
      </c>
      <c r="G2277" s="244" t="s">
        <v>1749</v>
      </c>
      <c r="H2277" s="244" t="s">
        <v>2309</v>
      </c>
      <c r="I2277" s="244" t="s">
        <v>2823</v>
      </c>
      <c r="J2277" s="245">
        <v>7.38</v>
      </c>
      <c r="K2277" s="245">
        <v>3.95</v>
      </c>
      <c r="L2277" s="244">
        <v>229.3</v>
      </c>
      <c r="M2277" s="244"/>
      <c r="O2277" s="244"/>
      <c r="R2277" s="245">
        <v>3</v>
      </c>
      <c r="S2277" s="244">
        <v>4</v>
      </c>
      <c r="U2277" s="245" t="s">
        <v>2310</v>
      </c>
      <c r="V2277" s="245" t="s">
        <v>1388</v>
      </c>
      <c r="W2277" s="245">
        <v>10</v>
      </c>
      <c r="X2277" s="245" t="s">
        <v>1382</v>
      </c>
      <c r="Y2277" s="245" t="s">
        <v>1382</v>
      </c>
      <c r="Z2277" s="245">
        <v>1.31</v>
      </c>
      <c r="AA2277" s="376">
        <v>69.3</v>
      </c>
      <c r="AB2277" s="376">
        <v>9.5</v>
      </c>
      <c r="AC2277" s="245" t="s">
        <v>240</v>
      </c>
      <c r="AE2277" s="245">
        <v>1.7</v>
      </c>
      <c r="AG2277" s="244" t="s">
        <v>2311</v>
      </c>
      <c r="AH2277" s="244" t="s">
        <v>2315</v>
      </c>
      <c r="AI2277" s="245" t="s">
        <v>1581</v>
      </c>
      <c r="AJ2277" s="244" t="s">
        <v>1645</v>
      </c>
      <c r="AK2277" s="245" t="s">
        <v>132</v>
      </c>
      <c r="AO2277" s="244"/>
      <c r="AT2277" s="244"/>
      <c r="AW2277" s="244" t="s">
        <v>160</v>
      </c>
      <c r="AX2277" s="245">
        <v>3</v>
      </c>
      <c r="AY2277" s="244"/>
      <c r="AZ2277" s="245" t="s">
        <v>141</v>
      </c>
      <c r="BD2277" s="245" t="s">
        <v>2323</v>
      </c>
      <c r="BF2277" s="245">
        <v>1300</v>
      </c>
      <c r="BG2277" s="245">
        <v>1000</v>
      </c>
      <c r="BJ2277" s="245" t="s">
        <v>2325</v>
      </c>
      <c r="BK2277" s="244">
        <v>1300</v>
      </c>
      <c r="BL2277" s="245">
        <v>2000</v>
      </c>
      <c r="BN2277" s="248"/>
      <c r="BP2277" s="437"/>
      <c r="BQ2277" s="437"/>
      <c r="BU2277" s="437"/>
      <c r="BV2277" s="437"/>
      <c r="BZ2277" s="437"/>
      <c r="CA2277" s="437"/>
      <c r="CE2277" s="598"/>
      <c r="CF2277" s="598"/>
      <c r="CG2277" s="598"/>
      <c r="CH2277" s="598"/>
      <c r="FU2277" s="246"/>
    </row>
    <row r="2278" spans="1:262" s="245" customFormat="1" x14ac:dyDescent="0.25">
      <c r="A2278" s="245">
        <v>110</v>
      </c>
      <c r="B2278" s="246" t="s">
        <v>4284</v>
      </c>
      <c r="C2278" s="244" t="s">
        <v>2218</v>
      </c>
      <c r="D2278" s="245" t="s">
        <v>2308</v>
      </c>
      <c r="E2278" s="244">
        <v>1982</v>
      </c>
      <c r="F2278" s="245">
        <v>1977</v>
      </c>
      <c r="G2278" s="244" t="s">
        <v>1749</v>
      </c>
      <c r="H2278" s="244" t="s">
        <v>2309</v>
      </c>
      <c r="I2278" s="244" t="s">
        <v>2823</v>
      </c>
      <c r="J2278" s="245">
        <v>7.38</v>
      </c>
      <c r="K2278" s="245">
        <v>3.95</v>
      </c>
      <c r="L2278" s="244">
        <v>229.3</v>
      </c>
      <c r="M2278" s="244"/>
      <c r="O2278" s="244"/>
      <c r="R2278" s="245">
        <v>3</v>
      </c>
      <c r="S2278" s="244">
        <v>4</v>
      </c>
      <c r="U2278" s="245" t="s">
        <v>2310</v>
      </c>
      <c r="V2278" s="245" t="s">
        <v>1388</v>
      </c>
      <c r="W2278" s="245">
        <v>10</v>
      </c>
      <c r="X2278" s="245" t="s">
        <v>1382</v>
      </c>
      <c r="Y2278" s="245" t="s">
        <v>1382</v>
      </c>
      <c r="Z2278" s="245">
        <v>1.31</v>
      </c>
      <c r="AA2278" s="376">
        <v>69.3</v>
      </c>
      <c r="AB2278" s="376">
        <v>9.5</v>
      </c>
      <c r="AC2278" s="245" t="s">
        <v>240</v>
      </c>
      <c r="AE2278" s="245">
        <v>1.7</v>
      </c>
      <c r="AG2278" s="244" t="s">
        <v>2311</v>
      </c>
      <c r="AH2278" s="244" t="s">
        <v>2316</v>
      </c>
      <c r="AI2278" s="245" t="s">
        <v>1581</v>
      </c>
      <c r="AJ2278" s="244" t="s">
        <v>1645</v>
      </c>
      <c r="AK2278" s="245" t="s">
        <v>132</v>
      </c>
      <c r="AO2278" s="244"/>
      <c r="AT2278" s="244"/>
      <c r="AW2278" s="244" t="s">
        <v>160</v>
      </c>
      <c r="AX2278" s="245">
        <v>3</v>
      </c>
      <c r="AY2278" s="244"/>
      <c r="AZ2278" s="245" t="s">
        <v>141</v>
      </c>
      <c r="BD2278" s="245" t="s">
        <v>2323</v>
      </c>
      <c r="BF2278" s="245">
        <v>1300</v>
      </c>
      <c r="BG2278" s="245">
        <v>800</v>
      </c>
      <c r="BJ2278" s="245" t="s">
        <v>2325</v>
      </c>
      <c r="BK2278" s="244">
        <v>1300</v>
      </c>
      <c r="BL2278" s="245">
        <v>200</v>
      </c>
      <c r="BN2278" s="248"/>
      <c r="BP2278" s="437"/>
      <c r="BQ2278" s="437"/>
      <c r="BU2278" s="437"/>
      <c r="BV2278" s="437"/>
      <c r="BZ2278" s="437"/>
      <c r="CA2278" s="437"/>
      <c r="CE2278" s="598"/>
      <c r="CF2278" s="598"/>
      <c r="CG2278" s="598"/>
      <c r="CH2278" s="598"/>
      <c r="FU2278" s="246"/>
    </row>
    <row r="2279" spans="1:262" s="245" customFormat="1" x14ac:dyDescent="0.25">
      <c r="A2279" s="245">
        <v>110</v>
      </c>
      <c r="B2279" s="246" t="s">
        <v>4284</v>
      </c>
      <c r="C2279" s="244" t="s">
        <v>2218</v>
      </c>
      <c r="D2279" s="245" t="s">
        <v>2308</v>
      </c>
      <c r="E2279" s="244">
        <v>1982</v>
      </c>
      <c r="F2279" s="245">
        <v>1977</v>
      </c>
      <c r="G2279" s="244" t="s">
        <v>1749</v>
      </c>
      <c r="H2279" s="244" t="s">
        <v>2309</v>
      </c>
      <c r="I2279" s="244" t="s">
        <v>2823</v>
      </c>
      <c r="J2279" s="245">
        <v>7.38</v>
      </c>
      <c r="K2279" s="245">
        <v>3.95</v>
      </c>
      <c r="L2279" s="244">
        <v>229.3</v>
      </c>
      <c r="M2279" s="244"/>
      <c r="O2279" s="244"/>
      <c r="R2279" s="245">
        <v>3</v>
      </c>
      <c r="S2279" s="244">
        <v>4</v>
      </c>
      <c r="U2279" s="245" t="s">
        <v>2310</v>
      </c>
      <c r="V2279" s="245" t="s">
        <v>1388</v>
      </c>
      <c r="W2279" s="245">
        <v>10</v>
      </c>
      <c r="X2279" s="245" t="s">
        <v>1382</v>
      </c>
      <c r="Y2279" s="245" t="s">
        <v>1382</v>
      </c>
      <c r="Z2279" s="245">
        <v>1.31</v>
      </c>
      <c r="AA2279" s="376">
        <v>69.3</v>
      </c>
      <c r="AB2279" s="376">
        <v>9.5</v>
      </c>
      <c r="AC2279" s="245" t="s">
        <v>240</v>
      </c>
      <c r="AE2279" s="245">
        <v>1.7</v>
      </c>
      <c r="AG2279" s="244" t="s">
        <v>2311</v>
      </c>
      <c r="AH2279" s="244" t="s">
        <v>2317</v>
      </c>
      <c r="AI2279" s="245" t="s">
        <v>1581</v>
      </c>
      <c r="AJ2279" s="244" t="s">
        <v>1645</v>
      </c>
      <c r="AK2279" s="245" t="s">
        <v>132</v>
      </c>
      <c r="AO2279" s="244"/>
      <c r="AT2279" s="244"/>
      <c r="AW2279" s="244" t="s">
        <v>160</v>
      </c>
      <c r="AX2279" s="245">
        <v>3</v>
      </c>
      <c r="AY2279" s="244"/>
      <c r="AZ2279" s="245" t="s">
        <v>141</v>
      </c>
      <c r="BD2279" s="245" t="s">
        <v>2323</v>
      </c>
      <c r="BJ2279" s="245" t="s">
        <v>2325</v>
      </c>
      <c r="BK2279" s="244"/>
      <c r="BN2279" s="248"/>
      <c r="BP2279" s="437"/>
      <c r="BQ2279" s="437"/>
      <c r="BU2279" s="437"/>
      <c r="BV2279" s="437"/>
      <c r="BZ2279" s="437"/>
      <c r="CA2279" s="437"/>
      <c r="CE2279" s="598"/>
      <c r="CF2279" s="598"/>
      <c r="CG2279" s="598"/>
      <c r="CH2279" s="598"/>
      <c r="FU2279" s="246"/>
    </row>
    <row r="2280" spans="1:262" s="472" customFormat="1" x14ac:dyDescent="0.25">
      <c r="A2280" s="472">
        <v>110</v>
      </c>
      <c r="B2280" s="477" t="s">
        <v>4284</v>
      </c>
      <c r="C2280" s="473" t="s">
        <v>2218</v>
      </c>
      <c r="D2280" s="472" t="s">
        <v>2308</v>
      </c>
      <c r="E2280" s="473">
        <v>1982</v>
      </c>
      <c r="F2280" s="245">
        <v>1977</v>
      </c>
      <c r="G2280" s="473" t="s">
        <v>1749</v>
      </c>
      <c r="H2280" s="473" t="s">
        <v>2309</v>
      </c>
      <c r="I2280" s="244" t="s">
        <v>2823</v>
      </c>
      <c r="J2280" s="472">
        <v>7.38</v>
      </c>
      <c r="K2280" s="472">
        <v>3.95</v>
      </c>
      <c r="L2280" s="473">
        <v>229.3</v>
      </c>
      <c r="M2280" s="473"/>
      <c r="O2280" s="473"/>
      <c r="R2280" s="472">
        <v>3</v>
      </c>
      <c r="S2280" s="473">
        <v>4</v>
      </c>
      <c r="U2280" s="472" t="s">
        <v>2310</v>
      </c>
      <c r="V2280" s="472" t="s">
        <v>1388</v>
      </c>
      <c r="W2280" s="472">
        <v>10</v>
      </c>
      <c r="X2280" s="472" t="s">
        <v>1382</v>
      </c>
      <c r="Y2280" s="472" t="s">
        <v>1382</v>
      </c>
      <c r="Z2280" s="472">
        <v>1.31</v>
      </c>
      <c r="AA2280" s="474">
        <v>69.3</v>
      </c>
      <c r="AB2280" s="474">
        <v>9.5</v>
      </c>
      <c r="AC2280" s="472" t="s">
        <v>240</v>
      </c>
      <c r="AE2280" s="472">
        <v>1.7</v>
      </c>
      <c r="AG2280" s="473" t="s">
        <v>2311</v>
      </c>
      <c r="AH2280" s="473" t="s">
        <v>2318</v>
      </c>
      <c r="AI2280" s="472" t="s">
        <v>577</v>
      </c>
      <c r="AJ2280" s="244" t="s">
        <v>1645</v>
      </c>
      <c r="AK2280" s="245" t="s">
        <v>132</v>
      </c>
      <c r="AO2280" s="473"/>
      <c r="AT2280" s="473"/>
      <c r="AW2280" s="473" t="s">
        <v>160</v>
      </c>
      <c r="AX2280" s="245">
        <v>3</v>
      </c>
      <c r="AY2280" s="473"/>
      <c r="AZ2280" s="245" t="s">
        <v>141</v>
      </c>
      <c r="BD2280" s="245" t="s">
        <v>2323</v>
      </c>
      <c r="BF2280" s="245">
        <v>1300</v>
      </c>
      <c r="BG2280" s="472">
        <v>6000</v>
      </c>
      <c r="BJ2280" s="472" t="s">
        <v>2325</v>
      </c>
      <c r="BK2280" s="244">
        <v>1300</v>
      </c>
      <c r="BL2280" s="472">
        <v>1900</v>
      </c>
      <c r="BN2280" s="475"/>
      <c r="BP2280" s="437"/>
      <c r="BQ2280" s="476"/>
      <c r="BR2280" s="245"/>
      <c r="BU2280" s="476"/>
      <c r="BV2280" s="476"/>
      <c r="BZ2280" s="476"/>
      <c r="CA2280" s="476"/>
      <c r="CE2280" s="604"/>
      <c r="CF2280" s="604"/>
      <c r="CG2280" s="604"/>
      <c r="CH2280" s="604"/>
      <c r="DZ2280" s="245"/>
      <c r="FU2280" s="477"/>
      <c r="JB2280" s="245"/>
    </row>
    <row r="2281" spans="1:262" s="472" customFormat="1" x14ac:dyDescent="0.25">
      <c r="A2281" s="472">
        <v>110</v>
      </c>
      <c r="B2281" s="477" t="s">
        <v>4284</v>
      </c>
      <c r="C2281" s="473" t="s">
        <v>2218</v>
      </c>
      <c r="D2281" s="472" t="s">
        <v>2308</v>
      </c>
      <c r="E2281" s="473">
        <v>1982</v>
      </c>
      <c r="F2281" s="245">
        <v>1977</v>
      </c>
      <c r="G2281" s="473" t="s">
        <v>1749</v>
      </c>
      <c r="H2281" s="473" t="s">
        <v>2309</v>
      </c>
      <c r="I2281" s="244" t="s">
        <v>2823</v>
      </c>
      <c r="J2281" s="472">
        <v>7.38</v>
      </c>
      <c r="K2281" s="472">
        <v>3.95</v>
      </c>
      <c r="L2281" s="473">
        <v>229.3</v>
      </c>
      <c r="M2281" s="473"/>
      <c r="O2281" s="473"/>
      <c r="R2281" s="472">
        <v>3</v>
      </c>
      <c r="S2281" s="473">
        <v>4</v>
      </c>
      <c r="U2281" s="472" t="s">
        <v>2310</v>
      </c>
      <c r="V2281" s="472" t="s">
        <v>1388</v>
      </c>
      <c r="W2281" s="472">
        <v>10</v>
      </c>
      <c r="X2281" s="472" t="s">
        <v>1382</v>
      </c>
      <c r="Y2281" s="472" t="s">
        <v>1382</v>
      </c>
      <c r="Z2281" s="472">
        <v>1.31</v>
      </c>
      <c r="AA2281" s="474">
        <v>69.3</v>
      </c>
      <c r="AB2281" s="474">
        <v>9.5</v>
      </c>
      <c r="AC2281" s="472" t="s">
        <v>240</v>
      </c>
      <c r="AE2281" s="472">
        <v>1.7</v>
      </c>
      <c r="AG2281" s="473" t="s">
        <v>2311</v>
      </c>
      <c r="AH2281" s="473" t="s">
        <v>2319</v>
      </c>
      <c r="AI2281" s="472" t="s">
        <v>577</v>
      </c>
      <c r="AJ2281" s="244" t="s">
        <v>1645</v>
      </c>
      <c r="AK2281" s="245" t="s">
        <v>132</v>
      </c>
      <c r="AO2281" s="473"/>
      <c r="AT2281" s="473"/>
      <c r="AW2281" s="473" t="s">
        <v>160</v>
      </c>
      <c r="AX2281" s="245">
        <v>3</v>
      </c>
      <c r="AY2281" s="473"/>
      <c r="AZ2281" s="245" t="s">
        <v>141</v>
      </c>
      <c r="BD2281" s="245" t="s">
        <v>2323</v>
      </c>
      <c r="BF2281" s="245">
        <v>1300</v>
      </c>
      <c r="BG2281" s="472">
        <v>6900</v>
      </c>
      <c r="BJ2281" s="472" t="s">
        <v>2325</v>
      </c>
      <c r="BK2281" s="244">
        <v>1300</v>
      </c>
      <c r="BL2281" s="472">
        <v>2800</v>
      </c>
      <c r="BN2281" s="475"/>
      <c r="BP2281" s="437"/>
      <c r="BQ2281" s="476"/>
      <c r="BR2281" s="245"/>
      <c r="BU2281" s="476"/>
      <c r="BV2281" s="476"/>
      <c r="BZ2281" s="476"/>
      <c r="CA2281" s="476"/>
      <c r="CE2281" s="604"/>
      <c r="CF2281" s="604"/>
      <c r="CG2281" s="604"/>
      <c r="CH2281" s="604"/>
      <c r="DZ2281" s="245"/>
      <c r="FU2281" s="477"/>
      <c r="JB2281" s="245"/>
    </row>
    <row r="2282" spans="1:262" s="472" customFormat="1" x14ac:dyDescent="0.25">
      <c r="A2282" s="472">
        <v>110</v>
      </c>
      <c r="B2282" s="477" t="s">
        <v>4284</v>
      </c>
      <c r="C2282" s="473" t="s">
        <v>2218</v>
      </c>
      <c r="D2282" s="472" t="s">
        <v>2308</v>
      </c>
      <c r="E2282" s="473">
        <v>1982</v>
      </c>
      <c r="F2282" s="245">
        <v>1977</v>
      </c>
      <c r="G2282" s="473" t="s">
        <v>1749</v>
      </c>
      <c r="H2282" s="473" t="s">
        <v>2309</v>
      </c>
      <c r="I2282" s="244" t="s">
        <v>2823</v>
      </c>
      <c r="J2282" s="472">
        <v>7.38</v>
      </c>
      <c r="K2282" s="472">
        <v>3.95</v>
      </c>
      <c r="L2282" s="473">
        <v>229.3</v>
      </c>
      <c r="M2282" s="473"/>
      <c r="O2282" s="473"/>
      <c r="R2282" s="472">
        <v>3</v>
      </c>
      <c r="S2282" s="473">
        <v>4</v>
      </c>
      <c r="U2282" s="472" t="s">
        <v>2310</v>
      </c>
      <c r="V2282" s="472" t="s">
        <v>1388</v>
      </c>
      <c r="W2282" s="472">
        <v>10</v>
      </c>
      <c r="X2282" s="472" t="s">
        <v>1382</v>
      </c>
      <c r="Y2282" s="472" t="s">
        <v>1382</v>
      </c>
      <c r="Z2282" s="472">
        <v>1.31</v>
      </c>
      <c r="AA2282" s="474">
        <v>69.3</v>
      </c>
      <c r="AB2282" s="474">
        <v>9.5</v>
      </c>
      <c r="AC2282" s="472" t="s">
        <v>240</v>
      </c>
      <c r="AE2282" s="472">
        <v>1.7</v>
      </c>
      <c r="AG2282" s="473" t="s">
        <v>2311</v>
      </c>
      <c r="AH2282" s="473" t="s">
        <v>2320</v>
      </c>
      <c r="AI2282" s="472" t="s">
        <v>577</v>
      </c>
      <c r="AJ2282" s="244" t="s">
        <v>1645</v>
      </c>
      <c r="AK2282" s="245" t="s">
        <v>132</v>
      </c>
      <c r="AO2282" s="473"/>
      <c r="AT2282" s="473"/>
      <c r="AW2282" s="473" t="s">
        <v>160</v>
      </c>
      <c r="AX2282" s="245">
        <v>3</v>
      </c>
      <c r="AY2282" s="473"/>
      <c r="AZ2282" s="245" t="s">
        <v>141</v>
      </c>
      <c r="BD2282" s="245" t="s">
        <v>2323</v>
      </c>
      <c r="BF2282" s="245">
        <v>1300</v>
      </c>
      <c r="BG2282" s="472">
        <v>2300</v>
      </c>
      <c r="BJ2282" s="472" t="s">
        <v>2325</v>
      </c>
      <c r="BK2282" s="244">
        <v>1300</v>
      </c>
      <c r="BL2282" s="472">
        <v>900</v>
      </c>
      <c r="BN2282" s="475"/>
      <c r="BP2282" s="437"/>
      <c r="BQ2282" s="476"/>
      <c r="BR2282" s="245"/>
      <c r="BU2282" s="476"/>
      <c r="BV2282" s="476"/>
      <c r="BZ2282" s="476"/>
      <c r="CA2282" s="476"/>
      <c r="CE2282" s="604"/>
      <c r="CF2282" s="604"/>
      <c r="CG2282" s="604"/>
      <c r="CH2282" s="604"/>
      <c r="DZ2282" s="245"/>
      <c r="FU2282" s="477"/>
      <c r="JB2282" s="245"/>
    </row>
    <row r="2283" spans="1:262" s="472" customFormat="1" x14ac:dyDescent="0.25">
      <c r="A2283" s="472">
        <v>110</v>
      </c>
      <c r="B2283" s="477" t="s">
        <v>4284</v>
      </c>
      <c r="C2283" s="473" t="s">
        <v>2218</v>
      </c>
      <c r="D2283" s="472" t="s">
        <v>2308</v>
      </c>
      <c r="E2283" s="473">
        <v>1982</v>
      </c>
      <c r="F2283" s="245">
        <v>1977</v>
      </c>
      <c r="G2283" s="473" t="s">
        <v>1749</v>
      </c>
      <c r="H2283" s="473" t="s">
        <v>2309</v>
      </c>
      <c r="I2283" s="244" t="s">
        <v>2823</v>
      </c>
      <c r="J2283" s="472">
        <v>7.38</v>
      </c>
      <c r="K2283" s="472">
        <v>3.95</v>
      </c>
      <c r="L2283" s="473">
        <v>229.3</v>
      </c>
      <c r="M2283" s="473"/>
      <c r="O2283" s="473"/>
      <c r="R2283" s="472">
        <v>3</v>
      </c>
      <c r="S2283" s="473">
        <v>4</v>
      </c>
      <c r="U2283" s="472" t="s">
        <v>2310</v>
      </c>
      <c r="V2283" s="472" t="s">
        <v>1388</v>
      </c>
      <c r="W2283" s="472">
        <v>10</v>
      </c>
      <c r="X2283" s="472" t="s">
        <v>1382</v>
      </c>
      <c r="Y2283" s="472" t="s">
        <v>1382</v>
      </c>
      <c r="Z2283" s="472">
        <v>1.31</v>
      </c>
      <c r="AA2283" s="474">
        <v>69.3</v>
      </c>
      <c r="AB2283" s="474">
        <v>9.5</v>
      </c>
      <c r="AC2283" s="472" t="s">
        <v>240</v>
      </c>
      <c r="AE2283" s="472">
        <v>1.7</v>
      </c>
      <c r="AG2283" s="473" t="s">
        <v>2311</v>
      </c>
      <c r="AH2283" s="473" t="s">
        <v>2321</v>
      </c>
      <c r="AI2283" s="472" t="s">
        <v>577</v>
      </c>
      <c r="AJ2283" s="244" t="s">
        <v>1645</v>
      </c>
      <c r="AK2283" s="245" t="s">
        <v>132</v>
      </c>
      <c r="AO2283" s="473"/>
      <c r="AT2283" s="473"/>
      <c r="AW2283" s="473" t="s">
        <v>160</v>
      </c>
      <c r="AX2283" s="245">
        <v>3</v>
      </c>
      <c r="AY2283" s="473"/>
      <c r="AZ2283" s="245" t="s">
        <v>141</v>
      </c>
      <c r="BD2283" s="245" t="s">
        <v>2323</v>
      </c>
      <c r="BF2283" s="245">
        <v>1300</v>
      </c>
      <c r="BG2283" s="472">
        <v>5000</v>
      </c>
      <c r="BJ2283" s="472" t="s">
        <v>2325</v>
      </c>
      <c r="BK2283" s="244">
        <v>1300</v>
      </c>
      <c r="BL2283" s="472">
        <v>2200</v>
      </c>
      <c r="BN2283" s="475"/>
      <c r="BP2283" s="437"/>
      <c r="BQ2283" s="476"/>
      <c r="BR2283" s="245"/>
      <c r="BU2283" s="476"/>
      <c r="BV2283" s="476"/>
      <c r="BZ2283" s="476"/>
      <c r="CA2283" s="476"/>
      <c r="CE2283" s="604"/>
      <c r="CF2283" s="604"/>
      <c r="CG2283" s="604"/>
      <c r="CH2283" s="604"/>
      <c r="DZ2283" s="245"/>
      <c r="FU2283" s="477"/>
      <c r="JB2283" s="245"/>
    </row>
    <row r="2284" spans="1:262" s="472" customFormat="1" x14ac:dyDescent="0.25">
      <c r="A2284" s="472">
        <v>110</v>
      </c>
      <c r="B2284" s="477" t="s">
        <v>4284</v>
      </c>
      <c r="C2284" s="473" t="s">
        <v>2218</v>
      </c>
      <c r="D2284" s="472" t="s">
        <v>2308</v>
      </c>
      <c r="E2284" s="473">
        <v>1982</v>
      </c>
      <c r="F2284" s="245">
        <v>1977</v>
      </c>
      <c r="G2284" s="473" t="s">
        <v>1749</v>
      </c>
      <c r="H2284" s="473" t="s">
        <v>2309</v>
      </c>
      <c r="I2284" s="244" t="s">
        <v>2823</v>
      </c>
      <c r="J2284" s="472">
        <v>7.38</v>
      </c>
      <c r="K2284" s="472">
        <v>3.95</v>
      </c>
      <c r="L2284" s="473">
        <v>229.3</v>
      </c>
      <c r="M2284" s="473"/>
      <c r="O2284" s="473"/>
      <c r="R2284" s="472">
        <v>3</v>
      </c>
      <c r="S2284" s="473">
        <v>4</v>
      </c>
      <c r="U2284" s="472" t="s">
        <v>2310</v>
      </c>
      <c r="V2284" s="472" t="s">
        <v>1388</v>
      </c>
      <c r="W2284" s="472">
        <v>10</v>
      </c>
      <c r="X2284" s="472" t="s">
        <v>1382</v>
      </c>
      <c r="Y2284" s="472" t="s">
        <v>1382</v>
      </c>
      <c r="Z2284" s="472">
        <v>1.31</v>
      </c>
      <c r="AA2284" s="474">
        <v>69.3</v>
      </c>
      <c r="AB2284" s="474">
        <v>9.5</v>
      </c>
      <c r="AC2284" s="472" t="s">
        <v>240</v>
      </c>
      <c r="AE2284" s="472">
        <v>1.7</v>
      </c>
      <c r="AG2284" s="473" t="s">
        <v>2311</v>
      </c>
      <c r="AH2284" s="473" t="s">
        <v>2322</v>
      </c>
      <c r="AI2284" s="472" t="s">
        <v>577</v>
      </c>
      <c r="AJ2284" s="244" t="s">
        <v>1645</v>
      </c>
      <c r="AK2284" s="245" t="s">
        <v>132</v>
      </c>
      <c r="AO2284" s="473"/>
      <c r="AT2284" s="473"/>
      <c r="AW2284" s="473" t="s">
        <v>160</v>
      </c>
      <c r="AX2284" s="245">
        <v>3</v>
      </c>
      <c r="AY2284" s="473"/>
      <c r="AZ2284" s="245" t="s">
        <v>141</v>
      </c>
      <c r="BD2284" s="245" t="s">
        <v>2323</v>
      </c>
      <c r="BF2284" s="245">
        <v>1300</v>
      </c>
      <c r="BG2284" s="472">
        <v>3600</v>
      </c>
      <c r="BJ2284" s="472" t="s">
        <v>2325</v>
      </c>
      <c r="BK2284" s="244">
        <v>1300</v>
      </c>
      <c r="BL2284" s="472">
        <v>1800</v>
      </c>
      <c r="BN2284" s="475"/>
      <c r="BP2284" s="437"/>
      <c r="BQ2284" s="476"/>
      <c r="BR2284" s="245"/>
      <c r="BU2284" s="476"/>
      <c r="BV2284" s="476"/>
      <c r="BZ2284" s="476"/>
      <c r="CA2284" s="476"/>
      <c r="CE2284" s="604"/>
      <c r="CF2284" s="604"/>
      <c r="CG2284" s="604"/>
      <c r="CH2284" s="604"/>
      <c r="DZ2284" s="245"/>
      <c r="FU2284" s="477"/>
      <c r="JB2284" s="245"/>
    </row>
    <row r="2285" spans="1:262" s="239" customFormat="1" x14ac:dyDescent="0.25">
      <c r="A2285" s="239">
        <v>110</v>
      </c>
      <c r="B2285" s="240" t="s">
        <v>4285</v>
      </c>
      <c r="C2285" s="238" t="s">
        <v>2218</v>
      </c>
      <c r="D2285" s="239" t="s">
        <v>2308</v>
      </c>
      <c r="E2285" s="238">
        <v>1982</v>
      </c>
      <c r="F2285" s="239">
        <v>1977</v>
      </c>
      <c r="G2285" s="238" t="s">
        <v>1749</v>
      </c>
      <c r="H2285" s="238" t="s">
        <v>2309</v>
      </c>
      <c r="I2285" s="244" t="s">
        <v>2823</v>
      </c>
      <c r="J2285" s="239">
        <v>7.38</v>
      </c>
      <c r="K2285" s="239">
        <v>3.95</v>
      </c>
      <c r="L2285" s="238">
        <v>229.3</v>
      </c>
      <c r="M2285" s="238"/>
      <c r="O2285" s="238"/>
      <c r="R2285" s="239">
        <v>3</v>
      </c>
      <c r="S2285" s="238">
        <v>4</v>
      </c>
      <c r="U2285" s="239" t="s">
        <v>2310</v>
      </c>
      <c r="V2285" s="239" t="s">
        <v>1388</v>
      </c>
      <c r="W2285" s="239">
        <v>10</v>
      </c>
      <c r="X2285" s="239" t="s">
        <v>1382</v>
      </c>
      <c r="Y2285" s="239" t="s">
        <v>1382</v>
      </c>
      <c r="Z2285" s="239">
        <v>1.31</v>
      </c>
      <c r="AA2285" s="374">
        <v>69.3</v>
      </c>
      <c r="AB2285" s="374">
        <v>9.5</v>
      </c>
      <c r="AC2285" s="239" t="s">
        <v>240</v>
      </c>
      <c r="AE2285" s="239">
        <v>1.7</v>
      </c>
      <c r="AG2285" s="238" t="s">
        <v>2311</v>
      </c>
      <c r="AH2285" s="238" t="s">
        <v>2315</v>
      </c>
      <c r="AI2285" s="239" t="s">
        <v>1581</v>
      </c>
      <c r="AJ2285" s="238" t="s">
        <v>2326</v>
      </c>
      <c r="AK2285" s="239" t="s">
        <v>229</v>
      </c>
      <c r="AO2285" s="238"/>
      <c r="AT2285" s="238"/>
      <c r="AW2285" s="238" t="s">
        <v>160</v>
      </c>
      <c r="AX2285" s="239">
        <v>3</v>
      </c>
      <c r="AY2285" s="238"/>
      <c r="AZ2285" s="239" t="s">
        <v>141</v>
      </c>
      <c r="BD2285" s="239" t="s">
        <v>2323</v>
      </c>
      <c r="BK2285" s="238">
        <v>174</v>
      </c>
      <c r="BL2285" s="239">
        <v>821</v>
      </c>
      <c r="BN2285" s="242"/>
      <c r="BO2285" s="239" t="s">
        <v>2329</v>
      </c>
      <c r="BP2285" s="451"/>
      <c r="BQ2285" s="451"/>
      <c r="BU2285" s="451"/>
      <c r="BV2285" s="451"/>
      <c r="BZ2285" s="451"/>
      <c r="CA2285" s="451"/>
      <c r="CE2285" s="597"/>
      <c r="CF2285" s="597"/>
      <c r="CG2285" s="597"/>
      <c r="CH2285" s="597"/>
      <c r="FU2285" s="240"/>
    </row>
    <row r="2286" spans="1:262" s="239" customFormat="1" x14ac:dyDescent="0.25">
      <c r="A2286" s="239">
        <v>110</v>
      </c>
      <c r="B2286" s="240" t="s">
        <v>4285</v>
      </c>
      <c r="C2286" s="238" t="s">
        <v>2218</v>
      </c>
      <c r="D2286" s="239" t="s">
        <v>2308</v>
      </c>
      <c r="E2286" s="238">
        <v>1982</v>
      </c>
      <c r="F2286" s="239">
        <v>1977</v>
      </c>
      <c r="G2286" s="238" t="s">
        <v>1749</v>
      </c>
      <c r="H2286" s="238" t="s">
        <v>2309</v>
      </c>
      <c r="I2286" s="244" t="s">
        <v>2823</v>
      </c>
      <c r="J2286" s="239">
        <v>7.38</v>
      </c>
      <c r="K2286" s="239">
        <v>3.95</v>
      </c>
      <c r="L2286" s="238">
        <v>229.3</v>
      </c>
      <c r="M2286" s="238"/>
      <c r="O2286" s="238"/>
      <c r="R2286" s="239">
        <v>3</v>
      </c>
      <c r="S2286" s="238">
        <v>4</v>
      </c>
      <c r="U2286" s="239" t="s">
        <v>2310</v>
      </c>
      <c r="V2286" s="239" t="s">
        <v>1388</v>
      </c>
      <c r="W2286" s="239">
        <v>10</v>
      </c>
      <c r="X2286" s="239" t="s">
        <v>1382</v>
      </c>
      <c r="Y2286" s="239" t="s">
        <v>1382</v>
      </c>
      <c r="Z2286" s="239">
        <v>1.31</v>
      </c>
      <c r="AA2286" s="374">
        <v>69.3</v>
      </c>
      <c r="AB2286" s="374">
        <v>9.5</v>
      </c>
      <c r="AC2286" s="239" t="s">
        <v>240</v>
      </c>
      <c r="AE2286" s="239">
        <v>1.7</v>
      </c>
      <c r="AG2286" s="238" t="s">
        <v>2311</v>
      </c>
      <c r="AH2286" s="238" t="s">
        <v>2316</v>
      </c>
      <c r="AI2286" s="239" t="s">
        <v>1581</v>
      </c>
      <c r="AJ2286" s="238" t="s">
        <v>2326</v>
      </c>
      <c r="AK2286" s="239" t="s">
        <v>229</v>
      </c>
      <c r="AO2286" s="238"/>
      <c r="AT2286" s="238"/>
      <c r="AW2286" s="238" t="s">
        <v>160</v>
      </c>
      <c r="AX2286" s="239">
        <v>3</v>
      </c>
      <c r="AY2286" s="238"/>
      <c r="AZ2286" s="239" t="s">
        <v>141</v>
      </c>
      <c r="BD2286" s="239" t="s">
        <v>2323</v>
      </c>
      <c r="BK2286" s="238">
        <v>174</v>
      </c>
      <c r="BL2286" s="239">
        <v>96</v>
      </c>
      <c r="BN2286" s="242"/>
      <c r="BO2286" s="239" t="s">
        <v>2329</v>
      </c>
      <c r="BP2286" s="451"/>
      <c r="BQ2286" s="451"/>
      <c r="BU2286" s="451"/>
      <c r="BV2286" s="451"/>
      <c r="BZ2286" s="451"/>
      <c r="CA2286" s="451"/>
      <c r="CE2286" s="597"/>
      <c r="CF2286" s="597"/>
      <c r="CG2286" s="597"/>
      <c r="CH2286" s="597"/>
      <c r="FU2286" s="240"/>
    </row>
    <row r="2287" spans="1:262" s="239" customFormat="1" x14ac:dyDescent="0.25">
      <c r="A2287" s="239">
        <v>110</v>
      </c>
      <c r="B2287" s="240" t="s">
        <v>4285</v>
      </c>
      <c r="C2287" s="238" t="s">
        <v>2218</v>
      </c>
      <c r="D2287" s="239" t="s">
        <v>2308</v>
      </c>
      <c r="E2287" s="238">
        <v>1982</v>
      </c>
      <c r="F2287" s="239">
        <v>1977</v>
      </c>
      <c r="G2287" s="238" t="s">
        <v>1749</v>
      </c>
      <c r="H2287" s="238" t="s">
        <v>2309</v>
      </c>
      <c r="I2287" s="244" t="s">
        <v>2823</v>
      </c>
      <c r="J2287" s="239">
        <v>7.38</v>
      </c>
      <c r="K2287" s="239">
        <v>3.95</v>
      </c>
      <c r="L2287" s="238">
        <v>229.3</v>
      </c>
      <c r="M2287" s="238"/>
      <c r="O2287" s="238"/>
      <c r="R2287" s="239">
        <v>3</v>
      </c>
      <c r="S2287" s="238">
        <v>4</v>
      </c>
      <c r="U2287" s="239" t="s">
        <v>2310</v>
      </c>
      <c r="V2287" s="239" t="s">
        <v>1388</v>
      </c>
      <c r="W2287" s="239">
        <v>10</v>
      </c>
      <c r="X2287" s="239" t="s">
        <v>1382</v>
      </c>
      <c r="Y2287" s="239" t="s">
        <v>1382</v>
      </c>
      <c r="Z2287" s="239">
        <v>1.31</v>
      </c>
      <c r="AA2287" s="374">
        <v>69.3</v>
      </c>
      <c r="AB2287" s="374">
        <v>9.5</v>
      </c>
      <c r="AC2287" s="239" t="s">
        <v>240</v>
      </c>
      <c r="AE2287" s="239">
        <v>1.7</v>
      </c>
      <c r="AG2287" s="238" t="s">
        <v>2311</v>
      </c>
      <c r="AH2287" s="238" t="s">
        <v>2317</v>
      </c>
      <c r="AI2287" s="239" t="s">
        <v>1581</v>
      </c>
      <c r="AJ2287" s="238" t="s">
        <v>2326</v>
      </c>
      <c r="AK2287" s="239" t="s">
        <v>229</v>
      </c>
      <c r="AO2287" s="238"/>
      <c r="AT2287" s="238"/>
      <c r="AW2287" s="238" t="s">
        <v>160</v>
      </c>
      <c r="AX2287" s="239">
        <v>3</v>
      </c>
      <c r="AY2287" s="238"/>
      <c r="AZ2287" s="239" t="s">
        <v>141</v>
      </c>
      <c r="BD2287" s="239" t="s">
        <v>2323</v>
      </c>
      <c r="BK2287" s="238"/>
      <c r="BN2287" s="242"/>
      <c r="BO2287" s="239" t="s">
        <v>2329</v>
      </c>
      <c r="BP2287" s="451"/>
      <c r="BQ2287" s="451"/>
      <c r="BU2287" s="451"/>
      <c r="BV2287" s="451"/>
      <c r="BZ2287" s="451"/>
      <c r="CA2287" s="451"/>
      <c r="CE2287" s="597"/>
      <c r="CF2287" s="597"/>
      <c r="CG2287" s="597"/>
      <c r="CH2287" s="597"/>
      <c r="FU2287" s="240"/>
    </row>
    <row r="2288" spans="1:262" s="466" customFormat="1" x14ac:dyDescent="0.25">
      <c r="A2288" s="466">
        <v>110</v>
      </c>
      <c r="B2288" s="471" t="s">
        <v>4286</v>
      </c>
      <c r="C2288" s="467" t="s">
        <v>2218</v>
      </c>
      <c r="D2288" s="466" t="s">
        <v>2308</v>
      </c>
      <c r="E2288" s="467">
        <v>1982</v>
      </c>
      <c r="F2288" s="239">
        <v>1977</v>
      </c>
      <c r="G2288" s="467" t="s">
        <v>1749</v>
      </c>
      <c r="H2288" s="467" t="s">
        <v>2309</v>
      </c>
      <c r="I2288" s="244" t="s">
        <v>2823</v>
      </c>
      <c r="J2288" s="466">
        <v>7.38</v>
      </c>
      <c r="K2288" s="466">
        <v>3.95</v>
      </c>
      <c r="L2288" s="467">
        <v>229.3</v>
      </c>
      <c r="M2288" s="467"/>
      <c r="O2288" s="467"/>
      <c r="R2288" s="466">
        <v>3</v>
      </c>
      <c r="S2288" s="467">
        <v>4</v>
      </c>
      <c r="U2288" s="466" t="s">
        <v>2310</v>
      </c>
      <c r="V2288" s="466" t="s">
        <v>1388</v>
      </c>
      <c r="W2288" s="466">
        <v>10</v>
      </c>
      <c r="X2288" s="466" t="s">
        <v>1382</v>
      </c>
      <c r="Y2288" s="466" t="s">
        <v>1382</v>
      </c>
      <c r="Z2288" s="466">
        <v>1.31</v>
      </c>
      <c r="AA2288" s="468">
        <v>69.3</v>
      </c>
      <c r="AB2288" s="468">
        <v>9.5</v>
      </c>
      <c r="AC2288" s="466" t="s">
        <v>240</v>
      </c>
      <c r="AE2288" s="466">
        <v>1.7</v>
      </c>
      <c r="AG2288" s="467" t="s">
        <v>2311</v>
      </c>
      <c r="AH2288" s="467" t="s">
        <v>2318</v>
      </c>
      <c r="AI2288" s="466" t="s">
        <v>577</v>
      </c>
      <c r="AJ2288" s="238" t="s">
        <v>2326</v>
      </c>
      <c r="AK2288" s="239" t="s">
        <v>229</v>
      </c>
      <c r="AO2288" s="467"/>
      <c r="AT2288" s="467"/>
      <c r="AW2288" s="467" t="s">
        <v>160</v>
      </c>
      <c r="AX2288" s="239">
        <v>3</v>
      </c>
      <c r="AY2288" s="467"/>
      <c r="AZ2288" s="239" t="s">
        <v>141</v>
      </c>
      <c r="BD2288" s="239" t="s">
        <v>2323</v>
      </c>
      <c r="BF2288" s="239"/>
      <c r="BK2288" s="238">
        <v>174</v>
      </c>
      <c r="BL2288" s="466">
        <v>359</v>
      </c>
      <c r="BN2288" s="469"/>
      <c r="BO2288" s="239" t="s">
        <v>2329</v>
      </c>
      <c r="BP2288" s="451"/>
      <c r="BQ2288" s="470"/>
      <c r="BR2288" s="239"/>
      <c r="BU2288" s="470"/>
      <c r="BV2288" s="470"/>
      <c r="BZ2288" s="470"/>
      <c r="CA2288" s="470"/>
      <c r="CE2288" s="603"/>
      <c r="CF2288" s="603"/>
      <c r="CG2288" s="603"/>
      <c r="CH2288" s="603"/>
      <c r="DZ2288" s="239"/>
      <c r="FU2288" s="471"/>
      <c r="JB2288" s="239"/>
    </row>
    <row r="2289" spans="1:262" s="466" customFormat="1" x14ac:dyDescent="0.25">
      <c r="A2289" s="466">
        <v>110</v>
      </c>
      <c r="B2289" s="471" t="s">
        <v>4286</v>
      </c>
      <c r="C2289" s="467" t="s">
        <v>2218</v>
      </c>
      <c r="D2289" s="466" t="s">
        <v>2308</v>
      </c>
      <c r="E2289" s="467">
        <v>1982</v>
      </c>
      <c r="F2289" s="239">
        <v>1977</v>
      </c>
      <c r="G2289" s="467" t="s">
        <v>1749</v>
      </c>
      <c r="H2289" s="467" t="s">
        <v>2309</v>
      </c>
      <c r="I2289" s="244" t="s">
        <v>2823</v>
      </c>
      <c r="J2289" s="466">
        <v>7.38</v>
      </c>
      <c r="K2289" s="466">
        <v>3.95</v>
      </c>
      <c r="L2289" s="467">
        <v>229.3</v>
      </c>
      <c r="M2289" s="467"/>
      <c r="O2289" s="467"/>
      <c r="R2289" s="466">
        <v>3</v>
      </c>
      <c r="S2289" s="467">
        <v>4</v>
      </c>
      <c r="U2289" s="466" t="s">
        <v>2310</v>
      </c>
      <c r="V2289" s="466" t="s">
        <v>1388</v>
      </c>
      <c r="W2289" s="466">
        <v>10</v>
      </c>
      <c r="X2289" s="466" t="s">
        <v>1382</v>
      </c>
      <c r="Y2289" s="466" t="s">
        <v>1382</v>
      </c>
      <c r="Z2289" s="466">
        <v>1.31</v>
      </c>
      <c r="AA2289" s="468">
        <v>69.3</v>
      </c>
      <c r="AB2289" s="468">
        <v>9.5</v>
      </c>
      <c r="AC2289" s="466" t="s">
        <v>240</v>
      </c>
      <c r="AE2289" s="466">
        <v>1.7</v>
      </c>
      <c r="AG2289" s="467" t="s">
        <v>2311</v>
      </c>
      <c r="AH2289" s="467" t="s">
        <v>2319</v>
      </c>
      <c r="AI2289" s="466" t="s">
        <v>577</v>
      </c>
      <c r="AJ2289" s="238" t="s">
        <v>2326</v>
      </c>
      <c r="AK2289" s="239" t="s">
        <v>229</v>
      </c>
      <c r="AO2289" s="467"/>
      <c r="AT2289" s="467"/>
      <c r="AW2289" s="467" t="s">
        <v>160</v>
      </c>
      <c r="AX2289" s="239">
        <v>3</v>
      </c>
      <c r="AY2289" s="467"/>
      <c r="AZ2289" s="239" t="s">
        <v>141</v>
      </c>
      <c r="BD2289" s="239" t="s">
        <v>2323</v>
      </c>
      <c r="BF2289" s="239"/>
      <c r="BK2289" s="238">
        <v>174</v>
      </c>
      <c r="BL2289" s="466">
        <v>629</v>
      </c>
      <c r="BN2289" s="469"/>
      <c r="BO2289" s="239" t="s">
        <v>2329</v>
      </c>
      <c r="BP2289" s="451"/>
      <c r="BQ2289" s="470"/>
      <c r="BR2289" s="239"/>
      <c r="BU2289" s="470"/>
      <c r="BV2289" s="470"/>
      <c r="BZ2289" s="470"/>
      <c r="CA2289" s="470"/>
      <c r="CE2289" s="603"/>
      <c r="CF2289" s="603"/>
      <c r="CG2289" s="603"/>
      <c r="CH2289" s="603"/>
      <c r="DZ2289" s="239"/>
      <c r="FU2289" s="471"/>
      <c r="JB2289" s="239"/>
    </row>
    <row r="2290" spans="1:262" s="466" customFormat="1" x14ac:dyDescent="0.25">
      <c r="A2290" s="466">
        <v>110</v>
      </c>
      <c r="B2290" s="471" t="s">
        <v>4286</v>
      </c>
      <c r="C2290" s="467" t="s">
        <v>2218</v>
      </c>
      <c r="D2290" s="466" t="s">
        <v>2308</v>
      </c>
      <c r="E2290" s="467">
        <v>1982</v>
      </c>
      <c r="F2290" s="239">
        <v>1977</v>
      </c>
      <c r="G2290" s="467" t="s">
        <v>1749</v>
      </c>
      <c r="H2290" s="467" t="s">
        <v>2309</v>
      </c>
      <c r="I2290" s="244" t="s">
        <v>2823</v>
      </c>
      <c r="J2290" s="466">
        <v>7.38</v>
      </c>
      <c r="K2290" s="466">
        <v>3.95</v>
      </c>
      <c r="L2290" s="467">
        <v>229.3</v>
      </c>
      <c r="M2290" s="467"/>
      <c r="O2290" s="467"/>
      <c r="R2290" s="466">
        <v>3</v>
      </c>
      <c r="S2290" s="467">
        <v>4</v>
      </c>
      <c r="U2290" s="466" t="s">
        <v>2310</v>
      </c>
      <c r="V2290" s="466" t="s">
        <v>1388</v>
      </c>
      <c r="W2290" s="466">
        <v>10</v>
      </c>
      <c r="X2290" s="466" t="s">
        <v>1382</v>
      </c>
      <c r="Y2290" s="466" t="s">
        <v>1382</v>
      </c>
      <c r="Z2290" s="466">
        <v>1.31</v>
      </c>
      <c r="AA2290" s="468">
        <v>69.3</v>
      </c>
      <c r="AB2290" s="468">
        <v>9.5</v>
      </c>
      <c r="AC2290" s="466" t="s">
        <v>240</v>
      </c>
      <c r="AE2290" s="466">
        <v>1.7</v>
      </c>
      <c r="AG2290" s="467" t="s">
        <v>2311</v>
      </c>
      <c r="AH2290" s="467" t="s">
        <v>2320</v>
      </c>
      <c r="AI2290" s="466" t="s">
        <v>577</v>
      </c>
      <c r="AJ2290" s="238" t="s">
        <v>2326</v>
      </c>
      <c r="AK2290" s="239" t="s">
        <v>229</v>
      </c>
      <c r="AO2290" s="467"/>
      <c r="AT2290" s="467"/>
      <c r="AW2290" s="467" t="s">
        <v>160</v>
      </c>
      <c r="AX2290" s="239">
        <v>3</v>
      </c>
      <c r="AY2290" s="467"/>
      <c r="AZ2290" s="239" t="s">
        <v>141</v>
      </c>
      <c r="BD2290" s="239" t="s">
        <v>2323</v>
      </c>
      <c r="BF2290" s="239"/>
      <c r="BK2290" s="238">
        <v>174</v>
      </c>
      <c r="BL2290" s="466">
        <v>457</v>
      </c>
      <c r="BN2290" s="469"/>
      <c r="BO2290" s="239" t="s">
        <v>2329</v>
      </c>
      <c r="BP2290" s="451"/>
      <c r="BQ2290" s="470"/>
      <c r="BR2290" s="239"/>
      <c r="BU2290" s="470"/>
      <c r="BV2290" s="470"/>
      <c r="BZ2290" s="470"/>
      <c r="CA2290" s="470"/>
      <c r="CE2290" s="603"/>
      <c r="CF2290" s="603"/>
      <c r="CG2290" s="603"/>
      <c r="CH2290" s="603"/>
      <c r="DZ2290" s="239"/>
      <c r="FU2290" s="471"/>
      <c r="JB2290" s="239"/>
    </row>
    <row r="2291" spans="1:262" s="466" customFormat="1" x14ac:dyDescent="0.25">
      <c r="A2291" s="466">
        <v>110</v>
      </c>
      <c r="B2291" s="471" t="s">
        <v>4286</v>
      </c>
      <c r="C2291" s="467" t="s">
        <v>2218</v>
      </c>
      <c r="D2291" s="466" t="s">
        <v>2308</v>
      </c>
      <c r="E2291" s="467">
        <v>1982</v>
      </c>
      <c r="F2291" s="239">
        <v>1977</v>
      </c>
      <c r="G2291" s="467" t="s">
        <v>1749</v>
      </c>
      <c r="H2291" s="467" t="s">
        <v>2309</v>
      </c>
      <c r="I2291" s="244" t="s">
        <v>2823</v>
      </c>
      <c r="J2291" s="466">
        <v>7.38</v>
      </c>
      <c r="K2291" s="466">
        <v>3.95</v>
      </c>
      <c r="L2291" s="467">
        <v>229.3</v>
      </c>
      <c r="M2291" s="467"/>
      <c r="O2291" s="467"/>
      <c r="R2291" s="466">
        <v>3</v>
      </c>
      <c r="S2291" s="467">
        <v>4</v>
      </c>
      <c r="U2291" s="466" t="s">
        <v>2310</v>
      </c>
      <c r="V2291" s="466" t="s">
        <v>1388</v>
      </c>
      <c r="W2291" s="466">
        <v>10</v>
      </c>
      <c r="X2291" s="466" t="s">
        <v>1382</v>
      </c>
      <c r="Y2291" s="466" t="s">
        <v>1382</v>
      </c>
      <c r="Z2291" s="466">
        <v>1.31</v>
      </c>
      <c r="AA2291" s="468">
        <v>69.3</v>
      </c>
      <c r="AB2291" s="468">
        <v>9.5</v>
      </c>
      <c r="AC2291" s="466" t="s">
        <v>240</v>
      </c>
      <c r="AE2291" s="466">
        <v>1.7</v>
      </c>
      <c r="AG2291" s="467" t="s">
        <v>2311</v>
      </c>
      <c r="AH2291" s="467" t="s">
        <v>2321</v>
      </c>
      <c r="AI2291" s="466" t="s">
        <v>577</v>
      </c>
      <c r="AJ2291" s="238" t="s">
        <v>2326</v>
      </c>
      <c r="AK2291" s="239" t="s">
        <v>229</v>
      </c>
      <c r="AO2291" s="467"/>
      <c r="AT2291" s="467"/>
      <c r="AW2291" s="467" t="s">
        <v>160</v>
      </c>
      <c r="AX2291" s="239">
        <v>3</v>
      </c>
      <c r="AY2291" s="467"/>
      <c r="AZ2291" s="239" t="s">
        <v>141</v>
      </c>
      <c r="BD2291" s="239" t="s">
        <v>2323</v>
      </c>
      <c r="BF2291" s="239"/>
      <c r="BK2291" s="238">
        <v>174</v>
      </c>
      <c r="BL2291" s="466">
        <v>711</v>
      </c>
      <c r="BN2291" s="469"/>
      <c r="BO2291" s="239" t="s">
        <v>2329</v>
      </c>
      <c r="BP2291" s="451"/>
      <c r="BQ2291" s="470"/>
      <c r="BR2291" s="239"/>
      <c r="BU2291" s="470"/>
      <c r="BV2291" s="470"/>
      <c r="BZ2291" s="470"/>
      <c r="CA2291" s="470"/>
      <c r="CE2291" s="603"/>
      <c r="CF2291" s="603"/>
      <c r="CG2291" s="603"/>
      <c r="CH2291" s="603"/>
      <c r="DZ2291" s="239"/>
      <c r="FU2291" s="471"/>
      <c r="JB2291" s="239"/>
    </row>
    <row r="2292" spans="1:262" s="466" customFormat="1" x14ac:dyDescent="0.25">
      <c r="A2292" s="466">
        <v>110</v>
      </c>
      <c r="B2292" s="471" t="s">
        <v>4286</v>
      </c>
      <c r="C2292" s="467" t="s">
        <v>2218</v>
      </c>
      <c r="D2292" s="466" t="s">
        <v>2308</v>
      </c>
      <c r="E2292" s="467">
        <v>1982</v>
      </c>
      <c r="F2292" s="239">
        <v>1977</v>
      </c>
      <c r="G2292" s="467" t="s">
        <v>1749</v>
      </c>
      <c r="H2292" s="467" t="s">
        <v>2309</v>
      </c>
      <c r="I2292" s="244" t="s">
        <v>2823</v>
      </c>
      <c r="J2292" s="466">
        <v>7.38</v>
      </c>
      <c r="K2292" s="466">
        <v>3.95</v>
      </c>
      <c r="L2292" s="467">
        <v>229.3</v>
      </c>
      <c r="M2292" s="467"/>
      <c r="O2292" s="467"/>
      <c r="R2292" s="466">
        <v>3</v>
      </c>
      <c r="S2292" s="467">
        <v>4</v>
      </c>
      <c r="U2292" s="466" t="s">
        <v>2310</v>
      </c>
      <c r="V2292" s="466" t="s">
        <v>1388</v>
      </c>
      <c r="W2292" s="466">
        <v>10</v>
      </c>
      <c r="X2292" s="466" t="s">
        <v>1382</v>
      </c>
      <c r="Y2292" s="466" t="s">
        <v>1382</v>
      </c>
      <c r="Z2292" s="466">
        <v>1.31</v>
      </c>
      <c r="AA2292" s="468">
        <v>69.3</v>
      </c>
      <c r="AB2292" s="468">
        <v>9.5</v>
      </c>
      <c r="AC2292" s="466" t="s">
        <v>240</v>
      </c>
      <c r="AE2292" s="466">
        <v>1.7</v>
      </c>
      <c r="AG2292" s="467" t="s">
        <v>2311</v>
      </c>
      <c r="AH2292" s="467" t="s">
        <v>2322</v>
      </c>
      <c r="AI2292" s="466" t="s">
        <v>577</v>
      </c>
      <c r="AJ2292" s="238" t="s">
        <v>2326</v>
      </c>
      <c r="AK2292" s="239" t="s">
        <v>229</v>
      </c>
      <c r="AO2292" s="467"/>
      <c r="AT2292" s="467"/>
      <c r="AW2292" s="467" t="s">
        <v>160</v>
      </c>
      <c r="AX2292" s="239">
        <v>3</v>
      </c>
      <c r="AY2292" s="467"/>
      <c r="AZ2292" s="239" t="s">
        <v>141</v>
      </c>
      <c r="BD2292" s="239" t="s">
        <v>2323</v>
      </c>
      <c r="BF2292" s="239"/>
      <c r="BK2292" s="238">
        <v>174</v>
      </c>
      <c r="BL2292" s="466">
        <v>761</v>
      </c>
      <c r="BN2292" s="469"/>
      <c r="BO2292" s="239" t="s">
        <v>2329</v>
      </c>
      <c r="BP2292" s="451"/>
      <c r="BQ2292" s="470"/>
      <c r="BR2292" s="239"/>
      <c r="BU2292" s="470"/>
      <c r="BV2292" s="470"/>
      <c r="BZ2292" s="470"/>
      <c r="CA2292" s="470"/>
      <c r="CE2292" s="603"/>
      <c r="CF2292" s="603"/>
      <c r="CG2292" s="603"/>
      <c r="CH2292" s="603"/>
      <c r="DZ2292" s="239"/>
      <c r="FU2292" s="471"/>
      <c r="JB2292" s="239"/>
    </row>
    <row r="2293" spans="1:262" s="245" customFormat="1" x14ac:dyDescent="0.25">
      <c r="A2293" s="245">
        <v>110</v>
      </c>
      <c r="B2293" s="246" t="s">
        <v>4285</v>
      </c>
      <c r="C2293" s="244" t="s">
        <v>2218</v>
      </c>
      <c r="D2293" s="245" t="s">
        <v>2308</v>
      </c>
      <c r="E2293" s="244">
        <v>1982</v>
      </c>
      <c r="F2293" s="245">
        <v>1977</v>
      </c>
      <c r="G2293" s="244" t="s">
        <v>1749</v>
      </c>
      <c r="H2293" s="244" t="s">
        <v>2309</v>
      </c>
      <c r="I2293" s="244" t="s">
        <v>2823</v>
      </c>
      <c r="J2293" s="245">
        <v>7.38</v>
      </c>
      <c r="K2293" s="245">
        <v>3.95</v>
      </c>
      <c r="L2293" s="244">
        <v>229.3</v>
      </c>
      <c r="M2293" s="244"/>
      <c r="O2293" s="244"/>
      <c r="R2293" s="245">
        <v>3</v>
      </c>
      <c r="S2293" s="244">
        <v>4</v>
      </c>
      <c r="U2293" s="245" t="s">
        <v>2310</v>
      </c>
      <c r="V2293" s="245" t="s">
        <v>1388</v>
      </c>
      <c r="W2293" s="245">
        <v>10</v>
      </c>
      <c r="X2293" s="245" t="s">
        <v>1382</v>
      </c>
      <c r="Y2293" s="245" t="s">
        <v>1382</v>
      </c>
      <c r="Z2293" s="245">
        <v>1.31</v>
      </c>
      <c r="AA2293" s="376">
        <v>69.3</v>
      </c>
      <c r="AB2293" s="376">
        <v>9.5</v>
      </c>
      <c r="AC2293" s="245" t="s">
        <v>240</v>
      </c>
      <c r="AE2293" s="245">
        <v>1.7</v>
      </c>
      <c r="AG2293" s="244" t="s">
        <v>2311</v>
      </c>
      <c r="AH2293" s="244" t="s">
        <v>2315</v>
      </c>
      <c r="AI2293" s="245" t="s">
        <v>1581</v>
      </c>
      <c r="AJ2293" s="244" t="s">
        <v>2326</v>
      </c>
      <c r="AK2293" s="245" t="s">
        <v>229</v>
      </c>
      <c r="AO2293" s="244"/>
      <c r="AT2293" s="244"/>
      <c r="AW2293" s="244" t="s">
        <v>160</v>
      </c>
      <c r="AX2293" s="245">
        <v>3</v>
      </c>
      <c r="AY2293" s="244"/>
      <c r="AZ2293" s="245" t="s">
        <v>141</v>
      </c>
      <c r="BD2293" s="245" t="s">
        <v>2324</v>
      </c>
      <c r="BK2293" s="244">
        <v>221</v>
      </c>
      <c r="BL2293" s="245">
        <v>236</v>
      </c>
      <c r="BN2293" s="248"/>
      <c r="BO2293" s="245" t="s">
        <v>2329</v>
      </c>
      <c r="BP2293" s="437"/>
      <c r="BQ2293" s="437"/>
      <c r="BU2293" s="437"/>
      <c r="BV2293" s="437"/>
      <c r="BZ2293" s="437"/>
      <c r="CA2293" s="437"/>
      <c r="CE2293" s="598"/>
      <c r="CF2293" s="598"/>
      <c r="CG2293" s="598"/>
      <c r="CH2293" s="598"/>
      <c r="FU2293" s="246"/>
    </row>
    <row r="2294" spans="1:262" s="245" customFormat="1" x14ac:dyDescent="0.25">
      <c r="A2294" s="245">
        <v>110</v>
      </c>
      <c r="B2294" s="246" t="s">
        <v>4285</v>
      </c>
      <c r="C2294" s="244" t="s">
        <v>2218</v>
      </c>
      <c r="D2294" s="245" t="s">
        <v>2308</v>
      </c>
      <c r="E2294" s="244">
        <v>1982</v>
      </c>
      <c r="F2294" s="245">
        <v>1977</v>
      </c>
      <c r="G2294" s="244" t="s">
        <v>1749</v>
      </c>
      <c r="H2294" s="244" t="s">
        <v>2309</v>
      </c>
      <c r="I2294" s="244" t="s">
        <v>2823</v>
      </c>
      <c r="J2294" s="245">
        <v>7.38</v>
      </c>
      <c r="K2294" s="245">
        <v>3.95</v>
      </c>
      <c r="L2294" s="244">
        <v>229.3</v>
      </c>
      <c r="M2294" s="244"/>
      <c r="O2294" s="244"/>
      <c r="R2294" s="245">
        <v>3</v>
      </c>
      <c r="S2294" s="244">
        <v>4</v>
      </c>
      <c r="U2294" s="245" t="s">
        <v>2310</v>
      </c>
      <c r="V2294" s="245" t="s">
        <v>1388</v>
      </c>
      <c r="W2294" s="245">
        <v>10</v>
      </c>
      <c r="X2294" s="245" t="s">
        <v>1382</v>
      </c>
      <c r="Y2294" s="245" t="s">
        <v>1382</v>
      </c>
      <c r="Z2294" s="245">
        <v>1.31</v>
      </c>
      <c r="AA2294" s="376">
        <v>69.3</v>
      </c>
      <c r="AB2294" s="376">
        <v>9.5</v>
      </c>
      <c r="AC2294" s="245" t="s">
        <v>240</v>
      </c>
      <c r="AE2294" s="245">
        <v>1.7</v>
      </c>
      <c r="AG2294" s="244" t="s">
        <v>2311</v>
      </c>
      <c r="AH2294" s="244" t="s">
        <v>2316</v>
      </c>
      <c r="AI2294" s="245" t="s">
        <v>1581</v>
      </c>
      <c r="AJ2294" s="244" t="s">
        <v>2326</v>
      </c>
      <c r="AK2294" s="245" t="s">
        <v>229</v>
      </c>
      <c r="AO2294" s="244"/>
      <c r="AT2294" s="244"/>
      <c r="AW2294" s="244" t="s">
        <v>160</v>
      </c>
      <c r="AX2294" s="245">
        <v>3</v>
      </c>
      <c r="AY2294" s="244"/>
      <c r="AZ2294" s="245" t="s">
        <v>141</v>
      </c>
      <c r="BD2294" s="245" t="s">
        <v>2324</v>
      </c>
      <c r="BK2294" s="244">
        <v>221</v>
      </c>
      <c r="BL2294" s="245">
        <v>118</v>
      </c>
      <c r="BN2294" s="248"/>
      <c r="BO2294" s="245" t="s">
        <v>2329</v>
      </c>
      <c r="BP2294" s="437"/>
      <c r="BQ2294" s="437"/>
      <c r="BU2294" s="437"/>
      <c r="BV2294" s="437"/>
      <c r="BZ2294" s="437"/>
      <c r="CA2294" s="437"/>
      <c r="CE2294" s="598"/>
      <c r="CF2294" s="598"/>
      <c r="CG2294" s="598"/>
      <c r="CH2294" s="598"/>
      <c r="FU2294" s="246"/>
    </row>
    <row r="2295" spans="1:262" s="245" customFormat="1" x14ac:dyDescent="0.25">
      <c r="A2295" s="245">
        <v>110</v>
      </c>
      <c r="B2295" s="246" t="s">
        <v>4285</v>
      </c>
      <c r="C2295" s="244" t="s">
        <v>2218</v>
      </c>
      <c r="D2295" s="245" t="s">
        <v>2308</v>
      </c>
      <c r="E2295" s="244">
        <v>1982</v>
      </c>
      <c r="F2295" s="245">
        <v>1977</v>
      </c>
      <c r="G2295" s="244" t="s">
        <v>1749</v>
      </c>
      <c r="H2295" s="244" t="s">
        <v>2309</v>
      </c>
      <c r="I2295" s="244" t="s">
        <v>2823</v>
      </c>
      <c r="J2295" s="245">
        <v>7.38</v>
      </c>
      <c r="K2295" s="245">
        <v>3.95</v>
      </c>
      <c r="L2295" s="244">
        <v>229.3</v>
      </c>
      <c r="M2295" s="244"/>
      <c r="O2295" s="244"/>
      <c r="R2295" s="245">
        <v>3</v>
      </c>
      <c r="S2295" s="244">
        <v>4</v>
      </c>
      <c r="U2295" s="245" t="s">
        <v>2310</v>
      </c>
      <c r="V2295" s="245" t="s">
        <v>1388</v>
      </c>
      <c r="W2295" s="245">
        <v>10</v>
      </c>
      <c r="X2295" s="245" t="s">
        <v>1382</v>
      </c>
      <c r="Y2295" s="245" t="s">
        <v>1382</v>
      </c>
      <c r="Z2295" s="245">
        <v>1.31</v>
      </c>
      <c r="AA2295" s="376">
        <v>69.3</v>
      </c>
      <c r="AB2295" s="376">
        <v>9.5</v>
      </c>
      <c r="AC2295" s="245" t="s">
        <v>240</v>
      </c>
      <c r="AE2295" s="245">
        <v>1.7</v>
      </c>
      <c r="AG2295" s="244" t="s">
        <v>2311</v>
      </c>
      <c r="AH2295" s="244" t="s">
        <v>2317</v>
      </c>
      <c r="AI2295" s="245" t="s">
        <v>1581</v>
      </c>
      <c r="AJ2295" s="244" t="s">
        <v>2326</v>
      </c>
      <c r="AK2295" s="245" t="s">
        <v>229</v>
      </c>
      <c r="AO2295" s="244"/>
      <c r="AT2295" s="244"/>
      <c r="AW2295" s="244" t="s">
        <v>160</v>
      </c>
      <c r="AX2295" s="245">
        <v>3</v>
      </c>
      <c r="AY2295" s="244"/>
      <c r="AZ2295" s="245" t="s">
        <v>141</v>
      </c>
      <c r="BD2295" s="245" t="s">
        <v>2324</v>
      </c>
      <c r="BK2295" s="244">
        <v>221</v>
      </c>
      <c r="BL2295" s="245">
        <v>10</v>
      </c>
      <c r="BN2295" s="248"/>
      <c r="BO2295" s="245" t="s">
        <v>2329</v>
      </c>
      <c r="BP2295" s="437"/>
      <c r="BQ2295" s="437"/>
      <c r="BU2295" s="437"/>
      <c r="BV2295" s="437"/>
      <c r="BZ2295" s="437"/>
      <c r="CA2295" s="437"/>
      <c r="CE2295" s="598"/>
      <c r="CF2295" s="598"/>
      <c r="CG2295" s="598"/>
      <c r="CH2295" s="598"/>
      <c r="FU2295" s="246"/>
    </row>
    <row r="2296" spans="1:262" s="472" customFormat="1" x14ac:dyDescent="0.25">
      <c r="A2296" s="472">
        <v>110</v>
      </c>
      <c r="B2296" s="477" t="s">
        <v>4286</v>
      </c>
      <c r="C2296" s="473" t="s">
        <v>2218</v>
      </c>
      <c r="D2296" s="472" t="s">
        <v>2308</v>
      </c>
      <c r="E2296" s="473">
        <v>1982</v>
      </c>
      <c r="F2296" s="245">
        <v>1977</v>
      </c>
      <c r="G2296" s="473" t="s">
        <v>1749</v>
      </c>
      <c r="H2296" s="473" t="s">
        <v>2309</v>
      </c>
      <c r="I2296" s="244" t="s">
        <v>2823</v>
      </c>
      <c r="J2296" s="472">
        <v>7.38</v>
      </c>
      <c r="K2296" s="472">
        <v>3.95</v>
      </c>
      <c r="L2296" s="473">
        <v>229.3</v>
      </c>
      <c r="M2296" s="473"/>
      <c r="O2296" s="473"/>
      <c r="R2296" s="472">
        <v>3</v>
      </c>
      <c r="S2296" s="473">
        <v>4</v>
      </c>
      <c r="U2296" s="472" t="s">
        <v>2310</v>
      </c>
      <c r="V2296" s="472" t="s">
        <v>1388</v>
      </c>
      <c r="W2296" s="472">
        <v>10</v>
      </c>
      <c r="X2296" s="472" t="s">
        <v>1382</v>
      </c>
      <c r="Y2296" s="472" t="s">
        <v>1382</v>
      </c>
      <c r="Z2296" s="472">
        <v>1.31</v>
      </c>
      <c r="AA2296" s="474">
        <v>69.3</v>
      </c>
      <c r="AB2296" s="474">
        <v>9.5</v>
      </c>
      <c r="AC2296" s="472" t="s">
        <v>240</v>
      </c>
      <c r="AE2296" s="472">
        <v>1.7</v>
      </c>
      <c r="AG2296" s="473" t="s">
        <v>2311</v>
      </c>
      <c r="AH2296" s="473" t="s">
        <v>2318</v>
      </c>
      <c r="AI2296" s="472" t="s">
        <v>577</v>
      </c>
      <c r="AJ2296" s="244" t="s">
        <v>2326</v>
      </c>
      <c r="AK2296" s="245" t="s">
        <v>229</v>
      </c>
      <c r="AO2296" s="473"/>
      <c r="AT2296" s="473"/>
      <c r="AW2296" s="473" t="s">
        <v>160</v>
      </c>
      <c r="AX2296" s="245">
        <v>3</v>
      </c>
      <c r="AY2296" s="473"/>
      <c r="AZ2296" s="245" t="s">
        <v>141</v>
      </c>
      <c r="BD2296" s="245" t="s">
        <v>2324</v>
      </c>
      <c r="BF2296" s="245"/>
      <c r="BK2296" s="244">
        <v>221</v>
      </c>
      <c r="BL2296" s="472">
        <v>395</v>
      </c>
      <c r="BN2296" s="475"/>
      <c r="BO2296" s="472" t="s">
        <v>2329</v>
      </c>
      <c r="BP2296" s="437"/>
      <c r="BQ2296" s="476"/>
      <c r="BR2296" s="245"/>
      <c r="BU2296" s="476"/>
      <c r="BV2296" s="476"/>
      <c r="BZ2296" s="476"/>
      <c r="CA2296" s="476"/>
      <c r="CE2296" s="604"/>
      <c r="CF2296" s="604"/>
      <c r="CG2296" s="604"/>
      <c r="CH2296" s="604"/>
      <c r="DZ2296" s="245"/>
      <c r="FU2296" s="477"/>
      <c r="JB2296" s="245"/>
    </row>
    <row r="2297" spans="1:262" s="472" customFormat="1" x14ac:dyDescent="0.25">
      <c r="A2297" s="472">
        <v>110</v>
      </c>
      <c r="B2297" s="477" t="s">
        <v>4286</v>
      </c>
      <c r="C2297" s="473" t="s">
        <v>2218</v>
      </c>
      <c r="D2297" s="472" t="s">
        <v>2308</v>
      </c>
      <c r="E2297" s="473">
        <v>1982</v>
      </c>
      <c r="F2297" s="245">
        <v>1977</v>
      </c>
      <c r="G2297" s="473" t="s">
        <v>1749</v>
      </c>
      <c r="H2297" s="473" t="s">
        <v>2309</v>
      </c>
      <c r="I2297" s="244" t="s">
        <v>2823</v>
      </c>
      <c r="J2297" s="472">
        <v>7.38</v>
      </c>
      <c r="K2297" s="472">
        <v>3.95</v>
      </c>
      <c r="L2297" s="473">
        <v>229.3</v>
      </c>
      <c r="M2297" s="473"/>
      <c r="O2297" s="473"/>
      <c r="R2297" s="472">
        <v>3</v>
      </c>
      <c r="S2297" s="473">
        <v>4</v>
      </c>
      <c r="U2297" s="472" t="s">
        <v>2310</v>
      </c>
      <c r="V2297" s="472" t="s">
        <v>1388</v>
      </c>
      <c r="W2297" s="472">
        <v>10</v>
      </c>
      <c r="X2297" s="472" t="s">
        <v>1382</v>
      </c>
      <c r="Y2297" s="472" t="s">
        <v>1382</v>
      </c>
      <c r="Z2297" s="472">
        <v>1.31</v>
      </c>
      <c r="AA2297" s="474">
        <v>69.3</v>
      </c>
      <c r="AB2297" s="474">
        <v>9.5</v>
      </c>
      <c r="AC2297" s="472" t="s">
        <v>240</v>
      </c>
      <c r="AE2297" s="472">
        <v>1.7</v>
      </c>
      <c r="AG2297" s="473" t="s">
        <v>2311</v>
      </c>
      <c r="AH2297" s="473" t="s">
        <v>2319</v>
      </c>
      <c r="AI2297" s="472" t="s">
        <v>577</v>
      </c>
      <c r="AJ2297" s="244" t="s">
        <v>2326</v>
      </c>
      <c r="AK2297" s="245" t="s">
        <v>229</v>
      </c>
      <c r="AO2297" s="473"/>
      <c r="AT2297" s="473"/>
      <c r="AW2297" s="473" t="s">
        <v>160</v>
      </c>
      <c r="AX2297" s="245">
        <v>3</v>
      </c>
      <c r="AY2297" s="473"/>
      <c r="AZ2297" s="245" t="s">
        <v>141</v>
      </c>
      <c r="BD2297" s="245" t="s">
        <v>2324</v>
      </c>
      <c r="BF2297" s="245"/>
      <c r="BK2297" s="244">
        <v>221</v>
      </c>
      <c r="BL2297" s="472">
        <v>416</v>
      </c>
      <c r="BN2297" s="475"/>
      <c r="BO2297" s="472" t="s">
        <v>2329</v>
      </c>
      <c r="BP2297" s="437"/>
      <c r="BQ2297" s="476"/>
      <c r="BR2297" s="245"/>
      <c r="BU2297" s="476"/>
      <c r="BV2297" s="476"/>
      <c r="BZ2297" s="476"/>
      <c r="CA2297" s="476"/>
      <c r="CE2297" s="604"/>
      <c r="CF2297" s="604"/>
      <c r="CG2297" s="604"/>
      <c r="CH2297" s="604"/>
      <c r="DZ2297" s="245"/>
      <c r="FU2297" s="477"/>
      <c r="JB2297" s="245"/>
    </row>
    <row r="2298" spans="1:262" s="472" customFormat="1" x14ac:dyDescent="0.25">
      <c r="A2298" s="472">
        <v>110</v>
      </c>
      <c r="B2298" s="477" t="s">
        <v>4286</v>
      </c>
      <c r="C2298" s="473" t="s">
        <v>2218</v>
      </c>
      <c r="D2298" s="472" t="s">
        <v>2308</v>
      </c>
      <c r="E2298" s="473">
        <v>1982</v>
      </c>
      <c r="F2298" s="245">
        <v>1977</v>
      </c>
      <c r="G2298" s="473" t="s">
        <v>1749</v>
      </c>
      <c r="H2298" s="473" t="s">
        <v>2309</v>
      </c>
      <c r="I2298" s="244" t="s">
        <v>2823</v>
      </c>
      <c r="J2298" s="472">
        <v>7.38</v>
      </c>
      <c r="K2298" s="472">
        <v>3.95</v>
      </c>
      <c r="L2298" s="473">
        <v>229.3</v>
      </c>
      <c r="M2298" s="473"/>
      <c r="O2298" s="473"/>
      <c r="R2298" s="472">
        <v>3</v>
      </c>
      <c r="S2298" s="473">
        <v>4</v>
      </c>
      <c r="U2298" s="472" t="s">
        <v>2310</v>
      </c>
      <c r="V2298" s="472" t="s">
        <v>1388</v>
      </c>
      <c r="W2298" s="472">
        <v>10</v>
      </c>
      <c r="X2298" s="472" t="s">
        <v>1382</v>
      </c>
      <c r="Y2298" s="472" t="s">
        <v>1382</v>
      </c>
      <c r="Z2298" s="472">
        <v>1.31</v>
      </c>
      <c r="AA2298" s="474">
        <v>69.3</v>
      </c>
      <c r="AB2298" s="474">
        <v>9.5</v>
      </c>
      <c r="AC2298" s="472" t="s">
        <v>240</v>
      </c>
      <c r="AE2298" s="472">
        <v>1.7</v>
      </c>
      <c r="AG2298" s="473" t="s">
        <v>2311</v>
      </c>
      <c r="AH2298" s="473" t="s">
        <v>2320</v>
      </c>
      <c r="AI2298" s="472" t="s">
        <v>577</v>
      </c>
      <c r="AJ2298" s="244" t="s">
        <v>2326</v>
      </c>
      <c r="AK2298" s="245" t="s">
        <v>229</v>
      </c>
      <c r="AO2298" s="473"/>
      <c r="AT2298" s="473"/>
      <c r="AW2298" s="473" t="s">
        <v>160</v>
      </c>
      <c r="AX2298" s="245">
        <v>3</v>
      </c>
      <c r="AY2298" s="473"/>
      <c r="AZ2298" s="245" t="s">
        <v>141</v>
      </c>
      <c r="BD2298" s="245" t="s">
        <v>2324</v>
      </c>
      <c r="BF2298" s="245"/>
      <c r="BK2298" s="244">
        <v>221</v>
      </c>
      <c r="BL2298" s="472">
        <v>356</v>
      </c>
      <c r="BN2298" s="475"/>
      <c r="BO2298" s="472" t="s">
        <v>2329</v>
      </c>
      <c r="BP2298" s="437"/>
      <c r="BQ2298" s="476"/>
      <c r="BR2298" s="245"/>
      <c r="BU2298" s="476"/>
      <c r="BV2298" s="476"/>
      <c r="BZ2298" s="476"/>
      <c r="CA2298" s="476"/>
      <c r="CE2298" s="604"/>
      <c r="CF2298" s="604"/>
      <c r="CG2298" s="604"/>
      <c r="CH2298" s="604"/>
      <c r="DZ2298" s="245"/>
      <c r="FU2298" s="477"/>
      <c r="JB2298" s="245"/>
    </row>
    <row r="2299" spans="1:262" s="472" customFormat="1" x14ac:dyDescent="0.25">
      <c r="A2299" s="472">
        <v>110</v>
      </c>
      <c r="B2299" s="477" t="s">
        <v>4286</v>
      </c>
      <c r="C2299" s="473" t="s">
        <v>2218</v>
      </c>
      <c r="D2299" s="472" t="s">
        <v>2308</v>
      </c>
      <c r="E2299" s="473">
        <v>1982</v>
      </c>
      <c r="F2299" s="245">
        <v>1977</v>
      </c>
      <c r="G2299" s="473" t="s">
        <v>1749</v>
      </c>
      <c r="H2299" s="473" t="s">
        <v>2309</v>
      </c>
      <c r="I2299" s="244" t="s">
        <v>2823</v>
      </c>
      <c r="J2299" s="472">
        <v>7.38</v>
      </c>
      <c r="K2299" s="472">
        <v>3.95</v>
      </c>
      <c r="L2299" s="473">
        <v>229.3</v>
      </c>
      <c r="M2299" s="473"/>
      <c r="O2299" s="473"/>
      <c r="R2299" s="472">
        <v>3</v>
      </c>
      <c r="S2299" s="473">
        <v>4</v>
      </c>
      <c r="U2299" s="472" t="s">
        <v>2310</v>
      </c>
      <c r="V2299" s="472" t="s">
        <v>1388</v>
      </c>
      <c r="W2299" s="472">
        <v>10</v>
      </c>
      <c r="X2299" s="472" t="s">
        <v>1382</v>
      </c>
      <c r="Y2299" s="472" t="s">
        <v>1382</v>
      </c>
      <c r="Z2299" s="472">
        <v>1.31</v>
      </c>
      <c r="AA2299" s="474">
        <v>69.3</v>
      </c>
      <c r="AB2299" s="474">
        <v>9.5</v>
      </c>
      <c r="AC2299" s="472" t="s">
        <v>240</v>
      </c>
      <c r="AE2299" s="472">
        <v>1.7</v>
      </c>
      <c r="AG2299" s="473" t="s">
        <v>2311</v>
      </c>
      <c r="AH2299" s="473" t="s">
        <v>2321</v>
      </c>
      <c r="AI2299" s="472" t="s">
        <v>577</v>
      </c>
      <c r="AJ2299" s="244" t="s">
        <v>2326</v>
      </c>
      <c r="AK2299" s="245" t="s">
        <v>229</v>
      </c>
      <c r="AO2299" s="473"/>
      <c r="AT2299" s="473"/>
      <c r="AW2299" s="473" t="s">
        <v>160</v>
      </c>
      <c r="AX2299" s="245">
        <v>3</v>
      </c>
      <c r="AY2299" s="473"/>
      <c r="AZ2299" s="245" t="s">
        <v>141</v>
      </c>
      <c r="BD2299" s="245" t="s">
        <v>2324</v>
      </c>
      <c r="BF2299" s="245"/>
      <c r="BK2299" s="244">
        <v>221</v>
      </c>
      <c r="BL2299" s="472">
        <v>716</v>
      </c>
      <c r="BN2299" s="475"/>
      <c r="BO2299" s="472" t="s">
        <v>2329</v>
      </c>
      <c r="BP2299" s="437"/>
      <c r="BQ2299" s="476"/>
      <c r="BR2299" s="245"/>
      <c r="BU2299" s="476"/>
      <c r="BV2299" s="476"/>
      <c r="BZ2299" s="476"/>
      <c r="CA2299" s="476"/>
      <c r="CE2299" s="604"/>
      <c r="CF2299" s="604"/>
      <c r="CG2299" s="604"/>
      <c r="CH2299" s="604"/>
      <c r="DZ2299" s="245"/>
      <c r="FU2299" s="477"/>
      <c r="JB2299" s="245"/>
    </row>
    <row r="2300" spans="1:262" s="472" customFormat="1" x14ac:dyDescent="0.25">
      <c r="A2300" s="472">
        <v>110</v>
      </c>
      <c r="B2300" s="477" t="s">
        <v>4286</v>
      </c>
      <c r="C2300" s="473" t="s">
        <v>2218</v>
      </c>
      <c r="D2300" s="472" t="s">
        <v>2308</v>
      </c>
      <c r="E2300" s="473">
        <v>1982</v>
      </c>
      <c r="F2300" s="245">
        <v>1977</v>
      </c>
      <c r="G2300" s="473" t="s">
        <v>1749</v>
      </c>
      <c r="H2300" s="473" t="s">
        <v>2309</v>
      </c>
      <c r="I2300" s="244" t="s">
        <v>2823</v>
      </c>
      <c r="J2300" s="472">
        <v>7.38</v>
      </c>
      <c r="K2300" s="472">
        <v>3.95</v>
      </c>
      <c r="L2300" s="473">
        <v>229.3</v>
      </c>
      <c r="M2300" s="473"/>
      <c r="O2300" s="473"/>
      <c r="R2300" s="472">
        <v>3</v>
      </c>
      <c r="S2300" s="473">
        <v>4</v>
      </c>
      <c r="U2300" s="472" t="s">
        <v>2310</v>
      </c>
      <c r="V2300" s="472" t="s">
        <v>1388</v>
      </c>
      <c r="W2300" s="472">
        <v>10</v>
      </c>
      <c r="X2300" s="472" t="s">
        <v>1382</v>
      </c>
      <c r="Y2300" s="472" t="s">
        <v>1382</v>
      </c>
      <c r="Z2300" s="472">
        <v>1.31</v>
      </c>
      <c r="AA2300" s="474">
        <v>69.3</v>
      </c>
      <c r="AB2300" s="474">
        <v>9.5</v>
      </c>
      <c r="AC2300" s="472" t="s">
        <v>240</v>
      </c>
      <c r="AE2300" s="472">
        <v>1.7</v>
      </c>
      <c r="AG2300" s="473" t="s">
        <v>2311</v>
      </c>
      <c r="AH2300" s="473" t="s">
        <v>2322</v>
      </c>
      <c r="AI2300" s="472" t="s">
        <v>577</v>
      </c>
      <c r="AJ2300" s="244" t="s">
        <v>2326</v>
      </c>
      <c r="AK2300" s="245" t="s">
        <v>229</v>
      </c>
      <c r="AO2300" s="473"/>
      <c r="AT2300" s="473"/>
      <c r="AW2300" s="473" t="s">
        <v>160</v>
      </c>
      <c r="AX2300" s="245">
        <v>3</v>
      </c>
      <c r="AY2300" s="473"/>
      <c r="AZ2300" s="245" t="s">
        <v>141</v>
      </c>
      <c r="BD2300" s="245" t="s">
        <v>2324</v>
      </c>
      <c r="BF2300" s="245"/>
      <c r="BK2300" s="244">
        <v>221</v>
      </c>
      <c r="BL2300" s="472">
        <v>639</v>
      </c>
      <c r="BN2300" s="475"/>
      <c r="BO2300" s="472" t="s">
        <v>2329</v>
      </c>
      <c r="BP2300" s="437"/>
      <c r="BQ2300" s="476"/>
      <c r="BR2300" s="245"/>
      <c r="BU2300" s="476"/>
      <c r="BV2300" s="476"/>
      <c r="BZ2300" s="476"/>
      <c r="CA2300" s="476"/>
      <c r="CE2300" s="604"/>
      <c r="CF2300" s="604"/>
      <c r="CG2300" s="604"/>
      <c r="CH2300" s="604"/>
      <c r="DZ2300" s="245"/>
      <c r="FU2300" s="477"/>
      <c r="JB2300" s="245"/>
    </row>
    <row r="2301" spans="1:262" s="239" customFormat="1" x14ac:dyDescent="0.25">
      <c r="A2301" s="239">
        <v>110</v>
      </c>
      <c r="B2301" s="240" t="s">
        <v>4285</v>
      </c>
      <c r="C2301" s="238" t="s">
        <v>2218</v>
      </c>
      <c r="D2301" s="239" t="s">
        <v>2308</v>
      </c>
      <c r="E2301" s="238">
        <v>1982</v>
      </c>
      <c r="F2301" s="239">
        <v>1977</v>
      </c>
      <c r="G2301" s="238" t="s">
        <v>1749</v>
      </c>
      <c r="H2301" s="238" t="s">
        <v>2309</v>
      </c>
      <c r="I2301" s="244" t="s">
        <v>2823</v>
      </c>
      <c r="J2301" s="239">
        <v>7.38</v>
      </c>
      <c r="K2301" s="239">
        <v>3.95</v>
      </c>
      <c r="L2301" s="238">
        <v>229.3</v>
      </c>
      <c r="M2301" s="238"/>
      <c r="O2301" s="238"/>
      <c r="R2301" s="239">
        <v>3</v>
      </c>
      <c r="S2301" s="238">
        <v>4</v>
      </c>
      <c r="U2301" s="239" t="s">
        <v>2310</v>
      </c>
      <c r="V2301" s="239" t="s">
        <v>1388</v>
      </c>
      <c r="W2301" s="239">
        <v>10</v>
      </c>
      <c r="X2301" s="239" t="s">
        <v>1382</v>
      </c>
      <c r="Y2301" s="239" t="s">
        <v>1382</v>
      </c>
      <c r="Z2301" s="239">
        <v>1.31</v>
      </c>
      <c r="AA2301" s="374">
        <v>69.3</v>
      </c>
      <c r="AB2301" s="374">
        <v>9.5</v>
      </c>
      <c r="AC2301" s="239" t="s">
        <v>240</v>
      </c>
      <c r="AE2301" s="239">
        <v>1.7</v>
      </c>
      <c r="AG2301" s="238" t="s">
        <v>2311</v>
      </c>
      <c r="AH2301" s="238" t="s">
        <v>2315</v>
      </c>
      <c r="AI2301" s="239" t="s">
        <v>1581</v>
      </c>
      <c r="AJ2301" s="238" t="s">
        <v>2327</v>
      </c>
      <c r="AK2301" s="239" t="s">
        <v>229</v>
      </c>
      <c r="AO2301" s="238"/>
      <c r="AT2301" s="238"/>
      <c r="AW2301" s="238" t="s">
        <v>160</v>
      </c>
      <c r="AX2301" s="239">
        <v>3</v>
      </c>
      <c r="AY2301" s="238"/>
      <c r="AZ2301" s="239" t="s">
        <v>141</v>
      </c>
      <c r="BD2301" s="239" t="s">
        <v>2323</v>
      </c>
      <c r="BK2301" s="238">
        <v>390</v>
      </c>
      <c r="BL2301" s="239">
        <v>1190</v>
      </c>
      <c r="BN2301" s="242"/>
      <c r="BO2301" s="239" t="s">
        <v>2328</v>
      </c>
      <c r="BP2301" s="451"/>
      <c r="BQ2301" s="451"/>
      <c r="BU2301" s="451"/>
      <c r="BV2301" s="451"/>
      <c r="BZ2301" s="451"/>
      <c r="CA2301" s="451"/>
      <c r="CE2301" s="597"/>
      <c r="CF2301" s="597"/>
      <c r="CG2301" s="597"/>
      <c r="CH2301" s="597"/>
      <c r="FU2301" s="240"/>
    </row>
    <row r="2302" spans="1:262" s="239" customFormat="1" x14ac:dyDescent="0.25">
      <c r="A2302" s="239">
        <v>110</v>
      </c>
      <c r="B2302" s="240" t="s">
        <v>4285</v>
      </c>
      <c r="C2302" s="238" t="s">
        <v>2218</v>
      </c>
      <c r="D2302" s="239" t="s">
        <v>2308</v>
      </c>
      <c r="E2302" s="238">
        <v>1982</v>
      </c>
      <c r="F2302" s="239">
        <v>1977</v>
      </c>
      <c r="G2302" s="238" t="s">
        <v>1749</v>
      </c>
      <c r="H2302" s="238" t="s">
        <v>2309</v>
      </c>
      <c r="I2302" s="244" t="s">
        <v>2823</v>
      </c>
      <c r="J2302" s="239">
        <v>7.38</v>
      </c>
      <c r="K2302" s="239">
        <v>3.95</v>
      </c>
      <c r="L2302" s="238">
        <v>229.3</v>
      </c>
      <c r="M2302" s="238"/>
      <c r="O2302" s="238"/>
      <c r="R2302" s="239">
        <v>3</v>
      </c>
      <c r="S2302" s="238">
        <v>4</v>
      </c>
      <c r="U2302" s="239" t="s">
        <v>2310</v>
      </c>
      <c r="V2302" s="239" t="s">
        <v>1388</v>
      </c>
      <c r="W2302" s="239">
        <v>10</v>
      </c>
      <c r="X2302" s="239" t="s">
        <v>1382</v>
      </c>
      <c r="Y2302" s="239" t="s">
        <v>1382</v>
      </c>
      <c r="Z2302" s="239">
        <v>1.31</v>
      </c>
      <c r="AA2302" s="374">
        <v>69.3</v>
      </c>
      <c r="AB2302" s="374">
        <v>9.5</v>
      </c>
      <c r="AC2302" s="239" t="s">
        <v>240</v>
      </c>
      <c r="AE2302" s="239">
        <v>1.7</v>
      </c>
      <c r="AG2302" s="238" t="s">
        <v>2311</v>
      </c>
      <c r="AH2302" s="238" t="s">
        <v>2316</v>
      </c>
      <c r="AI2302" s="239" t="s">
        <v>1581</v>
      </c>
      <c r="AJ2302" s="238" t="s">
        <v>2327</v>
      </c>
      <c r="AK2302" s="239" t="s">
        <v>229</v>
      </c>
      <c r="AO2302" s="238"/>
      <c r="AT2302" s="238"/>
      <c r="AW2302" s="238" t="s">
        <v>160</v>
      </c>
      <c r="AX2302" s="239">
        <v>3</v>
      </c>
      <c r="AY2302" s="238"/>
      <c r="AZ2302" s="239" t="s">
        <v>141</v>
      </c>
      <c r="BD2302" s="239" t="s">
        <v>2323</v>
      </c>
      <c r="BK2302" s="238">
        <v>390</v>
      </c>
      <c r="BL2302" s="239">
        <v>140</v>
      </c>
      <c r="BN2302" s="242"/>
      <c r="BO2302" s="239" t="s">
        <v>2328</v>
      </c>
      <c r="BP2302" s="451"/>
      <c r="BQ2302" s="451"/>
      <c r="BU2302" s="451"/>
      <c r="BV2302" s="451"/>
      <c r="BZ2302" s="451"/>
      <c r="CA2302" s="451"/>
      <c r="CE2302" s="597"/>
      <c r="CF2302" s="597"/>
      <c r="CG2302" s="597"/>
      <c r="CH2302" s="597"/>
      <c r="FU2302" s="240"/>
    </row>
    <row r="2303" spans="1:262" s="239" customFormat="1" x14ac:dyDescent="0.25">
      <c r="A2303" s="239">
        <v>110</v>
      </c>
      <c r="B2303" s="240" t="s">
        <v>4285</v>
      </c>
      <c r="C2303" s="238" t="s">
        <v>2218</v>
      </c>
      <c r="D2303" s="239" t="s">
        <v>2308</v>
      </c>
      <c r="E2303" s="238">
        <v>1982</v>
      </c>
      <c r="F2303" s="239">
        <v>1977</v>
      </c>
      <c r="G2303" s="238" t="s">
        <v>1749</v>
      </c>
      <c r="H2303" s="238" t="s">
        <v>2309</v>
      </c>
      <c r="I2303" s="244" t="s">
        <v>2823</v>
      </c>
      <c r="J2303" s="239">
        <v>7.38</v>
      </c>
      <c r="K2303" s="239">
        <v>3.95</v>
      </c>
      <c r="L2303" s="238">
        <v>229.3</v>
      </c>
      <c r="M2303" s="238"/>
      <c r="O2303" s="238"/>
      <c r="R2303" s="239">
        <v>3</v>
      </c>
      <c r="S2303" s="238">
        <v>4</v>
      </c>
      <c r="U2303" s="239" t="s">
        <v>2310</v>
      </c>
      <c r="V2303" s="239" t="s">
        <v>1388</v>
      </c>
      <c r="W2303" s="239">
        <v>10</v>
      </c>
      <c r="X2303" s="239" t="s">
        <v>1382</v>
      </c>
      <c r="Y2303" s="239" t="s">
        <v>1382</v>
      </c>
      <c r="Z2303" s="239">
        <v>1.31</v>
      </c>
      <c r="AA2303" s="374">
        <v>69.3</v>
      </c>
      <c r="AB2303" s="374">
        <v>9.5</v>
      </c>
      <c r="AC2303" s="239" t="s">
        <v>240</v>
      </c>
      <c r="AE2303" s="239">
        <v>1.7</v>
      </c>
      <c r="AG2303" s="238" t="s">
        <v>2311</v>
      </c>
      <c r="AH2303" s="238" t="s">
        <v>2317</v>
      </c>
      <c r="AI2303" s="239" t="s">
        <v>1581</v>
      </c>
      <c r="AJ2303" s="238" t="s">
        <v>2327</v>
      </c>
      <c r="AK2303" s="239" t="s">
        <v>229</v>
      </c>
      <c r="AO2303" s="238"/>
      <c r="AT2303" s="238"/>
      <c r="AW2303" s="238" t="s">
        <v>160</v>
      </c>
      <c r="AX2303" s="239">
        <v>3</v>
      </c>
      <c r="AY2303" s="238"/>
      <c r="AZ2303" s="239" t="s">
        <v>141</v>
      </c>
      <c r="BD2303" s="239" t="s">
        <v>2323</v>
      </c>
      <c r="BK2303" s="238">
        <v>390</v>
      </c>
      <c r="BL2303" s="239">
        <v>80</v>
      </c>
      <c r="BN2303" s="242"/>
      <c r="BO2303" s="239" t="s">
        <v>2328</v>
      </c>
      <c r="BP2303" s="451"/>
      <c r="BQ2303" s="451"/>
      <c r="BU2303" s="451"/>
      <c r="BV2303" s="451"/>
      <c r="BZ2303" s="451"/>
      <c r="CA2303" s="451"/>
      <c r="CE2303" s="597"/>
      <c r="CF2303" s="597"/>
      <c r="CG2303" s="597"/>
      <c r="CH2303" s="597"/>
      <c r="FU2303" s="240"/>
    </row>
    <row r="2304" spans="1:262" s="466" customFormat="1" x14ac:dyDescent="0.25">
      <c r="A2304" s="466">
        <v>110</v>
      </c>
      <c r="B2304" s="471" t="s">
        <v>4286</v>
      </c>
      <c r="C2304" s="467" t="s">
        <v>2218</v>
      </c>
      <c r="D2304" s="466" t="s">
        <v>2308</v>
      </c>
      <c r="E2304" s="467">
        <v>1982</v>
      </c>
      <c r="F2304" s="239">
        <v>1977</v>
      </c>
      <c r="G2304" s="467" t="s">
        <v>1749</v>
      </c>
      <c r="H2304" s="467" t="s">
        <v>2309</v>
      </c>
      <c r="I2304" s="244" t="s">
        <v>2823</v>
      </c>
      <c r="J2304" s="466">
        <v>7.38</v>
      </c>
      <c r="K2304" s="466">
        <v>3.95</v>
      </c>
      <c r="L2304" s="467">
        <v>229.3</v>
      </c>
      <c r="M2304" s="467"/>
      <c r="O2304" s="467"/>
      <c r="R2304" s="466">
        <v>3</v>
      </c>
      <c r="S2304" s="467">
        <v>4</v>
      </c>
      <c r="U2304" s="466" t="s">
        <v>2310</v>
      </c>
      <c r="V2304" s="466" t="s">
        <v>1388</v>
      </c>
      <c r="W2304" s="466">
        <v>10</v>
      </c>
      <c r="X2304" s="466" t="s">
        <v>1382</v>
      </c>
      <c r="Y2304" s="466" t="s">
        <v>1382</v>
      </c>
      <c r="Z2304" s="466">
        <v>1.31</v>
      </c>
      <c r="AA2304" s="468">
        <v>69.3</v>
      </c>
      <c r="AB2304" s="468">
        <v>9.5</v>
      </c>
      <c r="AC2304" s="466" t="s">
        <v>240</v>
      </c>
      <c r="AE2304" s="466">
        <v>1.7</v>
      </c>
      <c r="AG2304" s="467" t="s">
        <v>2311</v>
      </c>
      <c r="AH2304" s="467" t="s">
        <v>2318</v>
      </c>
      <c r="AI2304" s="466" t="s">
        <v>577</v>
      </c>
      <c r="AJ2304" s="238" t="s">
        <v>2327</v>
      </c>
      <c r="AK2304" s="239" t="s">
        <v>229</v>
      </c>
      <c r="AO2304" s="467"/>
      <c r="AT2304" s="467"/>
      <c r="AW2304" s="467" t="s">
        <v>160</v>
      </c>
      <c r="AX2304" s="239">
        <v>3</v>
      </c>
      <c r="AY2304" s="467"/>
      <c r="AZ2304" s="239" t="s">
        <v>141</v>
      </c>
      <c r="BD2304" s="239" t="s">
        <v>2323</v>
      </c>
      <c r="BF2304" s="239"/>
      <c r="BK2304" s="238">
        <v>390</v>
      </c>
      <c r="BL2304" s="466">
        <v>170</v>
      </c>
      <c r="BN2304" s="469"/>
      <c r="BO2304" s="239" t="s">
        <v>2328</v>
      </c>
      <c r="BP2304" s="451"/>
      <c r="BQ2304" s="470"/>
      <c r="BR2304" s="239"/>
      <c r="BU2304" s="470"/>
      <c r="BV2304" s="470"/>
      <c r="BZ2304" s="470"/>
      <c r="CA2304" s="470"/>
      <c r="CE2304" s="603"/>
      <c r="CF2304" s="603"/>
      <c r="CG2304" s="603"/>
      <c r="CH2304" s="603"/>
      <c r="DZ2304" s="239"/>
      <c r="FU2304" s="471"/>
      <c r="JB2304" s="239"/>
    </row>
    <row r="2305" spans="1:262" s="466" customFormat="1" x14ac:dyDescent="0.25">
      <c r="A2305" s="466">
        <v>110</v>
      </c>
      <c r="B2305" s="471" t="s">
        <v>4286</v>
      </c>
      <c r="C2305" s="467" t="s">
        <v>2218</v>
      </c>
      <c r="D2305" s="466" t="s">
        <v>2308</v>
      </c>
      <c r="E2305" s="467">
        <v>1982</v>
      </c>
      <c r="F2305" s="239">
        <v>1977</v>
      </c>
      <c r="G2305" s="467" t="s">
        <v>1749</v>
      </c>
      <c r="H2305" s="467" t="s">
        <v>2309</v>
      </c>
      <c r="I2305" s="244" t="s">
        <v>2823</v>
      </c>
      <c r="J2305" s="466">
        <v>7.38</v>
      </c>
      <c r="K2305" s="466">
        <v>3.95</v>
      </c>
      <c r="L2305" s="467">
        <v>229.3</v>
      </c>
      <c r="M2305" s="467"/>
      <c r="O2305" s="467"/>
      <c r="R2305" s="466">
        <v>3</v>
      </c>
      <c r="S2305" s="467">
        <v>4</v>
      </c>
      <c r="U2305" s="466" t="s">
        <v>2310</v>
      </c>
      <c r="V2305" s="466" t="s">
        <v>1388</v>
      </c>
      <c r="W2305" s="466">
        <v>10</v>
      </c>
      <c r="X2305" s="466" t="s">
        <v>1382</v>
      </c>
      <c r="Y2305" s="466" t="s">
        <v>1382</v>
      </c>
      <c r="Z2305" s="466">
        <v>1.31</v>
      </c>
      <c r="AA2305" s="468">
        <v>69.3</v>
      </c>
      <c r="AB2305" s="468">
        <v>9.5</v>
      </c>
      <c r="AC2305" s="466" t="s">
        <v>240</v>
      </c>
      <c r="AE2305" s="466">
        <v>1.7</v>
      </c>
      <c r="AG2305" s="467" t="s">
        <v>2311</v>
      </c>
      <c r="AH2305" s="467" t="s">
        <v>2319</v>
      </c>
      <c r="AI2305" s="466" t="s">
        <v>577</v>
      </c>
      <c r="AJ2305" s="238" t="s">
        <v>2327</v>
      </c>
      <c r="AK2305" s="239" t="s">
        <v>229</v>
      </c>
      <c r="AO2305" s="467"/>
      <c r="AT2305" s="467"/>
      <c r="AW2305" s="467" t="s">
        <v>160</v>
      </c>
      <c r="AX2305" s="239">
        <v>3</v>
      </c>
      <c r="AY2305" s="467"/>
      <c r="AZ2305" s="239" t="s">
        <v>141</v>
      </c>
      <c r="BD2305" s="239" t="s">
        <v>2323</v>
      </c>
      <c r="BF2305" s="239"/>
      <c r="BK2305" s="238">
        <v>390</v>
      </c>
      <c r="BL2305" s="466">
        <v>140</v>
      </c>
      <c r="BN2305" s="469"/>
      <c r="BO2305" s="239" t="s">
        <v>2328</v>
      </c>
      <c r="BP2305" s="451"/>
      <c r="BQ2305" s="470"/>
      <c r="BR2305" s="239"/>
      <c r="BU2305" s="470"/>
      <c r="BV2305" s="470"/>
      <c r="BZ2305" s="470"/>
      <c r="CA2305" s="470"/>
      <c r="CE2305" s="603"/>
      <c r="CF2305" s="603"/>
      <c r="CG2305" s="603"/>
      <c r="CH2305" s="603"/>
      <c r="DZ2305" s="239"/>
      <c r="FU2305" s="471"/>
      <c r="JB2305" s="239"/>
    </row>
    <row r="2306" spans="1:262" s="466" customFormat="1" x14ac:dyDescent="0.25">
      <c r="A2306" s="466">
        <v>110</v>
      </c>
      <c r="B2306" s="471" t="s">
        <v>4286</v>
      </c>
      <c r="C2306" s="467" t="s">
        <v>2218</v>
      </c>
      <c r="D2306" s="466" t="s">
        <v>2308</v>
      </c>
      <c r="E2306" s="467">
        <v>1982</v>
      </c>
      <c r="F2306" s="239">
        <v>1977</v>
      </c>
      <c r="G2306" s="467" t="s">
        <v>1749</v>
      </c>
      <c r="H2306" s="467" t="s">
        <v>2309</v>
      </c>
      <c r="I2306" s="244" t="s">
        <v>2823</v>
      </c>
      <c r="J2306" s="466">
        <v>7.38</v>
      </c>
      <c r="K2306" s="466">
        <v>3.95</v>
      </c>
      <c r="L2306" s="467">
        <v>229.3</v>
      </c>
      <c r="M2306" s="467"/>
      <c r="O2306" s="467"/>
      <c r="R2306" s="466">
        <v>3</v>
      </c>
      <c r="S2306" s="467">
        <v>4</v>
      </c>
      <c r="U2306" s="466" t="s">
        <v>2310</v>
      </c>
      <c r="V2306" s="466" t="s">
        <v>1388</v>
      </c>
      <c r="W2306" s="466">
        <v>10</v>
      </c>
      <c r="X2306" s="466" t="s">
        <v>1382</v>
      </c>
      <c r="Y2306" s="466" t="s">
        <v>1382</v>
      </c>
      <c r="Z2306" s="466">
        <v>1.31</v>
      </c>
      <c r="AA2306" s="468">
        <v>69.3</v>
      </c>
      <c r="AB2306" s="468">
        <v>9.5</v>
      </c>
      <c r="AC2306" s="466" t="s">
        <v>240</v>
      </c>
      <c r="AE2306" s="466">
        <v>1.7</v>
      </c>
      <c r="AG2306" s="467" t="s">
        <v>2311</v>
      </c>
      <c r="AH2306" s="467" t="s">
        <v>2320</v>
      </c>
      <c r="AI2306" s="466" t="s">
        <v>577</v>
      </c>
      <c r="AJ2306" s="238" t="s">
        <v>2327</v>
      </c>
      <c r="AK2306" s="239" t="s">
        <v>229</v>
      </c>
      <c r="AO2306" s="467"/>
      <c r="AT2306" s="467"/>
      <c r="AW2306" s="467" t="s">
        <v>160</v>
      </c>
      <c r="AX2306" s="239">
        <v>3</v>
      </c>
      <c r="AY2306" s="467"/>
      <c r="AZ2306" s="239" t="s">
        <v>141</v>
      </c>
      <c r="BD2306" s="239" t="s">
        <v>2323</v>
      </c>
      <c r="BF2306" s="239"/>
      <c r="BK2306" s="238">
        <v>390</v>
      </c>
      <c r="BL2306" s="466">
        <v>140</v>
      </c>
      <c r="BN2306" s="469"/>
      <c r="BO2306" s="239" t="s">
        <v>2328</v>
      </c>
      <c r="BP2306" s="451"/>
      <c r="BQ2306" s="470"/>
      <c r="BR2306" s="239"/>
      <c r="BU2306" s="470"/>
      <c r="BV2306" s="470"/>
      <c r="BZ2306" s="470"/>
      <c r="CA2306" s="470"/>
      <c r="CE2306" s="603"/>
      <c r="CF2306" s="603"/>
      <c r="CG2306" s="603"/>
      <c r="CH2306" s="603"/>
      <c r="DZ2306" s="239"/>
      <c r="FU2306" s="471"/>
      <c r="JB2306" s="239"/>
    </row>
    <row r="2307" spans="1:262" s="466" customFormat="1" x14ac:dyDescent="0.25">
      <c r="A2307" s="466">
        <v>110</v>
      </c>
      <c r="B2307" s="471" t="s">
        <v>4286</v>
      </c>
      <c r="C2307" s="467" t="s">
        <v>2218</v>
      </c>
      <c r="D2307" s="466" t="s">
        <v>2308</v>
      </c>
      <c r="E2307" s="467">
        <v>1982</v>
      </c>
      <c r="F2307" s="239">
        <v>1977</v>
      </c>
      <c r="G2307" s="467" t="s">
        <v>1749</v>
      </c>
      <c r="H2307" s="467" t="s">
        <v>2309</v>
      </c>
      <c r="I2307" s="244" t="s">
        <v>2823</v>
      </c>
      <c r="J2307" s="466">
        <v>7.38</v>
      </c>
      <c r="K2307" s="466">
        <v>3.95</v>
      </c>
      <c r="L2307" s="467">
        <v>229.3</v>
      </c>
      <c r="M2307" s="467"/>
      <c r="O2307" s="467"/>
      <c r="R2307" s="466">
        <v>3</v>
      </c>
      <c r="S2307" s="467">
        <v>4</v>
      </c>
      <c r="U2307" s="466" t="s">
        <v>2310</v>
      </c>
      <c r="V2307" s="466" t="s">
        <v>1388</v>
      </c>
      <c r="W2307" s="466">
        <v>10</v>
      </c>
      <c r="X2307" s="466" t="s">
        <v>1382</v>
      </c>
      <c r="Y2307" s="466" t="s">
        <v>1382</v>
      </c>
      <c r="Z2307" s="466">
        <v>1.31</v>
      </c>
      <c r="AA2307" s="468">
        <v>69.3</v>
      </c>
      <c r="AB2307" s="468">
        <v>9.5</v>
      </c>
      <c r="AC2307" s="466" t="s">
        <v>240</v>
      </c>
      <c r="AE2307" s="466">
        <v>1.7</v>
      </c>
      <c r="AG2307" s="467" t="s">
        <v>2311</v>
      </c>
      <c r="AH2307" s="467" t="s">
        <v>2321</v>
      </c>
      <c r="AI2307" s="466" t="s">
        <v>577</v>
      </c>
      <c r="AJ2307" s="238" t="s">
        <v>2327</v>
      </c>
      <c r="AK2307" s="239" t="s">
        <v>229</v>
      </c>
      <c r="AO2307" s="467"/>
      <c r="AT2307" s="467"/>
      <c r="AW2307" s="467" t="s">
        <v>160</v>
      </c>
      <c r="AX2307" s="239">
        <v>3</v>
      </c>
      <c r="AY2307" s="467"/>
      <c r="AZ2307" s="239" t="s">
        <v>141</v>
      </c>
      <c r="BD2307" s="239" t="s">
        <v>2323</v>
      </c>
      <c r="BF2307" s="239"/>
      <c r="BK2307" s="238">
        <v>390</v>
      </c>
      <c r="BL2307" s="466">
        <v>580</v>
      </c>
      <c r="BN2307" s="469"/>
      <c r="BO2307" s="239" t="s">
        <v>2328</v>
      </c>
      <c r="BP2307" s="451"/>
      <c r="BQ2307" s="470"/>
      <c r="BR2307" s="239"/>
      <c r="BU2307" s="470"/>
      <c r="BV2307" s="470"/>
      <c r="BZ2307" s="470"/>
      <c r="CA2307" s="470"/>
      <c r="CE2307" s="603"/>
      <c r="CF2307" s="603"/>
      <c r="CG2307" s="603"/>
      <c r="CH2307" s="603"/>
      <c r="DZ2307" s="239"/>
      <c r="FU2307" s="471"/>
      <c r="JB2307" s="239"/>
    </row>
    <row r="2308" spans="1:262" s="466" customFormat="1" x14ac:dyDescent="0.25">
      <c r="A2308" s="466">
        <v>110</v>
      </c>
      <c r="B2308" s="471" t="s">
        <v>4286</v>
      </c>
      <c r="C2308" s="467" t="s">
        <v>2218</v>
      </c>
      <c r="D2308" s="466" t="s">
        <v>2308</v>
      </c>
      <c r="E2308" s="467">
        <v>1982</v>
      </c>
      <c r="F2308" s="239">
        <v>1977</v>
      </c>
      <c r="G2308" s="467" t="s">
        <v>1749</v>
      </c>
      <c r="H2308" s="467" t="s">
        <v>2309</v>
      </c>
      <c r="I2308" s="244" t="s">
        <v>2823</v>
      </c>
      <c r="J2308" s="466">
        <v>7.38</v>
      </c>
      <c r="K2308" s="466">
        <v>3.95</v>
      </c>
      <c r="L2308" s="467">
        <v>229.3</v>
      </c>
      <c r="M2308" s="467"/>
      <c r="O2308" s="467"/>
      <c r="R2308" s="466">
        <v>3</v>
      </c>
      <c r="S2308" s="467">
        <v>4</v>
      </c>
      <c r="U2308" s="466" t="s">
        <v>2310</v>
      </c>
      <c r="V2308" s="466" t="s">
        <v>1388</v>
      </c>
      <c r="W2308" s="466">
        <v>10</v>
      </c>
      <c r="X2308" s="466" t="s">
        <v>1382</v>
      </c>
      <c r="Y2308" s="466" t="s">
        <v>1382</v>
      </c>
      <c r="Z2308" s="466">
        <v>1.31</v>
      </c>
      <c r="AA2308" s="468">
        <v>69.3</v>
      </c>
      <c r="AB2308" s="468">
        <v>9.5</v>
      </c>
      <c r="AC2308" s="466" t="s">
        <v>240</v>
      </c>
      <c r="AE2308" s="466">
        <v>1.7</v>
      </c>
      <c r="AG2308" s="467" t="s">
        <v>2311</v>
      </c>
      <c r="AH2308" s="467" t="s">
        <v>2322</v>
      </c>
      <c r="AI2308" s="466" t="s">
        <v>577</v>
      </c>
      <c r="AJ2308" s="238" t="s">
        <v>2327</v>
      </c>
      <c r="AK2308" s="239" t="s">
        <v>229</v>
      </c>
      <c r="AO2308" s="467"/>
      <c r="AT2308" s="467"/>
      <c r="AW2308" s="467" t="s">
        <v>160</v>
      </c>
      <c r="AX2308" s="239">
        <v>3</v>
      </c>
      <c r="AY2308" s="467"/>
      <c r="AZ2308" s="239" t="s">
        <v>141</v>
      </c>
      <c r="BD2308" s="239" t="s">
        <v>2323</v>
      </c>
      <c r="BF2308" s="239"/>
      <c r="BK2308" s="238">
        <v>390</v>
      </c>
      <c r="BL2308" s="466">
        <v>1360</v>
      </c>
      <c r="BN2308" s="469"/>
      <c r="BO2308" s="239" t="s">
        <v>2328</v>
      </c>
      <c r="BP2308" s="451"/>
      <c r="BQ2308" s="470"/>
      <c r="BR2308" s="239"/>
      <c r="BU2308" s="470"/>
      <c r="BV2308" s="470"/>
      <c r="BZ2308" s="470"/>
      <c r="CA2308" s="470"/>
      <c r="CE2308" s="603"/>
      <c r="CF2308" s="603"/>
      <c r="CG2308" s="603"/>
      <c r="CH2308" s="603"/>
      <c r="DZ2308" s="239"/>
      <c r="FU2308" s="471"/>
      <c r="JB2308" s="239"/>
    </row>
    <row r="2309" spans="1:262" s="245" customFormat="1" x14ac:dyDescent="0.25">
      <c r="A2309" s="245">
        <v>110</v>
      </c>
      <c r="B2309" s="246" t="s">
        <v>4285</v>
      </c>
      <c r="C2309" s="244" t="s">
        <v>2218</v>
      </c>
      <c r="D2309" s="245" t="s">
        <v>2308</v>
      </c>
      <c r="E2309" s="244">
        <v>1982</v>
      </c>
      <c r="F2309" s="245">
        <v>1977</v>
      </c>
      <c r="G2309" s="244" t="s">
        <v>1749</v>
      </c>
      <c r="H2309" s="244" t="s">
        <v>2309</v>
      </c>
      <c r="I2309" s="244" t="s">
        <v>2823</v>
      </c>
      <c r="J2309" s="245">
        <v>7.38</v>
      </c>
      <c r="K2309" s="245">
        <v>3.95</v>
      </c>
      <c r="L2309" s="244">
        <v>229.3</v>
      </c>
      <c r="M2309" s="244"/>
      <c r="O2309" s="244"/>
      <c r="R2309" s="245">
        <v>3</v>
      </c>
      <c r="S2309" s="244">
        <v>4</v>
      </c>
      <c r="U2309" s="245" t="s">
        <v>2310</v>
      </c>
      <c r="V2309" s="245" t="s">
        <v>1388</v>
      </c>
      <c r="W2309" s="245">
        <v>10</v>
      </c>
      <c r="X2309" s="245" t="s">
        <v>1382</v>
      </c>
      <c r="Y2309" s="245" t="s">
        <v>1382</v>
      </c>
      <c r="Z2309" s="245">
        <v>1.31</v>
      </c>
      <c r="AA2309" s="376">
        <v>69.3</v>
      </c>
      <c r="AB2309" s="376">
        <v>9.5</v>
      </c>
      <c r="AC2309" s="245" t="s">
        <v>240</v>
      </c>
      <c r="AE2309" s="245">
        <v>1.7</v>
      </c>
      <c r="AG2309" s="244" t="s">
        <v>2311</v>
      </c>
      <c r="AH2309" s="244" t="s">
        <v>2315</v>
      </c>
      <c r="AI2309" s="245" t="s">
        <v>1581</v>
      </c>
      <c r="AJ2309" s="244" t="s">
        <v>2327</v>
      </c>
      <c r="AK2309" s="245" t="s">
        <v>229</v>
      </c>
      <c r="AO2309" s="244"/>
      <c r="AT2309" s="244"/>
      <c r="AW2309" s="244" t="s">
        <v>160</v>
      </c>
      <c r="AX2309" s="245">
        <v>3</v>
      </c>
      <c r="AY2309" s="244"/>
      <c r="AZ2309" s="245" t="s">
        <v>141</v>
      </c>
      <c r="BD2309" s="245" t="s">
        <v>2323</v>
      </c>
      <c r="BK2309" s="244">
        <v>310</v>
      </c>
      <c r="BL2309" s="245">
        <v>80</v>
      </c>
      <c r="BN2309" s="248"/>
      <c r="BO2309" s="245" t="s">
        <v>2328</v>
      </c>
      <c r="BP2309" s="437"/>
      <c r="BQ2309" s="437"/>
      <c r="BU2309" s="437"/>
      <c r="BV2309" s="437"/>
      <c r="BZ2309" s="437"/>
      <c r="CA2309" s="437"/>
      <c r="CE2309" s="598"/>
      <c r="CF2309" s="598"/>
      <c r="CG2309" s="598"/>
      <c r="CH2309" s="598"/>
      <c r="FU2309" s="246"/>
    </row>
    <row r="2310" spans="1:262" s="245" customFormat="1" x14ac:dyDescent="0.25">
      <c r="A2310" s="245">
        <v>110</v>
      </c>
      <c r="B2310" s="246" t="s">
        <v>4285</v>
      </c>
      <c r="C2310" s="244" t="s">
        <v>2218</v>
      </c>
      <c r="D2310" s="245" t="s">
        <v>2308</v>
      </c>
      <c r="E2310" s="244">
        <v>1982</v>
      </c>
      <c r="F2310" s="245">
        <v>1977</v>
      </c>
      <c r="G2310" s="244" t="s">
        <v>1749</v>
      </c>
      <c r="H2310" s="244" t="s">
        <v>2309</v>
      </c>
      <c r="I2310" s="244" t="s">
        <v>2823</v>
      </c>
      <c r="J2310" s="245">
        <v>7.38</v>
      </c>
      <c r="K2310" s="245">
        <v>3.95</v>
      </c>
      <c r="L2310" s="244">
        <v>229.3</v>
      </c>
      <c r="M2310" s="244"/>
      <c r="O2310" s="244"/>
      <c r="R2310" s="245">
        <v>3</v>
      </c>
      <c r="S2310" s="244">
        <v>4</v>
      </c>
      <c r="U2310" s="245" t="s">
        <v>2310</v>
      </c>
      <c r="V2310" s="245" t="s">
        <v>1388</v>
      </c>
      <c r="W2310" s="245">
        <v>10</v>
      </c>
      <c r="X2310" s="245" t="s">
        <v>1382</v>
      </c>
      <c r="Y2310" s="245" t="s">
        <v>1382</v>
      </c>
      <c r="Z2310" s="245">
        <v>1.31</v>
      </c>
      <c r="AA2310" s="376">
        <v>69.3</v>
      </c>
      <c r="AB2310" s="376">
        <v>9.5</v>
      </c>
      <c r="AC2310" s="245" t="s">
        <v>240</v>
      </c>
      <c r="AE2310" s="245">
        <v>1.7</v>
      </c>
      <c r="AG2310" s="244" t="s">
        <v>2311</v>
      </c>
      <c r="AH2310" s="244" t="s">
        <v>2316</v>
      </c>
      <c r="AI2310" s="245" t="s">
        <v>1581</v>
      </c>
      <c r="AJ2310" s="244" t="s">
        <v>2327</v>
      </c>
      <c r="AK2310" s="245" t="s">
        <v>229</v>
      </c>
      <c r="AO2310" s="244"/>
      <c r="AT2310" s="244"/>
      <c r="AW2310" s="244" t="s">
        <v>160</v>
      </c>
      <c r="AX2310" s="245">
        <v>3</v>
      </c>
      <c r="AY2310" s="244"/>
      <c r="AZ2310" s="245" t="s">
        <v>141</v>
      </c>
      <c r="BD2310" s="245" t="s">
        <v>2323</v>
      </c>
      <c r="BK2310" s="244">
        <v>310</v>
      </c>
      <c r="BL2310" s="245">
        <v>890</v>
      </c>
      <c r="BN2310" s="248"/>
      <c r="BO2310" s="245" t="s">
        <v>2328</v>
      </c>
      <c r="BP2310" s="437"/>
      <c r="BQ2310" s="437"/>
      <c r="BU2310" s="437"/>
      <c r="BV2310" s="437"/>
      <c r="BZ2310" s="437"/>
      <c r="CA2310" s="437"/>
      <c r="CE2310" s="598"/>
      <c r="CF2310" s="598"/>
      <c r="CG2310" s="598"/>
      <c r="CH2310" s="598"/>
      <c r="FU2310" s="246"/>
    </row>
    <row r="2311" spans="1:262" s="245" customFormat="1" x14ac:dyDescent="0.25">
      <c r="A2311" s="245">
        <v>110</v>
      </c>
      <c r="B2311" s="246" t="s">
        <v>4285</v>
      </c>
      <c r="C2311" s="244" t="s">
        <v>2218</v>
      </c>
      <c r="D2311" s="245" t="s">
        <v>2308</v>
      </c>
      <c r="E2311" s="244">
        <v>1982</v>
      </c>
      <c r="F2311" s="245">
        <v>1977</v>
      </c>
      <c r="G2311" s="244" t="s">
        <v>1749</v>
      </c>
      <c r="H2311" s="244" t="s">
        <v>2309</v>
      </c>
      <c r="I2311" s="244" t="s">
        <v>2823</v>
      </c>
      <c r="J2311" s="245">
        <v>7.38</v>
      </c>
      <c r="K2311" s="245">
        <v>3.95</v>
      </c>
      <c r="L2311" s="244">
        <v>229.3</v>
      </c>
      <c r="M2311" s="244"/>
      <c r="O2311" s="244"/>
      <c r="R2311" s="245">
        <v>3</v>
      </c>
      <c r="S2311" s="244">
        <v>4</v>
      </c>
      <c r="U2311" s="245" t="s">
        <v>2310</v>
      </c>
      <c r="V2311" s="245" t="s">
        <v>1388</v>
      </c>
      <c r="W2311" s="245">
        <v>10</v>
      </c>
      <c r="X2311" s="245" t="s">
        <v>1382</v>
      </c>
      <c r="Y2311" s="245" t="s">
        <v>1382</v>
      </c>
      <c r="Z2311" s="245">
        <v>1.31</v>
      </c>
      <c r="AA2311" s="376">
        <v>69.3</v>
      </c>
      <c r="AB2311" s="376">
        <v>9.5</v>
      </c>
      <c r="AC2311" s="245" t="s">
        <v>240</v>
      </c>
      <c r="AE2311" s="245">
        <v>1.7</v>
      </c>
      <c r="AG2311" s="244" t="s">
        <v>2311</v>
      </c>
      <c r="AH2311" s="244" t="s">
        <v>2317</v>
      </c>
      <c r="AI2311" s="245" t="s">
        <v>1581</v>
      </c>
      <c r="AJ2311" s="244" t="s">
        <v>2327</v>
      </c>
      <c r="AK2311" s="245" t="s">
        <v>229</v>
      </c>
      <c r="AO2311" s="244"/>
      <c r="AT2311" s="244"/>
      <c r="AW2311" s="244" t="s">
        <v>160</v>
      </c>
      <c r="AX2311" s="245">
        <v>3</v>
      </c>
      <c r="AY2311" s="244"/>
      <c r="AZ2311" s="245" t="s">
        <v>141</v>
      </c>
      <c r="BD2311" s="245" t="s">
        <v>2323</v>
      </c>
      <c r="BK2311" s="244">
        <v>310</v>
      </c>
      <c r="BL2311" s="245">
        <v>70</v>
      </c>
      <c r="BN2311" s="248"/>
      <c r="BO2311" s="245" t="s">
        <v>2328</v>
      </c>
      <c r="BP2311" s="437"/>
      <c r="BQ2311" s="437"/>
      <c r="BU2311" s="437"/>
      <c r="BV2311" s="437"/>
      <c r="BZ2311" s="437"/>
      <c r="CA2311" s="437"/>
      <c r="CE2311" s="598"/>
      <c r="CF2311" s="598"/>
      <c r="CG2311" s="598"/>
      <c r="CH2311" s="598"/>
      <c r="FU2311" s="246"/>
    </row>
    <row r="2312" spans="1:262" s="472" customFormat="1" x14ac:dyDescent="0.25">
      <c r="A2312" s="472">
        <v>110</v>
      </c>
      <c r="B2312" s="477" t="s">
        <v>4286</v>
      </c>
      <c r="C2312" s="473" t="s">
        <v>2218</v>
      </c>
      <c r="D2312" s="472" t="s">
        <v>2308</v>
      </c>
      <c r="E2312" s="473">
        <v>1982</v>
      </c>
      <c r="F2312" s="245">
        <v>1977</v>
      </c>
      <c r="G2312" s="473" t="s">
        <v>1749</v>
      </c>
      <c r="H2312" s="473" t="s">
        <v>2309</v>
      </c>
      <c r="I2312" s="244" t="s">
        <v>2823</v>
      </c>
      <c r="J2312" s="472">
        <v>7.38</v>
      </c>
      <c r="K2312" s="472">
        <v>3.95</v>
      </c>
      <c r="L2312" s="473">
        <v>229.3</v>
      </c>
      <c r="M2312" s="473"/>
      <c r="O2312" s="473"/>
      <c r="R2312" s="245">
        <v>3</v>
      </c>
      <c r="S2312" s="473">
        <v>4</v>
      </c>
      <c r="U2312" s="472" t="s">
        <v>2310</v>
      </c>
      <c r="V2312" s="472" t="s">
        <v>1388</v>
      </c>
      <c r="W2312" s="472">
        <v>10</v>
      </c>
      <c r="X2312" s="472" t="s">
        <v>1382</v>
      </c>
      <c r="Y2312" s="472" t="s">
        <v>1382</v>
      </c>
      <c r="Z2312" s="472">
        <v>1.31</v>
      </c>
      <c r="AA2312" s="474">
        <v>69.3</v>
      </c>
      <c r="AB2312" s="474">
        <v>9.5</v>
      </c>
      <c r="AC2312" s="472" t="s">
        <v>240</v>
      </c>
      <c r="AE2312" s="472">
        <v>1.7</v>
      </c>
      <c r="AG2312" s="473" t="s">
        <v>2311</v>
      </c>
      <c r="AH2312" s="473" t="s">
        <v>2318</v>
      </c>
      <c r="AI2312" s="472" t="s">
        <v>577</v>
      </c>
      <c r="AJ2312" s="244" t="s">
        <v>2327</v>
      </c>
      <c r="AK2312" s="245" t="s">
        <v>229</v>
      </c>
      <c r="AO2312" s="473"/>
      <c r="AT2312" s="473"/>
      <c r="AW2312" s="473" t="s">
        <v>160</v>
      </c>
      <c r="AX2312" s="245">
        <v>3</v>
      </c>
      <c r="AY2312" s="473"/>
      <c r="AZ2312" s="245" t="s">
        <v>141</v>
      </c>
      <c r="BD2312" s="245" t="s">
        <v>2323</v>
      </c>
      <c r="BF2312" s="245"/>
      <c r="BK2312" s="244">
        <v>310</v>
      </c>
      <c r="BL2312" s="472">
        <v>690</v>
      </c>
      <c r="BN2312" s="475"/>
      <c r="BO2312" s="472" t="s">
        <v>2328</v>
      </c>
      <c r="BP2312" s="437"/>
      <c r="BQ2312" s="476"/>
      <c r="BR2312" s="245"/>
      <c r="BU2312" s="476"/>
      <c r="BV2312" s="476"/>
      <c r="BZ2312" s="476"/>
      <c r="CA2312" s="476"/>
      <c r="CE2312" s="604"/>
      <c r="CF2312" s="604"/>
      <c r="CG2312" s="604"/>
      <c r="CH2312" s="604"/>
      <c r="DZ2312" s="245"/>
      <c r="FU2312" s="477"/>
      <c r="JB2312" s="245"/>
    </row>
    <row r="2313" spans="1:262" s="472" customFormat="1" x14ac:dyDescent="0.25">
      <c r="A2313" s="472">
        <v>110</v>
      </c>
      <c r="B2313" s="477" t="s">
        <v>4286</v>
      </c>
      <c r="C2313" s="473" t="s">
        <v>2218</v>
      </c>
      <c r="D2313" s="472" t="s">
        <v>2308</v>
      </c>
      <c r="E2313" s="473">
        <v>1982</v>
      </c>
      <c r="F2313" s="245">
        <v>1977</v>
      </c>
      <c r="G2313" s="473" t="s">
        <v>1749</v>
      </c>
      <c r="H2313" s="473" t="s">
        <v>2309</v>
      </c>
      <c r="I2313" s="244" t="s">
        <v>2823</v>
      </c>
      <c r="J2313" s="472">
        <v>7.38</v>
      </c>
      <c r="K2313" s="472">
        <v>3.95</v>
      </c>
      <c r="L2313" s="473">
        <v>229.3</v>
      </c>
      <c r="M2313" s="473"/>
      <c r="O2313" s="473"/>
      <c r="R2313" s="245">
        <v>3</v>
      </c>
      <c r="S2313" s="473">
        <v>4</v>
      </c>
      <c r="U2313" s="472" t="s">
        <v>2310</v>
      </c>
      <c r="V2313" s="472" t="s">
        <v>1388</v>
      </c>
      <c r="W2313" s="472">
        <v>10</v>
      </c>
      <c r="X2313" s="472" t="s">
        <v>1382</v>
      </c>
      <c r="Y2313" s="472" t="s">
        <v>1382</v>
      </c>
      <c r="Z2313" s="472">
        <v>1.31</v>
      </c>
      <c r="AA2313" s="474">
        <v>69.3</v>
      </c>
      <c r="AB2313" s="474">
        <v>9.5</v>
      </c>
      <c r="AC2313" s="472" t="s">
        <v>240</v>
      </c>
      <c r="AE2313" s="472">
        <v>1.7</v>
      </c>
      <c r="AG2313" s="473" t="s">
        <v>2311</v>
      </c>
      <c r="AH2313" s="473" t="s">
        <v>2319</v>
      </c>
      <c r="AI2313" s="472" t="s">
        <v>577</v>
      </c>
      <c r="AJ2313" s="244" t="s">
        <v>2327</v>
      </c>
      <c r="AK2313" s="245" t="s">
        <v>229</v>
      </c>
      <c r="AO2313" s="473"/>
      <c r="AT2313" s="473"/>
      <c r="AW2313" s="473" t="s">
        <v>160</v>
      </c>
      <c r="AX2313" s="245">
        <v>3</v>
      </c>
      <c r="AY2313" s="473"/>
      <c r="AZ2313" s="245" t="s">
        <v>141</v>
      </c>
      <c r="BD2313" s="245" t="s">
        <v>2323</v>
      </c>
      <c r="BF2313" s="245"/>
      <c r="BK2313" s="244">
        <v>310</v>
      </c>
      <c r="BL2313" s="472">
        <v>1610</v>
      </c>
      <c r="BN2313" s="475"/>
      <c r="BO2313" s="472" t="s">
        <v>2328</v>
      </c>
      <c r="BP2313" s="437"/>
      <c r="BQ2313" s="476"/>
      <c r="BR2313" s="245"/>
      <c r="BU2313" s="476"/>
      <c r="BV2313" s="476"/>
      <c r="BZ2313" s="476"/>
      <c r="CA2313" s="476"/>
      <c r="CE2313" s="604"/>
      <c r="CF2313" s="604"/>
      <c r="CG2313" s="604"/>
      <c r="CH2313" s="604"/>
      <c r="DZ2313" s="245"/>
      <c r="FU2313" s="477"/>
      <c r="JB2313" s="245"/>
    </row>
    <row r="2314" spans="1:262" s="472" customFormat="1" x14ac:dyDescent="0.25">
      <c r="A2314" s="472">
        <v>110</v>
      </c>
      <c r="B2314" s="477" t="s">
        <v>4286</v>
      </c>
      <c r="C2314" s="473" t="s">
        <v>2218</v>
      </c>
      <c r="D2314" s="472" t="s">
        <v>2308</v>
      </c>
      <c r="E2314" s="473">
        <v>1982</v>
      </c>
      <c r="F2314" s="245">
        <v>1977</v>
      </c>
      <c r="G2314" s="473" t="s">
        <v>1749</v>
      </c>
      <c r="H2314" s="473" t="s">
        <v>2309</v>
      </c>
      <c r="I2314" s="244" t="s">
        <v>2823</v>
      </c>
      <c r="J2314" s="472">
        <v>7.38</v>
      </c>
      <c r="K2314" s="472">
        <v>3.95</v>
      </c>
      <c r="L2314" s="473">
        <v>229.3</v>
      </c>
      <c r="M2314" s="473"/>
      <c r="O2314" s="473"/>
      <c r="R2314" s="245">
        <v>3</v>
      </c>
      <c r="S2314" s="473">
        <v>4</v>
      </c>
      <c r="U2314" s="472" t="s">
        <v>2310</v>
      </c>
      <c r="V2314" s="472" t="s">
        <v>1388</v>
      </c>
      <c r="W2314" s="472">
        <v>10</v>
      </c>
      <c r="X2314" s="472" t="s">
        <v>1382</v>
      </c>
      <c r="Y2314" s="472" t="s">
        <v>1382</v>
      </c>
      <c r="Z2314" s="472">
        <v>1.31</v>
      </c>
      <c r="AA2314" s="474">
        <v>69.3</v>
      </c>
      <c r="AB2314" s="474">
        <v>9.5</v>
      </c>
      <c r="AC2314" s="472" t="s">
        <v>240</v>
      </c>
      <c r="AE2314" s="472">
        <v>1.7</v>
      </c>
      <c r="AG2314" s="473" t="s">
        <v>2311</v>
      </c>
      <c r="AH2314" s="473" t="s">
        <v>2320</v>
      </c>
      <c r="AI2314" s="472" t="s">
        <v>577</v>
      </c>
      <c r="AJ2314" s="244" t="s">
        <v>2327</v>
      </c>
      <c r="AK2314" s="245" t="s">
        <v>229</v>
      </c>
      <c r="AO2314" s="473"/>
      <c r="AT2314" s="473"/>
      <c r="AW2314" s="473" t="s">
        <v>160</v>
      </c>
      <c r="AX2314" s="245">
        <v>3</v>
      </c>
      <c r="AY2314" s="473"/>
      <c r="AZ2314" s="245" t="s">
        <v>141</v>
      </c>
      <c r="BD2314" s="245" t="s">
        <v>2323</v>
      </c>
      <c r="BF2314" s="245"/>
      <c r="BK2314" s="244">
        <v>310</v>
      </c>
      <c r="BL2314" s="472">
        <v>580</v>
      </c>
      <c r="BN2314" s="475"/>
      <c r="BO2314" s="472" t="s">
        <v>2328</v>
      </c>
      <c r="BP2314" s="437"/>
      <c r="BQ2314" s="476"/>
      <c r="BR2314" s="245"/>
      <c r="BU2314" s="476"/>
      <c r="BV2314" s="476"/>
      <c r="BZ2314" s="476"/>
      <c r="CA2314" s="476"/>
      <c r="CE2314" s="604"/>
      <c r="CF2314" s="604"/>
      <c r="CG2314" s="604"/>
      <c r="CH2314" s="604"/>
      <c r="DZ2314" s="245"/>
      <c r="FU2314" s="477"/>
      <c r="JB2314" s="245"/>
    </row>
    <row r="2315" spans="1:262" s="472" customFormat="1" x14ac:dyDescent="0.25">
      <c r="A2315" s="472">
        <v>110</v>
      </c>
      <c r="B2315" s="477" t="s">
        <v>4286</v>
      </c>
      <c r="C2315" s="473" t="s">
        <v>2218</v>
      </c>
      <c r="D2315" s="472" t="s">
        <v>2308</v>
      </c>
      <c r="E2315" s="473">
        <v>1982</v>
      </c>
      <c r="F2315" s="245">
        <v>1977</v>
      </c>
      <c r="G2315" s="473" t="s">
        <v>1749</v>
      </c>
      <c r="H2315" s="473" t="s">
        <v>2309</v>
      </c>
      <c r="I2315" s="244" t="s">
        <v>2823</v>
      </c>
      <c r="J2315" s="472">
        <v>7.38</v>
      </c>
      <c r="K2315" s="472">
        <v>3.95</v>
      </c>
      <c r="L2315" s="473">
        <v>229.3</v>
      </c>
      <c r="M2315" s="473"/>
      <c r="O2315" s="473"/>
      <c r="R2315" s="245">
        <v>3</v>
      </c>
      <c r="S2315" s="473">
        <v>4</v>
      </c>
      <c r="U2315" s="472" t="s">
        <v>2310</v>
      </c>
      <c r="V2315" s="472" t="s">
        <v>1388</v>
      </c>
      <c r="W2315" s="472">
        <v>10</v>
      </c>
      <c r="X2315" s="472" t="s">
        <v>1382</v>
      </c>
      <c r="Y2315" s="472" t="s">
        <v>1382</v>
      </c>
      <c r="Z2315" s="472">
        <v>1.31</v>
      </c>
      <c r="AA2315" s="474">
        <v>69.3</v>
      </c>
      <c r="AB2315" s="474">
        <v>9.5</v>
      </c>
      <c r="AC2315" s="472" t="s">
        <v>240</v>
      </c>
      <c r="AE2315" s="472">
        <v>1.7</v>
      </c>
      <c r="AG2315" s="473" t="s">
        <v>2311</v>
      </c>
      <c r="AH2315" s="473" t="s">
        <v>2321</v>
      </c>
      <c r="AI2315" s="472" t="s">
        <v>577</v>
      </c>
      <c r="AJ2315" s="244" t="s">
        <v>2327</v>
      </c>
      <c r="AK2315" s="245" t="s">
        <v>229</v>
      </c>
      <c r="AO2315" s="473"/>
      <c r="AT2315" s="473"/>
      <c r="AW2315" s="473" t="s">
        <v>160</v>
      </c>
      <c r="AX2315" s="245">
        <v>3</v>
      </c>
      <c r="AY2315" s="473"/>
      <c r="AZ2315" s="245" t="s">
        <v>141</v>
      </c>
      <c r="BD2315" s="245" t="s">
        <v>2323</v>
      </c>
      <c r="BF2315" s="245"/>
      <c r="BK2315" s="244">
        <v>310</v>
      </c>
      <c r="BL2315" s="472">
        <v>1250</v>
      </c>
      <c r="BN2315" s="475"/>
      <c r="BO2315" s="472" t="s">
        <v>2328</v>
      </c>
      <c r="BP2315" s="437"/>
      <c r="BQ2315" s="476"/>
      <c r="BR2315" s="245"/>
      <c r="BU2315" s="476"/>
      <c r="BV2315" s="476"/>
      <c r="BZ2315" s="476"/>
      <c r="CA2315" s="476"/>
      <c r="CE2315" s="604"/>
      <c r="CF2315" s="604"/>
      <c r="CG2315" s="604"/>
      <c r="CH2315" s="604"/>
      <c r="DZ2315" s="245"/>
      <c r="FU2315" s="477"/>
      <c r="JB2315" s="245"/>
    </row>
    <row r="2316" spans="1:262" s="472" customFormat="1" x14ac:dyDescent="0.25">
      <c r="A2316" s="472">
        <v>110</v>
      </c>
      <c r="B2316" s="477" t="s">
        <v>4286</v>
      </c>
      <c r="C2316" s="473" t="s">
        <v>2218</v>
      </c>
      <c r="D2316" s="472" t="s">
        <v>2308</v>
      </c>
      <c r="E2316" s="473">
        <v>1982</v>
      </c>
      <c r="F2316" s="245">
        <v>1977</v>
      </c>
      <c r="G2316" s="473" t="s">
        <v>1749</v>
      </c>
      <c r="H2316" s="473" t="s">
        <v>2309</v>
      </c>
      <c r="I2316" s="244" t="s">
        <v>2823</v>
      </c>
      <c r="J2316" s="472">
        <v>7.38</v>
      </c>
      <c r="K2316" s="472">
        <v>3.95</v>
      </c>
      <c r="L2316" s="473">
        <v>229.3</v>
      </c>
      <c r="M2316" s="473"/>
      <c r="O2316" s="473"/>
      <c r="R2316" s="245">
        <v>3</v>
      </c>
      <c r="S2316" s="473">
        <v>4</v>
      </c>
      <c r="U2316" s="472" t="s">
        <v>2310</v>
      </c>
      <c r="V2316" s="472" t="s">
        <v>1388</v>
      </c>
      <c r="W2316" s="472">
        <v>10</v>
      </c>
      <c r="X2316" s="472" t="s">
        <v>1382</v>
      </c>
      <c r="Y2316" s="472" t="s">
        <v>1382</v>
      </c>
      <c r="Z2316" s="472">
        <v>1.31</v>
      </c>
      <c r="AA2316" s="474">
        <v>69.3</v>
      </c>
      <c r="AB2316" s="474">
        <v>9.5</v>
      </c>
      <c r="AC2316" s="472" t="s">
        <v>240</v>
      </c>
      <c r="AE2316" s="472">
        <v>1.7</v>
      </c>
      <c r="AG2316" s="473" t="s">
        <v>2311</v>
      </c>
      <c r="AH2316" s="473" t="s">
        <v>2322</v>
      </c>
      <c r="AI2316" s="472" t="s">
        <v>577</v>
      </c>
      <c r="AJ2316" s="244" t="s">
        <v>2327</v>
      </c>
      <c r="AK2316" s="245" t="s">
        <v>229</v>
      </c>
      <c r="AO2316" s="473"/>
      <c r="AT2316" s="473"/>
      <c r="AW2316" s="473" t="s">
        <v>160</v>
      </c>
      <c r="AX2316" s="245">
        <v>3</v>
      </c>
      <c r="AY2316" s="473"/>
      <c r="AZ2316" s="245" t="s">
        <v>141</v>
      </c>
      <c r="BD2316" s="245" t="s">
        <v>2323</v>
      </c>
      <c r="BF2316" s="245"/>
      <c r="BK2316" s="244">
        <v>310</v>
      </c>
      <c r="BL2316" s="472">
        <v>530</v>
      </c>
      <c r="BN2316" s="475"/>
      <c r="BO2316" s="472" t="s">
        <v>2328</v>
      </c>
      <c r="BP2316" s="437"/>
      <c r="BQ2316" s="476"/>
      <c r="BR2316" s="245"/>
      <c r="BU2316" s="476"/>
      <c r="BV2316" s="476"/>
      <c r="BZ2316" s="476"/>
      <c r="CA2316" s="476"/>
      <c r="CE2316" s="604"/>
      <c r="CF2316" s="604"/>
      <c r="CG2316" s="604"/>
      <c r="CH2316" s="604"/>
      <c r="DZ2316" s="245"/>
      <c r="FU2316" s="477"/>
      <c r="JB2316" s="245"/>
    </row>
    <row r="2317" spans="1:262" s="239" customFormat="1" x14ac:dyDescent="0.25">
      <c r="A2317" s="239">
        <v>110</v>
      </c>
      <c r="B2317" s="240" t="s">
        <v>4285</v>
      </c>
      <c r="C2317" s="238" t="s">
        <v>2218</v>
      </c>
      <c r="D2317" s="239" t="s">
        <v>2308</v>
      </c>
      <c r="E2317" s="238">
        <v>1982</v>
      </c>
      <c r="F2317" s="239">
        <v>1977</v>
      </c>
      <c r="G2317" s="238" t="s">
        <v>1749</v>
      </c>
      <c r="H2317" s="238" t="s">
        <v>2309</v>
      </c>
      <c r="I2317" s="244" t="s">
        <v>2823</v>
      </c>
      <c r="J2317" s="239">
        <v>7.38</v>
      </c>
      <c r="K2317" s="239">
        <v>3.95</v>
      </c>
      <c r="L2317" s="238">
        <v>229.3</v>
      </c>
      <c r="M2317" s="238"/>
      <c r="O2317" s="238"/>
      <c r="R2317" s="239">
        <v>4</v>
      </c>
      <c r="S2317" s="238">
        <v>4</v>
      </c>
      <c r="U2317" s="239" t="s">
        <v>2310</v>
      </c>
      <c r="V2317" s="239" t="s">
        <v>1388</v>
      </c>
      <c r="W2317" s="239">
        <v>10</v>
      </c>
      <c r="X2317" s="239" t="s">
        <v>1382</v>
      </c>
      <c r="Y2317" s="239" t="s">
        <v>1382</v>
      </c>
      <c r="Z2317" s="239">
        <v>1.31</v>
      </c>
      <c r="AA2317" s="374">
        <v>69.3</v>
      </c>
      <c r="AB2317" s="374">
        <v>9.5</v>
      </c>
      <c r="AC2317" s="239" t="s">
        <v>240</v>
      </c>
      <c r="AE2317" s="239">
        <v>1.7</v>
      </c>
      <c r="AG2317" s="238" t="s">
        <v>2311</v>
      </c>
      <c r="AH2317" s="238" t="s">
        <v>2315</v>
      </c>
      <c r="AI2317" s="239" t="s">
        <v>1581</v>
      </c>
      <c r="AJ2317" s="238" t="s">
        <v>2327</v>
      </c>
      <c r="AK2317" s="239" t="s">
        <v>229</v>
      </c>
      <c r="AO2317" s="238"/>
      <c r="AT2317" s="238"/>
      <c r="AW2317" s="238" t="s">
        <v>160</v>
      </c>
      <c r="AX2317" s="239">
        <v>3</v>
      </c>
      <c r="AY2317" s="238"/>
      <c r="AZ2317" s="239" t="s">
        <v>141</v>
      </c>
      <c r="BD2317" s="239" t="s">
        <v>2324</v>
      </c>
      <c r="BK2317" s="238">
        <v>1440</v>
      </c>
      <c r="BL2317" s="239">
        <v>1490</v>
      </c>
      <c r="BN2317" s="242"/>
      <c r="BO2317" s="239" t="s">
        <v>2328</v>
      </c>
      <c r="BP2317" s="451"/>
      <c r="BQ2317" s="451"/>
      <c r="BU2317" s="451"/>
      <c r="BV2317" s="451"/>
      <c r="BZ2317" s="451"/>
      <c r="CA2317" s="451"/>
      <c r="CE2317" s="597"/>
      <c r="CF2317" s="597"/>
      <c r="CG2317" s="597"/>
      <c r="CH2317" s="597"/>
      <c r="FU2317" s="240"/>
    </row>
    <row r="2318" spans="1:262" s="239" customFormat="1" x14ac:dyDescent="0.25">
      <c r="A2318" s="239">
        <v>110</v>
      </c>
      <c r="B2318" s="240" t="s">
        <v>4285</v>
      </c>
      <c r="C2318" s="238" t="s">
        <v>2218</v>
      </c>
      <c r="D2318" s="239" t="s">
        <v>2308</v>
      </c>
      <c r="E2318" s="238">
        <v>1982</v>
      </c>
      <c r="F2318" s="239">
        <v>1977</v>
      </c>
      <c r="G2318" s="238" t="s">
        <v>1749</v>
      </c>
      <c r="H2318" s="238" t="s">
        <v>2309</v>
      </c>
      <c r="I2318" s="244" t="s">
        <v>2823</v>
      </c>
      <c r="J2318" s="239">
        <v>7.38</v>
      </c>
      <c r="K2318" s="239">
        <v>3.95</v>
      </c>
      <c r="L2318" s="238">
        <v>229.3</v>
      </c>
      <c r="M2318" s="238"/>
      <c r="O2318" s="238"/>
      <c r="R2318" s="239">
        <v>4</v>
      </c>
      <c r="S2318" s="238">
        <v>4</v>
      </c>
      <c r="U2318" s="239" t="s">
        <v>2310</v>
      </c>
      <c r="V2318" s="239" t="s">
        <v>1388</v>
      </c>
      <c r="W2318" s="239">
        <v>10</v>
      </c>
      <c r="X2318" s="239" t="s">
        <v>1382</v>
      </c>
      <c r="Y2318" s="239" t="s">
        <v>1382</v>
      </c>
      <c r="Z2318" s="239">
        <v>1.31</v>
      </c>
      <c r="AA2318" s="374">
        <v>69.3</v>
      </c>
      <c r="AB2318" s="374">
        <v>9.5</v>
      </c>
      <c r="AC2318" s="239" t="s">
        <v>240</v>
      </c>
      <c r="AE2318" s="239">
        <v>1.7</v>
      </c>
      <c r="AG2318" s="238" t="s">
        <v>2311</v>
      </c>
      <c r="AH2318" s="238" t="s">
        <v>2316</v>
      </c>
      <c r="AI2318" s="239" t="s">
        <v>1581</v>
      </c>
      <c r="AJ2318" s="238" t="s">
        <v>2327</v>
      </c>
      <c r="AK2318" s="239" t="s">
        <v>229</v>
      </c>
      <c r="AO2318" s="238"/>
      <c r="AT2318" s="238"/>
      <c r="AW2318" s="238" t="s">
        <v>160</v>
      </c>
      <c r="AX2318" s="239">
        <v>3</v>
      </c>
      <c r="AY2318" s="238"/>
      <c r="AZ2318" s="239" t="s">
        <v>141</v>
      </c>
      <c r="BD2318" s="239" t="s">
        <v>2324</v>
      </c>
      <c r="BK2318" s="238">
        <v>1440</v>
      </c>
      <c r="BL2318" s="239">
        <v>140</v>
      </c>
      <c r="BN2318" s="242"/>
      <c r="BO2318" s="239" t="s">
        <v>2328</v>
      </c>
      <c r="BP2318" s="451"/>
      <c r="BQ2318" s="451"/>
      <c r="BU2318" s="451"/>
      <c r="BV2318" s="451"/>
      <c r="BZ2318" s="451"/>
      <c r="CA2318" s="451"/>
      <c r="CE2318" s="597"/>
      <c r="CF2318" s="597"/>
      <c r="CG2318" s="597"/>
      <c r="CH2318" s="597"/>
      <c r="FU2318" s="240"/>
    </row>
    <row r="2319" spans="1:262" s="239" customFormat="1" x14ac:dyDescent="0.25">
      <c r="A2319" s="239">
        <v>110</v>
      </c>
      <c r="B2319" s="240" t="s">
        <v>4285</v>
      </c>
      <c r="C2319" s="238" t="s">
        <v>2218</v>
      </c>
      <c r="D2319" s="239" t="s">
        <v>2308</v>
      </c>
      <c r="E2319" s="238">
        <v>1982</v>
      </c>
      <c r="F2319" s="239">
        <v>1977</v>
      </c>
      <c r="G2319" s="238" t="s">
        <v>1749</v>
      </c>
      <c r="H2319" s="238" t="s">
        <v>2309</v>
      </c>
      <c r="I2319" s="244" t="s">
        <v>2823</v>
      </c>
      <c r="J2319" s="239">
        <v>7.38</v>
      </c>
      <c r="K2319" s="239">
        <v>3.95</v>
      </c>
      <c r="L2319" s="238">
        <v>229.3</v>
      </c>
      <c r="M2319" s="238"/>
      <c r="O2319" s="238"/>
      <c r="R2319" s="239">
        <v>4</v>
      </c>
      <c r="S2319" s="238">
        <v>4</v>
      </c>
      <c r="U2319" s="239" t="s">
        <v>2310</v>
      </c>
      <c r="V2319" s="239" t="s">
        <v>1388</v>
      </c>
      <c r="W2319" s="239">
        <v>10</v>
      </c>
      <c r="X2319" s="239" t="s">
        <v>1382</v>
      </c>
      <c r="Y2319" s="239" t="s">
        <v>1382</v>
      </c>
      <c r="Z2319" s="239">
        <v>1.31</v>
      </c>
      <c r="AA2319" s="374">
        <v>69.3</v>
      </c>
      <c r="AB2319" s="374">
        <v>9.5</v>
      </c>
      <c r="AC2319" s="239" t="s">
        <v>240</v>
      </c>
      <c r="AE2319" s="239">
        <v>1.7</v>
      </c>
      <c r="AG2319" s="238" t="s">
        <v>2311</v>
      </c>
      <c r="AH2319" s="238" t="s">
        <v>2317</v>
      </c>
      <c r="AI2319" s="239" t="s">
        <v>1581</v>
      </c>
      <c r="AJ2319" s="238" t="s">
        <v>2327</v>
      </c>
      <c r="AK2319" s="239" t="s">
        <v>229</v>
      </c>
      <c r="AO2319" s="238"/>
      <c r="AT2319" s="238"/>
      <c r="AW2319" s="238" t="s">
        <v>160</v>
      </c>
      <c r="AX2319" s="239">
        <v>3</v>
      </c>
      <c r="AY2319" s="238"/>
      <c r="AZ2319" s="239" t="s">
        <v>141</v>
      </c>
      <c r="BD2319" s="239" t="s">
        <v>2324</v>
      </c>
      <c r="BK2319" s="238"/>
      <c r="BN2319" s="242"/>
      <c r="BO2319" s="239" t="s">
        <v>2328</v>
      </c>
      <c r="BP2319" s="451"/>
      <c r="BQ2319" s="451"/>
      <c r="BU2319" s="451"/>
      <c r="BV2319" s="451"/>
      <c r="BZ2319" s="451"/>
      <c r="CA2319" s="451"/>
      <c r="CE2319" s="597"/>
      <c r="CF2319" s="597"/>
      <c r="CG2319" s="597"/>
      <c r="CH2319" s="597"/>
      <c r="FU2319" s="240"/>
    </row>
    <row r="2320" spans="1:262" s="466" customFormat="1" x14ac:dyDescent="0.25">
      <c r="A2320" s="466">
        <v>110</v>
      </c>
      <c r="B2320" s="471" t="s">
        <v>4286</v>
      </c>
      <c r="C2320" s="467" t="s">
        <v>2218</v>
      </c>
      <c r="D2320" s="466" t="s">
        <v>2308</v>
      </c>
      <c r="E2320" s="467">
        <v>1982</v>
      </c>
      <c r="F2320" s="239">
        <v>1977</v>
      </c>
      <c r="G2320" s="467" t="s">
        <v>1749</v>
      </c>
      <c r="H2320" s="467" t="s">
        <v>2309</v>
      </c>
      <c r="I2320" s="244" t="s">
        <v>2823</v>
      </c>
      <c r="J2320" s="466">
        <v>7.38</v>
      </c>
      <c r="K2320" s="466">
        <v>3.95</v>
      </c>
      <c r="L2320" s="467">
        <v>229.3</v>
      </c>
      <c r="M2320" s="467"/>
      <c r="O2320" s="467"/>
      <c r="R2320" s="239">
        <v>4</v>
      </c>
      <c r="S2320" s="467">
        <v>4</v>
      </c>
      <c r="U2320" s="466" t="s">
        <v>2310</v>
      </c>
      <c r="V2320" s="466" t="s">
        <v>1388</v>
      </c>
      <c r="W2320" s="466">
        <v>10</v>
      </c>
      <c r="X2320" s="466" t="s">
        <v>1382</v>
      </c>
      <c r="Y2320" s="466" t="s">
        <v>1382</v>
      </c>
      <c r="Z2320" s="466">
        <v>1.31</v>
      </c>
      <c r="AA2320" s="468">
        <v>69.3</v>
      </c>
      <c r="AB2320" s="468">
        <v>9.5</v>
      </c>
      <c r="AC2320" s="466" t="s">
        <v>240</v>
      </c>
      <c r="AE2320" s="466">
        <v>1.7</v>
      </c>
      <c r="AG2320" s="467" t="s">
        <v>2311</v>
      </c>
      <c r="AH2320" s="467" t="s">
        <v>2318</v>
      </c>
      <c r="AI2320" s="466" t="s">
        <v>577</v>
      </c>
      <c r="AJ2320" s="238" t="s">
        <v>2327</v>
      </c>
      <c r="AK2320" s="239" t="s">
        <v>229</v>
      </c>
      <c r="AO2320" s="467"/>
      <c r="AT2320" s="467"/>
      <c r="AW2320" s="467" t="s">
        <v>160</v>
      </c>
      <c r="AX2320" s="239">
        <v>3</v>
      </c>
      <c r="AY2320" s="467"/>
      <c r="AZ2320" s="239" t="s">
        <v>141</v>
      </c>
      <c r="BD2320" s="239" t="s">
        <v>2324</v>
      </c>
      <c r="BF2320" s="239"/>
      <c r="BK2320" s="238">
        <v>1440</v>
      </c>
      <c r="BL2320" s="466">
        <v>580</v>
      </c>
      <c r="BN2320" s="469"/>
      <c r="BO2320" s="239" t="s">
        <v>2328</v>
      </c>
      <c r="BP2320" s="451"/>
      <c r="BQ2320" s="470"/>
      <c r="BR2320" s="239"/>
      <c r="BU2320" s="470"/>
      <c r="BV2320" s="470"/>
      <c r="BZ2320" s="470"/>
      <c r="CA2320" s="470"/>
      <c r="CE2320" s="603"/>
      <c r="CF2320" s="603"/>
      <c r="CG2320" s="603"/>
      <c r="CH2320" s="603"/>
      <c r="DZ2320" s="239"/>
      <c r="FU2320" s="471"/>
      <c r="JB2320" s="239"/>
    </row>
    <row r="2321" spans="1:264" s="466" customFormat="1" x14ac:dyDescent="0.25">
      <c r="A2321" s="466">
        <v>110</v>
      </c>
      <c r="B2321" s="471" t="s">
        <v>4286</v>
      </c>
      <c r="C2321" s="467" t="s">
        <v>2218</v>
      </c>
      <c r="D2321" s="466" t="s">
        <v>2308</v>
      </c>
      <c r="E2321" s="467">
        <v>1982</v>
      </c>
      <c r="F2321" s="239">
        <v>1977</v>
      </c>
      <c r="G2321" s="467" t="s">
        <v>1749</v>
      </c>
      <c r="H2321" s="467" t="s">
        <v>2309</v>
      </c>
      <c r="I2321" s="244" t="s">
        <v>2823</v>
      </c>
      <c r="J2321" s="466">
        <v>7.38</v>
      </c>
      <c r="K2321" s="466">
        <v>3.95</v>
      </c>
      <c r="L2321" s="467">
        <v>229.3</v>
      </c>
      <c r="M2321" s="467"/>
      <c r="O2321" s="467"/>
      <c r="R2321" s="239">
        <v>4</v>
      </c>
      <c r="S2321" s="467">
        <v>4</v>
      </c>
      <c r="U2321" s="466" t="s">
        <v>2310</v>
      </c>
      <c r="V2321" s="466" t="s">
        <v>1388</v>
      </c>
      <c r="W2321" s="466">
        <v>10</v>
      </c>
      <c r="X2321" s="466" t="s">
        <v>1382</v>
      </c>
      <c r="Y2321" s="466" t="s">
        <v>1382</v>
      </c>
      <c r="Z2321" s="466">
        <v>1.31</v>
      </c>
      <c r="AA2321" s="468">
        <v>69.3</v>
      </c>
      <c r="AB2321" s="468">
        <v>9.5</v>
      </c>
      <c r="AC2321" s="466" t="s">
        <v>240</v>
      </c>
      <c r="AE2321" s="466">
        <v>1.7</v>
      </c>
      <c r="AG2321" s="467" t="s">
        <v>2311</v>
      </c>
      <c r="AH2321" s="467" t="s">
        <v>2319</v>
      </c>
      <c r="AI2321" s="466" t="s">
        <v>577</v>
      </c>
      <c r="AJ2321" s="238" t="s">
        <v>2327</v>
      </c>
      <c r="AK2321" s="239" t="s">
        <v>229</v>
      </c>
      <c r="AO2321" s="467"/>
      <c r="AT2321" s="467"/>
      <c r="AW2321" s="467" t="s">
        <v>160</v>
      </c>
      <c r="AX2321" s="239">
        <v>3</v>
      </c>
      <c r="AY2321" s="467"/>
      <c r="AZ2321" s="239" t="s">
        <v>141</v>
      </c>
      <c r="BD2321" s="239" t="s">
        <v>2324</v>
      </c>
      <c r="BF2321" s="239"/>
      <c r="BK2321" s="238">
        <v>1440</v>
      </c>
      <c r="BL2321" s="466">
        <v>2440</v>
      </c>
      <c r="BN2321" s="469"/>
      <c r="BO2321" s="239" t="s">
        <v>2328</v>
      </c>
      <c r="BP2321" s="451"/>
      <c r="BQ2321" s="470"/>
      <c r="BR2321" s="239"/>
      <c r="BU2321" s="470"/>
      <c r="BV2321" s="470"/>
      <c r="BZ2321" s="470"/>
      <c r="CA2321" s="470"/>
      <c r="CE2321" s="603"/>
      <c r="CF2321" s="603"/>
      <c r="CG2321" s="603"/>
      <c r="CH2321" s="603"/>
      <c r="DZ2321" s="239"/>
      <c r="FU2321" s="471"/>
      <c r="JB2321" s="239"/>
    </row>
    <row r="2322" spans="1:264" s="466" customFormat="1" x14ac:dyDescent="0.25">
      <c r="A2322" s="466">
        <v>110</v>
      </c>
      <c r="B2322" s="471" t="s">
        <v>4286</v>
      </c>
      <c r="C2322" s="467" t="s">
        <v>2218</v>
      </c>
      <c r="D2322" s="466" t="s">
        <v>2308</v>
      </c>
      <c r="E2322" s="467">
        <v>1982</v>
      </c>
      <c r="F2322" s="239">
        <v>1977</v>
      </c>
      <c r="G2322" s="467" t="s">
        <v>1749</v>
      </c>
      <c r="H2322" s="467" t="s">
        <v>2309</v>
      </c>
      <c r="I2322" s="244" t="s">
        <v>2823</v>
      </c>
      <c r="J2322" s="466">
        <v>7.38</v>
      </c>
      <c r="K2322" s="466">
        <v>3.95</v>
      </c>
      <c r="L2322" s="467">
        <v>229.3</v>
      </c>
      <c r="M2322" s="467"/>
      <c r="O2322" s="467"/>
      <c r="R2322" s="239">
        <v>4</v>
      </c>
      <c r="S2322" s="467">
        <v>4</v>
      </c>
      <c r="U2322" s="466" t="s">
        <v>2310</v>
      </c>
      <c r="V2322" s="466" t="s">
        <v>1388</v>
      </c>
      <c r="W2322" s="466">
        <v>10</v>
      </c>
      <c r="X2322" s="466" t="s">
        <v>1382</v>
      </c>
      <c r="Y2322" s="466" t="s">
        <v>1382</v>
      </c>
      <c r="Z2322" s="466">
        <v>1.31</v>
      </c>
      <c r="AA2322" s="468">
        <v>69.3</v>
      </c>
      <c r="AB2322" s="468">
        <v>9.5</v>
      </c>
      <c r="AC2322" s="466" t="s">
        <v>240</v>
      </c>
      <c r="AE2322" s="466">
        <v>1.7</v>
      </c>
      <c r="AG2322" s="467" t="s">
        <v>2311</v>
      </c>
      <c r="AH2322" s="467" t="s">
        <v>2320</v>
      </c>
      <c r="AI2322" s="466" t="s">
        <v>577</v>
      </c>
      <c r="AJ2322" s="238" t="s">
        <v>2327</v>
      </c>
      <c r="AK2322" s="239" t="s">
        <v>229</v>
      </c>
      <c r="AO2322" s="467"/>
      <c r="AT2322" s="467"/>
      <c r="AW2322" s="467" t="s">
        <v>160</v>
      </c>
      <c r="AX2322" s="239">
        <v>3</v>
      </c>
      <c r="AY2322" s="467"/>
      <c r="AZ2322" s="239" t="s">
        <v>141</v>
      </c>
      <c r="BD2322" s="239" t="s">
        <v>2324</v>
      </c>
      <c r="BF2322" s="239"/>
      <c r="BK2322" s="238">
        <v>1440</v>
      </c>
      <c r="BL2322" s="466">
        <v>2310</v>
      </c>
      <c r="BN2322" s="469"/>
      <c r="BO2322" s="239" t="s">
        <v>2328</v>
      </c>
      <c r="BP2322" s="451"/>
      <c r="BQ2322" s="470"/>
      <c r="BR2322" s="239"/>
      <c r="BU2322" s="470"/>
      <c r="BV2322" s="470"/>
      <c r="BZ2322" s="470"/>
      <c r="CA2322" s="470"/>
      <c r="CE2322" s="603"/>
      <c r="CF2322" s="603"/>
      <c r="CG2322" s="603"/>
      <c r="CH2322" s="603"/>
      <c r="DZ2322" s="239"/>
      <c r="FU2322" s="471"/>
      <c r="JB2322" s="239"/>
    </row>
    <row r="2323" spans="1:264" s="466" customFormat="1" x14ac:dyDescent="0.25">
      <c r="A2323" s="466">
        <v>110</v>
      </c>
      <c r="B2323" s="471" t="s">
        <v>4286</v>
      </c>
      <c r="C2323" s="467" t="s">
        <v>2218</v>
      </c>
      <c r="D2323" s="466" t="s">
        <v>2308</v>
      </c>
      <c r="E2323" s="467">
        <v>1982</v>
      </c>
      <c r="F2323" s="239">
        <v>1977</v>
      </c>
      <c r="G2323" s="467" t="s">
        <v>1749</v>
      </c>
      <c r="H2323" s="467" t="s">
        <v>2309</v>
      </c>
      <c r="I2323" s="244" t="s">
        <v>2823</v>
      </c>
      <c r="J2323" s="466">
        <v>7.38</v>
      </c>
      <c r="K2323" s="466">
        <v>3.95</v>
      </c>
      <c r="L2323" s="467">
        <v>229.3</v>
      </c>
      <c r="M2323" s="467"/>
      <c r="O2323" s="467"/>
      <c r="R2323" s="239">
        <v>4</v>
      </c>
      <c r="S2323" s="467">
        <v>4</v>
      </c>
      <c r="U2323" s="466" t="s">
        <v>2310</v>
      </c>
      <c r="V2323" s="466" t="s">
        <v>1388</v>
      </c>
      <c r="W2323" s="466">
        <v>10</v>
      </c>
      <c r="X2323" s="466" t="s">
        <v>1382</v>
      </c>
      <c r="Y2323" s="466" t="s">
        <v>1382</v>
      </c>
      <c r="Z2323" s="466">
        <v>1.31</v>
      </c>
      <c r="AA2323" s="468">
        <v>69.3</v>
      </c>
      <c r="AB2323" s="468">
        <v>9.5</v>
      </c>
      <c r="AC2323" s="466" t="s">
        <v>240</v>
      </c>
      <c r="AE2323" s="466">
        <v>1.7</v>
      </c>
      <c r="AG2323" s="467" t="s">
        <v>2311</v>
      </c>
      <c r="AH2323" s="467" t="s">
        <v>2321</v>
      </c>
      <c r="AI2323" s="466" t="s">
        <v>577</v>
      </c>
      <c r="AJ2323" s="238" t="s">
        <v>2327</v>
      </c>
      <c r="AK2323" s="239" t="s">
        <v>229</v>
      </c>
      <c r="AO2323" s="467"/>
      <c r="AT2323" s="467"/>
      <c r="AW2323" s="467" t="s">
        <v>160</v>
      </c>
      <c r="AX2323" s="239">
        <v>3</v>
      </c>
      <c r="AY2323" s="467"/>
      <c r="AZ2323" s="239" t="s">
        <v>141</v>
      </c>
      <c r="BD2323" s="239" t="s">
        <v>2324</v>
      </c>
      <c r="BF2323" s="239"/>
      <c r="BK2323" s="238">
        <v>1440</v>
      </c>
      <c r="BL2323" s="466">
        <v>1360</v>
      </c>
      <c r="BN2323" s="469"/>
      <c r="BO2323" s="239" t="s">
        <v>2328</v>
      </c>
      <c r="BP2323" s="451"/>
      <c r="BQ2323" s="470"/>
      <c r="BR2323" s="239"/>
      <c r="BU2323" s="470"/>
      <c r="BV2323" s="470"/>
      <c r="BZ2323" s="470"/>
      <c r="CA2323" s="470"/>
      <c r="CE2323" s="603"/>
      <c r="CF2323" s="603"/>
      <c r="CG2323" s="603"/>
      <c r="CH2323" s="603"/>
      <c r="DZ2323" s="239"/>
      <c r="FU2323" s="471"/>
      <c r="JB2323" s="239"/>
    </row>
    <row r="2324" spans="1:264" s="466" customFormat="1" x14ac:dyDescent="0.25">
      <c r="A2324" s="466">
        <v>110</v>
      </c>
      <c r="B2324" s="471" t="s">
        <v>4286</v>
      </c>
      <c r="C2324" s="467" t="s">
        <v>2218</v>
      </c>
      <c r="D2324" s="466" t="s">
        <v>2308</v>
      </c>
      <c r="E2324" s="467">
        <v>1982</v>
      </c>
      <c r="F2324" s="239">
        <v>1977</v>
      </c>
      <c r="G2324" s="467" t="s">
        <v>1749</v>
      </c>
      <c r="H2324" s="467" t="s">
        <v>2309</v>
      </c>
      <c r="I2324" s="244" t="s">
        <v>2823</v>
      </c>
      <c r="J2324" s="466">
        <v>7.38</v>
      </c>
      <c r="K2324" s="466">
        <v>3.95</v>
      </c>
      <c r="L2324" s="467">
        <v>229.3</v>
      </c>
      <c r="M2324" s="467"/>
      <c r="O2324" s="467"/>
      <c r="R2324" s="239">
        <v>4</v>
      </c>
      <c r="S2324" s="467">
        <v>4</v>
      </c>
      <c r="U2324" s="466" t="s">
        <v>2310</v>
      </c>
      <c r="V2324" s="466" t="s">
        <v>1388</v>
      </c>
      <c r="W2324" s="466">
        <v>10</v>
      </c>
      <c r="X2324" s="466" t="s">
        <v>1382</v>
      </c>
      <c r="Y2324" s="466" t="s">
        <v>1382</v>
      </c>
      <c r="Z2324" s="466">
        <v>1.31</v>
      </c>
      <c r="AA2324" s="468">
        <v>69.3</v>
      </c>
      <c r="AB2324" s="468">
        <v>9.5</v>
      </c>
      <c r="AC2324" s="466" t="s">
        <v>240</v>
      </c>
      <c r="AE2324" s="466">
        <v>1.7</v>
      </c>
      <c r="AG2324" s="467" t="s">
        <v>2311</v>
      </c>
      <c r="AH2324" s="467" t="s">
        <v>2322</v>
      </c>
      <c r="AI2324" s="466" t="s">
        <v>577</v>
      </c>
      <c r="AJ2324" s="238" t="s">
        <v>2327</v>
      </c>
      <c r="AK2324" s="239" t="s">
        <v>229</v>
      </c>
      <c r="AO2324" s="467"/>
      <c r="AT2324" s="467"/>
      <c r="AW2324" s="467" t="s">
        <v>160</v>
      </c>
      <c r="AX2324" s="239">
        <v>3</v>
      </c>
      <c r="AY2324" s="467"/>
      <c r="AZ2324" s="239" t="s">
        <v>141</v>
      </c>
      <c r="BD2324" s="239" t="s">
        <v>2324</v>
      </c>
      <c r="BF2324" s="239"/>
      <c r="BK2324" s="238">
        <v>1440</v>
      </c>
      <c r="BL2324" s="466">
        <v>970</v>
      </c>
      <c r="BN2324" s="469"/>
      <c r="BO2324" s="239" t="s">
        <v>2328</v>
      </c>
      <c r="BP2324" s="451"/>
      <c r="BQ2324" s="470"/>
      <c r="BR2324" s="239"/>
      <c r="BU2324" s="470"/>
      <c r="BV2324" s="470"/>
      <c r="BZ2324" s="470"/>
      <c r="CA2324" s="470"/>
      <c r="CE2324" s="603"/>
      <c r="CF2324" s="603"/>
      <c r="CG2324" s="603"/>
      <c r="CH2324" s="603"/>
      <c r="DZ2324" s="239"/>
      <c r="FU2324" s="471"/>
      <c r="JB2324" s="239"/>
    </row>
    <row r="2325" spans="1:264" s="245" customFormat="1" x14ac:dyDescent="0.25">
      <c r="A2325" s="245">
        <v>110</v>
      </c>
      <c r="B2325" s="246" t="s">
        <v>4285</v>
      </c>
      <c r="C2325" s="244" t="s">
        <v>2218</v>
      </c>
      <c r="D2325" s="245" t="s">
        <v>2308</v>
      </c>
      <c r="E2325" s="244">
        <v>1982</v>
      </c>
      <c r="F2325" s="245">
        <v>1977</v>
      </c>
      <c r="G2325" s="244" t="s">
        <v>1749</v>
      </c>
      <c r="H2325" s="244" t="s">
        <v>2309</v>
      </c>
      <c r="I2325" s="244" t="s">
        <v>2823</v>
      </c>
      <c r="J2325" s="245">
        <v>7.38</v>
      </c>
      <c r="K2325" s="245">
        <v>3.95</v>
      </c>
      <c r="L2325" s="244">
        <v>229.3</v>
      </c>
      <c r="M2325" s="244"/>
      <c r="O2325" s="244"/>
      <c r="R2325" s="245">
        <v>4</v>
      </c>
      <c r="S2325" s="244">
        <v>4</v>
      </c>
      <c r="U2325" s="245" t="s">
        <v>2310</v>
      </c>
      <c r="V2325" s="245" t="s">
        <v>1388</v>
      </c>
      <c r="W2325" s="245">
        <v>10</v>
      </c>
      <c r="X2325" s="245" t="s">
        <v>1382</v>
      </c>
      <c r="Y2325" s="245" t="s">
        <v>1382</v>
      </c>
      <c r="Z2325" s="245">
        <v>1.31</v>
      </c>
      <c r="AA2325" s="376">
        <v>69.3</v>
      </c>
      <c r="AB2325" s="376">
        <v>9.5</v>
      </c>
      <c r="AC2325" s="245" t="s">
        <v>240</v>
      </c>
      <c r="AE2325" s="245">
        <v>1.7</v>
      </c>
      <c r="AG2325" s="244" t="s">
        <v>2311</v>
      </c>
      <c r="AH2325" s="244" t="s">
        <v>2315</v>
      </c>
      <c r="AI2325" s="245" t="s">
        <v>1581</v>
      </c>
      <c r="AJ2325" s="244" t="s">
        <v>2327</v>
      </c>
      <c r="AK2325" s="245" t="s">
        <v>229</v>
      </c>
      <c r="AO2325" s="244"/>
      <c r="AT2325" s="244"/>
      <c r="AW2325" s="244" t="s">
        <v>160</v>
      </c>
      <c r="AX2325" s="245">
        <v>3</v>
      </c>
      <c r="AY2325" s="244"/>
      <c r="AZ2325" s="245" t="s">
        <v>141</v>
      </c>
      <c r="BD2325" s="245" t="s">
        <v>2324</v>
      </c>
      <c r="BK2325" s="244">
        <v>280</v>
      </c>
      <c r="BL2325" s="245">
        <v>280</v>
      </c>
      <c r="BN2325" s="248"/>
      <c r="BO2325" s="245" t="s">
        <v>2328</v>
      </c>
      <c r="BP2325" s="437"/>
      <c r="BQ2325" s="437"/>
      <c r="BU2325" s="437"/>
      <c r="BV2325" s="437"/>
      <c r="BZ2325" s="437"/>
      <c r="CA2325" s="437"/>
      <c r="CE2325" s="598"/>
      <c r="CF2325" s="598"/>
      <c r="CG2325" s="598"/>
      <c r="CH2325" s="598"/>
      <c r="FU2325" s="246"/>
    </row>
    <row r="2326" spans="1:264" s="245" customFormat="1" x14ac:dyDescent="0.25">
      <c r="A2326" s="245">
        <v>110</v>
      </c>
      <c r="B2326" s="246" t="s">
        <v>4285</v>
      </c>
      <c r="C2326" s="244" t="s">
        <v>2218</v>
      </c>
      <c r="D2326" s="245" t="s">
        <v>2308</v>
      </c>
      <c r="E2326" s="244">
        <v>1982</v>
      </c>
      <c r="F2326" s="245">
        <v>1977</v>
      </c>
      <c r="G2326" s="244" t="s">
        <v>1749</v>
      </c>
      <c r="H2326" s="244" t="s">
        <v>2309</v>
      </c>
      <c r="I2326" s="244" t="s">
        <v>2823</v>
      </c>
      <c r="J2326" s="245">
        <v>7.38</v>
      </c>
      <c r="K2326" s="245">
        <v>3.95</v>
      </c>
      <c r="L2326" s="244">
        <v>229.3</v>
      </c>
      <c r="M2326" s="244"/>
      <c r="O2326" s="244"/>
      <c r="R2326" s="245">
        <v>4</v>
      </c>
      <c r="S2326" s="244">
        <v>4</v>
      </c>
      <c r="U2326" s="245" t="s">
        <v>2310</v>
      </c>
      <c r="V2326" s="245" t="s">
        <v>1388</v>
      </c>
      <c r="W2326" s="245">
        <v>10</v>
      </c>
      <c r="X2326" s="245" t="s">
        <v>1382</v>
      </c>
      <c r="Y2326" s="245" t="s">
        <v>1382</v>
      </c>
      <c r="Z2326" s="245">
        <v>1.31</v>
      </c>
      <c r="AA2326" s="376">
        <v>69.3</v>
      </c>
      <c r="AB2326" s="376">
        <v>9.5</v>
      </c>
      <c r="AC2326" s="245" t="s">
        <v>240</v>
      </c>
      <c r="AE2326" s="245">
        <v>1.7</v>
      </c>
      <c r="AG2326" s="244" t="s">
        <v>2311</v>
      </c>
      <c r="AH2326" s="244" t="s">
        <v>2316</v>
      </c>
      <c r="AI2326" s="245" t="s">
        <v>1581</v>
      </c>
      <c r="AJ2326" s="244" t="s">
        <v>2327</v>
      </c>
      <c r="AK2326" s="245" t="s">
        <v>229</v>
      </c>
      <c r="AO2326" s="244"/>
      <c r="AT2326" s="244"/>
      <c r="AW2326" s="244" t="s">
        <v>160</v>
      </c>
      <c r="AX2326" s="245">
        <v>3</v>
      </c>
      <c r="AY2326" s="244"/>
      <c r="AZ2326" s="245" t="s">
        <v>141</v>
      </c>
      <c r="BD2326" s="245" t="s">
        <v>2324</v>
      </c>
      <c r="BK2326" s="244"/>
      <c r="BN2326" s="248"/>
      <c r="BO2326" s="245" t="s">
        <v>2328</v>
      </c>
      <c r="BP2326" s="437"/>
      <c r="BQ2326" s="437"/>
      <c r="BU2326" s="437"/>
      <c r="BV2326" s="437"/>
      <c r="BZ2326" s="437"/>
      <c r="CA2326" s="437"/>
      <c r="CE2326" s="598"/>
      <c r="CF2326" s="598"/>
      <c r="CG2326" s="598"/>
      <c r="CH2326" s="598"/>
      <c r="FU2326" s="246"/>
    </row>
    <row r="2327" spans="1:264" s="245" customFormat="1" x14ac:dyDescent="0.25">
      <c r="A2327" s="245">
        <v>110</v>
      </c>
      <c r="B2327" s="246" t="s">
        <v>4285</v>
      </c>
      <c r="C2327" s="244" t="s">
        <v>2218</v>
      </c>
      <c r="D2327" s="245" t="s">
        <v>2308</v>
      </c>
      <c r="E2327" s="244">
        <v>1982</v>
      </c>
      <c r="F2327" s="245">
        <v>1977</v>
      </c>
      <c r="G2327" s="244" t="s">
        <v>1749</v>
      </c>
      <c r="H2327" s="244" t="s">
        <v>2309</v>
      </c>
      <c r="I2327" s="244" t="s">
        <v>2823</v>
      </c>
      <c r="J2327" s="245">
        <v>7.38</v>
      </c>
      <c r="K2327" s="245">
        <v>3.95</v>
      </c>
      <c r="L2327" s="244">
        <v>229.3</v>
      </c>
      <c r="M2327" s="244"/>
      <c r="O2327" s="244"/>
      <c r="R2327" s="245">
        <v>4</v>
      </c>
      <c r="S2327" s="244">
        <v>4</v>
      </c>
      <c r="U2327" s="245" t="s">
        <v>2310</v>
      </c>
      <c r="V2327" s="245" t="s">
        <v>1388</v>
      </c>
      <c r="W2327" s="245">
        <v>10</v>
      </c>
      <c r="X2327" s="245" t="s">
        <v>1382</v>
      </c>
      <c r="Y2327" s="245" t="s">
        <v>1382</v>
      </c>
      <c r="Z2327" s="245">
        <v>1.31</v>
      </c>
      <c r="AA2327" s="376">
        <v>69.3</v>
      </c>
      <c r="AB2327" s="376">
        <v>9.5</v>
      </c>
      <c r="AC2327" s="245" t="s">
        <v>240</v>
      </c>
      <c r="AE2327" s="245">
        <v>1.7</v>
      </c>
      <c r="AG2327" s="244" t="s">
        <v>2311</v>
      </c>
      <c r="AH2327" s="244" t="s">
        <v>2317</v>
      </c>
      <c r="AI2327" s="245" t="s">
        <v>1581</v>
      </c>
      <c r="AJ2327" s="244" t="s">
        <v>2327</v>
      </c>
      <c r="AK2327" s="245" t="s">
        <v>229</v>
      </c>
      <c r="AO2327" s="244"/>
      <c r="AT2327" s="244"/>
      <c r="AW2327" s="244" t="s">
        <v>160</v>
      </c>
      <c r="AX2327" s="245">
        <v>3</v>
      </c>
      <c r="AY2327" s="244"/>
      <c r="AZ2327" s="245" t="s">
        <v>141</v>
      </c>
      <c r="BD2327" s="245" t="s">
        <v>2324</v>
      </c>
      <c r="BK2327" s="244"/>
      <c r="BN2327" s="248"/>
      <c r="BO2327" s="245" t="s">
        <v>2328</v>
      </c>
      <c r="BP2327" s="437"/>
      <c r="BQ2327" s="437"/>
      <c r="BU2327" s="437"/>
      <c r="BV2327" s="437"/>
      <c r="BZ2327" s="437"/>
      <c r="CA2327" s="437"/>
      <c r="CE2327" s="598"/>
      <c r="CF2327" s="598"/>
      <c r="CG2327" s="598"/>
      <c r="CH2327" s="598"/>
      <c r="FU2327" s="246"/>
    </row>
    <row r="2328" spans="1:264" s="472" customFormat="1" x14ac:dyDescent="0.25">
      <c r="A2328" s="472">
        <v>110</v>
      </c>
      <c r="B2328" s="477" t="s">
        <v>4286</v>
      </c>
      <c r="C2328" s="473" t="s">
        <v>2218</v>
      </c>
      <c r="D2328" s="472" t="s">
        <v>2308</v>
      </c>
      <c r="E2328" s="473">
        <v>1982</v>
      </c>
      <c r="F2328" s="245">
        <v>1977</v>
      </c>
      <c r="G2328" s="473" t="s">
        <v>1749</v>
      </c>
      <c r="H2328" s="473" t="s">
        <v>2309</v>
      </c>
      <c r="I2328" s="244" t="s">
        <v>2823</v>
      </c>
      <c r="J2328" s="472">
        <v>7.38</v>
      </c>
      <c r="K2328" s="472">
        <v>3.95</v>
      </c>
      <c r="L2328" s="473">
        <v>229.3</v>
      </c>
      <c r="M2328" s="473"/>
      <c r="O2328" s="473"/>
      <c r="R2328" s="472">
        <v>4</v>
      </c>
      <c r="S2328" s="473">
        <v>4</v>
      </c>
      <c r="U2328" s="472" t="s">
        <v>2310</v>
      </c>
      <c r="V2328" s="472" t="s">
        <v>1388</v>
      </c>
      <c r="W2328" s="472">
        <v>10</v>
      </c>
      <c r="X2328" s="472" t="s">
        <v>1382</v>
      </c>
      <c r="Y2328" s="472" t="s">
        <v>1382</v>
      </c>
      <c r="Z2328" s="472">
        <v>1.31</v>
      </c>
      <c r="AA2328" s="474">
        <v>69.3</v>
      </c>
      <c r="AB2328" s="474">
        <v>9.5</v>
      </c>
      <c r="AC2328" s="472" t="s">
        <v>240</v>
      </c>
      <c r="AE2328" s="472">
        <v>1.7</v>
      </c>
      <c r="AG2328" s="473" t="s">
        <v>2311</v>
      </c>
      <c r="AH2328" s="473" t="s">
        <v>2318</v>
      </c>
      <c r="AI2328" s="472" t="s">
        <v>577</v>
      </c>
      <c r="AJ2328" s="244" t="s">
        <v>2327</v>
      </c>
      <c r="AK2328" s="245" t="s">
        <v>229</v>
      </c>
      <c r="AO2328" s="473"/>
      <c r="AT2328" s="473"/>
      <c r="AW2328" s="473" t="s">
        <v>160</v>
      </c>
      <c r="AX2328" s="245">
        <v>3</v>
      </c>
      <c r="AY2328" s="473"/>
      <c r="AZ2328" s="245" t="s">
        <v>141</v>
      </c>
      <c r="BD2328" s="245" t="s">
        <v>2324</v>
      </c>
      <c r="BF2328" s="245"/>
      <c r="BK2328" s="244">
        <v>280</v>
      </c>
      <c r="BL2328" s="472">
        <v>2440</v>
      </c>
      <c r="BN2328" s="475"/>
      <c r="BO2328" s="472" t="s">
        <v>2328</v>
      </c>
      <c r="BP2328" s="437"/>
      <c r="BQ2328" s="476"/>
      <c r="BR2328" s="245"/>
      <c r="BU2328" s="476"/>
      <c r="BV2328" s="476"/>
      <c r="BZ2328" s="476"/>
      <c r="CA2328" s="476"/>
      <c r="CE2328" s="604"/>
      <c r="CF2328" s="604"/>
      <c r="CG2328" s="604"/>
      <c r="CH2328" s="604"/>
      <c r="DZ2328" s="245"/>
      <c r="FU2328" s="477"/>
      <c r="JB2328" s="245"/>
    </row>
    <row r="2329" spans="1:264" s="472" customFormat="1" x14ac:dyDescent="0.25">
      <c r="A2329" s="472">
        <v>110</v>
      </c>
      <c r="B2329" s="477" t="s">
        <v>4286</v>
      </c>
      <c r="C2329" s="473" t="s">
        <v>2218</v>
      </c>
      <c r="D2329" s="472" t="s">
        <v>2308</v>
      </c>
      <c r="E2329" s="473">
        <v>1982</v>
      </c>
      <c r="F2329" s="245">
        <v>1977</v>
      </c>
      <c r="G2329" s="473" t="s">
        <v>1749</v>
      </c>
      <c r="H2329" s="473" t="s">
        <v>2309</v>
      </c>
      <c r="I2329" s="244" t="s">
        <v>2823</v>
      </c>
      <c r="J2329" s="472">
        <v>7.38</v>
      </c>
      <c r="K2329" s="472">
        <v>3.95</v>
      </c>
      <c r="L2329" s="473">
        <v>229.3</v>
      </c>
      <c r="M2329" s="473"/>
      <c r="O2329" s="473"/>
      <c r="R2329" s="472">
        <v>4</v>
      </c>
      <c r="S2329" s="473">
        <v>4</v>
      </c>
      <c r="U2329" s="472" t="s">
        <v>2310</v>
      </c>
      <c r="V2329" s="472" t="s">
        <v>1388</v>
      </c>
      <c r="W2329" s="472">
        <v>10</v>
      </c>
      <c r="X2329" s="472" t="s">
        <v>1382</v>
      </c>
      <c r="Y2329" s="472" t="s">
        <v>1382</v>
      </c>
      <c r="Z2329" s="472">
        <v>1.31</v>
      </c>
      <c r="AA2329" s="474">
        <v>69.3</v>
      </c>
      <c r="AB2329" s="474">
        <v>9.5</v>
      </c>
      <c r="AC2329" s="472" t="s">
        <v>240</v>
      </c>
      <c r="AE2329" s="472">
        <v>1.7</v>
      </c>
      <c r="AG2329" s="473" t="s">
        <v>2311</v>
      </c>
      <c r="AH2329" s="473" t="s">
        <v>2319</v>
      </c>
      <c r="AI2329" s="472" t="s">
        <v>577</v>
      </c>
      <c r="AJ2329" s="244" t="s">
        <v>2327</v>
      </c>
      <c r="AK2329" s="245" t="s">
        <v>229</v>
      </c>
      <c r="AO2329" s="473"/>
      <c r="AT2329" s="473"/>
      <c r="AW2329" s="473" t="s">
        <v>160</v>
      </c>
      <c r="AX2329" s="245">
        <v>3</v>
      </c>
      <c r="AY2329" s="473"/>
      <c r="AZ2329" s="245" t="s">
        <v>141</v>
      </c>
      <c r="BD2329" s="245" t="s">
        <v>2324</v>
      </c>
      <c r="BF2329" s="245"/>
      <c r="BK2329" s="244">
        <v>280</v>
      </c>
      <c r="BL2329" s="472">
        <v>3060</v>
      </c>
      <c r="BN2329" s="475"/>
      <c r="BO2329" s="472" t="s">
        <v>2328</v>
      </c>
      <c r="BP2329" s="437"/>
      <c r="BQ2329" s="476"/>
      <c r="BR2329" s="245"/>
      <c r="BU2329" s="476"/>
      <c r="BV2329" s="476"/>
      <c r="BZ2329" s="476"/>
      <c r="CA2329" s="476"/>
      <c r="CE2329" s="604"/>
      <c r="CF2329" s="604"/>
      <c r="CG2329" s="604"/>
      <c r="CH2329" s="604"/>
      <c r="DZ2329" s="245"/>
      <c r="FU2329" s="477"/>
      <c r="JB2329" s="245"/>
    </row>
    <row r="2330" spans="1:264" s="472" customFormat="1" x14ac:dyDescent="0.25">
      <c r="A2330" s="472">
        <v>110</v>
      </c>
      <c r="B2330" s="477" t="s">
        <v>4286</v>
      </c>
      <c r="C2330" s="473" t="s">
        <v>2218</v>
      </c>
      <c r="D2330" s="472" t="s">
        <v>2308</v>
      </c>
      <c r="E2330" s="473">
        <v>1982</v>
      </c>
      <c r="F2330" s="245">
        <v>1977</v>
      </c>
      <c r="G2330" s="473" t="s">
        <v>1749</v>
      </c>
      <c r="H2330" s="473" t="s">
        <v>2309</v>
      </c>
      <c r="I2330" s="244" t="s">
        <v>2823</v>
      </c>
      <c r="J2330" s="472">
        <v>7.38</v>
      </c>
      <c r="K2330" s="472">
        <v>3.95</v>
      </c>
      <c r="L2330" s="473">
        <v>229.3</v>
      </c>
      <c r="M2330" s="473"/>
      <c r="O2330" s="473"/>
      <c r="R2330" s="472">
        <v>4</v>
      </c>
      <c r="S2330" s="473">
        <v>4</v>
      </c>
      <c r="U2330" s="472" t="s">
        <v>2310</v>
      </c>
      <c r="V2330" s="472" t="s">
        <v>1388</v>
      </c>
      <c r="W2330" s="472">
        <v>10</v>
      </c>
      <c r="X2330" s="472" t="s">
        <v>1382</v>
      </c>
      <c r="Y2330" s="472" t="s">
        <v>1382</v>
      </c>
      <c r="Z2330" s="472">
        <v>1.31</v>
      </c>
      <c r="AA2330" s="474">
        <v>69.3</v>
      </c>
      <c r="AB2330" s="474">
        <v>9.5</v>
      </c>
      <c r="AC2330" s="472" t="s">
        <v>240</v>
      </c>
      <c r="AE2330" s="472">
        <v>1.7</v>
      </c>
      <c r="AG2330" s="473" t="s">
        <v>2311</v>
      </c>
      <c r="AH2330" s="473" t="s">
        <v>2320</v>
      </c>
      <c r="AI2330" s="472" t="s">
        <v>577</v>
      </c>
      <c r="AJ2330" s="244" t="s">
        <v>2327</v>
      </c>
      <c r="AK2330" s="245" t="s">
        <v>229</v>
      </c>
      <c r="AO2330" s="473"/>
      <c r="AT2330" s="473"/>
      <c r="AW2330" s="473" t="s">
        <v>160</v>
      </c>
      <c r="AX2330" s="245">
        <v>3</v>
      </c>
      <c r="AY2330" s="473"/>
      <c r="AZ2330" s="245" t="s">
        <v>141</v>
      </c>
      <c r="BD2330" s="245" t="s">
        <v>2324</v>
      </c>
      <c r="BF2330" s="245"/>
      <c r="BK2330" s="244">
        <v>280</v>
      </c>
      <c r="BL2330" s="472">
        <v>1310</v>
      </c>
      <c r="BN2330" s="475"/>
      <c r="BO2330" s="472" t="s">
        <v>2328</v>
      </c>
      <c r="BP2330" s="437"/>
      <c r="BQ2330" s="476"/>
      <c r="BR2330" s="245"/>
      <c r="BU2330" s="476"/>
      <c r="BV2330" s="476"/>
      <c r="BZ2330" s="476"/>
      <c r="CA2330" s="476"/>
      <c r="CE2330" s="604"/>
      <c r="CF2330" s="604"/>
      <c r="CG2330" s="604"/>
      <c r="CH2330" s="604"/>
      <c r="DZ2330" s="245"/>
      <c r="FU2330" s="477"/>
      <c r="JB2330" s="245"/>
    </row>
    <row r="2331" spans="1:264" s="472" customFormat="1" x14ac:dyDescent="0.25">
      <c r="A2331" s="472">
        <v>110</v>
      </c>
      <c r="B2331" s="477" t="s">
        <v>4286</v>
      </c>
      <c r="C2331" s="473" t="s">
        <v>2218</v>
      </c>
      <c r="D2331" s="472" t="s">
        <v>2308</v>
      </c>
      <c r="E2331" s="473">
        <v>1982</v>
      </c>
      <c r="F2331" s="245">
        <v>1977</v>
      </c>
      <c r="G2331" s="473" t="s">
        <v>1749</v>
      </c>
      <c r="H2331" s="473" t="s">
        <v>2309</v>
      </c>
      <c r="I2331" s="244" t="s">
        <v>2823</v>
      </c>
      <c r="J2331" s="472">
        <v>7.38</v>
      </c>
      <c r="K2331" s="472">
        <v>3.95</v>
      </c>
      <c r="L2331" s="473">
        <v>229.3</v>
      </c>
      <c r="M2331" s="473"/>
      <c r="O2331" s="473"/>
      <c r="R2331" s="472">
        <v>4</v>
      </c>
      <c r="S2331" s="473">
        <v>4</v>
      </c>
      <c r="U2331" s="472" t="s">
        <v>2310</v>
      </c>
      <c r="V2331" s="472" t="s">
        <v>1388</v>
      </c>
      <c r="W2331" s="472">
        <v>10</v>
      </c>
      <c r="X2331" s="472" t="s">
        <v>1382</v>
      </c>
      <c r="Y2331" s="472" t="s">
        <v>1382</v>
      </c>
      <c r="Z2331" s="472">
        <v>1.31</v>
      </c>
      <c r="AA2331" s="474">
        <v>69.3</v>
      </c>
      <c r="AB2331" s="474">
        <v>9.5</v>
      </c>
      <c r="AC2331" s="472" t="s">
        <v>240</v>
      </c>
      <c r="AE2331" s="472">
        <v>1.7</v>
      </c>
      <c r="AG2331" s="473" t="s">
        <v>2311</v>
      </c>
      <c r="AH2331" s="473" t="s">
        <v>2321</v>
      </c>
      <c r="AI2331" s="472" t="s">
        <v>577</v>
      </c>
      <c r="AJ2331" s="244" t="s">
        <v>2327</v>
      </c>
      <c r="AK2331" s="245" t="s">
        <v>229</v>
      </c>
      <c r="AO2331" s="473"/>
      <c r="AT2331" s="473"/>
      <c r="AW2331" s="473" t="s">
        <v>160</v>
      </c>
      <c r="AX2331" s="245">
        <v>3</v>
      </c>
      <c r="AY2331" s="473"/>
      <c r="AZ2331" s="245" t="s">
        <v>141</v>
      </c>
      <c r="BD2331" s="245" t="s">
        <v>2324</v>
      </c>
      <c r="BF2331" s="245"/>
      <c r="BK2331" s="244">
        <v>280</v>
      </c>
      <c r="BL2331" s="472">
        <v>1610</v>
      </c>
      <c r="BN2331" s="475"/>
      <c r="BO2331" s="472" t="s">
        <v>2328</v>
      </c>
      <c r="BP2331" s="437"/>
      <c r="BQ2331" s="476"/>
      <c r="BR2331" s="245"/>
      <c r="BU2331" s="476"/>
      <c r="BV2331" s="476"/>
      <c r="BZ2331" s="476"/>
      <c r="CA2331" s="476"/>
      <c r="CE2331" s="604"/>
      <c r="CF2331" s="604"/>
      <c r="CG2331" s="604"/>
      <c r="CH2331" s="604"/>
      <c r="DZ2331" s="245"/>
      <c r="FU2331" s="477"/>
      <c r="JB2331" s="245"/>
    </row>
    <row r="2332" spans="1:264" s="472" customFormat="1" x14ac:dyDescent="0.25">
      <c r="A2332" s="472">
        <v>110</v>
      </c>
      <c r="B2332" s="477" t="s">
        <v>4286</v>
      </c>
      <c r="C2332" s="473" t="s">
        <v>2218</v>
      </c>
      <c r="D2332" s="472" t="s">
        <v>2308</v>
      </c>
      <c r="E2332" s="473">
        <v>1982</v>
      </c>
      <c r="F2332" s="245">
        <v>1977</v>
      </c>
      <c r="G2332" s="473" t="s">
        <v>1749</v>
      </c>
      <c r="H2332" s="473" t="s">
        <v>2309</v>
      </c>
      <c r="I2332" s="244" t="s">
        <v>2823</v>
      </c>
      <c r="J2332" s="472">
        <v>7.38</v>
      </c>
      <c r="K2332" s="472">
        <v>3.95</v>
      </c>
      <c r="L2332" s="473">
        <v>229.3</v>
      </c>
      <c r="M2332" s="473"/>
      <c r="O2332" s="473"/>
      <c r="R2332" s="472">
        <v>4</v>
      </c>
      <c r="S2332" s="473">
        <v>4</v>
      </c>
      <c r="U2332" s="472" t="s">
        <v>2310</v>
      </c>
      <c r="V2332" s="472" t="s">
        <v>1388</v>
      </c>
      <c r="W2332" s="472">
        <v>10</v>
      </c>
      <c r="X2332" s="472" t="s">
        <v>1382</v>
      </c>
      <c r="Y2332" s="472" t="s">
        <v>1382</v>
      </c>
      <c r="Z2332" s="472">
        <v>1.31</v>
      </c>
      <c r="AA2332" s="474">
        <v>69.3</v>
      </c>
      <c r="AB2332" s="474">
        <v>9.5</v>
      </c>
      <c r="AC2332" s="472" t="s">
        <v>240</v>
      </c>
      <c r="AE2332" s="472">
        <v>1.7</v>
      </c>
      <c r="AG2332" s="473" t="s">
        <v>2311</v>
      </c>
      <c r="AH2332" s="473" t="s">
        <v>2322</v>
      </c>
      <c r="AI2332" s="472" t="s">
        <v>577</v>
      </c>
      <c r="AJ2332" s="244" t="s">
        <v>2327</v>
      </c>
      <c r="AK2332" s="245" t="s">
        <v>229</v>
      </c>
      <c r="AO2332" s="473"/>
      <c r="AT2332" s="473"/>
      <c r="AW2332" s="473" t="s">
        <v>160</v>
      </c>
      <c r="AX2332" s="245">
        <v>3</v>
      </c>
      <c r="AY2332" s="473"/>
      <c r="AZ2332" s="245" t="s">
        <v>141</v>
      </c>
      <c r="BD2332" s="245" t="s">
        <v>2324</v>
      </c>
      <c r="BF2332" s="245"/>
      <c r="BK2332" s="244">
        <v>280</v>
      </c>
      <c r="BL2332" s="472">
        <v>390</v>
      </c>
      <c r="BN2332" s="475"/>
      <c r="BO2332" s="472" t="s">
        <v>2328</v>
      </c>
      <c r="BP2332" s="437"/>
      <c r="BQ2332" s="476"/>
      <c r="BR2332" s="245"/>
      <c r="BU2332" s="476"/>
      <c r="BV2332" s="476"/>
      <c r="BZ2332" s="476"/>
      <c r="CA2332" s="476"/>
      <c r="CE2332" s="604"/>
      <c r="CF2332" s="604"/>
      <c r="CG2332" s="604"/>
      <c r="CH2332" s="604"/>
      <c r="DZ2332" s="245"/>
      <c r="FU2332" s="477"/>
      <c r="JB2332" s="245"/>
    </row>
    <row r="2333" spans="1:264" s="126" customFormat="1" x14ac:dyDescent="0.25">
      <c r="A2333" s="126">
        <v>111</v>
      </c>
      <c r="B2333" s="478" t="s">
        <v>4287</v>
      </c>
      <c r="C2333" s="126" t="s">
        <v>2368</v>
      </c>
      <c r="D2333" s="126">
        <v>2</v>
      </c>
      <c r="E2333" s="126">
        <v>2013</v>
      </c>
      <c r="F2333" s="126">
        <v>2011</v>
      </c>
      <c r="G2333" s="126">
        <v>2</v>
      </c>
      <c r="H2333" s="126" t="s">
        <v>2330</v>
      </c>
      <c r="I2333" s="126" t="s">
        <v>2824</v>
      </c>
      <c r="J2333" s="126">
        <v>-36.245922</v>
      </c>
      <c r="K2333" s="126">
        <v>-62.569674999999997</v>
      </c>
      <c r="L2333" s="126">
        <v>99.4</v>
      </c>
      <c r="N2333" s="126">
        <v>18</v>
      </c>
      <c r="P2333" s="126">
        <v>805</v>
      </c>
      <c r="R2333" s="478" t="s">
        <v>1722</v>
      </c>
      <c r="S2333" s="478" t="s">
        <v>1843</v>
      </c>
      <c r="T2333" s="478"/>
      <c r="V2333" s="478" t="s">
        <v>1379</v>
      </c>
      <c r="W2333" s="478" t="s">
        <v>1715</v>
      </c>
      <c r="X2333" s="478" t="s">
        <v>1379</v>
      </c>
      <c r="Y2333" s="478" t="s">
        <v>1379</v>
      </c>
      <c r="Z2333" s="479"/>
      <c r="AA2333" s="479"/>
      <c r="AC2333" s="126" t="s">
        <v>240</v>
      </c>
      <c r="AG2333" s="478" t="s">
        <v>1352</v>
      </c>
      <c r="AH2333" s="126" t="s">
        <v>2332</v>
      </c>
      <c r="AI2333" s="126" t="s">
        <v>1582</v>
      </c>
      <c r="AJ2333" s="126" t="s">
        <v>132</v>
      </c>
      <c r="AK2333" s="126" t="s">
        <v>132</v>
      </c>
      <c r="AL2333" s="126" t="s">
        <v>942</v>
      </c>
      <c r="AM2333" s="126" t="s">
        <v>942</v>
      </c>
      <c r="AX2333" s="126">
        <v>3</v>
      </c>
      <c r="BD2333" s="126" t="s">
        <v>2333</v>
      </c>
      <c r="BE2333" s="126" t="s">
        <v>2837</v>
      </c>
      <c r="BU2333" s="481">
        <f>BZ2333*0.0414</f>
        <v>1.77606</v>
      </c>
      <c r="BV2333" s="481">
        <f>CA2333*0.0414</f>
        <v>1.9043999999999999</v>
      </c>
      <c r="BZ2333" s="126">
        <v>42.9</v>
      </c>
      <c r="CA2333" s="126">
        <v>46</v>
      </c>
      <c r="CD2333" s="126" t="s">
        <v>2095</v>
      </c>
      <c r="CE2333" s="605">
        <v>42.9</v>
      </c>
      <c r="CF2333" s="605">
        <v>46</v>
      </c>
      <c r="CG2333" s="605"/>
      <c r="CH2333" s="605"/>
      <c r="CI2333" s="126" t="s">
        <v>4551</v>
      </c>
      <c r="JB2333" s="126" t="s">
        <v>2392</v>
      </c>
      <c r="JC2333" s="126" t="s">
        <v>2393</v>
      </c>
      <c r="JD2333" s="480"/>
    </row>
    <row r="2334" spans="1:264" s="126" customFormat="1" x14ac:dyDescent="0.25">
      <c r="A2334" s="126">
        <v>111</v>
      </c>
      <c r="B2334" s="478" t="s">
        <v>4287</v>
      </c>
      <c r="C2334" s="126" t="s">
        <v>2368</v>
      </c>
      <c r="D2334" s="126">
        <v>2</v>
      </c>
      <c r="E2334" s="126">
        <v>2013</v>
      </c>
      <c r="F2334" s="126">
        <v>2011</v>
      </c>
      <c r="G2334" s="126">
        <v>2</v>
      </c>
      <c r="H2334" s="126" t="s">
        <v>2330</v>
      </c>
      <c r="I2334" s="126" t="s">
        <v>2824</v>
      </c>
      <c r="J2334" s="126">
        <v>-36.245922</v>
      </c>
      <c r="K2334" s="126">
        <v>-62.569674999999997</v>
      </c>
      <c r="L2334" s="126">
        <v>99.4</v>
      </c>
      <c r="N2334" s="126">
        <v>18</v>
      </c>
      <c r="P2334" s="126">
        <v>805</v>
      </c>
      <c r="R2334" s="478" t="s">
        <v>1722</v>
      </c>
      <c r="S2334" s="478" t="s">
        <v>1843</v>
      </c>
      <c r="T2334" s="478"/>
      <c r="V2334" s="478" t="s">
        <v>1379</v>
      </c>
      <c r="W2334" s="478" t="s">
        <v>1715</v>
      </c>
      <c r="X2334" s="478" t="s">
        <v>1379</v>
      </c>
      <c r="Y2334" s="478" t="s">
        <v>1379</v>
      </c>
      <c r="Z2334" s="479"/>
      <c r="AA2334" s="479"/>
      <c r="AC2334" s="126" t="s">
        <v>240</v>
      </c>
      <c r="AG2334" s="478" t="s">
        <v>1352</v>
      </c>
      <c r="AH2334" s="126" t="s">
        <v>2332</v>
      </c>
      <c r="AI2334" s="126" t="s">
        <v>1582</v>
      </c>
      <c r="AJ2334" s="126" t="s">
        <v>158</v>
      </c>
      <c r="AK2334" s="126" t="s">
        <v>158</v>
      </c>
      <c r="AL2334" s="126" t="s">
        <v>2334</v>
      </c>
      <c r="AM2334" s="126" t="s">
        <v>2334</v>
      </c>
      <c r="AX2334" s="126">
        <v>3</v>
      </c>
      <c r="BD2334" s="126" t="s">
        <v>2333</v>
      </c>
      <c r="BE2334" s="126" t="s">
        <v>2837</v>
      </c>
      <c r="BU2334" s="481">
        <f>BZ2334*0.0414</f>
        <v>1.47384</v>
      </c>
      <c r="BV2334" s="481">
        <f>CA2334*0.0414</f>
        <v>1.7677800000000001</v>
      </c>
      <c r="BZ2334" s="126">
        <v>35.6</v>
      </c>
      <c r="CA2334" s="126">
        <v>42.7</v>
      </c>
      <c r="CD2334" s="126" t="s">
        <v>2095</v>
      </c>
      <c r="CE2334" s="605">
        <v>35.6</v>
      </c>
      <c r="CF2334" s="605">
        <v>42.7</v>
      </c>
      <c r="CG2334" s="605"/>
      <c r="CH2334" s="605"/>
      <c r="CI2334" s="126" t="s">
        <v>4551</v>
      </c>
      <c r="JB2334" s="126" t="s">
        <v>2392</v>
      </c>
      <c r="JC2334" s="126" t="s">
        <v>2393</v>
      </c>
      <c r="JD2334" s="480"/>
    </row>
    <row r="2335" spans="1:264" s="99" customFormat="1" x14ac:dyDescent="0.25">
      <c r="A2335" s="99">
        <v>111</v>
      </c>
      <c r="B2335" s="100" t="s">
        <v>4288</v>
      </c>
      <c r="C2335" s="99" t="s">
        <v>2369</v>
      </c>
      <c r="D2335" s="99">
        <v>7</v>
      </c>
      <c r="E2335" s="99">
        <v>2008</v>
      </c>
      <c r="F2335" s="99">
        <v>2006</v>
      </c>
      <c r="G2335" s="99" t="s">
        <v>2381</v>
      </c>
      <c r="H2335" s="99" t="s">
        <v>2330</v>
      </c>
      <c r="I2335" s="99" t="s">
        <v>2824</v>
      </c>
      <c r="J2335" s="99">
        <v>-37.419421999999997</v>
      </c>
      <c r="K2335" s="99">
        <v>-62.009036000000002</v>
      </c>
      <c r="L2335" s="99">
        <v>227</v>
      </c>
      <c r="N2335" s="99">
        <v>16.3</v>
      </c>
      <c r="P2335" s="99">
        <v>859</v>
      </c>
      <c r="R2335" s="100" t="s">
        <v>1858</v>
      </c>
      <c r="S2335" s="100" t="s">
        <v>1734</v>
      </c>
      <c r="T2335" s="100"/>
      <c r="V2335" s="100" t="s">
        <v>1379</v>
      </c>
      <c r="W2335" s="100" t="s">
        <v>1715</v>
      </c>
      <c r="X2335" s="100" t="s">
        <v>1379</v>
      </c>
      <c r="Y2335" s="100" t="s">
        <v>1379</v>
      </c>
      <c r="Z2335" s="99">
        <v>1.35</v>
      </c>
      <c r="AA2335" s="351"/>
      <c r="AC2335" s="99" t="s">
        <v>2335</v>
      </c>
      <c r="AG2335" s="100" t="s">
        <v>2387</v>
      </c>
      <c r="AH2335" s="99" t="s">
        <v>2336</v>
      </c>
      <c r="AI2335" s="99" t="s">
        <v>1581</v>
      </c>
      <c r="AJ2335" s="99" t="s">
        <v>158</v>
      </c>
      <c r="AK2335" s="99" t="s">
        <v>158</v>
      </c>
      <c r="AL2335" s="99" t="s">
        <v>2334</v>
      </c>
      <c r="AM2335" s="99" t="s">
        <v>2334</v>
      </c>
      <c r="AX2335" s="99">
        <v>3</v>
      </c>
      <c r="BD2335" s="99" t="s">
        <v>2337</v>
      </c>
      <c r="BE2335" s="99" t="s">
        <v>2837</v>
      </c>
      <c r="BP2335" s="99">
        <v>1.35</v>
      </c>
      <c r="BQ2335" s="99">
        <v>1.31833333333333</v>
      </c>
      <c r="BU2335" s="426">
        <f>(BZ2335*1000000)/(100*100*BP2335*W2335/100*1000000)*100</f>
        <v>2.1333333333333333</v>
      </c>
      <c r="BV2335" s="426">
        <f>(CA2335*1000000)/(100*100*BQ2335*W2335/100*1000000)*100</f>
        <v>2.2945638432364155</v>
      </c>
      <c r="BZ2335" s="99">
        <v>57.6</v>
      </c>
      <c r="CA2335" s="99">
        <v>60.5</v>
      </c>
      <c r="CD2335" s="99" t="s">
        <v>2095</v>
      </c>
      <c r="CE2335" s="579">
        <v>57.6</v>
      </c>
      <c r="CF2335" s="579">
        <v>60.5</v>
      </c>
      <c r="CG2335" s="579"/>
      <c r="CH2335" s="579"/>
      <c r="CI2335" s="126" t="s">
        <v>4551</v>
      </c>
      <c r="JB2335" s="99" t="s">
        <v>2392</v>
      </c>
      <c r="JC2335" s="99" t="s">
        <v>2393</v>
      </c>
      <c r="JD2335" s="508"/>
    </row>
    <row r="2336" spans="1:264" s="99" customFormat="1" x14ac:dyDescent="0.25">
      <c r="A2336" s="99">
        <v>111</v>
      </c>
      <c r="B2336" s="100" t="s">
        <v>4288</v>
      </c>
      <c r="C2336" s="99" t="s">
        <v>2369</v>
      </c>
      <c r="D2336" s="99">
        <v>7</v>
      </c>
      <c r="E2336" s="99">
        <v>2008</v>
      </c>
      <c r="F2336" s="99">
        <v>2006</v>
      </c>
      <c r="G2336" s="99" t="s">
        <v>2381</v>
      </c>
      <c r="H2336" s="99" t="s">
        <v>2330</v>
      </c>
      <c r="I2336" s="99" t="s">
        <v>2824</v>
      </c>
      <c r="J2336" s="99">
        <v>-37.419421999999997</v>
      </c>
      <c r="K2336" s="99">
        <v>-62.009036000000002</v>
      </c>
      <c r="L2336" s="99">
        <v>227</v>
      </c>
      <c r="N2336" s="99">
        <v>16.3</v>
      </c>
      <c r="P2336" s="99">
        <v>859</v>
      </c>
      <c r="R2336" s="100" t="s">
        <v>1858</v>
      </c>
      <c r="S2336" s="100" t="s">
        <v>1734</v>
      </c>
      <c r="T2336" s="100"/>
      <c r="V2336" s="100" t="s">
        <v>1379</v>
      </c>
      <c r="W2336" s="100" t="s">
        <v>1715</v>
      </c>
      <c r="X2336" s="100" t="s">
        <v>1379</v>
      </c>
      <c r="Y2336" s="100" t="s">
        <v>1379</v>
      </c>
      <c r="Z2336" s="99">
        <v>1.35</v>
      </c>
      <c r="AA2336" s="351"/>
      <c r="AC2336" s="99" t="s">
        <v>2335</v>
      </c>
      <c r="AG2336" s="100" t="s">
        <v>2387</v>
      </c>
      <c r="AH2336" s="99" t="s">
        <v>2336</v>
      </c>
      <c r="AI2336" s="99" t="s">
        <v>1581</v>
      </c>
      <c r="AJ2336" s="99" t="s">
        <v>158</v>
      </c>
      <c r="AK2336" s="99" t="s">
        <v>158</v>
      </c>
      <c r="AL2336" s="99" t="s">
        <v>2334</v>
      </c>
      <c r="AM2336" s="99" t="s">
        <v>2334</v>
      </c>
      <c r="AX2336" s="99">
        <v>3</v>
      </c>
      <c r="BD2336" s="99" t="s">
        <v>2338</v>
      </c>
      <c r="BE2336" s="99" t="s">
        <v>2837</v>
      </c>
      <c r="BP2336" s="99">
        <v>1.35</v>
      </c>
      <c r="BQ2336" s="99">
        <v>1.31833333333333</v>
      </c>
      <c r="BU2336" s="426">
        <f>(BZ2336*1000000)/(100*100*BP2336*W2336/100*1000000)*100</f>
        <v>2.1333333333333333</v>
      </c>
      <c r="BV2336" s="426">
        <f>(CA2336*1000000)/(100*100*BQ2336*W2336/100*1000000)*100</f>
        <v>2.4159292035398297</v>
      </c>
      <c r="BZ2336" s="99">
        <v>57.6</v>
      </c>
      <c r="CA2336" s="99">
        <v>63.7</v>
      </c>
      <c r="CD2336" s="99" t="s">
        <v>2095</v>
      </c>
      <c r="CE2336" s="579">
        <v>57.6</v>
      </c>
      <c r="CF2336" s="579">
        <v>63.7</v>
      </c>
      <c r="CG2336" s="579"/>
      <c r="CH2336" s="579"/>
      <c r="CI2336" s="126" t="s">
        <v>4551</v>
      </c>
      <c r="JB2336" s="99" t="s">
        <v>2392</v>
      </c>
      <c r="JC2336" s="99" t="s">
        <v>2393</v>
      </c>
      <c r="JD2336" s="508"/>
    </row>
    <row r="2337" spans="1:264" s="99" customFormat="1" x14ac:dyDescent="0.25">
      <c r="A2337" s="99">
        <v>111</v>
      </c>
      <c r="B2337" s="100" t="s">
        <v>4288</v>
      </c>
      <c r="C2337" s="99" t="s">
        <v>2369</v>
      </c>
      <c r="D2337" s="99">
        <v>7</v>
      </c>
      <c r="E2337" s="99">
        <v>2008</v>
      </c>
      <c r="F2337" s="99">
        <v>2006</v>
      </c>
      <c r="G2337" s="99" t="s">
        <v>2381</v>
      </c>
      <c r="H2337" s="99" t="s">
        <v>2330</v>
      </c>
      <c r="I2337" s="99" t="s">
        <v>2824</v>
      </c>
      <c r="J2337" s="99">
        <v>-37.419421999999997</v>
      </c>
      <c r="K2337" s="99">
        <v>-62.009036000000002</v>
      </c>
      <c r="L2337" s="99">
        <v>227</v>
      </c>
      <c r="N2337" s="99">
        <v>16.3</v>
      </c>
      <c r="P2337" s="99">
        <v>859</v>
      </c>
      <c r="R2337" s="100" t="s">
        <v>1858</v>
      </c>
      <c r="S2337" s="100" t="s">
        <v>1734</v>
      </c>
      <c r="T2337" s="100"/>
      <c r="V2337" s="100" t="s">
        <v>1379</v>
      </c>
      <c r="W2337" s="100" t="s">
        <v>1715</v>
      </c>
      <c r="X2337" s="100" t="s">
        <v>1379</v>
      </c>
      <c r="Y2337" s="100" t="s">
        <v>1379</v>
      </c>
      <c r="Z2337" s="99">
        <v>1.35</v>
      </c>
      <c r="AA2337" s="351"/>
      <c r="AC2337" s="99" t="s">
        <v>2335</v>
      </c>
      <c r="AG2337" s="100" t="s">
        <v>2387</v>
      </c>
      <c r="AH2337" s="99" t="s">
        <v>2336</v>
      </c>
      <c r="AI2337" s="99" t="s">
        <v>1581</v>
      </c>
      <c r="AJ2337" s="99" t="s">
        <v>158</v>
      </c>
      <c r="AK2337" s="99" t="s">
        <v>158</v>
      </c>
      <c r="AL2337" s="99" t="s">
        <v>2334</v>
      </c>
      <c r="AM2337" s="99" t="s">
        <v>2334</v>
      </c>
      <c r="AX2337" s="99">
        <v>3</v>
      </c>
      <c r="BD2337" s="99" t="s">
        <v>2339</v>
      </c>
      <c r="BE2337" s="99" t="s">
        <v>2837</v>
      </c>
      <c r="BP2337" s="99">
        <v>1.35</v>
      </c>
      <c r="BQ2337" s="99">
        <v>1.31833333333333</v>
      </c>
      <c r="BU2337" s="426">
        <f>(BZ2337*1000000)/(100*100*BP2337*W2337/100*1000000)*100</f>
        <v>2.1333333333333333</v>
      </c>
      <c r="BV2337" s="426">
        <f>(CA2337*1000000)/(100*100*BQ2337*W2337/100*1000000)*100</f>
        <v>2.2831858407079708</v>
      </c>
      <c r="BZ2337" s="99">
        <v>57.6</v>
      </c>
      <c r="CA2337" s="99">
        <v>60.2</v>
      </c>
      <c r="CD2337" s="99" t="s">
        <v>2095</v>
      </c>
      <c r="CE2337" s="579">
        <v>57.6</v>
      </c>
      <c r="CF2337" s="579">
        <v>60.2</v>
      </c>
      <c r="CG2337" s="579"/>
      <c r="CH2337" s="579"/>
      <c r="CI2337" s="126" t="s">
        <v>4551</v>
      </c>
      <c r="JB2337" s="99" t="s">
        <v>2392</v>
      </c>
      <c r="JC2337" s="99" t="s">
        <v>2393</v>
      </c>
      <c r="JD2337" s="508"/>
    </row>
    <row r="2338" spans="1:264" s="126" customFormat="1" x14ac:dyDescent="0.25">
      <c r="A2338" s="126">
        <v>111</v>
      </c>
      <c r="B2338" s="478" t="s">
        <v>4289</v>
      </c>
      <c r="C2338" s="126" t="s">
        <v>2369</v>
      </c>
      <c r="D2338" s="126">
        <v>3</v>
      </c>
      <c r="E2338" s="126">
        <v>2014</v>
      </c>
      <c r="F2338" s="126">
        <v>2012</v>
      </c>
      <c r="G2338" s="126" t="s">
        <v>2382</v>
      </c>
      <c r="H2338" s="126" t="s">
        <v>2330</v>
      </c>
      <c r="I2338" s="126" t="s">
        <v>2824</v>
      </c>
      <c r="J2338" s="126">
        <v>-35.389347222222199</v>
      </c>
      <c r="K2338" s="126">
        <v>-60.883994444444397</v>
      </c>
      <c r="L2338" s="126">
        <v>71.8</v>
      </c>
      <c r="N2338" s="126">
        <v>17.5</v>
      </c>
      <c r="P2338" s="126">
        <v>818</v>
      </c>
      <c r="R2338" s="478" t="s">
        <v>1717</v>
      </c>
      <c r="S2338" s="478" t="s">
        <v>1717</v>
      </c>
      <c r="T2338" s="478"/>
      <c r="V2338" s="478" t="s">
        <v>1379</v>
      </c>
      <c r="W2338" s="478" t="s">
        <v>1715</v>
      </c>
      <c r="X2338" s="478" t="s">
        <v>1379</v>
      </c>
      <c r="Y2338" s="478" t="s">
        <v>1379</v>
      </c>
      <c r="AA2338" s="479">
        <v>14.6</v>
      </c>
      <c r="AB2338" s="126">
        <v>68.7</v>
      </c>
      <c r="AC2338" s="126" t="s">
        <v>450</v>
      </c>
      <c r="AG2338" s="478" t="s">
        <v>2388</v>
      </c>
      <c r="AH2338" s="126" t="s">
        <v>2336</v>
      </c>
      <c r="AI2338" s="126" t="s">
        <v>1581</v>
      </c>
      <c r="AJ2338" s="126" t="s">
        <v>132</v>
      </c>
      <c r="AK2338" s="126" t="s">
        <v>132</v>
      </c>
      <c r="AL2338" s="126" t="s">
        <v>942</v>
      </c>
      <c r="AM2338" s="126" t="s">
        <v>942</v>
      </c>
      <c r="AX2338" s="126">
        <v>3</v>
      </c>
      <c r="BD2338" s="126" t="s">
        <v>2338</v>
      </c>
      <c r="BE2338" s="126" t="s">
        <v>2837</v>
      </c>
      <c r="BU2338" s="426">
        <f>BZ2338*0.0414</f>
        <v>1.3041</v>
      </c>
      <c r="BV2338" s="426">
        <f>CA2338*0.0414</f>
        <v>1.4034599999999999</v>
      </c>
      <c r="BW2338" s="99"/>
      <c r="BX2338" s="99"/>
      <c r="BZ2338" s="126">
        <v>31.5</v>
      </c>
      <c r="CA2338" s="126">
        <v>33.9</v>
      </c>
      <c r="CD2338" s="126" t="s">
        <v>2095</v>
      </c>
      <c r="CE2338" s="605">
        <v>31.5</v>
      </c>
      <c r="CF2338" s="605">
        <v>33.9</v>
      </c>
      <c r="CG2338" s="605"/>
      <c r="CH2338" s="605"/>
      <c r="CI2338" s="126" t="s">
        <v>4551</v>
      </c>
      <c r="JB2338" s="126" t="s">
        <v>2392</v>
      </c>
      <c r="JC2338" s="126" t="s">
        <v>2393</v>
      </c>
      <c r="JD2338" s="480"/>
    </row>
    <row r="2339" spans="1:264" s="126" customFormat="1" x14ac:dyDescent="0.25">
      <c r="A2339" s="126">
        <v>111</v>
      </c>
      <c r="B2339" s="478" t="s">
        <v>4289</v>
      </c>
      <c r="C2339" s="126" t="s">
        <v>2369</v>
      </c>
      <c r="D2339" s="126">
        <v>3</v>
      </c>
      <c r="E2339" s="126">
        <v>2014</v>
      </c>
      <c r="F2339" s="126">
        <v>2012</v>
      </c>
      <c r="G2339" s="126" t="s">
        <v>2382</v>
      </c>
      <c r="H2339" s="126" t="s">
        <v>2330</v>
      </c>
      <c r="I2339" s="126" t="s">
        <v>2824</v>
      </c>
      <c r="J2339" s="126">
        <v>-35.389347222222199</v>
      </c>
      <c r="K2339" s="126">
        <v>-60.883994444444397</v>
      </c>
      <c r="L2339" s="126">
        <v>71.8</v>
      </c>
      <c r="N2339" s="126">
        <v>17.5</v>
      </c>
      <c r="P2339" s="126">
        <v>818</v>
      </c>
      <c r="R2339" s="478" t="s">
        <v>1717</v>
      </c>
      <c r="S2339" s="478" t="s">
        <v>1717</v>
      </c>
      <c r="T2339" s="478"/>
      <c r="V2339" s="478" t="s">
        <v>1379</v>
      </c>
      <c r="W2339" s="478" t="s">
        <v>1715</v>
      </c>
      <c r="X2339" s="478" t="s">
        <v>1379</v>
      </c>
      <c r="Y2339" s="478" t="s">
        <v>1379</v>
      </c>
      <c r="AA2339" s="479">
        <v>14.6</v>
      </c>
      <c r="AB2339" s="126">
        <v>68.7</v>
      </c>
      <c r="AC2339" s="126" t="s">
        <v>450</v>
      </c>
      <c r="AG2339" s="478" t="s">
        <v>2388</v>
      </c>
      <c r="AH2339" s="126" t="s">
        <v>2336</v>
      </c>
      <c r="AI2339" s="126" t="s">
        <v>1581</v>
      </c>
      <c r="AJ2339" s="126" t="s">
        <v>158</v>
      </c>
      <c r="AK2339" s="126" t="s">
        <v>158</v>
      </c>
      <c r="AL2339" s="126" t="s">
        <v>2334</v>
      </c>
      <c r="AM2339" s="126" t="s">
        <v>2334</v>
      </c>
      <c r="AX2339" s="126">
        <v>3</v>
      </c>
      <c r="BD2339" s="126" t="s">
        <v>2338</v>
      </c>
      <c r="BE2339" s="126" t="s">
        <v>2837</v>
      </c>
      <c r="BU2339" s="426">
        <f>BZ2339*0.0414</f>
        <v>1.23786</v>
      </c>
      <c r="BV2339" s="426">
        <f>CA2339*0.0414</f>
        <v>1.3165199999999999</v>
      </c>
      <c r="BW2339" s="99"/>
      <c r="BX2339" s="99"/>
      <c r="BZ2339" s="126">
        <v>29.9</v>
      </c>
      <c r="CA2339" s="126">
        <v>31.8</v>
      </c>
      <c r="CD2339" s="126" t="s">
        <v>2095</v>
      </c>
      <c r="CE2339" s="605">
        <v>29.9</v>
      </c>
      <c r="CF2339" s="605">
        <v>31.8</v>
      </c>
      <c r="CG2339" s="605"/>
      <c r="CH2339" s="605"/>
      <c r="CI2339" s="126" t="s">
        <v>4551</v>
      </c>
      <c r="JB2339" s="126" t="s">
        <v>2392</v>
      </c>
      <c r="JC2339" s="126" t="s">
        <v>2393</v>
      </c>
      <c r="JD2339" s="480"/>
    </row>
    <row r="2340" spans="1:264" s="99" customFormat="1" x14ac:dyDescent="0.25">
      <c r="A2340" s="99">
        <v>111</v>
      </c>
      <c r="B2340" s="100" t="s">
        <v>4290</v>
      </c>
      <c r="C2340" s="99" t="s">
        <v>2369</v>
      </c>
      <c r="D2340" s="99">
        <v>8</v>
      </c>
      <c r="E2340" s="99">
        <v>2016</v>
      </c>
      <c r="F2340" s="99">
        <v>2014</v>
      </c>
      <c r="G2340" s="99">
        <v>6</v>
      </c>
      <c r="H2340" s="99" t="s">
        <v>2330</v>
      </c>
      <c r="I2340" s="99" t="s">
        <v>2824</v>
      </c>
      <c r="J2340" s="99">
        <v>-37.572446999999997</v>
      </c>
      <c r="K2340" s="99">
        <v>-62.033836000000001</v>
      </c>
      <c r="L2340" s="99">
        <v>271.7</v>
      </c>
      <c r="N2340" s="99">
        <v>16.2</v>
      </c>
      <c r="P2340" s="99">
        <v>970</v>
      </c>
      <c r="R2340" s="100" t="s">
        <v>1722</v>
      </c>
      <c r="S2340" s="100" t="s">
        <v>1722</v>
      </c>
      <c r="T2340" s="100"/>
      <c r="V2340" s="100" t="s">
        <v>1379</v>
      </c>
      <c r="W2340" s="100" t="s">
        <v>1715</v>
      </c>
      <c r="X2340" s="100" t="s">
        <v>1379</v>
      </c>
      <c r="Y2340" s="100" t="s">
        <v>1379</v>
      </c>
      <c r="Z2340" s="99">
        <v>1.33</v>
      </c>
      <c r="AA2340" s="351"/>
      <c r="AC2340" s="99" t="s">
        <v>2340</v>
      </c>
      <c r="AG2340" s="100" t="s">
        <v>2388</v>
      </c>
      <c r="AH2340" s="99" t="s">
        <v>2341</v>
      </c>
      <c r="AI2340" s="99" t="s">
        <v>2380</v>
      </c>
      <c r="AJ2340" s="99" t="s">
        <v>158</v>
      </c>
      <c r="AK2340" s="99" t="s">
        <v>158</v>
      </c>
      <c r="AL2340" s="99" t="s">
        <v>2334</v>
      </c>
      <c r="AM2340" s="99" t="s">
        <v>2334</v>
      </c>
      <c r="AX2340" s="99">
        <v>3</v>
      </c>
      <c r="BE2340" s="99" t="s">
        <v>2837</v>
      </c>
      <c r="BP2340" s="99">
        <v>1.33</v>
      </c>
      <c r="BQ2340" s="99">
        <v>1.2450000000000001</v>
      </c>
      <c r="BU2340" s="426">
        <f>(BZ2340*1000000)/(100*100*BP2340*W2340/100*1000000)*100</f>
        <v>0.9699248120300753</v>
      </c>
      <c r="BV2340" s="426">
        <f>(CA2340*1000000)/(100*100*BQ2340*W2340/100*1000000)*100</f>
        <v>1.0441767068273089</v>
      </c>
      <c r="BZ2340" s="99">
        <v>25.8</v>
      </c>
      <c r="CA2340" s="99">
        <v>26</v>
      </c>
      <c r="CD2340" s="99" t="s">
        <v>2095</v>
      </c>
      <c r="CE2340" s="579">
        <v>25.8</v>
      </c>
      <c r="CF2340" s="579">
        <v>26</v>
      </c>
      <c r="CG2340" s="579"/>
      <c r="CH2340" s="579"/>
      <c r="CI2340" s="126" t="s">
        <v>4551</v>
      </c>
      <c r="JB2340" s="99" t="s">
        <v>2392</v>
      </c>
      <c r="JC2340" s="99" t="s">
        <v>2393</v>
      </c>
      <c r="JD2340" s="508"/>
    </row>
    <row r="2341" spans="1:264" s="99" customFormat="1" x14ac:dyDescent="0.25">
      <c r="A2341" s="99">
        <v>111</v>
      </c>
      <c r="B2341" s="100" t="s">
        <v>4291</v>
      </c>
      <c r="C2341" s="99" t="s">
        <v>2369</v>
      </c>
      <c r="D2341" s="99">
        <v>9</v>
      </c>
      <c r="E2341" s="99">
        <v>2016</v>
      </c>
      <c r="F2341" s="99">
        <v>2014</v>
      </c>
      <c r="G2341" s="99">
        <v>6</v>
      </c>
      <c r="H2341" s="99" t="s">
        <v>2330</v>
      </c>
      <c r="I2341" s="99" t="s">
        <v>2824</v>
      </c>
      <c r="J2341" s="99">
        <v>-37.401972000000001</v>
      </c>
      <c r="K2341" s="99">
        <v>-61.700510999999999</v>
      </c>
      <c r="L2341" s="99">
        <v>213.1</v>
      </c>
      <c r="N2341" s="99">
        <v>16</v>
      </c>
      <c r="P2341" s="99">
        <v>702</v>
      </c>
      <c r="R2341" s="100" t="s">
        <v>1977</v>
      </c>
      <c r="S2341" s="100" t="s">
        <v>1977</v>
      </c>
      <c r="T2341" s="100"/>
      <c r="V2341" s="100" t="s">
        <v>1379</v>
      </c>
      <c r="W2341" s="100" t="s">
        <v>1715</v>
      </c>
      <c r="X2341" s="100" t="s">
        <v>1379</v>
      </c>
      <c r="Y2341" s="100" t="s">
        <v>1379</v>
      </c>
      <c r="Z2341" s="351"/>
      <c r="AA2341" s="351"/>
      <c r="AC2341" s="99" t="s">
        <v>2342</v>
      </c>
      <c r="AG2341" s="100" t="s">
        <v>2389</v>
      </c>
      <c r="AH2341" s="99" t="s">
        <v>2343</v>
      </c>
      <c r="AI2341" s="99" t="s">
        <v>131</v>
      </c>
      <c r="AJ2341" s="99" t="s">
        <v>132</v>
      </c>
      <c r="AK2341" s="99" t="s">
        <v>132</v>
      </c>
      <c r="AL2341" s="99" t="s">
        <v>942</v>
      </c>
      <c r="AM2341" s="99" t="s">
        <v>942</v>
      </c>
      <c r="AX2341" s="99">
        <v>3</v>
      </c>
      <c r="BE2341" s="99" t="s">
        <v>2837</v>
      </c>
      <c r="BU2341" s="426">
        <f>BZ2341*0.0414</f>
        <v>0.41399999999999998</v>
      </c>
      <c r="BV2341" s="426">
        <f>CA2341*0.0414</f>
        <v>0.66239999999999999</v>
      </c>
      <c r="BZ2341" s="99">
        <v>10</v>
      </c>
      <c r="CA2341" s="99">
        <v>16</v>
      </c>
      <c r="CD2341" s="99" t="s">
        <v>2095</v>
      </c>
      <c r="CE2341" s="579">
        <v>10</v>
      </c>
      <c r="CF2341" s="579">
        <v>16</v>
      </c>
      <c r="CG2341" s="579"/>
      <c r="CH2341" s="579"/>
      <c r="CI2341" s="126" t="s">
        <v>4551</v>
      </c>
      <c r="JB2341" s="99" t="s">
        <v>2392</v>
      </c>
      <c r="JC2341" s="99" t="s">
        <v>2393</v>
      </c>
      <c r="JD2341" s="508"/>
    </row>
    <row r="2342" spans="1:264" s="99" customFormat="1" x14ac:dyDescent="0.25">
      <c r="A2342" s="99">
        <v>111</v>
      </c>
      <c r="B2342" s="100" t="s">
        <v>4292</v>
      </c>
      <c r="C2342" s="99" t="s">
        <v>2370</v>
      </c>
      <c r="D2342" s="99">
        <v>11</v>
      </c>
      <c r="E2342" s="99">
        <v>2016</v>
      </c>
      <c r="F2342" s="99">
        <v>2014</v>
      </c>
      <c r="G2342" s="99">
        <v>9</v>
      </c>
      <c r="H2342" s="99" t="s">
        <v>2330</v>
      </c>
      <c r="I2342" s="99" t="s">
        <v>2824</v>
      </c>
      <c r="J2342" s="99">
        <v>-34.9985</v>
      </c>
      <c r="K2342" s="99">
        <v>-62.904797000000002</v>
      </c>
      <c r="L2342" s="99">
        <v>115.6</v>
      </c>
      <c r="N2342" s="99">
        <v>16.3</v>
      </c>
      <c r="P2342" s="99">
        <v>859</v>
      </c>
      <c r="R2342" s="100" t="s">
        <v>1975</v>
      </c>
      <c r="S2342" s="100" t="s">
        <v>1975</v>
      </c>
      <c r="T2342" s="100"/>
      <c r="V2342" s="100" t="s">
        <v>1379</v>
      </c>
      <c r="W2342" s="100" t="s">
        <v>1715</v>
      </c>
      <c r="X2342" s="100" t="s">
        <v>1379</v>
      </c>
      <c r="Y2342" s="100" t="s">
        <v>1379</v>
      </c>
      <c r="Z2342" s="351"/>
      <c r="AA2342" s="351"/>
      <c r="AC2342" s="99" t="s">
        <v>2335</v>
      </c>
      <c r="AG2342" s="100" t="s">
        <v>2387</v>
      </c>
      <c r="AH2342" s="99" t="s">
        <v>2343</v>
      </c>
      <c r="AI2342" s="99" t="s">
        <v>131</v>
      </c>
      <c r="AJ2342" s="99" t="s">
        <v>158</v>
      </c>
      <c r="AK2342" s="99" t="s">
        <v>158</v>
      </c>
      <c r="AL2342" s="99" t="s">
        <v>2334</v>
      </c>
      <c r="AM2342" s="99" t="s">
        <v>2334</v>
      </c>
      <c r="AT2342" s="99" t="s">
        <v>2345</v>
      </c>
      <c r="AU2342" s="99" t="s">
        <v>2345</v>
      </c>
      <c r="AX2342" s="99">
        <v>3</v>
      </c>
      <c r="BD2342" s="99" t="s">
        <v>2344</v>
      </c>
      <c r="BE2342" s="99" t="s">
        <v>2837</v>
      </c>
      <c r="BU2342" s="426">
        <f t="shared" ref="BU2342:BU2361" si="343">BZ2342*0.0414</f>
        <v>1.7056800000000001</v>
      </c>
      <c r="BV2342" s="426">
        <f t="shared" ref="BV2342:BV2361" si="344">CA2342*0.0414</f>
        <v>1.8257399999999999</v>
      </c>
      <c r="BZ2342" s="99">
        <v>41.2</v>
      </c>
      <c r="CA2342" s="99">
        <v>44.1</v>
      </c>
      <c r="CD2342" s="99" t="s">
        <v>2095</v>
      </c>
      <c r="CE2342" s="579">
        <v>41.2</v>
      </c>
      <c r="CF2342" s="579">
        <v>44.1</v>
      </c>
      <c r="CG2342" s="579"/>
      <c r="CH2342" s="579"/>
      <c r="CI2342" s="126" t="s">
        <v>4551</v>
      </c>
      <c r="JB2342" s="99" t="s">
        <v>2392</v>
      </c>
      <c r="JC2342" s="99" t="s">
        <v>2393</v>
      </c>
      <c r="JD2342" s="508"/>
    </row>
    <row r="2343" spans="1:264" s="99" customFormat="1" x14ac:dyDescent="0.25">
      <c r="A2343" s="99">
        <v>111</v>
      </c>
      <c r="B2343" s="100" t="s">
        <v>4292</v>
      </c>
      <c r="C2343" s="99" t="s">
        <v>2370</v>
      </c>
      <c r="D2343" s="99">
        <v>11</v>
      </c>
      <c r="E2343" s="99">
        <v>2016</v>
      </c>
      <c r="F2343" s="99">
        <v>2014</v>
      </c>
      <c r="G2343" s="99">
        <v>9</v>
      </c>
      <c r="H2343" s="99" t="s">
        <v>2330</v>
      </c>
      <c r="I2343" s="99" t="s">
        <v>2824</v>
      </c>
      <c r="J2343" s="99">
        <v>-34.9985</v>
      </c>
      <c r="K2343" s="99">
        <v>-62.904797000000002</v>
      </c>
      <c r="L2343" s="99">
        <v>115.6</v>
      </c>
      <c r="N2343" s="99">
        <v>16.3</v>
      </c>
      <c r="P2343" s="99">
        <v>859</v>
      </c>
      <c r="R2343" s="100" t="s">
        <v>1975</v>
      </c>
      <c r="S2343" s="100" t="s">
        <v>1975</v>
      </c>
      <c r="T2343" s="100"/>
      <c r="V2343" s="100" t="s">
        <v>1379</v>
      </c>
      <c r="W2343" s="100" t="s">
        <v>1715</v>
      </c>
      <c r="X2343" s="100" t="s">
        <v>1379</v>
      </c>
      <c r="Y2343" s="100" t="s">
        <v>1379</v>
      </c>
      <c r="Z2343" s="351"/>
      <c r="AA2343" s="351"/>
      <c r="AC2343" s="99" t="s">
        <v>2335</v>
      </c>
      <c r="AG2343" s="100" t="s">
        <v>2387</v>
      </c>
      <c r="AH2343" s="99" t="s">
        <v>2343</v>
      </c>
      <c r="AI2343" s="99" t="s">
        <v>131</v>
      </c>
      <c r="AJ2343" s="99" t="s">
        <v>158</v>
      </c>
      <c r="AK2343" s="99" t="s">
        <v>158</v>
      </c>
      <c r="AL2343" s="99" t="s">
        <v>2334</v>
      </c>
      <c r="AM2343" s="99" t="s">
        <v>2334</v>
      </c>
      <c r="AU2343" s="99" t="s">
        <v>2346</v>
      </c>
      <c r="AX2343" s="99">
        <v>3</v>
      </c>
      <c r="BD2343" s="99" t="s">
        <v>2344</v>
      </c>
      <c r="BE2343" s="99" t="s">
        <v>2837</v>
      </c>
      <c r="BU2343" s="426">
        <f t="shared" si="343"/>
        <v>1.5731999999999999</v>
      </c>
      <c r="BV2343" s="426">
        <f t="shared" si="344"/>
        <v>1.9002599999999998</v>
      </c>
      <c r="BZ2343" s="99">
        <v>38</v>
      </c>
      <c r="CA2343" s="99">
        <v>45.9</v>
      </c>
      <c r="CD2343" s="99" t="s">
        <v>2095</v>
      </c>
      <c r="CE2343" s="579">
        <v>38</v>
      </c>
      <c r="CF2343" s="579">
        <v>45.9</v>
      </c>
      <c r="CG2343" s="579"/>
      <c r="CH2343" s="579"/>
      <c r="CI2343" s="126" t="s">
        <v>4551</v>
      </c>
      <c r="JB2343" s="99" t="s">
        <v>2392</v>
      </c>
      <c r="JC2343" s="99" t="s">
        <v>2393</v>
      </c>
      <c r="JD2343" s="508"/>
    </row>
    <row r="2344" spans="1:264" s="99" customFormat="1" x14ac:dyDescent="0.25">
      <c r="A2344" s="99">
        <v>111</v>
      </c>
      <c r="B2344" s="100" t="s">
        <v>4293</v>
      </c>
      <c r="C2344" s="99" t="s">
        <v>2371</v>
      </c>
      <c r="D2344" s="99">
        <v>12</v>
      </c>
      <c r="E2344" s="99">
        <v>2014</v>
      </c>
      <c r="F2344" s="99">
        <v>2012</v>
      </c>
      <c r="G2344" s="99">
        <v>11</v>
      </c>
      <c r="H2344" s="99" t="s">
        <v>2330</v>
      </c>
      <c r="I2344" s="99" t="s">
        <v>2824</v>
      </c>
      <c r="J2344" s="99">
        <v>-34.837381000000001</v>
      </c>
      <c r="K2344" s="99">
        <v>-63.127822000000002</v>
      </c>
      <c r="L2344" s="99">
        <v>123.4</v>
      </c>
      <c r="N2344" s="99">
        <v>16.3</v>
      </c>
      <c r="P2344" s="99">
        <v>859</v>
      </c>
      <c r="R2344" s="100" t="s">
        <v>1734</v>
      </c>
      <c r="S2344" s="100" t="s">
        <v>1982</v>
      </c>
      <c r="T2344" s="100"/>
      <c r="V2344" s="100" t="s">
        <v>1379</v>
      </c>
      <c r="W2344" s="100" t="s">
        <v>1715</v>
      </c>
      <c r="X2344" s="100" t="s">
        <v>1379</v>
      </c>
      <c r="Y2344" s="100" t="s">
        <v>1379</v>
      </c>
      <c r="Z2344" s="351"/>
      <c r="AA2344" s="351"/>
      <c r="AC2344" s="99" t="s">
        <v>2335</v>
      </c>
      <c r="AG2344" s="100" t="s">
        <v>2387</v>
      </c>
      <c r="AH2344" s="99" t="s">
        <v>2343</v>
      </c>
      <c r="AI2344" s="99" t="s">
        <v>131</v>
      </c>
      <c r="AJ2344" s="99" t="s">
        <v>132</v>
      </c>
      <c r="AK2344" s="99" t="s">
        <v>132</v>
      </c>
      <c r="AL2344" s="99" t="s">
        <v>637</v>
      </c>
      <c r="AM2344" s="99" t="s">
        <v>637</v>
      </c>
      <c r="AT2344" s="99">
        <v>46</v>
      </c>
      <c r="AX2344" s="99">
        <v>3</v>
      </c>
      <c r="BE2344" s="99" t="s">
        <v>2837</v>
      </c>
      <c r="BU2344" s="426">
        <f t="shared" si="343"/>
        <v>1.0515599999999998</v>
      </c>
      <c r="BV2344" s="426">
        <f t="shared" si="344"/>
        <v>1.1385000000000001</v>
      </c>
      <c r="BZ2344" s="99">
        <v>25.4</v>
      </c>
      <c r="CA2344" s="99">
        <v>27.5</v>
      </c>
      <c r="CD2344" s="99" t="s">
        <v>2095</v>
      </c>
      <c r="CE2344" s="579">
        <v>25.4</v>
      </c>
      <c r="CF2344" s="579">
        <v>27.5</v>
      </c>
      <c r="CG2344" s="579"/>
      <c r="CH2344" s="579"/>
      <c r="CI2344" s="126" t="s">
        <v>4551</v>
      </c>
      <c r="JB2344" s="99" t="s">
        <v>2392</v>
      </c>
      <c r="JC2344" s="99" t="s">
        <v>2393</v>
      </c>
      <c r="JD2344" s="508"/>
    </row>
    <row r="2345" spans="1:264" s="99" customFormat="1" x14ac:dyDescent="0.25">
      <c r="A2345" s="99">
        <v>111</v>
      </c>
      <c r="B2345" s="100" t="s">
        <v>4293</v>
      </c>
      <c r="C2345" s="99" t="s">
        <v>2371</v>
      </c>
      <c r="D2345" s="99">
        <v>12</v>
      </c>
      <c r="E2345" s="99">
        <v>2014</v>
      </c>
      <c r="F2345" s="99">
        <v>2012</v>
      </c>
      <c r="G2345" s="99">
        <v>11</v>
      </c>
      <c r="H2345" s="99" t="s">
        <v>2330</v>
      </c>
      <c r="I2345" s="99" t="s">
        <v>2824</v>
      </c>
      <c r="J2345" s="99">
        <v>-34.837381000000001</v>
      </c>
      <c r="K2345" s="99">
        <v>-63.127822000000002</v>
      </c>
      <c r="L2345" s="99">
        <v>123.4</v>
      </c>
      <c r="N2345" s="99">
        <v>16.3</v>
      </c>
      <c r="P2345" s="99">
        <v>859</v>
      </c>
      <c r="R2345" s="100" t="s">
        <v>1982</v>
      </c>
      <c r="S2345" s="100" t="s">
        <v>1982</v>
      </c>
      <c r="T2345" s="100"/>
      <c r="V2345" s="100" t="s">
        <v>1379</v>
      </c>
      <c r="W2345" s="100" t="s">
        <v>1715</v>
      </c>
      <c r="X2345" s="100" t="s">
        <v>1379</v>
      </c>
      <c r="Y2345" s="100" t="s">
        <v>1379</v>
      </c>
      <c r="Z2345" s="351"/>
      <c r="AA2345" s="351"/>
      <c r="AC2345" s="99" t="s">
        <v>2335</v>
      </c>
      <c r="AG2345" s="100" t="s">
        <v>2387</v>
      </c>
      <c r="AH2345" s="99" t="s">
        <v>2343</v>
      </c>
      <c r="AI2345" s="99" t="s">
        <v>131</v>
      </c>
      <c r="AJ2345" s="99" t="s">
        <v>132</v>
      </c>
      <c r="AK2345" s="99" t="s">
        <v>132</v>
      </c>
      <c r="AL2345" s="99" t="s">
        <v>637</v>
      </c>
      <c r="AM2345" s="99" t="s">
        <v>637</v>
      </c>
      <c r="AT2345" s="99">
        <v>46</v>
      </c>
      <c r="AX2345" s="99">
        <v>3</v>
      </c>
      <c r="BE2345" s="99" t="s">
        <v>2837</v>
      </c>
      <c r="BU2345" s="426">
        <f t="shared" si="343"/>
        <v>1.18404</v>
      </c>
      <c r="BV2345" s="426">
        <f t="shared" si="344"/>
        <v>1.26684</v>
      </c>
      <c r="BZ2345" s="99">
        <v>28.6</v>
      </c>
      <c r="CA2345" s="99">
        <v>30.6</v>
      </c>
      <c r="CD2345" s="99" t="s">
        <v>2095</v>
      </c>
      <c r="CE2345" s="579">
        <v>28.6</v>
      </c>
      <c r="CF2345" s="579">
        <v>30.6</v>
      </c>
      <c r="CG2345" s="579"/>
      <c r="CH2345" s="579"/>
      <c r="CI2345" s="126" t="s">
        <v>4551</v>
      </c>
      <c r="JB2345" s="99" t="s">
        <v>2392</v>
      </c>
      <c r="JC2345" s="99" t="s">
        <v>2393</v>
      </c>
      <c r="JD2345" s="508"/>
    </row>
    <row r="2346" spans="1:264" s="99" customFormat="1" x14ac:dyDescent="0.25">
      <c r="A2346" s="99">
        <v>111</v>
      </c>
      <c r="B2346" s="100" t="s">
        <v>4293</v>
      </c>
      <c r="C2346" s="99" t="s">
        <v>2371</v>
      </c>
      <c r="D2346" s="99">
        <v>12</v>
      </c>
      <c r="E2346" s="99">
        <v>2014</v>
      </c>
      <c r="F2346" s="99">
        <v>2012</v>
      </c>
      <c r="G2346" s="99">
        <v>11</v>
      </c>
      <c r="H2346" s="99" t="s">
        <v>2330</v>
      </c>
      <c r="I2346" s="99" t="s">
        <v>2824</v>
      </c>
      <c r="J2346" s="99">
        <v>-34.837381000000001</v>
      </c>
      <c r="K2346" s="99">
        <v>-63.127822000000002</v>
      </c>
      <c r="L2346" s="99">
        <v>123.4</v>
      </c>
      <c r="N2346" s="99">
        <v>16.3</v>
      </c>
      <c r="P2346" s="99">
        <v>859</v>
      </c>
      <c r="R2346" s="100" t="s">
        <v>1975</v>
      </c>
      <c r="S2346" s="100" t="s">
        <v>1982</v>
      </c>
      <c r="T2346" s="100"/>
      <c r="V2346" s="100" t="s">
        <v>1379</v>
      </c>
      <c r="W2346" s="100" t="s">
        <v>1715</v>
      </c>
      <c r="X2346" s="100" t="s">
        <v>1379</v>
      </c>
      <c r="Y2346" s="100" t="s">
        <v>1379</v>
      </c>
      <c r="Z2346" s="351"/>
      <c r="AA2346" s="351"/>
      <c r="AC2346" s="99" t="s">
        <v>2335</v>
      </c>
      <c r="AG2346" s="100" t="s">
        <v>2387</v>
      </c>
      <c r="AH2346" s="99" t="s">
        <v>2343</v>
      </c>
      <c r="AI2346" s="99" t="s">
        <v>131</v>
      </c>
      <c r="AJ2346" s="99" t="s">
        <v>132</v>
      </c>
      <c r="AK2346" s="99" t="s">
        <v>132</v>
      </c>
      <c r="AL2346" s="99" t="s">
        <v>637</v>
      </c>
      <c r="AM2346" s="99" t="s">
        <v>637</v>
      </c>
      <c r="AT2346" s="99">
        <v>46</v>
      </c>
      <c r="AX2346" s="99">
        <v>3</v>
      </c>
      <c r="BE2346" s="99" t="s">
        <v>2837</v>
      </c>
      <c r="BU2346" s="426">
        <f t="shared" si="343"/>
        <v>0.76590000000000003</v>
      </c>
      <c r="BV2346" s="426">
        <f t="shared" si="344"/>
        <v>1.06812</v>
      </c>
      <c r="BZ2346" s="99">
        <v>18.5</v>
      </c>
      <c r="CA2346" s="99">
        <v>25.8</v>
      </c>
      <c r="CD2346" s="99" t="s">
        <v>2095</v>
      </c>
      <c r="CE2346" s="579">
        <v>18.5</v>
      </c>
      <c r="CF2346" s="579">
        <v>25.8</v>
      </c>
      <c r="CG2346" s="579"/>
      <c r="CH2346" s="579"/>
      <c r="CI2346" s="126" t="s">
        <v>4551</v>
      </c>
      <c r="JB2346" s="99" t="s">
        <v>2392</v>
      </c>
      <c r="JC2346" s="99" t="s">
        <v>2393</v>
      </c>
      <c r="JD2346" s="508"/>
    </row>
    <row r="2347" spans="1:264" s="99" customFormat="1" x14ac:dyDescent="0.25">
      <c r="A2347" s="99">
        <v>111</v>
      </c>
      <c r="B2347" s="100" t="s">
        <v>4293</v>
      </c>
      <c r="C2347" s="99" t="s">
        <v>2371</v>
      </c>
      <c r="D2347" s="99">
        <v>12</v>
      </c>
      <c r="E2347" s="99">
        <v>2014</v>
      </c>
      <c r="F2347" s="99">
        <v>2012</v>
      </c>
      <c r="G2347" s="99">
        <v>11</v>
      </c>
      <c r="H2347" s="99" t="s">
        <v>2330</v>
      </c>
      <c r="I2347" s="99" t="s">
        <v>2824</v>
      </c>
      <c r="J2347" s="99">
        <v>-34.837381000000001</v>
      </c>
      <c r="K2347" s="99">
        <v>-63.127822000000002</v>
      </c>
      <c r="L2347" s="99">
        <v>123.4</v>
      </c>
      <c r="N2347" s="99">
        <v>16.3</v>
      </c>
      <c r="P2347" s="99">
        <v>859</v>
      </c>
      <c r="R2347" s="100" t="s">
        <v>1734</v>
      </c>
      <c r="S2347" s="100" t="s">
        <v>1982</v>
      </c>
      <c r="T2347" s="100"/>
      <c r="V2347" s="100" t="s">
        <v>1379</v>
      </c>
      <c r="W2347" s="100" t="s">
        <v>1715</v>
      </c>
      <c r="X2347" s="100" t="s">
        <v>1379</v>
      </c>
      <c r="Y2347" s="100" t="s">
        <v>1379</v>
      </c>
      <c r="Z2347" s="351"/>
      <c r="AA2347" s="351"/>
      <c r="AC2347" s="99" t="s">
        <v>2335</v>
      </c>
      <c r="AG2347" s="100" t="s">
        <v>2387</v>
      </c>
      <c r="AH2347" s="99" t="s">
        <v>2343</v>
      </c>
      <c r="AI2347" s="99" t="s">
        <v>131</v>
      </c>
      <c r="AJ2347" s="99" t="s">
        <v>132</v>
      </c>
      <c r="AK2347" s="99" t="s">
        <v>132</v>
      </c>
      <c r="AL2347" s="99" t="s">
        <v>637</v>
      </c>
      <c r="AM2347" s="99" t="s">
        <v>637</v>
      </c>
      <c r="AT2347" s="99">
        <v>0</v>
      </c>
      <c r="AX2347" s="99">
        <v>3</v>
      </c>
      <c r="BE2347" s="99" t="s">
        <v>2837</v>
      </c>
      <c r="BU2347" s="426">
        <f t="shared" si="343"/>
        <v>1.0515599999999998</v>
      </c>
      <c r="BV2347" s="426">
        <f t="shared" si="344"/>
        <v>1.1095200000000001</v>
      </c>
      <c r="BZ2347" s="99">
        <v>25.4</v>
      </c>
      <c r="CA2347" s="99">
        <v>26.8</v>
      </c>
      <c r="CD2347" s="99" t="s">
        <v>2095</v>
      </c>
      <c r="CE2347" s="579">
        <v>25.4</v>
      </c>
      <c r="CF2347" s="579">
        <v>26.8</v>
      </c>
      <c r="CG2347" s="579"/>
      <c r="CH2347" s="579"/>
      <c r="CI2347" s="126" t="s">
        <v>4551</v>
      </c>
      <c r="JB2347" s="99" t="s">
        <v>2392</v>
      </c>
      <c r="JC2347" s="99" t="s">
        <v>2393</v>
      </c>
      <c r="JD2347" s="508"/>
    </row>
    <row r="2348" spans="1:264" s="99" customFormat="1" x14ac:dyDescent="0.25">
      <c r="A2348" s="99">
        <v>111</v>
      </c>
      <c r="B2348" s="100" t="s">
        <v>4293</v>
      </c>
      <c r="C2348" s="99" t="s">
        <v>2371</v>
      </c>
      <c r="D2348" s="99">
        <v>12</v>
      </c>
      <c r="E2348" s="99">
        <v>2014</v>
      </c>
      <c r="F2348" s="99">
        <v>2012</v>
      </c>
      <c r="G2348" s="99">
        <v>11</v>
      </c>
      <c r="H2348" s="99" t="s">
        <v>2330</v>
      </c>
      <c r="I2348" s="99" t="s">
        <v>2824</v>
      </c>
      <c r="J2348" s="99">
        <v>-34.837381000000001</v>
      </c>
      <c r="K2348" s="99">
        <v>-63.127822000000002</v>
      </c>
      <c r="L2348" s="99">
        <v>123.4</v>
      </c>
      <c r="N2348" s="99">
        <v>16.3</v>
      </c>
      <c r="P2348" s="99">
        <v>859</v>
      </c>
      <c r="R2348" s="100" t="s">
        <v>1982</v>
      </c>
      <c r="S2348" s="100" t="s">
        <v>1982</v>
      </c>
      <c r="T2348" s="100"/>
      <c r="V2348" s="100" t="s">
        <v>1379</v>
      </c>
      <c r="W2348" s="100" t="s">
        <v>1715</v>
      </c>
      <c r="X2348" s="100" t="s">
        <v>1379</v>
      </c>
      <c r="Y2348" s="100" t="s">
        <v>1379</v>
      </c>
      <c r="Z2348" s="351"/>
      <c r="AA2348" s="351"/>
      <c r="AC2348" s="99" t="s">
        <v>2335</v>
      </c>
      <c r="AG2348" s="100" t="s">
        <v>2387</v>
      </c>
      <c r="AH2348" s="99" t="s">
        <v>2343</v>
      </c>
      <c r="AI2348" s="99" t="s">
        <v>131</v>
      </c>
      <c r="AJ2348" s="99" t="s">
        <v>132</v>
      </c>
      <c r="AK2348" s="99" t="s">
        <v>132</v>
      </c>
      <c r="AL2348" s="99" t="s">
        <v>637</v>
      </c>
      <c r="AM2348" s="99" t="s">
        <v>637</v>
      </c>
      <c r="AT2348" s="99">
        <v>0</v>
      </c>
      <c r="AX2348" s="99">
        <v>3</v>
      </c>
      <c r="BE2348" s="99" t="s">
        <v>2837</v>
      </c>
      <c r="BU2348" s="426">
        <f t="shared" si="343"/>
        <v>1.18404</v>
      </c>
      <c r="BV2348" s="426">
        <f t="shared" si="344"/>
        <v>1.27512</v>
      </c>
      <c r="BZ2348" s="99">
        <v>28.6</v>
      </c>
      <c r="CA2348" s="99">
        <v>30.8</v>
      </c>
      <c r="CD2348" s="99" t="s">
        <v>2095</v>
      </c>
      <c r="CE2348" s="579">
        <v>28.6</v>
      </c>
      <c r="CF2348" s="579">
        <v>30.8</v>
      </c>
      <c r="CG2348" s="579"/>
      <c r="CH2348" s="579"/>
      <c r="CI2348" s="126" t="s">
        <v>4551</v>
      </c>
      <c r="JB2348" s="99" t="s">
        <v>2392</v>
      </c>
      <c r="JC2348" s="99" t="s">
        <v>2393</v>
      </c>
      <c r="JD2348" s="508"/>
    </row>
    <row r="2349" spans="1:264" s="99" customFormat="1" x14ac:dyDescent="0.25">
      <c r="A2349" s="99">
        <v>111</v>
      </c>
      <c r="B2349" s="100" t="s">
        <v>4293</v>
      </c>
      <c r="C2349" s="99" t="s">
        <v>2371</v>
      </c>
      <c r="D2349" s="99">
        <v>12</v>
      </c>
      <c r="E2349" s="99">
        <v>2014</v>
      </c>
      <c r="F2349" s="99">
        <v>2012</v>
      </c>
      <c r="G2349" s="99">
        <v>11</v>
      </c>
      <c r="H2349" s="99" t="s">
        <v>2330</v>
      </c>
      <c r="I2349" s="99" t="s">
        <v>2824</v>
      </c>
      <c r="J2349" s="99">
        <v>-34.837381000000001</v>
      </c>
      <c r="K2349" s="99">
        <v>-63.127822000000002</v>
      </c>
      <c r="L2349" s="99">
        <v>123.4</v>
      </c>
      <c r="N2349" s="99">
        <v>16.3</v>
      </c>
      <c r="P2349" s="99">
        <v>859</v>
      </c>
      <c r="R2349" s="100" t="s">
        <v>1975</v>
      </c>
      <c r="S2349" s="100" t="s">
        <v>1982</v>
      </c>
      <c r="T2349" s="100"/>
      <c r="V2349" s="100" t="s">
        <v>1379</v>
      </c>
      <c r="W2349" s="100" t="s">
        <v>1715</v>
      </c>
      <c r="X2349" s="100" t="s">
        <v>1379</v>
      </c>
      <c r="Y2349" s="100" t="s">
        <v>1379</v>
      </c>
      <c r="Z2349" s="351"/>
      <c r="AA2349" s="351"/>
      <c r="AC2349" s="99" t="s">
        <v>2335</v>
      </c>
      <c r="AG2349" s="100" t="s">
        <v>2387</v>
      </c>
      <c r="AH2349" s="99" t="s">
        <v>2343</v>
      </c>
      <c r="AI2349" s="99" t="s">
        <v>131</v>
      </c>
      <c r="AJ2349" s="99" t="s">
        <v>132</v>
      </c>
      <c r="AK2349" s="99" t="s">
        <v>132</v>
      </c>
      <c r="AL2349" s="99" t="s">
        <v>637</v>
      </c>
      <c r="AM2349" s="99" t="s">
        <v>637</v>
      </c>
      <c r="AT2349" s="99">
        <v>0</v>
      </c>
      <c r="AX2349" s="99">
        <v>3</v>
      </c>
      <c r="BE2349" s="99" t="s">
        <v>2837</v>
      </c>
      <c r="BU2349" s="426">
        <f t="shared" si="343"/>
        <v>0.76590000000000003</v>
      </c>
      <c r="BV2349" s="426">
        <f t="shared" si="344"/>
        <v>1.0018799999999999</v>
      </c>
      <c r="BZ2349" s="99">
        <v>18.5</v>
      </c>
      <c r="CA2349" s="99">
        <v>24.2</v>
      </c>
      <c r="CD2349" s="99" t="s">
        <v>2095</v>
      </c>
      <c r="CE2349" s="579">
        <v>18.5</v>
      </c>
      <c r="CF2349" s="579">
        <v>24.2</v>
      </c>
      <c r="CG2349" s="579"/>
      <c r="CH2349" s="579"/>
      <c r="CI2349" s="126" t="s">
        <v>4551</v>
      </c>
      <c r="JB2349" s="99" t="s">
        <v>2392</v>
      </c>
      <c r="JC2349" s="99" t="s">
        <v>2393</v>
      </c>
      <c r="JD2349" s="508"/>
    </row>
    <row r="2350" spans="1:264" s="99" customFormat="1" x14ac:dyDescent="0.25">
      <c r="A2350" s="99">
        <v>111</v>
      </c>
      <c r="B2350" s="100" t="s">
        <v>4293</v>
      </c>
      <c r="C2350" s="99" t="s">
        <v>2371</v>
      </c>
      <c r="D2350" s="99">
        <v>12</v>
      </c>
      <c r="E2350" s="99">
        <v>2014</v>
      </c>
      <c r="F2350" s="99">
        <v>2012</v>
      </c>
      <c r="G2350" s="99">
        <v>11</v>
      </c>
      <c r="H2350" s="99" t="s">
        <v>2330</v>
      </c>
      <c r="I2350" s="99" t="s">
        <v>2824</v>
      </c>
      <c r="J2350" s="99">
        <v>-34.837381000000001</v>
      </c>
      <c r="K2350" s="99">
        <v>-63.127822000000002</v>
      </c>
      <c r="L2350" s="99">
        <v>123.4</v>
      </c>
      <c r="N2350" s="99">
        <v>16.3</v>
      </c>
      <c r="P2350" s="99">
        <v>859</v>
      </c>
      <c r="R2350" s="100" t="s">
        <v>1734</v>
      </c>
      <c r="S2350" s="100" t="s">
        <v>1982</v>
      </c>
      <c r="T2350" s="100"/>
      <c r="V2350" s="100" t="s">
        <v>1379</v>
      </c>
      <c r="W2350" s="100" t="s">
        <v>1715</v>
      </c>
      <c r="X2350" s="100" t="s">
        <v>1379</v>
      </c>
      <c r="Y2350" s="100" t="s">
        <v>1379</v>
      </c>
      <c r="Z2350" s="351"/>
      <c r="AA2350" s="351"/>
      <c r="AC2350" s="99" t="s">
        <v>2335</v>
      </c>
      <c r="AG2350" s="100" t="s">
        <v>2387</v>
      </c>
      <c r="AH2350" s="99" t="s">
        <v>2343</v>
      </c>
      <c r="AI2350" s="99" t="s">
        <v>131</v>
      </c>
      <c r="AJ2350" s="99" t="s">
        <v>132</v>
      </c>
      <c r="AK2350" s="99" t="s">
        <v>132</v>
      </c>
      <c r="AL2350" s="99" t="s">
        <v>942</v>
      </c>
      <c r="AM2350" s="99" t="s">
        <v>942</v>
      </c>
      <c r="AT2350" s="99">
        <v>46</v>
      </c>
      <c r="AX2350" s="99">
        <v>3</v>
      </c>
      <c r="BE2350" s="99" t="s">
        <v>2837</v>
      </c>
      <c r="BU2350" s="426">
        <f t="shared" si="343"/>
        <v>1.0639799999999999</v>
      </c>
      <c r="BV2350" s="426">
        <f t="shared" si="344"/>
        <v>1.1509199999999999</v>
      </c>
      <c r="BZ2350" s="99">
        <v>25.7</v>
      </c>
      <c r="CA2350" s="99">
        <v>27.8</v>
      </c>
      <c r="CD2350" s="99" t="s">
        <v>2095</v>
      </c>
      <c r="CE2350" s="579">
        <v>25.7</v>
      </c>
      <c r="CF2350" s="579">
        <v>27.8</v>
      </c>
      <c r="CG2350" s="579"/>
      <c r="CH2350" s="579"/>
      <c r="CI2350" s="126" t="s">
        <v>4551</v>
      </c>
      <c r="JB2350" s="99" t="s">
        <v>2392</v>
      </c>
      <c r="JC2350" s="99" t="s">
        <v>2393</v>
      </c>
      <c r="JD2350" s="508"/>
    </row>
    <row r="2351" spans="1:264" s="99" customFormat="1" x14ac:dyDescent="0.25">
      <c r="A2351" s="99">
        <v>111</v>
      </c>
      <c r="B2351" s="100" t="s">
        <v>4293</v>
      </c>
      <c r="C2351" s="99" t="s">
        <v>2371</v>
      </c>
      <c r="D2351" s="99">
        <v>12</v>
      </c>
      <c r="E2351" s="99">
        <v>2014</v>
      </c>
      <c r="F2351" s="99">
        <v>2012</v>
      </c>
      <c r="G2351" s="99">
        <v>11</v>
      </c>
      <c r="H2351" s="99" t="s">
        <v>2330</v>
      </c>
      <c r="I2351" s="99" t="s">
        <v>2824</v>
      </c>
      <c r="J2351" s="99">
        <v>-34.837381000000001</v>
      </c>
      <c r="K2351" s="99">
        <v>-63.127822000000002</v>
      </c>
      <c r="L2351" s="99">
        <v>123.4</v>
      </c>
      <c r="N2351" s="99">
        <v>16.3</v>
      </c>
      <c r="P2351" s="99">
        <v>859</v>
      </c>
      <c r="R2351" s="100" t="s">
        <v>1982</v>
      </c>
      <c r="S2351" s="100" t="s">
        <v>1982</v>
      </c>
      <c r="T2351" s="100"/>
      <c r="V2351" s="100" t="s">
        <v>1379</v>
      </c>
      <c r="W2351" s="100" t="s">
        <v>1715</v>
      </c>
      <c r="X2351" s="100" t="s">
        <v>1379</v>
      </c>
      <c r="Y2351" s="100" t="s">
        <v>1379</v>
      </c>
      <c r="Z2351" s="351"/>
      <c r="AA2351" s="351"/>
      <c r="AC2351" s="99" t="s">
        <v>2335</v>
      </c>
      <c r="AG2351" s="100" t="s">
        <v>2387</v>
      </c>
      <c r="AH2351" s="99" t="s">
        <v>2343</v>
      </c>
      <c r="AI2351" s="99" t="s">
        <v>131</v>
      </c>
      <c r="AJ2351" s="99" t="s">
        <v>132</v>
      </c>
      <c r="AK2351" s="99" t="s">
        <v>132</v>
      </c>
      <c r="AL2351" s="99" t="s">
        <v>942</v>
      </c>
      <c r="AM2351" s="99" t="s">
        <v>942</v>
      </c>
      <c r="AT2351" s="99">
        <v>46</v>
      </c>
      <c r="AX2351" s="99">
        <v>3</v>
      </c>
      <c r="BE2351" s="99" t="s">
        <v>2837</v>
      </c>
      <c r="BU2351" s="426">
        <f t="shared" si="343"/>
        <v>1.21302</v>
      </c>
      <c r="BV2351" s="426">
        <f t="shared" si="344"/>
        <v>1.18404</v>
      </c>
      <c r="BZ2351" s="99">
        <v>29.3</v>
      </c>
      <c r="CA2351" s="99">
        <v>28.6</v>
      </c>
      <c r="CD2351" s="99" t="s">
        <v>2095</v>
      </c>
      <c r="CE2351" s="579">
        <v>29.3</v>
      </c>
      <c r="CF2351" s="579">
        <v>28.6</v>
      </c>
      <c r="CG2351" s="579"/>
      <c r="CH2351" s="579"/>
      <c r="CI2351" s="126" t="s">
        <v>4551</v>
      </c>
      <c r="JB2351" s="99" t="s">
        <v>2392</v>
      </c>
      <c r="JC2351" s="99" t="s">
        <v>2393</v>
      </c>
      <c r="JD2351" s="508"/>
    </row>
    <row r="2352" spans="1:264" s="99" customFormat="1" x14ac:dyDescent="0.25">
      <c r="A2352" s="99">
        <v>111</v>
      </c>
      <c r="B2352" s="100" t="s">
        <v>4293</v>
      </c>
      <c r="C2352" s="99" t="s">
        <v>2371</v>
      </c>
      <c r="D2352" s="99">
        <v>12</v>
      </c>
      <c r="E2352" s="99">
        <v>2014</v>
      </c>
      <c r="F2352" s="99">
        <v>2012</v>
      </c>
      <c r="G2352" s="99">
        <v>11</v>
      </c>
      <c r="H2352" s="99" t="s">
        <v>2330</v>
      </c>
      <c r="I2352" s="99" t="s">
        <v>2824</v>
      </c>
      <c r="J2352" s="99">
        <v>-34.837381000000001</v>
      </c>
      <c r="K2352" s="99">
        <v>-63.127822000000002</v>
      </c>
      <c r="L2352" s="99">
        <v>123.4</v>
      </c>
      <c r="N2352" s="99">
        <v>16.3</v>
      </c>
      <c r="P2352" s="99">
        <v>859</v>
      </c>
      <c r="R2352" s="100" t="s">
        <v>1975</v>
      </c>
      <c r="S2352" s="100" t="s">
        <v>1982</v>
      </c>
      <c r="T2352" s="100"/>
      <c r="V2352" s="100" t="s">
        <v>1379</v>
      </c>
      <c r="W2352" s="100" t="s">
        <v>1715</v>
      </c>
      <c r="X2352" s="100" t="s">
        <v>1379</v>
      </c>
      <c r="Y2352" s="100" t="s">
        <v>1379</v>
      </c>
      <c r="Z2352" s="351"/>
      <c r="AA2352" s="351"/>
      <c r="AC2352" s="99" t="s">
        <v>2335</v>
      </c>
      <c r="AG2352" s="100" t="s">
        <v>2387</v>
      </c>
      <c r="AH2352" s="99" t="s">
        <v>2343</v>
      </c>
      <c r="AI2352" s="99" t="s">
        <v>131</v>
      </c>
      <c r="AJ2352" s="99" t="s">
        <v>132</v>
      </c>
      <c r="AK2352" s="99" t="s">
        <v>132</v>
      </c>
      <c r="AL2352" s="99" t="s">
        <v>942</v>
      </c>
      <c r="AM2352" s="99" t="s">
        <v>942</v>
      </c>
      <c r="AT2352" s="99">
        <v>46</v>
      </c>
      <c r="AX2352" s="99">
        <v>3</v>
      </c>
      <c r="BE2352" s="99" t="s">
        <v>2837</v>
      </c>
      <c r="BU2352" s="426">
        <f t="shared" si="343"/>
        <v>0.97289999999999999</v>
      </c>
      <c r="BV2352" s="426">
        <f t="shared" si="344"/>
        <v>0.87354000000000009</v>
      </c>
      <c r="BZ2352" s="99">
        <v>23.5</v>
      </c>
      <c r="CA2352" s="99">
        <v>21.1</v>
      </c>
      <c r="CD2352" s="99" t="s">
        <v>2095</v>
      </c>
      <c r="CE2352" s="579">
        <v>23.5</v>
      </c>
      <c r="CF2352" s="579">
        <v>21.1</v>
      </c>
      <c r="CG2352" s="579"/>
      <c r="CH2352" s="579"/>
      <c r="CI2352" s="126" t="s">
        <v>4551</v>
      </c>
      <c r="JB2352" s="99" t="s">
        <v>2392</v>
      </c>
      <c r="JC2352" s="99" t="s">
        <v>2393</v>
      </c>
      <c r="JD2352" s="508"/>
    </row>
    <row r="2353" spans="1:264" s="99" customFormat="1" x14ac:dyDescent="0.25">
      <c r="A2353" s="99">
        <v>111</v>
      </c>
      <c r="B2353" s="100" t="s">
        <v>4293</v>
      </c>
      <c r="C2353" s="99" t="s">
        <v>2371</v>
      </c>
      <c r="D2353" s="99">
        <v>12</v>
      </c>
      <c r="E2353" s="99">
        <v>2014</v>
      </c>
      <c r="F2353" s="99">
        <v>2012</v>
      </c>
      <c r="G2353" s="99">
        <v>11</v>
      </c>
      <c r="H2353" s="99" t="s">
        <v>2330</v>
      </c>
      <c r="I2353" s="99" t="s">
        <v>2824</v>
      </c>
      <c r="J2353" s="99">
        <v>-34.837381000000001</v>
      </c>
      <c r="K2353" s="99">
        <v>-63.127822000000002</v>
      </c>
      <c r="L2353" s="99">
        <v>123.4</v>
      </c>
      <c r="N2353" s="99">
        <v>16.3</v>
      </c>
      <c r="P2353" s="99">
        <v>859</v>
      </c>
      <c r="R2353" s="100" t="s">
        <v>1734</v>
      </c>
      <c r="S2353" s="100" t="s">
        <v>1982</v>
      </c>
      <c r="T2353" s="100"/>
      <c r="V2353" s="100" t="s">
        <v>1379</v>
      </c>
      <c r="W2353" s="100" t="s">
        <v>1715</v>
      </c>
      <c r="X2353" s="100" t="s">
        <v>1379</v>
      </c>
      <c r="Y2353" s="100" t="s">
        <v>1379</v>
      </c>
      <c r="Z2353" s="351"/>
      <c r="AA2353" s="351"/>
      <c r="AC2353" s="99" t="s">
        <v>2335</v>
      </c>
      <c r="AG2353" s="100" t="s">
        <v>2387</v>
      </c>
      <c r="AH2353" s="99" t="s">
        <v>2343</v>
      </c>
      <c r="AI2353" s="99" t="s">
        <v>131</v>
      </c>
      <c r="AJ2353" s="99" t="s">
        <v>132</v>
      </c>
      <c r="AK2353" s="99" t="s">
        <v>132</v>
      </c>
      <c r="AL2353" s="99" t="s">
        <v>942</v>
      </c>
      <c r="AM2353" s="99" t="s">
        <v>942</v>
      </c>
      <c r="AT2353" s="99">
        <v>0</v>
      </c>
      <c r="AX2353" s="99">
        <v>3</v>
      </c>
      <c r="BE2353" s="99" t="s">
        <v>2837</v>
      </c>
      <c r="BU2353" s="426">
        <f t="shared" si="343"/>
        <v>1.0639799999999999</v>
      </c>
      <c r="BV2353" s="426">
        <f t="shared" si="344"/>
        <v>1.0846799999999999</v>
      </c>
      <c r="BZ2353" s="99">
        <v>25.7</v>
      </c>
      <c r="CA2353" s="99">
        <v>26.2</v>
      </c>
      <c r="CD2353" s="99" t="s">
        <v>2095</v>
      </c>
      <c r="CE2353" s="579">
        <v>25.7</v>
      </c>
      <c r="CF2353" s="579">
        <v>26.2</v>
      </c>
      <c r="CG2353" s="579"/>
      <c r="CH2353" s="579"/>
      <c r="CI2353" s="126" t="s">
        <v>4551</v>
      </c>
      <c r="JB2353" s="99" t="s">
        <v>2392</v>
      </c>
      <c r="JC2353" s="99" t="s">
        <v>2393</v>
      </c>
      <c r="JD2353" s="508"/>
    </row>
    <row r="2354" spans="1:264" s="99" customFormat="1" x14ac:dyDescent="0.25">
      <c r="A2354" s="99">
        <v>111</v>
      </c>
      <c r="B2354" s="100" t="s">
        <v>4293</v>
      </c>
      <c r="C2354" s="99" t="s">
        <v>2371</v>
      </c>
      <c r="D2354" s="99">
        <v>12</v>
      </c>
      <c r="E2354" s="99">
        <v>2014</v>
      </c>
      <c r="F2354" s="99">
        <v>2012</v>
      </c>
      <c r="G2354" s="99">
        <v>11</v>
      </c>
      <c r="H2354" s="99" t="s">
        <v>2330</v>
      </c>
      <c r="I2354" s="99" t="s">
        <v>2824</v>
      </c>
      <c r="J2354" s="99">
        <v>-34.837381000000001</v>
      </c>
      <c r="K2354" s="99">
        <v>-63.127822000000002</v>
      </c>
      <c r="L2354" s="99">
        <v>123.4</v>
      </c>
      <c r="N2354" s="99">
        <v>16.3</v>
      </c>
      <c r="P2354" s="99">
        <v>859</v>
      </c>
      <c r="R2354" s="100" t="s">
        <v>1982</v>
      </c>
      <c r="S2354" s="100" t="s">
        <v>1982</v>
      </c>
      <c r="T2354" s="100"/>
      <c r="V2354" s="100" t="s">
        <v>1379</v>
      </c>
      <c r="W2354" s="100" t="s">
        <v>1715</v>
      </c>
      <c r="X2354" s="100" t="s">
        <v>1379</v>
      </c>
      <c r="Y2354" s="100" t="s">
        <v>1379</v>
      </c>
      <c r="Z2354" s="351"/>
      <c r="AA2354" s="351"/>
      <c r="AC2354" s="99" t="s">
        <v>2335</v>
      </c>
      <c r="AG2354" s="100" t="s">
        <v>2387</v>
      </c>
      <c r="AH2354" s="99" t="s">
        <v>2343</v>
      </c>
      <c r="AI2354" s="99" t="s">
        <v>131</v>
      </c>
      <c r="AJ2354" s="99" t="s">
        <v>132</v>
      </c>
      <c r="AK2354" s="99" t="s">
        <v>132</v>
      </c>
      <c r="AL2354" s="99" t="s">
        <v>942</v>
      </c>
      <c r="AM2354" s="99" t="s">
        <v>942</v>
      </c>
      <c r="AT2354" s="99">
        <v>0</v>
      </c>
      <c r="AX2354" s="99">
        <v>3</v>
      </c>
      <c r="BE2354" s="99" t="s">
        <v>2837</v>
      </c>
      <c r="BU2354" s="426">
        <f t="shared" si="343"/>
        <v>1.21302</v>
      </c>
      <c r="BV2354" s="426">
        <f t="shared" si="344"/>
        <v>1.32894</v>
      </c>
      <c r="BZ2354" s="99">
        <v>29.3</v>
      </c>
      <c r="CA2354" s="99">
        <v>32.1</v>
      </c>
      <c r="CD2354" s="99" t="s">
        <v>2095</v>
      </c>
      <c r="CE2354" s="579">
        <v>29.3</v>
      </c>
      <c r="CF2354" s="579">
        <v>32.1</v>
      </c>
      <c r="CG2354" s="579"/>
      <c r="CH2354" s="579"/>
      <c r="CI2354" s="126" t="s">
        <v>4551</v>
      </c>
      <c r="JB2354" s="99" t="s">
        <v>2392</v>
      </c>
      <c r="JC2354" s="99" t="s">
        <v>2393</v>
      </c>
      <c r="JD2354" s="508"/>
    </row>
    <row r="2355" spans="1:264" s="99" customFormat="1" x14ac:dyDescent="0.25">
      <c r="A2355" s="99">
        <v>111</v>
      </c>
      <c r="B2355" s="100" t="s">
        <v>4293</v>
      </c>
      <c r="C2355" s="99" t="s">
        <v>2371</v>
      </c>
      <c r="D2355" s="99">
        <v>12</v>
      </c>
      <c r="E2355" s="99">
        <v>2014</v>
      </c>
      <c r="F2355" s="99">
        <v>2012</v>
      </c>
      <c r="G2355" s="99">
        <v>11</v>
      </c>
      <c r="H2355" s="99" t="s">
        <v>2330</v>
      </c>
      <c r="I2355" s="99" t="s">
        <v>2824</v>
      </c>
      <c r="J2355" s="99">
        <v>-34.837381000000001</v>
      </c>
      <c r="K2355" s="99">
        <v>-63.127822000000002</v>
      </c>
      <c r="L2355" s="99">
        <v>123.4</v>
      </c>
      <c r="N2355" s="99">
        <v>16.3</v>
      </c>
      <c r="P2355" s="99">
        <v>859</v>
      </c>
      <c r="R2355" s="100" t="s">
        <v>1975</v>
      </c>
      <c r="S2355" s="100" t="s">
        <v>1982</v>
      </c>
      <c r="T2355" s="100"/>
      <c r="V2355" s="100" t="s">
        <v>1379</v>
      </c>
      <c r="W2355" s="100" t="s">
        <v>1715</v>
      </c>
      <c r="X2355" s="100" t="s">
        <v>1379</v>
      </c>
      <c r="Y2355" s="100" t="s">
        <v>1379</v>
      </c>
      <c r="Z2355" s="351"/>
      <c r="AA2355" s="351"/>
      <c r="AC2355" s="99" t="s">
        <v>2335</v>
      </c>
      <c r="AG2355" s="100" t="s">
        <v>2387</v>
      </c>
      <c r="AH2355" s="99" t="s">
        <v>2343</v>
      </c>
      <c r="AI2355" s="99" t="s">
        <v>131</v>
      </c>
      <c r="AJ2355" s="99" t="s">
        <v>132</v>
      </c>
      <c r="AK2355" s="99" t="s">
        <v>132</v>
      </c>
      <c r="AL2355" s="99" t="s">
        <v>942</v>
      </c>
      <c r="AM2355" s="99" t="s">
        <v>942</v>
      </c>
      <c r="AT2355" s="99">
        <v>0</v>
      </c>
      <c r="AX2355" s="99">
        <v>3</v>
      </c>
      <c r="BE2355" s="99" t="s">
        <v>2837</v>
      </c>
      <c r="BU2355" s="426">
        <f t="shared" si="343"/>
        <v>0.97289999999999999</v>
      </c>
      <c r="BV2355" s="426">
        <f t="shared" si="344"/>
        <v>0.9894599999999999</v>
      </c>
      <c r="BZ2355" s="99">
        <v>23.5</v>
      </c>
      <c r="CA2355" s="99">
        <v>23.9</v>
      </c>
      <c r="CD2355" s="99" t="s">
        <v>2095</v>
      </c>
      <c r="CE2355" s="579">
        <v>23.5</v>
      </c>
      <c r="CF2355" s="579">
        <v>23.9</v>
      </c>
      <c r="CG2355" s="579"/>
      <c r="CH2355" s="579"/>
      <c r="CI2355" s="126" t="s">
        <v>4551</v>
      </c>
      <c r="JB2355" s="99" t="s">
        <v>2392</v>
      </c>
      <c r="JC2355" s="99" t="s">
        <v>2393</v>
      </c>
      <c r="JD2355" s="508"/>
    </row>
    <row r="2356" spans="1:264" s="99" customFormat="1" x14ac:dyDescent="0.25">
      <c r="A2356" s="99">
        <v>111</v>
      </c>
      <c r="B2356" s="100" t="s">
        <v>4293</v>
      </c>
      <c r="C2356" s="99" t="s">
        <v>2371</v>
      </c>
      <c r="D2356" s="99">
        <v>12</v>
      </c>
      <c r="E2356" s="99">
        <v>2014</v>
      </c>
      <c r="F2356" s="99">
        <v>2012</v>
      </c>
      <c r="G2356" s="99">
        <v>11</v>
      </c>
      <c r="H2356" s="99" t="s">
        <v>2330</v>
      </c>
      <c r="I2356" s="99" t="s">
        <v>2824</v>
      </c>
      <c r="J2356" s="99">
        <v>-34.837381000000001</v>
      </c>
      <c r="K2356" s="99">
        <v>-63.127822000000002</v>
      </c>
      <c r="L2356" s="99">
        <v>123.4</v>
      </c>
      <c r="N2356" s="99">
        <v>16.3</v>
      </c>
      <c r="P2356" s="99">
        <v>859</v>
      </c>
      <c r="R2356" s="100" t="s">
        <v>1734</v>
      </c>
      <c r="S2356" s="100" t="s">
        <v>1982</v>
      </c>
      <c r="T2356" s="100"/>
      <c r="V2356" s="100" t="s">
        <v>1379</v>
      </c>
      <c r="W2356" s="100" t="s">
        <v>1715</v>
      </c>
      <c r="X2356" s="100" t="s">
        <v>1379</v>
      </c>
      <c r="Y2356" s="100" t="s">
        <v>1379</v>
      </c>
      <c r="Z2356" s="351"/>
      <c r="AA2356" s="351"/>
      <c r="AC2356" s="99" t="s">
        <v>2335</v>
      </c>
      <c r="AG2356" s="100" t="s">
        <v>2387</v>
      </c>
      <c r="AH2356" s="99" t="s">
        <v>2343</v>
      </c>
      <c r="AI2356" s="99" t="s">
        <v>131</v>
      </c>
      <c r="AJ2356" s="99" t="s">
        <v>158</v>
      </c>
      <c r="AK2356" s="99" t="s">
        <v>158</v>
      </c>
      <c r="AL2356" s="99" t="s">
        <v>2334</v>
      </c>
      <c r="AM2356" s="99" t="s">
        <v>2334</v>
      </c>
      <c r="AT2356" s="99">
        <v>46</v>
      </c>
      <c r="AX2356" s="99">
        <v>3</v>
      </c>
      <c r="BE2356" s="99" t="s">
        <v>2837</v>
      </c>
      <c r="BU2356" s="426">
        <f t="shared" si="343"/>
        <v>1.0515599999999998</v>
      </c>
      <c r="BV2356" s="426">
        <f t="shared" si="344"/>
        <v>1.07226</v>
      </c>
      <c r="BZ2356" s="99">
        <v>25.4</v>
      </c>
      <c r="CA2356" s="99">
        <v>25.9</v>
      </c>
      <c r="CD2356" s="99" t="s">
        <v>2095</v>
      </c>
      <c r="CE2356" s="579">
        <v>25.4</v>
      </c>
      <c r="CF2356" s="579">
        <v>25.9</v>
      </c>
      <c r="CG2356" s="579"/>
      <c r="CH2356" s="579"/>
      <c r="CI2356" s="126" t="s">
        <v>4551</v>
      </c>
      <c r="JB2356" s="99" t="s">
        <v>2392</v>
      </c>
      <c r="JC2356" s="99" t="s">
        <v>2393</v>
      </c>
      <c r="JD2356" s="508"/>
    </row>
    <row r="2357" spans="1:264" s="99" customFormat="1" x14ac:dyDescent="0.25">
      <c r="A2357" s="99">
        <v>111</v>
      </c>
      <c r="B2357" s="100" t="s">
        <v>4293</v>
      </c>
      <c r="C2357" s="99" t="s">
        <v>2371</v>
      </c>
      <c r="D2357" s="99">
        <v>12</v>
      </c>
      <c r="E2357" s="99">
        <v>2014</v>
      </c>
      <c r="F2357" s="99">
        <v>2012</v>
      </c>
      <c r="G2357" s="99">
        <v>11</v>
      </c>
      <c r="H2357" s="99" t="s">
        <v>2330</v>
      </c>
      <c r="I2357" s="99" t="s">
        <v>2824</v>
      </c>
      <c r="J2357" s="99">
        <v>-34.837381000000001</v>
      </c>
      <c r="K2357" s="99">
        <v>-63.127822000000002</v>
      </c>
      <c r="L2357" s="99">
        <v>123.4</v>
      </c>
      <c r="N2357" s="99">
        <v>16.3</v>
      </c>
      <c r="P2357" s="99">
        <v>859</v>
      </c>
      <c r="R2357" s="100" t="s">
        <v>1982</v>
      </c>
      <c r="S2357" s="100" t="s">
        <v>1982</v>
      </c>
      <c r="T2357" s="100"/>
      <c r="V2357" s="100" t="s">
        <v>1379</v>
      </c>
      <c r="W2357" s="100" t="s">
        <v>1715</v>
      </c>
      <c r="X2357" s="100" t="s">
        <v>1379</v>
      </c>
      <c r="Y2357" s="100" t="s">
        <v>1379</v>
      </c>
      <c r="Z2357" s="351"/>
      <c r="AA2357" s="351"/>
      <c r="AC2357" s="99" t="s">
        <v>2335</v>
      </c>
      <c r="AG2357" s="100" t="s">
        <v>2387</v>
      </c>
      <c r="AH2357" s="99" t="s">
        <v>2343</v>
      </c>
      <c r="AI2357" s="99" t="s">
        <v>131</v>
      </c>
      <c r="AJ2357" s="99" t="s">
        <v>158</v>
      </c>
      <c r="AK2357" s="99" t="s">
        <v>158</v>
      </c>
      <c r="AL2357" s="99" t="s">
        <v>2334</v>
      </c>
      <c r="AM2357" s="99" t="s">
        <v>2334</v>
      </c>
      <c r="AT2357" s="99">
        <v>46</v>
      </c>
      <c r="AX2357" s="99">
        <v>3</v>
      </c>
      <c r="BE2357" s="99" t="s">
        <v>2837</v>
      </c>
      <c r="BU2357" s="426">
        <f t="shared" si="343"/>
        <v>1.1716200000000001</v>
      </c>
      <c r="BV2357" s="426">
        <f t="shared" si="344"/>
        <v>1.23786</v>
      </c>
      <c r="BZ2357" s="99">
        <v>28.3</v>
      </c>
      <c r="CA2357" s="99">
        <v>29.9</v>
      </c>
      <c r="CD2357" s="99" t="s">
        <v>2095</v>
      </c>
      <c r="CE2357" s="579">
        <v>28.3</v>
      </c>
      <c r="CF2357" s="579">
        <v>29.9</v>
      </c>
      <c r="CG2357" s="579"/>
      <c r="CH2357" s="579"/>
      <c r="CI2357" s="126" t="s">
        <v>4551</v>
      </c>
      <c r="JB2357" s="99" t="s">
        <v>2392</v>
      </c>
      <c r="JC2357" s="99" t="s">
        <v>2393</v>
      </c>
      <c r="JD2357" s="508"/>
    </row>
    <row r="2358" spans="1:264" s="99" customFormat="1" x14ac:dyDescent="0.25">
      <c r="A2358" s="99">
        <v>111</v>
      </c>
      <c r="B2358" s="100" t="s">
        <v>4293</v>
      </c>
      <c r="C2358" s="99" t="s">
        <v>2371</v>
      </c>
      <c r="D2358" s="99">
        <v>12</v>
      </c>
      <c r="E2358" s="99">
        <v>2014</v>
      </c>
      <c r="F2358" s="99">
        <v>2012</v>
      </c>
      <c r="G2358" s="99">
        <v>11</v>
      </c>
      <c r="H2358" s="99" t="s">
        <v>2330</v>
      </c>
      <c r="I2358" s="99" t="s">
        <v>2824</v>
      </c>
      <c r="J2358" s="99">
        <v>-34.837381000000001</v>
      </c>
      <c r="K2358" s="99">
        <v>-63.127822000000002</v>
      </c>
      <c r="L2358" s="99">
        <v>123.4</v>
      </c>
      <c r="N2358" s="99">
        <v>16.3</v>
      </c>
      <c r="P2358" s="99">
        <v>859</v>
      </c>
      <c r="R2358" s="100" t="s">
        <v>1975</v>
      </c>
      <c r="S2358" s="100" t="s">
        <v>1982</v>
      </c>
      <c r="T2358" s="100"/>
      <c r="V2358" s="100" t="s">
        <v>1379</v>
      </c>
      <c r="W2358" s="100" t="s">
        <v>1715</v>
      </c>
      <c r="X2358" s="100" t="s">
        <v>1379</v>
      </c>
      <c r="Y2358" s="100" t="s">
        <v>1379</v>
      </c>
      <c r="Z2358" s="351"/>
      <c r="AA2358" s="351"/>
      <c r="AC2358" s="99" t="s">
        <v>2335</v>
      </c>
      <c r="AG2358" s="100" t="s">
        <v>2387</v>
      </c>
      <c r="AH2358" s="99" t="s">
        <v>2343</v>
      </c>
      <c r="AI2358" s="99" t="s">
        <v>131</v>
      </c>
      <c r="AJ2358" s="99" t="s">
        <v>158</v>
      </c>
      <c r="AK2358" s="99" t="s">
        <v>158</v>
      </c>
      <c r="AL2358" s="99" t="s">
        <v>2334</v>
      </c>
      <c r="AM2358" s="99" t="s">
        <v>2334</v>
      </c>
      <c r="AT2358" s="99">
        <v>46</v>
      </c>
      <c r="AX2358" s="99">
        <v>3</v>
      </c>
      <c r="BE2358" s="99" t="s">
        <v>2837</v>
      </c>
      <c r="BU2358" s="426">
        <f t="shared" si="343"/>
        <v>1.0267200000000001</v>
      </c>
      <c r="BV2358" s="426">
        <f t="shared" si="344"/>
        <v>0.90251999999999999</v>
      </c>
      <c r="BZ2358" s="99">
        <v>24.8</v>
      </c>
      <c r="CA2358" s="99">
        <v>21.8</v>
      </c>
      <c r="CD2358" s="99" t="s">
        <v>2095</v>
      </c>
      <c r="CE2358" s="579">
        <v>24.8</v>
      </c>
      <c r="CF2358" s="579">
        <v>21.8</v>
      </c>
      <c r="CG2358" s="579"/>
      <c r="CH2358" s="579"/>
      <c r="CI2358" s="126" t="s">
        <v>4551</v>
      </c>
      <c r="JB2358" s="99" t="s">
        <v>2392</v>
      </c>
      <c r="JC2358" s="99" t="s">
        <v>2393</v>
      </c>
      <c r="JD2358" s="508"/>
    </row>
    <row r="2359" spans="1:264" s="99" customFormat="1" x14ac:dyDescent="0.25">
      <c r="A2359" s="99">
        <v>111</v>
      </c>
      <c r="B2359" s="100" t="s">
        <v>4293</v>
      </c>
      <c r="C2359" s="99" t="s">
        <v>2371</v>
      </c>
      <c r="D2359" s="99">
        <v>12</v>
      </c>
      <c r="E2359" s="99">
        <v>2014</v>
      </c>
      <c r="F2359" s="99">
        <v>2012</v>
      </c>
      <c r="G2359" s="99">
        <v>11</v>
      </c>
      <c r="H2359" s="99" t="s">
        <v>2330</v>
      </c>
      <c r="I2359" s="99" t="s">
        <v>2824</v>
      </c>
      <c r="J2359" s="99">
        <v>-34.837381000000001</v>
      </c>
      <c r="K2359" s="99">
        <v>-63.127822000000002</v>
      </c>
      <c r="L2359" s="99">
        <v>123.4</v>
      </c>
      <c r="N2359" s="99">
        <v>16.3</v>
      </c>
      <c r="P2359" s="99">
        <v>859</v>
      </c>
      <c r="R2359" s="100" t="s">
        <v>1734</v>
      </c>
      <c r="S2359" s="100" t="s">
        <v>1982</v>
      </c>
      <c r="T2359" s="100"/>
      <c r="V2359" s="100" t="s">
        <v>1379</v>
      </c>
      <c r="W2359" s="100" t="s">
        <v>1715</v>
      </c>
      <c r="X2359" s="100" t="s">
        <v>1379</v>
      </c>
      <c r="Y2359" s="100" t="s">
        <v>1379</v>
      </c>
      <c r="Z2359" s="351"/>
      <c r="AA2359" s="351"/>
      <c r="AC2359" s="99" t="s">
        <v>2335</v>
      </c>
      <c r="AG2359" s="100" t="s">
        <v>2387</v>
      </c>
      <c r="AH2359" s="99" t="s">
        <v>2343</v>
      </c>
      <c r="AI2359" s="99" t="s">
        <v>131</v>
      </c>
      <c r="AJ2359" s="99" t="s">
        <v>158</v>
      </c>
      <c r="AK2359" s="99" t="s">
        <v>158</v>
      </c>
      <c r="AL2359" s="99" t="s">
        <v>2334</v>
      </c>
      <c r="AM2359" s="99" t="s">
        <v>2334</v>
      </c>
      <c r="AT2359" s="99">
        <v>0</v>
      </c>
      <c r="AX2359" s="99">
        <v>3</v>
      </c>
      <c r="BE2359" s="99" t="s">
        <v>2837</v>
      </c>
      <c r="BU2359" s="426">
        <f t="shared" si="343"/>
        <v>1.0515599999999998</v>
      </c>
      <c r="BV2359" s="426">
        <f t="shared" si="344"/>
        <v>1.1757599999999999</v>
      </c>
      <c r="BZ2359" s="99">
        <v>25.4</v>
      </c>
      <c r="CA2359" s="99">
        <v>28.4</v>
      </c>
      <c r="CD2359" s="99" t="s">
        <v>2095</v>
      </c>
      <c r="CE2359" s="579">
        <v>25.4</v>
      </c>
      <c r="CF2359" s="579">
        <v>28.4</v>
      </c>
      <c r="CG2359" s="579"/>
      <c r="CH2359" s="579"/>
      <c r="CI2359" s="126" t="s">
        <v>4551</v>
      </c>
      <c r="JB2359" s="99" t="s">
        <v>2392</v>
      </c>
      <c r="JC2359" s="99" t="s">
        <v>2393</v>
      </c>
      <c r="JD2359" s="508"/>
    </row>
    <row r="2360" spans="1:264" s="99" customFormat="1" x14ac:dyDescent="0.25">
      <c r="A2360" s="99">
        <v>111</v>
      </c>
      <c r="B2360" s="100" t="s">
        <v>4293</v>
      </c>
      <c r="C2360" s="99" t="s">
        <v>2371</v>
      </c>
      <c r="D2360" s="99">
        <v>12</v>
      </c>
      <c r="E2360" s="99">
        <v>2014</v>
      </c>
      <c r="F2360" s="99">
        <v>2012</v>
      </c>
      <c r="G2360" s="99">
        <v>11</v>
      </c>
      <c r="H2360" s="99" t="s">
        <v>2330</v>
      </c>
      <c r="I2360" s="99" t="s">
        <v>2824</v>
      </c>
      <c r="J2360" s="99">
        <v>-34.837381000000001</v>
      </c>
      <c r="K2360" s="99">
        <v>-63.127822000000002</v>
      </c>
      <c r="L2360" s="99">
        <v>123.4</v>
      </c>
      <c r="N2360" s="99">
        <v>16.3</v>
      </c>
      <c r="P2360" s="99">
        <v>859</v>
      </c>
      <c r="R2360" s="100" t="s">
        <v>1982</v>
      </c>
      <c r="S2360" s="100" t="s">
        <v>1982</v>
      </c>
      <c r="T2360" s="100"/>
      <c r="V2360" s="100" t="s">
        <v>1379</v>
      </c>
      <c r="W2360" s="100" t="s">
        <v>1715</v>
      </c>
      <c r="X2360" s="100" t="s">
        <v>1379</v>
      </c>
      <c r="Y2360" s="100" t="s">
        <v>1379</v>
      </c>
      <c r="Z2360" s="351"/>
      <c r="AA2360" s="351"/>
      <c r="AC2360" s="99" t="s">
        <v>2335</v>
      </c>
      <c r="AG2360" s="100" t="s">
        <v>2387</v>
      </c>
      <c r="AH2360" s="99" t="s">
        <v>2343</v>
      </c>
      <c r="AI2360" s="99" t="s">
        <v>131</v>
      </c>
      <c r="AJ2360" s="99" t="s">
        <v>158</v>
      </c>
      <c r="AK2360" s="99" t="s">
        <v>158</v>
      </c>
      <c r="AL2360" s="99" t="s">
        <v>2334</v>
      </c>
      <c r="AM2360" s="99" t="s">
        <v>2334</v>
      </c>
      <c r="AT2360" s="99">
        <v>0</v>
      </c>
      <c r="AX2360" s="99">
        <v>3</v>
      </c>
      <c r="BE2360" s="99" t="s">
        <v>2837</v>
      </c>
      <c r="BU2360" s="426">
        <f t="shared" si="343"/>
        <v>1.1716200000000001</v>
      </c>
      <c r="BV2360" s="426">
        <f t="shared" si="344"/>
        <v>1.3206599999999999</v>
      </c>
      <c r="BZ2360" s="99">
        <v>28.3</v>
      </c>
      <c r="CA2360" s="99">
        <v>31.9</v>
      </c>
      <c r="CD2360" s="99" t="s">
        <v>2095</v>
      </c>
      <c r="CE2360" s="579">
        <v>28.3</v>
      </c>
      <c r="CF2360" s="579">
        <v>31.9</v>
      </c>
      <c r="CG2360" s="579"/>
      <c r="CH2360" s="579"/>
      <c r="CI2360" s="126" t="s">
        <v>4551</v>
      </c>
      <c r="JB2360" s="99" t="s">
        <v>2392</v>
      </c>
      <c r="JC2360" s="99" t="s">
        <v>2393</v>
      </c>
      <c r="JD2360" s="508"/>
    </row>
    <row r="2361" spans="1:264" s="99" customFormat="1" x14ac:dyDescent="0.25">
      <c r="A2361" s="99">
        <v>111</v>
      </c>
      <c r="B2361" s="100" t="s">
        <v>4293</v>
      </c>
      <c r="C2361" s="99" t="s">
        <v>2371</v>
      </c>
      <c r="D2361" s="99">
        <v>12</v>
      </c>
      <c r="E2361" s="99">
        <v>2014</v>
      </c>
      <c r="F2361" s="99">
        <v>2012</v>
      </c>
      <c r="G2361" s="99">
        <v>11</v>
      </c>
      <c r="H2361" s="99" t="s">
        <v>2330</v>
      </c>
      <c r="I2361" s="99" t="s">
        <v>2824</v>
      </c>
      <c r="J2361" s="99">
        <v>-34.837381000000001</v>
      </c>
      <c r="K2361" s="99">
        <v>-63.127822000000002</v>
      </c>
      <c r="L2361" s="99">
        <v>123.4</v>
      </c>
      <c r="N2361" s="99">
        <v>16.3</v>
      </c>
      <c r="P2361" s="99">
        <v>859</v>
      </c>
      <c r="R2361" s="100" t="s">
        <v>1975</v>
      </c>
      <c r="S2361" s="100" t="s">
        <v>1982</v>
      </c>
      <c r="T2361" s="100"/>
      <c r="V2361" s="100" t="s">
        <v>1379</v>
      </c>
      <c r="W2361" s="100" t="s">
        <v>1715</v>
      </c>
      <c r="X2361" s="100" t="s">
        <v>1379</v>
      </c>
      <c r="Y2361" s="100" t="s">
        <v>1379</v>
      </c>
      <c r="Z2361" s="351"/>
      <c r="AA2361" s="351"/>
      <c r="AC2361" s="99" t="s">
        <v>2335</v>
      </c>
      <c r="AG2361" s="100" t="s">
        <v>2387</v>
      </c>
      <c r="AH2361" s="99" t="s">
        <v>2343</v>
      </c>
      <c r="AI2361" s="99" t="s">
        <v>131</v>
      </c>
      <c r="AJ2361" s="99" t="s">
        <v>158</v>
      </c>
      <c r="AK2361" s="99" t="s">
        <v>158</v>
      </c>
      <c r="AL2361" s="99" t="s">
        <v>2334</v>
      </c>
      <c r="AM2361" s="99" t="s">
        <v>2334</v>
      </c>
      <c r="AT2361" s="99">
        <v>0</v>
      </c>
      <c r="AX2361" s="99">
        <v>3</v>
      </c>
      <c r="BE2361" s="99" t="s">
        <v>2837</v>
      </c>
      <c r="BU2361" s="426">
        <f t="shared" si="343"/>
        <v>1.0267200000000001</v>
      </c>
      <c r="BV2361" s="426">
        <f t="shared" si="344"/>
        <v>0.90665999999999991</v>
      </c>
      <c r="BZ2361" s="99">
        <v>24.8</v>
      </c>
      <c r="CA2361" s="99">
        <v>21.9</v>
      </c>
      <c r="CD2361" s="99" t="s">
        <v>2095</v>
      </c>
      <c r="CE2361" s="579">
        <v>24.8</v>
      </c>
      <c r="CF2361" s="579">
        <v>21.9</v>
      </c>
      <c r="CG2361" s="579"/>
      <c r="CH2361" s="579"/>
      <c r="CI2361" s="126" t="s">
        <v>4551</v>
      </c>
      <c r="JB2361" s="99" t="s">
        <v>2392</v>
      </c>
      <c r="JC2361" s="99" t="s">
        <v>2393</v>
      </c>
      <c r="JD2361" s="508"/>
    </row>
    <row r="2362" spans="1:264" s="99" customFormat="1" x14ac:dyDescent="0.25">
      <c r="A2362" s="99">
        <v>111</v>
      </c>
      <c r="B2362" s="100" t="s">
        <v>4294</v>
      </c>
      <c r="C2362" s="99" t="s">
        <v>2372</v>
      </c>
      <c r="D2362" s="99">
        <v>15</v>
      </c>
      <c r="E2362" s="99">
        <v>2012</v>
      </c>
      <c r="F2362" s="99">
        <v>2010</v>
      </c>
      <c r="G2362" s="99" t="s">
        <v>2383</v>
      </c>
      <c r="H2362" s="99" t="s">
        <v>2330</v>
      </c>
      <c r="I2362" s="99" t="s">
        <v>2824</v>
      </c>
      <c r="J2362" s="99">
        <v>-34.924981000000002</v>
      </c>
      <c r="K2362" s="99">
        <v>-62.646369</v>
      </c>
      <c r="L2362" s="99">
        <v>110.6</v>
      </c>
      <c r="N2362" s="99">
        <v>16</v>
      </c>
      <c r="P2362" s="99">
        <v>892</v>
      </c>
      <c r="R2362" s="100" t="s">
        <v>1858</v>
      </c>
      <c r="S2362" s="100" t="s">
        <v>1858</v>
      </c>
      <c r="T2362" s="100"/>
      <c r="V2362" s="100" t="s">
        <v>1379</v>
      </c>
      <c r="W2362" s="100" t="s">
        <v>1715</v>
      </c>
      <c r="X2362" s="100" t="s">
        <v>1379</v>
      </c>
      <c r="Y2362" s="100" t="s">
        <v>1379</v>
      </c>
      <c r="Z2362" s="99">
        <v>1.1399999999999999</v>
      </c>
      <c r="AA2362" s="351"/>
      <c r="AC2362" s="99" t="s">
        <v>2335</v>
      </c>
      <c r="AG2362" s="100" t="s">
        <v>2387</v>
      </c>
      <c r="AH2362" s="99" t="s">
        <v>520</v>
      </c>
      <c r="AI2362" s="99" t="s">
        <v>1581</v>
      </c>
      <c r="AJ2362" s="99" t="s">
        <v>158</v>
      </c>
      <c r="AK2362" s="99" t="s">
        <v>158</v>
      </c>
      <c r="AL2362" s="99" t="s">
        <v>2334</v>
      </c>
      <c r="AM2362" s="99" t="s">
        <v>2334</v>
      </c>
      <c r="AT2362" s="99">
        <v>0</v>
      </c>
      <c r="AX2362" s="99">
        <v>3</v>
      </c>
      <c r="BD2362" s="99" t="s">
        <v>226</v>
      </c>
      <c r="BE2362" s="99" t="s">
        <v>2837</v>
      </c>
      <c r="BP2362" s="99">
        <v>1.1399999999999999</v>
      </c>
      <c r="BQ2362" s="99">
        <v>1.1666666666666701</v>
      </c>
      <c r="BU2362" s="426">
        <f t="shared" ref="BU2362:BU2393" si="345">(BZ2362*1000000)/(100*100*BP2362*W2362/100*1000000)*100</f>
        <v>1.4912280701754388</v>
      </c>
      <c r="BV2362" s="426">
        <f t="shared" ref="BV2362:BV2393" si="346">(CA2362*1000000)/(100*100*BQ2362*W2362/100*1000000)*100</f>
        <v>1.4957142857142813</v>
      </c>
      <c r="BZ2362" s="99">
        <v>34</v>
      </c>
      <c r="CA2362" s="99">
        <v>34.9</v>
      </c>
      <c r="CD2362" s="99" t="s">
        <v>2095</v>
      </c>
      <c r="CE2362" s="579">
        <v>34</v>
      </c>
      <c r="CF2362" s="579">
        <v>34.9</v>
      </c>
      <c r="CG2362" s="579"/>
      <c r="CH2362" s="579"/>
      <c r="CI2362" s="126" t="s">
        <v>4551</v>
      </c>
      <c r="JB2362" s="99" t="s">
        <v>2392</v>
      </c>
      <c r="JC2362" s="99" t="s">
        <v>2393</v>
      </c>
      <c r="JD2362" s="508"/>
    </row>
    <row r="2363" spans="1:264" s="99" customFormat="1" x14ac:dyDescent="0.25">
      <c r="A2363" s="99">
        <v>111</v>
      </c>
      <c r="B2363" s="100" t="s">
        <v>4294</v>
      </c>
      <c r="C2363" s="99" t="s">
        <v>2372</v>
      </c>
      <c r="D2363" s="99">
        <v>15</v>
      </c>
      <c r="E2363" s="99">
        <v>2012</v>
      </c>
      <c r="F2363" s="99">
        <v>2010</v>
      </c>
      <c r="G2363" s="99" t="s">
        <v>2383</v>
      </c>
      <c r="H2363" s="99" t="s">
        <v>2330</v>
      </c>
      <c r="I2363" s="99" t="s">
        <v>2824</v>
      </c>
      <c r="J2363" s="99">
        <v>-34.924981000000002</v>
      </c>
      <c r="K2363" s="99">
        <v>-62.646369</v>
      </c>
      <c r="L2363" s="99">
        <v>110.6</v>
      </c>
      <c r="N2363" s="99">
        <v>16</v>
      </c>
      <c r="P2363" s="99">
        <v>892</v>
      </c>
      <c r="R2363" s="100" t="s">
        <v>1858</v>
      </c>
      <c r="S2363" s="100" t="s">
        <v>1858</v>
      </c>
      <c r="T2363" s="100"/>
      <c r="V2363" s="100" t="s">
        <v>1379</v>
      </c>
      <c r="W2363" s="100" t="s">
        <v>1715</v>
      </c>
      <c r="X2363" s="100" t="s">
        <v>1379</v>
      </c>
      <c r="Y2363" s="100" t="s">
        <v>1379</v>
      </c>
      <c r="Z2363" s="99">
        <v>1.1399999999999999</v>
      </c>
      <c r="AA2363" s="351"/>
      <c r="AC2363" s="99" t="s">
        <v>2335</v>
      </c>
      <c r="AG2363" s="100" t="s">
        <v>2387</v>
      </c>
      <c r="AH2363" s="99" t="s">
        <v>520</v>
      </c>
      <c r="AI2363" s="99" t="s">
        <v>1581</v>
      </c>
      <c r="AJ2363" s="99" t="s">
        <v>158</v>
      </c>
      <c r="AK2363" s="99" t="s">
        <v>158</v>
      </c>
      <c r="AL2363" s="99" t="s">
        <v>2334</v>
      </c>
      <c r="AM2363" s="99" t="s">
        <v>2334</v>
      </c>
      <c r="AT2363" s="99">
        <v>0</v>
      </c>
      <c r="AX2363" s="99">
        <v>3</v>
      </c>
      <c r="BD2363" s="99" t="s">
        <v>227</v>
      </c>
      <c r="BE2363" s="99" t="s">
        <v>2837</v>
      </c>
      <c r="BP2363" s="99">
        <v>1.1399999999999999</v>
      </c>
      <c r="BQ2363" s="99">
        <v>1.1666666666666701</v>
      </c>
      <c r="BU2363" s="426">
        <f t="shared" si="345"/>
        <v>1.4912280701754388</v>
      </c>
      <c r="BV2363" s="426">
        <f t="shared" si="346"/>
        <v>1.581428571428567</v>
      </c>
      <c r="BZ2363" s="99">
        <v>34</v>
      </c>
      <c r="CA2363" s="99">
        <v>36.9</v>
      </c>
      <c r="CD2363" s="99" t="s">
        <v>2095</v>
      </c>
      <c r="CE2363" s="579">
        <v>34</v>
      </c>
      <c r="CF2363" s="579">
        <v>36.9</v>
      </c>
      <c r="CG2363" s="579"/>
      <c r="CH2363" s="579"/>
      <c r="CI2363" s="126" t="s">
        <v>4551</v>
      </c>
      <c r="JB2363" s="99" t="s">
        <v>2392</v>
      </c>
      <c r="JC2363" s="99" t="s">
        <v>2393</v>
      </c>
      <c r="JD2363" s="508"/>
    </row>
    <row r="2364" spans="1:264" s="99" customFormat="1" x14ac:dyDescent="0.25">
      <c r="A2364" s="99">
        <v>111</v>
      </c>
      <c r="B2364" s="100" t="s">
        <v>4294</v>
      </c>
      <c r="C2364" s="99" t="s">
        <v>2372</v>
      </c>
      <c r="D2364" s="99">
        <v>15</v>
      </c>
      <c r="E2364" s="99">
        <v>2012</v>
      </c>
      <c r="F2364" s="99">
        <v>2010</v>
      </c>
      <c r="G2364" s="99" t="s">
        <v>2383</v>
      </c>
      <c r="H2364" s="99" t="s">
        <v>2330</v>
      </c>
      <c r="I2364" s="99" t="s">
        <v>2824</v>
      </c>
      <c r="J2364" s="99">
        <v>-34.924981000000002</v>
      </c>
      <c r="K2364" s="99">
        <v>-62.646369</v>
      </c>
      <c r="L2364" s="99">
        <v>110.6</v>
      </c>
      <c r="N2364" s="99">
        <v>16</v>
      </c>
      <c r="P2364" s="99">
        <v>892</v>
      </c>
      <c r="R2364" s="100" t="s">
        <v>1858</v>
      </c>
      <c r="S2364" s="100" t="s">
        <v>1858</v>
      </c>
      <c r="T2364" s="100"/>
      <c r="V2364" s="100" t="s">
        <v>1379</v>
      </c>
      <c r="W2364" s="100" t="s">
        <v>1715</v>
      </c>
      <c r="X2364" s="100" t="s">
        <v>1379</v>
      </c>
      <c r="Y2364" s="100" t="s">
        <v>1379</v>
      </c>
      <c r="Z2364" s="99">
        <v>1.1399999999999999</v>
      </c>
      <c r="AA2364" s="351"/>
      <c r="AC2364" s="99" t="s">
        <v>2335</v>
      </c>
      <c r="AG2364" s="100" t="s">
        <v>2387</v>
      </c>
      <c r="AH2364" s="99" t="s">
        <v>520</v>
      </c>
      <c r="AI2364" s="99" t="s">
        <v>1581</v>
      </c>
      <c r="AJ2364" s="99" t="s">
        <v>158</v>
      </c>
      <c r="AK2364" s="99" t="s">
        <v>158</v>
      </c>
      <c r="AL2364" s="99" t="s">
        <v>2334</v>
      </c>
      <c r="AM2364" s="99" t="s">
        <v>2334</v>
      </c>
      <c r="AT2364" s="99">
        <v>0</v>
      </c>
      <c r="AX2364" s="99">
        <v>3</v>
      </c>
      <c r="BD2364" s="99" t="s">
        <v>2347</v>
      </c>
      <c r="BE2364" s="99" t="s">
        <v>2837</v>
      </c>
      <c r="BP2364" s="99">
        <v>1.1399999999999999</v>
      </c>
      <c r="BQ2364" s="99">
        <v>1.1666666666666701</v>
      </c>
      <c r="BU2364" s="426">
        <f t="shared" si="345"/>
        <v>1.4912280701754388</v>
      </c>
      <c r="BV2364" s="426">
        <f t="shared" si="346"/>
        <v>1.6414285714285666</v>
      </c>
      <c r="BZ2364" s="99">
        <v>34</v>
      </c>
      <c r="CA2364" s="99">
        <v>38.299999999999997</v>
      </c>
      <c r="CD2364" s="99" t="s">
        <v>2095</v>
      </c>
      <c r="CE2364" s="579">
        <v>34</v>
      </c>
      <c r="CF2364" s="579">
        <v>38.299999999999997</v>
      </c>
      <c r="CG2364" s="579"/>
      <c r="CH2364" s="579"/>
      <c r="CI2364" s="126" t="s">
        <v>4551</v>
      </c>
      <c r="JB2364" s="99" t="s">
        <v>2392</v>
      </c>
      <c r="JC2364" s="99" t="s">
        <v>2393</v>
      </c>
      <c r="JD2364" s="508"/>
    </row>
    <row r="2365" spans="1:264" s="99" customFormat="1" x14ac:dyDescent="0.25">
      <c r="A2365" s="99">
        <v>111</v>
      </c>
      <c r="B2365" s="100" t="s">
        <v>4294</v>
      </c>
      <c r="C2365" s="99" t="s">
        <v>2372</v>
      </c>
      <c r="D2365" s="99">
        <v>15</v>
      </c>
      <c r="E2365" s="99">
        <v>2012</v>
      </c>
      <c r="F2365" s="99">
        <v>2010</v>
      </c>
      <c r="G2365" s="99" t="s">
        <v>2383</v>
      </c>
      <c r="H2365" s="99" t="s">
        <v>2330</v>
      </c>
      <c r="I2365" s="99" t="s">
        <v>2824</v>
      </c>
      <c r="J2365" s="99">
        <v>-34.924981000000002</v>
      </c>
      <c r="K2365" s="99">
        <v>-62.646369</v>
      </c>
      <c r="L2365" s="99">
        <v>110.6</v>
      </c>
      <c r="N2365" s="99">
        <v>16</v>
      </c>
      <c r="P2365" s="99">
        <v>892</v>
      </c>
      <c r="R2365" s="100" t="s">
        <v>1858</v>
      </c>
      <c r="S2365" s="100" t="s">
        <v>1858</v>
      </c>
      <c r="T2365" s="100"/>
      <c r="V2365" s="100" t="s">
        <v>1379</v>
      </c>
      <c r="W2365" s="100" t="s">
        <v>1715</v>
      </c>
      <c r="X2365" s="100" t="s">
        <v>1379</v>
      </c>
      <c r="Y2365" s="100" t="s">
        <v>1379</v>
      </c>
      <c r="Z2365" s="99">
        <v>1.1399999999999999</v>
      </c>
      <c r="AA2365" s="351"/>
      <c r="AC2365" s="99" t="s">
        <v>2335</v>
      </c>
      <c r="AG2365" s="100" t="s">
        <v>2387</v>
      </c>
      <c r="AH2365" s="99" t="s">
        <v>520</v>
      </c>
      <c r="AI2365" s="99" t="s">
        <v>1581</v>
      </c>
      <c r="AJ2365" s="99" t="s">
        <v>158</v>
      </c>
      <c r="AK2365" s="99" t="s">
        <v>158</v>
      </c>
      <c r="AL2365" s="99" t="s">
        <v>2334</v>
      </c>
      <c r="AM2365" s="99" t="s">
        <v>2334</v>
      </c>
      <c r="AT2365" s="99">
        <v>46</v>
      </c>
      <c r="AX2365" s="99">
        <v>3</v>
      </c>
      <c r="BD2365" s="99" t="s">
        <v>226</v>
      </c>
      <c r="BE2365" s="99" t="s">
        <v>2837</v>
      </c>
      <c r="BP2365" s="99">
        <v>1.1399999999999999</v>
      </c>
      <c r="BQ2365" s="99">
        <v>1.1666666666666701</v>
      </c>
      <c r="BU2365" s="426">
        <f t="shared" si="345"/>
        <v>1.504385964912281</v>
      </c>
      <c r="BV2365" s="426">
        <f t="shared" si="346"/>
        <v>1.5299999999999956</v>
      </c>
      <c r="BZ2365" s="99">
        <v>34.299999999999997</v>
      </c>
      <c r="CA2365" s="99">
        <v>35.700000000000003</v>
      </c>
      <c r="CD2365" s="99" t="s">
        <v>2095</v>
      </c>
      <c r="CE2365" s="579">
        <v>34.299999999999997</v>
      </c>
      <c r="CF2365" s="579">
        <v>35.700000000000003</v>
      </c>
      <c r="CG2365" s="579"/>
      <c r="CH2365" s="579"/>
      <c r="CI2365" s="126" t="s">
        <v>4551</v>
      </c>
      <c r="JB2365" s="99" t="s">
        <v>2392</v>
      </c>
      <c r="JC2365" s="99" t="s">
        <v>2393</v>
      </c>
      <c r="JD2365" s="508"/>
    </row>
    <row r="2366" spans="1:264" s="99" customFormat="1" x14ac:dyDescent="0.25">
      <c r="A2366" s="99">
        <v>111</v>
      </c>
      <c r="B2366" s="100" t="s">
        <v>4294</v>
      </c>
      <c r="C2366" s="99" t="s">
        <v>2372</v>
      </c>
      <c r="D2366" s="99">
        <v>15</v>
      </c>
      <c r="E2366" s="99">
        <v>2012</v>
      </c>
      <c r="F2366" s="99">
        <v>2010</v>
      </c>
      <c r="G2366" s="99" t="s">
        <v>2383</v>
      </c>
      <c r="H2366" s="99" t="s">
        <v>2330</v>
      </c>
      <c r="I2366" s="99" t="s">
        <v>2824</v>
      </c>
      <c r="J2366" s="99">
        <v>-34.924981000000002</v>
      </c>
      <c r="K2366" s="99">
        <v>-62.646369</v>
      </c>
      <c r="L2366" s="99">
        <v>110.6</v>
      </c>
      <c r="N2366" s="99">
        <v>16</v>
      </c>
      <c r="P2366" s="99">
        <v>892</v>
      </c>
      <c r="R2366" s="100" t="s">
        <v>1858</v>
      </c>
      <c r="S2366" s="100" t="s">
        <v>1858</v>
      </c>
      <c r="T2366" s="100"/>
      <c r="V2366" s="100" t="s">
        <v>1379</v>
      </c>
      <c r="W2366" s="100" t="s">
        <v>1715</v>
      </c>
      <c r="X2366" s="100" t="s">
        <v>1379</v>
      </c>
      <c r="Y2366" s="100" t="s">
        <v>1379</v>
      </c>
      <c r="Z2366" s="99">
        <v>1.1399999999999999</v>
      </c>
      <c r="AA2366" s="351"/>
      <c r="AC2366" s="99" t="s">
        <v>2335</v>
      </c>
      <c r="AG2366" s="100" t="s">
        <v>2387</v>
      </c>
      <c r="AH2366" s="99" t="s">
        <v>520</v>
      </c>
      <c r="AI2366" s="99" t="s">
        <v>1581</v>
      </c>
      <c r="AJ2366" s="99" t="s">
        <v>158</v>
      </c>
      <c r="AK2366" s="99" t="s">
        <v>158</v>
      </c>
      <c r="AL2366" s="99" t="s">
        <v>2334</v>
      </c>
      <c r="AM2366" s="99" t="s">
        <v>2334</v>
      </c>
      <c r="AT2366" s="99">
        <v>46</v>
      </c>
      <c r="AX2366" s="99">
        <v>3</v>
      </c>
      <c r="BD2366" s="99" t="s">
        <v>227</v>
      </c>
      <c r="BE2366" s="99" t="s">
        <v>2837</v>
      </c>
      <c r="BP2366" s="99">
        <v>1.1399999999999999</v>
      </c>
      <c r="BQ2366" s="99">
        <v>1.1666666666666701</v>
      </c>
      <c r="BU2366" s="426">
        <f t="shared" si="345"/>
        <v>1.504385964912281</v>
      </c>
      <c r="BV2366" s="426">
        <f t="shared" si="346"/>
        <v>1.6371428571428523</v>
      </c>
      <c r="BZ2366" s="99">
        <v>34.299999999999997</v>
      </c>
      <c r="CA2366" s="99">
        <v>38.200000000000003</v>
      </c>
      <c r="CD2366" s="99" t="s">
        <v>2095</v>
      </c>
      <c r="CE2366" s="579">
        <v>34.299999999999997</v>
      </c>
      <c r="CF2366" s="579">
        <v>38.200000000000003</v>
      </c>
      <c r="CG2366" s="579"/>
      <c r="CH2366" s="579"/>
      <c r="CI2366" s="126" t="s">
        <v>4551</v>
      </c>
      <c r="JB2366" s="99" t="s">
        <v>2392</v>
      </c>
      <c r="JC2366" s="99" t="s">
        <v>2393</v>
      </c>
      <c r="JD2366" s="508"/>
    </row>
    <row r="2367" spans="1:264" s="99" customFormat="1" x14ac:dyDescent="0.25">
      <c r="A2367" s="99">
        <v>111</v>
      </c>
      <c r="B2367" s="100" t="s">
        <v>4294</v>
      </c>
      <c r="C2367" s="99" t="s">
        <v>2372</v>
      </c>
      <c r="D2367" s="99">
        <v>15</v>
      </c>
      <c r="E2367" s="99">
        <v>2012</v>
      </c>
      <c r="F2367" s="99">
        <v>2010</v>
      </c>
      <c r="G2367" s="99" t="s">
        <v>2383</v>
      </c>
      <c r="H2367" s="99" t="s">
        <v>2330</v>
      </c>
      <c r="I2367" s="99" t="s">
        <v>2824</v>
      </c>
      <c r="J2367" s="99">
        <v>-34.924981000000002</v>
      </c>
      <c r="K2367" s="99">
        <v>-62.646369</v>
      </c>
      <c r="L2367" s="99">
        <v>110.6</v>
      </c>
      <c r="N2367" s="99">
        <v>16</v>
      </c>
      <c r="P2367" s="99">
        <v>892</v>
      </c>
      <c r="R2367" s="100" t="s">
        <v>1858</v>
      </c>
      <c r="S2367" s="100" t="s">
        <v>1858</v>
      </c>
      <c r="T2367" s="100"/>
      <c r="V2367" s="100" t="s">
        <v>1379</v>
      </c>
      <c r="W2367" s="100" t="s">
        <v>1715</v>
      </c>
      <c r="X2367" s="100" t="s">
        <v>1379</v>
      </c>
      <c r="Y2367" s="100" t="s">
        <v>1379</v>
      </c>
      <c r="Z2367" s="99">
        <v>1.1399999999999999</v>
      </c>
      <c r="AA2367" s="351"/>
      <c r="AC2367" s="99" t="s">
        <v>2335</v>
      </c>
      <c r="AG2367" s="100" t="s">
        <v>2387</v>
      </c>
      <c r="AH2367" s="99" t="s">
        <v>520</v>
      </c>
      <c r="AI2367" s="99" t="s">
        <v>1581</v>
      </c>
      <c r="AJ2367" s="99" t="s">
        <v>158</v>
      </c>
      <c r="AK2367" s="99" t="s">
        <v>158</v>
      </c>
      <c r="AL2367" s="99" t="s">
        <v>2334</v>
      </c>
      <c r="AM2367" s="99" t="s">
        <v>2334</v>
      </c>
      <c r="AT2367" s="99">
        <v>46</v>
      </c>
      <c r="AX2367" s="99">
        <v>3</v>
      </c>
      <c r="BD2367" s="99" t="s">
        <v>2347</v>
      </c>
      <c r="BE2367" s="99" t="s">
        <v>2837</v>
      </c>
      <c r="BP2367" s="99">
        <v>1.1399999999999999</v>
      </c>
      <c r="BQ2367" s="99">
        <v>1.1666666666666701</v>
      </c>
      <c r="BU2367" s="426">
        <f t="shared" si="345"/>
        <v>1.504385964912281</v>
      </c>
      <c r="BV2367" s="426">
        <f t="shared" si="346"/>
        <v>1.6671428571428522</v>
      </c>
      <c r="BZ2367" s="99">
        <v>34.299999999999997</v>
      </c>
      <c r="CA2367" s="99">
        <v>38.9</v>
      </c>
      <c r="CD2367" s="99" t="s">
        <v>2095</v>
      </c>
      <c r="CE2367" s="579">
        <v>34.299999999999997</v>
      </c>
      <c r="CF2367" s="579">
        <v>38.9</v>
      </c>
      <c r="CG2367" s="579"/>
      <c r="CH2367" s="579"/>
      <c r="CI2367" s="126" t="s">
        <v>4551</v>
      </c>
      <c r="JB2367" s="99" t="s">
        <v>2392</v>
      </c>
      <c r="JC2367" s="99" t="s">
        <v>2393</v>
      </c>
      <c r="JD2367" s="508"/>
    </row>
    <row r="2368" spans="1:264" s="99" customFormat="1" x14ac:dyDescent="0.25">
      <c r="A2368" s="99">
        <v>111</v>
      </c>
      <c r="B2368" s="100" t="s">
        <v>4294</v>
      </c>
      <c r="C2368" s="99" t="s">
        <v>2372</v>
      </c>
      <c r="D2368" s="99">
        <v>15</v>
      </c>
      <c r="E2368" s="99">
        <v>2012</v>
      </c>
      <c r="F2368" s="99">
        <v>2010</v>
      </c>
      <c r="G2368" s="99" t="s">
        <v>2383</v>
      </c>
      <c r="H2368" s="99" t="s">
        <v>2330</v>
      </c>
      <c r="I2368" s="99" t="s">
        <v>2824</v>
      </c>
      <c r="J2368" s="99">
        <v>-34.924981000000002</v>
      </c>
      <c r="K2368" s="99">
        <v>-62.646369</v>
      </c>
      <c r="L2368" s="99">
        <v>110.6</v>
      </c>
      <c r="N2368" s="99">
        <v>16</v>
      </c>
      <c r="P2368" s="99">
        <v>892</v>
      </c>
      <c r="R2368" s="100" t="s">
        <v>1858</v>
      </c>
      <c r="S2368" s="100" t="s">
        <v>1858</v>
      </c>
      <c r="T2368" s="100"/>
      <c r="V2368" s="100" t="s">
        <v>1379</v>
      </c>
      <c r="W2368" s="100" t="s">
        <v>1715</v>
      </c>
      <c r="X2368" s="100" t="s">
        <v>1379</v>
      </c>
      <c r="Y2368" s="100" t="s">
        <v>1379</v>
      </c>
      <c r="Z2368" s="99">
        <v>1.1399999999999999</v>
      </c>
      <c r="AA2368" s="351"/>
      <c r="AC2368" s="99" t="s">
        <v>2335</v>
      </c>
      <c r="AG2368" s="100" t="s">
        <v>2387</v>
      </c>
      <c r="AH2368" s="99" t="s">
        <v>2343</v>
      </c>
      <c r="AI2368" s="99" t="s">
        <v>131</v>
      </c>
      <c r="AJ2368" s="99" t="s">
        <v>158</v>
      </c>
      <c r="AK2368" s="99" t="s">
        <v>158</v>
      </c>
      <c r="AL2368" s="99" t="s">
        <v>2334</v>
      </c>
      <c r="AM2368" s="99" t="s">
        <v>2334</v>
      </c>
      <c r="AT2368" s="99">
        <v>0</v>
      </c>
      <c r="AX2368" s="99">
        <v>3</v>
      </c>
      <c r="BD2368" s="99" t="s">
        <v>226</v>
      </c>
      <c r="BE2368" s="99" t="s">
        <v>2837</v>
      </c>
      <c r="BP2368" s="99">
        <v>1.1399999999999999</v>
      </c>
      <c r="BQ2368" s="99">
        <v>1.1666666666666701</v>
      </c>
      <c r="BU2368" s="426">
        <f t="shared" si="345"/>
        <v>1.4912280701754388</v>
      </c>
      <c r="BV2368" s="426">
        <f t="shared" si="346"/>
        <v>1.4828571428571387</v>
      </c>
      <c r="BZ2368" s="99">
        <v>34</v>
      </c>
      <c r="CA2368" s="99">
        <v>34.6</v>
      </c>
      <c r="CD2368" s="99" t="s">
        <v>2095</v>
      </c>
      <c r="CE2368" s="579">
        <v>34</v>
      </c>
      <c r="CF2368" s="579">
        <v>34.6</v>
      </c>
      <c r="CG2368" s="579"/>
      <c r="CH2368" s="579"/>
      <c r="CI2368" s="126" t="s">
        <v>4551</v>
      </c>
      <c r="JB2368" s="99" t="s">
        <v>2392</v>
      </c>
      <c r="JC2368" s="99" t="s">
        <v>2393</v>
      </c>
      <c r="JD2368" s="508"/>
    </row>
    <row r="2369" spans="1:264" s="99" customFormat="1" x14ac:dyDescent="0.25">
      <c r="A2369" s="99">
        <v>111</v>
      </c>
      <c r="B2369" s="100" t="s">
        <v>4294</v>
      </c>
      <c r="C2369" s="99" t="s">
        <v>2372</v>
      </c>
      <c r="D2369" s="99">
        <v>15</v>
      </c>
      <c r="E2369" s="99">
        <v>2012</v>
      </c>
      <c r="F2369" s="99">
        <v>2010</v>
      </c>
      <c r="G2369" s="99" t="s">
        <v>2383</v>
      </c>
      <c r="H2369" s="99" t="s">
        <v>2330</v>
      </c>
      <c r="I2369" s="99" t="s">
        <v>2824</v>
      </c>
      <c r="J2369" s="99">
        <v>-34.924981000000002</v>
      </c>
      <c r="K2369" s="99">
        <v>-62.646369</v>
      </c>
      <c r="L2369" s="99">
        <v>110.6</v>
      </c>
      <c r="N2369" s="99">
        <v>16</v>
      </c>
      <c r="P2369" s="99">
        <v>892</v>
      </c>
      <c r="R2369" s="100" t="s">
        <v>1858</v>
      </c>
      <c r="S2369" s="100" t="s">
        <v>1858</v>
      </c>
      <c r="T2369" s="100"/>
      <c r="V2369" s="100" t="s">
        <v>1379</v>
      </c>
      <c r="W2369" s="100" t="s">
        <v>1715</v>
      </c>
      <c r="X2369" s="100" t="s">
        <v>1379</v>
      </c>
      <c r="Y2369" s="100" t="s">
        <v>1379</v>
      </c>
      <c r="Z2369" s="99">
        <v>1.1399999999999999</v>
      </c>
      <c r="AA2369" s="351"/>
      <c r="AC2369" s="99" t="s">
        <v>2335</v>
      </c>
      <c r="AG2369" s="100" t="s">
        <v>2387</v>
      </c>
      <c r="AH2369" s="99" t="s">
        <v>2343</v>
      </c>
      <c r="AI2369" s="99" t="s">
        <v>131</v>
      </c>
      <c r="AJ2369" s="99" t="s">
        <v>158</v>
      </c>
      <c r="AK2369" s="99" t="s">
        <v>158</v>
      </c>
      <c r="AL2369" s="99" t="s">
        <v>2334</v>
      </c>
      <c r="AM2369" s="99" t="s">
        <v>2334</v>
      </c>
      <c r="AT2369" s="99">
        <v>0</v>
      </c>
      <c r="AX2369" s="99">
        <v>3</v>
      </c>
      <c r="BD2369" s="99" t="s">
        <v>227</v>
      </c>
      <c r="BE2369" s="99" t="s">
        <v>2837</v>
      </c>
      <c r="BP2369" s="99">
        <v>1.1399999999999999</v>
      </c>
      <c r="BQ2369" s="99">
        <v>1.1666666666666701</v>
      </c>
      <c r="BU2369" s="426">
        <f t="shared" si="345"/>
        <v>1.4912280701754388</v>
      </c>
      <c r="BV2369" s="426">
        <f t="shared" si="346"/>
        <v>1.6585714285714239</v>
      </c>
      <c r="BZ2369" s="99">
        <v>34</v>
      </c>
      <c r="CA2369" s="99">
        <v>38.700000000000003</v>
      </c>
      <c r="CD2369" s="99" t="s">
        <v>2095</v>
      </c>
      <c r="CE2369" s="579">
        <v>34</v>
      </c>
      <c r="CF2369" s="579">
        <v>38.700000000000003</v>
      </c>
      <c r="CG2369" s="579"/>
      <c r="CH2369" s="579"/>
      <c r="CI2369" s="126" t="s">
        <v>4551</v>
      </c>
      <c r="JB2369" s="99" t="s">
        <v>2392</v>
      </c>
      <c r="JC2369" s="99" t="s">
        <v>2393</v>
      </c>
      <c r="JD2369" s="508"/>
    </row>
    <row r="2370" spans="1:264" s="99" customFormat="1" x14ac:dyDescent="0.25">
      <c r="A2370" s="99">
        <v>111</v>
      </c>
      <c r="B2370" s="100" t="s">
        <v>4294</v>
      </c>
      <c r="C2370" s="99" t="s">
        <v>2372</v>
      </c>
      <c r="D2370" s="99">
        <v>15</v>
      </c>
      <c r="E2370" s="99">
        <v>2012</v>
      </c>
      <c r="F2370" s="99">
        <v>2010</v>
      </c>
      <c r="G2370" s="99" t="s">
        <v>2383</v>
      </c>
      <c r="H2370" s="99" t="s">
        <v>2330</v>
      </c>
      <c r="I2370" s="99" t="s">
        <v>2824</v>
      </c>
      <c r="J2370" s="99">
        <v>-34.924981000000002</v>
      </c>
      <c r="K2370" s="99">
        <v>-62.646369</v>
      </c>
      <c r="L2370" s="99">
        <v>110.6</v>
      </c>
      <c r="N2370" s="99">
        <v>16</v>
      </c>
      <c r="P2370" s="99">
        <v>892</v>
      </c>
      <c r="R2370" s="100" t="s">
        <v>1858</v>
      </c>
      <c r="S2370" s="100" t="s">
        <v>1858</v>
      </c>
      <c r="T2370" s="100"/>
      <c r="V2370" s="100" t="s">
        <v>1379</v>
      </c>
      <c r="W2370" s="100" t="s">
        <v>1715</v>
      </c>
      <c r="X2370" s="100" t="s">
        <v>1379</v>
      </c>
      <c r="Y2370" s="100" t="s">
        <v>1379</v>
      </c>
      <c r="Z2370" s="99">
        <v>1.1399999999999999</v>
      </c>
      <c r="AA2370" s="351"/>
      <c r="AC2370" s="99" t="s">
        <v>2335</v>
      </c>
      <c r="AG2370" s="100" t="s">
        <v>2387</v>
      </c>
      <c r="AH2370" s="99" t="s">
        <v>2343</v>
      </c>
      <c r="AI2370" s="99" t="s">
        <v>131</v>
      </c>
      <c r="AJ2370" s="99" t="s">
        <v>158</v>
      </c>
      <c r="AK2370" s="99" t="s">
        <v>158</v>
      </c>
      <c r="AL2370" s="99" t="s">
        <v>2334</v>
      </c>
      <c r="AM2370" s="99" t="s">
        <v>2334</v>
      </c>
      <c r="AT2370" s="99">
        <v>0</v>
      </c>
      <c r="AX2370" s="99">
        <v>3</v>
      </c>
      <c r="BD2370" s="99" t="s">
        <v>2347</v>
      </c>
      <c r="BE2370" s="99" t="s">
        <v>2837</v>
      </c>
      <c r="BP2370" s="99">
        <v>1.1399999999999999</v>
      </c>
      <c r="BQ2370" s="99">
        <v>1.1666666666666701</v>
      </c>
      <c r="BU2370" s="426">
        <f t="shared" si="345"/>
        <v>1.4912280701754388</v>
      </c>
      <c r="BV2370" s="426">
        <f t="shared" si="346"/>
        <v>1.6414285714285666</v>
      </c>
      <c r="BZ2370" s="99">
        <v>34</v>
      </c>
      <c r="CA2370" s="99">
        <v>38.299999999999997</v>
      </c>
      <c r="CD2370" s="99" t="s">
        <v>2095</v>
      </c>
      <c r="CE2370" s="579">
        <v>34</v>
      </c>
      <c r="CF2370" s="579">
        <v>38.299999999999997</v>
      </c>
      <c r="CG2370" s="579"/>
      <c r="CH2370" s="579"/>
      <c r="CI2370" s="126" t="s">
        <v>4551</v>
      </c>
      <c r="JB2370" s="99" t="s">
        <v>2392</v>
      </c>
      <c r="JC2370" s="99" t="s">
        <v>2393</v>
      </c>
      <c r="JD2370" s="508"/>
    </row>
    <row r="2371" spans="1:264" s="99" customFormat="1" x14ac:dyDescent="0.25">
      <c r="A2371" s="99">
        <v>111</v>
      </c>
      <c r="B2371" s="100" t="s">
        <v>4294</v>
      </c>
      <c r="C2371" s="99" t="s">
        <v>2372</v>
      </c>
      <c r="D2371" s="99">
        <v>15</v>
      </c>
      <c r="E2371" s="99">
        <v>2012</v>
      </c>
      <c r="F2371" s="99">
        <v>2010</v>
      </c>
      <c r="G2371" s="99" t="s">
        <v>2383</v>
      </c>
      <c r="H2371" s="99" t="s">
        <v>2330</v>
      </c>
      <c r="I2371" s="99" t="s">
        <v>2824</v>
      </c>
      <c r="J2371" s="99">
        <v>-34.924981000000002</v>
      </c>
      <c r="K2371" s="99">
        <v>-62.646369</v>
      </c>
      <c r="L2371" s="99">
        <v>110.6</v>
      </c>
      <c r="N2371" s="99">
        <v>16</v>
      </c>
      <c r="P2371" s="99">
        <v>892</v>
      </c>
      <c r="R2371" s="100" t="s">
        <v>1858</v>
      </c>
      <c r="S2371" s="100" t="s">
        <v>1858</v>
      </c>
      <c r="T2371" s="100"/>
      <c r="V2371" s="100" t="s">
        <v>1379</v>
      </c>
      <c r="W2371" s="100" t="s">
        <v>1715</v>
      </c>
      <c r="X2371" s="100" t="s">
        <v>1379</v>
      </c>
      <c r="Y2371" s="100" t="s">
        <v>1379</v>
      </c>
      <c r="Z2371" s="99">
        <v>1.1399999999999999</v>
      </c>
      <c r="AA2371" s="351"/>
      <c r="AC2371" s="99" t="s">
        <v>2335</v>
      </c>
      <c r="AG2371" s="100" t="s">
        <v>2387</v>
      </c>
      <c r="AH2371" s="99" t="s">
        <v>2343</v>
      </c>
      <c r="AI2371" s="99" t="s">
        <v>131</v>
      </c>
      <c r="AJ2371" s="99" t="s">
        <v>158</v>
      </c>
      <c r="AK2371" s="99" t="s">
        <v>158</v>
      </c>
      <c r="AL2371" s="99" t="s">
        <v>2334</v>
      </c>
      <c r="AM2371" s="99" t="s">
        <v>2334</v>
      </c>
      <c r="AT2371" s="99">
        <v>46</v>
      </c>
      <c r="AX2371" s="99">
        <v>3</v>
      </c>
      <c r="BD2371" s="99" t="s">
        <v>226</v>
      </c>
      <c r="BE2371" s="99" t="s">
        <v>2837</v>
      </c>
      <c r="BP2371" s="99">
        <v>1.1399999999999999</v>
      </c>
      <c r="BQ2371" s="99">
        <v>1.1666666666666701</v>
      </c>
      <c r="BU2371" s="426">
        <f t="shared" si="345"/>
        <v>1.504385964912281</v>
      </c>
      <c r="BV2371" s="426">
        <f t="shared" si="346"/>
        <v>1.5685714285714241</v>
      </c>
      <c r="BZ2371" s="99">
        <v>34.299999999999997</v>
      </c>
      <c r="CA2371" s="99">
        <v>36.6</v>
      </c>
      <c r="CD2371" s="99" t="s">
        <v>2095</v>
      </c>
      <c r="CE2371" s="579">
        <v>34.299999999999997</v>
      </c>
      <c r="CF2371" s="579">
        <v>36.6</v>
      </c>
      <c r="CG2371" s="579"/>
      <c r="CH2371" s="579"/>
      <c r="CI2371" s="126" t="s">
        <v>4551</v>
      </c>
      <c r="JB2371" s="99" t="s">
        <v>2392</v>
      </c>
      <c r="JC2371" s="99" t="s">
        <v>2393</v>
      </c>
      <c r="JD2371" s="508"/>
    </row>
    <row r="2372" spans="1:264" s="99" customFormat="1" x14ac:dyDescent="0.25">
      <c r="A2372" s="99">
        <v>111</v>
      </c>
      <c r="B2372" s="100" t="s">
        <v>4294</v>
      </c>
      <c r="C2372" s="99" t="s">
        <v>2372</v>
      </c>
      <c r="D2372" s="99">
        <v>15</v>
      </c>
      <c r="E2372" s="99">
        <v>2012</v>
      </c>
      <c r="F2372" s="99">
        <v>2010</v>
      </c>
      <c r="G2372" s="99" t="s">
        <v>2383</v>
      </c>
      <c r="H2372" s="99" t="s">
        <v>2330</v>
      </c>
      <c r="I2372" s="99" t="s">
        <v>2824</v>
      </c>
      <c r="J2372" s="99">
        <v>-34.924981000000002</v>
      </c>
      <c r="K2372" s="99">
        <v>-62.646369</v>
      </c>
      <c r="L2372" s="99">
        <v>110.6</v>
      </c>
      <c r="N2372" s="99">
        <v>16</v>
      </c>
      <c r="P2372" s="99">
        <v>892</v>
      </c>
      <c r="R2372" s="100" t="s">
        <v>1858</v>
      </c>
      <c r="S2372" s="100" t="s">
        <v>1858</v>
      </c>
      <c r="T2372" s="100"/>
      <c r="V2372" s="100" t="s">
        <v>1379</v>
      </c>
      <c r="W2372" s="100" t="s">
        <v>1715</v>
      </c>
      <c r="X2372" s="100" t="s">
        <v>1379</v>
      </c>
      <c r="Y2372" s="100" t="s">
        <v>1379</v>
      </c>
      <c r="Z2372" s="99">
        <v>1.1399999999999999</v>
      </c>
      <c r="AA2372" s="351"/>
      <c r="AC2372" s="99" t="s">
        <v>2335</v>
      </c>
      <c r="AG2372" s="100" t="s">
        <v>2387</v>
      </c>
      <c r="AH2372" s="99" t="s">
        <v>2343</v>
      </c>
      <c r="AI2372" s="99" t="s">
        <v>131</v>
      </c>
      <c r="AJ2372" s="99" t="s">
        <v>158</v>
      </c>
      <c r="AK2372" s="99" t="s">
        <v>158</v>
      </c>
      <c r="AL2372" s="99" t="s">
        <v>2334</v>
      </c>
      <c r="AM2372" s="99" t="s">
        <v>2334</v>
      </c>
      <c r="AT2372" s="99">
        <v>46</v>
      </c>
      <c r="AX2372" s="99">
        <v>3</v>
      </c>
      <c r="BD2372" s="99" t="s">
        <v>227</v>
      </c>
      <c r="BE2372" s="99" t="s">
        <v>2837</v>
      </c>
      <c r="BP2372" s="99">
        <v>1.1399999999999999</v>
      </c>
      <c r="BQ2372" s="99">
        <v>1.1666666666666701</v>
      </c>
      <c r="BU2372" s="426">
        <f t="shared" si="345"/>
        <v>1.504385964912281</v>
      </c>
      <c r="BV2372" s="426">
        <f t="shared" si="346"/>
        <v>1.645714285714281</v>
      </c>
      <c r="BZ2372" s="99">
        <v>34.299999999999997</v>
      </c>
      <c r="CA2372" s="99">
        <v>38.4</v>
      </c>
      <c r="CD2372" s="99" t="s">
        <v>2095</v>
      </c>
      <c r="CE2372" s="579">
        <v>34.299999999999997</v>
      </c>
      <c r="CF2372" s="579">
        <v>38.4</v>
      </c>
      <c r="CG2372" s="579"/>
      <c r="CH2372" s="579"/>
      <c r="CI2372" s="126" t="s">
        <v>4551</v>
      </c>
      <c r="JB2372" s="99" t="s">
        <v>2392</v>
      </c>
      <c r="JC2372" s="99" t="s">
        <v>2393</v>
      </c>
      <c r="JD2372" s="508"/>
    </row>
    <row r="2373" spans="1:264" s="99" customFormat="1" x14ac:dyDescent="0.25">
      <c r="A2373" s="99">
        <v>111</v>
      </c>
      <c r="B2373" s="100" t="s">
        <v>4294</v>
      </c>
      <c r="C2373" s="99" t="s">
        <v>2372</v>
      </c>
      <c r="D2373" s="99">
        <v>15</v>
      </c>
      <c r="E2373" s="99">
        <v>2012</v>
      </c>
      <c r="F2373" s="99">
        <v>2010</v>
      </c>
      <c r="G2373" s="99" t="s">
        <v>2383</v>
      </c>
      <c r="H2373" s="99" t="s">
        <v>2330</v>
      </c>
      <c r="I2373" s="99" t="s">
        <v>2824</v>
      </c>
      <c r="J2373" s="99">
        <v>-34.924981000000002</v>
      </c>
      <c r="K2373" s="99">
        <v>-62.646369</v>
      </c>
      <c r="L2373" s="99">
        <v>110.6</v>
      </c>
      <c r="N2373" s="99">
        <v>16</v>
      </c>
      <c r="P2373" s="99">
        <v>892</v>
      </c>
      <c r="R2373" s="100" t="s">
        <v>1858</v>
      </c>
      <c r="S2373" s="100" t="s">
        <v>1858</v>
      </c>
      <c r="T2373" s="100"/>
      <c r="V2373" s="100" t="s">
        <v>1379</v>
      </c>
      <c r="W2373" s="100" t="s">
        <v>1715</v>
      </c>
      <c r="X2373" s="100" t="s">
        <v>1379</v>
      </c>
      <c r="Y2373" s="100" t="s">
        <v>1379</v>
      </c>
      <c r="Z2373" s="99">
        <v>1.1399999999999999</v>
      </c>
      <c r="AA2373" s="351"/>
      <c r="AC2373" s="99" t="s">
        <v>2335</v>
      </c>
      <c r="AG2373" s="100" t="s">
        <v>2387</v>
      </c>
      <c r="AH2373" s="99" t="s">
        <v>2343</v>
      </c>
      <c r="AI2373" s="99" t="s">
        <v>131</v>
      </c>
      <c r="AJ2373" s="99" t="s">
        <v>158</v>
      </c>
      <c r="AK2373" s="99" t="s">
        <v>158</v>
      </c>
      <c r="AL2373" s="99" t="s">
        <v>2334</v>
      </c>
      <c r="AM2373" s="99" t="s">
        <v>2334</v>
      </c>
      <c r="AT2373" s="99">
        <v>46</v>
      </c>
      <c r="AX2373" s="99">
        <v>3</v>
      </c>
      <c r="BD2373" s="99" t="s">
        <v>2347</v>
      </c>
      <c r="BE2373" s="99" t="s">
        <v>2837</v>
      </c>
      <c r="BP2373" s="99">
        <v>1.1399999999999999</v>
      </c>
      <c r="BQ2373" s="99">
        <v>1.1666666666666701</v>
      </c>
      <c r="BU2373" s="426">
        <f t="shared" si="345"/>
        <v>1.504385964912281</v>
      </c>
      <c r="BV2373" s="426">
        <f t="shared" si="346"/>
        <v>1.8257142857142805</v>
      </c>
      <c r="BZ2373" s="99">
        <v>34.299999999999997</v>
      </c>
      <c r="CA2373" s="99">
        <v>42.6</v>
      </c>
      <c r="CD2373" s="99" t="s">
        <v>2095</v>
      </c>
      <c r="CE2373" s="579">
        <v>34.299999999999997</v>
      </c>
      <c r="CF2373" s="579">
        <v>42.6</v>
      </c>
      <c r="CG2373" s="579"/>
      <c r="CH2373" s="579"/>
      <c r="CI2373" s="126" t="s">
        <v>4551</v>
      </c>
      <c r="JB2373" s="99" t="s">
        <v>2392</v>
      </c>
      <c r="JC2373" s="99" t="s">
        <v>2393</v>
      </c>
      <c r="JD2373" s="508"/>
    </row>
    <row r="2374" spans="1:264" s="99" customFormat="1" x14ac:dyDescent="0.25">
      <c r="A2374" s="99">
        <v>111</v>
      </c>
      <c r="B2374" s="100" t="s">
        <v>4294</v>
      </c>
      <c r="C2374" s="99" t="s">
        <v>2372</v>
      </c>
      <c r="D2374" s="99">
        <v>15</v>
      </c>
      <c r="E2374" s="99">
        <v>2012</v>
      </c>
      <c r="F2374" s="99">
        <v>2010</v>
      </c>
      <c r="G2374" s="99" t="s">
        <v>2383</v>
      </c>
      <c r="H2374" s="99" t="s">
        <v>2330</v>
      </c>
      <c r="I2374" s="99" t="s">
        <v>2824</v>
      </c>
      <c r="J2374" s="99">
        <v>-34.924981000000002</v>
      </c>
      <c r="K2374" s="99">
        <v>-62.646369</v>
      </c>
      <c r="L2374" s="99">
        <v>110.6</v>
      </c>
      <c r="N2374" s="99">
        <v>16</v>
      </c>
      <c r="P2374" s="99">
        <v>892</v>
      </c>
      <c r="R2374" s="100" t="s">
        <v>1858</v>
      </c>
      <c r="S2374" s="100" t="s">
        <v>1858</v>
      </c>
      <c r="T2374" s="100"/>
      <c r="V2374" s="100" t="s">
        <v>1379</v>
      </c>
      <c r="W2374" s="100" t="s">
        <v>1715</v>
      </c>
      <c r="X2374" s="100" t="s">
        <v>1379</v>
      </c>
      <c r="Y2374" s="100" t="s">
        <v>1379</v>
      </c>
      <c r="Z2374" s="99">
        <v>1.1399999999999999</v>
      </c>
      <c r="AA2374" s="351"/>
      <c r="AC2374" s="99" t="s">
        <v>2335</v>
      </c>
      <c r="AG2374" s="100" t="s">
        <v>2387</v>
      </c>
      <c r="AH2374" s="99" t="s">
        <v>2348</v>
      </c>
      <c r="AI2374" s="99" t="s">
        <v>131</v>
      </c>
      <c r="AJ2374" s="99" t="s">
        <v>158</v>
      </c>
      <c r="AK2374" s="99" t="s">
        <v>158</v>
      </c>
      <c r="AL2374" s="99" t="s">
        <v>2334</v>
      </c>
      <c r="AM2374" s="99" t="s">
        <v>2334</v>
      </c>
      <c r="AT2374" s="99">
        <v>0</v>
      </c>
      <c r="AX2374" s="99">
        <v>3</v>
      </c>
      <c r="BD2374" s="99" t="s">
        <v>226</v>
      </c>
      <c r="BE2374" s="99" t="s">
        <v>2837</v>
      </c>
      <c r="BP2374" s="99">
        <v>1.1399999999999999</v>
      </c>
      <c r="BQ2374" s="99">
        <v>1.1666666666666701</v>
      </c>
      <c r="BU2374" s="426">
        <f t="shared" si="345"/>
        <v>1.4912280701754388</v>
      </c>
      <c r="BV2374" s="426">
        <f t="shared" si="346"/>
        <v>1.5514285714285667</v>
      </c>
      <c r="BZ2374" s="99">
        <v>34</v>
      </c>
      <c r="CA2374" s="99">
        <v>36.200000000000003</v>
      </c>
      <c r="CD2374" s="99" t="s">
        <v>2095</v>
      </c>
      <c r="CE2374" s="579">
        <v>34</v>
      </c>
      <c r="CF2374" s="579">
        <v>36.200000000000003</v>
      </c>
      <c r="CG2374" s="579"/>
      <c r="CH2374" s="579"/>
      <c r="CI2374" s="126" t="s">
        <v>4551</v>
      </c>
      <c r="JB2374" s="99" t="s">
        <v>2392</v>
      </c>
      <c r="JC2374" s="99" t="s">
        <v>2393</v>
      </c>
      <c r="JD2374" s="508"/>
    </row>
    <row r="2375" spans="1:264" s="99" customFormat="1" x14ac:dyDescent="0.25">
      <c r="A2375" s="99">
        <v>111</v>
      </c>
      <c r="B2375" s="100" t="s">
        <v>4294</v>
      </c>
      <c r="C2375" s="99" t="s">
        <v>2372</v>
      </c>
      <c r="D2375" s="99">
        <v>15</v>
      </c>
      <c r="E2375" s="99">
        <v>2012</v>
      </c>
      <c r="F2375" s="99">
        <v>2010</v>
      </c>
      <c r="G2375" s="99" t="s">
        <v>2383</v>
      </c>
      <c r="H2375" s="99" t="s">
        <v>2330</v>
      </c>
      <c r="I2375" s="99" t="s">
        <v>2824</v>
      </c>
      <c r="J2375" s="99">
        <v>-34.924981000000002</v>
      </c>
      <c r="K2375" s="99">
        <v>-62.646369</v>
      </c>
      <c r="L2375" s="99">
        <v>110.6</v>
      </c>
      <c r="N2375" s="99">
        <v>16</v>
      </c>
      <c r="P2375" s="99">
        <v>892</v>
      </c>
      <c r="R2375" s="100" t="s">
        <v>1858</v>
      </c>
      <c r="S2375" s="100" t="s">
        <v>1858</v>
      </c>
      <c r="T2375" s="100"/>
      <c r="V2375" s="100" t="s">
        <v>1379</v>
      </c>
      <c r="W2375" s="100" t="s">
        <v>1715</v>
      </c>
      <c r="X2375" s="100" t="s">
        <v>1379</v>
      </c>
      <c r="Y2375" s="100" t="s">
        <v>1379</v>
      </c>
      <c r="Z2375" s="99">
        <v>1.1399999999999999</v>
      </c>
      <c r="AA2375" s="351"/>
      <c r="AC2375" s="99" t="s">
        <v>2335</v>
      </c>
      <c r="AG2375" s="100" t="s">
        <v>2387</v>
      </c>
      <c r="AH2375" s="99" t="s">
        <v>2348</v>
      </c>
      <c r="AI2375" s="99" t="s">
        <v>131</v>
      </c>
      <c r="AJ2375" s="99" t="s">
        <v>158</v>
      </c>
      <c r="AK2375" s="99" t="s">
        <v>158</v>
      </c>
      <c r="AL2375" s="99" t="s">
        <v>2334</v>
      </c>
      <c r="AM2375" s="99" t="s">
        <v>2334</v>
      </c>
      <c r="AT2375" s="99">
        <v>0</v>
      </c>
      <c r="AX2375" s="99">
        <v>3</v>
      </c>
      <c r="BD2375" s="99" t="s">
        <v>227</v>
      </c>
      <c r="BE2375" s="99" t="s">
        <v>2837</v>
      </c>
      <c r="BP2375" s="99">
        <v>1.1399999999999999</v>
      </c>
      <c r="BQ2375" s="99">
        <v>1.1666666666666701</v>
      </c>
      <c r="BU2375" s="426">
        <f t="shared" si="345"/>
        <v>1.4912280701754388</v>
      </c>
      <c r="BV2375" s="426">
        <f t="shared" si="346"/>
        <v>1.6328571428571379</v>
      </c>
      <c r="BZ2375" s="99">
        <v>34</v>
      </c>
      <c r="CA2375" s="99">
        <v>38.1</v>
      </c>
      <c r="CD2375" s="99" t="s">
        <v>2095</v>
      </c>
      <c r="CE2375" s="579">
        <v>34</v>
      </c>
      <c r="CF2375" s="579">
        <v>38.1</v>
      </c>
      <c r="CG2375" s="579"/>
      <c r="CH2375" s="579"/>
      <c r="CI2375" s="126" t="s">
        <v>4551</v>
      </c>
      <c r="JB2375" s="99" t="s">
        <v>2392</v>
      </c>
      <c r="JC2375" s="99" t="s">
        <v>2393</v>
      </c>
      <c r="JD2375" s="508"/>
    </row>
    <row r="2376" spans="1:264" s="99" customFormat="1" x14ac:dyDescent="0.25">
      <c r="A2376" s="99">
        <v>111</v>
      </c>
      <c r="B2376" s="100" t="s">
        <v>4294</v>
      </c>
      <c r="C2376" s="99" t="s">
        <v>2372</v>
      </c>
      <c r="D2376" s="99">
        <v>15</v>
      </c>
      <c r="E2376" s="99">
        <v>2012</v>
      </c>
      <c r="F2376" s="99">
        <v>2010</v>
      </c>
      <c r="G2376" s="99" t="s">
        <v>2383</v>
      </c>
      <c r="H2376" s="99" t="s">
        <v>2330</v>
      </c>
      <c r="I2376" s="99" t="s">
        <v>2824</v>
      </c>
      <c r="J2376" s="99">
        <v>-34.924981000000002</v>
      </c>
      <c r="K2376" s="99">
        <v>-62.646369</v>
      </c>
      <c r="L2376" s="99">
        <v>110.6</v>
      </c>
      <c r="N2376" s="99">
        <v>16</v>
      </c>
      <c r="P2376" s="99">
        <v>892</v>
      </c>
      <c r="R2376" s="100" t="s">
        <v>1858</v>
      </c>
      <c r="S2376" s="100" t="s">
        <v>1858</v>
      </c>
      <c r="T2376" s="100"/>
      <c r="V2376" s="100" t="s">
        <v>1379</v>
      </c>
      <c r="W2376" s="100" t="s">
        <v>1715</v>
      </c>
      <c r="X2376" s="100" t="s">
        <v>1379</v>
      </c>
      <c r="Y2376" s="100" t="s">
        <v>1379</v>
      </c>
      <c r="Z2376" s="99">
        <v>1.1399999999999999</v>
      </c>
      <c r="AA2376" s="351"/>
      <c r="AC2376" s="99" t="s">
        <v>2335</v>
      </c>
      <c r="AG2376" s="100" t="s">
        <v>2387</v>
      </c>
      <c r="AH2376" s="99" t="s">
        <v>2348</v>
      </c>
      <c r="AI2376" s="99" t="s">
        <v>131</v>
      </c>
      <c r="AJ2376" s="99" t="s">
        <v>158</v>
      </c>
      <c r="AK2376" s="99" t="s">
        <v>158</v>
      </c>
      <c r="AL2376" s="99" t="s">
        <v>2334</v>
      </c>
      <c r="AM2376" s="99" t="s">
        <v>2334</v>
      </c>
      <c r="AT2376" s="99">
        <v>0</v>
      </c>
      <c r="AX2376" s="99">
        <v>3</v>
      </c>
      <c r="BD2376" s="99" t="s">
        <v>2347</v>
      </c>
      <c r="BE2376" s="99" t="s">
        <v>2837</v>
      </c>
      <c r="BP2376" s="99">
        <v>1.1399999999999999</v>
      </c>
      <c r="BQ2376" s="99">
        <v>1.1666666666666701</v>
      </c>
      <c r="BU2376" s="426">
        <f t="shared" si="345"/>
        <v>1.4912280701754388</v>
      </c>
      <c r="BV2376" s="426">
        <f t="shared" si="346"/>
        <v>1.6114285714285668</v>
      </c>
      <c r="BZ2376" s="99">
        <v>34</v>
      </c>
      <c r="CA2376" s="99">
        <v>37.6</v>
      </c>
      <c r="CD2376" s="99" t="s">
        <v>2095</v>
      </c>
      <c r="CE2376" s="579">
        <v>34</v>
      </c>
      <c r="CF2376" s="579">
        <v>37.6</v>
      </c>
      <c r="CG2376" s="579"/>
      <c r="CH2376" s="579"/>
      <c r="CI2376" s="126" t="s">
        <v>4551</v>
      </c>
      <c r="JB2376" s="99" t="s">
        <v>2392</v>
      </c>
      <c r="JC2376" s="99" t="s">
        <v>2393</v>
      </c>
      <c r="JD2376" s="508"/>
    </row>
    <row r="2377" spans="1:264" s="99" customFormat="1" x14ac:dyDescent="0.25">
      <c r="A2377" s="99">
        <v>111</v>
      </c>
      <c r="B2377" s="100" t="s">
        <v>4294</v>
      </c>
      <c r="C2377" s="99" t="s">
        <v>2372</v>
      </c>
      <c r="D2377" s="99">
        <v>15</v>
      </c>
      <c r="E2377" s="99">
        <v>2012</v>
      </c>
      <c r="F2377" s="99">
        <v>2010</v>
      </c>
      <c r="G2377" s="99" t="s">
        <v>2383</v>
      </c>
      <c r="H2377" s="99" t="s">
        <v>2330</v>
      </c>
      <c r="I2377" s="99" t="s">
        <v>2824</v>
      </c>
      <c r="J2377" s="99">
        <v>-34.924981000000002</v>
      </c>
      <c r="K2377" s="99">
        <v>-62.646369</v>
      </c>
      <c r="L2377" s="99">
        <v>110.6</v>
      </c>
      <c r="N2377" s="99">
        <v>16</v>
      </c>
      <c r="P2377" s="99">
        <v>892</v>
      </c>
      <c r="R2377" s="100" t="s">
        <v>1858</v>
      </c>
      <c r="S2377" s="100" t="s">
        <v>1858</v>
      </c>
      <c r="T2377" s="100"/>
      <c r="V2377" s="100" t="s">
        <v>1379</v>
      </c>
      <c r="W2377" s="100" t="s">
        <v>1715</v>
      </c>
      <c r="X2377" s="100" t="s">
        <v>1379</v>
      </c>
      <c r="Y2377" s="100" t="s">
        <v>1379</v>
      </c>
      <c r="Z2377" s="99">
        <v>1.1399999999999999</v>
      </c>
      <c r="AA2377" s="351"/>
      <c r="AC2377" s="99" t="s">
        <v>2335</v>
      </c>
      <c r="AG2377" s="100" t="s">
        <v>2387</v>
      </c>
      <c r="AH2377" s="99" t="s">
        <v>2348</v>
      </c>
      <c r="AI2377" s="99" t="s">
        <v>131</v>
      </c>
      <c r="AJ2377" s="99" t="s">
        <v>158</v>
      </c>
      <c r="AK2377" s="99" t="s">
        <v>158</v>
      </c>
      <c r="AL2377" s="99" t="s">
        <v>2334</v>
      </c>
      <c r="AM2377" s="99" t="s">
        <v>2334</v>
      </c>
      <c r="AT2377" s="99">
        <v>46</v>
      </c>
      <c r="AX2377" s="99">
        <v>3</v>
      </c>
      <c r="BD2377" s="99" t="s">
        <v>226</v>
      </c>
      <c r="BE2377" s="99" t="s">
        <v>2837</v>
      </c>
      <c r="BP2377" s="99">
        <v>1.1399999999999999</v>
      </c>
      <c r="BQ2377" s="99">
        <v>1.1666666666666701</v>
      </c>
      <c r="BU2377" s="426">
        <f t="shared" si="345"/>
        <v>1.504385964912281</v>
      </c>
      <c r="BV2377" s="426">
        <f t="shared" si="346"/>
        <v>1.6671428571428522</v>
      </c>
      <c r="BZ2377" s="99">
        <v>34.299999999999997</v>
      </c>
      <c r="CA2377" s="99">
        <v>38.9</v>
      </c>
      <c r="CD2377" s="99" t="s">
        <v>2095</v>
      </c>
      <c r="CE2377" s="579">
        <v>34.299999999999997</v>
      </c>
      <c r="CF2377" s="579">
        <v>38.9</v>
      </c>
      <c r="CG2377" s="579"/>
      <c r="CH2377" s="579"/>
      <c r="CI2377" s="126" t="s">
        <v>4551</v>
      </c>
      <c r="JB2377" s="99" t="s">
        <v>2392</v>
      </c>
      <c r="JC2377" s="99" t="s">
        <v>2393</v>
      </c>
      <c r="JD2377" s="508"/>
    </row>
    <row r="2378" spans="1:264" s="99" customFormat="1" x14ac:dyDescent="0.25">
      <c r="A2378" s="99">
        <v>111</v>
      </c>
      <c r="B2378" s="100" t="s">
        <v>4294</v>
      </c>
      <c r="C2378" s="99" t="s">
        <v>2372</v>
      </c>
      <c r="D2378" s="99">
        <v>15</v>
      </c>
      <c r="E2378" s="99">
        <v>2012</v>
      </c>
      <c r="F2378" s="99">
        <v>2010</v>
      </c>
      <c r="G2378" s="99" t="s">
        <v>2383</v>
      </c>
      <c r="H2378" s="99" t="s">
        <v>2330</v>
      </c>
      <c r="I2378" s="99" t="s">
        <v>2824</v>
      </c>
      <c r="J2378" s="99">
        <v>-34.924981000000002</v>
      </c>
      <c r="K2378" s="99">
        <v>-62.646369</v>
      </c>
      <c r="L2378" s="99">
        <v>110.6</v>
      </c>
      <c r="N2378" s="99">
        <v>16</v>
      </c>
      <c r="P2378" s="99">
        <v>892</v>
      </c>
      <c r="R2378" s="100" t="s">
        <v>1858</v>
      </c>
      <c r="S2378" s="100" t="s">
        <v>1858</v>
      </c>
      <c r="T2378" s="100"/>
      <c r="V2378" s="100" t="s">
        <v>1379</v>
      </c>
      <c r="W2378" s="100" t="s">
        <v>1715</v>
      </c>
      <c r="X2378" s="100" t="s">
        <v>1379</v>
      </c>
      <c r="Y2378" s="100" t="s">
        <v>1379</v>
      </c>
      <c r="Z2378" s="99">
        <v>1.1399999999999999</v>
      </c>
      <c r="AA2378" s="351"/>
      <c r="AC2378" s="99" t="s">
        <v>2335</v>
      </c>
      <c r="AG2378" s="100" t="s">
        <v>2387</v>
      </c>
      <c r="AH2378" s="99" t="s">
        <v>2348</v>
      </c>
      <c r="AI2378" s="99" t="s">
        <v>131</v>
      </c>
      <c r="AJ2378" s="99" t="s">
        <v>158</v>
      </c>
      <c r="AK2378" s="99" t="s">
        <v>158</v>
      </c>
      <c r="AL2378" s="99" t="s">
        <v>2334</v>
      </c>
      <c r="AM2378" s="99" t="s">
        <v>2334</v>
      </c>
      <c r="AT2378" s="99">
        <v>46</v>
      </c>
      <c r="AX2378" s="99">
        <v>3</v>
      </c>
      <c r="BD2378" s="99" t="s">
        <v>227</v>
      </c>
      <c r="BE2378" s="99" t="s">
        <v>2837</v>
      </c>
      <c r="BP2378" s="99">
        <v>1.1399999999999999</v>
      </c>
      <c r="BQ2378" s="99">
        <v>1.1666666666666701</v>
      </c>
      <c r="BU2378" s="426">
        <f t="shared" si="345"/>
        <v>1.504385964912281</v>
      </c>
      <c r="BV2378" s="426">
        <f t="shared" si="346"/>
        <v>1.5342857142857098</v>
      </c>
      <c r="BZ2378" s="99">
        <v>34.299999999999997</v>
      </c>
      <c r="CA2378" s="99">
        <v>35.799999999999997</v>
      </c>
      <c r="CD2378" s="99" t="s">
        <v>2095</v>
      </c>
      <c r="CE2378" s="579">
        <v>34.299999999999997</v>
      </c>
      <c r="CF2378" s="579">
        <v>35.799999999999997</v>
      </c>
      <c r="CG2378" s="579"/>
      <c r="CH2378" s="579"/>
      <c r="CI2378" s="126" t="s">
        <v>4551</v>
      </c>
      <c r="JB2378" s="99" t="s">
        <v>2392</v>
      </c>
      <c r="JC2378" s="99" t="s">
        <v>2393</v>
      </c>
      <c r="JD2378" s="508"/>
    </row>
    <row r="2379" spans="1:264" s="99" customFormat="1" x14ac:dyDescent="0.25">
      <c r="A2379" s="99">
        <v>111</v>
      </c>
      <c r="B2379" s="100" t="s">
        <v>4294</v>
      </c>
      <c r="C2379" s="99" t="s">
        <v>2372</v>
      </c>
      <c r="D2379" s="99">
        <v>15</v>
      </c>
      <c r="E2379" s="99">
        <v>2012</v>
      </c>
      <c r="F2379" s="99">
        <v>2010</v>
      </c>
      <c r="G2379" s="99" t="s">
        <v>2383</v>
      </c>
      <c r="H2379" s="99" t="s">
        <v>2330</v>
      </c>
      <c r="I2379" s="99" t="s">
        <v>2824</v>
      </c>
      <c r="J2379" s="99">
        <v>-34.924981000000002</v>
      </c>
      <c r="K2379" s="99">
        <v>-62.646369</v>
      </c>
      <c r="L2379" s="99">
        <v>110.6</v>
      </c>
      <c r="N2379" s="99">
        <v>16</v>
      </c>
      <c r="P2379" s="99">
        <v>892</v>
      </c>
      <c r="R2379" s="100" t="s">
        <v>1858</v>
      </c>
      <c r="S2379" s="100" t="s">
        <v>1858</v>
      </c>
      <c r="T2379" s="100"/>
      <c r="V2379" s="100" t="s">
        <v>1379</v>
      </c>
      <c r="W2379" s="100" t="s">
        <v>1715</v>
      </c>
      <c r="X2379" s="100" t="s">
        <v>1379</v>
      </c>
      <c r="Y2379" s="100" t="s">
        <v>1379</v>
      </c>
      <c r="Z2379" s="99">
        <v>1.1399999999999999</v>
      </c>
      <c r="AA2379" s="351"/>
      <c r="AC2379" s="99" t="s">
        <v>2335</v>
      </c>
      <c r="AG2379" s="100" t="s">
        <v>2387</v>
      </c>
      <c r="AH2379" s="99" t="s">
        <v>2348</v>
      </c>
      <c r="AI2379" s="99" t="s">
        <v>131</v>
      </c>
      <c r="AJ2379" s="99" t="s">
        <v>158</v>
      </c>
      <c r="AK2379" s="99" t="s">
        <v>158</v>
      </c>
      <c r="AL2379" s="99" t="s">
        <v>2334</v>
      </c>
      <c r="AM2379" s="99" t="s">
        <v>2334</v>
      </c>
      <c r="AT2379" s="99">
        <v>46</v>
      </c>
      <c r="AX2379" s="99">
        <v>3</v>
      </c>
      <c r="BD2379" s="99" t="s">
        <v>2347</v>
      </c>
      <c r="BE2379" s="99" t="s">
        <v>2837</v>
      </c>
      <c r="BP2379" s="99">
        <v>1.1399999999999999</v>
      </c>
      <c r="BQ2379" s="99">
        <v>1.1666666666666701</v>
      </c>
      <c r="BU2379" s="426">
        <f t="shared" si="345"/>
        <v>1.504385964912281</v>
      </c>
      <c r="BV2379" s="426">
        <f t="shared" si="346"/>
        <v>1.6542857142857095</v>
      </c>
      <c r="BZ2379" s="99">
        <v>34.299999999999997</v>
      </c>
      <c r="CA2379" s="99">
        <v>38.6</v>
      </c>
      <c r="CD2379" s="99" t="s">
        <v>2095</v>
      </c>
      <c r="CE2379" s="579">
        <v>34.299999999999997</v>
      </c>
      <c r="CF2379" s="579">
        <v>38.6</v>
      </c>
      <c r="CG2379" s="579"/>
      <c r="CH2379" s="579"/>
      <c r="CI2379" s="126" t="s">
        <v>4551</v>
      </c>
      <c r="JB2379" s="99" t="s">
        <v>2392</v>
      </c>
      <c r="JC2379" s="99" t="s">
        <v>2393</v>
      </c>
      <c r="JD2379" s="508"/>
    </row>
    <row r="2380" spans="1:264" s="99" customFormat="1" x14ac:dyDescent="0.25">
      <c r="A2380" s="99">
        <v>111</v>
      </c>
      <c r="B2380" s="100" t="s">
        <v>4295</v>
      </c>
      <c r="C2380" s="99" t="s">
        <v>2373</v>
      </c>
      <c r="D2380" s="99">
        <v>22</v>
      </c>
      <c r="E2380" s="99">
        <v>2010</v>
      </c>
      <c r="F2380" s="99">
        <v>2008</v>
      </c>
      <c r="G2380" s="99" t="s">
        <v>2384</v>
      </c>
      <c r="H2380" s="99" t="s">
        <v>2330</v>
      </c>
      <c r="I2380" s="99" t="s">
        <v>2824</v>
      </c>
      <c r="J2380" s="99">
        <v>-34.967044000000001</v>
      </c>
      <c r="K2380" s="99">
        <v>-63.277233000000003</v>
      </c>
      <c r="L2380" s="99">
        <v>118.7</v>
      </c>
      <c r="N2380" s="99">
        <v>17.399999999999999</v>
      </c>
      <c r="P2380" s="99">
        <v>915</v>
      </c>
      <c r="R2380" s="100" t="s">
        <v>1977</v>
      </c>
      <c r="S2380" s="100" t="s">
        <v>1717</v>
      </c>
      <c r="T2380" s="100"/>
      <c r="V2380" s="100" t="s">
        <v>1379</v>
      </c>
      <c r="W2380" s="100" t="s">
        <v>1715</v>
      </c>
      <c r="X2380" s="100" t="s">
        <v>1379</v>
      </c>
      <c r="Y2380" s="100" t="s">
        <v>1379</v>
      </c>
      <c r="Z2380" s="99">
        <v>1.1299999999999999</v>
      </c>
      <c r="AA2380" s="351"/>
      <c r="AC2380" s="99" t="s">
        <v>2331</v>
      </c>
      <c r="AG2380" s="100" t="s">
        <v>1352</v>
      </c>
      <c r="AI2380" s="99" t="s">
        <v>1613</v>
      </c>
      <c r="AJ2380" s="99" t="s">
        <v>1601</v>
      </c>
      <c r="AK2380" s="99" t="s">
        <v>1601</v>
      </c>
      <c r="AL2380" s="99" t="s">
        <v>2349</v>
      </c>
      <c r="AM2380" s="99" t="s">
        <v>2349</v>
      </c>
      <c r="AX2380" s="99">
        <v>3</v>
      </c>
      <c r="BE2380" s="99" t="s">
        <v>2837</v>
      </c>
      <c r="BP2380" s="99">
        <v>1.1299999999999999</v>
      </c>
      <c r="BQ2380" s="99">
        <v>1.06</v>
      </c>
      <c r="BU2380" s="426">
        <f t="shared" si="345"/>
        <v>1.5929203539823011</v>
      </c>
      <c r="BV2380" s="426">
        <f t="shared" si="346"/>
        <v>1.7877358490566038</v>
      </c>
      <c r="BZ2380" s="99">
        <v>36</v>
      </c>
      <c r="CA2380" s="99">
        <v>37.9</v>
      </c>
      <c r="CD2380" s="99" t="s">
        <v>2095</v>
      </c>
      <c r="CE2380" s="579">
        <v>36</v>
      </c>
      <c r="CF2380" s="579">
        <v>37.9</v>
      </c>
      <c r="CG2380" s="579"/>
      <c r="CH2380" s="579"/>
      <c r="CI2380" s="126" t="s">
        <v>4551</v>
      </c>
      <c r="JB2380" s="99" t="s">
        <v>2392</v>
      </c>
      <c r="JC2380" s="99" t="s">
        <v>2393</v>
      </c>
      <c r="JD2380" s="508"/>
    </row>
    <row r="2381" spans="1:264" s="126" customFormat="1" x14ac:dyDescent="0.25">
      <c r="A2381" s="126">
        <v>111</v>
      </c>
      <c r="B2381" s="478" t="s">
        <v>4296</v>
      </c>
      <c r="C2381" s="126" t="s">
        <v>2374</v>
      </c>
      <c r="D2381" s="126">
        <v>28</v>
      </c>
      <c r="E2381" s="126">
        <v>2014</v>
      </c>
      <c r="F2381" s="126">
        <v>2012</v>
      </c>
      <c r="G2381" s="126" t="s">
        <v>2838</v>
      </c>
      <c r="H2381" s="126" t="s">
        <v>2330</v>
      </c>
      <c r="I2381" s="126" t="s">
        <v>2824</v>
      </c>
      <c r="J2381" s="126">
        <v>-34.558522000000004</v>
      </c>
      <c r="K2381" s="126">
        <v>-59.142755999999999</v>
      </c>
      <c r="L2381" s="126">
        <v>31.1</v>
      </c>
      <c r="N2381" s="126">
        <v>16.3</v>
      </c>
      <c r="P2381" s="126">
        <v>859</v>
      </c>
      <c r="R2381" s="478" t="s">
        <v>1843</v>
      </c>
      <c r="S2381" s="478" t="s">
        <v>1982</v>
      </c>
      <c r="T2381" s="478"/>
      <c r="V2381" s="478" t="s">
        <v>1379</v>
      </c>
      <c r="W2381" s="478" t="s">
        <v>1715</v>
      </c>
      <c r="X2381" s="478" t="s">
        <v>1379</v>
      </c>
      <c r="Y2381" s="478" t="s">
        <v>1379</v>
      </c>
      <c r="Z2381" s="126">
        <v>1.46</v>
      </c>
      <c r="AA2381" s="479"/>
      <c r="AC2381" s="126" t="s">
        <v>240</v>
      </c>
      <c r="AD2381" s="126">
        <v>6</v>
      </c>
      <c r="AE2381" s="126">
        <v>2.2999999999999998</v>
      </c>
      <c r="AG2381" s="478" t="s">
        <v>2390</v>
      </c>
      <c r="AH2381" s="126" t="s">
        <v>520</v>
      </c>
      <c r="AI2381" s="126" t="s">
        <v>1581</v>
      </c>
      <c r="AJ2381" s="126" t="s">
        <v>158</v>
      </c>
      <c r="AK2381" s="126" t="s">
        <v>158</v>
      </c>
      <c r="AL2381" s="126" t="s">
        <v>2334</v>
      </c>
      <c r="AM2381" s="126" t="s">
        <v>2334</v>
      </c>
      <c r="AX2381" s="126">
        <v>3</v>
      </c>
      <c r="AZ2381" s="126" t="s">
        <v>141</v>
      </c>
      <c r="BD2381" s="126" t="s">
        <v>2350</v>
      </c>
      <c r="BE2381" s="126" t="s">
        <v>2837</v>
      </c>
      <c r="BP2381" s="126">
        <v>1.46</v>
      </c>
      <c r="BQ2381" s="126">
        <v>1.4566666666666701</v>
      </c>
      <c r="BU2381" s="426">
        <f t="shared" si="345"/>
        <v>1.2671232876712328</v>
      </c>
      <c r="BV2381" s="426">
        <f t="shared" si="346"/>
        <v>1.4588100686498822</v>
      </c>
      <c r="BW2381" s="99"/>
      <c r="BX2381" s="99"/>
      <c r="BZ2381" s="126">
        <v>37</v>
      </c>
      <c r="CA2381" s="126">
        <v>42.5</v>
      </c>
      <c r="CD2381" s="126" t="s">
        <v>2095</v>
      </c>
      <c r="CE2381" s="605">
        <v>37</v>
      </c>
      <c r="CF2381" s="605">
        <v>42.5</v>
      </c>
      <c r="CG2381" s="605"/>
      <c r="CH2381" s="605"/>
      <c r="CI2381" s="126" t="s">
        <v>4551</v>
      </c>
      <c r="JB2381" s="126" t="s">
        <v>2392</v>
      </c>
      <c r="JC2381" s="126" t="s">
        <v>2393</v>
      </c>
      <c r="JD2381" s="480"/>
    </row>
    <row r="2382" spans="1:264" s="126" customFormat="1" x14ac:dyDescent="0.25">
      <c r="A2382" s="126">
        <v>111</v>
      </c>
      <c r="B2382" s="478" t="s">
        <v>4296</v>
      </c>
      <c r="C2382" s="126" t="s">
        <v>2374</v>
      </c>
      <c r="D2382" s="126">
        <v>28</v>
      </c>
      <c r="E2382" s="126">
        <v>2014</v>
      </c>
      <c r="F2382" s="126">
        <v>2012</v>
      </c>
      <c r="G2382" s="126" t="s">
        <v>2838</v>
      </c>
      <c r="H2382" s="126" t="s">
        <v>2330</v>
      </c>
      <c r="I2382" s="126" t="s">
        <v>2824</v>
      </c>
      <c r="J2382" s="126">
        <v>-34.558522000000004</v>
      </c>
      <c r="K2382" s="126">
        <v>-59.142755999999999</v>
      </c>
      <c r="L2382" s="126">
        <v>31.1</v>
      </c>
      <c r="N2382" s="126">
        <v>16.3</v>
      </c>
      <c r="P2382" s="126">
        <v>859</v>
      </c>
      <c r="R2382" s="478" t="s">
        <v>1843</v>
      </c>
      <c r="S2382" s="478" t="s">
        <v>1982</v>
      </c>
      <c r="T2382" s="478"/>
      <c r="V2382" s="478" t="s">
        <v>1379</v>
      </c>
      <c r="W2382" s="478" t="s">
        <v>1715</v>
      </c>
      <c r="X2382" s="478" t="s">
        <v>1379</v>
      </c>
      <c r="Y2382" s="478" t="s">
        <v>1379</v>
      </c>
      <c r="Z2382" s="126">
        <v>1.46</v>
      </c>
      <c r="AA2382" s="479"/>
      <c r="AC2382" s="126" t="s">
        <v>240</v>
      </c>
      <c r="AD2382" s="126">
        <v>6</v>
      </c>
      <c r="AE2382" s="126">
        <v>2.2999999999999998</v>
      </c>
      <c r="AG2382" s="478" t="s">
        <v>2390</v>
      </c>
      <c r="AH2382" s="126" t="s">
        <v>2343</v>
      </c>
      <c r="AI2382" s="126" t="s">
        <v>131</v>
      </c>
      <c r="AJ2382" s="126" t="s">
        <v>158</v>
      </c>
      <c r="AK2382" s="126" t="s">
        <v>158</v>
      </c>
      <c r="AL2382" s="126" t="s">
        <v>2334</v>
      </c>
      <c r="AM2382" s="126" t="s">
        <v>2334</v>
      </c>
      <c r="AX2382" s="126">
        <v>3</v>
      </c>
      <c r="AZ2382" s="126" t="s">
        <v>141</v>
      </c>
      <c r="BD2382" s="126" t="s">
        <v>2350</v>
      </c>
      <c r="BE2382" s="126" t="s">
        <v>2837</v>
      </c>
      <c r="BP2382" s="126">
        <v>1.46</v>
      </c>
      <c r="BQ2382" s="126">
        <v>1.4566666666666701</v>
      </c>
      <c r="BU2382" s="426">
        <f t="shared" si="345"/>
        <v>1.2671232876712328</v>
      </c>
      <c r="BV2382" s="426">
        <f t="shared" si="346"/>
        <v>1.3901601830663584</v>
      </c>
      <c r="BW2382" s="99"/>
      <c r="BX2382" s="99"/>
      <c r="BZ2382" s="126">
        <v>37</v>
      </c>
      <c r="CA2382" s="126">
        <v>40.5</v>
      </c>
      <c r="CD2382" s="126" t="s">
        <v>2095</v>
      </c>
      <c r="CE2382" s="605">
        <v>37</v>
      </c>
      <c r="CF2382" s="605">
        <v>40.5</v>
      </c>
      <c r="CG2382" s="605"/>
      <c r="CH2382" s="605"/>
      <c r="CI2382" s="126" t="s">
        <v>4551</v>
      </c>
      <c r="JB2382" s="126" t="s">
        <v>2392</v>
      </c>
      <c r="JC2382" s="126" t="s">
        <v>2393</v>
      </c>
      <c r="JD2382" s="480"/>
    </row>
    <row r="2383" spans="1:264" s="126" customFormat="1" x14ac:dyDescent="0.25">
      <c r="A2383" s="126">
        <v>111</v>
      </c>
      <c r="B2383" s="478" t="s">
        <v>4296</v>
      </c>
      <c r="C2383" s="126" t="s">
        <v>2374</v>
      </c>
      <c r="D2383" s="126">
        <v>28</v>
      </c>
      <c r="E2383" s="126">
        <v>2014</v>
      </c>
      <c r="F2383" s="126">
        <v>2012</v>
      </c>
      <c r="G2383" s="126" t="s">
        <v>2838</v>
      </c>
      <c r="H2383" s="126" t="s">
        <v>2330</v>
      </c>
      <c r="I2383" s="126" t="s">
        <v>2824</v>
      </c>
      <c r="J2383" s="126">
        <v>-34.558522000000004</v>
      </c>
      <c r="K2383" s="126">
        <v>-59.142755999999999</v>
      </c>
      <c r="L2383" s="126">
        <v>31.1</v>
      </c>
      <c r="N2383" s="126">
        <v>16.3</v>
      </c>
      <c r="P2383" s="126">
        <v>859</v>
      </c>
      <c r="R2383" s="478" t="s">
        <v>1843</v>
      </c>
      <c r="S2383" s="478" t="s">
        <v>1982</v>
      </c>
      <c r="T2383" s="478"/>
      <c r="V2383" s="478" t="s">
        <v>1379</v>
      </c>
      <c r="W2383" s="478" t="s">
        <v>1715</v>
      </c>
      <c r="X2383" s="478" t="s">
        <v>1379</v>
      </c>
      <c r="Y2383" s="478" t="s">
        <v>1379</v>
      </c>
      <c r="Z2383" s="126">
        <v>1.46</v>
      </c>
      <c r="AA2383" s="479"/>
      <c r="AC2383" s="126" t="s">
        <v>240</v>
      </c>
      <c r="AD2383" s="126">
        <v>6</v>
      </c>
      <c r="AE2383" s="126">
        <v>2.2999999999999998</v>
      </c>
      <c r="AG2383" s="478" t="s">
        <v>2390</v>
      </c>
      <c r="AH2383" s="126" t="s">
        <v>2348</v>
      </c>
      <c r="AI2383" s="126" t="s">
        <v>131</v>
      </c>
      <c r="AJ2383" s="126" t="s">
        <v>158</v>
      </c>
      <c r="AK2383" s="126" t="s">
        <v>158</v>
      </c>
      <c r="AL2383" s="126" t="s">
        <v>2334</v>
      </c>
      <c r="AM2383" s="126" t="s">
        <v>2334</v>
      </c>
      <c r="AX2383" s="126">
        <v>3</v>
      </c>
      <c r="AZ2383" s="126" t="s">
        <v>141</v>
      </c>
      <c r="BD2383" s="126" t="s">
        <v>2350</v>
      </c>
      <c r="BE2383" s="126" t="s">
        <v>2837</v>
      </c>
      <c r="BP2383" s="126">
        <v>1.46</v>
      </c>
      <c r="BQ2383" s="126">
        <v>1.4566666666666701</v>
      </c>
      <c r="BU2383" s="426">
        <f t="shared" si="345"/>
        <v>1.2671232876712328</v>
      </c>
      <c r="BV2383" s="426">
        <f t="shared" si="346"/>
        <v>1.366132723112125</v>
      </c>
      <c r="BW2383" s="99"/>
      <c r="BX2383" s="99"/>
      <c r="BZ2383" s="126">
        <v>37</v>
      </c>
      <c r="CA2383" s="126">
        <v>39.799999999999997</v>
      </c>
      <c r="CD2383" s="126" t="s">
        <v>2095</v>
      </c>
      <c r="CE2383" s="605">
        <v>37</v>
      </c>
      <c r="CF2383" s="605">
        <v>39.799999999999997</v>
      </c>
      <c r="CG2383" s="605"/>
      <c r="CH2383" s="605"/>
      <c r="CI2383" s="126" t="s">
        <v>4551</v>
      </c>
      <c r="JB2383" s="126" t="s">
        <v>2392</v>
      </c>
      <c r="JC2383" s="126" t="s">
        <v>2393</v>
      </c>
      <c r="JD2383" s="480"/>
    </row>
    <row r="2384" spans="1:264" s="99" customFormat="1" x14ac:dyDescent="0.25">
      <c r="A2384" s="99">
        <v>111</v>
      </c>
      <c r="B2384" s="100" t="s">
        <v>4288</v>
      </c>
      <c r="C2384" s="99" t="s">
        <v>2375</v>
      </c>
      <c r="D2384" s="99">
        <v>7</v>
      </c>
      <c r="E2384" s="99">
        <v>2012</v>
      </c>
      <c r="F2384" s="99">
        <v>2010</v>
      </c>
      <c r="G2384" s="99" t="s">
        <v>2381</v>
      </c>
      <c r="H2384" s="99" t="s">
        <v>2330</v>
      </c>
      <c r="I2384" s="99" t="s">
        <v>2824</v>
      </c>
      <c r="J2384" s="99">
        <v>-37.419421999999997</v>
      </c>
      <c r="K2384" s="99">
        <v>-62.009036000000002</v>
      </c>
      <c r="L2384" s="99">
        <v>227</v>
      </c>
      <c r="N2384" s="99">
        <v>16.3</v>
      </c>
      <c r="P2384" s="99">
        <v>859</v>
      </c>
      <c r="R2384" s="100" t="s">
        <v>1982</v>
      </c>
      <c r="S2384" s="100" t="s">
        <v>1734</v>
      </c>
      <c r="T2384" s="100"/>
      <c r="V2384" s="100" t="s">
        <v>1379</v>
      </c>
      <c r="W2384" s="100" t="s">
        <v>1715</v>
      </c>
      <c r="X2384" s="100" t="s">
        <v>1379</v>
      </c>
      <c r="Y2384" s="100" t="s">
        <v>1379</v>
      </c>
      <c r="Z2384" s="99">
        <v>1.35</v>
      </c>
      <c r="AA2384" s="351"/>
      <c r="AC2384" s="99" t="s">
        <v>2335</v>
      </c>
      <c r="AG2384" s="100" t="s">
        <v>2387</v>
      </c>
      <c r="AH2384" s="99" t="s">
        <v>2336</v>
      </c>
      <c r="AI2384" s="99" t="s">
        <v>1581</v>
      </c>
      <c r="AJ2384" s="99" t="s">
        <v>158</v>
      </c>
      <c r="AK2384" s="99" t="s">
        <v>158</v>
      </c>
      <c r="AL2384" s="99" t="s">
        <v>2334</v>
      </c>
      <c r="AM2384" s="99" t="s">
        <v>2334</v>
      </c>
      <c r="AT2384" s="99">
        <v>46</v>
      </c>
      <c r="AX2384" s="99">
        <v>3</v>
      </c>
      <c r="BD2384" s="99" t="s">
        <v>2337</v>
      </c>
      <c r="BE2384" s="99" t="s">
        <v>2837</v>
      </c>
      <c r="BP2384" s="99">
        <v>1.35</v>
      </c>
      <c r="BQ2384" s="99">
        <v>1.31833333333333</v>
      </c>
      <c r="BU2384" s="426">
        <f t="shared" si="345"/>
        <v>2.1111111111111112</v>
      </c>
      <c r="BV2384" s="426">
        <f t="shared" si="346"/>
        <v>2.4841972187104995</v>
      </c>
      <c r="BZ2384" s="99">
        <v>57</v>
      </c>
      <c r="CA2384" s="99">
        <v>65.5</v>
      </c>
      <c r="CD2384" s="99" t="s">
        <v>2095</v>
      </c>
      <c r="CE2384" s="579">
        <v>57</v>
      </c>
      <c r="CF2384" s="579">
        <v>65.5</v>
      </c>
      <c r="CG2384" s="579"/>
      <c r="CH2384" s="579"/>
      <c r="CI2384" s="126" t="s">
        <v>4551</v>
      </c>
      <c r="JB2384" s="99" t="s">
        <v>2392</v>
      </c>
      <c r="JC2384" s="99" t="s">
        <v>2393</v>
      </c>
      <c r="JD2384" s="508"/>
    </row>
    <row r="2385" spans="1:264" s="99" customFormat="1" x14ac:dyDescent="0.25">
      <c r="A2385" s="99">
        <v>111</v>
      </c>
      <c r="B2385" s="100" t="s">
        <v>4288</v>
      </c>
      <c r="C2385" s="99" t="s">
        <v>2375</v>
      </c>
      <c r="D2385" s="99">
        <v>7</v>
      </c>
      <c r="E2385" s="99">
        <v>2012</v>
      </c>
      <c r="F2385" s="99">
        <v>2010</v>
      </c>
      <c r="G2385" s="99" t="s">
        <v>2381</v>
      </c>
      <c r="H2385" s="99" t="s">
        <v>2330</v>
      </c>
      <c r="I2385" s="99" t="s">
        <v>2824</v>
      </c>
      <c r="J2385" s="99">
        <v>-37.419421999999997</v>
      </c>
      <c r="K2385" s="99">
        <v>-62.009036000000002</v>
      </c>
      <c r="L2385" s="99">
        <v>227</v>
      </c>
      <c r="N2385" s="99">
        <v>16.3</v>
      </c>
      <c r="P2385" s="99">
        <v>859</v>
      </c>
      <c r="R2385" s="100" t="s">
        <v>1982</v>
      </c>
      <c r="S2385" s="100" t="s">
        <v>1734</v>
      </c>
      <c r="T2385" s="100"/>
      <c r="V2385" s="100" t="s">
        <v>1379</v>
      </c>
      <c r="W2385" s="100" t="s">
        <v>1715</v>
      </c>
      <c r="X2385" s="100" t="s">
        <v>1379</v>
      </c>
      <c r="Y2385" s="100" t="s">
        <v>1379</v>
      </c>
      <c r="Z2385" s="99">
        <v>1.35</v>
      </c>
      <c r="AA2385" s="351"/>
      <c r="AC2385" s="99" t="s">
        <v>2335</v>
      </c>
      <c r="AG2385" s="100" t="s">
        <v>2387</v>
      </c>
      <c r="AH2385" s="99" t="s">
        <v>2336</v>
      </c>
      <c r="AI2385" s="99" t="s">
        <v>1581</v>
      </c>
      <c r="AJ2385" s="99" t="s">
        <v>158</v>
      </c>
      <c r="AK2385" s="99" t="s">
        <v>158</v>
      </c>
      <c r="AL2385" s="99" t="s">
        <v>2334</v>
      </c>
      <c r="AM2385" s="99" t="s">
        <v>2334</v>
      </c>
      <c r="AT2385" s="99">
        <v>46</v>
      </c>
      <c r="AX2385" s="99">
        <v>3</v>
      </c>
      <c r="BD2385" s="99" t="s">
        <v>2338</v>
      </c>
      <c r="BE2385" s="99" t="s">
        <v>2837</v>
      </c>
      <c r="BP2385" s="99">
        <v>1.35</v>
      </c>
      <c r="BQ2385" s="99">
        <v>1.31833333333333</v>
      </c>
      <c r="BU2385" s="426">
        <f t="shared" si="345"/>
        <v>2.1111111111111112</v>
      </c>
      <c r="BV2385" s="426">
        <f t="shared" si="346"/>
        <v>2.4993678887484263</v>
      </c>
      <c r="BZ2385" s="99">
        <v>57</v>
      </c>
      <c r="CA2385" s="99">
        <v>65.900000000000006</v>
      </c>
      <c r="CD2385" s="99" t="s">
        <v>2095</v>
      </c>
      <c r="CE2385" s="579">
        <v>57</v>
      </c>
      <c r="CF2385" s="579">
        <v>65.900000000000006</v>
      </c>
      <c r="CG2385" s="579"/>
      <c r="CH2385" s="579"/>
      <c r="CI2385" s="126" t="s">
        <v>4551</v>
      </c>
      <c r="JB2385" s="99" t="s">
        <v>2392</v>
      </c>
      <c r="JC2385" s="99" t="s">
        <v>2393</v>
      </c>
      <c r="JD2385" s="508"/>
    </row>
    <row r="2386" spans="1:264" s="99" customFormat="1" x14ac:dyDescent="0.25">
      <c r="A2386" s="99">
        <v>111</v>
      </c>
      <c r="B2386" s="100" t="s">
        <v>4288</v>
      </c>
      <c r="C2386" s="99" t="s">
        <v>2375</v>
      </c>
      <c r="D2386" s="99">
        <v>7</v>
      </c>
      <c r="E2386" s="99">
        <v>2012</v>
      </c>
      <c r="F2386" s="99">
        <v>2010</v>
      </c>
      <c r="G2386" s="99" t="s">
        <v>2381</v>
      </c>
      <c r="H2386" s="99" t="s">
        <v>2330</v>
      </c>
      <c r="I2386" s="99" t="s">
        <v>2824</v>
      </c>
      <c r="J2386" s="99">
        <v>-37.419421999999997</v>
      </c>
      <c r="K2386" s="99">
        <v>-62.009036000000002</v>
      </c>
      <c r="L2386" s="99">
        <v>227</v>
      </c>
      <c r="N2386" s="99">
        <v>16.3</v>
      </c>
      <c r="P2386" s="99">
        <v>859</v>
      </c>
      <c r="R2386" s="100" t="s">
        <v>1982</v>
      </c>
      <c r="S2386" s="100" t="s">
        <v>1734</v>
      </c>
      <c r="T2386" s="100"/>
      <c r="V2386" s="100" t="s">
        <v>1379</v>
      </c>
      <c r="W2386" s="100" t="s">
        <v>1715</v>
      </c>
      <c r="X2386" s="100" t="s">
        <v>1379</v>
      </c>
      <c r="Y2386" s="100" t="s">
        <v>1379</v>
      </c>
      <c r="Z2386" s="99">
        <v>1.35</v>
      </c>
      <c r="AA2386" s="351"/>
      <c r="AC2386" s="99" t="s">
        <v>2335</v>
      </c>
      <c r="AG2386" s="100" t="s">
        <v>2387</v>
      </c>
      <c r="AH2386" s="99" t="s">
        <v>2336</v>
      </c>
      <c r="AI2386" s="99" t="s">
        <v>1581</v>
      </c>
      <c r="AJ2386" s="99" t="s">
        <v>158</v>
      </c>
      <c r="AK2386" s="99" t="s">
        <v>158</v>
      </c>
      <c r="AL2386" s="99" t="s">
        <v>2334</v>
      </c>
      <c r="AM2386" s="99" t="s">
        <v>2334</v>
      </c>
      <c r="AT2386" s="99">
        <v>46</v>
      </c>
      <c r="AX2386" s="99">
        <v>3</v>
      </c>
      <c r="BD2386" s="99" t="s">
        <v>2339</v>
      </c>
      <c r="BE2386" s="99" t="s">
        <v>2837</v>
      </c>
      <c r="BP2386" s="99">
        <v>1.35</v>
      </c>
      <c r="BQ2386" s="99">
        <v>1.31833333333333</v>
      </c>
      <c r="BU2386" s="426">
        <f t="shared" si="345"/>
        <v>2.1111111111111112</v>
      </c>
      <c r="BV2386" s="426">
        <f t="shared" si="346"/>
        <v>2.4121365360303475</v>
      </c>
      <c r="BZ2386" s="99">
        <v>57</v>
      </c>
      <c r="CA2386" s="99">
        <v>63.6</v>
      </c>
      <c r="CD2386" s="99" t="s">
        <v>2095</v>
      </c>
      <c r="CE2386" s="579">
        <v>57</v>
      </c>
      <c r="CF2386" s="579">
        <v>63.6</v>
      </c>
      <c r="CG2386" s="579"/>
      <c r="CH2386" s="579"/>
      <c r="CI2386" s="126" t="s">
        <v>4551</v>
      </c>
      <c r="JB2386" s="99" t="s">
        <v>2392</v>
      </c>
      <c r="JC2386" s="99" t="s">
        <v>2393</v>
      </c>
      <c r="JD2386" s="508"/>
    </row>
    <row r="2387" spans="1:264" s="126" customFormat="1" x14ac:dyDescent="0.25">
      <c r="A2387" s="126">
        <v>111</v>
      </c>
      <c r="B2387" s="478" t="s">
        <v>4297</v>
      </c>
      <c r="C2387" s="126" t="s">
        <v>2376</v>
      </c>
      <c r="D2387" s="126">
        <v>41</v>
      </c>
      <c r="E2387" s="126">
        <v>2012</v>
      </c>
      <c r="F2387" s="126">
        <v>2010</v>
      </c>
      <c r="G2387" s="126" t="s">
        <v>2386</v>
      </c>
      <c r="H2387" s="126" t="s">
        <v>2351</v>
      </c>
      <c r="I2387" s="126" t="s">
        <v>2824</v>
      </c>
      <c r="J2387" s="126">
        <v>-34.115667000000002</v>
      </c>
      <c r="K2387" s="126">
        <v>-63.366039000000001</v>
      </c>
      <c r="L2387" s="126">
        <v>138.6</v>
      </c>
      <c r="N2387" s="126">
        <v>16.8</v>
      </c>
      <c r="P2387" s="126">
        <v>1022</v>
      </c>
      <c r="R2387" s="478" t="s">
        <v>1977</v>
      </c>
      <c r="S2387" s="478" t="s">
        <v>1722</v>
      </c>
      <c r="T2387" s="478"/>
      <c r="U2387" s="126" t="s">
        <v>2354</v>
      </c>
      <c r="V2387" s="478" t="s">
        <v>1379</v>
      </c>
      <c r="W2387" s="478" t="s">
        <v>1715</v>
      </c>
      <c r="X2387" s="478" t="s">
        <v>1379</v>
      </c>
      <c r="Y2387" s="478" t="s">
        <v>1379</v>
      </c>
      <c r="Z2387" s="126">
        <v>1.18333333333333</v>
      </c>
      <c r="AA2387" s="479"/>
      <c r="AC2387" s="126" t="s">
        <v>450</v>
      </c>
      <c r="AG2387" s="478" t="s">
        <v>1352</v>
      </c>
      <c r="AH2387" s="126" t="s">
        <v>520</v>
      </c>
      <c r="AI2387" s="126" t="s">
        <v>1581</v>
      </c>
      <c r="AJ2387" s="126" t="s">
        <v>132</v>
      </c>
      <c r="AK2387" s="126" t="s">
        <v>132</v>
      </c>
      <c r="AL2387" s="126" t="s">
        <v>2352</v>
      </c>
      <c r="AM2387" s="126" t="s">
        <v>2352</v>
      </c>
      <c r="AU2387" s="126">
        <v>32</v>
      </c>
      <c r="AX2387" s="126">
        <v>3</v>
      </c>
      <c r="BD2387" s="126" t="s">
        <v>2353</v>
      </c>
      <c r="BE2387" s="126" t="s">
        <v>2837</v>
      </c>
      <c r="BP2387" s="126">
        <v>1.18333333333333</v>
      </c>
      <c r="BQ2387" s="126">
        <v>1.1825000000000001</v>
      </c>
      <c r="BU2387" s="426">
        <f t="shared" si="345"/>
        <v>1.6774647887323992</v>
      </c>
      <c r="BV2387" s="426">
        <f t="shared" si="346"/>
        <v>1.7801268498942913</v>
      </c>
      <c r="BW2387" s="99"/>
      <c r="BX2387" s="99"/>
      <c r="BZ2387" s="126">
        <v>39.700000000000003</v>
      </c>
      <c r="CA2387" s="126">
        <v>42.1</v>
      </c>
      <c r="CD2387" s="126" t="s">
        <v>2095</v>
      </c>
      <c r="CE2387" s="605">
        <v>39.700000000000003</v>
      </c>
      <c r="CF2387" s="605">
        <v>42.1</v>
      </c>
      <c r="CG2387" s="605"/>
      <c r="CH2387" s="605"/>
      <c r="CI2387" s="126" t="s">
        <v>4551</v>
      </c>
      <c r="JB2387" s="126" t="s">
        <v>2392</v>
      </c>
      <c r="JC2387" s="126" t="s">
        <v>2393</v>
      </c>
      <c r="JD2387" s="480"/>
    </row>
    <row r="2388" spans="1:264" s="126" customFormat="1" x14ac:dyDescent="0.25">
      <c r="A2388" s="126">
        <v>111</v>
      </c>
      <c r="B2388" s="478" t="s">
        <v>4297</v>
      </c>
      <c r="C2388" s="126" t="s">
        <v>2376</v>
      </c>
      <c r="D2388" s="126">
        <v>41</v>
      </c>
      <c r="E2388" s="126">
        <v>2012</v>
      </c>
      <c r="F2388" s="126">
        <v>2010</v>
      </c>
      <c r="G2388" s="126" t="s">
        <v>2386</v>
      </c>
      <c r="H2388" s="126" t="s">
        <v>2351</v>
      </c>
      <c r="I2388" s="126" t="s">
        <v>2824</v>
      </c>
      <c r="J2388" s="126">
        <v>-34.115667000000002</v>
      </c>
      <c r="K2388" s="126">
        <v>-63.366039000000001</v>
      </c>
      <c r="L2388" s="126">
        <v>138.6</v>
      </c>
      <c r="N2388" s="126">
        <v>16.8</v>
      </c>
      <c r="P2388" s="126">
        <v>1022</v>
      </c>
      <c r="R2388" s="478" t="s">
        <v>1977</v>
      </c>
      <c r="S2388" s="478" t="s">
        <v>1722</v>
      </c>
      <c r="T2388" s="478"/>
      <c r="U2388" s="126" t="s">
        <v>2355</v>
      </c>
      <c r="V2388" s="478" t="s">
        <v>1379</v>
      </c>
      <c r="W2388" s="478" t="s">
        <v>1715</v>
      </c>
      <c r="X2388" s="478" t="s">
        <v>1379</v>
      </c>
      <c r="Y2388" s="478" t="s">
        <v>1379</v>
      </c>
      <c r="Z2388" s="126">
        <v>1.18333333333333</v>
      </c>
      <c r="AA2388" s="479"/>
      <c r="AC2388" s="126" t="s">
        <v>450</v>
      </c>
      <c r="AG2388" s="478" t="s">
        <v>1352</v>
      </c>
      <c r="AH2388" s="126" t="s">
        <v>520</v>
      </c>
      <c r="AI2388" s="126" t="s">
        <v>1581</v>
      </c>
      <c r="AJ2388" s="126" t="s">
        <v>132</v>
      </c>
      <c r="AK2388" s="126" t="s">
        <v>132</v>
      </c>
      <c r="AL2388" s="126" t="s">
        <v>2352</v>
      </c>
      <c r="AM2388" s="126" t="s">
        <v>2352</v>
      </c>
      <c r="AU2388" s="126">
        <v>32</v>
      </c>
      <c r="AX2388" s="126">
        <v>3</v>
      </c>
      <c r="BD2388" s="126" t="s">
        <v>2353</v>
      </c>
      <c r="BE2388" s="126" t="s">
        <v>2837</v>
      </c>
      <c r="BP2388" s="126">
        <v>1.18333333333333</v>
      </c>
      <c r="BQ2388" s="126">
        <v>1.1825000000000001</v>
      </c>
      <c r="BU2388" s="426">
        <f t="shared" si="345"/>
        <v>1.7746478873239486</v>
      </c>
      <c r="BV2388" s="426">
        <f t="shared" si="346"/>
        <v>1.8266384778012683</v>
      </c>
      <c r="BW2388" s="99"/>
      <c r="BX2388" s="99"/>
      <c r="BZ2388" s="126">
        <v>42</v>
      </c>
      <c r="CA2388" s="126">
        <v>43.2</v>
      </c>
      <c r="CD2388" s="126" t="s">
        <v>2095</v>
      </c>
      <c r="CE2388" s="605">
        <v>42</v>
      </c>
      <c r="CF2388" s="605">
        <v>43.2</v>
      </c>
      <c r="CG2388" s="605"/>
      <c r="CH2388" s="605"/>
      <c r="CI2388" s="126" t="s">
        <v>4551</v>
      </c>
      <c r="JB2388" s="126" t="s">
        <v>2392</v>
      </c>
      <c r="JC2388" s="126" t="s">
        <v>2393</v>
      </c>
      <c r="JD2388" s="480"/>
    </row>
    <row r="2389" spans="1:264" s="126" customFormat="1" x14ac:dyDescent="0.25">
      <c r="A2389" s="126">
        <v>111</v>
      </c>
      <c r="B2389" s="478" t="s">
        <v>4297</v>
      </c>
      <c r="C2389" s="126" t="s">
        <v>2376</v>
      </c>
      <c r="D2389" s="126">
        <v>41</v>
      </c>
      <c r="E2389" s="126">
        <v>2012</v>
      </c>
      <c r="F2389" s="126">
        <v>2010</v>
      </c>
      <c r="G2389" s="126" t="s">
        <v>2386</v>
      </c>
      <c r="H2389" s="126" t="s">
        <v>2351</v>
      </c>
      <c r="I2389" s="126" t="s">
        <v>2824</v>
      </c>
      <c r="J2389" s="126">
        <v>-34.115667000000002</v>
      </c>
      <c r="K2389" s="126">
        <v>-63.366039000000001</v>
      </c>
      <c r="L2389" s="126">
        <v>138.6</v>
      </c>
      <c r="N2389" s="126">
        <v>16.8</v>
      </c>
      <c r="P2389" s="126">
        <v>1022</v>
      </c>
      <c r="R2389" s="478" t="s">
        <v>1847</v>
      </c>
      <c r="S2389" s="478" t="s">
        <v>1722</v>
      </c>
      <c r="T2389" s="478"/>
      <c r="U2389" s="126" t="s">
        <v>2354</v>
      </c>
      <c r="V2389" s="478" t="s">
        <v>1379</v>
      </c>
      <c r="W2389" s="478" t="s">
        <v>1715</v>
      </c>
      <c r="X2389" s="478" t="s">
        <v>1379</v>
      </c>
      <c r="Y2389" s="478" t="s">
        <v>1379</v>
      </c>
      <c r="Z2389" s="126">
        <v>1.18333333333333</v>
      </c>
      <c r="AA2389" s="479"/>
      <c r="AC2389" s="126" t="s">
        <v>450</v>
      </c>
      <c r="AG2389" s="478" t="s">
        <v>1352</v>
      </c>
      <c r="AH2389" s="126" t="s">
        <v>520</v>
      </c>
      <c r="AI2389" s="126" t="s">
        <v>1581</v>
      </c>
      <c r="AJ2389" s="126" t="s">
        <v>158</v>
      </c>
      <c r="AK2389" s="126" t="s">
        <v>158</v>
      </c>
      <c r="AL2389" s="126" t="s">
        <v>2352</v>
      </c>
      <c r="AM2389" s="126" t="s">
        <v>2352</v>
      </c>
      <c r="AX2389" s="126">
        <v>3</v>
      </c>
      <c r="BD2389" s="126" t="s">
        <v>2356</v>
      </c>
      <c r="BE2389" s="126" t="s">
        <v>2837</v>
      </c>
      <c r="BP2389" s="126">
        <v>1.18333333333333</v>
      </c>
      <c r="BQ2389" s="126">
        <v>1.1825000000000001</v>
      </c>
      <c r="BU2389" s="426">
        <f t="shared" si="345"/>
        <v>1.6521126760563429</v>
      </c>
      <c r="BV2389" s="426">
        <f t="shared" si="346"/>
        <v>1.7082452431289636</v>
      </c>
      <c r="BW2389" s="99"/>
      <c r="BX2389" s="99"/>
      <c r="BZ2389" s="126">
        <v>39.1</v>
      </c>
      <c r="CA2389" s="126">
        <v>40.4</v>
      </c>
      <c r="CD2389" s="126" t="s">
        <v>2095</v>
      </c>
      <c r="CE2389" s="605">
        <v>39.1</v>
      </c>
      <c r="CF2389" s="605">
        <v>40.4</v>
      </c>
      <c r="CG2389" s="605"/>
      <c r="CH2389" s="605"/>
      <c r="CI2389" s="126" t="s">
        <v>4551</v>
      </c>
      <c r="JB2389" s="126" t="s">
        <v>2392</v>
      </c>
      <c r="JC2389" s="126" t="s">
        <v>2393</v>
      </c>
      <c r="JD2389" s="480"/>
    </row>
    <row r="2390" spans="1:264" s="126" customFormat="1" x14ac:dyDescent="0.25">
      <c r="A2390" s="126">
        <v>111</v>
      </c>
      <c r="B2390" s="478" t="s">
        <v>4297</v>
      </c>
      <c r="C2390" s="126" t="s">
        <v>2376</v>
      </c>
      <c r="D2390" s="126">
        <v>41</v>
      </c>
      <c r="E2390" s="126">
        <v>2011</v>
      </c>
      <c r="F2390" s="126">
        <v>2009</v>
      </c>
      <c r="G2390" s="126" t="s">
        <v>2386</v>
      </c>
      <c r="H2390" s="126" t="s">
        <v>2351</v>
      </c>
      <c r="I2390" s="126" t="s">
        <v>2824</v>
      </c>
      <c r="J2390" s="126">
        <v>-34.115667000000002</v>
      </c>
      <c r="K2390" s="126">
        <v>-63.366039000000001</v>
      </c>
      <c r="L2390" s="126">
        <v>138.6</v>
      </c>
      <c r="N2390" s="126">
        <v>16.8</v>
      </c>
      <c r="P2390" s="126">
        <v>1022</v>
      </c>
      <c r="R2390" s="478" t="s">
        <v>1847</v>
      </c>
      <c r="S2390" s="478" t="s">
        <v>1722</v>
      </c>
      <c r="T2390" s="478"/>
      <c r="U2390" s="126" t="s">
        <v>2357</v>
      </c>
      <c r="V2390" s="478" t="s">
        <v>1379</v>
      </c>
      <c r="W2390" s="478" t="s">
        <v>1715</v>
      </c>
      <c r="X2390" s="478" t="s">
        <v>1379</v>
      </c>
      <c r="Y2390" s="478" t="s">
        <v>1379</v>
      </c>
      <c r="Z2390" s="126">
        <v>1.18333333333333</v>
      </c>
      <c r="AA2390" s="479"/>
      <c r="AC2390" s="126" t="s">
        <v>450</v>
      </c>
      <c r="AG2390" s="478" t="s">
        <v>1352</v>
      </c>
      <c r="AH2390" s="126" t="s">
        <v>520</v>
      </c>
      <c r="AI2390" s="126" t="s">
        <v>1581</v>
      </c>
      <c r="AJ2390" s="126" t="s">
        <v>158</v>
      </c>
      <c r="AK2390" s="126" t="s">
        <v>158</v>
      </c>
      <c r="AL2390" s="126" t="s">
        <v>2352</v>
      </c>
      <c r="AM2390" s="126" t="s">
        <v>2352</v>
      </c>
      <c r="AX2390" s="126">
        <v>3</v>
      </c>
      <c r="BD2390" s="126" t="s">
        <v>2356</v>
      </c>
      <c r="BE2390" s="126" t="s">
        <v>2837</v>
      </c>
      <c r="BP2390" s="126">
        <v>1.18333333333333</v>
      </c>
      <c r="BQ2390" s="126">
        <v>1.1825000000000001</v>
      </c>
      <c r="BU2390" s="426">
        <f t="shared" si="345"/>
        <v>1.6859154929577513</v>
      </c>
      <c r="BV2390" s="426">
        <f t="shared" si="346"/>
        <v>1.7716701902748413</v>
      </c>
      <c r="BW2390" s="99"/>
      <c r="BX2390" s="99"/>
      <c r="BZ2390" s="126">
        <v>39.9</v>
      </c>
      <c r="CA2390" s="126">
        <v>41.9</v>
      </c>
      <c r="CD2390" s="126" t="s">
        <v>2095</v>
      </c>
      <c r="CE2390" s="605">
        <v>39.9</v>
      </c>
      <c r="CF2390" s="605">
        <v>41.9</v>
      </c>
      <c r="CG2390" s="605"/>
      <c r="CH2390" s="605"/>
      <c r="CI2390" s="126" t="s">
        <v>4551</v>
      </c>
      <c r="JB2390" s="126" t="s">
        <v>2392</v>
      </c>
      <c r="JC2390" s="126" t="s">
        <v>2393</v>
      </c>
      <c r="JD2390" s="480"/>
    </row>
    <row r="2391" spans="1:264" s="126" customFormat="1" x14ac:dyDescent="0.25">
      <c r="A2391" s="126">
        <v>111</v>
      </c>
      <c r="B2391" s="478" t="s">
        <v>4297</v>
      </c>
      <c r="C2391" s="126" t="s">
        <v>2376</v>
      </c>
      <c r="D2391" s="126">
        <v>41</v>
      </c>
      <c r="E2391" s="126">
        <v>2011</v>
      </c>
      <c r="F2391" s="126">
        <v>2009</v>
      </c>
      <c r="G2391" s="126" t="s">
        <v>2386</v>
      </c>
      <c r="H2391" s="126" t="s">
        <v>2351</v>
      </c>
      <c r="I2391" s="126" t="s">
        <v>2824</v>
      </c>
      <c r="J2391" s="126">
        <v>-34.115667000000002</v>
      </c>
      <c r="K2391" s="126">
        <v>-63.366039000000001</v>
      </c>
      <c r="L2391" s="126">
        <v>138.6</v>
      </c>
      <c r="N2391" s="126">
        <v>16.8</v>
      </c>
      <c r="P2391" s="126">
        <v>1022</v>
      </c>
      <c r="R2391" s="478" t="s">
        <v>1977</v>
      </c>
      <c r="S2391" s="478" t="s">
        <v>1722</v>
      </c>
      <c r="T2391" s="478"/>
      <c r="U2391" s="126" t="s">
        <v>2354</v>
      </c>
      <c r="V2391" s="478" t="s">
        <v>1379</v>
      </c>
      <c r="W2391" s="478" t="s">
        <v>1715</v>
      </c>
      <c r="X2391" s="478" t="s">
        <v>1379</v>
      </c>
      <c r="Y2391" s="478" t="s">
        <v>1379</v>
      </c>
      <c r="Z2391" s="126">
        <v>1.18333333333333</v>
      </c>
      <c r="AA2391" s="479"/>
      <c r="AC2391" s="126" t="s">
        <v>450</v>
      </c>
      <c r="AG2391" s="478" t="s">
        <v>1352</v>
      </c>
      <c r="AH2391" s="126" t="s">
        <v>2358</v>
      </c>
      <c r="AI2391" s="126" t="s">
        <v>1582</v>
      </c>
      <c r="AJ2391" s="126" t="s">
        <v>132</v>
      </c>
      <c r="AK2391" s="126" t="s">
        <v>132</v>
      </c>
      <c r="AL2391" s="126" t="s">
        <v>2352</v>
      </c>
      <c r="AM2391" s="126" t="s">
        <v>2352</v>
      </c>
      <c r="AU2391" s="126">
        <v>32</v>
      </c>
      <c r="AX2391" s="126">
        <v>3</v>
      </c>
      <c r="BD2391" s="126" t="s">
        <v>2353</v>
      </c>
      <c r="BE2391" s="126" t="s">
        <v>2837</v>
      </c>
      <c r="BP2391" s="126">
        <v>1.18333333333333</v>
      </c>
      <c r="BQ2391" s="126">
        <v>1.1825000000000001</v>
      </c>
      <c r="BU2391" s="426">
        <f t="shared" si="345"/>
        <v>1.6774647887323992</v>
      </c>
      <c r="BV2391" s="426">
        <f t="shared" si="346"/>
        <v>1.7970401691331919</v>
      </c>
      <c r="BW2391" s="99"/>
      <c r="BX2391" s="99"/>
      <c r="BZ2391" s="126">
        <v>39.700000000000003</v>
      </c>
      <c r="CA2391" s="126">
        <v>42.5</v>
      </c>
      <c r="CD2391" s="126" t="s">
        <v>2095</v>
      </c>
      <c r="CE2391" s="605">
        <v>39.700000000000003</v>
      </c>
      <c r="CF2391" s="605">
        <v>42.5</v>
      </c>
      <c r="CG2391" s="605"/>
      <c r="CH2391" s="605"/>
      <c r="CI2391" s="126" t="s">
        <v>4551</v>
      </c>
      <c r="JB2391" s="126" t="s">
        <v>2392</v>
      </c>
      <c r="JC2391" s="126" t="s">
        <v>2393</v>
      </c>
      <c r="JD2391" s="480"/>
    </row>
    <row r="2392" spans="1:264" s="126" customFormat="1" x14ac:dyDescent="0.25">
      <c r="A2392" s="126">
        <v>111</v>
      </c>
      <c r="B2392" s="478" t="s">
        <v>4297</v>
      </c>
      <c r="C2392" s="126" t="s">
        <v>2376</v>
      </c>
      <c r="D2392" s="126">
        <v>41</v>
      </c>
      <c r="E2392" s="126">
        <v>2011</v>
      </c>
      <c r="F2392" s="126">
        <v>2009</v>
      </c>
      <c r="G2392" s="126" t="s">
        <v>2386</v>
      </c>
      <c r="H2392" s="126" t="s">
        <v>2351</v>
      </c>
      <c r="I2392" s="126" t="s">
        <v>2824</v>
      </c>
      <c r="J2392" s="126">
        <v>-34.115667000000002</v>
      </c>
      <c r="K2392" s="126">
        <v>-63.366039000000001</v>
      </c>
      <c r="L2392" s="126">
        <v>138.6</v>
      </c>
      <c r="N2392" s="126">
        <v>16.8</v>
      </c>
      <c r="P2392" s="126">
        <v>1022</v>
      </c>
      <c r="R2392" s="478" t="s">
        <v>1977</v>
      </c>
      <c r="S2392" s="478" t="s">
        <v>1722</v>
      </c>
      <c r="T2392" s="478"/>
      <c r="U2392" s="126" t="s">
        <v>2355</v>
      </c>
      <c r="V2392" s="478" t="s">
        <v>1379</v>
      </c>
      <c r="W2392" s="478" t="s">
        <v>1715</v>
      </c>
      <c r="X2392" s="478" t="s">
        <v>1379</v>
      </c>
      <c r="Y2392" s="478" t="s">
        <v>1379</v>
      </c>
      <c r="Z2392" s="126">
        <v>1.18333333333333</v>
      </c>
      <c r="AA2392" s="479"/>
      <c r="AC2392" s="126" t="s">
        <v>450</v>
      </c>
      <c r="AG2392" s="478" t="s">
        <v>1352</v>
      </c>
      <c r="AH2392" s="126" t="s">
        <v>2358</v>
      </c>
      <c r="AI2392" s="126" t="s">
        <v>1582</v>
      </c>
      <c r="AJ2392" s="126" t="s">
        <v>132</v>
      </c>
      <c r="AK2392" s="126" t="s">
        <v>132</v>
      </c>
      <c r="AL2392" s="126" t="s">
        <v>2352</v>
      </c>
      <c r="AM2392" s="126" t="s">
        <v>2352</v>
      </c>
      <c r="AU2392" s="126">
        <v>32</v>
      </c>
      <c r="AX2392" s="126">
        <v>3</v>
      </c>
      <c r="BD2392" s="126" t="s">
        <v>2353</v>
      </c>
      <c r="BE2392" s="126" t="s">
        <v>2837</v>
      </c>
      <c r="BP2392" s="126">
        <v>1.18333333333333</v>
      </c>
      <c r="BQ2392" s="126">
        <v>1.1825000000000001</v>
      </c>
      <c r="BU2392" s="426">
        <f t="shared" si="345"/>
        <v>1.7746478873239486</v>
      </c>
      <c r="BV2392" s="426">
        <f t="shared" si="346"/>
        <v>1.8435517970401687</v>
      </c>
      <c r="BW2392" s="99"/>
      <c r="BX2392" s="99"/>
      <c r="BZ2392" s="126">
        <v>42</v>
      </c>
      <c r="CA2392" s="126">
        <v>43.6</v>
      </c>
      <c r="CD2392" s="126" t="s">
        <v>2095</v>
      </c>
      <c r="CE2392" s="605">
        <v>42</v>
      </c>
      <c r="CF2392" s="605">
        <v>43.6</v>
      </c>
      <c r="CG2392" s="605"/>
      <c r="CH2392" s="605"/>
      <c r="CI2392" s="126" t="s">
        <v>4551</v>
      </c>
      <c r="JB2392" s="126" t="s">
        <v>2392</v>
      </c>
      <c r="JC2392" s="126" t="s">
        <v>2393</v>
      </c>
      <c r="JD2392" s="480"/>
    </row>
    <row r="2393" spans="1:264" s="126" customFormat="1" x14ac:dyDescent="0.25">
      <c r="A2393" s="126">
        <v>111</v>
      </c>
      <c r="B2393" s="478" t="s">
        <v>4297</v>
      </c>
      <c r="C2393" s="126" t="s">
        <v>2376</v>
      </c>
      <c r="D2393" s="126">
        <v>41</v>
      </c>
      <c r="E2393" s="126">
        <v>2011</v>
      </c>
      <c r="F2393" s="126">
        <v>2009</v>
      </c>
      <c r="G2393" s="126" t="s">
        <v>2386</v>
      </c>
      <c r="H2393" s="126" t="s">
        <v>2351</v>
      </c>
      <c r="I2393" s="126" t="s">
        <v>2824</v>
      </c>
      <c r="J2393" s="126">
        <v>-34.115667000000002</v>
      </c>
      <c r="K2393" s="126">
        <v>-63.366039000000001</v>
      </c>
      <c r="L2393" s="126">
        <v>138.6</v>
      </c>
      <c r="N2393" s="126">
        <v>16.8</v>
      </c>
      <c r="P2393" s="126">
        <v>1022</v>
      </c>
      <c r="R2393" s="478" t="s">
        <v>1847</v>
      </c>
      <c r="S2393" s="478" t="s">
        <v>1722</v>
      </c>
      <c r="T2393" s="478"/>
      <c r="U2393" s="126" t="s">
        <v>2354</v>
      </c>
      <c r="V2393" s="478" t="s">
        <v>1379</v>
      </c>
      <c r="W2393" s="478" t="s">
        <v>1715</v>
      </c>
      <c r="X2393" s="478" t="s">
        <v>1379</v>
      </c>
      <c r="Y2393" s="478" t="s">
        <v>1379</v>
      </c>
      <c r="Z2393" s="126">
        <v>1.18333333333333</v>
      </c>
      <c r="AA2393" s="479"/>
      <c r="AC2393" s="126" t="s">
        <v>450</v>
      </c>
      <c r="AG2393" s="478" t="s">
        <v>1352</v>
      </c>
      <c r="AH2393" s="126" t="s">
        <v>2358</v>
      </c>
      <c r="AI2393" s="126" t="s">
        <v>1582</v>
      </c>
      <c r="AJ2393" s="126" t="s">
        <v>158</v>
      </c>
      <c r="AK2393" s="126" t="s">
        <v>158</v>
      </c>
      <c r="AL2393" s="126" t="s">
        <v>2359</v>
      </c>
      <c r="AM2393" s="126" t="s">
        <v>2359</v>
      </c>
      <c r="AX2393" s="126">
        <v>3</v>
      </c>
      <c r="BD2393" s="126" t="s">
        <v>2356</v>
      </c>
      <c r="BE2393" s="126" t="s">
        <v>2837</v>
      </c>
      <c r="BP2393" s="126">
        <v>1.18333333333333</v>
      </c>
      <c r="BQ2393" s="126">
        <v>1.1825000000000001</v>
      </c>
      <c r="BU2393" s="426">
        <f t="shared" si="345"/>
        <v>1.6521126760563429</v>
      </c>
      <c r="BV2393" s="426">
        <f t="shared" si="346"/>
        <v>1.720930232558139</v>
      </c>
      <c r="BW2393" s="99"/>
      <c r="BX2393" s="99"/>
      <c r="BZ2393" s="126">
        <v>39.1</v>
      </c>
      <c r="CA2393" s="126">
        <v>40.700000000000003</v>
      </c>
      <c r="CD2393" s="126" t="s">
        <v>2095</v>
      </c>
      <c r="CE2393" s="605">
        <v>39.1</v>
      </c>
      <c r="CF2393" s="605">
        <v>40.700000000000003</v>
      </c>
      <c r="CG2393" s="605"/>
      <c r="CH2393" s="605"/>
      <c r="CI2393" s="126" t="s">
        <v>4551</v>
      </c>
      <c r="JB2393" s="126" t="s">
        <v>2392</v>
      </c>
      <c r="JC2393" s="126" t="s">
        <v>2393</v>
      </c>
      <c r="JD2393" s="480"/>
    </row>
    <row r="2394" spans="1:264" s="126" customFormat="1" x14ac:dyDescent="0.25">
      <c r="A2394" s="126">
        <v>111</v>
      </c>
      <c r="B2394" s="478" t="s">
        <v>4297</v>
      </c>
      <c r="C2394" s="126" t="s">
        <v>2376</v>
      </c>
      <c r="D2394" s="126">
        <v>41</v>
      </c>
      <c r="E2394" s="126">
        <v>2011</v>
      </c>
      <c r="F2394" s="126">
        <v>2009</v>
      </c>
      <c r="G2394" s="126" t="s">
        <v>2386</v>
      </c>
      <c r="H2394" s="126" t="s">
        <v>2351</v>
      </c>
      <c r="I2394" s="126" t="s">
        <v>2824</v>
      </c>
      <c r="J2394" s="126">
        <v>-34.115667000000002</v>
      </c>
      <c r="K2394" s="126">
        <v>-63.366039000000001</v>
      </c>
      <c r="L2394" s="126">
        <v>138.6</v>
      </c>
      <c r="N2394" s="126">
        <v>16.8</v>
      </c>
      <c r="P2394" s="126">
        <v>1022</v>
      </c>
      <c r="R2394" s="478" t="s">
        <v>1847</v>
      </c>
      <c r="S2394" s="478" t="s">
        <v>1722</v>
      </c>
      <c r="T2394" s="478"/>
      <c r="U2394" s="126" t="s">
        <v>2357</v>
      </c>
      <c r="V2394" s="478" t="s">
        <v>1379</v>
      </c>
      <c r="W2394" s="478" t="s">
        <v>1715</v>
      </c>
      <c r="X2394" s="478" t="s">
        <v>1379</v>
      </c>
      <c r="Y2394" s="478" t="s">
        <v>1379</v>
      </c>
      <c r="Z2394" s="126">
        <v>1.18333333333333</v>
      </c>
      <c r="AA2394" s="479"/>
      <c r="AC2394" s="126" t="s">
        <v>450</v>
      </c>
      <c r="AG2394" s="478" t="s">
        <v>1352</v>
      </c>
      <c r="AH2394" s="126" t="s">
        <v>2358</v>
      </c>
      <c r="AI2394" s="126" t="s">
        <v>1582</v>
      </c>
      <c r="AJ2394" s="126" t="s">
        <v>158</v>
      </c>
      <c r="AK2394" s="126" t="s">
        <v>158</v>
      </c>
      <c r="AL2394" s="126" t="s">
        <v>2359</v>
      </c>
      <c r="AM2394" s="126" t="s">
        <v>2359</v>
      </c>
      <c r="AX2394" s="126">
        <v>3</v>
      </c>
      <c r="BD2394" s="126" t="s">
        <v>2356</v>
      </c>
      <c r="BE2394" s="126" t="s">
        <v>2837</v>
      </c>
      <c r="BP2394" s="126">
        <v>1.18333333333333</v>
      </c>
      <c r="BQ2394" s="126">
        <v>1.1825000000000001</v>
      </c>
      <c r="BU2394" s="426">
        <f t="shared" ref="BU2394:BU2418" si="347">(BZ2394*1000000)/(100*100*BP2394*W2394/100*1000000)*100</f>
        <v>1.6859154929577513</v>
      </c>
      <c r="BV2394" s="426">
        <f t="shared" ref="BV2394:BV2418" si="348">(CA2394*1000000)/(100*100*BQ2394*W2394/100*1000000)*100</f>
        <v>1.6786469344608874</v>
      </c>
      <c r="BW2394" s="99"/>
      <c r="BX2394" s="99"/>
      <c r="BZ2394" s="126">
        <v>39.9</v>
      </c>
      <c r="CA2394" s="126">
        <v>39.700000000000003</v>
      </c>
      <c r="CD2394" s="126" t="s">
        <v>2095</v>
      </c>
      <c r="CE2394" s="605">
        <v>39.9</v>
      </c>
      <c r="CF2394" s="605">
        <v>39.700000000000003</v>
      </c>
      <c r="CG2394" s="605"/>
      <c r="CH2394" s="605"/>
      <c r="CI2394" s="126" t="s">
        <v>4551</v>
      </c>
      <c r="JB2394" s="126" t="s">
        <v>2392</v>
      </c>
      <c r="JC2394" s="126" t="s">
        <v>2393</v>
      </c>
      <c r="JD2394" s="480"/>
    </row>
    <row r="2395" spans="1:264" s="126" customFormat="1" x14ac:dyDescent="0.25">
      <c r="A2395" s="126">
        <v>111</v>
      </c>
      <c r="B2395" s="478" t="s">
        <v>4297</v>
      </c>
      <c r="C2395" s="126" t="s">
        <v>2376</v>
      </c>
      <c r="D2395" s="126">
        <v>41</v>
      </c>
      <c r="E2395" s="126">
        <v>2011</v>
      </c>
      <c r="F2395" s="126">
        <v>2009</v>
      </c>
      <c r="G2395" s="126" t="s">
        <v>2386</v>
      </c>
      <c r="H2395" s="126" t="s">
        <v>2351</v>
      </c>
      <c r="I2395" s="126" t="s">
        <v>2824</v>
      </c>
      <c r="J2395" s="126">
        <v>-34.115667000000002</v>
      </c>
      <c r="K2395" s="126">
        <v>-63.366039000000001</v>
      </c>
      <c r="L2395" s="126">
        <v>138.6</v>
      </c>
      <c r="N2395" s="126">
        <v>16.8</v>
      </c>
      <c r="P2395" s="126">
        <v>1022</v>
      </c>
      <c r="R2395" s="478" t="s">
        <v>1977</v>
      </c>
      <c r="S2395" s="478" t="s">
        <v>1722</v>
      </c>
      <c r="T2395" s="478"/>
      <c r="U2395" s="126" t="s">
        <v>2354</v>
      </c>
      <c r="V2395" s="478" t="s">
        <v>1379</v>
      </c>
      <c r="W2395" s="478" t="s">
        <v>1715</v>
      </c>
      <c r="X2395" s="478" t="s">
        <v>1379</v>
      </c>
      <c r="Y2395" s="478" t="s">
        <v>1379</v>
      </c>
      <c r="Z2395" s="126">
        <v>1.18333333333333</v>
      </c>
      <c r="AA2395" s="479"/>
      <c r="AC2395" s="126" t="s">
        <v>450</v>
      </c>
      <c r="AG2395" s="478" t="s">
        <v>1352</v>
      </c>
      <c r="AH2395" s="126" t="s">
        <v>4553</v>
      </c>
      <c r="AI2395" s="126" t="s">
        <v>1581</v>
      </c>
      <c r="AJ2395" s="126" t="s">
        <v>132</v>
      </c>
      <c r="AK2395" s="126" t="s">
        <v>132</v>
      </c>
      <c r="AL2395" s="126" t="s">
        <v>2359</v>
      </c>
      <c r="AM2395" s="126" t="s">
        <v>2359</v>
      </c>
      <c r="AU2395" s="126">
        <v>32</v>
      </c>
      <c r="AX2395" s="126">
        <v>3</v>
      </c>
      <c r="BD2395" s="126" t="s">
        <v>2353</v>
      </c>
      <c r="BE2395" s="126" t="s">
        <v>2837</v>
      </c>
      <c r="BP2395" s="126">
        <v>1.18333333333333</v>
      </c>
      <c r="BQ2395" s="126">
        <v>1.1825000000000001</v>
      </c>
      <c r="BU2395" s="426">
        <f t="shared" si="347"/>
        <v>1.6774647887323992</v>
      </c>
      <c r="BV2395" s="426">
        <f t="shared" si="348"/>
        <v>1.9196617336152215</v>
      </c>
      <c r="BW2395" s="99"/>
      <c r="BX2395" s="99"/>
      <c r="BZ2395" s="126">
        <v>39.700000000000003</v>
      </c>
      <c r="CA2395" s="126">
        <v>45.4</v>
      </c>
      <c r="CD2395" s="126" t="s">
        <v>2095</v>
      </c>
      <c r="CE2395" s="605">
        <v>39.700000000000003</v>
      </c>
      <c r="CF2395" s="605">
        <v>45.4</v>
      </c>
      <c r="CG2395" s="605"/>
      <c r="CH2395" s="605"/>
      <c r="CI2395" s="126" t="s">
        <v>4551</v>
      </c>
      <c r="JB2395" s="126" t="s">
        <v>2392</v>
      </c>
      <c r="JC2395" s="126" t="s">
        <v>2393</v>
      </c>
      <c r="JD2395" s="480"/>
    </row>
    <row r="2396" spans="1:264" s="126" customFormat="1" x14ac:dyDescent="0.25">
      <c r="A2396" s="126">
        <v>111</v>
      </c>
      <c r="B2396" s="478" t="s">
        <v>4297</v>
      </c>
      <c r="C2396" s="126" t="s">
        <v>2376</v>
      </c>
      <c r="D2396" s="126">
        <v>41</v>
      </c>
      <c r="E2396" s="126">
        <v>2011</v>
      </c>
      <c r="F2396" s="126">
        <v>2009</v>
      </c>
      <c r="G2396" s="126" t="s">
        <v>2386</v>
      </c>
      <c r="H2396" s="126" t="s">
        <v>2351</v>
      </c>
      <c r="I2396" s="126" t="s">
        <v>2824</v>
      </c>
      <c r="J2396" s="126">
        <v>-34.115667000000002</v>
      </c>
      <c r="K2396" s="126">
        <v>-63.366039000000001</v>
      </c>
      <c r="L2396" s="126">
        <v>138.6</v>
      </c>
      <c r="N2396" s="126">
        <v>16.8</v>
      </c>
      <c r="P2396" s="126">
        <v>1022</v>
      </c>
      <c r="R2396" s="478" t="s">
        <v>1977</v>
      </c>
      <c r="S2396" s="478" t="s">
        <v>1722</v>
      </c>
      <c r="T2396" s="478"/>
      <c r="U2396" s="126" t="s">
        <v>2355</v>
      </c>
      <c r="V2396" s="478" t="s">
        <v>1379</v>
      </c>
      <c r="W2396" s="478" t="s">
        <v>1715</v>
      </c>
      <c r="X2396" s="478" t="s">
        <v>1379</v>
      </c>
      <c r="Y2396" s="478" t="s">
        <v>1379</v>
      </c>
      <c r="Z2396" s="126">
        <v>1.18333333333333</v>
      </c>
      <c r="AA2396" s="479"/>
      <c r="AC2396" s="126" t="s">
        <v>450</v>
      </c>
      <c r="AG2396" s="478" t="s">
        <v>1352</v>
      </c>
      <c r="AH2396" s="126" t="s">
        <v>4553</v>
      </c>
      <c r="AI2396" s="126" t="s">
        <v>1581</v>
      </c>
      <c r="AJ2396" s="126" t="s">
        <v>132</v>
      </c>
      <c r="AK2396" s="126" t="s">
        <v>132</v>
      </c>
      <c r="AL2396" s="126" t="s">
        <v>2359</v>
      </c>
      <c r="AM2396" s="126" t="s">
        <v>2359</v>
      </c>
      <c r="AU2396" s="126">
        <v>32</v>
      </c>
      <c r="AX2396" s="126">
        <v>3</v>
      </c>
      <c r="BD2396" s="126" t="s">
        <v>2353</v>
      </c>
      <c r="BE2396" s="126" t="s">
        <v>2837</v>
      </c>
      <c r="BP2396" s="126">
        <v>1.18333333333333</v>
      </c>
      <c r="BQ2396" s="126">
        <v>1.1825000000000001</v>
      </c>
      <c r="BU2396" s="426">
        <f t="shared" si="347"/>
        <v>1.7746478873239486</v>
      </c>
      <c r="BV2396" s="426">
        <f t="shared" si="348"/>
        <v>1.9323467230443969</v>
      </c>
      <c r="BW2396" s="99"/>
      <c r="BX2396" s="99"/>
      <c r="BZ2396" s="126">
        <v>42</v>
      </c>
      <c r="CA2396" s="126">
        <v>45.7</v>
      </c>
      <c r="CD2396" s="126" t="s">
        <v>2095</v>
      </c>
      <c r="CE2396" s="605">
        <v>42</v>
      </c>
      <c r="CF2396" s="605">
        <v>45.7</v>
      </c>
      <c r="CG2396" s="605"/>
      <c r="CH2396" s="605"/>
      <c r="CI2396" s="126" t="s">
        <v>4551</v>
      </c>
      <c r="JB2396" s="126" t="s">
        <v>2392</v>
      </c>
      <c r="JC2396" s="126" t="s">
        <v>2393</v>
      </c>
      <c r="JD2396" s="480"/>
    </row>
    <row r="2397" spans="1:264" s="126" customFormat="1" x14ac:dyDescent="0.25">
      <c r="A2397" s="126">
        <v>111</v>
      </c>
      <c r="B2397" s="478" t="s">
        <v>4297</v>
      </c>
      <c r="C2397" s="126" t="s">
        <v>2376</v>
      </c>
      <c r="D2397" s="126">
        <v>41</v>
      </c>
      <c r="E2397" s="126">
        <v>2011</v>
      </c>
      <c r="F2397" s="126">
        <v>2009</v>
      </c>
      <c r="G2397" s="126" t="s">
        <v>2386</v>
      </c>
      <c r="H2397" s="126" t="s">
        <v>2351</v>
      </c>
      <c r="I2397" s="126" t="s">
        <v>2824</v>
      </c>
      <c r="J2397" s="126">
        <v>-34.115667000000002</v>
      </c>
      <c r="K2397" s="126">
        <v>-63.366039000000001</v>
      </c>
      <c r="L2397" s="126">
        <v>138.6</v>
      </c>
      <c r="N2397" s="126">
        <v>16.8</v>
      </c>
      <c r="P2397" s="126">
        <v>1022</v>
      </c>
      <c r="R2397" s="478" t="s">
        <v>1847</v>
      </c>
      <c r="S2397" s="478" t="s">
        <v>1722</v>
      </c>
      <c r="T2397" s="478"/>
      <c r="U2397" s="126" t="s">
        <v>2354</v>
      </c>
      <c r="V2397" s="478" t="s">
        <v>1379</v>
      </c>
      <c r="W2397" s="478" t="s">
        <v>1715</v>
      </c>
      <c r="X2397" s="478" t="s">
        <v>1379</v>
      </c>
      <c r="Y2397" s="478" t="s">
        <v>1379</v>
      </c>
      <c r="Z2397" s="126">
        <v>1.18333333333333</v>
      </c>
      <c r="AA2397" s="479"/>
      <c r="AC2397" s="126" t="s">
        <v>450</v>
      </c>
      <c r="AG2397" s="478" t="s">
        <v>1352</v>
      </c>
      <c r="AH2397" s="126" t="s">
        <v>4553</v>
      </c>
      <c r="AI2397" s="126" t="s">
        <v>1581</v>
      </c>
      <c r="AJ2397" s="126" t="s">
        <v>158</v>
      </c>
      <c r="AK2397" s="126" t="s">
        <v>158</v>
      </c>
      <c r="AL2397" s="126" t="s">
        <v>2359</v>
      </c>
      <c r="AM2397" s="126" t="s">
        <v>2359</v>
      </c>
      <c r="AX2397" s="126">
        <v>3</v>
      </c>
      <c r="BD2397" s="126" t="s">
        <v>2356</v>
      </c>
      <c r="BE2397" s="126" t="s">
        <v>2837</v>
      </c>
      <c r="BP2397" s="126">
        <v>1.18333333333333</v>
      </c>
      <c r="BQ2397" s="126">
        <v>1.1825000000000001</v>
      </c>
      <c r="BU2397" s="426">
        <f t="shared" si="347"/>
        <v>1.6521126760563429</v>
      </c>
      <c r="BV2397" s="426">
        <f t="shared" si="348"/>
        <v>1.8520084566596189</v>
      </c>
      <c r="BW2397" s="99"/>
      <c r="BX2397" s="99"/>
      <c r="BZ2397" s="126">
        <v>39.1</v>
      </c>
      <c r="CA2397" s="126">
        <v>43.8</v>
      </c>
      <c r="CD2397" s="126" t="s">
        <v>2095</v>
      </c>
      <c r="CE2397" s="605">
        <v>39.1</v>
      </c>
      <c r="CF2397" s="605">
        <v>43.8</v>
      </c>
      <c r="CG2397" s="605"/>
      <c r="CH2397" s="605"/>
      <c r="CI2397" s="126" t="s">
        <v>4551</v>
      </c>
      <c r="JB2397" s="126" t="s">
        <v>2392</v>
      </c>
      <c r="JC2397" s="126" t="s">
        <v>2393</v>
      </c>
      <c r="JD2397" s="480"/>
    </row>
    <row r="2398" spans="1:264" s="126" customFormat="1" x14ac:dyDescent="0.25">
      <c r="A2398" s="126">
        <v>111</v>
      </c>
      <c r="B2398" s="478" t="s">
        <v>4297</v>
      </c>
      <c r="C2398" s="126" t="s">
        <v>2376</v>
      </c>
      <c r="D2398" s="126">
        <v>41</v>
      </c>
      <c r="E2398" s="126">
        <v>2011</v>
      </c>
      <c r="F2398" s="126">
        <v>2009</v>
      </c>
      <c r="G2398" s="126" t="s">
        <v>2386</v>
      </c>
      <c r="H2398" s="126" t="s">
        <v>2351</v>
      </c>
      <c r="I2398" s="126" t="s">
        <v>2824</v>
      </c>
      <c r="J2398" s="126">
        <v>-34.115667000000002</v>
      </c>
      <c r="K2398" s="126">
        <v>-63.366039000000001</v>
      </c>
      <c r="L2398" s="126">
        <v>138.6</v>
      </c>
      <c r="N2398" s="126">
        <v>16.8</v>
      </c>
      <c r="P2398" s="126">
        <v>1022</v>
      </c>
      <c r="R2398" s="478" t="s">
        <v>1847</v>
      </c>
      <c r="S2398" s="478" t="s">
        <v>1722</v>
      </c>
      <c r="T2398" s="478"/>
      <c r="U2398" s="126" t="s">
        <v>2357</v>
      </c>
      <c r="V2398" s="478" t="s">
        <v>1379</v>
      </c>
      <c r="W2398" s="478" t="s">
        <v>1715</v>
      </c>
      <c r="X2398" s="478" t="s">
        <v>1379</v>
      </c>
      <c r="Y2398" s="478" t="s">
        <v>1379</v>
      </c>
      <c r="Z2398" s="126">
        <v>1.18333333333333</v>
      </c>
      <c r="AA2398" s="479"/>
      <c r="AC2398" s="126" t="s">
        <v>450</v>
      </c>
      <c r="AG2398" s="478" t="s">
        <v>1352</v>
      </c>
      <c r="AH2398" s="126" t="s">
        <v>4553</v>
      </c>
      <c r="AI2398" s="126" t="s">
        <v>1581</v>
      </c>
      <c r="AJ2398" s="126" t="s">
        <v>158</v>
      </c>
      <c r="AK2398" s="126" t="s">
        <v>158</v>
      </c>
      <c r="AL2398" s="126" t="s">
        <v>2359</v>
      </c>
      <c r="AM2398" s="126" t="s">
        <v>2359</v>
      </c>
      <c r="AX2398" s="126">
        <v>3</v>
      </c>
      <c r="BD2398" s="126" t="s">
        <v>2356</v>
      </c>
      <c r="BE2398" s="126" t="s">
        <v>2837</v>
      </c>
      <c r="BP2398" s="126">
        <v>1.18333333333333</v>
      </c>
      <c r="BQ2398" s="126">
        <v>1.1825000000000001</v>
      </c>
      <c r="BU2398" s="426">
        <f t="shared" si="347"/>
        <v>1.6859154929577513</v>
      </c>
      <c r="BV2398" s="426">
        <f t="shared" si="348"/>
        <v>1.7505285412262155</v>
      </c>
      <c r="BW2398" s="99"/>
      <c r="BX2398" s="99"/>
      <c r="BZ2398" s="126">
        <v>39.9</v>
      </c>
      <c r="CA2398" s="126">
        <v>41.4</v>
      </c>
      <c r="CD2398" s="126" t="s">
        <v>2095</v>
      </c>
      <c r="CE2398" s="605">
        <v>39.9</v>
      </c>
      <c r="CF2398" s="605">
        <v>41.4</v>
      </c>
      <c r="CG2398" s="605"/>
      <c r="CH2398" s="605"/>
      <c r="CI2398" s="126" t="s">
        <v>4551</v>
      </c>
      <c r="JB2398" s="126" t="s">
        <v>2392</v>
      </c>
      <c r="JC2398" s="126" t="s">
        <v>2393</v>
      </c>
      <c r="JD2398" s="480"/>
    </row>
    <row r="2399" spans="1:264" s="126" customFormat="1" x14ac:dyDescent="0.25">
      <c r="A2399" s="126">
        <v>111</v>
      </c>
      <c r="B2399" s="478" t="s">
        <v>4297</v>
      </c>
      <c r="C2399" s="126" t="s">
        <v>2376</v>
      </c>
      <c r="D2399" s="126">
        <v>41</v>
      </c>
      <c r="E2399" s="126">
        <v>2011</v>
      </c>
      <c r="F2399" s="126">
        <v>2009</v>
      </c>
      <c r="G2399" s="126" t="s">
        <v>2386</v>
      </c>
      <c r="H2399" s="126" t="s">
        <v>2351</v>
      </c>
      <c r="I2399" s="126" t="s">
        <v>2824</v>
      </c>
      <c r="J2399" s="126">
        <v>-34.115667000000002</v>
      </c>
      <c r="K2399" s="126">
        <v>-63.366039000000001</v>
      </c>
      <c r="L2399" s="126">
        <v>138.6</v>
      </c>
      <c r="N2399" s="126">
        <v>16.8</v>
      </c>
      <c r="P2399" s="126">
        <v>1022</v>
      </c>
      <c r="R2399" s="478" t="s">
        <v>1977</v>
      </c>
      <c r="S2399" s="478" t="s">
        <v>1722</v>
      </c>
      <c r="T2399" s="478"/>
      <c r="U2399" s="126" t="s">
        <v>2354</v>
      </c>
      <c r="V2399" s="478" t="s">
        <v>1379</v>
      </c>
      <c r="W2399" s="478" t="s">
        <v>1715</v>
      </c>
      <c r="X2399" s="478" t="s">
        <v>1379</v>
      </c>
      <c r="Y2399" s="478" t="s">
        <v>1379</v>
      </c>
      <c r="Z2399" s="126">
        <v>1.18333333333333</v>
      </c>
      <c r="AA2399" s="479"/>
      <c r="AC2399" s="126" t="s">
        <v>450</v>
      </c>
      <c r="AG2399" s="478" t="s">
        <v>1352</v>
      </c>
      <c r="AH2399" s="126" t="s">
        <v>2360</v>
      </c>
      <c r="AI2399" s="126" t="s">
        <v>1581</v>
      </c>
      <c r="AJ2399" s="126" t="s">
        <v>132</v>
      </c>
      <c r="AK2399" s="126" t="s">
        <v>132</v>
      </c>
      <c r="AL2399" s="126" t="s">
        <v>2359</v>
      </c>
      <c r="AM2399" s="126" t="s">
        <v>2359</v>
      </c>
      <c r="AU2399" s="126">
        <v>32</v>
      </c>
      <c r="AX2399" s="126">
        <v>3</v>
      </c>
      <c r="BD2399" s="126" t="s">
        <v>2353</v>
      </c>
      <c r="BE2399" s="126" t="s">
        <v>2837</v>
      </c>
      <c r="BP2399" s="126">
        <v>1.18333333333333</v>
      </c>
      <c r="BQ2399" s="126">
        <v>1.1825000000000001</v>
      </c>
      <c r="BU2399" s="426">
        <f t="shared" si="347"/>
        <v>1.6774647887323992</v>
      </c>
      <c r="BV2399" s="426">
        <f t="shared" si="348"/>
        <v>1.7547568710359407</v>
      </c>
      <c r="BW2399" s="99"/>
      <c r="BX2399" s="99"/>
      <c r="BZ2399" s="126">
        <v>39.700000000000003</v>
      </c>
      <c r="CA2399" s="126">
        <v>41.5</v>
      </c>
      <c r="CD2399" s="126" t="s">
        <v>2095</v>
      </c>
      <c r="CE2399" s="605">
        <v>39.700000000000003</v>
      </c>
      <c r="CF2399" s="605">
        <v>41.5</v>
      </c>
      <c r="CG2399" s="605"/>
      <c r="CH2399" s="605"/>
      <c r="CI2399" s="126" t="s">
        <v>4551</v>
      </c>
      <c r="JB2399" s="126" t="s">
        <v>2392</v>
      </c>
      <c r="JC2399" s="126" t="s">
        <v>2393</v>
      </c>
      <c r="JD2399" s="480"/>
    </row>
    <row r="2400" spans="1:264" s="126" customFormat="1" x14ac:dyDescent="0.25">
      <c r="A2400" s="126">
        <v>111</v>
      </c>
      <c r="B2400" s="478" t="s">
        <v>4297</v>
      </c>
      <c r="C2400" s="126" t="s">
        <v>2376</v>
      </c>
      <c r="D2400" s="126">
        <v>41</v>
      </c>
      <c r="E2400" s="126">
        <v>2011</v>
      </c>
      <c r="F2400" s="126">
        <v>2009</v>
      </c>
      <c r="G2400" s="126" t="s">
        <v>2386</v>
      </c>
      <c r="H2400" s="126" t="s">
        <v>2351</v>
      </c>
      <c r="I2400" s="126" t="s">
        <v>2824</v>
      </c>
      <c r="J2400" s="126">
        <v>-34.115667000000002</v>
      </c>
      <c r="K2400" s="126">
        <v>-63.366039000000001</v>
      </c>
      <c r="L2400" s="126">
        <v>138.6</v>
      </c>
      <c r="N2400" s="126">
        <v>16.8</v>
      </c>
      <c r="P2400" s="126">
        <v>1022</v>
      </c>
      <c r="R2400" s="478" t="s">
        <v>1977</v>
      </c>
      <c r="S2400" s="478" t="s">
        <v>1722</v>
      </c>
      <c r="T2400" s="478"/>
      <c r="U2400" s="126" t="s">
        <v>2355</v>
      </c>
      <c r="V2400" s="478" t="s">
        <v>1379</v>
      </c>
      <c r="W2400" s="478" t="s">
        <v>1715</v>
      </c>
      <c r="X2400" s="478" t="s">
        <v>1379</v>
      </c>
      <c r="Y2400" s="478" t="s">
        <v>1379</v>
      </c>
      <c r="Z2400" s="126">
        <v>1.18333333333333</v>
      </c>
      <c r="AA2400" s="479"/>
      <c r="AC2400" s="126" t="s">
        <v>450</v>
      </c>
      <c r="AG2400" s="478" t="s">
        <v>1352</v>
      </c>
      <c r="AH2400" s="126" t="s">
        <v>2360</v>
      </c>
      <c r="AI2400" s="126" t="s">
        <v>1581</v>
      </c>
      <c r="AJ2400" s="126" t="s">
        <v>132</v>
      </c>
      <c r="AK2400" s="126" t="s">
        <v>132</v>
      </c>
      <c r="AL2400" s="126" t="s">
        <v>2359</v>
      </c>
      <c r="AM2400" s="126" t="s">
        <v>2359</v>
      </c>
      <c r="AU2400" s="126">
        <v>32</v>
      </c>
      <c r="AX2400" s="126">
        <v>3</v>
      </c>
      <c r="BD2400" s="126" t="s">
        <v>2353</v>
      </c>
      <c r="BE2400" s="126" t="s">
        <v>2837</v>
      </c>
      <c r="BP2400" s="126">
        <v>1.18333333333333</v>
      </c>
      <c r="BQ2400" s="126">
        <v>1.1825000000000001</v>
      </c>
      <c r="BU2400" s="426">
        <f t="shared" si="347"/>
        <v>1.7746478873239486</v>
      </c>
      <c r="BV2400" s="426">
        <f t="shared" si="348"/>
        <v>1.9069767441860463</v>
      </c>
      <c r="BW2400" s="99"/>
      <c r="BX2400" s="99"/>
      <c r="BZ2400" s="126">
        <v>42</v>
      </c>
      <c r="CA2400" s="126">
        <v>45.1</v>
      </c>
      <c r="CD2400" s="126" t="s">
        <v>2095</v>
      </c>
      <c r="CE2400" s="605">
        <v>42</v>
      </c>
      <c r="CF2400" s="605">
        <v>45.1</v>
      </c>
      <c r="CG2400" s="605"/>
      <c r="CH2400" s="605"/>
      <c r="CI2400" s="126" t="s">
        <v>4551</v>
      </c>
      <c r="JB2400" s="126" t="s">
        <v>2392</v>
      </c>
      <c r="JC2400" s="126" t="s">
        <v>2393</v>
      </c>
      <c r="JD2400" s="480"/>
    </row>
    <row r="2401" spans="1:264" s="126" customFormat="1" x14ac:dyDescent="0.25">
      <c r="A2401" s="126">
        <v>111</v>
      </c>
      <c r="B2401" s="478" t="s">
        <v>4297</v>
      </c>
      <c r="C2401" s="126" t="s">
        <v>2376</v>
      </c>
      <c r="D2401" s="126">
        <v>41</v>
      </c>
      <c r="E2401" s="126">
        <v>2011</v>
      </c>
      <c r="F2401" s="126">
        <v>2009</v>
      </c>
      <c r="G2401" s="126" t="s">
        <v>2386</v>
      </c>
      <c r="H2401" s="126" t="s">
        <v>2351</v>
      </c>
      <c r="I2401" s="126" t="s">
        <v>2824</v>
      </c>
      <c r="J2401" s="126">
        <v>-34.115667000000002</v>
      </c>
      <c r="K2401" s="126">
        <v>-63.366039000000001</v>
      </c>
      <c r="L2401" s="126">
        <v>138.6</v>
      </c>
      <c r="N2401" s="126">
        <v>16.8</v>
      </c>
      <c r="P2401" s="126">
        <v>1022</v>
      </c>
      <c r="R2401" s="478" t="s">
        <v>1847</v>
      </c>
      <c r="S2401" s="478" t="s">
        <v>1722</v>
      </c>
      <c r="T2401" s="478"/>
      <c r="U2401" s="126" t="s">
        <v>2354</v>
      </c>
      <c r="V2401" s="478" t="s">
        <v>1379</v>
      </c>
      <c r="W2401" s="478" t="s">
        <v>1715</v>
      </c>
      <c r="X2401" s="478" t="s">
        <v>1379</v>
      </c>
      <c r="Y2401" s="478" t="s">
        <v>1379</v>
      </c>
      <c r="Z2401" s="126">
        <v>1.18333333333333</v>
      </c>
      <c r="AA2401" s="479"/>
      <c r="AC2401" s="126" t="s">
        <v>450</v>
      </c>
      <c r="AG2401" s="478" t="s">
        <v>1352</v>
      </c>
      <c r="AH2401" s="126" t="s">
        <v>2360</v>
      </c>
      <c r="AI2401" s="126" t="s">
        <v>1581</v>
      </c>
      <c r="AJ2401" s="126" t="s">
        <v>158</v>
      </c>
      <c r="AK2401" s="126" t="s">
        <v>158</v>
      </c>
      <c r="AL2401" s="126" t="s">
        <v>2359</v>
      </c>
      <c r="AM2401" s="126" t="s">
        <v>2359</v>
      </c>
      <c r="AX2401" s="126">
        <v>3</v>
      </c>
      <c r="BD2401" s="126" t="s">
        <v>2356</v>
      </c>
      <c r="BE2401" s="126" t="s">
        <v>2837</v>
      </c>
      <c r="BP2401" s="126">
        <v>1.18333333333333</v>
      </c>
      <c r="BQ2401" s="126">
        <v>1.1825000000000001</v>
      </c>
      <c r="BU2401" s="426">
        <f t="shared" si="347"/>
        <v>1.6521126760563429</v>
      </c>
      <c r="BV2401" s="426">
        <f t="shared" si="348"/>
        <v>1.7293868921775895</v>
      </c>
      <c r="BW2401" s="99"/>
      <c r="BX2401" s="99"/>
      <c r="BZ2401" s="126">
        <v>39.1</v>
      </c>
      <c r="CA2401" s="126">
        <v>40.9</v>
      </c>
      <c r="CD2401" s="126" t="s">
        <v>2095</v>
      </c>
      <c r="CE2401" s="605">
        <v>39.1</v>
      </c>
      <c r="CF2401" s="605">
        <v>40.9</v>
      </c>
      <c r="CG2401" s="605"/>
      <c r="CH2401" s="605"/>
      <c r="CI2401" s="126" t="s">
        <v>4551</v>
      </c>
      <c r="JB2401" s="126" t="s">
        <v>2392</v>
      </c>
      <c r="JC2401" s="126" t="s">
        <v>2393</v>
      </c>
      <c r="JD2401" s="480"/>
    </row>
    <row r="2402" spans="1:264" s="126" customFormat="1" x14ac:dyDescent="0.25">
      <c r="A2402" s="126">
        <v>111</v>
      </c>
      <c r="B2402" s="478" t="s">
        <v>4297</v>
      </c>
      <c r="C2402" s="126" t="s">
        <v>2376</v>
      </c>
      <c r="D2402" s="126">
        <v>41</v>
      </c>
      <c r="E2402" s="126">
        <v>2011</v>
      </c>
      <c r="F2402" s="126">
        <v>2009</v>
      </c>
      <c r="G2402" s="126" t="s">
        <v>2386</v>
      </c>
      <c r="H2402" s="126" t="s">
        <v>2351</v>
      </c>
      <c r="I2402" s="126" t="s">
        <v>2824</v>
      </c>
      <c r="J2402" s="126">
        <v>-34.115667000000002</v>
      </c>
      <c r="K2402" s="126">
        <v>-63.366039000000001</v>
      </c>
      <c r="L2402" s="126">
        <v>138.6</v>
      </c>
      <c r="N2402" s="126">
        <v>16.8</v>
      </c>
      <c r="P2402" s="126">
        <v>1022</v>
      </c>
      <c r="R2402" s="478" t="s">
        <v>1847</v>
      </c>
      <c r="S2402" s="478" t="s">
        <v>1722</v>
      </c>
      <c r="T2402" s="478"/>
      <c r="U2402" s="126" t="s">
        <v>2357</v>
      </c>
      <c r="V2402" s="478" t="s">
        <v>1379</v>
      </c>
      <c r="W2402" s="478" t="s">
        <v>1715</v>
      </c>
      <c r="X2402" s="478" t="s">
        <v>1379</v>
      </c>
      <c r="Y2402" s="478" t="s">
        <v>1379</v>
      </c>
      <c r="Z2402" s="126">
        <v>1.18333333333333</v>
      </c>
      <c r="AA2402" s="479"/>
      <c r="AC2402" s="126" t="s">
        <v>450</v>
      </c>
      <c r="AG2402" s="478" t="s">
        <v>1352</v>
      </c>
      <c r="AH2402" s="126" t="s">
        <v>2360</v>
      </c>
      <c r="AI2402" s="126" t="s">
        <v>1581</v>
      </c>
      <c r="AJ2402" s="126" t="s">
        <v>158</v>
      </c>
      <c r="AK2402" s="126" t="s">
        <v>158</v>
      </c>
      <c r="AL2402" s="126" t="s">
        <v>2359</v>
      </c>
      <c r="AM2402" s="126" t="s">
        <v>2359</v>
      </c>
      <c r="AX2402" s="126">
        <v>3</v>
      </c>
      <c r="BD2402" s="126" t="s">
        <v>2356</v>
      </c>
      <c r="BE2402" s="126" t="s">
        <v>2837</v>
      </c>
      <c r="BP2402" s="126">
        <v>1.18333333333333</v>
      </c>
      <c r="BQ2402" s="126">
        <v>1.1825000000000001</v>
      </c>
      <c r="BU2402" s="426">
        <f t="shared" si="347"/>
        <v>1.6859154929577513</v>
      </c>
      <c r="BV2402" s="426">
        <f t="shared" si="348"/>
        <v>1.720930232558139</v>
      </c>
      <c r="BW2402" s="99"/>
      <c r="BX2402" s="99"/>
      <c r="BZ2402" s="126">
        <v>39.9</v>
      </c>
      <c r="CA2402" s="126">
        <v>40.700000000000003</v>
      </c>
      <c r="CD2402" s="126" t="s">
        <v>2095</v>
      </c>
      <c r="CE2402" s="605">
        <v>39.9</v>
      </c>
      <c r="CF2402" s="605">
        <v>40.700000000000003</v>
      </c>
      <c r="CG2402" s="605"/>
      <c r="CH2402" s="605"/>
      <c r="CI2402" s="126" t="s">
        <v>4551</v>
      </c>
      <c r="JB2402" s="126" t="s">
        <v>2392</v>
      </c>
      <c r="JC2402" s="126" t="s">
        <v>2393</v>
      </c>
      <c r="JD2402" s="480"/>
    </row>
    <row r="2403" spans="1:264" s="126" customFormat="1" x14ac:dyDescent="0.25">
      <c r="A2403" s="126">
        <v>111</v>
      </c>
      <c r="B2403" s="478" t="s">
        <v>4297</v>
      </c>
      <c r="C2403" s="126" t="s">
        <v>2376</v>
      </c>
      <c r="D2403" s="126">
        <v>41</v>
      </c>
      <c r="E2403" s="126">
        <v>2011</v>
      </c>
      <c r="F2403" s="126">
        <v>2009</v>
      </c>
      <c r="G2403" s="126" t="s">
        <v>2386</v>
      </c>
      <c r="H2403" s="126" t="s">
        <v>2351</v>
      </c>
      <c r="I2403" s="126" t="s">
        <v>2824</v>
      </c>
      <c r="J2403" s="126">
        <v>-34.115667000000002</v>
      </c>
      <c r="K2403" s="126">
        <v>-63.366039000000001</v>
      </c>
      <c r="L2403" s="126">
        <v>138.6</v>
      </c>
      <c r="N2403" s="126">
        <v>16.8</v>
      </c>
      <c r="P2403" s="126">
        <v>1022</v>
      </c>
      <c r="R2403" s="478" t="s">
        <v>1977</v>
      </c>
      <c r="S2403" s="478" t="s">
        <v>1722</v>
      </c>
      <c r="T2403" s="478"/>
      <c r="U2403" s="126" t="s">
        <v>2354</v>
      </c>
      <c r="V2403" s="478" t="s">
        <v>1379</v>
      </c>
      <c r="W2403" s="478" t="s">
        <v>1715</v>
      </c>
      <c r="X2403" s="478" t="s">
        <v>1379</v>
      </c>
      <c r="Y2403" s="478" t="s">
        <v>1379</v>
      </c>
      <c r="Z2403" s="126">
        <v>1.18333333333333</v>
      </c>
      <c r="AA2403" s="479"/>
      <c r="AC2403" s="126" t="s">
        <v>450</v>
      </c>
      <c r="AG2403" s="478" t="s">
        <v>1352</v>
      </c>
      <c r="AH2403" s="126" t="s">
        <v>2230</v>
      </c>
      <c r="AI2403" s="126" t="s">
        <v>1129</v>
      </c>
      <c r="AJ2403" s="126" t="s">
        <v>132</v>
      </c>
      <c r="AK2403" s="126" t="s">
        <v>132</v>
      </c>
      <c r="AL2403" s="126" t="s">
        <v>2359</v>
      </c>
      <c r="AM2403" s="126" t="s">
        <v>2359</v>
      </c>
      <c r="AU2403" s="126">
        <v>32</v>
      </c>
      <c r="AX2403" s="126">
        <v>3</v>
      </c>
      <c r="BD2403" s="126" t="s">
        <v>2353</v>
      </c>
      <c r="BE2403" s="126" t="s">
        <v>2837</v>
      </c>
      <c r="BP2403" s="126">
        <v>1.18333333333333</v>
      </c>
      <c r="BQ2403" s="126">
        <v>1.1825000000000001</v>
      </c>
      <c r="BU2403" s="426">
        <f t="shared" si="347"/>
        <v>1.6774647887323992</v>
      </c>
      <c r="BV2403" s="426">
        <f t="shared" si="348"/>
        <v>1.7547568710359407</v>
      </c>
      <c r="BW2403" s="99"/>
      <c r="BX2403" s="99"/>
      <c r="BZ2403" s="126">
        <v>39.700000000000003</v>
      </c>
      <c r="CA2403" s="126">
        <v>41.5</v>
      </c>
      <c r="CD2403" s="126" t="s">
        <v>2095</v>
      </c>
      <c r="CE2403" s="605">
        <v>39.700000000000003</v>
      </c>
      <c r="CF2403" s="605">
        <v>41.5</v>
      </c>
      <c r="CG2403" s="605"/>
      <c r="CH2403" s="605"/>
      <c r="CI2403" s="126" t="s">
        <v>4551</v>
      </c>
      <c r="JB2403" s="126" t="s">
        <v>2392</v>
      </c>
      <c r="JC2403" s="126" t="s">
        <v>2393</v>
      </c>
      <c r="JD2403" s="480"/>
    </row>
    <row r="2404" spans="1:264" s="126" customFormat="1" x14ac:dyDescent="0.25">
      <c r="A2404" s="126">
        <v>111</v>
      </c>
      <c r="B2404" s="478" t="s">
        <v>4297</v>
      </c>
      <c r="C2404" s="126" t="s">
        <v>2376</v>
      </c>
      <c r="D2404" s="126">
        <v>41</v>
      </c>
      <c r="E2404" s="126">
        <v>2011</v>
      </c>
      <c r="F2404" s="126">
        <v>2009</v>
      </c>
      <c r="G2404" s="126" t="s">
        <v>2386</v>
      </c>
      <c r="H2404" s="126" t="s">
        <v>2351</v>
      </c>
      <c r="I2404" s="126" t="s">
        <v>2824</v>
      </c>
      <c r="J2404" s="126">
        <v>-34.115667000000002</v>
      </c>
      <c r="K2404" s="126">
        <v>-63.366039000000001</v>
      </c>
      <c r="L2404" s="126">
        <v>138.6</v>
      </c>
      <c r="N2404" s="126">
        <v>16.8</v>
      </c>
      <c r="P2404" s="126">
        <v>1022</v>
      </c>
      <c r="R2404" s="478" t="s">
        <v>1977</v>
      </c>
      <c r="S2404" s="478" t="s">
        <v>1722</v>
      </c>
      <c r="T2404" s="478"/>
      <c r="U2404" s="126" t="s">
        <v>2355</v>
      </c>
      <c r="V2404" s="478" t="s">
        <v>1379</v>
      </c>
      <c r="W2404" s="478" t="s">
        <v>1715</v>
      </c>
      <c r="X2404" s="478" t="s">
        <v>1379</v>
      </c>
      <c r="Y2404" s="478" t="s">
        <v>1379</v>
      </c>
      <c r="Z2404" s="126">
        <v>1.18333333333333</v>
      </c>
      <c r="AA2404" s="479"/>
      <c r="AC2404" s="126" t="s">
        <v>450</v>
      </c>
      <c r="AG2404" s="478" t="s">
        <v>1352</v>
      </c>
      <c r="AH2404" s="126" t="s">
        <v>2230</v>
      </c>
      <c r="AI2404" s="126" t="s">
        <v>1129</v>
      </c>
      <c r="AJ2404" s="126" t="s">
        <v>132</v>
      </c>
      <c r="AK2404" s="126" t="s">
        <v>132</v>
      </c>
      <c r="AL2404" s="126" t="s">
        <v>2359</v>
      </c>
      <c r="AM2404" s="126" t="s">
        <v>2359</v>
      </c>
      <c r="AU2404" s="126">
        <v>32</v>
      </c>
      <c r="AX2404" s="126">
        <v>3</v>
      </c>
      <c r="BD2404" s="126" t="s">
        <v>2353</v>
      </c>
      <c r="BE2404" s="126" t="s">
        <v>2837</v>
      </c>
      <c r="BP2404" s="126">
        <v>1.18333333333333</v>
      </c>
      <c r="BQ2404" s="126">
        <v>1.1825000000000001</v>
      </c>
      <c r="BU2404" s="426">
        <f t="shared" si="347"/>
        <v>1.7746478873239486</v>
      </c>
      <c r="BV2404" s="426">
        <f t="shared" si="348"/>
        <v>1.8097251585623677</v>
      </c>
      <c r="BW2404" s="99"/>
      <c r="BX2404" s="99"/>
      <c r="BZ2404" s="126">
        <v>42</v>
      </c>
      <c r="CA2404" s="126">
        <v>42.8</v>
      </c>
      <c r="CD2404" s="126" t="s">
        <v>2095</v>
      </c>
      <c r="CE2404" s="605">
        <v>42</v>
      </c>
      <c r="CF2404" s="605">
        <v>42.8</v>
      </c>
      <c r="CG2404" s="605"/>
      <c r="CH2404" s="605"/>
      <c r="CI2404" s="126" t="s">
        <v>4551</v>
      </c>
      <c r="JB2404" s="126" t="s">
        <v>2392</v>
      </c>
      <c r="JC2404" s="126" t="s">
        <v>2393</v>
      </c>
      <c r="JD2404" s="480"/>
    </row>
    <row r="2405" spans="1:264" s="126" customFormat="1" x14ac:dyDescent="0.25">
      <c r="A2405" s="126">
        <v>111</v>
      </c>
      <c r="B2405" s="478" t="s">
        <v>4297</v>
      </c>
      <c r="C2405" s="126" t="s">
        <v>2376</v>
      </c>
      <c r="D2405" s="126">
        <v>41</v>
      </c>
      <c r="E2405" s="126">
        <v>2011</v>
      </c>
      <c r="F2405" s="126">
        <v>2009</v>
      </c>
      <c r="G2405" s="126" t="s">
        <v>2386</v>
      </c>
      <c r="H2405" s="126" t="s">
        <v>2351</v>
      </c>
      <c r="I2405" s="126" t="s">
        <v>2824</v>
      </c>
      <c r="J2405" s="126">
        <v>-34.115667000000002</v>
      </c>
      <c r="K2405" s="126">
        <v>-63.366039000000001</v>
      </c>
      <c r="L2405" s="126">
        <v>138.6</v>
      </c>
      <c r="N2405" s="126">
        <v>16.8</v>
      </c>
      <c r="P2405" s="126">
        <v>1022</v>
      </c>
      <c r="R2405" s="478" t="s">
        <v>1847</v>
      </c>
      <c r="S2405" s="478" t="s">
        <v>1722</v>
      </c>
      <c r="T2405" s="478"/>
      <c r="U2405" s="126" t="s">
        <v>2354</v>
      </c>
      <c r="V2405" s="478" t="s">
        <v>1379</v>
      </c>
      <c r="W2405" s="478" t="s">
        <v>1715</v>
      </c>
      <c r="X2405" s="478" t="s">
        <v>1379</v>
      </c>
      <c r="Y2405" s="478" t="s">
        <v>1379</v>
      </c>
      <c r="Z2405" s="126">
        <v>1.18333333333333</v>
      </c>
      <c r="AA2405" s="479"/>
      <c r="AC2405" s="126" t="s">
        <v>450</v>
      </c>
      <c r="AG2405" s="478" t="s">
        <v>1352</v>
      </c>
      <c r="AH2405" s="126" t="s">
        <v>2230</v>
      </c>
      <c r="AI2405" s="126" t="s">
        <v>1129</v>
      </c>
      <c r="AJ2405" s="126" t="s">
        <v>158</v>
      </c>
      <c r="AK2405" s="126" t="s">
        <v>158</v>
      </c>
      <c r="AL2405" s="126" t="s">
        <v>2359</v>
      </c>
      <c r="AM2405" s="126" t="s">
        <v>2359</v>
      </c>
      <c r="AX2405" s="126">
        <v>3</v>
      </c>
      <c r="BD2405" s="126" t="s">
        <v>2356</v>
      </c>
      <c r="BE2405" s="126" t="s">
        <v>2837</v>
      </c>
      <c r="BP2405" s="126">
        <v>1.18333333333333</v>
      </c>
      <c r="BQ2405" s="126">
        <v>1.1825000000000001</v>
      </c>
      <c r="BU2405" s="426">
        <f t="shared" si="347"/>
        <v>1.6521126760563429</v>
      </c>
      <c r="BV2405" s="426">
        <f t="shared" si="348"/>
        <v>1.691331923890063</v>
      </c>
      <c r="BW2405" s="99"/>
      <c r="BX2405" s="99"/>
      <c r="BZ2405" s="126">
        <v>39.1</v>
      </c>
      <c r="CA2405" s="126">
        <v>40</v>
      </c>
      <c r="CD2405" s="126" t="s">
        <v>2095</v>
      </c>
      <c r="CE2405" s="605">
        <v>39.1</v>
      </c>
      <c r="CF2405" s="605">
        <v>40</v>
      </c>
      <c r="CG2405" s="605"/>
      <c r="CH2405" s="605"/>
      <c r="CI2405" s="126" t="s">
        <v>4551</v>
      </c>
      <c r="JB2405" s="126" t="s">
        <v>2392</v>
      </c>
      <c r="JC2405" s="126" t="s">
        <v>2393</v>
      </c>
      <c r="JD2405" s="480"/>
    </row>
    <row r="2406" spans="1:264" s="126" customFormat="1" x14ac:dyDescent="0.25">
      <c r="A2406" s="126">
        <v>111</v>
      </c>
      <c r="B2406" s="478" t="s">
        <v>4297</v>
      </c>
      <c r="C2406" s="126" t="s">
        <v>2376</v>
      </c>
      <c r="D2406" s="126">
        <v>41</v>
      </c>
      <c r="E2406" s="126">
        <v>2011</v>
      </c>
      <c r="F2406" s="126">
        <v>2009</v>
      </c>
      <c r="G2406" s="126" t="s">
        <v>2386</v>
      </c>
      <c r="H2406" s="126" t="s">
        <v>2351</v>
      </c>
      <c r="I2406" s="126" t="s">
        <v>2824</v>
      </c>
      <c r="J2406" s="126">
        <v>-34.115667000000002</v>
      </c>
      <c r="K2406" s="126">
        <v>-63.366039000000001</v>
      </c>
      <c r="L2406" s="126">
        <v>138.6</v>
      </c>
      <c r="N2406" s="126">
        <v>16.8</v>
      </c>
      <c r="P2406" s="126">
        <v>1022</v>
      </c>
      <c r="R2406" s="478" t="s">
        <v>1847</v>
      </c>
      <c r="S2406" s="478" t="s">
        <v>1722</v>
      </c>
      <c r="T2406" s="478"/>
      <c r="U2406" s="126" t="s">
        <v>2357</v>
      </c>
      <c r="V2406" s="478" t="s">
        <v>1379</v>
      </c>
      <c r="W2406" s="478" t="s">
        <v>1715</v>
      </c>
      <c r="X2406" s="478" t="s">
        <v>1379</v>
      </c>
      <c r="Y2406" s="478" t="s">
        <v>1379</v>
      </c>
      <c r="Z2406" s="126">
        <v>1.18333333333333</v>
      </c>
      <c r="AA2406" s="479"/>
      <c r="AC2406" s="126" t="s">
        <v>450</v>
      </c>
      <c r="AG2406" s="478" t="s">
        <v>1352</v>
      </c>
      <c r="AH2406" s="126" t="s">
        <v>2230</v>
      </c>
      <c r="AI2406" s="126" t="s">
        <v>1129</v>
      </c>
      <c r="AJ2406" s="126" t="s">
        <v>158</v>
      </c>
      <c r="AK2406" s="126" t="s">
        <v>158</v>
      </c>
      <c r="AL2406" s="126" t="s">
        <v>2359</v>
      </c>
      <c r="AM2406" s="126" t="s">
        <v>2359</v>
      </c>
      <c r="AX2406" s="126">
        <v>3</v>
      </c>
      <c r="BD2406" s="126" t="s">
        <v>2356</v>
      </c>
      <c r="BE2406" s="126" t="s">
        <v>2837</v>
      </c>
      <c r="BP2406" s="126">
        <v>1.18333333333333</v>
      </c>
      <c r="BQ2406" s="126">
        <v>1.1825000000000001</v>
      </c>
      <c r="BU2406" s="426">
        <f t="shared" si="347"/>
        <v>1.6859154929577513</v>
      </c>
      <c r="BV2406" s="426">
        <f t="shared" si="348"/>
        <v>1.7040169133192384</v>
      </c>
      <c r="BW2406" s="99"/>
      <c r="BX2406" s="99"/>
      <c r="BZ2406" s="126">
        <v>39.9</v>
      </c>
      <c r="CA2406" s="126">
        <v>40.299999999999997</v>
      </c>
      <c r="CD2406" s="126" t="s">
        <v>2095</v>
      </c>
      <c r="CE2406" s="605">
        <v>39.9</v>
      </c>
      <c r="CF2406" s="605">
        <v>40.299999999999997</v>
      </c>
      <c r="CG2406" s="605"/>
      <c r="CH2406" s="605"/>
      <c r="CI2406" s="126" t="s">
        <v>4551</v>
      </c>
      <c r="JB2406" s="126" t="s">
        <v>2392</v>
      </c>
      <c r="JC2406" s="126" t="s">
        <v>2393</v>
      </c>
      <c r="JD2406" s="480"/>
    </row>
    <row r="2407" spans="1:264" s="126" customFormat="1" x14ac:dyDescent="0.25">
      <c r="A2407" s="126">
        <v>111</v>
      </c>
      <c r="B2407" s="478" t="s">
        <v>4297</v>
      </c>
      <c r="C2407" s="126" t="s">
        <v>2376</v>
      </c>
      <c r="D2407" s="126">
        <v>41</v>
      </c>
      <c r="E2407" s="126">
        <v>2011</v>
      </c>
      <c r="F2407" s="126">
        <v>2009</v>
      </c>
      <c r="G2407" s="126" t="s">
        <v>2386</v>
      </c>
      <c r="H2407" s="126" t="s">
        <v>2351</v>
      </c>
      <c r="I2407" s="126" t="s">
        <v>2824</v>
      </c>
      <c r="J2407" s="126">
        <v>-34.115667000000002</v>
      </c>
      <c r="K2407" s="126">
        <v>-63.366039000000001</v>
      </c>
      <c r="L2407" s="126">
        <v>138.6</v>
      </c>
      <c r="N2407" s="126">
        <v>16.8</v>
      </c>
      <c r="P2407" s="126">
        <v>1022</v>
      </c>
      <c r="R2407" s="478" t="s">
        <v>1977</v>
      </c>
      <c r="S2407" s="478" t="s">
        <v>1722</v>
      </c>
      <c r="T2407" s="478"/>
      <c r="U2407" s="126" t="s">
        <v>2354</v>
      </c>
      <c r="V2407" s="478" t="s">
        <v>1379</v>
      </c>
      <c r="W2407" s="478" t="s">
        <v>1715</v>
      </c>
      <c r="X2407" s="478" t="s">
        <v>1379</v>
      </c>
      <c r="Y2407" s="478" t="s">
        <v>1379</v>
      </c>
      <c r="Z2407" s="126">
        <v>1.18333333333333</v>
      </c>
      <c r="AA2407" s="479"/>
      <c r="AC2407" s="126" t="s">
        <v>450</v>
      </c>
      <c r="AG2407" s="478" t="s">
        <v>1352</v>
      </c>
      <c r="AH2407" s="126" t="s">
        <v>4554</v>
      </c>
      <c r="AI2407" s="126" t="s">
        <v>1129</v>
      </c>
      <c r="AJ2407" s="126" t="s">
        <v>132</v>
      </c>
      <c r="AK2407" s="126" t="s">
        <v>132</v>
      </c>
      <c r="AL2407" s="126" t="s">
        <v>2359</v>
      </c>
      <c r="AM2407" s="126" t="s">
        <v>2359</v>
      </c>
      <c r="AU2407" s="126">
        <v>32</v>
      </c>
      <c r="AX2407" s="126">
        <v>3</v>
      </c>
      <c r="BD2407" s="126" t="s">
        <v>2353</v>
      </c>
      <c r="BE2407" s="126" t="s">
        <v>2837</v>
      </c>
      <c r="BP2407" s="126">
        <v>1.18333333333333</v>
      </c>
      <c r="BQ2407" s="126">
        <v>1.1825000000000001</v>
      </c>
      <c r="BU2407" s="426">
        <f t="shared" si="347"/>
        <v>1.6774647887323992</v>
      </c>
      <c r="BV2407" s="426">
        <f t="shared" si="348"/>
        <v>1.8224101479915429</v>
      </c>
      <c r="BW2407" s="99"/>
      <c r="BX2407" s="99"/>
      <c r="BZ2407" s="126">
        <v>39.700000000000003</v>
      </c>
      <c r="CA2407" s="126">
        <v>43.1</v>
      </c>
      <c r="CD2407" s="126" t="s">
        <v>2095</v>
      </c>
      <c r="CE2407" s="605">
        <v>39.700000000000003</v>
      </c>
      <c r="CF2407" s="605">
        <v>43.1</v>
      </c>
      <c r="CG2407" s="605"/>
      <c r="CH2407" s="605"/>
      <c r="CI2407" s="126" t="s">
        <v>4551</v>
      </c>
      <c r="JB2407" s="126" t="s">
        <v>2392</v>
      </c>
      <c r="JC2407" s="126" t="s">
        <v>2393</v>
      </c>
      <c r="JD2407" s="480"/>
    </row>
    <row r="2408" spans="1:264" s="126" customFormat="1" x14ac:dyDescent="0.25">
      <c r="A2408" s="126">
        <v>111</v>
      </c>
      <c r="B2408" s="478" t="s">
        <v>4297</v>
      </c>
      <c r="C2408" s="126" t="s">
        <v>2376</v>
      </c>
      <c r="D2408" s="126">
        <v>41</v>
      </c>
      <c r="E2408" s="126">
        <v>2011</v>
      </c>
      <c r="F2408" s="126">
        <v>2009</v>
      </c>
      <c r="G2408" s="126" t="s">
        <v>2386</v>
      </c>
      <c r="H2408" s="126" t="s">
        <v>2351</v>
      </c>
      <c r="I2408" s="126" t="s">
        <v>2824</v>
      </c>
      <c r="J2408" s="126">
        <v>-34.115667000000002</v>
      </c>
      <c r="K2408" s="126">
        <v>-63.366039000000001</v>
      </c>
      <c r="L2408" s="126">
        <v>138.6</v>
      </c>
      <c r="N2408" s="126">
        <v>16.8</v>
      </c>
      <c r="P2408" s="126">
        <v>1022</v>
      </c>
      <c r="R2408" s="478" t="s">
        <v>1977</v>
      </c>
      <c r="S2408" s="478" t="s">
        <v>1722</v>
      </c>
      <c r="T2408" s="478"/>
      <c r="U2408" s="126" t="s">
        <v>2355</v>
      </c>
      <c r="V2408" s="478" t="s">
        <v>1379</v>
      </c>
      <c r="W2408" s="478" t="s">
        <v>1715</v>
      </c>
      <c r="X2408" s="478" t="s">
        <v>1379</v>
      </c>
      <c r="Y2408" s="478" t="s">
        <v>1379</v>
      </c>
      <c r="Z2408" s="126">
        <v>1.18333333333333</v>
      </c>
      <c r="AA2408" s="479"/>
      <c r="AC2408" s="126" t="s">
        <v>450</v>
      </c>
      <c r="AG2408" s="478" t="s">
        <v>1352</v>
      </c>
      <c r="AH2408" s="126" t="s">
        <v>4554</v>
      </c>
      <c r="AI2408" s="126" t="s">
        <v>1129</v>
      </c>
      <c r="AJ2408" s="126" t="s">
        <v>132</v>
      </c>
      <c r="AK2408" s="126" t="s">
        <v>132</v>
      </c>
      <c r="AL2408" s="126" t="s">
        <v>2359</v>
      </c>
      <c r="AM2408" s="126" t="s">
        <v>2359</v>
      </c>
      <c r="AU2408" s="126">
        <v>32</v>
      </c>
      <c r="AX2408" s="126">
        <v>3</v>
      </c>
      <c r="BD2408" s="126" t="s">
        <v>2353</v>
      </c>
      <c r="BE2408" s="126" t="s">
        <v>2837</v>
      </c>
      <c r="BP2408" s="126">
        <v>1.18333333333333</v>
      </c>
      <c r="BQ2408" s="126">
        <v>1.1825000000000001</v>
      </c>
      <c r="BU2408" s="426">
        <f t="shared" si="347"/>
        <v>1.7746478873239486</v>
      </c>
      <c r="BV2408" s="426">
        <f t="shared" si="348"/>
        <v>1.7885835095137419</v>
      </c>
      <c r="BW2408" s="99"/>
      <c r="BX2408" s="99"/>
      <c r="BZ2408" s="126">
        <v>42</v>
      </c>
      <c r="CA2408" s="126">
        <v>42.3</v>
      </c>
      <c r="CD2408" s="126" t="s">
        <v>2095</v>
      </c>
      <c r="CE2408" s="605">
        <v>42</v>
      </c>
      <c r="CF2408" s="605">
        <v>42.3</v>
      </c>
      <c r="CG2408" s="605"/>
      <c r="CH2408" s="605"/>
      <c r="CI2408" s="126" t="s">
        <v>4551</v>
      </c>
      <c r="JB2408" s="126" t="s">
        <v>2392</v>
      </c>
      <c r="JC2408" s="126" t="s">
        <v>2393</v>
      </c>
      <c r="JD2408" s="480"/>
    </row>
    <row r="2409" spans="1:264" s="126" customFormat="1" x14ac:dyDescent="0.25">
      <c r="A2409" s="126">
        <v>111</v>
      </c>
      <c r="B2409" s="478" t="s">
        <v>4297</v>
      </c>
      <c r="C2409" s="126" t="s">
        <v>2376</v>
      </c>
      <c r="D2409" s="126">
        <v>41</v>
      </c>
      <c r="E2409" s="126">
        <v>2011</v>
      </c>
      <c r="F2409" s="126">
        <v>2009</v>
      </c>
      <c r="G2409" s="126" t="s">
        <v>2386</v>
      </c>
      <c r="H2409" s="126" t="s">
        <v>2351</v>
      </c>
      <c r="I2409" s="126" t="s">
        <v>2824</v>
      </c>
      <c r="J2409" s="126">
        <v>-34.115667000000002</v>
      </c>
      <c r="K2409" s="126">
        <v>-63.366039000000001</v>
      </c>
      <c r="L2409" s="126">
        <v>138.6</v>
      </c>
      <c r="N2409" s="126">
        <v>16.8</v>
      </c>
      <c r="P2409" s="126">
        <v>1022</v>
      </c>
      <c r="R2409" s="478" t="s">
        <v>1847</v>
      </c>
      <c r="S2409" s="478" t="s">
        <v>1722</v>
      </c>
      <c r="T2409" s="478"/>
      <c r="U2409" s="126" t="s">
        <v>2354</v>
      </c>
      <c r="V2409" s="478" t="s">
        <v>1379</v>
      </c>
      <c r="W2409" s="478" t="s">
        <v>1715</v>
      </c>
      <c r="X2409" s="478" t="s">
        <v>1379</v>
      </c>
      <c r="Y2409" s="478" t="s">
        <v>1379</v>
      </c>
      <c r="Z2409" s="126">
        <v>1.18333333333333</v>
      </c>
      <c r="AA2409" s="479"/>
      <c r="AC2409" s="126" t="s">
        <v>450</v>
      </c>
      <c r="AG2409" s="478" t="s">
        <v>1352</v>
      </c>
      <c r="AH2409" s="126" t="s">
        <v>4554</v>
      </c>
      <c r="AI2409" s="126" t="s">
        <v>1129</v>
      </c>
      <c r="AJ2409" s="126" t="s">
        <v>158</v>
      </c>
      <c r="AK2409" s="126" t="s">
        <v>158</v>
      </c>
      <c r="AL2409" s="126" t="s">
        <v>2359</v>
      </c>
      <c r="AM2409" s="126" t="s">
        <v>2359</v>
      </c>
      <c r="AX2409" s="126">
        <v>3</v>
      </c>
      <c r="BD2409" s="126" t="s">
        <v>2356</v>
      </c>
      <c r="BE2409" s="126" t="s">
        <v>2837</v>
      </c>
      <c r="BP2409" s="126">
        <v>1.18333333333333</v>
      </c>
      <c r="BQ2409" s="126">
        <v>1.1825000000000001</v>
      </c>
      <c r="BU2409" s="426">
        <f t="shared" si="347"/>
        <v>1.6521126760563429</v>
      </c>
      <c r="BV2409" s="426">
        <f t="shared" si="348"/>
        <v>1.6490486257928114</v>
      </c>
      <c r="BW2409" s="99"/>
      <c r="BX2409" s="99"/>
      <c r="BZ2409" s="126">
        <v>39.1</v>
      </c>
      <c r="CA2409" s="126">
        <v>39</v>
      </c>
      <c r="CD2409" s="126" t="s">
        <v>2095</v>
      </c>
      <c r="CE2409" s="605">
        <v>39.1</v>
      </c>
      <c r="CF2409" s="605">
        <v>39</v>
      </c>
      <c r="CG2409" s="605"/>
      <c r="CH2409" s="605"/>
      <c r="CI2409" s="126" t="s">
        <v>4551</v>
      </c>
      <c r="JB2409" s="126" t="s">
        <v>2392</v>
      </c>
      <c r="JC2409" s="126" t="s">
        <v>2393</v>
      </c>
      <c r="JD2409" s="480"/>
    </row>
    <row r="2410" spans="1:264" s="126" customFormat="1" x14ac:dyDescent="0.25">
      <c r="A2410" s="126">
        <v>111</v>
      </c>
      <c r="B2410" s="478" t="s">
        <v>4297</v>
      </c>
      <c r="C2410" s="126" t="s">
        <v>2376</v>
      </c>
      <c r="D2410" s="126">
        <v>41</v>
      </c>
      <c r="E2410" s="126">
        <v>2011</v>
      </c>
      <c r="F2410" s="126">
        <v>2009</v>
      </c>
      <c r="G2410" s="126" t="s">
        <v>2386</v>
      </c>
      <c r="H2410" s="126" t="s">
        <v>2351</v>
      </c>
      <c r="I2410" s="126" t="s">
        <v>2824</v>
      </c>
      <c r="J2410" s="126">
        <v>-34.115667000000002</v>
      </c>
      <c r="K2410" s="126">
        <v>-63.366039000000001</v>
      </c>
      <c r="L2410" s="126">
        <v>138.6</v>
      </c>
      <c r="N2410" s="126">
        <v>16.8</v>
      </c>
      <c r="P2410" s="126">
        <v>1022</v>
      </c>
      <c r="R2410" s="478" t="s">
        <v>1847</v>
      </c>
      <c r="S2410" s="478" t="s">
        <v>1722</v>
      </c>
      <c r="T2410" s="478"/>
      <c r="U2410" s="126" t="s">
        <v>2357</v>
      </c>
      <c r="V2410" s="478" t="s">
        <v>1379</v>
      </c>
      <c r="W2410" s="478" t="s">
        <v>1715</v>
      </c>
      <c r="X2410" s="478" t="s">
        <v>1379</v>
      </c>
      <c r="Y2410" s="478" t="s">
        <v>1379</v>
      </c>
      <c r="Z2410" s="126">
        <v>1.18333333333333</v>
      </c>
      <c r="AA2410" s="479"/>
      <c r="AC2410" s="126" t="s">
        <v>450</v>
      </c>
      <c r="AG2410" s="478" t="s">
        <v>1352</v>
      </c>
      <c r="AH2410" s="126" t="s">
        <v>4554</v>
      </c>
      <c r="AI2410" s="126" t="s">
        <v>1129</v>
      </c>
      <c r="AJ2410" s="126" t="s">
        <v>158</v>
      </c>
      <c r="AK2410" s="126" t="s">
        <v>158</v>
      </c>
      <c r="AL2410" s="126" t="s">
        <v>2359</v>
      </c>
      <c r="AM2410" s="126" t="s">
        <v>2359</v>
      </c>
      <c r="AX2410" s="126">
        <v>3</v>
      </c>
      <c r="BD2410" s="126" t="s">
        <v>2356</v>
      </c>
      <c r="BE2410" s="126" t="s">
        <v>2837</v>
      </c>
      <c r="BP2410" s="126">
        <v>1.18333333333333</v>
      </c>
      <c r="BQ2410" s="126">
        <v>1.1825000000000001</v>
      </c>
      <c r="BU2410" s="426">
        <f t="shared" si="347"/>
        <v>1.6859154929577513</v>
      </c>
      <c r="BV2410" s="426">
        <f t="shared" si="348"/>
        <v>1.7040169133192384</v>
      </c>
      <c r="BW2410" s="99"/>
      <c r="BX2410" s="99"/>
      <c r="BZ2410" s="126">
        <v>39.9</v>
      </c>
      <c r="CA2410" s="126">
        <v>40.299999999999997</v>
      </c>
      <c r="CD2410" s="126" t="s">
        <v>2095</v>
      </c>
      <c r="CE2410" s="605">
        <v>39.9</v>
      </c>
      <c r="CF2410" s="605">
        <v>40.299999999999997</v>
      </c>
      <c r="CG2410" s="605"/>
      <c r="CH2410" s="605"/>
      <c r="CI2410" s="126" t="s">
        <v>4551</v>
      </c>
      <c r="JB2410" s="126" t="s">
        <v>2392</v>
      </c>
      <c r="JC2410" s="126" t="s">
        <v>2393</v>
      </c>
      <c r="JD2410" s="480"/>
    </row>
    <row r="2411" spans="1:264" s="126" customFormat="1" x14ac:dyDescent="0.25">
      <c r="A2411" s="126">
        <v>111</v>
      </c>
      <c r="B2411" s="478" t="s">
        <v>4297</v>
      </c>
      <c r="C2411" s="126" t="s">
        <v>2376</v>
      </c>
      <c r="D2411" s="126">
        <v>41</v>
      </c>
      <c r="E2411" s="126">
        <v>2011</v>
      </c>
      <c r="F2411" s="126">
        <v>2009</v>
      </c>
      <c r="G2411" s="126" t="s">
        <v>2386</v>
      </c>
      <c r="H2411" s="126" t="s">
        <v>2351</v>
      </c>
      <c r="I2411" s="126" t="s">
        <v>2824</v>
      </c>
      <c r="J2411" s="126">
        <v>-34.115667000000002</v>
      </c>
      <c r="K2411" s="126">
        <v>-63.366039000000001</v>
      </c>
      <c r="L2411" s="126">
        <v>138.6</v>
      </c>
      <c r="N2411" s="126">
        <v>16.8</v>
      </c>
      <c r="P2411" s="126">
        <v>1022</v>
      </c>
      <c r="R2411" s="478" t="s">
        <v>1977</v>
      </c>
      <c r="S2411" s="478" t="s">
        <v>1722</v>
      </c>
      <c r="T2411" s="478"/>
      <c r="U2411" s="126" t="s">
        <v>2354</v>
      </c>
      <c r="V2411" s="478" t="s">
        <v>1379</v>
      </c>
      <c r="W2411" s="478" t="s">
        <v>1715</v>
      </c>
      <c r="X2411" s="478" t="s">
        <v>1379</v>
      </c>
      <c r="Y2411" s="478" t="s">
        <v>1379</v>
      </c>
      <c r="Z2411" s="126">
        <v>1.18333333333333</v>
      </c>
      <c r="AA2411" s="479"/>
      <c r="AC2411" s="126" t="s">
        <v>450</v>
      </c>
      <c r="AG2411" s="478" t="s">
        <v>1352</v>
      </c>
      <c r="AH2411" s="126" t="s">
        <v>2348</v>
      </c>
      <c r="AI2411" s="126" t="s">
        <v>131</v>
      </c>
      <c r="AJ2411" s="126" t="s">
        <v>132</v>
      </c>
      <c r="AK2411" s="126" t="s">
        <v>132</v>
      </c>
      <c r="AL2411" s="126" t="s">
        <v>2359</v>
      </c>
      <c r="AM2411" s="126" t="s">
        <v>2359</v>
      </c>
      <c r="AU2411" s="126">
        <v>32</v>
      </c>
      <c r="AX2411" s="126">
        <v>3</v>
      </c>
      <c r="BD2411" s="126" t="s">
        <v>2353</v>
      </c>
      <c r="BE2411" s="126" t="s">
        <v>2837</v>
      </c>
      <c r="BP2411" s="126">
        <v>1.18333333333333</v>
      </c>
      <c r="BQ2411" s="126">
        <v>1.1825000000000001</v>
      </c>
      <c r="BU2411" s="426">
        <f t="shared" si="347"/>
        <v>1.6774647887323992</v>
      </c>
      <c r="BV2411" s="426">
        <f t="shared" si="348"/>
        <v>1.7758985200845661</v>
      </c>
      <c r="BW2411" s="99"/>
      <c r="BX2411" s="99"/>
      <c r="BZ2411" s="126">
        <v>39.700000000000003</v>
      </c>
      <c r="CA2411" s="126">
        <v>42</v>
      </c>
      <c r="CD2411" s="126" t="s">
        <v>2095</v>
      </c>
      <c r="CE2411" s="605">
        <v>39.700000000000003</v>
      </c>
      <c r="CF2411" s="605">
        <v>42</v>
      </c>
      <c r="CG2411" s="605"/>
      <c r="CH2411" s="605"/>
      <c r="CI2411" s="126" t="s">
        <v>4551</v>
      </c>
      <c r="JB2411" s="126" t="s">
        <v>2392</v>
      </c>
      <c r="JC2411" s="126" t="s">
        <v>2393</v>
      </c>
      <c r="JD2411" s="480"/>
    </row>
    <row r="2412" spans="1:264" s="126" customFormat="1" x14ac:dyDescent="0.25">
      <c r="A2412" s="126">
        <v>111</v>
      </c>
      <c r="B2412" s="478" t="s">
        <v>4297</v>
      </c>
      <c r="C2412" s="126" t="s">
        <v>2376</v>
      </c>
      <c r="D2412" s="126">
        <v>41</v>
      </c>
      <c r="E2412" s="126">
        <v>2011</v>
      </c>
      <c r="F2412" s="126">
        <v>2009</v>
      </c>
      <c r="G2412" s="126" t="s">
        <v>2386</v>
      </c>
      <c r="H2412" s="126" t="s">
        <v>2351</v>
      </c>
      <c r="I2412" s="126" t="s">
        <v>2824</v>
      </c>
      <c r="J2412" s="126">
        <v>-34.115667000000002</v>
      </c>
      <c r="K2412" s="126">
        <v>-63.366039000000001</v>
      </c>
      <c r="L2412" s="126">
        <v>138.6</v>
      </c>
      <c r="N2412" s="126">
        <v>16.8</v>
      </c>
      <c r="P2412" s="126">
        <v>1022</v>
      </c>
      <c r="R2412" s="478" t="s">
        <v>1977</v>
      </c>
      <c r="S2412" s="478" t="s">
        <v>1722</v>
      </c>
      <c r="T2412" s="478"/>
      <c r="U2412" s="126" t="s">
        <v>2355</v>
      </c>
      <c r="V2412" s="478" t="s">
        <v>1379</v>
      </c>
      <c r="W2412" s="478" t="s">
        <v>1715</v>
      </c>
      <c r="X2412" s="478" t="s">
        <v>1379</v>
      </c>
      <c r="Y2412" s="478" t="s">
        <v>1379</v>
      </c>
      <c r="Z2412" s="126">
        <v>1.18333333333333</v>
      </c>
      <c r="AA2412" s="479"/>
      <c r="AC2412" s="126" t="s">
        <v>450</v>
      </c>
      <c r="AG2412" s="478" t="s">
        <v>1352</v>
      </c>
      <c r="AH2412" s="126" t="s">
        <v>2348</v>
      </c>
      <c r="AI2412" s="126" t="s">
        <v>131</v>
      </c>
      <c r="AJ2412" s="126" t="s">
        <v>132</v>
      </c>
      <c r="AK2412" s="126" t="s">
        <v>132</v>
      </c>
      <c r="AL2412" s="126" t="s">
        <v>2359</v>
      </c>
      <c r="AM2412" s="126" t="s">
        <v>2359</v>
      </c>
      <c r="AU2412" s="126">
        <v>32</v>
      </c>
      <c r="AX2412" s="126">
        <v>3</v>
      </c>
      <c r="BD2412" s="126" t="s">
        <v>2353</v>
      </c>
      <c r="BE2412" s="126" t="s">
        <v>2837</v>
      </c>
      <c r="BP2412" s="126">
        <v>1.18333333333333</v>
      </c>
      <c r="BQ2412" s="126">
        <v>1.1825000000000001</v>
      </c>
      <c r="BU2412" s="426">
        <f t="shared" si="347"/>
        <v>1.7746478873239486</v>
      </c>
      <c r="BV2412" s="426">
        <f t="shared" si="348"/>
        <v>1.7167019027484138</v>
      </c>
      <c r="BW2412" s="99"/>
      <c r="BX2412" s="99"/>
      <c r="BZ2412" s="126">
        <v>42</v>
      </c>
      <c r="CA2412" s="126">
        <v>40.6</v>
      </c>
      <c r="CD2412" s="126" t="s">
        <v>2095</v>
      </c>
      <c r="CE2412" s="605">
        <v>42</v>
      </c>
      <c r="CF2412" s="605">
        <v>40.6</v>
      </c>
      <c r="CG2412" s="605"/>
      <c r="CH2412" s="605"/>
      <c r="CI2412" s="126" t="s">
        <v>4551</v>
      </c>
      <c r="JB2412" s="126" t="s">
        <v>2392</v>
      </c>
      <c r="JC2412" s="126" t="s">
        <v>2393</v>
      </c>
      <c r="JD2412" s="480"/>
    </row>
    <row r="2413" spans="1:264" s="126" customFormat="1" x14ac:dyDescent="0.25">
      <c r="A2413" s="126">
        <v>111</v>
      </c>
      <c r="B2413" s="478" t="s">
        <v>4297</v>
      </c>
      <c r="C2413" s="126" t="s">
        <v>2376</v>
      </c>
      <c r="D2413" s="126">
        <v>41</v>
      </c>
      <c r="E2413" s="126">
        <v>2011</v>
      </c>
      <c r="F2413" s="126">
        <v>2009</v>
      </c>
      <c r="G2413" s="126" t="s">
        <v>2386</v>
      </c>
      <c r="H2413" s="126" t="s">
        <v>2351</v>
      </c>
      <c r="I2413" s="126" t="s">
        <v>2824</v>
      </c>
      <c r="J2413" s="126">
        <v>-34.115667000000002</v>
      </c>
      <c r="K2413" s="126">
        <v>-63.366039000000001</v>
      </c>
      <c r="L2413" s="126">
        <v>138.6</v>
      </c>
      <c r="N2413" s="126">
        <v>16.8</v>
      </c>
      <c r="P2413" s="126">
        <v>1022</v>
      </c>
      <c r="R2413" s="478" t="s">
        <v>1847</v>
      </c>
      <c r="S2413" s="478" t="s">
        <v>1722</v>
      </c>
      <c r="T2413" s="478"/>
      <c r="U2413" s="126" t="s">
        <v>2354</v>
      </c>
      <c r="V2413" s="478" t="s">
        <v>1379</v>
      </c>
      <c r="W2413" s="478" t="s">
        <v>1715</v>
      </c>
      <c r="X2413" s="478" t="s">
        <v>1379</v>
      </c>
      <c r="Y2413" s="478" t="s">
        <v>1379</v>
      </c>
      <c r="Z2413" s="126">
        <v>1.18333333333333</v>
      </c>
      <c r="AA2413" s="479"/>
      <c r="AC2413" s="126" t="s">
        <v>450</v>
      </c>
      <c r="AG2413" s="478" t="s">
        <v>1352</v>
      </c>
      <c r="AH2413" s="126" t="s">
        <v>2348</v>
      </c>
      <c r="AI2413" s="126" t="s">
        <v>131</v>
      </c>
      <c r="AJ2413" s="126" t="s">
        <v>158</v>
      </c>
      <c r="AK2413" s="126" t="s">
        <v>158</v>
      </c>
      <c r="AL2413" s="126" t="s">
        <v>2359</v>
      </c>
      <c r="AM2413" s="126" t="s">
        <v>2359</v>
      </c>
      <c r="AX2413" s="126">
        <v>3</v>
      </c>
      <c r="BD2413" s="126" t="s">
        <v>2356</v>
      </c>
      <c r="BE2413" s="126" t="s">
        <v>2837</v>
      </c>
      <c r="BP2413" s="126">
        <v>1.18333333333333</v>
      </c>
      <c r="BQ2413" s="126">
        <v>1.1825000000000001</v>
      </c>
      <c r="BU2413" s="426">
        <f t="shared" si="347"/>
        <v>1.6521126760563429</v>
      </c>
      <c r="BV2413" s="426">
        <f t="shared" si="348"/>
        <v>1.7293868921775895</v>
      </c>
      <c r="BW2413" s="99"/>
      <c r="BX2413" s="99"/>
      <c r="BZ2413" s="126">
        <v>39.1</v>
      </c>
      <c r="CA2413" s="126">
        <v>40.9</v>
      </c>
      <c r="CD2413" s="126" t="s">
        <v>2095</v>
      </c>
      <c r="CE2413" s="605">
        <v>39.1</v>
      </c>
      <c r="CF2413" s="605">
        <v>40.9</v>
      </c>
      <c r="CG2413" s="605"/>
      <c r="CH2413" s="605"/>
      <c r="CI2413" s="126" t="s">
        <v>4551</v>
      </c>
      <c r="JB2413" s="126" t="s">
        <v>2392</v>
      </c>
      <c r="JC2413" s="126" t="s">
        <v>2393</v>
      </c>
      <c r="JD2413" s="480"/>
    </row>
    <row r="2414" spans="1:264" s="126" customFormat="1" x14ac:dyDescent="0.25">
      <c r="A2414" s="126">
        <v>111</v>
      </c>
      <c r="B2414" s="478" t="s">
        <v>4297</v>
      </c>
      <c r="C2414" s="126" t="s">
        <v>2376</v>
      </c>
      <c r="D2414" s="126">
        <v>41</v>
      </c>
      <c r="E2414" s="126">
        <v>2011</v>
      </c>
      <c r="F2414" s="126">
        <v>2009</v>
      </c>
      <c r="G2414" s="126" t="s">
        <v>2386</v>
      </c>
      <c r="H2414" s="126" t="s">
        <v>2351</v>
      </c>
      <c r="I2414" s="126" t="s">
        <v>2824</v>
      </c>
      <c r="J2414" s="126">
        <v>-34.115667000000002</v>
      </c>
      <c r="K2414" s="126">
        <v>-63.366039000000001</v>
      </c>
      <c r="L2414" s="126">
        <v>138.6</v>
      </c>
      <c r="N2414" s="126">
        <v>16.8</v>
      </c>
      <c r="P2414" s="126">
        <v>1022</v>
      </c>
      <c r="R2414" s="478" t="s">
        <v>1847</v>
      </c>
      <c r="S2414" s="478" t="s">
        <v>1722</v>
      </c>
      <c r="T2414" s="478"/>
      <c r="U2414" s="126" t="s">
        <v>2357</v>
      </c>
      <c r="V2414" s="478" t="s">
        <v>1379</v>
      </c>
      <c r="W2414" s="478" t="s">
        <v>1715</v>
      </c>
      <c r="X2414" s="478" t="s">
        <v>1379</v>
      </c>
      <c r="Y2414" s="478" t="s">
        <v>1379</v>
      </c>
      <c r="Z2414" s="126">
        <v>1.18333333333333</v>
      </c>
      <c r="AA2414" s="479"/>
      <c r="AC2414" s="126" t="s">
        <v>450</v>
      </c>
      <c r="AG2414" s="478" t="s">
        <v>1352</v>
      </c>
      <c r="AH2414" s="126" t="s">
        <v>2348</v>
      </c>
      <c r="AI2414" s="126" t="s">
        <v>131</v>
      </c>
      <c r="AJ2414" s="126" t="s">
        <v>158</v>
      </c>
      <c r="AK2414" s="126" t="s">
        <v>158</v>
      </c>
      <c r="AL2414" s="126" t="s">
        <v>2359</v>
      </c>
      <c r="AM2414" s="126" t="s">
        <v>2359</v>
      </c>
      <c r="AX2414" s="126">
        <v>3</v>
      </c>
      <c r="BD2414" s="126" t="s">
        <v>2356</v>
      </c>
      <c r="BE2414" s="126" t="s">
        <v>2837</v>
      </c>
      <c r="BP2414" s="126">
        <v>1.18333333333333</v>
      </c>
      <c r="BQ2414" s="126">
        <v>1.1825000000000001</v>
      </c>
      <c r="BU2414" s="426">
        <f t="shared" si="347"/>
        <v>1.6859154929577513</v>
      </c>
      <c r="BV2414" s="426">
        <f t="shared" si="348"/>
        <v>1.7758985200845661</v>
      </c>
      <c r="BW2414" s="99"/>
      <c r="BX2414" s="99"/>
      <c r="BZ2414" s="126">
        <v>39.9</v>
      </c>
      <c r="CA2414" s="126">
        <v>42</v>
      </c>
      <c r="CD2414" s="126" t="s">
        <v>2095</v>
      </c>
      <c r="CE2414" s="605">
        <v>39.9</v>
      </c>
      <c r="CF2414" s="605">
        <v>42</v>
      </c>
      <c r="CG2414" s="605"/>
      <c r="CH2414" s="605"/>
      <c r="CI2414" s="126" t="s">
        <v>4551</v>
      </c>
      <c r="JB2414" s="126" t="s">
        <v>2392</v>
      </c>
      <c r="JC2414" s="126" t="s">
        <v>2393</v>
      </c>
      <c r="JD2414" s="480"/>
    </row>
    <row r="2415" spans="1:264" s="126" customFormat="1" x14ac:dyDescent="0.25">
      <c r="A2415" s="126">
        <v>111</v>
      </c>
      <c r="B2415" s="478" t="s">
        <v>4297</v>
      </c>
      <c r="C2415" s="126" t="s">
        <v>2376</v>
      </c>
      <c r="D2415" s="126">
        <v>41</v>
      </c>
      <c r="E2415" s="126">
        <v>2011</v>
      </c>
      <c r="F2415" s="126">
        <v>2009</v>
      </c>
      <c r="G2415" s="126" t="s">
        <v>2386</v>
      </c>
      <c r="H2415" s="126" t="s">
        <v>2351</v>
      </c>
      <c r="I2415" s="126" t="s">
        <v>2824</v>
      </c>
      <c r="J2415" s="126">
        <v>-34.115667000000002</v>
      </c>
      <c r="K2415" s="126">
        <v>-63.366039000000001</v>
      </c>
      <c r="L2415" s="126">
        <v>138.6</v>
      </c>
      <c r="N2415" s="126">
        <v>16.8</v>
      </c>
      <c r="P2415" s="126">
        <v>1022</v>
      </c>
      <c r="R2415" s="478" t="s">
        <v>1977</v>
      </c>
      <c r="S2415" s="478" t="s">
        <v>1722</v>
      </c>
      <c r="T2415" s="478"/>
      <c r="U2415" s="126" t="s">
        <v>2354</v>
      </c>
      <c r="V2415" s="478" t="s">
        <v>1379</v>
      </c>
      <c r="W2415" s="478" t="s">
        <v>1715</v>
      </c>
      <c r="X2415" s="478" t="s">
        <v>1379</v>
      </c>
      <c r="Y2415" s="478" t="s">
        <v>1379</v>
      </c>
      <c r="Z2415" s="126">
        <v>1.18333333333333</v>
      </c>
      <c r="AA2415" s="479"/>
      <c r="AC2415" s="126" t="s">
        <v>450</v>
      </c>
      <c r="AG2415" s="478" t="s">
        <v>1352</v>
      </c>
      <c r="AH2415" s="126" t="s">
        <v>2361</v>
      </c>
      <c r="AI2415" s="126" t="s">
        <v>577</v>
      </c>
      <c r="AJ2415" s="126" t="s">
        <v>132</v>
      </c>
      <c r="AK2415" s="126" t="s">
        <v>132</v>
      </c>
      <c r="AL2415" s="126" t="s">
        <v>2359</v>
      </c>
      <c r="AM2415" s="126" t="s">
        <v>2359</v>
      </c>
      <c r="AU2415" s="126">
        <v>32</v>
      </c>
      <c r="AX2415" s="126">
        <v>3</v>
      </c>
      <c r="BD2415" s="126" t="s">
        <v>2353</v>
      </c>
      <c r="BE2415" s="126" t="s">
        <v>2837</v>
      </c>
      <c r="BP2415" s="126">
        <v>1.18333333333333</v>
      </c>
      <c r="BQ2415" s="126">
        <v>1.1825000000000001</v>
      </c>
      <c r="BU2415" s="426">
        <f t="shared" si="347"/>
        <v>1.6774647887323992</v>
      </c>
      <c r="BV2415" s="426">
        <f t="shared" si="348"/>
        <v>1.8900634249471453</v>
      </c>
      <c r="BW2415" s="99"/>
      <c r="BX2415" s="99"/>
      <c r="BZ2415" s="126">
        <v>39.700000000000003</v>
      </c>
      <c r="CA2415" s="126">
        <v>44.7</v>
      </c>
      <c r="CD2415" s="126" t="s">
        <v>2095</v>
      </c>
      <c r="CE2415" s="605">
        <v>39.700000000000003</v>
      </c>
      <c r="CF2415" s="605">
        <v>44.7</v>
      </c>
      <c r="CG2415" s="605"/>
      <c r="CH2415" s="605"/>
      <c r="CI2415" s="126" t="s">
        <v>4551</v>
      </c>
      <c r="JB2415" s="126" t="s">
        <v>2392</v>
      </c>
      <c r="JC2415" s="126" t="s">
        <v>2393</v>
      </c>
      <c r="JD2415" s="480"/>
    </row>
    <row r="2416" spans="1:264" s="126" customFormat="1" x14ac:dyDescent="0.25">
      <c r="A2416" s="126">
        <v>111</v>
      </c>
      <c r="B2416" s="478" t="s">
        <v>4297</v>
      </c>
      <c r="C2416" s="126" t="s">
        <v>2376</v>
      </c>
      <c r="D2416" s="126">
        <v>41</v>
      </c>
      <c r="E2416" s="126">
        <v>2011</v>
      </c>
      <c r="F2416" s="126">
        <v>2009</v>
      </c>
      <c r="G2416" s="126" t="s">
        <v>2386</v>
      </c>
      <c r="H2416" s="126" t="s">
        <v>2351</v>
      </c>
      <c r="I2416" s="126" t="s">
        <v>2824</v>
      </c>
      <c r="J2416" s="126">
        <v>-34.115667000000002</v>
      </c>
      <c r="K2416" s="126">
        <v>-63.366039000000001</v>
      </c>
      <c r="L2416" s="126">
        <v>138.6</v>
      </c>
      <c r="N2416" s="126">
        <v>16.8</v>
      </c>
      <c r="P2416" s="126">
        <v>1022</v>
      </c>
      <c r="R2416" s="478" t="s">
        <v>1977</v>
      </c>
      <c r="S2416" s="478" t="s">
        <v>1722</v>
      </c>
      <c r="T2416" s="478"/>
      <c r="U2416" s="126" t="s">
        <v>2355</v>
      </c>
      <c r="V2416" s="478" t="s">
        <v>1379</v>
      </c>
      <c r="W2416" s="478" t="s">
        <v>1715</v>
      </c>
      <c r="X2416" s="478" t="s">
        <v>1379</v>
      </c>
      <c r="Y2416" s="478" t="s">
        <v>1379</v>
      </c>
      <c r="Z2416" s="126">
        <v>1.18333333333333</v>
      </c>
      <c r="AA2416" s="479"/>
      <c r="AC2416" s="126" t="s">
        <v>450</v>
      </c>
      <c r="AG2416" s="478" t="s">
        <v>1352</v>
      </c>
      <c r="AH2416" s="126" t="s">
        <v>2361</v>
      </c>
      <c r="AI2416" s="126" t="s">
        <v>577</v>
      </c>
      <c r="AJ2416" s="126" t="s">
        <v>132</v>
      </c>
      <c r="AK2416" s="126" t="s">
        <v>132</v>
      </c>
      <c r="AL2416" s="126" t="s">
        <v>2359</v>
      </c>
      <c r="AM2416" s="126" t="s">
        <v>2359</v>
      </c>
      <c r="AU2416" s="126">
        <v>32</v>
      </c>
      <c r="AX2416" s="126">
        <v>3</v>
      </c>
      <c r="BD2416" s="126" t="s">
        <v>2353</v>
      </c>
      <c r="BE2416" s="126" t="s">
        <v>2837</v>
      </c>
      <c r="BP2416" s="126">
        <v>1.18333333333333</v>
      </c>
      <c r="BQ2416" s="126">
        <v>1.1825000000000001</v>
      </c>
      <c r="BU2416" s="426">
        <f t="shared" si="347"/>
        <v>1.7746478873239486</v>
      </c>
      <c r="BV2416" s="426">
        <f t="shared" si="348"/>
        <v>1.7082452431289636</v>
      </c>
      <c r="BW2416" s="99"/>
      <c r="BX2416" s="99"/>
      <c r="BZ2416" s="126">
        <v>42</v>
      </c>
      <c r="CA2416" s="126">
        <v>40.4</v>
      </c>
      <c r="CD2416" s="126" t="s">
        <v>2095</v>
      </c>
      <c r="CE2416" s="605">
        <v>42</v>
      </c>
      <c r="CF2416" s="605">
        <v>40.4</v>
      </c>
      <c r="CG2416" s="605"/>
      <c r="CH2416" s="605"/>
      <c r="CI2416" s="126" t="s">
        <v>4551</v>
      </c>
      <c r="JB2416" s="126" t="s">
        <v>2392</v>
      </c>
      <c r="JC2416" s="126" t="s">
        <v>2393</v>
      </c>
      <c r="JD2416" s="480"/>
    </row>
    <row r="2417" spans="1:264" s="126" customFormat="1" x14ac:dyDescent="0.25">
      <c r="A2417" s="126">
        <v>111</v>
      </c>
      <c r="B2417" s="478" t="s">
        <v>4297</v>
      </c>
      <c r="C2417" s="126" t="s">
        <v>2376</v>
      </c>
      <c r="D2417" s="126">
        <v>41</v>
      </c>
      <c r="E2417" s="126">
        <v>2011</v>
      </c>
      <c r="F2417" s="126">
        <v>2009</v>
      </c>
      <c r="G2417" s="126" t="s">
        <v>2386</v>
      </c>
      <c r="H2417" s="126" t="s">
        <v>2351</v>
      </c>
      <c r="I2417" s="126" t="s">
        <v>2824</v>
      </c>
      <c r="J2417" s="126">
        <v>-34.115667000000002</v>
      </c>
      <c r="K2417" s="126">
        <v>-63.366039000000001</v>
      </c>
      <c r="L2417" s="126">
        <v>138.6</v>
      </c>
      <c r="N2417" s="126">
        <v>16.8</v>
      </c>
      <c r="P2417" s="126">
        <v>1022</v>
      </c>
      <c r="R2417" s="478" t="s">
        <v>1847</v>
      </c>
      <c r="S2417" s="478" t="s">
        <v>1722</v>
      </c>
      <c r="T2417" s="478"/>
      <c r="U2417" s="126" t="s">
        <v>2354</v>
      </c>
      <c r="V2417" s="478" t="s">
        <v>1379</v>
      </c>
      <c r="W2417" s="478" t="s">
        <v>1715</v>
      </c>
      <c r="X2417" s="478" t="s">
        <v>1379</v>
      </c>
      <c r="Y2417" s="478" t="s">
        <v>1379</v>
      </c>
      <c r="Z2417" s="126">
        <v>1.18333333333333</v>
      </c>
      <c r="AA2417" s="479"/>
      <c r="AC2417" s="126" t="s">
        <v>450</v>
      </c>
      <c r="AG2417" s="478" t="s">
        <v>1352</v>
      </c>
      <c r="AH2417" s="126" t="s">
        <v>2361</v>
      </c>
      <c r="AI2417" s="126" t="s">
        <v>577</v>
      </c>
      <c r="AJ2417" s="126" t="s">
        <v>158</v>
      </c>
      <c r="AK2417" s="126" t="s">
        <v>158</v>
      </c>
      <c r="AL2417" s="126" t="s">
        <v>2359</v>
      </c>
      <c r="AM2417" s="126" t="s">
        <v>2359</v>
      </c>
      <c r="AX2417" s="126">
        <v>3</v>
      </c>
      <c r="BD2417" s="126" t="s">
        <v>2356</v>
      </c>
      <c r="BE2417" s="126" t="s">
        <v>2837</v>
      </c>
      <c r="BP2417" s="126">
        <v>1.18333333333333</v>
      </c>
      <c r="BQ2417" s="126">
        <v>1.1825000000000001</v>
      </c>
      <c r="BU2417" s="426">
        <f t="shared" si="347"/>
        <v>1.6521126760563429</v>
      </c>
      <c r="BV2417" s="426">
        <f t="shared" si="348"/>
        <v>1.6871035940803378</v>
      </c>
      <c r="BW2417" s="99"/>
      <c r="BX2417" s="99"/>
      <c r="BZ2417" s="126">
        <v>39.1</v>
      </c>
      <c r="CA2417" s="126">
        <v>39.9</v>
      </c>
      <c r="CD2417" s="126" t="s">
        <v>2095</v>
      </c>
      <c r="CE2417" s="605">
        <v>39.1</v>
      </c>
      <c r="CF2417" s="605">
        <v>39.9</v>
      </c>
      <c r="CG2417" s="605"/>
      <c r="CH2417" s="605"/>
      <c r="CI2417" s="126" t="s">
        <v>4551</v>
      </c>
      <c r="JB2417" s="126" t="s">
        <v>2392</v>
      </c>
      <c r="JC2417" s="126" t="s">
        <v>2393</v>
      </c>
      <c r="JD2417" s="480"/>
    </row>
    <row r="2418" spans="1:264" s="126" customFormat="1" x14ac:dyDescent="0.25">
      <c r="A2418" s="126">
        <v>111</v>
      </c>
      <c r="B2418" s="478" t="s">
        <v>4297</v>
      </c>
      <c r="C2418" s="126" t="s">
        <v>2376</v>
      </c>
      <c r="D2418" s="126">
        <v>41</v>
      </c>
      <c r="E2418" s="126">
        <v>2011</v>
      </c>
      <c r="F2418" s="126">
        <v>2009</v>
      </c>
      <c r="G2418" s="126" t="s">
        <v>2386</v>
      </c>
      <c r="H2418" s="126" t="s">
        <v>2351</v>
      </c>
      <c r="I2418" s="126" t="s">
        <v>2824</v>
      </c>
      <c r="J2418" s="126">
        <v>-34.115667000000002</v>
      </c>
      <c r="K2418" s="126">
        <v>-63.366039000000001</v>
      </c>
      <c r="L2418" s="126">
        <v>138.6</v>
      </c>
      <c r="N2418" s="126">
        <v>16.8</v>
      </c>
      <c r="P2418" s="126">
        <v>1022</v>
      </c>
      <c r="R2418" s="478" t="s">
        <v>1847</v>
      </c>
      <c r="S2418" s="478" t="s">
        <v>1722</v>
      </c>
      <c r="T2418" s="478"/>
      <c r="U2418" s="126" t="s">
        <v>2357</v>
      </c>
      <c r="V2418" s="478" t="s">
        <v>1379</v>
      </c>
      <c r="W2418" s="478" t="s">
        <v>1715</v>
      </c>
      <c r="X2418" s="478" t="s">
        <v>1379</v>
      </c>
      <c r="Y2418" s="478" t="s">
        <v>1379</v>
      </c>
      <c r="Z2418" s="126">
        <v>1.18333333333333</v>
      </c>
      <c r="AA2418" s="479"/>
      <c r="AC2418" s="126" t="s">
        <v>450</v>
      </c>
      <c r="AG2418" s="478" t="s">
        <v>1352</v>
      </c>
      <c r="AH2418" s="126" t="s">
        <v>2361</v>
      </c>
      <c r="AI2418" s="126" t="s">
        <v>577</v>
      </c>
      <c r="AJ2418" s="126" t="s">
        <v>158</v>
      </c>
      <c r="AK2418" s="126" t="s">
        <v>158</v>
      </c>
      <c r="AL2418" s="126" t="s">
        <v>2359</v>
      </c>
      <c r="AM2418" s="126" t="s">
        <v>2359</v>
      </c>
      <c r="AX2418" s="126">
        <v>3</v>
      </c>
      <c r="BD2418" s="126" t="s">
        <v>2356</v>
      </c>
      <c r="BE2418" s="126" t="s">
        <v>2837</v>
      </c>
      <c r="BP2418" s="126">
        <v>1.18333333333333</v>
      </c>
      <c r="BQ2418" s="126">
        <v>1.1825000000000001</v>
      </c>
      <c r="BU2418" s="426">
        <f t="shared" si="347"/>
        <v>1.6859154929577513</v>
      </c>
      <c r="BV2418" s="426">
        <f t="shared" si="348"/>
        <v>1.7336152219873149</v>
      </c>
      <c r="BW2418" s="99"/>
      <c r="BX2418" s="99"/>
      <c r="BZ2418" s="126">
        <v>39.9</v>
      </c>
      <c r="CA2418" s="126">
        <v>41</v>
      </c>
      <c r="CD2418" s="126" t="s">
        <v>2095</v>
      </c>
      <c r="CE2418" s="605">
        <v>39.9</v>
      </c>
      <c r="CF2418" s="605">
        <v>41</v>
      </c>
      <c r="CG2418" s="605"/>
      <c r="CH2418" s="605"/>
      <c r="CI2418" s="126" t="s">
        <v>4551</v>
      </c>
      <c r="JB2418" s="126" t="s">
        <v>2392</v>
      </c>
      <c r="JC2418" s="126" t="s">
        <v>2393</v>
      </c>
      <c r="JD2418" s="480"/>
    </row>
    <row r="2419" spans="1:264" s="126" customFormat="1" x14ac:dyDescent="0.25">
      <c r="A2419" s="126">
        <v>111</v>
      </c>
      <c r="B2419" s="478" t="s">
        <v>4298</v>
      </c>
      <c r="C2419" s="126" t="s">
        <v>2377</v>
      </c>
      <c r="D2419" s="126">
        <v>43</v>
      </c>
      <c r="E2419" s="126">
        <v>2013</v>
      </c>
      <c r="F2419" s="126">
        <v>2011</v>
      </c>
      <c r="G2419" s="126">
        <v>43</v>
      </c>
      <c r="H2419" s="126" t="s">
        <v>2351</v>
      </c>
      <c r="I2419" s="126" t="s">
        <v>2824</v>
      </c>
      <c r="J2419" s="126">
        <v>-32.514592</v>
      </c>
      <c r="K2419" s="126">
        <v>-62.124814000000001</v>
      </c>
      <c r="L2419" s="126">
        <v>112.2</v>
      </c>
      <c r="N2419" s="126">
        <v>16</v>
      </c>
      <c r="P2419" s="126">
        <v>987</v>
      </c>
      <c r="R2419" s="478" t="s">
        <v>1722</v>
      </c>
      <c r="S2419" s="478" t="s">
        <v>1722</v>
      </c>
      <c r="T2419" s="478"/>
      <c r="U2419" s="126" t="s">
        <v>2839</v>
      </c>
      <c r="V2419" s="478" t="s">
        <v>1379</v>
      </c>
      <c r="W2419" s="478" t="s">
        <v>1715</v>
      </c>
      <c r="X2419" s="478" t="s">
        <v>1379</v>
      </c>
      <c r="Y2419" s="478" t="s">
        <v>1379</v>
      </c>
      <c r="AA2419" s="479"/>
      <c r="AC2419" s="126" t="s">
        <v>2362</v>
      </c>
      <c r="AE2419" s="126">
        <v>2.46</v>
      </c>
      <c r="AG2419" s="478" t="s">
        <v>2391</v>
      </c>
      <c r="AH2419" s="126" t="s">
        <v>520</v>
      </c>
      <c r="AI2419" s="126" t="s">
        <v>1581</v>
      </c>
      <c r="AJ2419" s="126" t="s">
        <v>158</v>
      </c>
      <c r="AK2419" s="126" t="s">
        <v>158</v>
      </c>
      <c r="AL2419" s="126" t="s">
        <v>2334</v>
      </c>
      <c r="AM2419" s="126" t="s">
        <v>2334</v>
      </c>
      <c r="AX2419" s="126">
        <v>3</v>
      </c>
      <c r="AZ2419" s="126" t="s">
        <v>141</v>
      </c>
      <c r="BD2419" s="126" t="s">
        <v>2338</v>
      </c>
      <c r="BE2419" s="126" t="s">
        <v>2837</v>
      </c>
      <c r="BU2419" s="426">
        <f>BZ2419*0.0414</f>
        <v>1.6270199999999999</v>
      </c>
      <c r="BV2419" s="426">
        <f>CA2419*0.0414</f>
        <v>1.5400800000000001</v>
      </c>
      <c r="BW2419" s="99"/>
      <c r="BX2419" s="99"/>
      <c r="BZ2419" s="126">
        <v>39.299999999999997</v>
      </c>
      <c r="CA2419" s="126">
        <v>37.200000000000003</v>
      </c>
      <c r="CD2419" s="126" t="s">
        <v>2095</v>
      </c>
      <c r="CE2419" s="605">
        <v>39.299999999999997</v>
      </c>
      <c r="CF2419" s="605">
        <v>37.200000000000003</v>
      </c>
      <c r="CG2419" s="605"/>
      <c r="CH2419" s="605"/>
      <c r="CI2419" s="126" t="s">
        <v>4551</v>
      </c>
      <c r="JB2419" s="126" t="s">
        <v>2392</v>
      </c>
      <c r="JC2419" s="126" t="s">
        <v>2393</v>
      </c>
      <c r="JD2419" s="480"/>
    </row>
    <row r="2420" spans="1:264" s="126" customFormat="1" x14ac:dyDescent="0.25">
      <c r="A2420" s="126">
        <v>111</v>
      </c>
      <c r="B2420" s="478" t="s">
        <v>4298</v>
      </c>
      <c r="C2420" s="126" t="s">
        <v>2377</v>
      </c>
      <c r="D2420" s="126">
        <v>43</v>
      </c>
      <c r="E2420" s="126">
        <v>2013</v>
      </c>
      <c r="F2420" s="126">
        <v>2011</v>
      </c>
      <c r="G2420" s="126">
        <v>43</v>
      </c>
      <c r="H2420" s="126" t="s">
        <v>2351</v>
      </c>
      <c r="I2420" s="126" t="s">
        <v>2824</v>
      </c>
      <c r="J2420" s="126">
        <v>-32.514592</v>
      </c>
      <c r="K2420" s="126">
        <v>-62.124814000000001</v>
      </c>
      <c r="L2420" s="126">
        <v>112.2</v>
      </c>
      <c r="N2420" s="126">
        <v>16</v>
      </c>
      <c r="P2420" s="126">
        <v>987</v>
      </c>
      <c r="R2420" s="478" t="s">
        <v>1722</v>
      </c>
      <c r="S2420" s="478" t="s">
        <v>1722</v>
      </c>
      <c r="T2420" s="478"/>
      <c r="U2420" s="126" t="s">
        <v>2839</v>
      </c>
      <c r="V2420" s="478" t="s">
        <v>1379</v>
      </c>
      <c r="W2420" s="478" t="s">
        <v>1715</v>
      </c>
      <c r="X2420" s="478" t="s">
        <v>1379</v>
      </c>
      <c r="Y2420" s="478" t="s">
        <v>1379</v>
      </c>
      <c r="AA2420" s="479"/>
      <c r="AC2420" s="126" t="s">
        <v>2362</v>
      </c>
      <c r="AE2420" s="126">
        <v>2.46</v>
      </c>
      <c r="AG2420" s="478" t="s">
        <v>2391</v>
      </c>
      <c r="AH2420" s="126" t="s">
        <v>2348</v>
      </c>
      <c r="AI2420" s="126" t="s">
        <v>131</v>
      </c>
      <c r="AJ2420" s="126" t="s">
        <v>158</v>
      </c>
      <c r="AK2420" s="126" t="s">
        <v>158</v>
      </c>
      <c r="AL2420" s="126" t="s">
        <v>2334</v>
      </c>
      <c r="AM2420" s="126" t="s">
        <v>2334</v>
      </c>
      <c r="AX2420" s="126">
        <v>3</v>
      </c>
      <c r="AZ2420" s="126" t="s">
        <v>141</v>
      </c>
      <c r="BD2420" s="126" t="s">
        <v>2338</v>
      </c>
      <c r="BE2420" s="126" t="s">
        <v>2837</v>
      </c>
      <c r="BU2420" s="426">
        <f t="shared" ref="BU2420:BU2422" si="349">BZ2420*0.0414</f>
        <v>1.6270199999999999</v>
      </c>
      <c r="BV2420" s="426">
        <f t="shared" ref="BV2420:BV2422" si="350">CA2420*0.0414</f>
        <v>1.64358</v>
      </c>
      <c r="BW2420" s="99"/>
      <c r="BX2420" s="99"/>
      <c r="BZ2420" s="126">
        <v>39.299999999999997</v>
      </c>
      <c r="CA2420" s="126">
        <v>39.700000000000003</v>
      </c>
      <c r="CD2420" s="126" t="s">
        <v>2095</v>
      </c>
      <c r="CE2420" s="605">
        <v>39.299999999999997</v>
      </c>
      <c r="CF2420" s="605">
        <v>39.700000000000003</v>
      </c>
      <c r="CG2420" s="605"/>
      <c r="CH2420" s="605"/>
      <c r="CI2420" s="126" t="s">
        <v>4551</v>
      </c>
      <c r="JB2420" s="126" t="s">
        <v>2392</v>
      </c>
      <c r="JC2420" s="126" t="s">
        <v>2393</v>
      </c>
      <c r="JD2420" s="480"/>
    </row>
    <row r="2421" spans="1:264" s="126" customFormat="1" x14ac:dyDescent="0.25">
      <c r="A2421" s="126">
        <v>111</v>
      </c>
      <c r="B2421" s="478" t="s">
        <v>4299</v>
      </c>
      <c r="C2421" s="126" t="s">
        <v>2378</v>
      </c>
      <c r="D2421" s="126">
        <v>55</v>
      </c>
      <c r="E2421" s="126">
        <v>2013</v>
      </c>
      <c r="F2421" s="126">
        <v>2011</v>
      </c>
      <c r="G2421" s="126">
        <v>50</v>
      </c>
      <c r="H2421" s="126" t="s">
        <v>2363</v>
      </c>
      <c r="I2421" s="126" t="s">
        <v>2824</v>
      </c>
      <c r="J2421" s="126">
        <v>-35.352843999999997</v>
      </c>
      <c r="K2421" s="126">
        <v>-63.630094</v>
      </c>
      <c r="L2421" s="126">
        <v>125</v>
      </c>
      <c r="N2421" s="126">
        <v>17.7</v>
      </c>
      <c r="P2421" s="126">
        <v>993</v>
      </c>
      <c r="R2421" s="478" t="s">
        <v>1728</v>
      </c>
      <c r="S2421" s="478" t="s">
        <v>1728</v>
      </c>
      <c r="T2421" s="478"/>
      <c r="V2421" s="478" t="s">
        <v>1379</v>
      </c>
      <c r="W2421" s="478" t="s">
        <v>1715</v>
      </c>
      <c r="X2421" s="478" t="s">
        <v>1379</v>
      </c>
      <c r="Y2421" s="478" t="s">
        <v>1379</v>
      </c>
      <c r="AA2421" s="479"/>
      <c r="AC2421" s="126" t="s">
        <v>2331</v>
      </c>
      <c r="AG2421" s="478" t="s">
        <v>1352</v>
      </c>
      <c r="AH2421" s="126" t="s">
        <v>2364</v>
      </c>
      <c r="AI2421" s="126" t="s">
        <v>1581</v>
      </c>
      <c r="AJ2421" s="126" t="s">
        <v>158</v>
      </c>
      <c r="AK2421" s="126" t="s">
        <v>158</v>
      </c>
      <c r="AL2421" s="126" t="s">
        <v>2365</v>
      </c>
      <c r="AM2421" s="126" t="s">
        <v>2365</v>
      </c>
      <c r="AX2421" s="126">
        <v>3</v>
      </c>
      <c r="BD2421" s="126" t="s">
        <v>2366</v>
      </c>
      <c r="BE2421" s="126" t="s">
        <v>2837</v>
      </c>
      <c r="BU2421" s="426">
        <f t="shared" si="349"/>
        <v>2.1610800000000001</v>
      </c>
      <c r="BV2421" s="426">
        <f t="shared" si="350"/>
        <v>2.2149000000000001</v>
      </c>
      <c r="BW2421" s="99"/>
      <c r="BX2421" s="99"/>
      <c r="BZ2421" s="126">
        <v>52.2</v>
      </c>
      <c r="CA2421" s="126">
        <v>53.5</v>
      </c>
      <c r="CD2421" s="126" t="s">
        <v>2095</v>
      </c>
      <c r="CE2421" s="605">
        <v>52.2</v>
      </c>
      <c r="CF2421" s="605">
        <v>53.5</v>
      </c>
      <c r="CG2421" s="605"/>
      <c r="CH2421" s="605"/>
      <c r="CI2421" s="126" t="s">
        <v>4551</v>
      </c>
      <c r="JB2421" s="126" t="s">
        <v>2392</v>
      </c>
      <c r="JC2421" s="126" t="s">
        <v>2393</v>
      </c>
      <c r="JD2421" s="480"/>
    </row>
    <row r="2422" spans="1:264" s="126" customFormat="1" x14ac:dyDescent="0.25">
      <c r="A2422" s="126">
        <v>111</v>
      </c>
      <c r="B2422" s="478" t="s">
        <v>4299</v>
      </c>
      <c r="C2422" s="126" t="s">
        <v>2378</v>
      </c>
      <c r="D2422" s="126">
        <v>55</v>
      </c>
      <c r="E2422" s="126">
        <v>2013</v>
      </c>
      <c r="F2422" s="126">
        <v>2011</v>
      </c>
      <c r="G2422" s="126">
        <v>50</v>
      </c>
      <c r="H2422" s="126" t="s">
        <v>2363</v>
      </c>
      <c r="I2422" s="126" t="s">
        <v>2824</v>
      </c>
      <c r="J2422" s="126">
        <v>-35.352843999999997</v>
      </c>
      <c r="K2422" s="126">
        <v>-63.630094</v>
      </c>
      <c r="L2422" s="126">
        <v>125</v>
      </c>
      <c r="N2422" s="126">
        <v>17.7</v>
      </c>
      <c r="P2422" s="126">
        <v>993</v>
      </c>
      <c r="R2422" s="478" t="s">
        <v>1728</v>
      </c>
      <c r="S2422" s="478" t="s">
        <v>1728</v>
      </c>
      <c r="T2422" s="478"/>
      <c r="V2422" s="478" t="s">
        <v>1379</v>
      </c>
      <c r="W2422" s="478" t="s">
        <v>1715</v>
      </c>
      <c r="X2422" s="478" t="s">
        <v>1379</v>
      </c>
      <c r="Y2422" s="478" t="s">
        <v>1379</v>
      </c>
      <c r="AA2422" s="479"/>
      <c r="AC2422" s="126" t="s">
        <v>2331</v>
      </c>
      <c r="AG2422" s="478" t="s">
        <v>1352</v>
      </c>
      <c r="AH2422" s="126" t="s">
        <v>2364</v>
      </c>
      <c r="AI2422" s="126" t="s">
        <v>1581</v>
      </c>
      <c r="AJ2422" s="126" t="s">
        <v>158</v>
      </c>
      <c r="AK2422" s="126" t="s">
        <v>158</v>
      </c>
      <c r="AL2422" s="126" t="s">
        <v>2334</v>
      </c>
      <c r="AM2422" s="126" t="s">
        <v>2334</v>
      </c>
      <c r="AX2422" s="126">
        <v>3</v>
      </c>
      <c r="BD2422" s="126" t="s">
        <v>2367</v>
      </c>
      <c r="BE2422" s="126" t="s">
        <v>2837</v>
      </c>
      <c r="BU2422" s="426">
        <f t="shared" si="349"/>
        <v>2.0451600000000001</v>
      </c>
      <c r="BV2422" s="426">
        <f t="shared" si="350"/>
        <v>2.0989800000000001</v>
      </c>
      <c r="BW2422" s="99"/>
      <c r="BX2422" s="99"/>
      <c r="BZ2422" s="126">
        <v>49.4</v>
      </c>
      <c r="CA2422" s="126">
        <v>50.7</v>
      </c>
      <c r="CD2422" s="126" t="s">
        <v>2095</v>
      </c>
      <c r="CE2422" s="605">
        <v>49.4</v>
      </c>
      <c r="CF2422" s="605">
        <v>50.7</v>
      </c>
      <c r="CG2422" s="605"/>
      <c r="CH2422" s="605"/>
      <c r="CI2422" s="126" t="s">
        <v>4551</v>
      </c>
      <c r="JB2422" s="126" t="s">
        <v>2392</v>
      </c>
      <c r="JC2422" s="126" t="s">
        <v>2393</v>
      </c>
      <c r="JD2422" s="480"/>
    </row>
    <row r="2423" spans="1:264" s="126" customFormat="1" x14ac:dyDescent="0.25">
      <c r="A2423" s="126">
        <v>111</v>
      </c>
      <c r="B2423" s="478" t="s">
        <v>4296</v>
      </c>
      <c r="C2423" s="126" t="s">
        <v>2379</v>
      </c>
      <c r="D2423" s="126">
        <v>28</v>
      </c>
      <c r="E2423" s="126">
        <v>2013</v>
      </c>
      <c r="F2423" s="126">
        <v>2011</v>
      </c>
      <c r="G2423" s="126" t="s">
        <v>2385</v>
      </c>
      <c r="H2423" s="126" t="s">
        <v>2330</v>
      </c>
      <c r="I2423" s="126" t="s">
        <v>2824</v>
      </c>
      <c r="J2423" s="126">
        <v>-34.558522000000004</v>
      </c>
      <c r="K2423" s="126">
        <v>-59.142755999999999</v>
      </c>
      <c r="L2423" s="126">
        <v>31.1</v>
      </c>
      <c r="N2423" s="126">
        <v>16.3</v>
      </c>
      <c r="P2423" s="126">
        <v>859</v>
      </c>
      <c r="R2423" s="478" t="s">
        <v>1858</v>
      </c>
      <c r="S2423" s="478" t="s">
        <v>1982</v>
      </c>
      <c r="T2423" s="478"/>
      <c r="U2423" s="126" t="s">
        <v>2840</v>
      </c>
      <c r="V2423" s="478" t="s">
        <v>1379</v>
      </c>
      <c r="W2423" s="478" t="s">
        <v>1715</v>
      </c>
      <c r="X2423" s="478" t="s">
        <v>1379</v>
      </c>
      <c r="Y2423" s="478" t="s">
        <v>1379</v>
      </c>
      <c r="Z2423" s="126">
        <v>1.46</v>
      </c>
      <c r="AA2423" s="479"/>
      <c r="AC2423" s="126" t="s">
        <v>240</v>
      </c>
      <c r="AD2423" s="126">
        <v>6</v>
      </c>
      <c r="AE2423" s="126">
        <v>2.8</v>
      </c>
      <c r="AG2423" s="478" t="s">
        <v>2390</v>
      </c>
      <c r="AH2423" s="126" t="s">
        <v>520</v>
      </c>
      <c r="AI2423" s="126" t="s">
        <v>1581</v>
      </c>
      <c r="AJ2423" s="126" t="s">
        <v>158</v>
      </c>
      <c r="AK2423" s="126" t="s">
        <v>158</v>
      </c>
      <c r="AL2423" s="126" t="s">
        <v>2334</v>
      </c>
      <c r="AM2423" s="126" t="s">
        <v>2334</v>
      </c>
      <c r="AX2423" s="126">
        <v>4</v>
      </c>
      <c r="BD2423" s="126" t="s">
        <v>2350</v>
      </c>
      <c r="BE2423" s="126" t="s">
        <v>2837</v>
      </c>
      <c r="BP2423" s="126">
        <v>1.46</v>
      </c>
      <c r="BQ2423" s="126">
        <v>1.4566666666666701</v>
      </c>
      <c r="BU2423" s="426">
        <f>(BZ2423*1000000)/(100*100*BP2423*W2423/100*1000000)*100</f>
        <v>1.3150684931506851</v>
      </c>
      <c r="BV2423" s="426">
        <f>(CA2423*1000000)/(100*100*BQ2423*W2423/100*1000000)*100</f>
        <v>1.4794050343249394</v>
      </c>
      <c r="BW2423" s="99"/>
      <c r="BX2423" s="99"/>
      <c r="BZ2423" s="126">
        <v>38.4</v>
      </c>
      <c r="CA2423" s="126">
        <v>43.1</v>
      </c>
      <c r="CD2423" s="126" t="s">
        <v>2095</v>
      </c>
      <c r="CE2423" s="605">
        <v>38.4</v>
      </c>
      <c r="CF2423" s="605">
        <v>43.1</v>
      </c>
      <c r="CG2423" s="605"/>
      <c r="CH2423" s="605"/>
      <c r="CI2423" s="126" t="s">
        <v>4551</v>
      </c>
      <c r="JB2423" s="126" t="s">
        <v>2392</v>
      </c>
      <c r="JC2423" s="126" t="s">
        <v>2393</v>
      </c>
      <c r="JD2423" s="480"/>
    </row>
    <row r="2424" spans="1:264" s="126" customFormat="1" x14ac:dyDescent="0.25">
      <c r="A2424" s="126">
        <v>111</v>
      </c>
      <c r="B2424" s="478" t="s">
        <v>4296</v>
      </c>
      <c r="C2424" s="126" t="s">
        <v>2379</v>
      </c>
      <c r="D2424" s="126">
        <v>28</v>
      </c>
      <c r="E2424" s="126">
        <v>2013</v>
      </c>
      <c r="F2424" s="126">
        <v>2011</v>
      </c>
      <c r="G2424" s="126" t="s">
        <v>2385</v>
      </c>
      <c r="H2424" s="126" t="s">
        <v>2330</v>
      </c>
      <c r="I2424" s="126" t="s">
        <v>2824</v>
      </c>
      <c r="J2424" s="126">
        <v>-34.558522000000004</v>
      </c>
      <c r="K2424" s="126">
        <v>-59.142755999999999</v>
      </c>
      <c r="L2424" s="126">
        <v>31.1</v>
      </c>
      <c r="N2424" s="126">
        <v>16.3</v>
      </c>
      <c r="P2424" s="126">
        <v>859</v>
      </c>
      <c r="R2424" s="478" t="s">
        <v>1858</v>
      </c>
      <c r="S2424" s="478" t="s">
        <v>1982</v>
      </c>
      <c r="T2424" s="478"/>
      <c r="U2424" s="126" t="s">
        <v>2840</v>
      </c>
      <c r="V2424" s="478" t="s">
        <v>1379</v>
      </c>
      <c r="W2424" s="478" t="s">
        <v>1715</v>
      </c>
      <c r="X2424" s="478" t="s">
        <v>1379</v>
      </c>
      <c r="Y2424" s="478" t="s">
        <v>1379</v>
      </c>
      <c r="Z2424" s="126">
        <v>1.46</v>
      </c>
      <c r="AA2424" s="479"/>
      <c r="AC2424" s="126" t="s">
        <v>240</v>
      </c>
      <c r="AD2424" s="126">
        <v>6</v>
      </c>
      <c r="AE2424" s="126">
        <v>2.8</v>
      </c>
      <c r="AG2424" s="478" t="s">
        <v>2390</v>
      </c>
      <c r="AH2424" s="126" t="s">
        <v>2343</v>
      </c>
      <c r="AI2424" s="126" t="s">
        <v>131</v>
      </c>
      <c r="AJ2424" s="126" t="s">
        <v>158</v>
      </c>
      <c r="AK2424" s="126" t="s">
        <v>158</v>
      </c>
      <c r="AL2424" s="126" t="s">
        <v>2334</v>
      </c>
      <c r="AM2424" s="126" t="s">
        <v>2334</v>
      </c>
      <c r="AX2424" s="126">
        <v>4</v>
      </c>
      <c r="BD2424" s="126" t="s">
        <v>2350</v>
      </c>
      <c r="BE2424" s="126" t="s">
        <v>2837</v>
      </c>
      <c r="BP2424" s="126">
        <v>1.46</v>
      </c>
      <c r="BQ2424" s="126">
        <v>1.4566666666666701</v>
      </c>
      <c r="BU2424" s="426">
        <f>(BZ2424*1000000)/(100*100*BP2424*W2424/100*1000000)*100</f>
        <v>1.3150684931506851</v>
      </c>
      <c r="BV2424" s="426">
        <f>(CA2424*1000000)/(100*100*BQ2424*W2424/100*1000000)*100</f>
        <v>1.455377574370706</v>
      </c>
      <c r="BW2424" s="99"/>
      <c r="BX2424" s="99"/>
      <c r="BZ2424" s="126">
        <v>38.4</v>
      </c>
      <c r="CA2424" s="126">
        <v>42.4</v>
      </c>
      <c r="CD2424" s="126" t="s">
        <v>2095</v>
      </c>
      <c r="CE2424" s="605">
        <v>38.4</v>
      </c>
      <c r="CF2424" s="605">
        <v>42.4</v>
      </c>
      <c r="CG2424" s="605"/>
      <c r="CH2424" s="605"/>
      <c r="CI2424" s="126" t="s">
        <v>4551</v>
      </c>
      <c r="JB2424" s="126" t="s">
        <v>2392</v>
      </c>
      <c r="JC2424" s="126" t="s">
        <v>2393</v>
      </c>
      <c r="JD2424" s="480"/>
    </row>
    <row r="2425" spans="1:264" s="126" customFormat="1" x14ac:dyDescent="0.25">
      <c r="A2425" s="126">
        <v>111</v>
      </c>
      <c r="B2425" s="478" t="s">
        <v>4296</v>
      </c>
      <c r="C2425" s="126" t="s">
        <v>2379</v>
      </c>
      <c r="D2425" s="126">
        <v>28</v>
      </c>
      <c r="E2425" s="126">
        <v>2013</v>
      </c>
      <c r="F2425" s="126">
        <v>2011</v>
      </c>
      <c r="G2425" s="126" t="s">
        <v>2385</v>
      </c>
      <c r="H2425" s="126" t="s">
        <v>2330</v>
      </c>
      <c r="I2425" s="126" t="s">
        <v>2824</v>
      </c>
      <c r="J2425" s="126">
        <v>-34.558522000000004</v>
      </c>
      <c r="K2425" s="126">
        <v>-59.142755999999999</v>
      </c>
      <c r="L2425" s="126">
        <v>31.1</v>
      </c>
      <c r="N2425" s="126">
        <v>16.3</v>
      </c>
      <c r="P2425" s="126">
        <v>859</v>
      </c>
      <c r="R2425" s="478" t="s">
        <v>1858</v>
      </c>
      <c r="S2425" s="478" t="s">
        <v>1982</v>
      </c>
      <c r="T2425" s="478"/>
      <c r="U2425" s="126" t="s">
        <v>2840</v>
      </c>
      <c r="V2425" s="478" t="s">
        <v>1379</v>
      </c>
      <c r="W2425" s="478" t="s">
        <v>1715</v>
      </c>
      <c r="X2425" s="478" t="s">
        <v>1379</v>
      </c>
      <c r="Y2425" s="478" t="s">
        <v>1379</v>
      </c>
      <c r="Z2425" s="126">
        <v>1.46</v>
      </c>
      <c r="AA2425" s="479"/>
      <c r="AC2425" s="126" t="s">
        <v>240</v>
      </c>
      <c r="AD2425" s="126">
        <v>6</v>
      </c>
      <c r="AE2425" s="126">
        <v>2.8</v>
      </c>
      <c r="AG2425" s="478" t="s">
        <v>2390</v>
      </c>
      <c r="AH2425" s="126" t="s">
        <v>2348</v>
      </c>
      <c r="AI2425" s="126" t="s">
        <v>131</v>
      </c>
      <c r="AJ2425" s="126" t="s">
        <v>158</v>
      </c>
      <c r="AK2425" s="126" t="s">
        <v>158</v>
      </c>
      <c r="AL2425" s="126" t="s">
        <v>2334</v>
      </c>
      <c r="AM2425" s="126" t="s">
        <v>2334</v>
      </c>
      <c r="AX2425" s="126">
        <v>4</v>
      </c>
      <c r="BD2425" s="126" t="s">
        <v>2350</v>
      </c>
      <c r="BE2425" s="126" t="s">
        <v>2837</v>
      </c>
      <c r="BP2425" s="126">
        <v>1.46</v>
      </c>
      <c r="BQ2425" s="126">
        <v>1.4566666666666701</v>
      </c>
      <c r="BU2425" s="426">
        <f>(BZ2425*1000000)/(100*100*BP2425*W2425/100*1000000)*100</f>
        <v>1.3150684931506851</v>
      </c>
      <c r="BV2425" s="426">
        <f>(CA2425*1000000)/(100*100*BQ2425*W2425/100*1000000)*100</f>
        <v>1.3558352402745963</v>
      </c>
      <c r="BW2425" s="99"/>
      <c r="BX2425" s="99"/>
      <c r="BZ2425" s="126">
        <v>38.4</v>
      </c>
      <c r="CA2425" s="126">
        <v>39.5</v>
      </c>
      <c r="CD2425" s="126" t="s">
        <v>2095</v>
      </c>
      <c r="CE2425" s="605">
        <v>38.4</v>
      </c>
      <c r="CF2425" s="605">
        <v>39.5</v>
      </c>
      <c r="CG2425" s="605"/>
      <c r="CH2425" s="605"/>
      <c r="CI2425" s="126" t="s">
        <v>4551</v>
      </c>
      <c r="JB2425" s="126" t="s">
        <v>2392</v>
      </c>
      <c r="JC2425" s="126" t="s">
        <v>2393</v>
      </c>
      <c r="JD2425" s="480"/>
    </row>
    <row r="2426" spans="1:264" s="24" customFormat="1" x14ac:dyDescent="0.25">
      <c r="A2426" s="24">
        <v>112</v>
      </c>
      <c r="B2426" s="42" t="s">
        <v>4300</v>
      </c>
      <c r="C2426" s="24" t="s">
        <v>2394</v>
      </c>
      <c r="D2426" s="24" t="s">
        <v>2395</v>
      </c>
      <c r="E2426" s="24">
        <v>2013</v>
      </c>
      <c r="F2426" s="24">
        <v>2012</v>
      </c>
      <c r="G2426" s="24" t="s">
        <v>151</v>
      </c>
      <c r="H2426" s="24" t="s">
        <v>2396</v>
      </c>
      <c r="I2426" s="24" t="s">
        <v>2822</v>
      </c>
      <c r="J2426" s="24">
        <f t="shared" ref="J2426:J2438" si="351">56.5</f>
        <v>56.5</v>
      </c>
      <c r="K2426" s="24">
        <f t="shared" ref="K2426:K2438" si="352">9+35/60</f>
        <v>9.5833333333333339</v>
      </c>
      <c r="L2426" s="24">
        <v>34.200000000000003</v>
      </c>
      <c r="N2426" s="24">
        <v>7.3</v>
      </c>
      <c r="P2426" s="24">
        <v>626</v>
      </c>
      <c r="R2426" s="42" t="s">
        <v>1843</v>
      </c>
      <c r="S2426" s="42" t="s">
        <v>1843</v>
      </c>
      <c r="U2426" s="42" t="s">
        <v>1846</v>
      </c>
      <c r="V2426" s="42" t="s">
        <v>1379</v>
      </c>
      <c r="W2426" s="42" t="s">
        <v>1715</v>
      </c>
      <c r="X2426" s="42" t="s">
        <v>1379</v>
      </c>
      <c r="Y2426" s="42" t="s">
        <v>1379</v>
      </c>
      <c r="AA2426" s="321">
        <v>75</v>
      </c>
      <c r="AB2426" s="321">
        <v>13</v>
      </c>
      <c r="AC2426" s="24" t="s">
        <v>240</v>
      </c>
      <c r="AE2426" s="24">
        <v>3.1</v>
      </c>
      <c r="AG2426" s="24" t="s">
        <v>2397</v>
      </c>
      <c r="AH2426" s="24" t="s">
        <v>2403</v>
      </c>
      <c r="AI2426" s="24" t="s">
        <v>1129</v>
      </c>
      <c r="AJ2426" s="24" t="s">
        <v>1053</v>
      </c>
      <c r="AK2426" s="24" t="s">
        <v>1646</v>
      </c>
      <c r="AL2426" s="24" t="s">
        <v>177</v>
      </c>
      <c r="AM2426" s="24" t="s">
        <v>177</v>
      </c>
      <c r="AN2426" s="24" t="s">
        <v>177</v>
      </c>
      <c r="AO2426" s="24" t="s">
        <v>2399</v>
      </c>
      <c r="AP2426" s="24" t="s">
        <v>2399</v>
      </c>
      <c r="AQ2426" s="24" t="s">
        <v>2125</v>
      </c>
      <c r="AR2426" s="24" t="s">
        <v>2125</v>
      </c>
      <c r="AS2426" s="24" t="s">
        <v>177</v>
      </c>
      <c r="AW2426" s="24" t="s">
        <v>160</v>
      </c>
      <c r="AX2426" s="24">
        <v>3</v>
      </c>
      <c r="AY2426" s="24">
        <f t="shared" ref="AY2426:AY2438" si="353">72/3/2</f>
        <v>12</v>
      </c>
      <c r="AZ2426" s="24" t="s">
        <v>2398</v>
      </c>
      <c r="BP2426" s="395"/>
      <c r="BQ2426" s="395"/>
      <c r="BU2426" s="395"/>
      <c r="BV2426" s="395"/>
      <c r="BZ2426" s="395"/>
      <c r="CA2426" s="395"/>
      <c r="CE2426" s="548"/>
      <c r="CF2426" s="548"/>
      <c r="CG2426" s="548"/>
      <c r="CH2426" s="548"/>
      <c r="DS2426" s="24">
        <v>8.49</v>
      </c>
      <c r="DT2426" s="24">
        <v>7.84</v>
      </c>
      <c r="DU2426" s="24">
        <f>(8.994-DS2426)*SQRT(3)</f>
        <v>0.87295360701471336</v>
      </c>
      <c r="DV2426" s="24">
        <f>(8.383-DT2426)*SQRT(3)</f>
        <v>0.94050358850989901</v>
      </c>
      <c r="DW2426" s="24" t="s">
        <v>930</v>
      </c>
      <c r="JB2426" s="24" t="s">
        <v>2404</v>
      </c>
      <c r="JD2426" s="249"/>
    </row>
    <row r="2427" spans="1:264" s="24" customFormat="1" x14ac:dyDescent="0.25">
      <c r="A2427" s="24">
        <v>112</v>
      </c>
      <c r="B2427" s="42" t="s">
        <v>4300</v>
      </c>
      <c r="C2427" s="24" t="s">
        <v>2394</v>
      </c>
      <c r="D2427" s="24" t="s">
        <v>2395</v>
      </c>
      <c r="E2427" s="24">
        <v>2013</v>
      </c>
      <c r="F2427" s="24">
        <v>2012</v>
      </c>
      <c r="G2427" s="24" t="s">
        <v>151</v>
      </c>
      <c r="H2427" s="24" t="s">
        <v>2396</v>
      </c>
      <c r="I2427" s="24" t="s">
        <v>2822</v>
      </c>
      <c r="J2427" s="24">
        <f t="shared" si="351"/>
        <v>56.5</v>
      </c>
      <c r="K2427" s="24">
        <f t="shared" si="352"/>
        <v>9.5833333333333339</v>
      </c>
      <c r="L2427" s="24">
        <v>34.200000000000003</v>
      </c>
      <c r="N2427" s="24">
        <v>7.3</v>
      </c>
      <c r="P2427" s="24">
        <v>626</v>
      </c>
      <c r="R2427" s="42" t="s">
        <v>1843</v>
      </c>
      <c r="S2427" s="42" t="s">
        <v>1843</v>
      </c>
      <c r="U2427" s="42" t="s">
        <v>1846</v>
      </c>
      <c r="V2427" s="42" t="s">
        <v>1379</v>
      </c>
      <c r="W2427" s="42" t="s">
        <v>1715</v>
      </c>
      <c r="X2427" s="42" t="s">
        <v>1379</v>
      </c>
      <c r="Y2427" s="42" t="s">
        <v>1379</v>
      </c>
      <c r="AA2427" s="321">
        <v>75</v>
      </c>
      <c r="AB2427" s="321">
        <v>13</v>
      </c>
      <c r="AC2427" s="24" t="s">
        <v>240</v>
      </c>
      <c r="AE2427" s="24">
        <v>3.1</v>
      </c>
      <c r="AG2427" s="24" t="s">
        <v>2397</v>
      </c>
      <c r="AH2427" s="24" t="s">
        <v>2403</v>
      </c>
      <c r="AI2427" s="24" t="s">
        <v>1129</v>
      </c>
      <c r="AJ2427" s="24" t="s">
        <v>1053</v>
      </c>
      <c r="AK2427" s="24" t="s">
        <v>1646</v>
      </c>
      <c r="AL2427" s="24" t="s">
        <v>177</v>
      </c>
      <c r="AM2427" s="24" t="s">
        <v>177</v>
      </c>
      <c r="AN2427" s="24" t="s">
        <v>177</v>
      </c>
      <c r="AO2427" s="24" t="s">
        <v>2305</v>
      </c>
      <c r="AP2427" s="24" t="s">
        <v>2305</v>
      </c>
      <c r="AQ2427" s="24" t="s">
        <v>2125</v>
      </c>
      <c r="AR2427" s="24" t="s">
        <v>2125</v>
      </c>
      <c r="AS2427" s="24" t="s">
        <v>177</v>
      </c>
      <c r="AW2427" s="24" t="s">
        <v>160</v>
      </c>
      <c r="AX2427" s="24">
        <v>3</v>
      </c>
      <c r="AY2427" s="24">
        <f t="shared" si="353"/>
        <v>12</v>
      </c>
      <c r="AZ2427" s="24" t="s">
        <v>2398</v>
      </c>
      <c r="BP2427" s="395"/>
      <c r="BQ2427" s="395"/>
      <c r="BU2427" s="395"/>
      <c r="BV2427" s="395"/>
      <c r="BZ2427" s="395"/>
      <c r="CA2427" s="395"/>
      <c r="CE2427" s="548"/>
      <c r="CF2427" s="548"/>
      <c r="CG2427" s="548"/>
      <c r="CH2427" s="548"/>
      <c r="DS2427" s="24">
        <v>8.01</v>
      </c>
      <c r="DT2427" s="24">
        <v>9.39</v>
      </c>
      <c r="DU2427" s="24">
        <f>(8.52-DS2427)*SQRT(3)</f>
        <v>0.88334591186012701</v>
      </c>
      <c r="DV2427" s="24">
        <f>(9.9-DT2427)*SQRT(3)</f>
        <v>0.88334591186012701</v>
      </c>
      <c r="DW2427" s="24" t="s">
        <v>930</v>
      </c>
      <c r="JB2427" s="24" t="s">
        <v>2404</v>
      </c>
      <c r="JD2427" s="249"/>
    </row>
    <row r="2428" spans="1:264" s="24" customFormat="1" x14ac:dyDescent="0.25">
      <c r="A2428" s="24">
        <v>112</v>
      </c>
      <c r="B2428" s="42" t="s">
        <v>4300</v>
      </c>
      <c r="C2428" s="24" t="s">
        <v>2394</v>
      </c>
      <c r="D2428" s="24" t="s">
        <v>2395</v>
      </c>
      <c r="E2428" s="24">
        <v>2013</v>
      </c>
      <c r="F2428" s="24">
        <v>2012</v>
      </c>
      <c r="G2428" s="24" t="s">
        <v>151</v>
      </c>
      <c r="H2428" s="24" t="s">
        <v>2396</v>
      </c>
      <c r="I2428" s="24" t="s">
        <v>2822</v>
      </c>
      <c r="J2428" s="24">
        <f t="shared" si="351"/>
        <v>56.5</v>
      </c>
      <c r="K2428" s="24">
        <f t="shared" si="352"/>
        <v>9.5833333333333339</v>
      </c>
      <c r="L2428" s="24">
        <v>34.200000000000003</v>
      </c>
      <c r="N2428" s="24">
        <v>7.3</v>
      </c>
      <c r="P2428" s="24">
        <v>626</v>
      </c>
      <c r="R2428" s="42" t="s">
        <v>1843</v>
      </c>
      <c r="S2428" s="42" t="s">
        <v>1843</v>
      </c>
      <c r="U2428" s="42" t="s">
        <v>1846</v>
      </c>
      <c r="V2428" s="42" t="s">
        <v>1379</v>
      </c>
      <c r="W2428" s="42" t="s">
        <v>1715</v>
      </c>
      <c r="X2428" s="42" t="s">
        <v>1379</v>
      </c>
      <c r="Y2428" s="42" t="s">
        <v>1379</v>
      </c>
      <c r="AA2428" s="321">
        <v>75</v>
      </c>
      <c r="AB2428" s="321">
        <v>13</v>
      </c>
      <c r="AC2428" s="24" t="s">
        <v>240</v>
      </c>
      <c r="AE2428" s="24">
        <v>3.1</v>
      </c>
      <c r="AG2428" s="24" t="s">
        <v>2397</v>
      </c>
      <c r="AH2428" s="24" t="s">
        <v>2403</v>
      </c>
      <c r="AI2428" s="24" t="s">
        <v>1129</v>
      </c>
      <c r="AJ2428" s="24" t="s">
        <v>1053</v>
      </c>
      <c r="AK2428" s="24" t="s">
        <v>1646</v>
      </c>
      <c r="AL2428" s="24" t="s">
        <v>177</v>
      </c>
      <c r="AM2428" s="24" t="s">
        <v>177</v>
      </c>
      <c r="AN2428" s="24" t="s">
        <v>177</v>
      </c>
      <c r="AO2428" s="24" t="s">
        <v>2400</v>
      </c>
      <c r="AP2428" s="24" t="s">
        <v>2400</v>
      </c>
      <c r="AQ2428" s="24" t="s">
        <v>2125</v>
      </c>
      <c r="AR2428" s="24" t="s">
        <v>2125</v>
      </c>
      <c r="AS2428" s="24" t="s">
        <v>177</v>
      </c>
      <c r="AW2428" s="24" t="s">
        <v>160</v>
      </c>
      <c r="AX2428" s="24">
        <v>3</v>
      </c>
      <c r="AY2428" s="24">
        <f t="shared" si="353"/>
        <v>12</v>
      </c>
      <c r="AZ2428" s="24" t="s">
        <v>2398</v>
      </c>
      <c r="BP2428" s="395"/>
      <c r="BQ2428" s="395"/>
      <c r="BU2428" s="395"/>
      <c r="BV2428" s="395"/>
      <c r="BZ2428" s="395"/>
      <c r="CA2428" s="395"/>
      <c r="CE2428" s="548"/>
      <c r="CF2428" s="548"/>
      <c r="CG2428" s="548"/>
      <c r="CH2428" s="548"/>
      <c r="DS2428" s="24">
        <v>5.8</v>
      </c>
      <c r="DT2428" s="24">
        <v>6.24</v>
      </c>
      <c r="DU2428" s="24">
        <f>(6.383-DS2428)*SQRT(3)</f>
        <v>1.0097856208126557</v>
      </c>
      <c r="DV2428" s="24">
        <f>(6.83-DT2428)*SQRT(3)</f>
        <v>1.0219099764656372</v>
      </c>
      <c r="DW2428" s="24" t="s">
        <v>930</v>
      </c>
      <c r="JB2428" s="24" t="s">
        <v>2404</v>
      </c>
      <c r="JD2428" s="249"/>
    </row>
    <row r="2429" spans="1:264" s="32" customFormat="1" x14ac:dyDescent="0.25">
      <c r="A2429" s="32">
        <v>112</v>
      </c>
      <c r="B2429" s="44" t="s">
        <v>4301</v>
      </c>
      <c r="C2429" s="32" t="s">
        <v>2394</v>
      </c>
      <c r="D2429" s="32" t="s">
        <v>2395</v>
      </c>
      <c r="E2429" s="32">
        <v>2013</v>
      </c>
      <c r="F2429" s="32">
        <v>2012</v>
      </c>
      <c r="G2429" s="32" t="s">
        <v>151</v>
      </c>
      <c r="H2429" s="32" t="s">
        <v>2396</v>
      </c>
      <c r="I2429" s="24" t="s">
        <v>2822</v>
      </c>
      <c r="J2429" s="32">
        <f t="shared" si="351"/>
        <v>56.5</v>
      </c>
      <c r="K2429" s="32">
        <f t="shared" si="352"/>
        <v>9.5833333333333339</v>
      </c>
      <c r="L2429" s="32">
        <v>34.200000000000003</v>
      </c>
      <c r="N2429" s="32">
        <v>7.3</v>
      </c>
      <c r="P2429" s="32">
        <v>626</v>
      </c>
      <c r="R2429" s="44" t="s">
        <v>1843</v>
      </c>
      <c r="S2429" s="44" t="s">
        <v>1843</v>
      </c>
      <c r="U2429" s="44" t="s">
        <v>1846</v>
      </c>
      <c r="V2429" s="44" t="s">
        <v>1388</v>
      </c>
      <c r="W2429" s="44" t="s">
        <v>1719</v>
      </c>
      <c r="X2429" s="44" t="s">
        <v>1388</v>
      </c>
      <c r="Y2429" s="44" t="s">
        <v>1379</v>
      </c>
      <c r="AA2429" s="323">
        <v>75</v>
      </c>
      <c r="AB2429" s="323">
        <v>13</v>
      </c>
      <c r="AC2429" s="32" t="s">
        <v>240</v>
      </c>
      <c r="AE2429" s="32">
        <v>3.1</v>
      </c>
      <c r="AG2429" s="32" t="s">
        <v>2397</v>
      </c>
      <c r="AH2429" s="32" t="s">
        <v>2403</v>
      </c>
      <c r="AI2429" s="32" t="s">
        <v>1129</v>
      </c>
      <c r="AJ2429" s="32" t="s">
        <v>1053</v>
      </c>
      <c r="AK2429" s="32" t="s">
        <v>1646</v>
      </c>
      <c r="AL2429" s="32" t="s">
        <v>177</v>
      </c>
      <c r="AM2429" s="32" t="s">
        <v>177</v>
      </c>
      <c r="AN2429" s="32" t="s">
        <v>177</v>
      </c>
      <c r="AO2429" s="32" t="s">
        <v>2405</v>
      </c>
      <c r="AP2429" s="32" t="s">
        <v>2405</v>
      </c>
      <c r="AQ2429" s="32" t="s">
        <v>2125</v>
      </c>
      <c r="AR2429" s="32" t="s">
        <v>2125</v>
      </c>
      <c r="AS2429" s="32" t="s">
        <v>177</v>
      </c>
      <c r="AW2429" s="32" t="s">
        <v>160</v>
      </c>
      <c r="AX2429" s="32">
        <v>3</v>
      </c>
      <c r="AY2429" s="32">
        <f t="shared" si="353"/>
        <v>12</v>
      </c>
      <c r="AZ2429" s="32" t="s">
        <v>2398</v>
      </c>
      <c r="BP2429" s="397"/>
      <c r="BQ2429" s="397"/>
      <c r="BU2429" s="397">
        <f>22.3/10</f>
        <v>2.23</v>
      </c>
      <c r="BV2429" s="397">
        <f>21.4/10</f>
        <v>2.1399999999999997</v>
      </c>
      <c r="BY2429" s="32" t="s">
        <v>2407</v>
      </c>
      <c r="BZ2429" s="397"/>
      <c r="CA2429" s="397"/>
      <c r="CD2429" s="32" t="s">
        <v>3120</v>
      </c>
      <c r="CE2429" s="550">
        <v>2.23</v>
      </c>
      <c r="CF2429" s="550">
        <v>2.1399999999999997</v>
      </c>
      <c r="CG2429" s="550"/>
      <c r="CH2429" s="550"/>
      <c r="CI2429" s="32" t="s">
        <v>4542</v>
      </c>
      <c r="CJ2429" s="32">
        <f>1.94*1000</f>
        <v>1940</v>
      </c>
      <c r="CK2429" s="32">
        <f>1.84*1000</f>
        <v>1840</v>
      </c>
      <c r="CN2429" s="32" t="s">
        <v>2410</v>
      </c>
      <c r="CO2429" s="32">
        <f>41000</f>
        <v>41000</v>
      </c>
      <c r="CP2429" s="32">
        <v>39900</v>
      </c>
      <c r="CS2429" s="32" t="s">
        <v>2284</v>
      </c>
      <c r="CT2429" s="32">
        <f>260*1000</f>
        <v>260000</v>
      </c>
      <c r="CU2429" s="32">
        <f>299*1000</f>
        <v>299000</v>
      </c>
      <c r="CX2429" s="32" t="s">
        <v>2284</v>
      </c>
      <c r="CY2429" s="32">
        <v>5.97</v>
      </c>
      <c r="CZ2429" s="32">
        <v>5.87</v>
      </c>
      <c r="EC2429" s="32">
        <v>0.48</v>
      </c>
      <c r="ED2429" s="32">
        <v>0.46</v>
      </c>
      <c r="EG2429" s="32" t="s">
        <v>2413</v>
      </c>
      <c r="IN2429" s="32">
        <f>0.415*1000</f>
        <v>415</v>
      </c>
      <c r="IO2429" s="32">
        <f>0.434*1000</f>
        <v>434</v>
      </c>
      <c r="IR2429" s="32" t="s">
        <v>2411</v>
      </c>
      <c r="JB2429" s="32" t="s">
        <v>2404</v>
      </c>
      <c r="JD2429" s="243"/>
    </row>
    <row r="2430" spans="1:264" s="32" customFormat="1" x14ac:dyDescent="0.25">
      <c r="A2430" s="32">
        <v>112</v>
      </c>
      <c r="B2430" s="44" t="s">
        <v>4302</v>
      </c>
      <c r="C2430" s="32" t="s">
        <v>2394</v>
      </c>
      <c r="D2430" s="32" t="s">
        <v>2395</v>
      </c>
      <c r="E2430" s="32">
        <v>2013</v>
      </c>
      <c r="F2430" s="32">
        <v>2012</v>
      </c>
      <c r="G2430" s="32" t="s">
        <v>151</v>
      </c>
      <c r="H2430" s="32" t="s">
        <v>2396</v>
      </c>
      <c r="I2430" s="24" t="s">
        <v>2822</v>
      </c>
      <c r="J2430" s="32">
        <f t="shared" si="351"/>
        <v>56.5</v>
      </c>
      <c r="K2430" s="32">
        <f t="shared" si="352"/>
        <v>9.5833333333333339</v>
      </c>
      <c r="L2430" s="32">
        <v>34.200000000000003</v>
      </c>
      <c r="N2430" s="32">
        <v>7.3</v>
      </c>
      <c r="P2430" s="32">
        <v>626</v>
      </c>
      <c r="R2430" s="44" t="s">
        <v>1843</v>
      </c>
      <c r="S2430" s="44" t="s">
        <v>1843</v>
      </c>
      <c r="U2430" s="44" t="s">
        <v>1846</v>
      </c>
      <c r="V2430" s="44" t="s">
        <v>1392</v>
      </c>
      <c r="W2430" s="44" t="s">
        <v>1719</v>
      </c>
      <c r="X2430" s="44" t="s">
        <v>1388</v>
      </c>
      <c r="Y2430" s="44" t="s">
        <v>1379</v>
      </c>
      <c r="AA2430" s="323">
        <v>75</v>
      </c>
      <c r="AB2430" s="323">
        <v>13</v>
      </c>
      <c r="AC2430" s="32" t="s">
        <v>240</v>
      </c>
      <c r="AE2430" s="32">
        <v>3.1</v>
      </c>
      <c r="AG2430" s="32" t="s">
        <v>2397</v>
      </c>
      <c r="AH2430" s="32" t="s">
        <v>2403</v>
      </c>
      <c r="AI2430" s="32" t="s">
        <v>1129</v>
      </c>
      <c r="AJ2430" s="32" t="s">
        <v>1053</v>
      </c>
      <c r="AK2430" s="32" t="s">
        <v>1646</v>
      </c>
      <c r="AL2430" s="32" t="s">
        <v>177</v>
      </c>
      <c r="AM2430" s="32" t="s">
        <v>177</v>
      </c>
      <c r="AN2430" s="32" t="s">
        <v>177</v>
      </c>
      <c r="AO2430" s="32" t="s">
        <v>2405</v>
      </c>
      <c r="AP2430" s="32" t="s">
        <v>2405</v>
      </c>
      <c r="AQ2430" s="32" t="s">
        <v>2125</v>
      </c>
      <c r="AR2430" s="32" t="s">
        <v>2125</v>
      </c>
      <c r="AS2430" s="32" t="s">
        <v>177</v>
      </c>
      <c r="AW2430" s="32" t="s">
        <v>160</v>
      </c>
      <c r="AX2430" s="32">
        <v>3</v>
      </c>
      <c r="AY2430" s="32">
        <f t="shared" si="353"/>
        <v>12</v>
      </c>
      <c r="AZ2430" s="32" t="s">
        <v>2398</v>
      </c>
      <c r="BP2430" s="397"/>
      <c r="BQ2430" s="397"/>
      <c r="BU2430" s="397">
        <v>1.99</v>
      </c>
      <c r="BV2430" s="397">
        <v>1.94</v>
      </c>
      <c r="BY2430" s="32" t="s">
        <v>2407</v>
      </c>
      <c r="BZ2430" s="397"/>
      <c r="CA2430" s="397"/>
      <c r="CD2430" s="32" t="s">
        <v>3120</v>
      </c>
      <c r="CE2430" s="550">
        <v>1.99</v>
      </c>
      <c r="CF2430" s="550">
        <v>1.94</v>
      </c>
      <c r="CG2430" s="550"/>
      <c r="CH2430" s="550"/>
      <c r="CI2430" s="32" t="s">
        <v>4542</v>
      </c>
      <c r="CJ2430" s="32">
        <f>1.71*1000</f>
        <v>1710</v>
      </c>
      <c r="CK2430" s="32">
        <f>1.64*1000</f>
        <v>1640</v>
      </c>
      <c r="CN2430" s="32" t="s">
        <v>2410</v>
      </c>
      <c r="CO2430" s="32">
        <v>33100</v>
      </c>
      <c r="CP2430" s="32">
        <v>31600</v>
      </c>
      <c r="CS2430" s="32" t="s">
        <v>2284</v>
      </c>
      <c r="CT2430" s="32">
        <f>163*1000</f>
        <v>163000</v>
      </c>
      <c r="CU2430" s="32">
        <f>174*1000</f>
        <v>174000</v>
      </c>
      <c r="CX2430" s="32" t="s">
        <v>2284</v>
      </c>
      <c r="CY2430" s="32">
        <v>6.22</v>
      </c>
      <c r="CZ2430" s="32">
        <v>6.17</v>
      </c>
      <c r="EC2430" s="32">
        <v>0.87</v>
      </c>
      <c r="ED2430" s="32">
        <v>0.8</v>
      </c>
      <c r="EG2430" s="32" t="s">
        <v>2412</v>
      </c>
      <c r="IN2430" s="32">
        <f>0.372*1000</f>
        <v>372</v>
      </c>
      <c r="IO2430" s="32">
        <f>0.404*1000</f>
        <v>404</v>
      </c>
      <c r="IR2430" s="32" t="s">
        <v>2411</v>
      </c>
      <c r="JB2430" s="32" t="s">
        <v>2404</v>
      </c>
      <c r="JD2430" s="243"/>
    </row>
    <row r="2431" spans="1:264" s="32" customFormat="1" x14ac:dyDescent="0.25">
      <c r="A2431" s="32">
        <v>112</v>
      </c>
      <c r="B2431" s="44" t="s">
        <v>4303</v>
      </c>
      <c r="C2431" s="32" t="s">
        <v>2394</v>
      </c>
      <c r="D2431" s="32" t="s">
        <v>2395</v>
      </c>
      <c r="E2431" s="32">
        <v>2013</v>
      </c>
      <c r="F2431" s="32">
        <v>2012</v>
      </c>
      <c r="G2431" s="32" t="s">
        <v>151</v>
      </c>
      <c r="H2431" s="32" t="s">
        <v>2396</v>
      </c>
      <c r="I2431" s="24" t="s">
        <v>2822</v>
      </c>
      <c r="J2431" s="32">
        <f t="shared" si="351"/>
        <v>56.5</v>
      </c>
      <c r="K2431" s="32">
        <f t="shared" si="352"/>
        <v>9.5833333333333339</v>
      </c>
      <c r="L2431" s="32">
        <v>34.200000000000003</v>
      </c>
      <c r="N2431" s="32">
        <v>7.3</v>
      </c>
      <c r="P2431" s="32">
        <v>626</v>
      </c>
      <c r="R2431" s="44" t="s">
        <v>1843</v>
      </c>
      <c r="S2431" s="44" t="s">
        <v>1843</v>
      </c>
      <c r="U2431" s="44" t="s">
        <v>1846</v>
      </c>
      <c r="V2431" s="44" t="s">
        <v>1383</v>
      </c>
      <c r="W2431" s="44" t="s">
        <v>1715</v>
      </c>
      <c r="X2431" s="44" t="s">
        <v>1388</v>
      </c>
      <c r="Y2431" s="44" t="s">
        <v>1379</v>
      </c>
      <c r="AA2431" s="323">
        <v>75</v>
      </c>
      <c r="AB2431" s="323">
        <v>13</v>
      </c>
      <c r="AC2431" s="32" t="s">
        <v>240</v>
      </c>
      <c r="AE2431" s="32">
        <v>3.1</v>
      </c>
      <c r="AG2431" s="32" t="s">
        <v>2397</v>
      </c>
      <c r="AH2431" s="32" t="s">
        <v>2403</v>
      </c>
      <c r="AI2431" s="32" t="s">
        <v>1129</v>
      </c>
      <c r="AJ2431" s="32" t="s">
        <v>1053</v>
      </c>
      <c r="AK2431" s="32" t="s">
        <v>1646</v>
      </c>
      <c r="AL2431" s="32" t="s">
        <v>177</v>
      </c>
      <c r="AM2431" s="32" t="s">
        <v>177</v>
      </c>
      <c r="AN2431" s="32" t="s">
        <v>177</v>
      </c>
      <c r="AO2431" s="32" t="s">
        <v>2405</v>
      </c>
      <c r="AP2431" s="32" t="s">
        <v>2405</v>
      </c>
      <c r="AQ2431" s="32" t="s">
        <v>2125</v>
      </c>
      <c r="AR2431" s="32" t="s">
        <v>2125</v>
      </c>
      <c r="AS2431" s="32" t="s">
        <v>177</v>
      </c>
      <c r="AW2431" s="32" t="s">
        <v>160</v>
      </c>
      <c r="AX2431" s="32">
        <v>3</v>
      </c>
      <c r="AY2431" s="32">
        <f t="shared" si="353"/>
        <v>12</v>
      </c>
      <c r="AZ2431" s="32" t="s">
        <v>2398</v>
      </c>
      <c r="BP2431" s="397"/>
      <c r="BQ2431" s="397"/>
      <c r="BU2431" s="397"/>
      <c r="BV2431" s="397"/>
      <c r="BZ2431" s="397"/>
      <c r="CA2431" s="397"/>
      <c r="CE2431" s="550"/>
      <c r="CF2431" s="550"/>
      <c r="CG2431" s="550"/>
      <c r="CH2431" s="550"/>
      <c r="EC2431" s="32">
        <v>2.02</v>
      </c>
      <c r="ED2431" s="32">
        <v>1.75</v>
      </c>
      <c r="EG2431" s="32" t="s">
        <v>2413</v>
      </c>
      <c r="IN2431" s="32">
        <f>0.415*1000</f>
        <v>415</v>
      </c>
      <c r="IO2431" s="32">
        <f>0.434*1000</f>
        <v>434</v>
      </c>
      <c r="IR2431" s="32" t="s">
        <v>2411</v>
      </c>
      <c r="JB2431" s="32" t="s">
        <v>2404</v>
      </c>
      <c r="JD2431" s="243"/>
    </row>
    <row r="2432" spans="1:264" s="32" customFormat="1" x14ac:dyDescent="0.25">
      <c r="A2432" s="32">
        <v>112</v>
      </c>
      <c r="B2432" s="44" t="s">
        <v>4304</v>
      </c>
      <c r="C2432" s="32" t="s">
        <v>2394</v>
      </c>
      <c r="D2432" s="32" t="s">
        <v>2395</v>
      </c>
      <c r="E2432" s="32">
        <v>2013</v>
      </c>
      <c r="F2432" s="32">
        <v>2012</v>
      </c>
      <c r="G2432" s="32" t="s">
        <v>151</v>
      </c>
      <c r="H2432" s="32" t="s">
        <v>2396</v>
      </c>
      <c r="I2432" s="24" t="s">
        <v>2822</v>
      </c>
      <c r="J2432" s="32">
        <f t="shared" si="351"/>
        <v>56.5</v>
      </c>
      <c r="K2432" s="32">
        <f t="shared" si="352"/>
        <v>9.5833333333333339</v>
      </c>
      <c r="L2432" s="32">
        <v>34.200000000000003</v>
      </c>
      <c r="N2432" s="32">
        <v>7.3</v>
      </c>
      <c r="P2432" s="32">
        <v>626</v>
      </c>
      <c r="R2432" s="44" t="s">
        <v>1843</v>
      </c>
      <c r="S2432" s="44" t="s">
        <v>1843</v>
      </c>
      <c r="U2432" s="44" t="s">
        <v>1846</v>
      </c>
      <c r="V2432" s="44" t="s">
        <v>1384</v>
      </c>
      <c r="W2432" s="44" t="s">
        <v>1715</v>
      </c>
      <c r="X2432" s="44" t="s">
        <v>1388</v>
      </c>
      <c r="Y2432" s="44" t="s">
        <v>1379</v>
      </c>
      <c r="AA2432" s="323">
        <v>75</v>
      </c>
      <c r="AB2432" s="323">
        <v>13</v>
      </c>
      <c r="AC2432" s="32" t="s">
        <v>240</v>
      </c>
      <c r="AE2432" s="32">
        <v>3.1</v>
      </c>
      <c r="AG2432" s="32" t="s">
        <v>2397</v>
      </c>
      <c r="AH2432" s="32" t="s">
        <v>2403</v>
      </c>
      <c r="AI2432" s="32" t="s">
        <v>1129</v>
      </c>
      <c r="AJ2432" s="32" t="s">
        <v>1053</v>
      </c>
      <c r="AK2432" s="32" t="s">
        <v>1646</v>
      </c>
      <c r="AL2432" s="32" t="s">
        <v>177</v>
      </c>
      <c r="AM2432" s="32" t="s">
        <v>177</v>
      </c>
      <c r="AN2432" s="32" t="s">
        <v>177</v>
      </c>
      <c r="AO2432" s="32" t="s">
        <v>2405</v>
      </c>
      <c r="AP2432" s="32" t="s">
        <v>2405</v>
      </c>
      <c r="AQ2432" s="32" t="s">
        <v>2125</v>
      </c>
      <c r="AR2432" s="32" t="s">
        <v>2125</v>
      </c>
      <c r="AS2432" s="32" t="s">
        <v>177</v>
      </c>
      <c r="AW2432" s="32" t="s">
        <v>160</v>
      </c>
      <c r="AX2432" s="32">
        <v>3</v>
      </c>
      <c r="AY2432" s="32">
        <f t="shared" si="353"/>
        <v>12</v>
      </c>
      <c r="AZ2432" s="32" t="s">
        <v>2398</v>
      </c>
      <c r="BP2432" s="397"/>
      <c r="BQ2432" s="397"/>
      <c r="BU2432" s="397"/>
      <c r="BV2432" s="397"/>
      <c r="BZ2432" s="397"/>
      <c r="CA2432" s="397"/>
      <c r="CE2432" s="550"/>
      <c r="CF2432" s="550"/>
      <c r="CG2432" s="550"/>
      <c r="CH2432" s="550"/>
      <c r="EC2432" s="32">
        <v>1.68</v>
      </c>
      <c r="ED2432" s="32">
        <v>1.5</v>
      </c>
      <c r="EG2432" s="32" t="s">
        <v>2412</v>
      </c>
      <c r="IN2432" s="32">
        <f>0.372*1000</f>
        <v>372</v>
      </c>
      <c r="IO2432" s="32">
        <f>0.404*1000</f>
        <v>404</v>
      </c>
      <c r="IR2432" s="32" t="s">
        <v>2411</v>
      </c>
      <c r="JB2432" s="32" t="s">
        <v>2404</v>
      </c>
      <c r="JD2432" s="243"/>
    </row>
    <row r="2433" spans="1:264" s="36" customFormat="1" x14ac:dyDescent="0.25">
      <c r="A2433" s="36">
        <v>113</v>
      </c>
      <c r="B2433" s="51" t="s">
        <v>4305</v>
      </c>
      <c r="C2433" s="36" t="s">
        <v>2394</v>
      </c>
      <c r="D2433" s="36" t="s">
        <v>2395</v>
      </c>
      <c r="E2433" s="36">
        <v>2013</v>
      </c>
      <c r="F2433" s="36">
        <v>2012</v>
      </c>
      <c r="G2433" s="36" t="s">
        <v>151</v>
      </c>
      <c r="H2433" s="36" t="s">
        <v>2396</v>
      </c>
      <c r="I2433" s="36" t="s">
        <v>2822</v>
      </c>
      <c r="J2433" s="36">
        <f t="shared" si="351"/>
        <v>56.5</v>
      </c>
      <c r="K2433" s="36">
        <f t="shared" si="352"/>
        <v>9.5833333333333339</v>
      </c>
      <c r="L2433" s="36">
        <v>34.200000000000003</v>
      </c>
      <c r="N2433" s="36">
        <v>7.3</v>
      </c>
      <c r="P2433" s="36">
        <v>626</v>
      </c>
      <c r="R2433" s="51" t="s">
        <v>1843</v>
      </c>
      <c r="S2433" s="51" t="s">
        <v>1843</v>
      </c>
      <c r="U2433" s="51" t="s">
        <v>1846</v>
      </c>
      <c r="V2433" s="51" t="s">
        <v>1394</v>
      </c>
      <c r="W2433" s="51" t="s">
        <v>1722</v>
      </c>
      <c r="X2433" s="51" t="s">
        <v>1379</v>
      </c>
      <c r="Y2433" s="51" t="s">
        <v>1379</v>
      </c>
      <c r="AA2433" s="331">
        <v>75</v>
      </c>
      <c r="AB2433" s="331">
        <v>13</v>
      </c>
      <c r="AC2433" s="36" t="s">
        <v>240</v>
      </c>
      <c r="AE2433" s="36">
        <v>3.1</v>
      </c>
      <c r="AG2433" s="36" t="s">
        <v>2397</v>
      </c>
      <c r="AH2433" s="36" t="s">
        <v>2403</v>
      </c>
      <c r="AI2433" s="36" t="s">
        <v>1129</v>
      </c>
      <c r="AJ2433" s="36" t="s">
        <v>1053</v>
      </c>
      <c r="AK2433" s="36" t="s">
        <v>1646</v>
      </c>
      <c r="AL2433" s="36" t="s">
        <v>177</v>
      </c>
      <c r="AM2433" s="36" t="s">
        <v>177</v>
      </c>
      <c r="AN2433" s="36" t="s">
        <v>177</v>
      </c>
      <c r="AO2433" s="36" t="s">
        <v>2399</v>
      </c>
      <c r="AP2433" s="36" t="s">
        <v>2399</v>
      </c>
      <c r="AQ2433" s="36" t="s">
        <v>2125</v>
      </c>
      <c r="AR2433" s="36" t="s">
        <v>2125</v>
      </c>
      <c r="AS2433" s="36" t="s">
        <v>177</v>
      </c>
      <c r="AW2433" s="36" t="s">
        <v>160</v>
      </c>
      <c r="AX2433" s="36">
        <v>3</v>
      </c>
      <c r="AY2433" s="36">
        <f t="shared" si="353"/>
        <v>12</v>
      </c>
      <c r="AZ2433" s="36" t="s">
        <v>2398</v>
      </c>
      <c r="BP2433" s="407"/>
      <c r="BQ2433" s="407"/>
      <c r="BU2433" s="407"/>
      <c r="BV2433" s="407"/>
      <c r="BZ2433" s="407"/>
      <c r="CA2433" s="407"/>
      <c r="CE2433" s="560"/>
      <c r="CF2433" s="560"/>
      <c r="CG2433" s="560"/>
      <c r="CH2433" s="560"/>
      <c r="DX2433" s="36">
        <v>0.51</v>
      </c>
      <c r="DY2433" s="36">
        <v>0.52</v>
      </c>
      <c r="EB2433" s="36" t="s">
        <v>1017</v>
      </c>
      <c r="EH2433" s="36">
        <v>171</v>
      </c>
      <c r="EI2433" s="36">
        <v>170</v>
      </c>
      <c r="EL2433" s="36" t="s">
        <v>2416</v>
      </c>
      <c r="JD2433" s="230"/>
    </row>
    <row r="2434" spans="1:264" s="36" customFormat="1" x14ac:dyDescent="0.25">
      <c r="A2434" s="36">
        <v>113</v>
      </c>
      <c r="B2434" s="51" t="s">
        <v>4306</v>
      </c>
      <c r="C2434" s="36" t="s">
        <v>2394</v>
      </c>
      <c r="D2434" s="36" t="s">
        <v>2395</v>
      </c>
      <c r="E2434" s="36">
        <v>2013</v>
      </c>
      <c r="F2434" s="36">
        <v>2012</v>
      </c>
      <c r="G2434" s="36" t="s">
        <v>151</v>
      </c>
      <c r="H2434" s="36" t="s">
        <v>2396</v>
      </c>
      <c r="I2434" s="36" t="s">
        <v>2822</v>
      </c>
      <c r="J2434" s="36">
        <f t="shared" si="351"/>
        <v>56.5</v>
      </c>
      <c r="K2434" s="36">
        <f t="shared" si="352"/>
        <v>9.5833333333333339</v>
      </c>
      <c r="L2434" s="36">
        <v>34.200000000000003</v>
      </c>
      <c r="N2434" s="36">
        <v>7.3</v>
      </c>
      <c r="P2434" s="36">
        <v>626</v>
      </c>
      <c r="R2434" s="51" t="s">
        <v>1843</v>
      </c>
      <c r="S2434" s="51" t="s">
        <v>1843</v>
      </c>
      <c r="U2434" s="51" t="s">
        <v>1846</v>
      </c>
      <c r="V2434" s="51" t="s">
        <v>1412</v>
      </c>
      <c r="W2434" s="51" t="s">
        <v>1719</v>
      </c>
      <c r="X2434" s="51" t="s">
        <v>1379</v>
      </c>
      <c r="Y2434" s="51" t="s">
        <v>1379</v>
      </c>
      <c r="AA2434" s="331">
        <v>75</v>
      </c>
      <c r="AB2434" s="331">
        <v>13</v>
      </c>
      <c r="AC2434" s="36" t="s">
        <v>240</v>
      </c>
      <c r="AE2434" s="36">
        <v>3.1</v>
      </c>
      <c r="AG2434" s="36" t="s">
        <v>2397</v>
      </c>
      <c r="AH2434" s="36" t="s">
        <v>2403</v>
      </c>
      <c r="AI2434" s="36" t="s">
        <v>1129</v>
      </c>
      <c r="AJ2434" s="36" t="s">
        <v>1053</v>
      </c>
      <c r="AK2434" s="36" t="s">
        <v>1646</v>
      </c>
      <c r="AL2434" s="36" t="s">
        <v>177</v>
      </c>
      <c r="AM2434" s="36" t="s">
        <v>177</v>
      </c>
      <c r="AN2434" s="36" t="s">
        <v>177</v>
      </c>
      <c r="AO2434" s="36" t="s">
        <v>2399</v>
      </c>
      <c r="AP2434" s="36" t="s">
        <v>2399</v>
      </c>
      <c r="AQ2434" s="36" t="s">
        <v>2125</v>
      </c>
      <c r="AR2434" s="36" t="s">
        <v>2125</v>
      </c>
      <c r="AS2434" s="36" t="s">
        <v>177</v>
      </c>
      <c r="AW2434" s="36" t="s">
        <v>160</v>
      </c>
      <c r="AX2434" s="36">
        <v>3</v>
      </c>
      <c r="AY2434" s="36">
        <f t="shared" si="353"/>
        <v>12</v>
      </c>
      <c r="AZ2434" s="36" t="s">
        <v>2398</v>
      </c>
      <c r="BP2434" s="407"/>
      <c r="BQ2434" s="407"/>
      <c r="BU2434" s="407"/>
      <c r="BV2434" s="407"/>
      <c r="BZ2434" s="407"/>
      <c r="CA2434" s="407"/>
      <c r="CE2434" s="560"/>
      <c r="CF2434" s="560"/>
      <c r="CG2434" s="560"/>
      <c r="CH2434" s="560"/>
      <c r="DX2434" s="36">
        <v>0.48</v>
      </c>
      <c r="DY2434" s="36">
        <v>0.49</v>
      </c>
      <c r="EB2434" s="36" t="s">
        <v>1017</v>
      </c>
      <c r="JD2434" s="230"/>
    </row>
    <row r="2435" spans="1:264" s="36" customFormat="1" x14ac:dyDescent="0.25">
      <c r="A2435" s="36">
        <v>113</v>
      </c>
      <c r="B2435" s="51" t="s">
        <v>4307</v>
      </c>
      <c r="C2435" s="36" t="s">
        <v>2394</v>
      </c>
      <c r="D2435" s="36" t="s">
        <v>2395</v>
      </c>
      <c r="E2435" s="36">
        <v>2013</v>
      </c>
      <c r="F2435" s="36">
        <v>2012</v>
      </c>
      <c r="G2435" s="36" t="s">
        <v>151</v>
      </c>
      <c r="H2435" s="36" t="s">
        <v>2396</v>
      </c>
      <c r="I2435" s="36" t="s">
        <v>2822</v>
      </c>
      <c r="J2435" s="36">
        <f t="shared" si="351"/>
        <v>56.5</v>
      </c>
      <c r="K2435" s="36">
        <f t="shared" si="352"/>
        <v>9.5833333333333339</v>
      </c>
      <c r="L2435" s="36">
        <v>34.200000000000003</v>
      </c>
      <c r="N2435" s="36">
        <v>7.3</v>
      </c>
      <c r="P2435" s="36">
        <v>626</v>
      </c>
      <c r="R2435" s="51" t="s">
        <v>1843</v>
      </c>
      <c r="S2435" s="51" t="s">
        <v>1843</v>
      </c>
      <c r="U2435" s="51" t="s">
        <v>1846</v>
      </c>
      <c r="V2435" s="51" t="s">
        <v>2415</v>
      </c>
      <c r="W2435" s="51" t="s">
        <v>1722</v>
      </c>
      <c r="X2435" s="51" t="s">
        <v>1379</v>
      </c>
      <c r="Y2435" s="51" t="s">
        <v>1379</v>
      </c>
      <c r="AA2435" s="331">
        <v>75</v>
      </c>
      <c r="AB2435" s="331">
        <v>13</v>
      </c>
      <c r="AC2435" s="36" t="s">
        <v>240</v>
      </c>
      <c r="AE2435" s="36">
        <v>3.1</v>
      </c>
      <c r="AG2435" s="36" t="s">
        <v>2397</v>
      </c>
      <c r="AH2435" s="36" t="s">
        <v>2403</v>
      </c>
      <c r="AI2435" s="36" t="s">
        <v>1129</v>
      </c>
      <c r="AJ2435" s="36" t="s">
        <v>1053</v>
      </c>
      <c r="AK2435" s="36" t="s">
        <v>1646</v>
      </c>
      <c r="AL2435" s="36" t="s">
        <v>177</v>
      </c>
      <c r="AM2435" s="36" t="s">
        <v>177</v>
      </c>
      <c r="AN2435" s="36" t="s">
        <v>177</v>
      </c>
      <c r="AO2435" s="36" t="s">
        <v>2399</v>
      </c>
      <c r="AP2435" s="36" t="s">
        <v>2399</v>
      </c>
      <c r="AQ2435" s="36" t="s">
        <v>2125</v>
      </c>
      <c r="AR2435" s="36" t="s">
        <v>2125</v>
      </c>
      <c r="AS2435" s="36" t="s">
        <v>177</v>
      </c>
      <c r="AW2435" s="36" t="s">
        <v>160</v>
      </c>
      <c r="AX2435" s="36">
        <v>3</v>
      </c>
      <c r="AY2435" s="36">
        <f t="shared" si="353"/>
        <v>12</v>
      </c>
      <c r="AZ2435" s="36" t="s">
        <v>2398</v>
      </c>
      <c r="BP2435" s="407"/>
      <c r="BQ2435" s="407"/>
      <c r="BU2435" s="407"/>
      <c r="BV2435" s="407"/>
      <c r="BZ2435" s="407"/>
      <c r="CA2435" s="407"/>
      <c r="CE2435" s="560"/>
      <c r="CF2435" s="560"/>
      <c r="CG2435" s="560"/>
      <c r="CH2435" s="560"/>
      <c r="DX2435" s="36">
        <v>0.47</v>
      </c>
      <c r="DY2435" s="36">
        <v>0.48</v>
      </c>
      <c r="EB2435" s="36" t="s">
        <v>1017</v>
      </c>
      <c r="JD2435" s="230"/>
    </row>
    <row r="2436" spans="1:264" s="126" customFormat="1" x14ac:dyDescent="0.25">
      <c r="A2436" s="126">
        <v>113</v>
      </c>
      <c r="B2436" s="478" t="s">
        <v>4308</v>
      </c>
      <c r="C2436" s="126" t="s">
        <v>2394</v>
      </c>
      <c r="D2436" s="126" t="s">
        <v>2395</v>
      </c>
      <c r="E2436" s="126">
        <v>2013</v>
      </c>
      <c r="F2436" s="126">
        <v>2012</v>
      </c>
      <c r="G2436" s="126" t="s">
        <v>151</v>
      </c>
      <c r="H2436" s="126" t="s">
        <v>2396</v>
      </c>
      <c r="I2436" s="36" t="s">
        <v>2822</v>
      </c>
      <c r="J2436" s="126">
        <f t="shared" si="351"/>
        <v>56.5</v>
      </c>
      <c r="K2436" s="126">
        <f t="shared" si="352"/>
        <v>9.5833333333333339</v>
      </c>
      <c r="L2436" s="126">
        <v>34.200000000000003</v>
      </c>
      <c r="N2436" s="126">
        <v>7.3</v>
      </c>
      <c r="P2436" s="126">
        <v>626</v>
      </c>
      <c r="R2436" s="478" t="s">
        <v>1843</v>
      </c>
      <c r="S2436" s="478" t="s">
        <v>1843</v>
      </c>
      <c r="U2436" s="478" t="s">
        <v>1846</v>
      </c>
      <c r="V2436" s="478" t="s">
        <v>2417</v>
      </c>
      <c r="W2436" s="478" t="s">
        <v>1858</v>
      </c>
      <c r="X2436" s="478" t="s">
        <v>1379</v>
      </c>
      <c r="Y2436" s="478" t="s">
        <v>1379</v>
      </c>
      <c r="AA2436" s="479">
        <v>75</v>
      </c>
      <c r="AB2436" s="479">
        <v>13</v>
      </c>
      <c r="AC2436" s="126" t="s">
        <v>240</v>
      </c>
      <c r="AE2436" s="126">
        <v>3.1</v>
      </c>
      <c r="AG2436" s="126" t="s">
        <v>2397</v>
      </c>
      <c r="AH2436" s="126" t="s">
        <v>2403</v>
      </c>
      <c r="AI2436" s="126" t="s">
        <v>1129</v>
      </c>
      <c r="AJ2436" s="126" t="s">
        <v>1053</v>
      </c>
      <c r="AK2436" s="126" t="s">
        <v>1646</v>
      </c>
      <c r="AL2436" s="126" t="s">
        <v>177</v>
      </c>
      <c r="AM2436" s="126" t="s">
        <v>177</v>
      </c>
      <c r="AN2436" s="126" t="s">
        <v>177</v>
      </c>
      <c r="AO2436" s="126" t="s">
        <v>2399</v>
      </c>
      <c r="AP2436" s="126" t="s">
        <v>2399</v>
      </c>
      <c r="AQ2436" s="126" t="s">
        <v>2125</v>
      </c>
      <c r="AR2436" s="126" t="s">
        <v>2125</v>
      </c>
      <c r="AS2436" s="126" t="s">
        <v>177</v>
      </c>
      <c r="AW2436" s="126" t="s">
        <v>160</v>
      </c>
      <c r="AX2436" s="126">
        <v>3</v>
      </c>
      <c r="AY2436" s="126">
        <f t="shared" si="353"/>
        <v>12</v>
      </c>
      <c r="AZ2436" s="126" t="s">
        <v>2398</v>
      </c>
      <c r="BP2436" s="481"/>
      <c r="BQ2436" s="481"/>
      <c r="BU2436" s="481"/>
      <c r="BV2436" s="481"/>
      <c r="BZ2436" s="481"/>
      <c r="CA2436" s="481"/>
      <c r="CE2436" s="605"/>
      <c r="CF2436" s="605"/>
      <c r="CG2436" s="605"/>
      <c r="CH2436" s="605"/>
      <c r="DX2436" s="126">
        <v>7.5</v>
      </c>
      <c r="DY2436" s="126">
        <v>12.6</v>
      </c>
      <c r="EB2436" s="126" t="s">
        <v>2420</v>
      </c>
      <c r="JD2436" s="480"/>
    </row>
    <row r="2437" spans="1:264" s="126" customFormat="1" x14ac:dyDescent="0.25">
      <c r="A2437" s="126">
        <v>113</v>
      </c>
      <c r="B2437" s="478" t="s">
        <v>4309</v>
      </c>
      <c r="C2437" s="126" t="s">
        <v>2394</v>
      </c>
      <c r="D2437" s="126" t="s">
        <v>2395</v>
      </c>
      <c r="E2437" s="126">
        <v>2013</v>
      </c>
      <c r="F2437" s="126">
        <v>2012</v>
      </c>
      <c r="G2437" s="126" t="s">
        <v>151</v>
      </c>
      <c r="H2437" s="126" t="s">
        <v>2396</v>
      </c>
      <c r="I2437" s="36" t="s">
        <v>2822</v>
      </c>
      <c r="J2437" s="126">
        <f t="shared" si="351"/>
        <v>56.5</v>
      </c>
      <c r="K2437" s="126">
        <f t="shared" si="352"/>
        <v>9.5833333333333339</v>
      </c>
      <c r="L2437" s="126">
        <v>34.200000000000003</v>
      </c>
      <c r="N2437" s="126">
        <v>7.3</v>
      </c>
      <c r="P2437" s="126">
        <v>626</v>
      </c>
      <c r="R2437" s="478" t="s">
        <v>1843</v>
      </c>
      <c r="S2437" s="478" t="s">
        <v>1843</v>
      </c>
      <c r="U2437" s="478" t="s">
        <v>1846</v>
      </c>
      <c r="V2437" s="478" t="s">
        <v>2418</v>
      </c>
      <c r="W2437" s="478" t="s">
        <v>1858</v>
      </c>
      <c r="X2437" s="478" t="s">
        <v>1379</v>
      </c>
      <c r="Y2437" s="478" t="s">
        <v>1379</v>
      </c>
      <c r="AA2437" s="479">
        <v>75</v>
      </c>
      <c r="AB2437" s="479">
        <v>13</v>
      </c>
      <c r="AC2437" s="126" t="s">
        <v>240</v>
      </c>
      <c r="AE2437" s="126">
        <v>3.1</v>
      </c>
      <c r="AG2437" s="126" t="s">
        <v>2397</v>
      </c>
      <c r="AH2437" s="126" t="s">
        <v>2403</v>
      </c>
      <c r="AI2437" s="126" t="s">
        <v>1129</v>
      </c>
      <c r="AJ2437" s="126" t="s">
        <v>1053</v>
      </c>
      <c r="AK2437" s="126" t="s">
        <v>1646</v>
      </c>
      <c r="AL2437" s="126" t="s">
        <v>177</v>
      </c>
      <c r="AM2437" s="126" t="s">
        <v>177</v>
      </c>
      <c r="AN2437" s="126" t="s">
        <v>177</v>
      </c>
      <c r="AO2437" s="126" t="s">
        <v>2399</v>
      </c>
      <c r="AP2437" s="126" t="s">
        <v>2399</v>
      </c>
      <c r="AQ2437" s="126" t="s">
        <v>2125</v>
      </c>
      <c r="AR2437" s="126" t="s">
        <v>2125</v>
      </c>
      <c r="AS2437" s="126" t="s">
        <v>177</v>
      </c>
      <c r="AW2437" s="126" t="s">
        <v>160</v>
      </c>
      <c r="AX2437" s="126">
        <v>3</v>
      </c>
      <c r="AY2437" s="126">
        <f t="shared" si="353"/>
        <v>12</v>
      </c>
      <c r="AZ2437" s="126" t="s">
        <v>2398</v>
      </c>
      <c r="BP2437" s="481"/>
      <c r="BQ2437" s="481"/>
      <c r="BU2437" s="481"/>
      <c r="BV2437" s="481"/>
      <c r="BZ2437" s="481"/>
      <c r="CA2437" s="481"/>
      <c r="CE2437" s="605"/>
      <c r="CF2437" s="605"/>
      <c r="CG2437" s="605"/>
      <c r="CH2437" s="605"/>
      <c r="DX2437" s="126">
        <v>8.3000000000000007</v>
      </c>
      <c r="DY2437" s="126">
        <v>20</v>
      </c>
      <c r="EB2437" s="126" t="s">
        <v>2421</v>
      </c>
      <c r="JD2437" s="480"/>
    </row>
    <row r="2438" spans="1:264" s="126" customFormat="1" x14ac:dyDescent="0.25">
      <c r="A2438" s="126">
        <v>113</v>
      </c>
      <c r="B2438" s="478" t="s">
        <v>4310</v>
      </c>
      <c r="C2438" s="126" t="s">
        <v>2394</v>
      </c>
      <c r="D2438" s="126" t="s">
        <v>2395</v>
      </c>
      <c r="E2438" s="126">
        <v>2013</v>
      </c>
      <c r="F2438" s="126">
        <v>2012</v>
      </c>
      <c r="G2438" s="126" t="s">
        <v>151</v>
      </c>
      <c r="H2438" s="126" t="s">
        <v>2396</v>
      </c>
      <c r="I2438" s="36" t="s">
        <v>2822</v>
      </c>
      <c r="J2438" s="126">
        <f t="shared" si="351"/>
        <v>56.5</v>
      </c>
      <c r="K2438" s="126">
        <f t="shared" si="352"/>
        <v>9.5833333333333339</v>
      </c>
      <c r="L2438" s="126">
        <v>34.200000000000003</v>
      </c>
      <c r="N2438" s="126">
        <v>7.3</v>
      </c>
      <c r="P2438" s="126">
        <v>626</v>
      </c>
      <c r="R2438" s="478" t="s">
        <v>1843</v>
      </c>
      <c r="S2438" s="478" t="s">
        <v>1843</v>
      </c>
      <c r="U2438" s="478" t="s">
        <v>1846</v>
      </c>
      <c r="V2438" s="478" t="s">
        <v>2419</v>
      </c>
      <c r="W2438" s="478" t="s">
        <v>1719</v>
      </c>
      <c r="X2438" s="478" t="s">
        <v>1379</v>
      </c>
      <c r="Y2438" s="478" t="s">
        <v>1379</v>
      </c>
      <c r="AA2438" s="479">
        <v>75</v>
      </c>
      <c r="AB2438" s="479">
        <v>13</v>
      </c>
      <c r="AC2438" s="126" t="s">
        <v>240</v>
      </c>
      <c r="AE2438" s="126">
        <v>3.1</v>
      </c>
      <c r="AG2438" s="126" t="s">
        <v>2397</v>
      </c>
      <c r="AH2438" s="126" t="s">
        <v>2403</v>
      </c>
      <c r="AI2438" s="126" t="s">
        <v>1129</v>
      </c>
      <c r="AJ2438" s="126" t="s">
        <v>1053</v>
      </c>
      <c r="AK2438" s="126" t="s">
        <v>1646</v>
      </c>
      <c r="AL2438" s="126" t="s">
        <v>177</v>
      </c>
      <c r="AM2438" s="126" t="s">
        <v>177</v>
      </c>
      <c r="AN2438" s="126" t="s">
        <v>177</v>
      </c>
      <c r="AO2438" s="126" t="s">
        <v>2399</v>
      </c>
      <c r="AP2438" s="126" t="s">
        <v>2399</v>
      </c>
      <c r="AQ2438" s="126" t="s">
        <v>2125</v>
      </c>
      <c r="AR2438" s="126" t="s">
        <v>2125</v>
      </c>
      <c r="AS2438" s="126" t="s">
        <v>177</v>
      </c>
      <c r="AW2438" s="126" t="s">
        <v>160</v>
      </c>
      <c r="AX2438" s="126">
        <v>3</v>
      </c>
      <c r="AY2438" s="126">
        <f t="shared" si="353"/>
        <v>12</v>
      </c>
      <c r="AZ2438" s="126" t="s">
        <v>2398</v>
      </c>
      <c r="BP2438" s="481"/>
      <c r="BQ2438" s="481"/>
      <c r="BU2438" s="481"/>
      <c r="BV2438" s="481"/>
      <c r="BZ2438" s="481"/>
      <c r="CA2438" s="481"/>
      <c r="CE2438" s="605"/>
      <c r="CF2438" s="605"/>
      <c r="CG2438" s="605"/>
      <c r="CH2438" s="605"/>
      <c r="DX2438" s="126">
        <v>5.8</v>
      </c>
      <c r="DY2438" s="126">
        <v>14.6</v>
      </c>
      <c r="EB2438" s="126" t="s">
        <v>2422</v>
      </c>
      <c r="JD2438" s="480"/>
    </row>
    <row r="2439" spans="1:264" s="40" customFormat="1" x14ac:dyDescent="0.25">
      <c r="A2439" s="40">
        <v>114</v>
      </c>
      <c r="B2439" s="71" t="s">
        <v>4311</v>
      </c>
      <c r="C2439" s="40" t="s">
        <v>2424</v>
      </c>
      <c r="D2439" s="40" t="s">
        <v>2425</v>
      </c>
      <c r="E2439" s="40">
        <v>2012</v>
      </c>
      <c r="F2439" s="40">
        <v>2007</v>
      </c>
      <c r="G2439" s="40" t="s">
        <v>2426</v>
      </c>
      <c r="H2439" s="40" t="s">
        <v>2430</v>
      </c>
      <c r="I2439" s="40" t="s">
        <v>2825</v>
      </c>
      <c r="J2439" s="40">
        <f>-28-56/60</f>
        <v>-28.933333333333334</v>
      </c>
      <c r="K2439" s="40">
        <f>115+17/60</f>
        <v>115.28333333333333</v>
      </c>
      <c r="L2439" s="40">
        <v>271</v>
      </c>
      <c r="P2439" s="40">
        <v>360</v>
      </c>
      <c r="R2439" s="71" t="s">
        <v>1977</v>
      </c>
      <c r="S2439" s="71" t="s">
        <v>1728</v>
      </c>
      <c r="U2439" s="71" t="s">
        <v>2427</v>
      </c>
      <c r="V2439" s="71" t="s">
        <v>1379</v>
      </c>
      <c r="W2439" s="71" t="s">
        <v>1715</v>
      </c>
      <c r="X2439" s="71" t="s">
        <v>1379</v>
      </c>
      <c r="Y2439" s="71" t="s">
        <v>1379</v>
      </c>
      <c r="AA2439" s="341">
        <v>95</v>
      </c>
      <c r="AB2439" s="341">
        <v>10</v>
      </c>
      <c r="AC2439" s="40" t="s">
        <v>2428</v>
      </c>
      <c r="AD2439" s="40">
        <v>5.4</v>
      </c>
      <c r="AE2439" s="40">
        <v>0.6</v>
      </c>
      <c r="AH2439" s="40" t="s">
        <v>2431</v>
      </c>
      <c r="AI2439" s="40" t="s">
        <v>1581</v>
      </c>
      <c r="AJ2439" s="40" t="s">
        <v>116</v>
      </c>
      <c r="AK2439" s="40" t="s">
        <v>116</v>
      </c>
      <c r="AL2439" s="40" t="s">
        <v>2434</v>
      </c>
      <c r="AM2439" s="40" t="s">
        <v>2434</v>
      </c>
      <c r="AN2439" s="40" t="s">
        <v>177</v>
      </c>
      <c r="AW2439" s="40" t="s">
        <v>160</v>
      </c>
      <c r="AX2439" s="40">
        <v>3</v>
      </c>
      <c r="AZ2439" s="40" t="s">
        <v>141</v>
      </c>
      <c r="BP2439" s="416"/>
      <c r="BQ2439" s="416"/>
      <c r="BU2439" s="416"/>
      <c r="BV2439" s="416"/>
      <c r="BZ2439" s="416"/>
      <c r="CA2439" s="416"/>
      <c r="CE2439" s="569"/>
      <c r="CF2439" s="569"/>
      <c r="CG2439" s="569"/>
      <c r="CH2439" s="569"/>
      <c r="FB2439" s="40">
        <v>26</v>
      </c>
      <c r="FC2439" s="40">
        <v>22</v>
      </c>
      <c r="FF2439" s="40" t="s">
        <v>2436</v>
      </c>
      <c r="JD2439" s="311"/>
    </row>
    <row r="2440" spans="1:264" s="40" customFormat="1" x14ac:dyDescent="0.25">
      <c r="A2440" s="40">
        <v>114</v>
      </c>
      <c r="B2440" s="71" t="s">
        <v>4311</v>
      </c>
      <c r="C2440" s="40" t="s">
        <v>2424</v>
      </c>
      <c r="D2440" s="40" t="s">
        <v>2425</v>
      </c>
      <c r="E2440" s="40">
        <v>2012</v>
      </c>
      <c r="F2440" s="40">
        <v>2007</v>
      </c>
      <c r="G2440" s="40" t="s">
        <v>2426</v>
      </c>
      <c r="H2440" s="40" t="s">
        <v>2430</v>
      </c>
      <c r="I2440" s="40" t="s">
        <v>2825</v>
      </c>
      <c r="J2440" s="40">
        <f>-28-56/60</f>
        <v>-28.933333333333334</v>
      </c>
      <c r="K2440" s="40">
        <f>115+17/60</f>
        <v>115.28333333333333</v>
      </c>
      <c r="L2440" s="40">
        <v>271</v>
      </c>
      <c r="P2440" s="40">
        <v>360</v>
      </c>
      <c r="R2440" s="71" t="s">
        <v>1977</v>
      </c>
      <c r="S2440" s="71" t="s">
        <v>1728</v>
      </c>
      <c r="U2440" s="71" t="s">
        <v>2427</v>
      </c>
      <c r="V2440" s="71" t="s">
        <v>1379</v>
      </c>
      <c r="W2440" s="71" t="s">
        <v>1715</v>
      </c>
      <c r="X2440" s="71" t="s">
        <v>1379</v>
      </c>
      <c r="Y2440" s="71" t="s">
        <v>1379</v>
      </c>
      <c r="AA2440" s="341">
        <v>95</v>
      </c>
      <c r="AB2440" s="341">
        <v>10</v>
      </c>
      <c r="AC2440" s="40" t="s">
        <v>2428</v>
      </c>
      <c r="AD2440" s="40">
        <v>5.4</v>
      </c>
      <c r="AE2440" s="40">
        <v>0.6</v>
      </c>
      <c r="AH2440" s="40" t="s">
        <v>2432</v>
      </c>
      <c r="AI2440" s="40" t="s">
        <v>1129</v>
      </c>
      <c r="AJ2440" s="40" t="s">
        <v>116</v>
      </c>
      <c r="AK2440" s="40" t="s">
        <v>116</v>
      </c>
      <c r="AL2440" s="40" t="s">
        <v>2435</v>
      </c>
      <c r="AM2440" s="40" t="s">
        <v>2435</v>
      </c>
      <c r="AN2440" s="40" t="s">
        <v>177</v>
      </c>
      <c r="AW2440" s="40" t="s">
        <v>160</v>
      </c>
      <c r="AX2440" s="40">
        <v>3</v>
      </c>
      <c r="AZ2440" s="40" t="s">
        <v>141</v>
      </c>
      <c r="BP2440" s="416"/>
      <c r="BQ2440" s="416"/>
      <c r="BU2440" s="416"/>
      <c r="BV2440" s="416"/>
      <c r="BZ2440" s="416"/>
      <c r="CA2440" s="416"/>
      <c r="CE2440" s="569"/>
      <c r="CF2440" s="569"/>
      <c r="CG2440" s="569"/>
      <c r="CH2440" s="569"/>
      <c r="FB2440" s="40">
        <v>26</v>
      </c>
      <c r="FC2440" s="40">
        <v>26</v>
      </c>
      <c r="FF2440" s="40" t="s">
        <v>2436</v>
      </c>
      <c r="JD2440" s="311"/>
    </row>
    <row r="2441" spans="1:264" s="24" customFormat="1" x14ac:dyDescent="0.25">
      <c r="A2441" s="24">
        <v>114</v>
      </c>
      <c r="B2441" s="42" t="s">
        <v>4312</v>
      </c>
      <c r="C2441" s="24" t="s">
        <v>2424</v>
      </c>
      <c r="D2441" s="24" t="s">
        <v>2425</v>
      </c>
      <c r="E2441" s="24">
        <v>2012</v>
      </c>
      <c r="F2441" s="24">
        <v>2007</v>
      </c>
      <c r="G2441" s="24" t="s">
        <v>2426</v>
      </c>
      <c r="H2441" s="24" t="s">
        <v>2429</v>
      </c>
      <c r="I2441" s="40" t="s">
        <v>2825</v>
      </c>
      <c r="J2441" s="24">
        <f>-31-38/60</f>
        <v>-31.633333333333333</v>
      </c>
      <c r="K2441" s="24">
        <f>117+14/60</f>
        <v>117.23333333333333</v>
      </c>
      <c r="L2441" s="24">
        <v>220</v>
      </c>
      <c r="P2441" s="24">
        <v>360</v>
      </c>
      <c r="R2441" s="42" t="s">
        <v>1977</v>
      </c>
      <c r="S2441" s="42" t="s">
        <v>1728</v>
      </c>
      <c r="U2441" s="42" t="s">
        <v>2427</v>
      </c>
      <c r="V2441" s="42" t="s">
        <v>1379</v>
      </c>
      <c r="W2441" s="42" t="s">
        <v>1715</v>
      </c>
      <c r="X2441" s="42" t="s">
        <v>1379</v>
      </c>
      <c r="Y2441" s="42" t="s">
        <v>1379</v>
      </c>
      <c r="AA2441" s="321">
        <v>60</v>
      </c>
      <c r="AB2441" s="321">
        <f>100-60-22</f>
        <v>18</v>
      </c>
      <c r="AC2441" s="24" t="s">
        <v>518</v>
      </c>
      <c r="AD2441" s="24">
        <v>6.6</v>
      </c>
      <c r="AE2441" s="24">
        <v>1</v>
      </c>
      <c r="AH2441" s="24" t="s">
        <v>2431</v>
      </c>
      <c r="AI2441" s="24" t="s">
        <v>1581</v>
      </c>
      <c r="AJ2441" s="24" t="s">
        <v>116</v>
      </c>
      <c r="AK2441" s="24" t="s">
        <v>116</v>
      </c>
      <c r="AL2441" s="24" t="s">
        <v>2434</v>
      </c>
      <c r="AM2441" s="24" t="s">
        <v>2434</v>
      </c>
      <c r="AN2441" s="24" t="s">
        <v>177</v>
      </c>
      <c r="AW2441" s="24" t="s">
        <v>160</v>
      </c>
      <c r="AX2441" s="24">
        <v>3</v>
      </c>
      <c r="AZ2441" s="24" t="s">
        <v>141</v>
      </c>
      <c r="BP2441" s="395"/>
      <c r="BQ2441" s="395"/>
      <c r="BU2441" s="395"/>
      <c r="BV2441" s="395"/>
      <c r="BZ2441" s="395"/>
      <c r="CA2441" s="395"/>
      <c r="CE2441" s="548"/>
      <c r="CF2441" s="548"/>
      <c r="CG2441" s="548"/>
      <c r="CH2441" s="548"/>
      <c r="FB2441" s="24">
        <v>12</v>
      </c>
      <c r="FC2441" s="24">
        <v>7</v>
      </c>
      <c r="FF2441" s="24" t="s">
        <v>2436</v>
      </c>
      <c r="JD2441" s="249"/>
    </row>
    <row r="2442" spans="1:264" s="24" customFormat="1" x14ac:dyDescent="0.25">
      <c r="A2442" s="24">
        <v>114</v>
      </c>
      <c r="B2442" s="42" t="s">
        <v>4312</v>
      </c>
      <c r="C2442" s="24" t="s">
        <v>2424</v>
      </c>
      <c r="D2442" s="24" t="s">
        <v>2425</v>
      </c>
      <c r="E2442" s="24">
        <v>2012</v>
      </c>
      <c r="F2442" s="24">
        <v>2007</v>
      </c>
      <c r="G2442" s="24" t="s">
        <v>2426</v>
      </c>
      <c r="H2442" s="24" t="s">
        <v>2429</v>
      </c>
      <c r="I2442" s="40" t="s">
        <v>2825</v>
      </c>
      <c r="J2442" s="24">
        <f>-31-38/60</f>
        <v>-31.633333333333333</v>
      </c>
      <c r="K2442" s="24">
        <f>117+14/60</f>
        <v>117.23333333333333</v>
      </c>
      <c r="L2442" s="24">
        <v>220</v>
      </c>
      <c r="P2442" s="24">
        <v>360</v>
      </c>
      <c r="R2442" s="42" t="s">
        <v>1977</v>
      </c>
      <c r="S2442" s="42" t="s">
        <v>1728</v>
      </c>
      <c r="U2442" s="42" t="s">
        <v>2427</v>
      </c>
      <c r="V2442" s="42" t="s">
        <v>1379</v>
      </c>
      <c r="W2442" s="42" t="s">
        <v>1715</v>
      </c>
      <c r="X2442" s="42" t="s">
        <v>1379</v>
      </c>
      <c r="Y2442" s="42" t="s">
        <v>1379</v>
      </c>
      <c r="AA2442" s="321">
        <v>61</v>
      </c>
      <c r="AB2442" s="321">
        <f>100-60-22</f>
        <v>18</v>
      </c>
      <c r="AC2442" s="24" t="s">
        <v>518</v>
      </c>
      <c r="AD2442" s="24">
        <v>6.6</v>
      </c>
      <c r="AE2442" s="24">
        <v>1</v>
      </c>
      <c r="AH2442" s="24" t="s">
        <v>2432</v>
      </c>
      <c r="AI2442" s="24" t="s">
        <v>1129</v>
      </c>
      <c r="AJ2442" s="24" t="s">
        <v>116</v>
      </c>
      <c r="AK2442" s="24" t="s">
        <v>116</v>
      </c>
      <c r="AL2442" s="24" t="s">
        <v>2435</v>
      </c>
      <c r="AM2442" s="24" t="s">
        <v>2435</v>
      </c>
      <c r="AN2442" s="24" t="s">
        <v>177</v>
      </c>
      <c r="AW2442" s="24" t="s">
        <v>160</v>
      </c>
      <c r="AX2442" s="24">
        <v>3</v>
      </c>
      <c r="AZ2442" s="24" t="s">
        <v>141</v>
      </c>
      <c r="BP2442" s="395"/>
      <c r="BQ2442" s="395"/>
      <c r="BU2442" s="395"/>
      <c r="BV2442" s="395"/>
      <c r="BZ2442" s="395"/>
      <c r="CA2442" s="395"/>
      <c r="CE2442" s="548"/>
      <c r="CF2442" s="548"/>
      <c r="CG2442" s="548"/>
      <c r="CH2442" s="548"/>
      <c r="FB2442" s="24">
        <v>12</v>
      </c>
      <c r="FC2442" s="24">
        <v>3</v>
      </c>
      <c r="FF2442" s="24" t="s">
        <v>2436</v>
      </c>
      <c r="JD2442" s="249"/>
    </row>
    <row r="2443" spans="1:264" x14ac:dyDescent="0.25">
      <c r="A2443" s="37">
        <v>115</v>
      </c>
      <c r="B2443" s="50" t="s">
        <v>4313</v>
      </c>
      <c r="C2443" s="37" t="s">
        <v>2605</v>
      </c>
      <c r="D2443" s="37" t="s">
        <v>2604</v>
      </c>
      <c r="E2443" s="37">
        <v>2009</v>
      </c>
      <c r="F2443" s="37">
        <v>2005</v>
      </c>
      <c r="G2443" s="37" t="s">
        <v>2608</v>
      </c>
      <c r="H2443" s="37" t="s">
        <v>2607</v>
      </c>
      <c r="I2443" s="37" t="s">
        <v>2825</v>
      </c>
      <c r="J2443" s="37">
        <v>-28.95</v>
      </c>
      <c r="K2443" s="37">
        <v>151.94</v>
      </c>
      <c r="L2443" s="37">
        <v>836.8</v>
      </c>
      <c r="R2443" s="50" t="s">
        <v>1847</v>
      </c>
      <c r="S2443" s="50" t="s">
        <v>1728</v>
      </c>
      <c r="U2443" s="50" t="s">
        <v>2606</v>
      </c>
      <c r="V2443" s="50" t="s">
        <v>1411</v>
      </c>
      <c r="W2443" s="50" t="s">
        <v>1729</v>
      </c>
      <c r="X2443" s="50" t="s">
        <v>1411</v>
      </c>
      <c r="Y2443" s="50" t="s">
        <v>1417</v>
      </c>
      <c r="AH2443" s="37" t="s">
        <v>527</v>
      </c>
      <c r="AI2443" s="37" t="s">
        <v>1581</v>
      </c>
      <c r="AJ2443" s="37" t="s">
        <v>116</v>
      </c>
      <c r="AK2443" s="37" t="s">
        <v>116</v>
      </c>
      <c r="AW2443" s="37" t="s">
        <v>160</v>
      </c>
      <c r="AX2443" s="37">
        <f>ROUND(AVERAGE(8,11,12),0)</f>
        <v>10</v>
      </c>
      <c r="AY2443" s="37">
        <v>2</v>
      </c>
      <c r="AZ2443" s="37" t="s">
        <v>141</v>
      </c>
      <c r="BE2443" s="37" t="s">
        <v>2609</v>
      </c>
      <c r="BK2443" s="37">
        <f>2.32*1000</f>
        <v>2320</v>
      </c>
      <c r="BL2443" s="37">
        <v>2720</v>
      </c>
      <c r="BM2443" s="37">
        <v>1170</v>
      </c>
      <c r="BN2443" s="37">
        <v>1200</v>
      </c>
      <c r="CE2443" s="559"/>
      <c r="CF2443" s="559"/>
      <c r="CG2443" s="556"/>
      <c r="CH2443" s="556"/>
      <c r="FQ2443" s="37">
        <f>AVERAGE(166.67,157.97,173.91,163.77,155.07)</f>
        <v>163.47799999999998</v>
      </c>
      <c r="FR2443" s="37">
        <f>AVERAGE(152.52,122.3,145.3,165.47,147.76)</f>
        <v>146.67000000000002</v>
      </c>
      <c r="FU2443" s="37" t="s">
        <v>2612</v>
      </c>
    </row>
    <row r="2444" spans="1:264" x14ac:dyDescent="0.25">
      <c r="A2444" s="37">
        <v>115</v>
      </c>
      <c r="B2444" s="50" t="s">
        <v>4313</v>
      </c>
      <c r="C2444" s="37" t="s">
        <v>2605</v>
      </c>
      <c r="D2444" s="37" t="s">
        <v>2604</v>
      </c>
      <c r="E2444" s="37">
        <v>2009</v>
      </c>
      <c r="F2444" s="37">
        <v>2005</v>
      </c>
      <c r="G2444" s="37" t="s">
        <v>2608</v>
      </c>
      <c r="H2444" s="37" t="s">
        <v>2607</v>
      </c>
      <c r="I2444" s="37" t="s">
        <v>2825</v>
      </c>
      <c r="J2444" s="37">
        <v>-28.95</v>
      </c>
      <c r="K2444" s="37">
        <v>151.94</v>
      </c>
      <c r="L2444" s="37">
        <v>836.8</v>
      </c>
      <c r="R2444" s="50" t="s">
        <v>1847</v>
      </c>
      <c r="S2444" s="50" t="s">
        <v>1728</v>
      </c>
      <c r="U2444" s="50" t="s">
        <v>2606</v>
      </c>
      <c r="V2444" s="50" t="s">
        <v>1411</v>
      </c>
      <c r="W2444" s="50" t="s">
        <v>1729</v>
      </c>
      <c r="X2444" s="50" t="s">
        <v>1411</v>
      </c>
      <c r="Y2444" s="50" t="s">
        <v>1417</v>
      </c>
      <c r="AH2444" s="37" t="s">
        <v>527</v>
      </c>
      <c r="AI2444" s="37" t="s">
        <v>1581</v>
      </c>
      <c r="AJ2444" s="37" t="s">
        <v>116</v>
      </c>
      <c r="AK2444" s="37" t="s">
        <v>116</v>
      </c>
      <c r="AW2444" s="37" t="s">
        <v>160</v>
      </c>
      <c r="AX2444" s="37">
        <f>ROUND(AVERAGE(8,11,12),0)</f>
        <v>10</v>
      </c>
      <c r="AY2444" s="37">
        <v>2</v>
      </c>
      <c r="AZ2444" s="37" t="s">
        <v>141</v>
      </c>
      <c r="BE2444" s="37" t="s">
        <v>2610</v>
      </c>
      <c r="BK2444" s="37">
        <v>2330</v>
      </c>
      <c r="BL2444" s="37">
        <v>2390</v>
      </c>
      <c r="BM2444" s="37">
        <v>760</v>
      </c>
      <c r="BN2444" s="37">
        <v>800</v>
      </c>
      <c r="CE2444" s="559"/>
      <c r="CF2444" s="559"/>
      <c r="CG2444" s="556"/>
      <c r="CH2444" s="556"/>
      <c r="FQ2444" s="37">
        <f t="shared" ref="FQ2444:FQ2445" si="354">AVERAGE(166.67,157.97,173.91,163.77,155.07)</f>
        <v>163.47799999999998</v>
      </c>
      <c r="FR2444" s="37">
        <f>AVERAGE(171,95.65,117.39,97.1,117.39)</f>
        <v>119.70599999999999</v>
      </c>
      <c r="FU2444" s="37" t="s">
        <v>2612</v>
      </c>
    </row>
    <row r="2445" spans="1:264" x14ac:dyDescent="0.25">
      <c r="A2445" s="37">
        <v>115</v>
      </c>
      <c r="B2445" s="50" t="s">
        <v>4313</v>
      </c>
      <c r="C2445" s="37" t="s">
        <v>2605</v>
      </c>
      <c r="D2445" s="37" t="s">
        <v>2604</v>
      </c>
      <c r="E2445" s="37">
        <v>2009</v>
      </c>
      <c r="F2445" s="37">
        <v>2005</v>
      </c>
      <c r="G2445" s="37" t="s">
        <v>2608</v>
      </c>
      <c r="H2445" s="37" t="s">
        <v>2607</v>
      </c>
      <c r="I2445" s="37" t="s">
        <v>2825</v>
      </c>
      <c r="J2445" s="37">
        <v>-28.95</v>
      </c>
      <c r="K2445" s="37">
        <v>151.94</v>
      </c>
      <c r="L2445" s="37">
        <v>836.8</v>
      </c>
      <c r="R2445" s="50" t="s">
        <v>1847</v>
      </c>
      <c r="S2445" s="50" t="s">
        <v>1728</v>
      </c>
      <c r="U2445" s="50" t="s">
        <v>2606</v>
      </c>
      <c r="V2445" s="50" t="s">
        <v>1411</v>
      </c>
      <c r="W2445" s="50" t="s">
        <v>1729</v>
      </c>
      <c r="X2445" s="50" t="s">
        <v>1411</v>
      </c>
      <c r="Y2445" s="50" t="s">
        <v>1417</v>
      </c>
      <c r="AH2445" s="37" t="s">
        <v>527</v>
      </c>
      <c r="AI2445" s="37" t="s">
        <v>1581</v>
      </c>
      <c r="AJ2445" s="37" t="s">
        <v>116</v>
      </c>
      <c r="AK2445" s="37" t="s">
        <v>116</v>
      </c>
      <c r="AW2445" s="37" t="s">
        <v>160</v>
      </c>
      <c r="AX2445" s="37">
        <f>ROUND(AVERAGE(8,11,12),0)</f>
        <v>10</v>
      </c>
      <c r="AY2445" s="37">
        <v>2</v>
      </c>
      <c r="AZ2445" s="37" t="s">
        <v>141</v>
      </c>
      <c r="BE2445" s="37" t="s">
        <v>2611</v>
      </c>
      <c r="BK2445" s="37">
        <v>2290</v>
      </c>
      <c r="BL2445" s="37">
        <v>2460</v>
      </c>
      <c r="BM2445" s="37">
        <v>930</v>
      </c>
      <c r="BN2445" s="37">
        <v>840</v>
      </c>
      <c r="CE2445" s="559"/>
      <c r="CF2445" s="559"/>
      <c r="CG2445" s="556"/>
      <c r="CH2445" s="556"/>
      <c r="FQ2445" s="37">
        <f t="shared" si="354"/>
        <v>163.47799999999998</v>
      </c>
      <c r="FR2445" s="37">
        <f>AVERAGE(160.23,94.69,76.15,111.56,113.87)</f>
        <v>111.3</v>
      </c>
      <c r="FU2445" s="37" t="s">
        <v>2612</v>
      </c>
    </row>
    <row r="2446" spans="1:264" s="24" customFormat="1" x14ac:dyDescent="0.25">
      <c r="A2446" s="24">
        <v>116</v>
      </c>
      <c r="B2446" s="42" t="s">
        <v>4314</v>
      </c>
      <c r="C2446" s="24" t="s">
        <v>2613</v>
      </c>
      <c r="D2446" s="24" t="s">
        <v>2614</v>
      </c>
      <c r="E2446" s="24">
        <v>2005</v>
      </c>
      <c r="F2446" s="24">
        <v>1997</v>
      </c>
      <c r="G2446" s="24" t="s">
        <v>2615</v>
      </c>
      <c r="H2446" s="24" t="s">
        <v>2616</v>
      </c>
      <c r="I2446" s="24" t="s">
        <v>2826</v>
      </c>
      <c r="J2446" s="24">
        <f t="shared" ref="J2446:J2465" si="355">9+25/60</f>
        <v>9.4166666666666661</v>
      </c>
      <c r="K2446" s="24">
        <f t="shared" ref="K2446:K2465" si="356">0-58/60</f>
        <v>-0.96666666666666667</v>
      </c>
      <c r="L2446" s="24">
        <v>183</v>
      </c>
      <c r="R2446" s="42" t="s">
        <v>1977</v>
      </c>
      <c r="S2446" s="42" t="s">
        <v>1858</v>
      </c>
      <c r="T2446" s="42"/>
      <c r="U2446" s="42" t="s">
        <v>2617</v>
      </c>
      <c r="V2446" s="42" t="s">
        <v>1379</v>
      </c>
      <c r="W2446" s="42" t="s">
        <v>1715</v>
      </c>
      <c r="X2446" s="42" t="s">
        <v>1379</v>
      </c>
      <c r="Y2446" s="42" t="s">
        <v>1379</v>
      </c>
      <c r="AA2446" s="321">
        <v>65.5</v>
      </c>
      <c r="AB2446" s="321">
        <v>22.02</v>
      </c>
      <c r="AC2446" s="24" t="s">
        <v>240</v>
      </c>
      <c r="AD2446" s="24">
        <v>5.26</v>
      </c>
      <c r="AE2446" s="24">
        <v>0.64</v>
      </c>
      <c r="AG2446" s="24" t="s">
        <v>2675</v>
      </c>
      <c r="AH2446" s="24" t="s">
        <v>2676</v>
      </c>
      <c r="AI2446" s="24" t="s">
        <v>577</v>
      </c>
      <c r="AJ2446" s="24" t="s">
        <v>1645</v>
      </c>
      <c r="AK2446" s="24" t="s">
        <v>132</v>
      </c>
      <c r="AT2446" s="24" t="s">
        <v>177</v>
      </c>
      <c r="AU2446" s="24" t="s">
        <v>177</v>
      </c>
      <c r="AV2446" s="24" t="s">
        <v>177</v>
      </c>
      <c r="AW2446" s="24" t="s">
        <v>119</v>
      </c>
      <c r="AX2446" s="24">
        <v>3</v>
      </c>
      <c r="AZ2446" s="24" t="s">
        <v>141</v>
      </c>
      <c r="BE2446" s="24" t="s">
        <v>2673</v>
      </c>
      <c r="BK2446" s="24">
        <v>430</v>
      </c>
      <c r="BL2446" s="24">
        <v>1750</v>
      </c>
      <c r="BO2446" s="24" t="s">
        <v>2677</v>
      </c>
      <c r="BP2446" s="395"/>
      <c r="BQ2446" s="395"/>
      <c r="BU2446" s="395">
        <v>0.60299999999999998</v>
      </c>
      <c r="BV2446" s="395">
        <v>0.87</v>
      </c>
      <c r="BZ2446" s="395"/>
      <c r="CA2446" s="395"/>
      <c r="CD2446" s="24" t="s">
        <v>3120</v>
      </c>
      <c r="CE2446" s="548">
        <v>0.60299999999999998</v>
      </c>
      <c r="CF2446" s="548">
        <v>0.87</v>
      </c>
      <c r="CG2446" s="548"/>
      <c r="CH2446" s="548"/>
      <c r="CI2446" s="24" t="s">
        <v>4546</v>
      </c>
      <c r="CJ2446" s="24">
        <f>0.054*10000</f>
        <v>540</v>
      </c>
      <c r="CK2446" s="24">
        <v>1040</v>
      </c>
      <c r="CN2446" s="24" t="s">
        <v>2680</v>
      </c>
      <c r="CO2446" s="24">
        <v>9.67</v>
      </c>
      <c r="CP2446" s="24">
        <v>7.16</v>
      </c>
      <c r="CT2446" s="24">
        <v>53.3</v>
      </c>
      <c r="CU2446" s="24">
        <v>50.4</v>
      </c>
      <c r="CY2446" s="24">
        <v>5.04</v>
      </c>
      <c r="CZ2446" s="24">
        <v>5.33</v>
      </c>
      <c r="DD2446" s="24">
        <v>3.35</v>
      </c>
      <c r="DE2446" s="24">
        <v>4.04</v>
      </c>
      <c r="DH2446" s="24" t="s">
        <v>2681</v>
      </c>
      <c r="JD2446" s="249"/>
    </row>
    <row r="2447" spans="1:264" s="24" customFormat="1" x14ac:dyDescent="0.25">
      <c r="A2447" s="24">
        <v>116</v>
      </c>
      <c r="B2447" s="42" t="s">
        <v>4315</v>
      </c>
      <c r="C2447" s="24" t="s">
        <v>2613</v>
      </c>
      <c r="D2447" s="24" t="s">
        <v>2614</v>
      </c>
      <c r="E2447" s="24">
        <v>2005</v>
      </c>
      <c r="F2447" s="24">
        <v>1997</v>
      </c>
      <c r="G2447" s="24" t="s">
        <v>2615</v>
      </c>
      <c r="H2447" s="24" t="s">
        <v>2616</v>
      </c>
      <c r="I2447" s="24" t="s">
        <v>2826</v>
      </c>
      <c r="J2447" s="24">
        <f t="shared" si="355"/>
        <v>9.4166666666666661</v>
      </c>
      <c r="K2447" s="24">
        <f t="shared" si="356"/>
        <v>-0.96666666666666667</v>
      </c>
      <c r="L2447" s="24">
        <v>183</v>
      </c>
      <c r="R2447" s="42" t="s">
        <v>1977</v>
      </c>
      <c r="S2447" s="42" t="s">
        <v>1858</v>
      </c>
      <c r="T2447" s="42"/>
      <c r="U2447" s="42" t="s">
        <v>2617</v>
      </c>
      <c r="V2447" s="42" t="s">
        <v>1379</v>
      </c>
      <c r="W2447" s="42" t="s">
        <v>1715</v>
      </c>
      <c r="X2447" s="42" t="s">
        <v>1379</v>
      </c>
      <c r="Y2447" s="42" t="s">
        <v>1379</v>
      </c>
      <c r="AA2447" s="321">
        <v>65.5</v>
      </c>
      <c r="AB2447" s="321">
        <v>22.02</v>
      </c>
      <c r="AC2447" s="24" t="s">
        <v>240</v>
      </c>
      <c r="AD2447" s="24">
        <v>5.26</v>
      </c>
      <c r="AE2447" s="24">
        <v>0.64</v>
      </c>
      <c r="AG2447" s="24" t="s">
        <v>2675</v>
      </c>
      <c r="AH2447" s="24" t="s">
        <v>2676</v>
      </c>
      <c r="AI2447" s="24" t="s">
        <v>577</v>
      </c>
      <c r="AJ2447" s="24" t="s">
        <v>1645</v>
      </c>
      <c r="AK2447" s="24" t="s">
        <v>132</v>
      </c>
      <c r="AT2447" s="24" t="s">
        <v>2682</v>
      </c>
      <c r="AU2447" s="24" t="s">
        <v>1434</v>
      </c>
      <c r="AV2447" s="24" t="s">
        <v>502</v>
      </c>
      <c r="AW2447" s="24" t="s">
        <v>119</v>
      </c>
      <c r="AX2447" s="24">
        <v>3</v>
      </c>
      <c r="AZ2447" s="24" t="s">
        <v>141</v>
      </c>
      <c r="BE2447" s="24" t="s">
        <v>2673</v>
      </c>
      <c r="BK2447" s="24">
        <v>430</v>
      </c>
      <c r="BL2447" s="24">
        <v>2390</v>
      </c>
      <c r="BO2447" s="24" t="s">
        <v>2678</v>
      </c>
      <c r="BP2447" s="395"/>
      <c r="BQ2447" s="395"/>
      <c r="BU2447" s="395">
        <v>0.60299999999999998</v>
      </c>
      <c r="BV2447" s="395">
        <v>0.85699999999999998</v>
      </c>
      <c r="BZ2447" s="395"/>
      <c r="CA2447" s="395"/>
      <c r="CD2447" s="24" t="s">
        <v>3120</v>
      </c>
      <c r="CE2447" s="548">
        <v>0.60299999999999998</v>
      </c>
      <c r="CF2447" s="548">
        <v>0.85699999999999998</v>
      </c>
      <c r="CG2447" s="548"/>
      <c r="CH2447" s="548"/>
      <c r="CI2447" s="24" t="s">
        <v>4546</v>
      </c>
      <c r="CJ2447" s="24">
        <f t="shared" ref="CJ2447:CJ2448" si="357">0.054*10000</f>
        <v>540</v>
      </c>
      <c r="CK2447" s="24">
        <v>790</v>
      </c>
      <c r="CN2447" s="24" t="s">
        <v>2680</v>
      </c>
      <c r="CO2447" s="24">
        <v>9.67</v>
      </c>
      <c r="CP2447" s="24">
        <v>5.98</v>
      </c>
      <c r="CT2447" s="24">
        <v>53.3</v>
      </c>
      <c r="CU2447" s="24">
        <v>47.8</v>
      </c>
      <c r="CY2447" s="24">
        <v>5.04</v>
      </c>
      <c r="CZ2447" s="24">
        <v>5.0599999999999996</v>
      </c>
      <c r="DD2447" s="24">
        <v>3.35</v>
      </c>
      <c r="DE2447" s="24">
        <v>4</v>
      </c>
      <c r="DH2447" s="24" t="s">
        <v>2681</v>
      </c>
      <c r="JD2447" s="249"/>
    </row>
    <row r="2448" spans="1:264" s="24" customFormat="1" x14ac:dyDescent="0.25">
      <c r="A2448" s="24">
        <v>116</v>
      </c>
      <c r="B2448" s="42" t="s">
        <v>4316</v>
      </c>
      <c r="C2448" s="24" t="s">
        <v>2613</v>
      </c>
      <c r="D2448" s="24" t="s">
        <v>2614</v>
      </c>
      <c r="E2448" s="24">
        <v>2005</v>
      </c>
      <c r="F2448" s="24">
        <v>1997</v>
      </c>
      <c r="G2448" s="24" t="s">
        <v>2615</v>
      </c>
      <c r="H2448" s="24" t="s">
        <v>2616</v>
      </c>
      <c r="I2448" s="24" t="s">
        <v>2826</v>
      </c>
      <c r="J2448" s="24">
        <f t="shared" si="355"/>
        <v>9.4166666666666661</v>
      </c>
      <c r="K2448" s="24">
        <f t="shared" si="356"/>
        <v>-0.96666666666666667</v>
      </c>
      <c r="L2448" s="24">
        <v>183</v>
      </c>
      <c r="R2448" s="42" t="s">
        <v>1977</v>
      </c>
      <c r="S2448" s="42" t="s">
        <v>1858</v>
      </c>
      <c r="T2448" s="42"/>
      <c r="U2448" s="42" t="s">
        <v>2617</v>
      </c>
      <c r="V2448" s="42" t="s">
        <v>1379</v>
      </c>
      <c r="W2448" s="42" t="s">
        <v>1715</v>
      </c>
      <c r="X2448" s="42" t="s">
        <v>1379</v>
      </c>
      <c r="Y2448" s="42" t="s">
        <v>1379</v>
      </c>
      <c r="AA2448" s="321">
        <v>65.5</v>
      </c>
      <c r="AB2448" s="321">
        <v>22.02</v>
      </c>
      <c r="AC2448" s="24" t="s">
        <v>240</v>
      </c>
      <c r="AD2448" s="24">
        <v>5.26</v>
      </c>
      <c r="AE2448" s="24">
        <v>0.64</v>
      </c>
      <c r="AG2448" s="24" t="s">
        <v>2675</v>
      </c>
      <c r="AH2448" s="24" t="s">
        <v>2676</v>
      </c>
      <c r="AI2448" s="24" t="s">
        <v>577</v>
      </c>
      <c r="AJ2448" s="24" t="s">
        <v>1645</v>
      </c>
      <c r="AK2448" s="24" t="s">
        <v>132</v>
      </c>
      <c r="AT2448" s="24" t="s">
        <v>177</v>
      </c>
      <c r="AU2448" s="24" t="s">
        <v>177</v>
      </c>
      <c r="AV2448" s="24" t="s">
        <v>177</v>
      </c>
      <c r="AW2448" s="24" t="s">
        <v>119</v>
      </c>
      <c r="AX2448" s="24">
        <v>3</v>
      </c>
      <c r="AZ2448" s="24" t="s">
        <v>141</v>
      </c>
      <c r="BE2448" s="24" t="s">
        <v>2673</v>
      </c>
      <c r="BK2448" s="24">
        <v>430</v>
      </c>
      <c r="BL2448" s="24">
        <v>1450</v>
      </c>
      <c r="BO2448" s="24" t="s">
        <v>2679</v>
      </c>
      <c r="BP2448" s="395"/>
      <c r="BQ2448" s="395"/>
      <c r="BU2448" s="395">
        <v>0.60299999999999998</v>
      </c>
      <c r="BV2448" s="395">
        <v>0.86699999999999999</v>
      </c>
      <c r="BZ2448" s="395"/>
      <c r="CA2448" s="395"/>
      <c r="CD2448" s="24" t="s">
        <v>3120</v>
      </c>
      <c r="CE2448" s="548">
        <v>0.60299999999999998</v>
      </c>
      <c r="CF2448" s="548">
        <v>0.86699999999999999</v>
      </c>
      <c r="CG2448" s="548"/>
      <c r="CH2448" s="548"/>
      <c r="CI2448" s="24" t="s">
        <v>4546</v>
      </c>
      <c r="CJ2448" s="24">
        <f t="shared" si="357"/>
        <v>540</v>
      </c>
      <c r="CK2448" s="24">
        <v>1020</v>
      </c>
      <c r="CN2448" s="24" t="s">
        <v>2680</v>
      </c>
      <c r="CO2448" s="24">
        <v>9.67</v>
      </c>
      <c r="CP2448" s="24">
        <v>7.86</v>
      </c>
      <c r="CT2448" s="24">
        <v>53.3</v>
      </c>
      <c r="CU2448" s="24">
        <v>60.8</v>
      </c>
      <c r="CY2448" s="24">
        <v>5.04</v>
      </c>
      <c r="CZ2448" s="24">
        <v>5.1100000000000003</v>
      </c>
      <c r="DD2448" s="24">
        <v>3.35</v>
      </c>
      <c r="DE2448" s="24">
        <v>4.0199999999999996</v>
      </c>
      <c r="DH2448" s="24" t="s">
        <v>2681</v>
      </c>
      <c r="JD2448" s="249"/>
    </row>
    <row r="2449" spans="1:264" s="101" customFormat="1" x14ac:dyDescent="0.25">
      <c r="A2449" s="101">
        <v>116</v>
      </c>
      <c r="B2449" s="102" t="s">
        <v>4314</v>
      </c>
      <c r="C2449" s="101" t="s">
        <v>2613</v>
      </c>
      <c r="D2449" s="101" t="s">
        <v>2614</v>
      </c>
      <c r="E2449" s="101">
        <v>2005</v>
      </c>
      <c r="F2449" s="101">
        <v>1998</v>
      </c>
      <c r="G2449" s="101" t="s">
        <v>2615</v>
      </c>
      <c r="H2449" s="101" t="s">
        <v>2616</v>
      </c>
      <c r="I2449" s="24" t="s">
        <v>2826</v>
      </c>
      <c r="J2449" s="101">
        <f t="shared" si="355"/>
        <v>9.4166666666666661</v>
      </c>
      <c r="K2449" s="101">
        <f t="shared" si="356"/>
        <v>-0.96666666666666667</v>
      </c>
      <c r="L2449" s="101">
        <v>183</v>
      </c>
      <c r="R2449" s="102" t="s">
        <v>1847</v>
      </c>
      <c r="S2449" s="102" t="s">
        <v>1858</v>
      </c>
      <c r="T2449" s="102"/>
      <c r="U2449" s="102" t="s">
        <v>2617</v>
      </c>
      <c r="V2449" s="102" t="s">
        <v>1379</v>
      </c>
      <c r="W2449" s="102" t="s">
        <v>1715</v>
      </c>
      <c r="X2449" s="102" t="s">
        <v>1379</v>
      </c>
      <c r="Y2449" s="102" t="s">
        <v>1379</v>
      </c>
      <c r="AA2449" s="352">
        <v>65.5</v>
      </c>
      <c r="AB2449" s="352">
        <v>22.02</v>
      </c>
      <c r="AC2449" s="101" t="s">
        <v>240</v>
      </c>
      <c r="AD2449" s="101">
        <v>5.26</v>
      </c>
      <c r="AE2449" s="101">
        <v>0.64</v>
      </c>
      <c r="AG2449" s="101" t="s">
        <v>2675</v>
      </c>
      <c r="AH2449" s="101" t="s">
        <v>2676</v>
      </c>
      <c r="AI2449" s="101" t="s">
        <v>577</v>
      </c>
      <c r="AJ2449" s="101" t="s">
        <v>1645</v>
      </c>
      <c r="AK2449" s="101" t="s">
        <v>132</v>
      </c>
      <c r="AT2449" s="24" t="s">
        <v>177</v>
      </c>
      <c r="AU2449" s="24" t="s">
        <v>177</v>
      </c>
      <c r="AV2449" s="24" t="s">
        <v>177</v>
      </c>
      <c r="AW2449" s="101" t="s">
        <v>119</v>
      </c>
      <c r="AX2449" s="101">
        <v>3</v>
      </c>
      <c r="AZ2449" s="101" t="s">
        <v>141</v>
      </c>
      <c r="BE2449" s="101" t="s">
        <v>2673</v>
      </c>
      <c r="BK2449" s="101">
        <v>390</v>
      </c>
      <c r="BL2449" s="101">
        <v>910</v>
      </c>
      <c r="BO2449" s="101" t="s">
        <v>2677</v>
      </c>
      <c r="BP2449" s="427"/>
      <c r="BQ2449" s="427"/>
      <c r="BU2449" s="427"/>
      <c r="BV2449" s="427"/>
      <c r="BZ2449" s="427"/>
      <c r="CA2449" s="427"/>
      <c r="CE2449" s="580"/>
      <c r="CF2449" s="580"/>
      <c r="CG2449" s="580"/>
      <c r="CH2449" s="580"/>
      <c r="JD2449" s="177"/>
    </row>
    <row r="2450" spans="1:264" s="101" customFormat="1" x14ac:dyDescent="0.25">
      <c r="A2450" s="101">
        <v>116</v>
      </c>
      <c r="B2450" s="102" t="s">
        <v>4315</v>
      </c>
      <c r="C2450" s="101" t="s">
        <v>2613</v>
      </c>
      <c r="D2450" s="101" t="s">
        <v>2614</v>
      </c>
      <c r="E2450" s="101">
        <v>2005</v>
      </c>
      <c r="F2450" s="101">
        <v>1998</v>
      </c>
      <c r="G2450" s="101" t="s">
        <v>2615</v>
      </c>
      <c r="H2450" s="101" t="s">
        <v>2616</v>
      </c>
      <c r="I2450" s="24" t="s">
        <v>2826</v>
      </c>
      <c r="J2450" s="101">
        <f t="shared" si="355"/>
        <v>9.4166666666666661</v>
      </c>
      <c r="K2450" s="101">
        <f t="shared" si="356"/>
        <v>-0.96666666666666667</v>
      </c>
      <c r="L2450" s="101">
        <v>183</v>
      </c>
      <c r="R2450" s="102" t="s">
        <v>1847</v>
      </c>
      <c r="S2450" s="102" t="s">
        <v>1858</v>
      </c>
      <c r="T2450" s="102"/>
      <c r="U2450" s="102" t="s">
        <v>2617</v>
      </c>
      <c r="V2450" s="102" t="s">
        <v>1379</v>
      </c>
      <c r="W2450" s="102" t="s">
        <v>1715</v>
      </c>
      <c r="X2450" s="102" t="s">
        <v>1379</v>
      </c>
      <c r="Y2450" s="102" t="s">
        <v>1379</v>
      </c>
      <c r="AA2450" s="352">
        <v>65.5</v>
      </c>
      <c r="AB2450" s="352">
        <v>22.02</v>
      </c>
      <c r="AC2450" s="101" t="s">
        <v>240</v>
      </c>
      <c r="AD2450" s="101">
        <v>5.26</v>
      </c>
      <c r="AE2450" s="101">
        <v>0.64</v>
      </c>
      <c r="AG2450" s="101" t="s">
        <v>2675</v>
      </c>
      <c r="AH2450" s="101" t="s">
        <v>2676</v>
      </c>
      <c r="AI2450" s="101" t="s">
        <v>577</v>
      </c>
      <c r="AJ2450" s="101" t="s">
        <v>1645</v>
      </c>
      <c r="AK2450" s="101" t="s">
        <v>132</v>
      </c>
      <c r="AT2450" s="24" t="s">
        <v>2682</v>
      </c>
      <c r="AU2450" s="24" t="s">
        <v>1434</v>
      </c>
      <c r="AV2450" s="24" t="s">
        <v>502</v>
      </c>
      <c r="AW2450" s="101" t="s">
        <v>119</v>
      </c>
      <c r="AX2450" s="101">
        <v>3</v>
      </c>
      <c r="AZ2450" s="101" t="s">
        <v>141</v>
      </c>
      <c r="BE2450" s="101" t="s">
        <v>2673</v>
      </c>
      <c r="BK2450" s="101">
        <v>390</v>
      </c>
      <c r="BL2450" s="101">
        <v>1190</v>
      </c>
      <c r="BO2450" s="101" t="s">
        <v>2678</v>
      </c>
      <c r="BP2450" s="427"/>
      <c r="BQ2450" s="427"/>
      <c r="BU2450" s="427"/>
      <c r="BV2450" s="427"/>
      <c r="BZ2450" s="427"/>
      <c r="CA2450" s="427"/>
      <c r="CE2450" s="580"/>
      <c r="CF2450" s="580"/>
      <c r="CG2450" s="580"/>
      <c r="CH2450" s="580"/>
      <c r="JD2450" s="177"/>
    </row>
    <row r="2451" spans="1:264" s="101" customFormat="1" x14ac:dyDescent="0.25">
      <c r="A2451" s="101">
        <v>116</v>
      </c>
      <c r="B2451" s="102" t="s">
        <v>4316</v>
      </c>
      <c r="C2451" s="101" t="s">
        <v>2613</v>
      </c>
      <c r="D2451" s="101" t="s">
        <v>2614</v>
      </c>
      <c r="E2451" s="101">
        <v>2005</v>
      </c>
      <c r="F2451" s="101">
        <v>1998</v>
      </c>
      <c r="G2451" s="101" t="s">
        <v>2615</v>
      </c>
      <c r="H2451" s="101" t="s">
        <v>2616</v>
      </c>
      <c r="I2451" s="24" t="s">
        <v>2826</v>
      </c>
      <c r="J2451" s="101">
        <f t="shared" si="355"/>
        <v>9.4166666666666661</v>
      </c>
      <c r="K2451" s="101">
        <f t="shared" si="356"/>
        <v>-0.96666666666666667</v>
      </c>
      <c r="L2451" s="101">
        <v>183</v>
      </c>
      <c r="R2451" s="102" t="s">
        <v>1847</v>
      </c>
      <c r="S2451" s="102" t="s">
        <v>1858</v>
      </c>
      <c r="T2451" s="102"/>
      <c r="U2451" s="102" t="s">
        <v>2617</v>
      </c>
      <c r="V2451" s="102" t="s">
        <v>1379</v>
      </c>
      <c r="W2451" s="102" t="s">
        <v>1715</v>
      </c>
      <c r="X2451" s="102" t="s">
        <v>1379</v>
      </c>
      <c r="Y2451" s="102" t="s">
        <v>1379</v>
      </c>
      <c r="AA2451" s="352">
        <v>65.5</v>
      </c>
      <c r="AB2451" s="352">
        <v>22.02</v>
      </c>
      <c r="AC2451" s="101" t="s">
        <v>240</v>
      </c>
      <c r="AD2451" s="101">
        <v>5.26</v>
      </c>
      <c r="AE2451" s="101">
        <v>0.64</v>
      </c>
      <c r="AG2451" s="101" t="s">
        <v>2675</v>
      </c>
      <c r="AH2451" s="101" t="s">
        <v>2676</v>
      </c>
      <c r="AI2451" s="101" t="s">
        <v>577</v>
      </c>
      <c r="AJ2451" s="101" t="s">
        <v>1645</v>
      </c>
      <c r="AK2451" s="101" t="s">
        <v>132</v>
      </c>
      <c r="AT2451" s="24" t="s">
        <v>177</v>
      </c>
      <c r="AU2451" s="24" t="s">
        <v>177</v>
      </c>
      <c r="AV2451" s="24" t="s">
        <v>177</v>
      </c>
      <c r="AW2451" s="101" t="s">
        <v>119</v>
      </c>
      <c r="AX2451" s="101">
        <v>3</v>
      </c>
      <c r="AZ2451" s="101" t="s">
        <v>141</v>
      </c>
      <c r="BE2451" s="101" t="s">
        <v>2673</v>
      </c>
      <c r="BK2451" s="101">
        <v>390</v>
      </c>
      <c r="BL2451" s="101">
        <v>890</v>
      </c>
      <c r="BO2451" s="101" t="s">
        <v>2679</v>
      </c>
      <c r="BP2451" s="427"/>
      <c r="BQ2451" s="427"/>
      <c r="BU2451" s="427"/>
      <c r="BV2451" s="427"/>
      <c r="BZ2451" s="427"/>
      <c r="CA2451" s="427"/>
      <c r="CE2451" s="580"/>
      <c r="CF2451" s="580"/>
      <c r="CG2451" s="580"/>
      <c r="CH2451" s="580"/>
      <c r="JD2451" s="177"/>
    </row>
    <row r="2452" spans="1:264" s="32" customFormat="1" x14ac:dyDescent="0.25">
      <c r="A2452" s="32">
        <v>116</v>
      </c>
      <c r="B2452" s="44" t="s">
        <v>4317</v>
      </c>
      <c r="C2452" s="32" t="s">
        <v>2613</v>
      </c>
      <c r="D2452" s="32" t="s">
        <v>2614</v>
      </c>
      <c r="E2452" s="32">
        <v>2005</v>
      </c>
      <c r="F2452" s="32">
        <v>1997</v>
      </c>
      <c r="G2452" s="32" t="s">
        <v>2615</v>
      </c>
      <c r="H2452" s="32" t="s">
        <v>2616</v>
      </c>
      <c r="I2452" s="24" t="s">
        <v>2826</v>
      </c>
      <c r="J2452" s="32">
        <f t="shared" si="355"/>
        <v>9.4166666666666661</v>
      </c>
      <c r="K2452" s="32">
        <f t="shared" si="356"/>
        <v>-0.96666666666666667</v>
      </c>
      <c r="L2452" s="32">
        <v>183</v>
      </c>
      <c r="R2452" s="44" t="s">
        <v>1977</v>
      </c>
      <c r="S2452" s="44" t="s">
        <v>1858</v>
      </c>
      <c r="T2452" s="44"/>
      <c r="U2452" s="44" t="s">
        <v>2617</v>
      </c>
      <c r="V2452" s="44" t="s">
        <v>1379</v>
      </c>
      <c r="W2452" s="44" t="s">
        <v>1715</v>
      </c>
      <c r="X2452" s="44" t="s">
        <v>1379</v>
      </c>
      <c r="Y2452" s="44" t="s">
        <v>1379</v>
      </c>
      <c r="AA2452" s="323">
        <v>76.25</v>
      </c>
      <c r="AB2452" s="323">
        <v>13.1</v>
      </c>
      <c r="AC2452" s="32" t="s">
        <v>175</v>
      </c>
      <c r="AD2452" s="32">
        <v>4.7699999999999996</v>
      </c>
      <c r="AE2452" s="32">
        <v>0.52</v>
      </c>
      <c r="AG2452" s="32" t="s">
        <v>2674</v>
      </c>
      <c r="AH2452" s="32" t="s">
        <v>2676</v>
      </c>
      <c r="AI2452" s="32" t="s">
        <v>577</v>
      </c>
      <c r="AJ2452" s="32" t="s">
        <v>1645</v>
      </c>
      <c r="AK2452" s="32" t="s">
        <v>132</v>
      </c>
      <c r="AT2452" s="32" t="s">
        <v>177</v>
      </c>
      <c r="AU2452" s="32" t="s">
        <v>177</v>
      </c>
      <c r="AV2452" s="32" t="s">
        <v>177</v>
      </c>
      <c r="AW2452" s="32" t="s">
        <v>119</v>
      </c>
      <c r="AX2452" s="32">
        <v>3</v>
      </c>
      <c r="AZ2452" s="32" t="s">
        <v>141</v>
      </c>
      <c r="BE2452" s="32" t="s">
        <v>2672</v>
      </c>
      <c r="BK2452" s="32">
        <v>440</v>
      </c>
      <c r="BL2452" s="32">
        <v>1510</v>
      </c>
      <c r="BO2452" s="32" t="s">
        <v>2677</v>
      </c>
      <c r="BP2452" s="397"/>
      <c r="BQ2452" s="397"/>
      <c r="BU2452" s="397">
        <v>0.53</v>
      </c>
      <c r="BV2452" s="397">
        <v>0.753</v>
      </c>
      <c r="BZ2452" s="397"/>
      <c r="CA2452" s="397"/>
      <c r="CD2452" s="32" t="s">
        <v>3120</v>
      </c>
      <c r="CE2452" s="550">
        <v>0.53</v>
      </c>
      <c r="CF2452" s="550">
        <v>0.753</v>
      </c>
      <c r="CG2452" s="550"/>
      <c r="CH2452" s="550"/>
      <c r="CI2452" s="32" t="s">
        <v>4546</v>
      </c>
      <c r="CJ2452" s="32">
        <v>450</v>
      </c>
      <c r="CK2452" s="32">
        <v>880</v>
      </c>
      <c r="CN2452" s="32" t="s">
        <v>2680</v>
      </c>
      <c r="CO2452" s="32">
        <v>10.14</v>
      </c>
      <c r="CP2452" s="32">
        <v>10.8</v>
      </c>
      <c r="CT2452" s="32">
        <v>52.8</v>
      </c>
      <c r="CU2452" s="32">
        <v>57</v>
      </c>
      <c r="CY2452" s="32">
        <v>4.91</v>
      </c>
      <c r="CZ2452" s="32">
        <v>5.0599999999999996</v>
      </c>
      <c r="DD2452" s="32">
        <v>3.66</v>
      </c>
      <c r="DE2452" s="32">
        <v>4.49</v>
      </c>
      <c r="DH2452" s="32" t="s">
        <v>2681</v>
      </c>
      <c r="JD2452" s="243"/>
    </row>
    <row r="2453" spans="1:264" s="32" customFormat="1" x14ac:dyDescent="0.25">
      <c r="A2453" s="32">
        <v>116</v>
      </c>
      <c r="B2453" s="44" t="s">
        <v>4318</v>
      </c>
      <c r="C2453" s="32" t="s">
        <v>2613</v>
      </c>
      <c r="D2453" s="32" t="s">
        <v>2614</v>
      </c>
      <c r="E2453" s="32">
        <v>2005</v>
      </c>
      <c r="F2453" s="32">
        <v>1997</v>
      </c>
      <c r="G2453" s="32" t="s">
        <v>2615</v>
      </c>
      <c r="H2453" s="32" t="s">
        <v>2616</v>
      </c>
      <c r="I2453" s="24" t="s">
        <v>2826</v>
      </c>
      <c r="J2453" s="32">
        <f t="shared" si="355"/>
        <v>9.4166666666666661</v>
      </c>
      <c r="K2453" s="32">
        <f t="shared" si="356"/>
        <v>-0.96666666666666667</v>
      </c>
      <c r="L2453" s="32">
        <v>183</v>
      </c>
      <c r="R2453" s="44" t="s">
        <v>1977</v>
      </c>
      <c r="S2453" s="44" t="s">
        <v>1858</v>
      </c>
      <c r="T2453" s="44"/>
      <c r="U2453" s="44" t="s">
        <v>2617</v>
      </c>
      <c r="V2453" s="44" t="s">
        <v>1379</v>
      </c>
      <c r="W2453" s="44" t="s">
        <v>1715</v>
      </c>
      <c r="X2453" s="44" t="s">
        <v>1379</v>
      </c>
      <c r="Y2453" s="44" t="s">
        <v>1379</v>
      </c>
      <c r="AA2453" s="323">
        <v>76.25</v>
      </c>
      <c r="AB2453" s="323">
        <v>13.1</v>
      </c>
      <c r="AC2453" s="32" t="s">
        <v>175</v>
      </c>
      <c r="AD2453" s="32">
        <v>4.7699999999999996</v>
      </c>
      <c r="AE2453" s="32">
        <v>0.52</v>
      </c>
      <c r="AG2453" s="32" t="s">
        <v>2674</v>
      </c>
      <c r="AH2453" s="32" t="s">
        <v>2676</v>
      </c>
      <c r="AI2453" s="32" t="s">
        <v>577</v>
      </c>
      <c r="AJ2453" s="32" t="s">
        <v>1645</v>
      </c>
      <c r="AK2453" s="32" t="s">
        <v>132</v>
      </c>
      <c r="AT2453" s="32" t="s">
        <v>2682</v>
      </c>
      <c r="AU2453" s="32" t="s">
        <v>1434</v>
      </c>
      <c r="AV2453" s="32" t="s">
        <v>502</v>
      </c>
      <c r="AW2453" s="32" t="s">
        <v>119</v>
      </c>
      <c r="AX2453" s="32">
        <v>3</v>
      </c>
      <c r="AZ2453" s="32" t="s">
        <v>141</v>
      </c>
      <c r="BE2453" s="32" t="s">
        <v>2672</v>
      </c>
      <c r="BK2453" s="32">
        <v>440</v>
      </c>
      <c r="BL2453" s="32">
        <v>2020</v>
      </c>
      <c r="BO2453" s="32" t="s">
        <v>2678</v>
      </c>
      <c r="BP2453" s="397"/>
      <c r="BQ2453" s="397"/>
      <c r="BU2453" s="397">
        <v>0.53</v>
      </c>
      <c r="BV2453" s="397">
        <v>0.68</v>
      </c>
      <c r="BZ2453" s="397"/>
      <c r="CA2453" s="397"/>
      <c r="CD2453" s="32" t="s">
        <v>3120</v>
      </c>
      <c r="CE2453" s="550">
        <v>0.53</v>
      </c>
      <c r="CF2453" s="550">
        <v>0.68</v>
      </c>
      <c r="CG2453" s="550"/>
      <c r="CH2453" s="550"/>
      <c r="CI2453" s="32" t="s">
        <v>4546</v>
      </c>
      <c r="CJ2453" s="32">
        <v>450</v>
      </c>
      <c r="CK2453" s="32">
        <v>800</v>
      </c>
      <c r="CN2453" s="32" t="s">
        <v>2680</v>
      </c>
      <c r="CO2453" s="32">
        <v>10.14</v>
      </c>
      <c r="CP2453" s="32">
        <v>8.33</v>
      </c>
      <c r="CT2453" s="32">
        <v>52.8</v>
      </c>
      <c r="CU2453" s="32">
        <v>46.2</v>
      </c>
      <c r="CY2453" s="32">
        <v>4.91</v>
      </c>
      <c r="CZ2453" s="32">
        <v>4.8600000000000003</v>
      </c>
      <c r="DD2453" s="32">
        <v>3.66</v>
      </c>
      <c r="DE2453" s="32">
        <v>4.21</v>
      </c>
      <c r="DH2453" s="32" t="s">
        <v>2681</v>
      </c>
      <c r="JD2453" s="243"/>
    </row>
    <row r="2454" spans="1:264" s="32" customFormat="1" x14ac:dyDescent="0.25">
      <c r="A2454" s="32">
        <v>116</v>
      </c>
      <c r="B2454" s="44" t="s">
        <v>4319</v>
      </c>
      <c r="C2454" s="32" t="s">
        <v>2613</v>
      </c>
      <c r="D2454" s="32" t="s">
        <v>2614</v>
      </c>
      <c r="E2454" s="32">
        <v>2005</v>
      </c>
      <c r="F2454" s="32">
        <v>1997</v>
      </c>
      <c r="G2454" s="32" t="s">
        <v>2615</v>
      </c>
      <c r="H2454" s="32" t="s">
        <v>2616</v>
      </c>
      <c r="I2454" s="24" t="s">
        <v>2826</v>
      </c>
      <c r="J2454" s="32">
        <f t="shared" si="355"/>
        <v>9.4166666666666661</v>
      </c>
      <c r="K2454" s="32">
        <f t="shared" si="356"/>
        <v>-0.96666666666666667</v>
      </c>
      <c r="L2454" s="32">
        <v>183</v>
      </c>
      <c r="R2454" s="44" t="s">
        <v>1977</v>
      </c>
      <c r="S2454" s="44" t="s">
        <v>1858</v>
      </c>
      <c r="T2454" s="44"/>
      <c r="U2454" s="44" t="s">
        <v>2617</v>
      </c>
      <c r="V2454" s="44" t="s">
        <v>1379</v>
      </c>
      <c r="W2454" s="44" t="s">
        <v>1715</v>
      </c>
      <c r="X2454" s="44" t="s">
        <v>1379</v>
      </c>
      <c r="Y2454" s="44" t="s">
        <v>1379</v>
      </c>
      <c r="AA2454" s="323">
        <v>76.25</v>
      </c>
      <c r="AB2454" s="323">
        <v>13.1</v>
      </c>
      <c r="AC2454" s="32" t="s">
        <v>175</v>
      </c>
      <c r="AD2454" s="32">
        <v>4.7699999999999996</v>
      </c>
      <c r="AE2454" s="32">
        <v>0.52</v>
      </c>
      <c r="AG2454" s="32" t="s">
        <v>2674</v>
      </c>
      <c r="AH2454" s="32" t="s">
        <v>2676</v>
      </c>
      <c r="AI2454" s="32" t="s">
        <v>577</v>
      </c>
      <c r="AJ2454" s="32" t="s">
        <v>1645</v>
      </c>
      <c r="AK2454" s="32" t="s">
        <v>132</v>
      </c>
      <c r="AT2454" s="32" t="s">
        <v>177</v>
      </c>
      <c r="AU2454" s="32" t="s">
        <v>177</v>
      </c>
      <c r="AV2454" s="32" t="s">
        <v>177</v>
      </c>
      <c r="AW2454" s="32" t="s">
        <v>119</v>
      </c>
      <c r="AX2454" s="32">
        <v>3</v>
      </c>
      <c r="AZ2454" s="32" t="s">
        <v>141</v>
      </c>
      <c r="BE2454" s="32" t="s">
        <v>2672</v>
      </c>
      <c r="BK2454" s="32">
        <v>440</v>
      </c>
      <c r="BL2454" s="32">
        <v>1420</v>
      </c>
      <c r="BO2454" s="32" t="s">
        <v>2679</v>
      </c>
      <c r="BP2454" s="397"/>
      <c r="BQ2454" s="397"/>
      <c r="BU2454" s="397">
        <v>0.53</v>
      </c>
      <c r="BV2454" s="397">
        <v>0.68300000000000005</v>
      </c>
      <c r="BZ2454" s="397"/>
      <c r="CA2454" s="397"/>
      <c r="CD2454" s="32" t="s">
        <v>3120</v>
      </c>
      <c r="CE2454" s="550">
        <v>0.53</v>
      </c>
      <c r="CF2454" s="550">
        <v>0.68300000000000005</v>
      </c>
      <c r="CG2454" s="550"/>
      <c r="CH2454" s="550"/>
      <c r="CI2454" s="32" t="s">
        <v>4546</v>
      </c>
      <c r="CJ2454" s="32">
        <v>450</v>
      </c>
      <c r="CK2454" s="32">
        <v>750</v>
      </c>
      <c r="CN2454" s="32" t="s">
        <v>2680</v>
      </c>
      <c r="CO2454" s="32">
        <v>10.14</v>
      </c>
      <c r="CP2454" s="32">
        <v>10.02</v>
      </c>
      <c r="CT2454" s="32">
        <v>52.8</v>
      </c>
      <c r="CU2454" s="32">
        <v>43.8</v>
      </c>
      <c r="CY2454" s="32">
        <v>4.91</v>
      </c>
      <c r="CZ2454" s="32">
        <v>5.09</v>
      </c>
      <c r="DD2454" s="32">
        <v>3.66</v>
      </c>
      <c r="DE2454" s="32">
        <v>4.34</v>
      </c>
      <c r="DH2454" s="32" t="s">
        <v>2681</v>
      </c>
      <c r="JD2454" s="243"/>
    </row>
    <row r="2455" spans="1:264" s="105" customFormat="1" x14ac:dyDescent="0.25">
      <c r="A2455" s="105">
        <v>116</v>
      </c>
      <c r="B2455" s="106" t="s">
        <v>4317</v>
      </c>
      <c r="C2455" s="105" t="s">
        <v>2613</v>
      </c>
      <c r="D2455" s="105" t="s">
        <v>2614</v>
      </c>
      <c r="E2455" s="105">
        <v>2005</v>
      </c>
      <c r="F2455" s="101">
        <v>1998</v>
      </c>
      <c r="G2455" s="105" t="s">
        <v>2615</v>
      </c>
      <c r="H2455" s="105" t="s">
        <v>2616</v>
      </c>
      <c r="I2455" s="24" t="s">
        <v>2826</v>
      </c>
      <c r="J2455" s="105">
        <f t="shared" si="355"/>
        <v>9.4166666666666661</v>
      </c>
      <c r="K2455" s="105">
        <f t="shared" si="356"/>
        <v>-0.96666666666666667</v>
      </c>
      <c r="L2455" s="105">
        <v>183</v>
      </c>
      <c r="R2455" s="106" t="s">
        <v>1847</v>
      </c>
      <c r="S2455" s="106" t="s">
        <v>1858</v>
      </c>
      <c r="T2455" s="106"/>
      <c r="U2455" s="106" t="s">
        <v>2617</v>
      </c>
      <c r="V2455" s="106" t="s">
        <v>1379</v>
      </c>
      <c r="W2455" s="106" t="s">
        <v>1715</v>
      </c>
      <c r="X2455" s="106" t="s">
        <v>1379</v>
      </c>
      <c r="Y2455" s="106" t="s">
        <v>1379</v>
      </c>
      <c r="AA2455" s="354">
        <v>76.25</v>
      </c>
      <c r="AB2455" s="354">
        <v>13.1</v>
      </c>
      <c r="AC2455" s="105" t="s">
        <v>175</v>
      </c>
      <c r="AD2455" s="105">
        <v>4.7699999999999996</v>
      </c>
      <c r="AE2455" s="105">
        <v>0.52</v>
      </c>
      <c r="AG2455" s="105" t="s">
        <v>2674</v>
      </c>
      <c r="AH2455" s="105" t="s">
        <v>2676</v>
      </c>
      <c r="AI2455" s="105" t="s">
        <v>577</v>
      </c>
      <c r="AJ2455" s="105" t="s">
        <v>1645</v>
      </c>
      <c r="AK2455" s="105" t="s">
        <v>132</v>
      </c>
      <c r="AT2455" s="105" t="s">
        <v>177</v>
      </c>
      <c r="AU2455" s="105" t="s">
        <v>177</v>
      </c>
      <c r="AV2455" s="105" t="s">
        <v>177</v>
      </c>
      <c r="AW2455" s="105" t="s">
        <v>119</v>
      </c>
      <c r="AX2455" s="105">
        <v>3</v>
      </c>
      <c r="AZ2455" s="105" t="s">
        <v>141</v>
      </c>
      <c r="BE2455" s="105" t="s">
        <v>2672</v>
      </c>
      <c r="BK2455" s="105">
        <v>410</v>
      </c>
      <c r="BL2455" s="105">
        <v>1020</v>
      </c>
      <c r="BO2455" s="105" t="s">
        <v>2677</v>
      </c>
      <c r="BP2455" s="429"/>
      <c r="BQ2455" s="429"/>
      <c r="BU2455" s="429"/>
      <c r="BV2455" s="429"/>
      <c r="BZ2455" s="429"/>
      <c r="CA2455" s="429"/>
      <c r="CE2455" s="582"/>
      <c r="CF2455" s="582"/>
      <c r="CG2455" s="582"/>
      <c r="CH2455" s="582"/>
      <c r="JD2455" s="499"/>
    </row>
    <row r="2456" spans="1:264" s="105" customFormat="1" x14ac:dyDescent="0.25">
      <c r="A2456" s="105">
        <v>116</v>
      </c>
      <c r="B2456" s="106" t="s">
        <v>4318</v>
      </c>
      <c r="C2456" s="105" t="s">
        <v>2613</v>
      </c>
      <c r="D2456" s="105" t="s">
        <v>2614</v>
      </c>
      <c r="E2456" s="105">
        <v>2005</v>
      </c>
      <c r="F2456" s="101">
        <v>1998</v>
      </c>
      <c r="G2456" s="105" t="s">
        <v>2615</v>
      </c>
      <c r="H2456" s="105" t="s">
        <v>2616</v>
      </c>
      <c r="I2456" s="24" t="s">
        <v>2826</v>
      </c>
      <c r="J2456" s="105">
        <f t="shared" si="355"/>
        <v>9.4166666666666661</v>
      </c>
      <c r="K2456" s="105">
        <f t="shared" si="356"/>
        <v>-0.96666666666666667</v>
      </c>
      <c r="L2456" s="105">
        <v>183</v>
      </c>
      <c r="R2456" s="106" t="s">
        <v>1847</v>
      </c>
      <c r="S2456" s="106" t="s">
        <v>1858</v>
      </c>
      <c r="T2456" s="106"/>
      <c r="U2456" s="106" t="s">
        <v>2617</v>
      </c>
      <c r="V2456" s="106" t="s">
        <v>1379</v>
      </c>
      <c r="W2456" s="106" t="s">
        <v>1715</v>
      </c>
      <c r="X2456" s="106" t="s">
        <v>1379</v>
      </c>
      <c r="Y2456" s="106" t="s">
        <v>1379</v>
      </c>
      <c r="AA2456" s="354">
        <v>76.25</v>
      </c>
      <c r="AB2456" s="354">
        <v>13.1</v>
      </c>
      <c r="AC2456" s="105" t="s">
        <v>175</v>
      </c>
      <c r="AD2456" s="105">
        <v>4.7699999999999996</v>
      </c>
      <c r="AE2456" s="105">
        <v>0.52</v>
      </c>
      <c r="AG2456" s="105" t="s">
        <v>2674</v>
      </c>
      <c r="AH2456" s="105" t="s">
        <v>2676</v>
      </c>
      <c r="AI2456" s="105" t="s">
        <v>577</v>
      </c>
      <c r="AJ2456" s="105" t="s">
        <v>1645</v>
      </c>
      <c r="AK2456" s="105" t="s">
        <v>132</v>
      </c>
      <c r="AT2456" s="105" t="s">
        <v>2682</v>
      </c>
      <c r="AU2456" s="105" t="s">
        <v>1434</v>
      </c>
      <c r="AV2456" s="105" t="s">
        <v>502</v>
      </c>
      <c r="AW2456" s="105" t="s">
        <v>119</v>
      </c>
      <c r="AX2456" s="105">
        <v>3</v>
      </c>
      <c r="AZ2456" s="105" t="s">
        <v>141</v>
      </c>
      <c r="BE2456" s="105" t="s">
        <v>2672</v>
      </c>
      <c r="BK2456" s="105">
        <v>410</v>
      </c>
      <c r="BL2456" s="105">
        <v>1160</v>
      </c>
      <c r="BO2456" s="105" t="s">
        <v>2678</v>
      </c>
      <c r="BP2456" s="429"/>
      <c r="BQ2456" s="429"/>
      <c r="BU2456" s="429"/>
      <c r="BV2456" s="429"/>
      <c r="BZ2456" s="429"/>
      <c r="CA2456" s="429"/>
      <c r="CE2456" s="582"/>
      <c r="CF2456" s="582"/>
      <c r="CG2456" s="582"/>
      <c r="CH2456" s="582"/>
      <c r="JD2456" s="499"/>
    </row>
    <row r="2457" spans="1:264" s="105" customFormat="1" x14ac:dyDescent="0.25">
      <c r="A2457" s="105">
        <v>116</v>
      </c>
      <c r="B2457" s="106" t="s">
        <v>4319</v>
      </c>
      <c r="C2457" s="105" t="s">
        <v>2613</v>
      </c>
      <c r="D2457" s="105" t="s">
        <v>2614</v>
      </c>
      <c r="E2457" s="105">
        <v>2005</v>
      </c>
      <c r="F2457" s="101">
        <v>1998</v>
      </c>
      <c r="G2457" s="105" t="s">
        <v>2615</v>
      </c>
      <c r="H2457" s="105" t="s">
        <v>2616</v>
      </c>
      <c r="I2457" s="24" t="s">
        <v>2826</v>
      </c>
      <c r="J2457" s="105">
        <f t="shared" si="355"/>
        <v>9.4166666666666661</v>
      </c>
      <c r="K2457" s="105">
        <f t="shared" si="356"/>
        <v>-0.96666666666666667</v>
      </c>
      <c r="L2457" s="105">
        <v>183</v>
      </c>
      <c r="R2457" s="106" t="s">
        <v>1847</v>
      </c>
      <c r="S2457" s="106" t="s">
        <v>1858</v>
      </c>
      <c r="T2457" s="106"/>
      <c r="U2457" s="106" t="s">
        <v>2617</v>
      </c>
      <c r="V2457" s="106" t="s">
        <v>1379</v>
      </c>
      <c r="W2457" s="106" t="s">
        <v>1715</v>
      </c>
      <c r="X2457" s="106" t="s">
        <v>1379</v>
      </c>
      <c r="Y2457" s="106" t="s">
        <v>1379</v>
      </c>
      <c r="AA2457" s="354">
        <v>76.25</v>
      </c>
      <c r="AB2457" s="354">
        <v>13.1</v>
      </c>
      <c r="AC2457" s="105" t="s">
        <v>175</v>
      </c>
      <c r="AD2457" s="105">
        <v>4.7699999999999996</v>
      </c>
      <c r="AE2457" s="105">
        <v>0.52</v>
      </c>
      <c r="AG2457" s="105" t="s">
        <v>2674</v>
      </c>
      <c r="AH2457" s="105" t="s">
        <v>2676</v>
      </c>
      <c r="AI2457" s="105" t="s">
        <v>577</v>
      </c>
      <c r="AJ2457" s="105" t="s">
        <v>1645</v>
      </c>
      <c r="AK2457" s="105" t="s">
        <v>132</v>
      </c>
      <c r="AT2457" s="105" t="s">
        <v>177</v>
      </c>
      <c r="AU2457" s="105" t="s">
        <v>177</v>
      </c>
      <c r="AV2457" s="105" t="s">
        <v>177</v>
      </c>
      <c r="AW2457" s="105" t="s">
        <v>119</v>
      </c>
      <c r="AX2457" s="105">
        <v>3</v>
      </c>
      <c r="AZ2457" s="105" t="s">
        <v>141</v>
      </c>
      <c r="BE2457" s="105" t="s">
        <v>2672</v>
      </c>
      <c r="BK2457" s="105">
        <v>410</v>
      </c>
      <c r="BL2457" s="105">
        <v>1170</v>
      </c>
      <c r="BO2457" s="105" t="s">
        <v>2679</v>
      </c>
      <c r="BP2457" s="429"/>
      <c r="BQ2457" s="429"/>
      <c r="BU2457" s="429"/>
      <c r="BV2457" s="429"/>
      <c r="BZ2457" s="429"/>
      <c r="CA2457" s="429"/>
      <c r="CE2457" s="582"/>
      <c r="CF2457" s="582"/>
      <c r="CG2457" s="582"/>
      <c r="CH2457" s="582"/>
      <c r="JD2457" s="499"/>
    </row>
    <row r="2458" spans="1:264" s="36" customFormat="1" x14ac:dyDescent="0.25">
      <c r="A2458" s="36">
        <v>117</v>
      </c>
      <c r="B2458" s="51" t="s">
        <v>4320</v>
      </c>
      <c r="C2458" s="36" t="s">
        <v>2613</v>
      </c>
      <c r="D2458" s="36" t="s">
        <v>2614</v>
      </c>
      <c r="E2458" s="36">
        <v>2005</v>
      </c>
      <c r="F2458" s="36">
        <v>1998</v>
      </c>
      <c r="G2458" s="36" t="s">
        <v>2615</v>
      </c>
      <c r="H2458" s="36" t="s">
        <v>2616</v>
      </c>
      <c r="I2458" s="36" t="s">
        <v>2826</v>
      </c>
      <c r="J2458" s="36">
        <f t="shared" si="355"/>
        <v>9.4166666666666661</v>
      </c>
      <c r="K2458" s="36">
        <f t="shared" si="356"/>
        <v>-0.96666666666666667</v>
      </c>
      <c r="L2458" s="36">
        <v>183</v>
      </c>
      <c r="P2458" s="36">
        <v>1000</v>
      </c>
      <c r="R2458" s="51" t="s">
        <v>1847</v>
      </c>
      <c r="S2458" s="51" t="s">
        <v>1858</v>
      </c>
      <c r="T2458" s="51"/>
      <c r="U2458" s="51" t="s">
        <v>2617</v>
      </c>
      <c r="V2458" s="51" t="s">
        <v>1379</v>
      </c>
      <c r="W2458" s="51" t="s">
        <v>1715</v>
      </c>
      <c r="X2458" s="51" t="s">
        <v>1379</v>
      </c>
      <c r="Y2458" s="51" t="s">
        <v>1379</v>
      </c>
      <c r="AA2458" s="331">
        <v>76.25</v>
      </c>
      <c r="AB2458" s="331">
        <v>13.1</v>
      </c>
      <c r="AC2458" s="36" t="s">
        <v>175</v>
      </c>
      <c r="AD2458" s="36">
        <v>4.7699999999999996</v>
      </c>
      <c r="AE2458" s="36">
        <v>0.52</v>
      </c>
      <c r="AG2458" s="36" t="s">
        <v>2674</v>
      </c>
      <c r="AH2458" s="36" t="s">
        <v>2676</v>
      </c>
      <c r="AI2458" s="36" t="s">
        <v>577</v>
      </c>
      <c r="AJ2458" s="36" t="s">
        <v>1645</v>
      </c>
      <c r="AK2458" s="36" t="s">
        <v>132</v>
      </c>
      <c r="AT2458" s="36" t="s">
        <v>177</v>
      </c>
      <c r="AU2458" s="36" t="s">
        <v>177</v>
      </c>
      <c r="AV2458" s="36" t="s">
        <v>177</v>
      </c>
      <c r="AW2458" s="36" t="s">
        <v>119</v>
      </c>
      <c r="AX2458" s="36">
        <v>3</v>
      </c>
      <c r="AZ2458" s="36" t="s">
        <v>141</v>
      </c>
      <c r="BE2458" s="36" t="s">
        <v>2683</v>
      </c>
      <c r="BK2458" s="36">
        <v>1540</v>
      </c>
      <c r="BL2458" s="36">
        <v>3320</v>
      </c>
      <c r="BP2458" s="407"/>
      <c r="BQ2458" s="407"/>
      <c r="BU2458" s="407">
        <v>0.55000000000000004</v>
      </c>
      <c r="BV2458" s="407">
        <v>0.52</v>
      </c>
      <c r="BY2458" s="36" t="s">
        <v>2687</v>
      </c>
      <c r="BZ2458" s="407"/>
      <c r="CA2458" s="407"/>
      <c r="CD2458" s="36" t="s">
        <v>3120</v>
      </c>
      <c r="CE2458" s="560">
        <v>0.55000000000000004</v>
      </c>
      <c r="CF2458" s="560">
        <v>0.52</v>
      </c>
      <c r="CG2458" s="560"/>
      <c r="CH2458" s="560"/>
      <c r="CI2458" s="36" t="s">
        <v>4546</v>
      </c>
      <c r="CJ2458" s="36">
        <v>340</v>
      </c>
      <c r="CK2458" s="36">
        <v>370</v>
      </c>
      <c r="CN2458" s="36" t="s">
        <v>2688</v>
      </c>
      <c r="CO2458" s="36">
        <v>5.1100000000000003</v>
      </c>
      <c r="CP2458" s="36">
        <v>3.66</v>
      </c>
      <c r="CT2458" s="36">
        <v>76.7</v>
      </c>
      <c r="CU2458" s="36">
        <v>77.2</v>
      </c>
      <c r="CY2458" s="36">
        <v>5</v>
      </c>
      <c r="CZ2458" s="36">
        <v>5</v>
      </c>
      <c r="JD2458" s="230"/>
    </row>
    <row r="2459" spans="1:264" s="36" customFormat="1" x14ac:dyDescent="0.25">
      <c r="A2459" s="36">
        <v>117</v>
      </c>
      <c r="B2459" s="51" t="s">
        <v>4320</v>
      </c>
      <c r="C2459" s="36" t="s">
        <v>2613</v>
      </c>
      <c r="D2459" s="36" t="s">
        <v>2614</v>
      </c>
      <c r="E2459" s="36">
        <v>2005</v>
      </c>
      <c r="F2459" s="36">
        <v>1998</v>
      </c>
      <c r="G2459" s="36" t="s">
        <v>2615</v>
      </c>
      <c r="H2459" s="36" t="s">
        <v>2616</v>
      </c>
      <c r="I2459" s="36" t="s">
        <v>2826</v>
      </c>
      <c r="J2459" s="36">
        <f t="shared" si="355"/>
        <v>9.4166666666666661</v>
      </c>
      <c r="K2459" s="36">
        <f t="shared" si="356"/>
        <v>-0.96666666666666667</v>
      </c>
      <c r="L2459" s="36">
        <v>183</v>
      </c>
      <c r="P2459" s="36">
        <v>1000</v>
      </c>
      <c r="R2459" s="51" t="s">
        <v>1847</v>
      </c>
      <c r="S2459" s="51" t="s">
        <v>1858</v>
      </c>
      <c r="T2459" s="51"/>
      <c r="U2459" s="51" t="s">
        <v>2617</v>
      </c>
      <c r="V2459" s="51" t="s">
        <v>1379</v>
      </c>
      <c r="W2459" s="51" t="s">
        <v>1715</v>
      </c>
      <c r="X2459" s="51" t="s">
        <v>1379</v>
      </c>
      <c r="Y2459" s="51" t="s">
        <v>1379</v>
      </c>
      <c r="AA2459" s="331">
        <v>76.25</v>
      </c>
      <c r="AB2459" s="331">
        <v>13.1</v>
      </c>
      <c r="AC2459" s="36" t="s">
        <v>175</v>
      </c>
      <c r="AD2459" s="36">
        <v>4.7699999999999996</v>
      </c>
      <c r="AE2459" s="36">
        <v>0.52</v>
      </c>
      <c r="AG2459" s="36" t="s">
        <v>2674</v>
      </c>
      <c r="AH2459" s="36" t="s">
        <v>2676</v>
      </c>
      <c r="AI2459" s="36" t="s">
        <v>577</v>
      </c>
      <c r="AJ2459" s="36" t="s">
        <v>1645</v>
      </c>
      <c r="AK2459" s="36" t="s">
        <v>132</v>
      </c>
      <c r="AT2459" s="36" t="s">
        <v>177</v>
      </c>
      <c r="AU2459" s="36" t="s">
        <v>177</v>
      </c>
      <c r="AV2459" s="36" t="s">
        <v>177</v>
      </c>
      <c r="AW2459" s="36" t="s">
        <v>119</v>
      </c>
      <c r="AX2459" s="36">
        <v>3</v>
      </c>
      <c r="AZ2459" s="36" t="s">
        <v>141</v>
      </c>
      <c r="BE2459" s="36" t="s">
        <v>2684</v>
      </c>
      <c r="BK2459" s="36">
        <v>1540</v>
      </c>
      <c r="BL2459" s="36">
        <v>3410</v>
      </c>
      <c r="BP2459" s="407"/>
      <c r="BQ2459" s="407"/>
      <c r="BU2459" s="407">
        <v>0.55000000000000004</v>
      </c>
      <c r="BV2459" s="407">
        <v>0.51</v>
      </c>
      <c r="BY2459" s="36" t="s">
        <v>2687</v>
      </c>
      <c r="BZ2459" s="407"/>
      <c r="CA2459" s="407"/>
      <c r="CD2459" s="36" t="s">
        <v>3120</v>
      </c>
      <c r="CE2459" s="560">
        <v>0.55000000000000004</v>
      </c>
      <c r="CF2459" s="560">
        <v>0.51</v>
      </c>
      <c r="CG2459" s="560"/>
      <c r="CH2459" s="560"/>
      <c r="CI2459" s="36" t="s">
        <v>4546</v>
      </c>
      <c r="CJ2459" s="36">
        <v>340</v>
      </c>
      <c r="CK2459" s="36">
        <v>350</v>
      </c>
      <c r="CN2459" s="36" t="s">
        <v>2688</v>
      </c>
      <c r="CO2459" s="36">
        <v>5.1100000000000003</v>
      </c>
      <c r="CP2459" s="36">
        <v>3.85</v>
      </c>
      <c r="CT2459" s="36">
        <v>76.7</v>
      </c>
      <c r="CU2459" s="36">
        <v>85.7</v>
      </c>
      <c r="CY2459" s="36">
        <v>5</v>
      </c>
      <c r="CZ2459" s="36">
        <v>5.3</v>
      </c>
      <c r="JD2459" s="230"/>
    </row>
    <row r="2460" spans="1:264" s="36" customFormat="1" x14ac:dyDescent="0.25">
      <c r="A2460" s="36">
        <v>117</v>
      </c>
      <c r="B2460" s="51" t="s">
        <v>4320</v>
      </c>
      <c r="C2460" s="36" t="s">
        <v>2613</v>
      </c>
      <c r="D2460" s="36" t="s">
        <v>2614</v>
      </c>
      <c r="E2460" s="36">
        <v>2005</v>
      </c>
      <c r="F2460" s="36">
        <v>1998</v>
      </c>
      <c r="G2460" s="36" t="s">
        <v>2615</v>
      </c>
      <c r="H2460" s="36" t="s">
        <v>2616</v>
      </c>
      <c r="I2460" s="36" t="s">
        <v>2826</v>
      </c>
      <c r="J2460" s="36">
        <f t="shared" si="355"/>
        <v>9.4166666666666661</v>
      </c>
      <c r="K2460" s="36">
        <f t="shared" si="356"/>
        <v>-0.96666666666666667</v>
      </c>
      <c r="L2460" s="36">
        <v>183</v>
      </c>
      <c r="P2460" s="36">
        <v>1000</v>
      </c>
      <c r="R2460" s="51" t="s">
        <v>1847</v>
      </c>
      <c r="S2460" s="51" t="s">
        <v>1858</v>
      </c>
      <c r="T2460" s="51"/>
      <c r="U2460" s="51" t="s">
        <v>2617</v>
      </c>
      <c r="V2460" s="51" t="s">
        <v>1379</v>
      </c>
      <c r="W2460" s="51" t="s">
        <v>1715</v>
      </c>
      <c r="X2460" s="51" t="s">
        <v>1379</v>
      </c>
      <c r="Y2460" s="51" t="s">
        <v>1379</v>
      </c>
      <c r="AA2460" s="331">
        <v>76.25</v>
      </c>
      <c r="AB2460" s="331">
        <v>13.1</v>
      </c>
      <c r="AC2460" s="36" t="s">
        <v>175</v>
      </c>
      <c r="AD2460" s="36">
        <v>4.7699999999999996</v>
      </c>
      <c r="AE2460" s="36">
        <v>0.52</v>
      </c>
      <c r="AG2460" s="36" t="s">
        <v>2674</v>
      </c>
      <c r="AH2460" s="36" t="s">
        <v>2676</v>
      </c>
      <c r="AI2460" s="36" t="s">
        <v>577</v>
      </c>
      <c r="AJ2460" s="36" t="s">
        <v>1645</v>
      </c>
      <c r="AK2460" s="36" t="s">
        <v>132</v>
      </c>
      <c r="AT2460" s="36" t="s">
        <v>177</v>
      </c>
      <c r="AU2460" s="36" t="s">
        <v>177</v>
      </c>
      <c r="AV2460" s="36" t="s">
        <v>177</v>
      </c>
      <c r="AW2460" s="36" t="s">
        <v>119</v>
      </c>
      <c r="AX2460" s="36">
        <v>3</v>
      </c>
      <c r="AZ2460" s="36" t="s">
        <v>141</v>
      </c>
      <c r="BE2460" s="36" t="s">
        <v>2685</v>
      </c>
      <c r="BK2460" s="36">
        <v>1540</v>
      </c>
      <c r="BL2460" s="36">
        <v>2800</v>
      </c>
      <c r="BP2460" s="407"/>
      <c r="BQ2460" s="407"/>
      <c r="BU2460" s="407">
        <v>0.55000000000000004</v>
      </c>
      <c r="BV2460" s="407">
        <v>0.62</v>
      </c>
      <c r="BY2460" s="36" t="s">
        <v>2687</v>
      </c>
      <c r="BZ2460" s="407"/>
      <c r="CA2460" s="407"/>
      <c r="CD2460" s="36" t="s">
        <v>3120</v>
      </c>
      <c r="CE2460" s="560">
        <v>0.55000000000000004</v>
      </c>
      <c r="CF2460" s="560">
        <v>0.62</v>
      </c>
      <c r="CG2460" s="560"/>
      <c r="CH2460" s="560"/>
      <c r="CI2460" s="36" t="s">
        <v>4546</v>
      </c>
      <c r="CJ2460" s="36">
        <v>340</v>
      </c>
      <c r="CK2460" s="36">
        <v>340</v>
      </c>
      <c r="CN2460" s="36" t="s">
        <v>2688</v>
      </c>
      <c r="CO2460" s="36">
        <v>5.1100000000000003</v>
      </c>
      <c r="CP2460" s="36">
        <v>3.52</v>
      </c>
      <c r="CT2460" s="36">
        <v>76.7</v>
      </c>
      <c r="CU2460" s="36">
        <v>100.6</v>
      </c>
      <c r="CY2460" s="36">
        <v>5</v>
      </c>
      <c r="CZ2460" s="36">
        <v>5.0999999999999996</v>
      </c>
      <c r="JD2460" s="230"/>
    </row>
    <row r="2461" spans="1:264" s="36" customFormat="1" x14ac:dyDescent="0.25">
      <c r="A2461" s="36">
        <v>117</v>
      </c>
      <c r="B2461" s="51" t="s">
        <v>4320</v>
      </c>
      <c r="C2461" s="36" t="s">
        <v>2613</v>
      </c>
      <c r="D2461" s="36" t="s">
        <v>2614</v>
      </c>
      <c r="E2461" s="36">
        <v>2005</v>
      </c>
      <c r="F2461" s="36">
        <v>1998</v>
      </c>
      <c r="G2461" s="36" t="s">
        <v>2615</v>
      </c>
      <c r="H2461" s="36" t="s">
        <v>2616</v>
      </c>
      <c r="I2461" s="36" t="s">
        <v>2826</v>
      </c>
      <c r="J2461" s="36">
        <f t="shared" si="355"/>
        <v>9.4166666666666661</v>
      </c>
      <c r="K2461" s="36">
        <f t="shared" si="356"/>
        <v>-0.96666666666666667</v>
      </c>
      <c r="L2461" s="36">
        <v>183</v>
      </c>
      <c r="P2461" s="36">
        <v>1000</v>
      </c>
      <c r="R2461" s="51" t="s">
        <v>1847</v>
      </c>
      <c r="S2461" s="51" t="s">
        <v>1858</v>
      </c>
      <c r="T2461" s="51"/>
      <c r="U2461" s="51" t="s">
        <v>2617</v>
      </c>
      <c r="V2461" s="51" t="s">
        <v>1379</v>
      </c>
      <c r="W2461" s="51" t="s">
        <v>1715</v>
      </c>
      <c r="X2461" s="51" t="s">
        <v>1379</v>
      </c>
      <c r="Y2461" s="51" t="s">
        <v>1379</v>
      </c>
      <c r="AA2461" s="331">
        <v>76.25</v>
      </c>
      <c r="AB2461" s="331">
        <v>13.1</v>
      </c>
      <c r="AC2461" s="36" t="s">
        <v>175</v>
      </c>
      <c r="AD2461" s="36">
        <v>4.7699999999999996</v>
      </c>
      <c r="AE2461" s="36">
        <v>0.52</v>
      </c>
      <c r="AG2461" s="36" t="s">
        <v>2674</v>
      </c>
      <c r="AH2461" s="36" t="s">
        <v>2676</v>
      </c>
      <c r="AI2461" s="36" t="s">
        <v>577</v>
      </c>
      <c r="AJ2461" s="36" t="s">
        <v>1645</v>
      </c>
      <c r="AK2461" s="36" t="s">
        <v>132</v>
      </c>
      <c r="AT2461" s="36" t="s">
        <v>177</v>
      </c>
      <c r="AU2461" s="36" t="s">
        <v>177</v>
      </c>
      <c r="AV2461" s="36" t="s">
        <v>177</v>
      </c>
      <c r="AW2461" s="36" t="s">
        <v>119</v>
      </c>
      <c r="AX2461" s="36">
        <v>3</v>
      </c>
      <c r="AZ2461" s="36" t="s">
        <v>141</v>
      </c>
      <c r="BE2461" s="36" t="s">
        <v>2686</v>
      </c>
      <c r="BK2461" s="36">
        <v>1540</v>
      </c>
      <c r="BL2461" s="36">
        <v>2530</v>
      </c>
      <c r="BP2461" s="407"/>
      <c r="BQ2461" s="407"/>
      <c r="BU2461" s="407">
        <v>0.55000000000000004</v>
      </c>
      <c r="BV2461" s="407">
        <v>0.56999999999999995</v>
      </c>
      <c r="BY2461" s="36" t="s">
        <v>2687</v>
      </c>
      <c r="BZ2461" s="407"/>
      <c r="CA2461" s="407"/>
      <c r="CD2461" s="36" t="s">
        <v>3120</v>
      </c>
      <c r="CE2461" s="560">
        <v>0.55000000000000004</v>
      </c>
      <c r="CF2461" s="560">
        <v>0.56999999999999995</v>
      </c>
      <c r="CG2461" s="560"/>
      <c r="CH2461" s="560"/>
      <c r="CI2461" s="36" t="s">
        <v>4546</v>
      </c>
      <c r="CJ2461" s="36">
        <v>340</v>
      </c>
      <c r="CK2461" s="36">
        <v>340</v>
      </c>
      <c r="CN2461" s="36" t="s">
        <v>2688</v>
      </c>
      <c r="CO2461" s="36">
        <v>5.1100000000000003</v>
      </c>
      <c r="CP2461" s="36">
        <v>4.0599999999999996</v>
      </c>
      <c r="CT2461" s="36">
        <v>76.7</v>
      </c>
      <c r="CU2461" s="36">
        <v>90.8</v>
      </c>
      <c r="CY2461" s="36">
        <v>5</v>
      </c>
      <c r="CZ2461" s="36">
        <v>5.0999999999999996</v>
      </c>
      <c r="JD2461" s="230"/>
    </row>
    <row r="2462" spans="1:264" s="22" customFormat="1" x14ac:dyDescent="0.25">
      <c r="A2462" s="22">
        <v>117</v>
      </c>
      <c r="B2462" s="45" t="s">
        <v>4320</v>
      </c>
      <c r="C2462" s="22" t="s">
        <v>2613</v>
      </c>
      <c r="D2462" s="22" t="s">
        <v>2614</v>
      </c>
      <c r="E2462" s="22">
        <v>2005</v>
      </c>
      <c r="F2462" s="22">
        <v>1999</v>
      </c>
      <c r="G2462" s="22" t="s">
        <v>2615</v>
      </c>
      <c r="H2462" s="22" t="s">
        <v>2616</v>
      </c>
      <c r="I2462" s="36" t="s">
        <v>2826</v>
      </c>
      <c r="J2462" s="22">
        <f t="shared" si="355"/>
        <v>9.4166666666666661</v>
      </c>
      <c r="K2462" s="22">
        <f t="shared" si="356"/>
        <v>-0.96666666666666667</v>
      </c>
      <c r="L2462" s="22">
        <v>183</v>
      </c>
      <c r="P2462" s="22">
        <v>1000</v>
      </c>
      <c r="R2462" s="45" t="s">
        <v>1728</v>
      </c>
      <c r="S2462" s="45" t="s">
        <v>1858</v>
      </c>
      <c r="T2462" s="45"/>
      <c r="U2462" s="45" t="s">
        <v>2617</v>
      </c>
      <c r="V2462" s="45" t="s">
        <v>1379</v>
      </c>
      <c r="W2462" s="45" t="s">
        <v>1715</v>
      </c>
      <c r="X2462" s="45" t="s">
        <v>1379</v>
      </c>
      <c r="Y2462" s="45" t="s">
        <v>1379</v>
      </c>
      <c r="AA2462" s="325">
        <v>76.25</v>
      </c>
      <c r="AB2462" s="325">
        <v>13.1</v>
      </c>
      <c r="AC2462" s="22" t="s">
        <v>175</v>
      </c>
      <c r="AD2462" s="22">
        <v>4.7699999999999996</v>
      </c>
      <c r="AE2462" s="22">
        <v>0.52</v>
      </c>
      <c r="AG2462" s="22" t="s">
        <v>2674</v>
      </c>
      <c r="AH2462" s="22" t="s">
        <v>2676</v>
      </c>
      <c r="AI2462" s="22" t="s">
        <v>577</v>
      </c>
      <c r="AJ2462" s="22" t="s">
        <v>1645</v>
      </c>
      <c r="AK2462" s="22" t="s">
        <v>132</v>
      </c>
      <c r="AT2462" s="22" t="s">
        <v>177</v>
      </c>
      <c r="AU2462" s="22" t="s">
        <v>177</v>
      </c>
      <c r="AV2462" s="22" t="s">
        <v>177</v>
      </c>
      <c r="AW2462" s="22" t="s">
        <v>119</v>
      </c>
      <c r="AX2462" s="22">
        <v>3</v>
      </c>
      <c r="AZ2462" s="22" t="s">
        <v>141</v>
      </c>
      <c r="BE2462" s="22" t="s">
        <v>2683</v>
      </c>
      <c r="BK2462" s="22">
        <v>510</v>
      </c>
      <c r="BL2462" s="22">
        <v>1160</v>
      </c>
      <c r="BP2462" s="399"/>
      <c r="BQ2462" s="399"/>
      <c r="BU2462" s="399"/>
      <c r="BV2462" s="399"/>
      <c r="BZ2462" s="399"/>
      <c r="CA2462" s="399"/>
      <c r="CE2462" s="552"/>
      <c r="CF2462" s="552"/>
      <c r="CG2462" s="552"/>
      <c r="CH2462" s="552"/>
      <c r="JD2462" s="276"/>
    </row>
    <row r="2463" spans="1:264" s="22" customFormat="1" x14ac:dyDescent="0.25">
      <c r="A2463" s="22">
        <v>117</v>
      </c>
      <c r="B2463" s="45" t="s">
        <v>4320</v>
      </c>
      <c r="C2463" s="22" t="s">
        <v>2613</v>
      </c>
      <c r="D2463" s="22" t="s">
        <v>2614</v>
      </c>
      <c r="E2463" s="22">
        <v>2005</v>
      </c>
      <c r="F2463" s="22">
        <v>1999</v>
      </c>
      <c r="G2463" s="22" t="s">
        <v>2615</v>
      </c>
      <c r="H2463" s="22" t="s">
        <v>2616</v>
      </c>
      <c r="I2463" s="36" t="s">
        <v>2826</v>
      </c>
      <c r="J2463" s="22">
        <f t="shared" si="355"/>
        <v>9.4166666666666661</v>
      </c>
      <c r="K2463" s="22">
        <f t="shared" si="356"/>
        <v>-0.96666666666666667</v>
      </c>
      <c r="L2463" s="22">
        <v>183</v>
      </c>
      <c r="P2463" s="22">
        <v>1000</v>
      </c>
      <c r="R2463" s="45" t="s">
        <v>1728</v>
      </c>
      <c r="S2463" s="45" t="s">
        <v>1858</v>
      </c>
      <c r="T2463" s="45"/>
      <c r="U2463" s="45" t="s">
        <v>2617</v>
      </c>
      <c r="V2463" s="45" t="s">
        <v>1379</v>
      </c>
      <c r="W2463" s="45" t="s">
        <v>1715</v>
      </c>
      <c r="X2463" s="45" t="s">
        <v>1379</v>
      </c>
      <c r="Y2463" s="45" t="s">
        <v>1379</v>
      </c>
      <c r="AA2463" s="325">
        <v>76.25</v>
      </c>
      <c r="AB2463" s="325">
        <v>13.1</v>
      </c>
      <c r="AC2463" s="22" t="s">
        <v>175</v>
      </c>
      <c r="AD2463" s="22">
        <v>4.7699999999999996</v>
      </c>
      <c r="AE2463" s="22">
        <v>0.52</v>
      </c>
      <c r="AG2463" s="22" t="s">
        <v>2674</v>
      </c>
      <c r="AH2463" s="22" t="s">
        <v>2676</v>
      </c>
      <c r="AI2463" s="22" t="s">
        <v>577</v>
      </c>
      <c r="AJ2463" s="22" t="s">
        <v>1645</v>
      </c>
      <c r="AK2463" s="22" t="s">
        <v>132</v>
      </c>
      <c r="AT2463" s="22" t="s">
        <v>177</v>
      </c>
      <c r="AU2463" s="22" t="s">
        <v>177</v>
      </c>
      <c r="AV2463" s="22" t="s">
        <v>177</v>
      </c>
      <c r="AW2463" s="22" t="s">
        <v>119</v>
      </c>
      <c r="AX2463" s="22">
        <v>3</v>
      </c>
      <c r="AZ2463" s="22" t="s">
        <v>141</v>
      </c>
      <c r="BE2463" s="22" t="s">
        <v>2684</v>
      </c>
      <c r="BK2463" s="22">
        <v>510</v>
      </c>
      <c r="BL2463" s="22">
        <v>690</v>
      </c>
      <c r="BP2463" s="399"/>
      <c r="BQ2463" s="399"/>
      <c r="BU2463" s="399"/>
      <c r="BV2463" s="399"/>
      <c r="BZ2463" s="399"/>
      <c r="CA2463" s="399"/>
      <c r="CE2463" s="552"/>
      <c r="CF2463" s="552"/>
      <c r="CG2463" s="552"/>
      <c r="CH2463" s="552"/>
      <c r="JD2463" s="276"/>
    </row>
    <row r="2464" spans="1:264" s="22" customFormat="1" x14ac:dyDescent="0.25">
      <c r="A2464" s="22">
        <v>117</v>
      </c>
      <c r="B2464" s="45" t="s">
        <v>4320</v>
      </c>
      <c r="C2464" s="22" t="s">
        <v>2613</v>
      </c>
      <c r="D2464" s="22" t="s">
        <v>2614</v>
      </c>
      <c r="E2464" s="22">
        <v>2005</v>
      </c>
      <c r="F2464" s="22">
        <v>1999</v>
      </c>
      <c r="G2464" s="22" t="s">
        <v>2615</v>
      </c>
      <c r="H2464" s="22" t="s">
        <v>2616</v>
      </c>
      <c r="I2464" s="36" t="s">
        <v>2826</v>
      </c>
      <c r="J2464" s="22">
        <f t="shared" si="355"/>
        <v>9.4166666666666661</v>
      </c>
      <c r="K2464" s="22">
        <f t="shared" si="356"/>
        <v>-0.96666666666666667</v>
      </c>
      <c r="L2464" s="22">
        <v>183</v>
      </c>
      <c r="P2464" s="22">
        <v>1000</v>
      </c>
      <c r="R2464" s="45" t="s">
        <v>1728</v>
      </c>
      <c r="S2464" s="45" t="s">
        <v>1858</v>
      </c>
      <c r="T2464" s="45"/>
      <c r="U2464" s="45" t="s">
        <v>2617</v>
      </c>
      <c r="V2464" s="45" t="s">
        <v>1379</v>
      </c>
      <c r="W2464" s="45" t="s">
        <v>1715</v>
      </c>
      <c r="X2464" s="45" t="s">
        <v>1379</v>
      </c>
      <c r="Y2464" s="45" t="s">
        <v>1379</v>
      </c>
      <c r="AA2464" s="325">
        <v>76.25</v>
      </c>
      <c r="AB2464" s="325">
        <v>13.1</v>
      </c>
      <c r="AC2464" s="22" t="s">
        <v>175</v>
      </c>
      <c r="AD2464" s="22">
        <v>4.7699999999999996</v>
      </c>
      <c r="AE2464" s="22">
        <v>0.52</v>
      </c>
      <c r="AG2464" s="22" t="s">
        <v>2674</v>
      </c>
      <c r="AH2464" s="22" t="s">
        <v>2676</v>
      </c>
      <c r="AI2464" s="22" t="s">
        <v>577</v>
      </c>
      <c r="AJ2464" s="22" t="s">
        <v>1645</v>
      </c>
      <c r="AK2464" s="22" t="s">
        <v>132</v>
      </c>
      <c r="AT2464" s="22" t="s">
        <v>177</v>
      </c>
      <c r="AU2464" s="22" t="s">
        <v>177</v>
      </c>
      <c r="AV2464" s="22" t="s">
        <v>177</v>
      </c>
      <c r="AW2464" s="22" t="s">
        <v>119</v>
      </c>
      <c r="AX2464" s="22">
        <v>3</v>
      </c>
      <c r="AZ2464" s="22" t="s">
        <v>141</v>
      </c>
      <c r="BE2464" s="22" t="s">
        <v>2685</v>
      </c>
      <c r="BK2464" s="22">
        <v>510</v>
      </c>
      <c r="BL2464" s="22">
        <v>930</v>
      </c>
      <c r="BP2464" s="399"/>
      <c r="BQ2464" s="399"/>
      <c r="BU2464" s="399"/>
      <c r="BV2464" s="399"/>
      <c r="BZ2464" s="399"/>
      <c r="CA2464" s="399"/>
      <c r="CE2464" s="552"/>
      <c r="CF2464" s="552"/>
      <c r="CG2464" s="552"/>
      <c r="CH2464" s="552"/>
      <c r="JD2464" s="276"/>
    </row>
    <row r="2465" spans="1:264" s="22" customFormat="1" x14ac:dyDescent="0.25">
      <c r="A2465" s="22">
        <v>117</v>
      </c>
      <c r="B2465" s="45" t="s">
        <v>4320</v>
      </c>
      <c r="C2465" s="22" t="s">
        <v>2613</v>
      </c>
      <c r="D2465" s="22" t="s">
        <v>2614</v>
      </c>
      <c r="E2465" s="22">
        <v>2005</v>
      </c>
      <c r="F2465" s="22">
        <v>1999</v>
      </c>
      <c r="G2465" s="22" t="s">
        <v>2615</v>
      </c>
      <c r="H2465" s="22" t="s">
        <v>2616</v>
      </c>
      <c r="I2465" s="36" t="s">
        <v>2826</v>
      </c>
      <c r="J2465" s="22">
        <f t="shared" si="355"/>
        <v>9.4166666666666661</v>
      </c>
      <c r="K2465" s="22">
        <f t="shared" si="356"/>
        <v>-0.96666666666666667</v>
      </c>
      <c r="L2465" s="22">
        <v>183</v>
      </c>
      <c r="P2465" s="22">
        <v>1000</v>
      </c>
      <c r="R2465" s="45" t="s">
        <v>1728</v>
      </c>
      <c r="S2465" s="45" t="s">
        <v>1858</v>
      </c>
      <c r="T2465" s="45"/>
      <c r="U2465" s="45" t="s">
        <v>2617</v>
      </c>
      <c r="V2465" s="45" t="s">
        <v>1379</v>
      </c>
      <c r="W2465" s="45" t="s">
        <v>1715</v>
      </c>
      <c r="X2465" s="45" t="s">
        <v>1379</v>
      </c>
      <c r="Y2465" s="45" t="s">
        <v>1379</v>
      </c>
      <c r="AA2465" s="325">
        <v>76.25</v>
      </c>
      <c r="AB2465" s="325">
        <v>13.1</v>
      </c>
      <c r="AC2465" s="22" t="s">
        <v>175</v>
      </c>
      <c r="AD2465" s="22">
        <v>4.7699999999999996</v>
      </c>
      <c r="AE2465" s="22">
        <v>0.52</v>
      </c>
      <c r="AG2465" s="22" t="s">
        <v>2674</v>
      </c>
      <c r="AH2465" s="22" t="s">
        <v>2676</v>
      </c>
      <c r="AI2465" s="22" t="s">
        <v>577</v>
      </c>
      <c r="AJ2465" s="22" t="s">
        <v>1645</v>
      </c>
      <c r="AK2465" s="22" t="s">
        <v>132</v>
      </c>
      <c r="AT2465" s="22" t="s">
        <v>177</v>
      </c>
      <c r="AU2465" s="22" t="s">
        <v>177</v>
      </c>
      <c r="AV2465" s="22" t="s">
        <v>177</v>
      </c>
      <c r="AW2465" s="22" t="s">
        <v>119</v>
      </c>
      <c r="AX2465" s="22">
        <v>3</v>
      </c>
      <c r="AZ2465" s="22" t="s">
        <v>141</v>
      </c>
      <c r="BE2465" s="22" t="s">
        <v>2686</v>
      </c>
      <c r="BK2465" s="22">
        <v>510</v>
      </c>
      <c r="BL2465" s="22">
        <v>930</v>
      </c>
      <c r="BP2465" s="399"/>
      <c r="BQ2465" s="399"/>
      <c r="BU2465" s="399"/>
      <c r="BV2465" s="399"/>
      <c r="BZ2465" s="399"/>
      <c r="CA2465" s="399"/>
      <c r="CE2465" s="552"/>
      <c r="CF2465" s="552"/>
      <c r="CG2465" s="552"/>
      <c r="CH2465" s="552"/>
      <c r="JD2465" s="276"/>
    </row>
    <row r="2466" spans="1:264" s="24" customFormat="1" x14ac:dyDescent="0.25">
      <c r="A2466" s="24">
        <v>118</v>
      </c>
      <c r="B2466" s="42" t="s">
        <v>4322</v>
      </c>
      <c r="C2466" s="24" t="s">
        <v>2689</v>
      </c>
      <c r="D2466" s="24" t="s">
        <v>2690</v>
      </c>
      <c r="E2466" s="24">
        <v>1992</v>
      </c>
      <c r="F2466" s="24">
        <v>2006</v>
      </c>
      <c r="G2466" s="24" t="s">
        <v>2696</v>
      </c>
      <c r="H2466" s="24" t="s">
        <v>2693</v>
      </c>
      <c r="I2466" s="24" t="s">
        <v>2827</v>
      </c>
      <c r="J2466" s="24">
        <f t="shared" ref="J2466:J2497" si="358">-15.5</f>
        <v>-15.5</v>
      </c>
      <c r="K2466" s="24">
        <f t="shared" ref="K2466:K2497" si="359">35+15/60</f>
        <v>35.25</v>
      </c>
      <c r="L2466" s="24">
        <v>1030</v>
      </c>
      <c r="O2466" s="24">
        <v>1000</v>
      </c>
      <c r="P2466" s="24">
        <v>1024</v>
      </c>
      <c r="R2466" s="42" t="s">
        <v>1847</v>
      </c>
      <c r="S2466" s="42" t="s">
        <v>1931</v>
      </c>
      <c r="T2466" s="42"/>
      <c r="U2466" s="42" t="s">
        <v>2691</v>
      </c>
      <c r="V2466" s="42" t="s">
        <v>1379</v>
      </c>
      <c r="W2466" s="42" t="s">
        <v>1715</v>
      </c>
      <c r="X2466" s="42" t="s">
        <v>1379</v>
      </c>
      <c r="Y2466" s="42" t="s">
        <v>1379</v>
      </c>
      <c r="AA2466" s="321">
        <v>46</v>
      </c>
      <c r="AB2466" s="321">
        <v>8</v>
      </c>
      <c r="AC2466" s="24" t="s">
        <v>2695</v>
      </c>
      <c r="AD2466" s="24">
        <v>5.9</v>
      </c>
      <c r="AE2466" s="24">
        <v>0.88</v>
      </c>
      <c r="AG2466" s="24" t="s">
        <v>2694</v>
      </c>
      <c r="AH2466" s="24" t="s">
        <v>2697</v>
      </c>
      <c r="AI2466" s="24" t="s">
        <v>4321</v>
      </c>
      <c r="AJ2466" s="24" t="s">
        <v>1645</v>
      </c>
      <c r="AK2466" s="24" t="s">
        <v>132</v>
      </c>
      <c r="AL2466" s="24" t="s">
        <v>177</v>
      </c>
      <c r="AM2466" s="24" t="s">
        <v>177</v>
      </c>
      <c r="AN2466" s="24" t="s">
        <v>177</v>
      </c>
      <c r="AT2466" s="24" t="s">
        <v>161</v>
      </c>
      <c r="AU2466" s="24" t="s">
        <v>161</v>
      </c>
      <c r="AV2466" s="24" t="s">
        <v>177</v>
      </c>
      <c r="AW2466" s="24" t="s">
        <v>160</v>
      </c>
      <c r="AX2466" s="24">
        <v>3</v>
      </c>
      <c r="AY2466" s="24">
        <v>3</v>
      </c>
      <c r="AZ2466" s="24" t="s">
        <v>2692</v>
      </c>
      <c r="BP2466" s="395"/>
      <c r="BQ2466" s="395"/>
      <c r="BU2466" s="395">
        <f>7.6/10</f>
        <v>0.76</v>
      </c>
      <c r="BV2466" s="395">
        <v>0.89</v>
      </c>
      <c r="BY2466" s="24" t="s">
        <v>2284</v>
      </c>
      <c r="BZ2466" s="395"/>
      <c r="CA2466" s="395"/>
      <c r="CD2466" s="24" t="s">
        <v>3120</v>
      </c>
      <c r="CE2466" s="548">
        <v>0.76</v>
      </c>
      <c r="CF2466" s="548">
        <v>0.89</v>
      </c>
      <c r="CG2466" s="548"/>
      <c r="CH2466" s="548"/>
      <c r="CI2466" s="24" t="s">
        <v>4546</v>
      </c>
      <c r="CO2466" s="24">
        <v>20</v>
      </c>
      <c r="CP2466" s="24">
        <v>31</v>
      </c>
      <c r="CT2466" s="24">
        <v>0.11</v>
      </c>
      <c r="CU2466" s="24">
        <v>0.37</v>
      </c>
      <c r="CY2466" s="24">
        <v>5.9</v>
      </c>
      <c r="CZ2466" s="24">
        <v>6</v>
      </c>
      <c r="DD2466" s="24">
        <f>4.1+0.8+0.11</f>
        <v>5.01</v>
      </c>
      <c r="DE2466" s="24">
        <f>4.3+2.3+0.37</f>
        <v>6.97</v>
      </c>
      <c r="DH2466" s="24" t="s">
        <v>2701</v>
      </c>
      <c r="JD2466" s="249"/>
    </row>
    <row r="2467" spans="1:264" s="24" customFormat="1" x14ac:dyDescent="0.25">
      <c r="A2467" s="24">
        <v>118</v>
      </c>
      <c r="B2467" s="42" t="s">
        <v>4323</v>
      </c>
      <c r="C2467" s="24" t="s">
        <v>2689</v>
      </c>
      <c r="D2467" s="24" t="s">
        <v>2690</v>
      </c>
      <c r="E2467" s="24">
        <v>1992</v>
      </c>
      <c r="F2467" s="24">
        <v>2006</v>
      </c>
      <c r="G2467" s="24" t="s">
        <v>2696</v>
      </c>
      <c r="H2467" s="24" t="s">
        <v>2693</v>
      </c>
      <c r="I2467" s="24" t="s">
        <v>2827</v>
      </c>
      <c r="J2467" s="24">
        <f t="shared" si="358"/>
        <v>-15.5</v>
      </c>
      <c r="K2467" s="24">
        <f t="shared" si="359"/>
        <v>35.25</v>
      </c>
      <c r="L2467" s="24">
        <v>1030</v>
      </c>
      <c r="O2467" s="24">
        <v>1000</v>
      </c>
      <c r="P2467" s="24">
        <v>1024</v>
      </c>
      <c r="R2467" s="42" t="s">
        <v>1847</v>
      </c>
      <c r="S2467" s="42" t="s">
        <v>1931</v>
      </c>
      <c r="T2467" s="42"/>
      <c r="U2467" s="42" t="s">
        <v>2691</v>
      </c>
      <c r="V2467" s="42" t="s">
        <v>1379</v>
      </c>
      <c r="W2467" s="42" t="s">
        <v>1715</v>
      </c>
      <c r="X2467" s="42" t="s">
        <v>1379</v>
      </c>
      <c r="Y2467" s="42" t="s">
        <v>1379</v>
      </c>
      <c r="AA2467" s="321">
        <v>46</v>
      </c>
      <c r="AB2467" s="321">
        <v>8</v>
      </c>
      <c r="AC2467" s="24" t="s">
        <v>2695</v>
      </c>
      <c r="AD2467" s="24">
        <v>5.9</v>
      </c>
      <c r="AE2467" s="24">
        <v>0.88</v>
      </c>
      <c r="AG2467" s="24" t="s">
        <v>2694</v>
      </c>
      <c r="AH2467" s="24" t="s">
        <v>2697</v>
      </c>
      <c r="AI2467" s="24" t="s">
        <v>4321</v>
      </c>
      <c r="AJ2467" s="24" t="s">
        <v>1645</v>
      </c>
      <c r="AK2467" s="24" t="s">
        <v>132</v>
      </c>
      <c r="AL2467" s="24" t="s">
        <v>177</v>
      </c>
      <c r="AM2467" s="24" t="s">
        <v>177</v>
      </c>
      <c r="AN2467" s="24" t="s">
        <v>177</v>
      </c>
      <c r="AT2467" s="24" t="s">
        <v>2699</v>
      </c>
      <c r="AU2467" s="24" t="s">
        <v>2699</v>
      </c>
      <c r="AV2467" s="24" t="s">
        <v>177</v>
      </c>
      <c r="AW2467" s="24" t="s">
        <v>160</v>
      </c>
      <c r="AX2467" s="24">
        <v>3</v>
      </c>
      <c r="AY2467" s="24">
        <v>3</v>
      </c>
      <c r="AZ2467" s="24" t="s">
        <v>2692</v>
      </c>
      <c r="BP2467" s="395"/>
      <c r="BQ2467" s="395"/>
      <c r="BU2467" s="395">
        <f>7/10</f>
        <v>0.7</v>
      </c>
      <c r="BV2467" s="395">
        <v>0.87</v>
      </c>
      <c r="BY2467" s="24" t="s">
        <v>2284</v>
      </c>
      <c r="BZ2467" s="395"/>
      <c r="CA2467" s="395"/>
      <c r="CD2467" s="24" t="s">
        <v>3120</v>
      </c>
      <c r="CE2467" s="548">
        <v>0.7</v>
      </c>
      <c r="CF2467" s="548">
        <v>0.87</v>
      </c>
      <c r="CG2467" s="548"/>
      <c r="CH2467" s="548"/>
      <c r="CI2467" s="24" t="s">
        <v>4546</v>
      </c>
      <c r="CO2467" s="24">
        <v>21</v>
      </c>
      <c r="CP2467" s="24">
        <v>33</v>
      </c>
      <c r="CT2467" s="24">
        <v>0.16</v>
      </c>
      <c r="CU2467" s="24">
        <v>0.52</v>
      </c>
      <c r="CY2467" s="24">
        <v>5.8</v>
      </c>
      <c r="CZ2467" s="24">
        <v>6.1</v>
      </c>
      <c r="DD2467" s="24">
        <f>4+1.1+0.16</f>
        <v>5.26</v>
      </c>
      <c r="DE2467" s="24">
        <f>4.3+2.1+0.52</f>
        <v>6.92</v>
      </c>
      <c r="DH2467" s="24" t="s">
        <v>2701</v>
      </c>
      <c r="JD2467" s="249"/>
    </row>
    <row r="2468" spans="1:264" s="24" customFormat="1" x14ac:dyDescent="0.25">
      <c r="A2468" s="24">
        <v>118</v>
      </c>
      <c r="B2468" s="42" t="s">
        <v>4324</v>
      </c>
      <c r="C2468" s="24" t="s">
        <v>2689</v>
      </c>
      <c r="D2468" s="24" t="s">
        <v>2690</v>
      </c>
      <c r="E2468" s="24">
        <v>1992</v>
      </c>
      <c r="F2468" s="24">
        <v>2006</v>
      </c>
      <c r="G2468" s="24" t="s">
        <v>2696</v>
      </c>
      <c r="H2468" s="24" t="s">
        <v>2693</v>
      </c>
      <c r="I2468" s="24" t="s">
        <v>2827</v>
      </c>
      <c r="J2468" s="24">
        <f t="shared" si="358"/>
        <v>-15.5</v>
      </c>
      <c r="K2468" s="24">
        <f t="shared" si="359"/>
        <v>35.25</v>
      </c>
      <c r="L2468" s="24">
        <v>1030</v>
      </c>
      <c r="O2468" s="24">
        <v>1000</v>
      </c>
      <c r="P2468" s="24">
        <v>1024</v>
      </c>
      <c r="R2468" s="42" t="s">
        <v>1847</v>
      </c>
      <c r="S2468" s="42" t="s">
        <v>1931</v>
      </c>
      <c r="T2468" s="42"/>
      <c r="U2468" s="42" t="s">
        <v>2691</v>
      </c>
      <c r="V2468" s="42" t="s">
        <v>1379</v>
      </c>
      <c r="W2468" s="42" t="s">
        <v>1715</v>
      </c>
      <c r="X2468" s="42" t="s">
        <v>1379</v>
      </c>
      <c r="Y2468" s="42" t="s">
        <v>1379</v>
      </c>
      <c r="AA2468" s="321">
        <v>46</v>
      </c>
      <c r="AB2468" s="321">
        <v>8</v>
      </c>
      <c r="AC2468" s="24" t="s">
        <v>2695</v>
      </c>
      <c r="AD2468" s="24">
        <v>5.9</v>
      </c>
      <c r="AE2468" s="24">
        <v>0.88</v>
      </c>
      <c r="AG2468" s="24" t="s">
        <v>2694</v>
      </c>
      <c r="AH2468" s="24" t="s">
        <v>2697</v>
      </c>
      <c r="AI2468" s="24" t="s">
        <v>4321</v>
      </c>
      <c r="AJ2468" s="24" t="s">
        <v>1645</v>
      </c>
      <c r="AK2468" s="24" t="s">
        <v>132</v>
      </c>
      <c r="AL2468" s="24" t="s">
        <v>177</v>
      </c>
      <c r="AM2468" s="24" t="s">
        <v>177</v>
      </c>
      <c r="AN2468" s="24" t="s">
        <v>177</v>
      </c>
      <c r="AT2468" s="24" t="s">
        <v>2700</v>
      </c>
      <c r="AU2468" s="24" t="s">
        <v>2700</v>
      </c>
      <c r="AV2468" s="24" t="s">
        <v>177</v>
      </c>
      <c r="AW2468" s="24" t="s">
        <v>160</v>
      </c>
      <c r="AX2468" s="24">
        <v>3</v>
      </c>
      <c r="AY2468" s="24">
        <v>3</v>
      </c>
      <c r="AZ2468" s="24" t="s">
        <v>2692</v>
      </c>
      <c r="BP2468" s="395"/>
      <c r="BQ2468" s="395"/>
      <c r="BU2468" s="395">
        <v>0.76</v>
      </c>
      <c r="BV2468" s="395">
        <v>0.89</v>
      </c>
      <c r="BY2468" s="24" t="s">
        <v>2284</v>
      </c>
      <c r="BZ2468" s="395"/>
      <c r="CA2468" s="395"/>
      <c r="CD2468" s="24" t="s">
        <v>3120</v>
      </c>
      <c r="CE2468" s="548">
        <v>0.76</v>
      </c>
      <c r="CF2468" s="548">
        <v>0.89</v>
      </c>
      <c r="CG2468" s="548"/>
      <c r="CH2468" s="548"/>
      <c r="CI2468" s="24" t="s">
        <v>4546</v>
      </c>
      <c r="CO2468" s="24">
        <v>22</v>
      </c>
      <c r="CP2468" s="24">
        <v>33</v>
      </c>
      <c r="CT2468" s="24">
        <v>0.13</v>
      </c>
      <c r="CU2468" s="24">
        <v>0.48</v>
      </c>
      <c r="CY2468" s="24">
        <v>5.8</v>
      </c>
      <c r="CZ2468" s="24">
        <v>6.1</v>
      </c>
      <c r="DD2468" s="24">
        <f>3.9+1+0.13</f>
        <v>5.03</v>
      </c>
      <c r="DE2468" s="24">
        <f>4.4+2.3+0.48</f>
        <v>7.18</v>
      </c>
      <c r="DH2468" s="24" t="s">
        <v>2701</v>
      </c>
      <c r="JD2468" s="249"/>
    </row>
    <row r="2469" spans="1:264" s="32" customFormat="1" x14ac:dyDescent="0.25">
      <c r="A2469" s="32">
        <v>118</v>
      </c>
      <c r="B2469" s="44" t="s">
        <v>4322</v>
      </c>
      <c r="C2469" s="32" t="s">
        <v>2689</v>
      </c>
      <c r="D2469" s="32" t="s">
        <v>2690</v>
      </c>
      <c r="E2469" s="32">
        <v>1993</v>
      </c>
      <c r="F2469" s="32">
        <v>2006</v>
      </c>
      <c r="G2469" s="32" t="s">
        <v>2696</v>
      </c>
      <c r="H2469" s="32" t="s">
        <v>2693</v>
      </c>
      <c r="I2469" s="24" t="s">
        <v>2827</v>
      </c>
      <c r="J2469" s="32">
        <f t="shared" si="358"/>
        <v>-15.5</v>
      </c>
      <c r="K2469" s="32">
        <f t="shared" si="359"/>
        <v>35.25</v>
      </c>
      <c r="L2469" s="32">
        <v>1030</v>
      </c>
      <c r="O2469" s="32">
        <v>970</v>
      </c>
      <c r="P2469" s="32">
        <v>1024</v>
      </c>
      <c r="R2469" s="44" t="s">
        <v>1728</v>
      </c>
      <c r="S2469" s="44" t="s">
        <v>1931</v>
      </c>
      <c r="T2469" s="44"/>
      <c r="U2469" s="44" t="s">
        <v>2691</v>
      </c>
      <c r="V2469" s="44" t="s">
        <v>1379</v>
      </c>
      <c r="W2469" s="44" t="s">
        <v>1715</v>
      </c>
      <c r="X2469" s="44" t="s">
        <v>1379</v>
      </c>
      <c r="Y2469" s="44" t="s">
        <v>1379</v>
      </c>
      <c r="AA2469" s="323">
        <v>46</v>
      </c>
      <c r="AB2469" s="323">
        <v>8</v>
      </c>
      <c r="AC2469" s="32" t="s">
        <v>2695</v>
      </c>
      <c r="AD2469" s="32">
        <v>5.9</v>
      </c>
      <c r="AE2469" s="32">
        <v>0.88</v>
      </c>
      <c r="AG2469" s="32" t="s">
        <v>2694</v>
      </c>
      <c r="AH2469" s="32" t="s">
        <v>2697</v>
      </c>
      <c r="AI2469" s="32" t="s">
        <v>4321</v>
      </c>
      <c r="AJ2469" s="32" t="s">
        <v>1645</v>
      </c>
      <c r="AK2469" s="32" t="s">
        <v>132</v>
      </c>
      <c r="AL2469" s="32" t="s">
        <v>177</v>
      </c>
      <c r="AM2469" s="32" t="s">
        <v>177</v>
      </c>
      <c r="AN2469" s="32" t="s">
        <v>177</v>
      </c>
      <c r="AT2469" s="32" t="s">
        <v>161</v>
      </c>
      <c r="AU2469" s="32" t="s">
        <v>161</v>
      </c>
      <c r="AV2469" s="32" t="s">
        <v>177</v>
      </c>
      <c r="AW2469" s="32" t="s">
        <v>160</v>
      </c>
      <c r="AX2469" s="32">
        <v>3</v>
      </c>
      <c r="AY2469" s="32">
        <v>3</v>
      </c>
      <c r="AZ2469" s="32" t="s">
        <v>2692</v>
      </c>
      <c r="BB2469" s="32">
        <f>2601.8+1528</f>
        <v>4129.8</v>
      </c>
      <c r="BK2469" s="32">
        <v>1994</v>
      </c>
      <c r="BL2469" s="32">
        <v>1657</v>
      </c>
      <c r="BP2469" s="397"/>
      <c r="BQ2469" s="397"/>
      <c r="BU2469" s="397"/>
      <c r="BV2469" s="397"/>
      <c r="BZ2469" s="397"/>
      <c r="CA2469" s="397"/>
      <c r="CE2469" s="550"/>
      <c r="CF2469" s="550"/>
      <c r="CG2469" s="550"/>
      <c r="CH2469" s="550"/>
      <c r="JD2469" s="243"/>
    </row>
    <row r="2470" spans="1:264" s="32" customFormat="1" x14ac:dyDescent="0.25">
      <c r="A2470" s="32">
        <v>118</v>
      </c>
      <c r="B2470" s="44" t="s">
        <v>4322</v>
      </c>
      <c r="C2470" s="32" t="s">
        <v>2689</v>
      </c>
      <c r="D2470" s="32" t="s">
        <v>2690</v>
      </c>
      <c r="E2470" s="32">
        <v>1994</v>
      </c>
      <c r="F2470" s="32">
        <v>2006</v>
      </c>
      <c r="G2470" s="32" t="s">
        <v>2696</v>
      </c>
      <c r="H2470" s="32" t="s">
        <v>2693</v>
      </c>
      <c r="I2470" s="24" t="s">
        <v>2827</v>
      </c>
      <c r="J2470" s="32">
        <f t="shared" si="358"/>
        <v>-15.5</v>
      </c>
      <c r="K2470" s="32">
        <f t="shared" si="359"/>
        <v>35.25</v>
      </c>
      <c r="L2470" s="32">
        <v>1030</v>
      </c>
      <c r="O2470" s="32">
        <v>540</v>
      </c>
      <c r="P2470" s="32">
        <v>1024</v>
      </c>
      <c r="R2470" s="44" t="s">
        <v>1858</v>
      </c>
      <c r="S2470" s="44" t="s">
        <v>1931</v>
      </c>
      <c r="T2470" s="44"/>
      <c r="U2470" s="44" t="s">
        <v>2691</v>
      </c>
      <c r="V2470" s="44" t="s">
        <v>1379</v>
      </c>
      <c r="W2470" s="44" t="s">
        <v>1715</v>
      </c>
      <c r="X2470" s="44" t="s">
        <v>1379</v>
      </c>
      <c r="Y2470" s="44" t="s">
        <v>1379</v>
      </c>
      <c r="AA2470" s="323">
        <v>46</v>
      </c>
      <c r="AB2470" s="323">
        <v>8</v>
      </c>
      <c r="AC2470" s="32" t="s">
        <v>2695</v>
      </c>
      <c r="AD2470" s="32">
        <v>5.9</v>
      </c>
      <c r="AE2470" s="32">
        <v>0.88</v>
      </c>
      <c r="AG2470" s="32" t="s">
        <v>2694</v>
      </c>
      <c r="AH2470" s="32" t="s">
        <v>2697</v>
      </c>
      <c r="AI2470" s="32" t="s">
        <v>4321</v>
      </c>
      <c r="AJ2470" s="32" t="s">
        <v>1645</v>
      </c>
      <c r="AK2470" s="32" t="s">
        <v>132</v>
      </c>
      <c r="AL2470" s="32" t="s">
        <v>177</v>
      </c>
      <c r="AM2470" s="32" t="s">
        <v>177</v>
      </c>
      <c r="AN2470" s="32" t="s">
        <v>177</v>
      </c>
      <c r="AT2470" s="32" t="s">
        <v>161</v>
      </c>
      <c r="AU2470" s="32" t="s">
        <v>161</v>
      </c>
      <c r="AV2470" s="32" t="s">
        <v>177</v>
      </c>
      <c r="AW2470" s="32" t="s">
        <v>160</v>
      </c>
      <c r="AX2470" s="32">
        <v>3</v>
      </c>
      <c r="AY2470" s="32">
        <v>3</v>
      </c>
      <c r="AZ2470" s="32" t="s">
        <v>2692</v>
      </c>
      <c r="BB2470" s="32">
        <f>3724+2400</f>
        <v>6124</v>
      </c>
      <c r="BK2470" s="32">
        <v>1501</v>
      </c>
      <c r="BL2470" s="32">
        <v>3922</v>
      </c>
      <c r="BP2470" s="397"/>
      <c r="BQ2470" s="397"/>
      <c r="BU2470" s="397"/>
      <c r="BV2470" s="397"/>
      <c r="BZ2470" s="397"/>
      <c r="CA2470" s="397"/>
      <c r="CE2470" s="550"/>
      <c r="CF2470" s="550"/>
      <c r="CG2470" s="550"/>
      <c r="CH2470" s="550"/>
      <c r="JD2470" s="243"/>
    </row>
    <row r="2471" spans="1:264" s="32" customFormat="1" x14ac:dyDescent="0.25">
      <c r="A2471" s="32">
        <v>118</v>
      </c>
      <c r="B2471" s="44" t="s">
        <v>4322</v>
      </c>
      <c r="C2471" s="32" t="s">
        <v>2689</v>
      </c>
      <c r="D2471" s="32" t="s">
        <v>2690</v>
      </c>
      <c r="E2471" s="32">
        <v>1995</v>
      </c>
      <c r="F2471" s="32">
        <v>2006</v>
      </c>
      <c r="G2471" s="32" t="s">
        <v>2696</v>
      </c>
      <c r="H2471" s="32" t="s">
        <v>2693</v>
      </c>
      <c r="I2471" s="24" t="s">
        <v>2827</v>
      </c>
      <c r="J2471" s="32">
        <f t="shared" si="358"/>
        <v>-15.5</v>
      </c>
      <c r="K2471" s="32">
        <f t="shared" si="359"/>
        <v>35.25</v>
      </c>
      <c r="L2471" s="32">
        <v>1030</v>
      </c>
      <c r="O2471" s="32">
        <v>551</v>
      </c>
      <c r="P2471" s="32">
        <v>1024</v>
      </c>
      <c r="R2471" s="44" t="s">
        <v>1722</v>
      </c>
      <c r="S2471" s="44" t="s">
        <v>1931</v>
      </c>
      <c r="T2471" s="44"/>
      <c r="U2471" s="44" t="s">
        <v>2691</v>
      </c>
      <c r="V2471" s="44" t="s">
        <v>1379</v>
      </c>
      <c r="W2471" s="44" t="s">
        <v>1715</v>
      </c>
      <c r="X2471" s="44" t="s">
        <v>1379</v>
      </c>
      <c r="Y2471" s="44" t="s">
        <v>1379</v>
      </c>
      <c r="AA2471" s="323">
        <v>46</v>
      </c>
      <c r="AB2471" s="323">
        <v>8</v>
      </c>
      <c r="AC2471" s="32" t="s">
        <v>2695</v>
      </c>
      <c r="AD2471" s="32">
        <v>5.9</v>
      </c>
      <c r="AE2471" s="32">
        <v>0.88</v>
      </c>
      <c r="AG2471" s="32" t="s">
        <v>2694</v>
      </c>
      <c r="AH2471" s="32" t="s">
        <v>2697</v>
      </c>
      <c r="AI2471" s="32" t="s">
        <v>4321</v>
      </c>
      <c r="AJ2471" s="32" t="s">
        <v>1645</v>
      </c>
      <c r="AK2471" s="32" t="s">
        <v>132</v>
      </c>
      <c r="AL2471" s="32" t="s">
        <v>177</v>
      </c>
      <c r="AM2471" s="32" t="s">
        <v>177</v>
      </c>
      <c r="AN2471" s="32" t="s">
        <v>177</v>
      </c>
      <c r="AT2471" s="32" t="s">
        <v>161</v>
      </c>
      <c r="AU2471" s="32" t="s">
        <v>161</v>
      </c>
      <c r="AV2471" s="32" t="s">
        <v>177</v>
      </c>
      <c r="AW2471" s="32" t="s">
        <v>160</v>
      </c>
      <c r="AX2471" s="32">
        <v>3</v>
      </c>
      <c r="AY2471" s="32">
        <v>3</v>
      </c>
      <c r="AZ2471" s="32" t="s">
        <v>2692</v>
      </c>
      <c r="BB2471" s="32">
        <f>3606.7+1421</f>
        <v>5027.7</v>
      </c>
      <c r="BK2471" s="32">
        <v>1490</v>
      </c>
      <c r="BL2471" s="32">
        <v>2984</v>
      </c>
      <c r="BP2471" s="397"/>
      <c r="BQ2471" s="397"/>
      <c r="BU2471" s="397"/>
      <c r="BV2471" s="397"/>
      <c r="BZ2471" s="397"/>
      <c r="CA2471" s="397"/>
      <c r="CE2471" s="550"/>
      <c r="CF2471" s="550"/>
      <c r="CG2471" s="550"/>
      <c r="CH2471" s="550"/>
      <c r="JD2471" s="243"/>
    </row>
    <row r="2472" spans="1:264" s="32" customFormat="1" x14ac:dyDescent="0.25">
      <c r="A2472" s="32">
        <v>118</v>
      </c>
      <c r="B2472" s="44" t="s">
        <v>4322</v>
      </c>
      <c r="C2472" s="32" t="s">
        <v>2689</v>
      </c>
      <c r="D2472" s="32" t="s">
        <v>2690</v>
      </c>
      <c r="E2472" s="32">
        <v>1996</v>
      </c>
      <c r="F2472" s="32">
        <v>2006</v>
      </c>
      <c r="G2472" s="32" t="s">
        <v>2696</v>
      </c>
      <c r="H2472" s="32" t="s">
        <v>2693</v>
      </c>
      <c r="I2472" s="24" t="s">
        <v>2827</v>
      </c>
      <c r="J2472" s="32">
        <f t="shared" si="358"/>
        <v>-15.5</v>
      </c>
      <c r="K2472" s="32">
        <f t="shared" si="359"/>
        <v>35.25</v>
      </c>
      <c r="L2472" s="32">
        <v>1030</v>
      </c>
      <c r="O2472" s="32">
        <v>970</v>
      </c>
      <c r="P2472" s="32">
        <v>1024</v>
      </c>
      <c r="R2472" s="44" t="s">
        <v>1843</v>
      </c>
      <c r="S2472" s="44" t="s">
        <v>1931</v>
      </c>
      <c r="T2472" s="44"/>
      <c r="U2472" s="44" t="s">
        <v>2691</v>
      </c>
      <c r="V2472" s="44" t="s">
        <v>1379</v>
      </c>
      <c r="W2472" s="44" t="s">
        <v>1715</v>
      </c>
      <c r="X2472" s="44" t="s">
        <v>1379</v>
      </c>
      <c r="Y2472" s="44" t="s">
        <v>1379</v>
      </c>
      <c r="AA2472" s="323">
        <v>46</v>
      </c>
      <c r="AB2472" s="323">
        <v>8</v>
      </c>
      <c r="AC2472" s="32" t="s">
        <v>2695</v>
      </c>
      <c r="AD2472" s="32">
        <v>5.9</v>
      </c>
      <c r="AE2472" s="32">
        <v>0.88</v>
      </c>
      <c r="AG2472" s="32" t="s">
        <v>2694</v>
      </c>
      <c r="AH2472" s="32" t="s">
        <v>2697</v>
      </c>
      <c r="AI2472" s="32" t="s">
        <v>4321</v>
      </c>
      <c r="AJ2472" s="32" t="s">
        <v>1645</v>
      </c>
      <c r="AK2472" s="32" t="s">
        <v>132</v>
      </c>
      <c r="AL2472" s="32" t="s">
        <v>177</v>
      </c>
      <c r="AM2472" s="32" t="s">
        <v>177</v>
      </c>
      <c r="AN2472" s="32" t="s">
        <v>177</v>
      </c>
      <c r="AT2472" s="32" t="s">
        <v>161</v>
      </c>
      <c r="AU2472" s="32" t="s">
        <v>161</v>
      </c>
      <c r="AV2472" s="32" t="s">
        <v>177</v>
      </c>
      <c r="AW2472" s="32" t="s">
        <v>160</v>
      </c>
      <c r="AX2472" s="32">
        <v>3</v>
      </c>
      <c r="AY2472" s="32">
        <v>3</v>
      </c>
      <c r="AZ2472" s="32" t="s">
        <v>2692</v>
      </c>
      <c r="BB2472" s="32">
        <f>4723+1394</f>
        <v>6117</v>
      </c>
      <c r="BK2472" s="32">
        <v>1200</v>
      </c>
      <c r="BL2472" s="32">
        <v>5302</v>
      </c>
      <c r="BP2472" s="397"/>
      <c r="BQ2472" s="397"/>
      <c r="BU2472" s="397"/>
      <c r="BV2472" s="397"/>
      <c r="BZ2472" s="397"/>
      <c r="CA2472" s="397"/>
      <c r="CE2472" s="550"/>
      <c r="CF2472" s="550"/>
      <c r="CG2472" s="550"/>
      <c r="CH2472" s="550"/>
      <c r="JD2472" s="243"/>
    </row>
    <row r="2473" spans="1:264" s="32" customFormat="1" x14ac:dyDescent="0.25">
      <c r="A2473" s="32">
        <v>118</v>
      </c>
      <c r="B2473" s="44" t="s">
        <v>4322</v>
      </c>
      <c r="C2473" s="32" t="s">
        <v>2689</v>
      </c>
      <c r="D2473" s="32" t="s">
        <v>2690</v>
      </c>
      <c r="E2473" s="32">
        <v>1997</v>
      </c>
      <c r="F2473" s="32">
        <v>2006</v>
      </c>
      <c r="G2473" s="32" t="s">
        <v>2696</v>
      </c>
      <c r="H2473" s="32" t="s">
        <v>2693</v>
      </c>
      <c r="I2473" s="24" t="s">
        <v>2827</v>
      </c>
      <c r="J2473" s="32">
        <f t="shared" si="358"/>
        <v>-15.5</v>
      </c>
      <c r="K2473" s="32">
        <f t="shared" si="359"/>
        <v>35.25</v>
      </c>
      <c r="L2473" s="32">
        <v>1030</v>
      </c>
      <c r="O2473" s="32">
        <v>1612</v>
      </c>
      <c r="P2473" s="32">
        <v>1024</v>
      </c>
      <c r="R2473" s="44" t="s">
        <v>1734</v>
      </c>
      <c r="S2473" s="44" t="s">
        <v>1931</v>
      </c>
      <c r="T2473" s="44"/>
      <c r="U2473" s="44" t="s">
        <v>2691</v>
      </c>
      <c r="V2473" s="44" t="s">
        <v>1379</v>
      </c>
      <c r="W2473" s="44" t="s">
        <v>1715</v>
      </c>
      <c r="X2473" s="44" t="s">
        <v>1379</v>
      </c>
      <c r="Y2473" s="44" t="s">
        <v>1379</v>
      </c>
      <c r="AA2473" s="323">
        <v>46</v>
      </c>
      <c r="AB2473" s="323">
        <v>8</v>
      </c>
      <c r="AC2473" s="32" t="s">
        <v>2695</v>
      </c>
      <c r="AD2473" s="32">
        <v>5.9</v>
      </c>
      <c r="AE2473" s="32">
        <v>0.88</v>
      </c>
      <c r="AG2473" s="32" t="s">
        <v>2694</v>
      </c>
      <c r="AH2473" s="32" t="s">
        <v>2697</v>
      </c>
      <c r="AI2473" s="32" t="s">
        <v>4321</v>
      </c>
      <c r="AJ2473" s="32" t="s">
        <v>1645</v>
      </c>
      <c r="AK2473" s="32" t="s">
        <v>132</v>
      </c>
      <c r="AL2473" s="32" t="s">
        <v>177</v>
      </c>
      <c r="AM2473" s="32" t="s">
        <v>177</v>
      </c>
      <c r="AN2473" s="32" t="s">
        <v>177</v>
      </c>
      <c r="AT2473" s="32" t="s">
        <v>161</v>
      </c>
      <c r="AU2473" s="32" t="s">
        <v>161</v>
      </c>
      <c r="AV2473" s="32" t="s">
        <v>177</v>
      </c>
      <c r="AW2473" s="32" t="s">
        <v>160</v>
      </c>
      <c r="AX2473" s="32">
        <v>3</v>
      </c>
      <c r="AY2473" s="32">
        <v>3</v>
      </c>
      <c r="AZ2473" s="32" t="s">
        <v>2692</v>
      </c>
      <c r="BB2473" s="32">
        <f>5698+1406.7</f>
        <v>7104.7</v>
      </c>
      <c r="BC2473" s="32">
        <f>BB2473/(302+281+293)*3</f>
        <v>24.331164383561642</v>
      </c>
      <c r="BK2473" s="32">
        <v>529</v>
      </c>
      <c r="BL2473" s="32">
        <v>3356</v>
      </c>
      <c r="BP2473" s="397"/>
      <c r="BQ2473" s="397"/>
      <c r="BU2473" s="397"/>
      <c r="BV2473" s="397"/>
      <c r="BZ2473" s="397"/>
      <c r="CA2473" s="397"/>
      <c r="CE2473" s="550"/>
      <c r="CF2473" s="550"/>
      <c r="CG2473" s="550"/>
      <c r="CH2473" s="550"/>
      <c r="JD2473" s="243"/>
    </row>
    <row r="2474" spans="1:264" s="32" customFormat="1" x14ac:dyDescent="0.25">
      <c r="A2474" s="32">
        <v>118</v>
      </c>
      <c r="B2474" s="44" t="s">
        <v>4322</v>
      </c>
      <c r="C2474" s="32" t="s">
        <v>2689</v>
      </c>
      <c r="D2474" s="32" t="s">
        <v>2690</v>
      </c>
      <c r="E2474" s="32">
        <v>1998</v>
      </c>
      <c r="F2474" s="32">
        <v>2006</v>
      </c>
      <c r="G2474" s="32" t="s">
        <v>2696</v>
      </c>
      <c r="H2474" s="32" t="s">
        <v>2693</v>
      </c>
      <c r="I2474" s="24" t="s">
        <v>2827</v>
      </c>
      <c r="J2474" s="32">
        <f t="shared" si="358"/>
        <v>-15.5</v>
      </c>
      <c r="K2474" s="32">
        <f t="shared" si="359"/>
        <v>35.25</v>
      </c>
      <c r="L2474" s="32">
        <v>1030</v>
      </c>
      <c r="O2474" s="32">
        <v>1015</v>
      </c>
      <c r="P2474" s="32">
        <v>1024</v>
      </c>
      <c r="R2474" s="44" t="s">
        <v>1982</v>
      </c>
      <c r="S2474" s="44" t="s">
        <v>1931</v>
      </c>
      <c r="T2474" s="44"/>
      <c r="U2474" s="44" t="s">
        <v>2691</v>
      </c>
      <c r="V2474" s="44" t="s">
        <v>1379</v>
      </c>
      <c r="W2474" s="44" t="s">
        <v>1715</v>
      </c>
      <c r="X2474" s="44" t="s">
        <v>1379</v>
      </c>
      <c r="Y2474" s="44" t="s">
        <v>1379</v>
      </c>
      <c r="AA2474" s="323">
        <v>46</v>
      </c>
      <c r="AB2474" s="323">
        <v>8</v>
      </c>
      <c r="AC2474" s="32" t="s">
        <v>2695</v>
      </c>
      <c r="AD2474" s="32">
        <v>5.9</v>
      </c>
      <c r="AE2474" s="32">
        <v>0.88</v>
      </c>
      <c r="AG2474" s="32" t="s">
        <v>2694</v>
      </c>
      <c r="AH2474" s="32" t="s">
        <v>2697</v>
      </c>
      <c r="AI2474" s="32" t="s">
        <v>4321</v>
      </c>
      <c r="AJ2474" s="32" t="s">
        <v>1645</v>
      </c>
      <c r="AK2474" s="32" t="s">
        <v>132</v>
      </c>
      <c r="AL2474" s="32" t="s">
        <v>177</v>
      </c>
      <c r="AM2474" s="32" t="s">
        <v>177</v>
      </c>
      <c r="AN2474" s="32" t="s">
        <v>177</v>
      </c>
      <c r="AT2474" s="32" t="s">
        <v>161</v>
      </c>
      <c r="AU2474" s="32" t="s">
        <v>161</v>
      </c>
      <c r="AV2474" s="32" t="s">
        <v>177</v>
      </c>
      <c r="AW2474" s="32" t="s">
        <v>160</v>
      </c>
      <c r="AX2474" s="32">
        <v>3</v>
      </c>
      <c r="AY2474" s="32">
        <v>3</v>
      </c>
      <c r="AZ2474" s="32" t="s">
        <v>2692</v>
      </c>
      <c r="BB2474" s="32">
        <f>6904+2110</f>
        <v>9014</v>
      </c>
      <c r="BC2474" s="32">
        <f>BB2474/(293+281+191)*3</f>
        <v>35.34901960784314</v>
      </c>
      <c r="BK2474" s="32">
        <v>1073</v>
      </c>
      <c r="BL2474" s="32">
        <v>4322</v>
      </c>
      <c r="BP2474" s="397"/>
      <c r="BQ2474" s="397"/>
      <c r="BU2474" s="397"/>
      <c r="BV2474" s="397"/>
      <c r="BZ2474" s="397"/>
      <c r="CA2474" s="397"/>
      <c r="CE2474" s="550"/>
      <c r="CF2474" s="550"/>
      <c r="CG2474" s="550"/>
      <c r="CH2474" s="550"/>
      <c r="JD2474" s="243"/>
    </row>
    <row r="2475" spans="1:264" s="32" customFormat="1" x14ac:dyDescent="0.25">
      <c r="A2475" s="32">
        <v>118</v>
      </c>
      <c r="B2475" s="44" t="s">
        <v>4322</v>
      </c>
      <c r="C2475" s="32" t="s">
        <v>2689</v>
      </c>
      <c r="D2475" s="32" t="s">
        <v>2690</v>
      </c>
      <c r="E2475" s="32">
        <v>1999</v>
      </c>
      <c r="F2475" s="32">
        <v>2006</v>
      </c>
      <c r="G2475" s="32" t="s">
        <v>2696</v>
      </c>
      <c r="H2475" s="32" t="s">
        <v>2693</v>
      </c>
      <c r="I2475" s="24" t="s">
        <v>2827</v>
      </c>
      <c r="J2475" s="32">
        <f t="shared" si="358"/>
        <v>-15.5</v>
      </c>
      <c r="K2475" s="32">
        <f t="shared" si="359"/>
        <v>35.25</v>
      </c>
      <c r="L2475" s="32">
        <v>1030</v>
      </c>
      <c r="O2475" s="32">
        <v>1194</v>
      </c>
      <c r="P2475" s="32">
        <v>1024</v>
      </c>
      <c r="R2475" s="44" t="s">
        <v>1975</v>
      </c>
      <c r="S2475" s="44" t="s">
        <v>1931</v>
      </c>
      <c r="T2475" s="44"/>
      <c r="U2475" s="44" t="s">
        <v>2691</v>
      </c>
      <c r="V2475" s="44" t="s">
        <v>1379</v>
      </c>
      <c r="W2475" s="44" t="s">
        <v>1715</v>
      </c>
      <c r="X2475" s="44" t="s">
        <v>1379</v>
      </c>
      <c r="Y2475" s="44" t="s">
        <v>1379</v>
      </c>
      <c r="AA2475" s="323">
        <v>46</v>
      </c>
      <c r="AB2475" s="323">
        <v>8</v>
      </c>
      <c r="AC2475" s="32" t="s">
        <v>2695</v>
      </c>
      <c r="AD2475" s="32">
        <v>5.9</v>
      </c>
      <c r="AE2475" s="32">
        <v>0.88</v>
      </c>
      <c r="AG2475" s="32" t="s">
        <v>2694</v>
      </c>
      <c r="AH2475" s="32" t="s">
        <v>2697</v>
      </c>
      <c r="AI2475" s="32" t="s">
        <v>4321</v>
      </c>
      <c r="AJ2475" s="32" t="s">
        <v>1645</v>
      </c>
      <c r="AK2475" s="32" t="s">
        <v>132</v>
      </c>
      <c r="AL2475" s="32" t="s">
        <v>177</v>
      </c>
      <c r="AM2475" s="32" t="s">
        <v>177</v>
      </c>
      <c r="AN2475" s="32" t="s">
        <v>177</v>
      </c>
      <c r="AT2475" s="32" t="s">
        <v>161</v>
      </c>
      <c r="AU2475" s="32" t="s">
        <v>161</v>
      </c>
      <c r="AV2475" s="32" t="s">
        <v>177</v>
      </c>
      <c r="AW2475" s="32" t="s">
        <v>160</v>
      </c>
      <c r="AX2475" s="32">
        <v>3</v>
      </c>
      <c r="AY2475" s="32">
        <v>3</v>
      </c>
      <c r="AZ2475" s="32" t="s">
        <v>2692</v>
      </c>
      <c r="BB2475" s="32">
        <f>5681+3354</f>
        <v>9035</v>
      </c>
      <c r="BK2475" s="32">
        <v>1015</v>
      </c>
      <c r="BL2475" s="32">
        <v>4487</v>
      </c>
      <c r="BP2475" s="397"/>
      <c r="BQ2475" s="397"/>
      <c r="BU2475" s="397"/>
      <c r="BV2475" s="397"/>
      <c r="BZ2475" s="397"/>
      <c r="CA2475" s="397"/>
      <c r="CE2475" s="550"/>
      <c r="CF2475" s="550"/>
      <c r="CG2475" s="550"/>
      <c r="CH2475" s="550"/>
      <c r="JD2475" s="243"/>
    </row>
    <row r="2476" spans="1:264" s="32" customFormat="1" x14ac:dyDescent="0.25">
      <c r="A2476" s="32">
        <v>118</v>
      </c>
      <c r="B2476" s="44" t="s">
        <v>4322</v>
      </c>
      <c r="C2476" s="32" t="s">
        <v>2689</v>
      </c>
      <c r="D2476" s="32" t="s">
        <v>2690</v>
      </c>
      <c r="E2476" s="32">
        <v>2000</v>
      </c>
      <c r="F2476" s="32">
        <v>2006</v>
      </c>
      <c r="G2476" s="32" t="s">
        <v>2696</v>
      </c>
      <c r="H2476" s="32" t="s">
        <v>2693</v>
      </c>
      <c r="I2476" s="24" t="s">
        <v>2827</v>
      </c>
      <c r="J2476" s="32">
        <f t="shared" si="358"/>
        <v>-15.5</v>
      </c>
      <c r="K2476" s="32">
        <f t="shared" si="359"/>
        <v>35.25</v>
      </c>
      <c r="L2476" s="32">
        <v>1030</v>
      </c>
      <c r="O2476" s="32">
        <v>786</v>
      </c>
      <c r="P2476" s="32">
        <v>1024</v>
      </c>
      <c r="R2476" s="44" t="s">
        <v>1719</v>
      </c>
      <c r="S2476" s="44" t="s">
        <v>1931</v>
      </c>
      <c r="T2476" s="44"/>
      <c r="U2476" s="44" t="s">
        <v>2691</v>
      </c>
      <c r="V2476" s="44" t="s">
        <v>1379</v>
      </c>
      <c r="W2476" s="44" t="s">
        <v>1715</v>
      </c>
      <c r="X2476" s="44" t="s">
        <v>1379</v>
      </c>
      <c r="Y2476" s="44" t="s">
        <v>1379</v>
      </c>
      <c r="AA2476" s="323">
        <v>46</v>
      </c>
      <c r="AB2476" s="323">
        <v>8</v>
      </c>
      <c r="AC2476" s="32" t="s">
        <v>2695</v>
      </c>
      <c r="AD2476" s="32">
        <v>5.9</v>
      </c>
      <c r="AE2476" s="32">
        <v>0.88</v>
      </c>
      <c r="AG2476" s="32" t="s">
        <v>2694</v>
      </c>
      <c r="AH2476" s="32" t="s">
        <v>2697</v>
      </c>
      <c r="AI2476" s="32" t="s">
        <v>4321</v>
      </c>
      <c r="AJ2476" s="32" t="s">
        <v>1645</v>
      </c>
      <c r="AK2476" s="32" t="s">
        <v>132</v>
      </c>
      <c r="AL2476" s="32" t="s">
        <v>177</v>
      </c>
      <c r="AM2476" s="32" t="s">
        <v>177</v>
      </c>
      <c r="AN2476" s="32" t="s">
        <v>177</v>
      </c>
      <c r="AT2476" s="32" t="s">
        <v>161</v>
      </c>
      <c r="AU2476" s="32" t="s">
        <v>161</v>
      </c>
      <c r="AV2476" s="32" t="s">
        <v>177</v>
      </c>
      <c r="AW2476" s="32" t="s">
        <v>160</v>
      </c>
      <c r="AX2476" s="32">
        <v>3</v>
      </c>
      <c r="AY2476" s="32">
        <v>3</v>
      </c>
      <c r="AZ2476" s="32" t="s">
        <v>2692</v>
      </c>
      <c r="BB2476" s="32">
        <f>4227+3365</f>
        <v>7592</v>
      </c>
      <c r="BK2476" s="32">
        <v>804</v>
      </c>
      <c r="BL2476" s="32">
        <v>2309</v>
      </c>
      <c r="BP2476" s="397"/>
      <c r="BQ2476" s="397"/>
      <c r="BU2476" s="397"/>
      <c r="BV2476" s="397"/>
      <c r="BZ2476" s="397"/>
      <c r="CA2476" s="397"/>
      <c r="CE2476" s="550"/>
      <c r="CF2476" s="550"/>
      <c r="CG2476" s="550"/>
      <c r="CH2476" s="550"/>
      <c r="JD2476" s="243"/>
    </row>
    <row r="2477" spans="1:264" s="32" customFormat="1" x14ac:dyDescent="0.25">
      <c r="A2477" s="32">
        <v>118</v>
      </c>
      <c r="B2477" s="44" t="s">
        <v>4322</v>
      </c>
      <c r="C2477" s="32" t="s">
        <v>2689</v>
      </c>
      <c r="D2477" s="32" t="s">
        <v>2690</v>
      </c>
      <c r="E2477" s="32">
        <v>2001</v>
      </c>
      <c r="F2477" s="32">
        <v>2006</v>
      </c>
      <c r="G2477" s="32" t="s">
        <v>2696</v>
      </c>
      <c r="H2477" s="32" t="s">
        <v>2693</v>
      </c>
      <c r="I2477" s="24" t="s">
        <v>2827</v>
      </c>
      <c r="J2477" s="32">
        <f t="shared" si="358"/>
        <v>-15.5</v>
      </c>
      <c r="K2477" s="32">
        <f t="shared" si="359"/>
        <v>35.25</v>
      </c>
      <c r="L2477" s="32">
        <v>1030</v>
      </c>
      <c r="O2477" s="32">
        <v>1225</v>
      </c>
      <c r="P2477" s="32">
        <v>1024</v>
      </c>
      <c r="R2477" s="44" t="s">
        <v>1860</v>
      </c>
      <c r="S2477" s="44" t="s">
        <v>1931</v>
      </c>
      <c r="T2477" s="44"/>
      <c r="U2477" s="44" t="s">
        <v>2691</v>
      </c>
      <c r="V2477" s="44" t="s">
        <v>1379</v>
      </c>
      <c r="W2477" s="44" t="s">
        <v>1715</v>
      </c>
      <c r="X2477" s="44" t="s">
        <v>1379</v>
      </c>
      <c r="Y2477" s="44" t="s">
        <v>1379</v>
      </c>
      <c r="AA2477" s="323">
        <v>46</v>
      </c>
      <c r="AB2477" s="323">
        <v>8</v>
      </c>
      <c r="AC2477" s="32" t="s">
        <v>2695</v>
      </c>
      <c r="AD2477" s="32">
        <v>5.9</v>
      </c>
      <c r="AE2477" s="32">
        <v>0.88</v>
      </c>
      <c r="AG2477" s="32" t="s">
        <v>2694</v>
      </c>
      <c r="AH2477" s="32" t="s">
        <v>2697</v>
      </c>
      <c r="AI2477" s="32" t="s">
        <v>4321</v>
      </c>
      <c r="AJ2477" s="32" t="s">
        <v>1645</v>
      </c>
      <c r="AK2477" s="32" t="s">
        <v>132</v>
      </c>
      <c r="AL2477" s="32" t="s">
        <v>177</v>
      </c>
      <c r="AM2477" s="32" t="s">
        <v>177</v>
      </c>
      <c r="AN2477" s="32" t="s">
        <v>177</v>
      </c>
      <c r="AT2477" s="32" t="s">
        <v>161</v>
      </c>
      <c r="AU2477" s="32" t="s">
        <v>161</v>
      </c>
      <c r="AV2477" s="32" t="s">
        <v>177</v>
      </c>
      <c r="AW2477" s="32" t="s">
        <v>160</v>
      </c>
      <c r="AX2477" s="32">
        <v>3</v>
      </c>
      <c r="AY2477" s="32">
        <v>3</v>
      </c>
      <c r="AZ2477" s="32" t="s">
        <v>2692</v>
      </c>
      <c r="BB2477" s="32">
        <f>5600+4494</f>
        <v>10094</v>
      </c>
      <c r="BK2477" s="32">
        <v>857</v>
      </c>
      <c r="BL2477" s="32">
        <v>5059</v>
      </c>
      <c r="BP2477" s="397"/>
      <c r="BQ2477" s="397"/>
      <c r="BU2477" s="397"/>
      <c r="BV2477" s="397"/>
      <c r="BZ2477" s="397"/>
      <c r="CA2477" s="397"/>
      <c r="CE2477" s="550"/>
      <c r="CF2477" s="550"/>
      <c r="CG2477" s="550"/>
      <c r="CH2477" s="550"/>
      <c r="JD2477" s="243"/>
    </row>
    <row r="2478" spans="1:264" s="32" customFormat="1" x14ac:dyDescent="0.25">
      <c r="A2478" s="32">
        <v>118</v>
      </c>
      <c r="B2478" s="44" t="s">
        <v>4322</v>
      </c>
      <c r="C2478" s="32" t="s">
        <v>2689</v>
      </c>
      <c r="D2478" s="32" t="s">
        <v>2690</v>
      </c>
      <c r="E2478" s="32">
        <v>2002</v>
      </c>
      <c r="F2478" s="32">
        <v>2006</v>
      </c>
      <c r="G2478" s="32" t="s">
        <v>2696</v>
      </c>
      <c r="H2478" s="32" t="s">
        <v>2693</v>
      </c>
      <c r="I2478" s="24" t="s">
        <v>2827</v>
      </c>
      <c r="J2478" s="32">
        <f t="shared" si="358"/>
        <v>-15.5</v>
      </c>
      <c r="K2478" s="32">
        <f t="shared" si="359"/>
        <v>35.25</v>
      </c>
      <c r="L2478" s="32">
        <v>1030</v>
      </c>
      <c r="O2478" s="32">
        <v>820</v>
      </c>
      <c r="P2478" s="32">
        <v>1024</v>
      </c>
      <c r="R2478" s="44" t="s">
        <v>1931</v>
      </c>
      <c r="S2478" s="44" t="s">
        <v>1931</v>
      </c>
      <c r="T2478" s="44"/>
      <c r="U2478" s="44" t="s">
        <v>2691</v>
      </c>
      <c r="V2478" s="44" t="s">
        <v>1379</v>
      </c>
      <c r="W2478" s="44" t="s">
        <v>1715</v>
      </c>
      <c r="X2478" s="44" t="s">
        <v>1379</v>
      </c>
      <c r="Y2478" s="44" t="s">
        <v>1379</v>
      </c>
      <c r="AA2478" s="323">
        <v>46</v>
      </c>
      <c r="AB2478" s="323">
        <v>8</v>
      </c>
      <c r="AC2478" s="32" t="s">
        <v>2695</v>
      </c>
      <c r="AD2478" s="32">
        <v>5.9</v>
      </c>
      <c r="AE2478" s="32">
        <v>0.88</v>
      </c>
      <c r="AG2478" s="32" t="s">
        <v>2694</v>
      </c>
      <c r="AH2478" s="32" t="s">
        <v>2697</v>
      </c>
      <c r="AI2478" s="32" t="s">
        <v>4321</v>
      </c>
      <c r="AJ2478" s="32" t="s">
        <v>1645</v>
      </c>
      <c r="AK2478" s="32" t="s">
        <v>132</v>
      </c>
      <c r="AL2478" s="32" t="s">
        <v>177</v>
      </c>
      <c r="AM2478" s="32" t="s">
        <v>177</v>
      </c>
      <c r="AN2478" s="32" t="s">
        <v>177</v>
      </c>
      <c r="AT2478" s="32" t="s">
        <v>161</v>
      </c>
      <c r="AU2478" s="32" t="s">
        <v>161</v>
      </c>
      <c r="AV2478" s="32" t="s">
        <v>177</v>
      </c>
      <c r="AW2478" s="32" t="s">
        <v>160</v>
      </c>
      <c r="AX2478" s="32">
        <v>3</v>
      </c>
      <c r="AY2478" s="32">
        <v>3</v>
      </c>
      <c r="AZ2478" s="32" t="s">
        <v>2692</v>
      </c>
      <c r="BB2478" s="32">
        <f>4891+3991</f>
        <v>8882</v>
      </c>
      <c r="BK2478" s="32">
        <v>1000</v>
      </c>
      <c r="BL2478" s="32">
        <v>4150</v>
      </c>
      <c r="BP2478" s="397"/>
      <c r="BQ2478" s="397"/>
      <c r="BU2478" s="397"/>
      <c r="BV2478" s="397"/>
      <c r="BZ2478" s="397"/>
      <c r="CA2478" s="397"/>
      <c r="CE2478" s="550"/>
      <c r="CF2478" s="550"/>
      <c r="CG2478" s="550"/>
      <c r="CH2478" s="550"/>
      <c r="JD2478" s="243"/>
    </row>
    <row r="2479" spans="1:264" s="24" customFormat="1" x14ac:dyDescent="0.25">
      <c r="A2479" s="24">
        <v>118</v>
      </c>
      <c r="B2479" s="42" t="s">
        <v>4323</v>
      </c>
      <c r="C2479" s="24" t="s">
        <v>2689</v>
      </c>
      <c r="D2479" s="24" t="s">
        <v>2690</v>
      </c>
      <c r="E2479" s="24">
        <v>1993</v>
      </c>
      <c r="F2479" s="24">
        <v>2006</v>
      </c>
      <c r="G2479" s="24" t="s">
        <v>2696</v>
      </c>
      <c r="H2479" s="24" t="s">
        <v>2693</v>
      </c>
      <c r="I2479" s="24" t="s">
        <v>2827</v>
      </c>
      <c r="J2479" s="24">
        <f t="shared" si="358"/>
        <v>-15.5</v>
      </c>
      <c r="K2479" s="24">
        <f t="shared" si="359"/>
        <v>35.25</v>
      </c>
      <c r="L2479" s="24">
        <v>1030</v>
      </c>
      <c r="O2479" s="32">
        <v>970</v>
      </c>
      <c r="P2479" s="24">
        <v>1024</v>
      </c>
      <c r="R2479" s="42" t="s">
        <v>1728</v>
      </c>
      <c r="S2479" s="42" t="s">
        <v>1931</v>
      </c>
      <c r="T2479" s="42"/>
      <c r="U2479" s="42" t="s">
        <v>2691</v>
      </c>
      <c r="V2479" s="42" t="s">
        <v>1379</v>
      </c>
      <c r="W2479" s="42" t="s">
        <v>1715</v>
      </c>
      <c r="X2479" s="42" t="s">
        <v>1379</v>
      </c>
      <c r="Y2479" s="42" t="s">
        <v>1379</v>
      </c>
      <c r="AA2479" s="321">
        <v>46</v>
      </c>
      <c r="AB2479" s="321">
        <v>8</v>
      </c>
      <c r="AC2479" s="24" t="s">
        <v>2695</v>
      </c>
      <c r="AD2479" s="24">
        <v>5.9</v>
      </c>
      <c r="AE2479" s="24">
        <v>0.88</v>
      </c>
      <c r="AG2479" s="24" t="s">
        <v>2694</v>
      </c>
      <c r="AH2479" s="24" t="s">
        <v>2697</v>
      </c>
      <c r="AI2479" s="24" t="s">
        <v>4321</v>
      </c>
      <c r="AJ2479" s="24" t="s">
        <v>1645</v>
      </c>
      <c r="AK2479" s="24" t="s">
        <v>132</v>
      </c>
      <c r="AL2479" s="24" t="s">
        <v>177</v>
      </c>
      <c r="AM2479" s="24" t="s">
        <v>177</v>
      </c>
      <c r="AN2479" s="24" t="s">
        <v>177</v>
      </c>
      <c r="AT2479" s="24" t="s">
        <v>2699</v>
      </c>
      <c r="AU2479" s="24" t="s">
        <v>2699</v>
      </c>
      <c r="AV2479" s="24" t="s">
        <v>177</v>
      </c>
      <c r="AW2479" s="24" t="s">
        <v>160</v>
      </c>
      <c r="AX2479" s="24">
        <v>3</v>
      </c>
      <c r="AY2479" s="24">
        <v>3</v>
      </c>
      <c r="AZ2479" s="24" t="s">
        <v>2692</v>
      </c>
      <c r="BB2479" s="24">
        <v>4129.8</v>
      </c>
      <c r="BK2479" s="24">
        <v>3418</v>
      </c>
      <c r="BL2479" s="24">
        <v>2982</v>
      </c>
      <c r="BP2479" s="395"/>
      <c r="BQ2479" s="395"/>
      <c r="BU2479" s="395"/>
      <c r="BV2479" s="395"/>
      <c r="BZ2479" s="395"/>
      <c r="CA2479" s="395"/>
      <c r="CE2479" s="548"/>
      <c r="CF2479" s="548"/>
      <c r="CG2479" s="548"/>
      <c r="CH2479" s="548"/>
      <c r="JD2479" s="249"/>
    </row>
    <row r="2480" spans="1:264" s="24" customFormat="1" x14ac:dyDescent="0.25">
      <c r="A2480" s="24">
        <v>118</v>
      </c>
      <c r="B2480" s="42" t="s">
        <v>4323</v>
      </c>
      <c r="C2480" s="24" t="s">
        <v>2689</v>
      </c>
      <c r="D2480" s="24" t="s">
        <v>2690</v>
      </c>
      <c r="E2480" s="24">
        <v>1994</v>
      </c>
      <c r="F2480" s="24">
        <v>2006</v>
      </c>
      <c r="G2480" s="24" t="s">
        <v>2696</v>
      </c>
      <c r="H2480" s="24" t="s">
        <v>2693</v>
      </c>
      <c r="I2480" s="24" t="s">
        <v>2827</v>
      </c>
      <c r="J2480" s="24">
        <f t="shared" si="358"/>
        <v>-15.5</v>
      </c>
      <c r="K2480" s="24">
        <f t="shared" si="359"/>
        <v>35.25</v>
      </c>
      <c r="L2480" s="24">
        <v>1030</v>
      </c>
      <c r="O2480" s="32">
        <v>540</v>
      </c>
      <c r="P2480" s="24">
        <v>1024</v>
      </c>
      <c r="R2480" s="42" t="s">
        <v>1858</v>
      </c>
      <c r="S2480" s="42" t="s">
        <v>1931</v>
      </c>
      <c r="T2480" s="42"/>
      <c r="U2480" s="42" t="s">
        <v>2691</v>
      </c>
      <c r="V2480" s="42" t="s">
        <v>1379</v>
      </c>
      <c r="W2480" s="42" t="s">
        <v>1715</v>
      </c>
      <c r="X2480" s="42" t="s">
        <v>1379</v>
      </c>
      <c r="Y2480" s="42" t="s">
        <v>1379</v>
      </c>
      <c r="AA2480" s="321">
        <v>46</v>
      </c>
      <c r="AB2480" s="321">
        <v>8</v>
      </c>
      <c r="AC2480" s="24" t="s">
        <v>2695</v>
      </c>
      <c r="AD2480" s="24">
        <v>5.9</v>
      </c>
      <c r="AE2480" s="24">
        <v>0.88</v>
      </c>
      <c r="AG2480" s="24" t="s">
        <v>2694</v>
      </c>
      <c r="AH2480" s="24" t="s">
        <v>2697</v>
      </c>
      <c r="AI2480" s="24" t="s">
        <v>4321</v>
      </c>
      <c r="AJ2480" s="24" t="s">
        <v>1645</v>
      </c>
      <c r="AK2480" s="24" t="s">
        <v>132</v>
      </c>
      <c r="AL2480" s="24" t="s">
        <v>177</v>
      </c>
      <c r="AM2480" s="24" t="s">
        <v>177</v>
      </c>
      <c r="AN2480" s="24" t="s">
        <v>177</v>
      </c>
      <c r="AT2480" s="24" t="s">
        <v>2699</v>
      </c>
      <c r="AU2480" s="24" t="s">
        <v>2699</v>
      </c>
      <c r="AV2480" s="24" t="s">
        <v>177</v>
      </c>
      <c r="AW2480" s="24" t="s">
        <v>160</v>
      </c>
      <c r="AX2480" s="24">
        <v>3</v>
      </c>
      <c r="AY2480" s="24">
        <v>3</v>
      </c>
      <c r="AZ2480" s="24" t="s">
        <v>2692</v>
      </c>
      <c r="BB2480" s="24">
        <v>6124</v>
      </c>
      <c r="BK2480" s="24">
        <v>2111</v>
      </c>
      <c r="BL2480" s="24">
        <v>4446</v>
      </c>
      <c r="BP2480" s="395"/>
      <c r="BQ2480" s="395"/>
      <c r="BU2480" s="395"/>
      <c r="BV2480" s="395"/>
      <c r="BZ2480" s="395"/>
      <c r="CA2480" s="395"/>
      <c r="CE2480" s="548"/>
      <c r="CF2480" s="548"/>
      <c r="CG2480" s="548"/>
      <c r="CH2480" s="548"/>
      <c r="JD2480" s="249"/>
    </row>
    <row r="2481" spans="1:264" s="24" customFormat="1" x14ac:dyDescent="0.25">
      <c r="A2481" s="24">
        <v>118</v>
      </c>
      <c r="B2481" s="42" t="s">
        <v>4323</v>
      </c>
      <c r="C2481" s="24" t="s">
        <v>2689</v>
      </c>
      <c r="D2481" s="24" t="s">
        <v>2690</v>
      </c>
      <c r="E2481" s="24">
        <v>1995</v>
      </c>
      <c r="F2481" s="24">
        <v>2006</v>
      </c>
      <c r="G2481" s="24" t="s">
        <v>2696</v>
      </c>
      <c r="H2481" s="24" t="s">
        <v>2693</v>
      </c>
      <c r="I2481" s="24" t="s">
        <v>2827</v>
      </c>
      <c r="J2481" s="24">
        <f t="shared" si="358"/>
        <v>-15.5</v>
      </c>
      <c r="K2481" s="24">
        <f t="shared" si="359"/>
        <v>35.25</v>
      </c>
      <c r="L2481" s="24">
        <v>1030</v>
      </c>
      <c r="O2481" s="32">
        <v>551</v>
      </c>
      <c r="P2481" s="24">
        <v>1024</v>
      </c>
      <c r="R2481" s="42" t="s">
        <v>1722</v>
      </c>
      <c r="S2481" s="42" t="s">
        <v>1931</v>
      </c>
      <c r="T2481" s="42"/>
      <c r="U2481" s="42" t="s">
        <v>2691</v>
      </c>
      <c r="V2481" s="42" t="s">
        <v>1379</v>
      </c>
      <c r="W2481" s="42" t="s">
        <v>1715</v>
      </c>
      <c r="X2481" s="42" t="s">
        <v>1379</v>
      </c>
      <c r="Y2481" s="42" t="s">
        <v>1379</v>
      </c>
      <c r="AA2481" s="321">
        <v>46</v>
      </c>
      <c r="AB2481" s="321">
        <v>8</v>
      </c>
      <c r="AC2481" s="24" t="s">
        <v>2695</v>
      </c>
      <c r="AD2481" s="24">
        <v>5.9</v>
      </c>
      <c r="AE2481" s="24">
        <v>0.88</v>
      </c>
      <c r="AG2481" s="24" t="s">
        <v>2694</v>
      </c>
      <c r="AH2481" s="24" t="s">
        <v>2697</v>
      </c>
      <c r="AI2481" s="24" t="s">
        <v>4321</v>
      </c>
      <c r="AJ2481" s="24" t="s">
        <v>1645</v>
      </c>
      <c r="AK2481" s="24" t="s">
        <v>132</v>
      </c>
      <c r="AL2481" s="24" t="s">
        <v>177</v>
      </c>
      <c r="AM2481" s="24" t="s">
        <v>177</v>
      </c>
      <c r="AN2481" s="24" t="s">
        <v>177</v>
      </c>
      <c r="AT2481" s="24" t="s">
        <v>2699</v>
      </c>
      <c r="AU2481" s="24" t="s">
        <v>2699</v>
      </c>
      <c r="AV2481" s="24" t="s">
        <v>177</v>
      </c>
      <c r="AW2481" s="24" t="s">
        <v>160</v>
      </c>
      <c r="AX2481" s="24">
        <v>3</v>
      </c>
      <c r="AY2481" s="24">
        <v>3</v>
      </c>
      <c r="AZ2481" s="24" t="s">
        <v>2692</v>
      </c>
      <c r="BB2481" s="24">
        <v>5027.7</v>
      </c>
      <c r="BK2481" s="24">
        <v>3108</v>
      </c>
      <c r="BL2481" s="24">
        <v>4092</v>
      </c>
      <c r="BP2481" s="395"/>
      <c r="BQ2481" s="395"/>
      <c r="BU2481" s="395"/>
      <c r="BV2481" s="395"/>
      <c r="BZ2481" s="395"/>
      <c r="CA2481" s="395"/>
      <c r="CE2481" s="548"/>
      <c r="CF2481" s="548"/>
      <c r="CG2481" s="548"/>
      <c r="CH2481" s="548"/>
      <c r="JD2481" s="249"/>
    </row>
    <row r="2482" spans="1:264" s="24" customFormat="1" x14ac:dyDescent="0.25">
      <c r="A2482" s="24">
        <v>118</v>
      </c>
      <c r="B2482" s="42" t="s">
        <v>4323</v>
      </c>
      <c r="C2482" s="24" t="s">
        <v>2689</v>
      </c>
      <c r="D2482" s="24" t="s">
        <v>2690</v>
      </c>
      <c r="E2482" s="24">
        <v>1996</v>
      </c>
      <c r="F2482" s="24">
        <v>2006</v>
      </c>
      <c r="G2482" s="24" t="s">
        <v>2696</v>
      </c>
      <c r="H2482" s="24" t="s">
        <v>2693</v>
      </c>
      <c r="I2482" s="24" t="s">
        <v>2827</v>
      </c>
      <c r="J2482" s="24">
        <f t="shared" si="358"/>
        <v>-15.5</v>
      </c>
      <c r="K2482" s="24">
        <f t="shared" si="359"/>
        <v>35.25</v>
      </c>
      <c r="L2482" s="24">
        <v>1030</v>
      </c>
      <c r="O2482" s="32">
        <v>970</v>
      </c>
      <c r="P2482" s="24">
        <v>1024</v>
      </c>
      <c r="R2482" s="42" t="s">
        <v>1843</v>
      </c>
      <c r="S2482" s="42" t="s">
        <v>1931</v>
      </c>
      <c r="T2482" s="42"/>
      <c r="U2482" s="42" t="s">
        <v>2691</v>
      </c>
      <c r="V2482" s="42" t="s">
        <v>1379</v>
      </c>
      <c r="W2482" s="42" t="s">
        <v>1715</v>
      </c>
      <c r="X2482" s="42" t="s">
        <v>1379</v>
      </c>
      <c r="Y2482" s="42" t="s">
        <v>1379</v>
      </c>
      <c r="AA2482" s="321">
        <v>46</v>
      </c>
      <c r="AB2482" s="321">
        <v>8</v>
      </c>
      <c r="AC2482" s="24" t="s">
        <v>2695</v>
      </c>
      <c r="AD2482" s="24">
        <v>5.9</v>
      </c>
      <c r="AE2482" s="24">
        <v>0.88</v>
      </c>
      <c r="AG2482" s="24" t="s">
        <v>2694</v>
      </c>
      <c r="AH2482" s="24" t="s">
        <v>2697</v>
      </c>
      <c r="AI2482" s="24" t="s">
        <v>4321</v>
      </c>
      <c r="AJ2482" s="24" t="s">
        <v>1645</v>
      </c>
      <c r="AK2482" s="24" t="s">
        <v>132</v>
      </c>
      <c r="AL2482" s="24" t="s">
        <v>177</v>
      </c>
      <c r="AM2482" s="24" t="s">
        <v>177</v>
      </c>
      <c r="AN2482" s="24" t="s">
        <v>177</v>
      </c>
      <c r="AT2482" s="24" t="s">
        <v>2699</v>
      </c>
      <c r="AU2482" s="24" t="s">
        <v>2699</v>
      </c>
      <c r="AV2482" s="24" t="s">
        <v>177</v>
      </c>
      <c r="AW2482" s="24" t="s">
        <v>160</v>
      </c>
      <c r="AX2482" s="24">
        <v>3</v>
      </c>
      <c r="AY2482" s="24">
        <v>3</v>
      </c>
      <c r="AZ2482" s="24" t="s">
        <v>2692</v>
      </c>
      <c r="BB2482" s="24">
        <v>6117</v>
      </c>
      <c r="BK2482" s="24">
        <v>3917</v>
      </c>
      <c r="BL2482" s="24">
        <v>7117</v>
      </c>
      <c r="BP2482" s="395"/>
      <c r="BQ2482" s="395"/>
      <c r="BU2482" s="395"/>
      <c r="BV2482" s="395"/>
      <c r="BZ2482" s="395"/>
      <c r="CA2482" s="395"/>
      <c r="CE2482" s="548"/>
      <c r="CF2482" s="548"/>
      <c r="CG2482" s="548"/>
      <c r="CH2482" s="548"/>
      <c r="JD2482" s="249"/>
    </row>
    <row r="2483" spans="1:264" s="24" customFormat="1" x14ac:dyDescent="0.25">
      <c r="A2483" s="24">
        <v>118</v>
      </c>
      <c r="B2483" s="42" t="s">
        <v>4323</v>
      </c>
      <c r="C2483" s="24" t="s">
        <v>2689</v>
      </c>
      <c r="D2483" s="24" t="s">
        <v>2690</v>
      </c>
      <c r="E2483" s="24">
        <v>1997</v>
      </c>
      <c r="F2483" s="24">
        <v>2006</v>
      </c>
      <c r="G2483" s="24" t="s">
        <v>2696</v>
      </c>
      <c r="H2483" s="24" t="s">
        <v>2693</v>
      </c>
      <c r="I2483" s="24" t="s">
        <v>2827</v>
      </c>
      <c r="J2483" s="24">
        <f t="shared" si="358"/>
        <v>-15.5</v>
      </c>
      <c r="K2483" s="24">
        <f t="shared" si="359"/>
        <v>35.25</v>
      </c>
      <c r="L2483" s="24">
        <v>1030</v>
      </c>
      <c r="O2483" s="32">
        <v>1612</v>
      </c>
      <c r="P2483" s="24">
        <v>1024</v>
      </c>
      <c r="R2483" s="42" t="s">
        <v>1734</v>
      </c>
      <c r="S2483" s="42" t="s">
        <v>1931</v>
      </c>
      <c r="T2483" s="42"/>
      <c r="U2483" s="42" t="s">
        <v>2691</v>
      </c>
      <c r="V2483" s="42" t="s">
        <v>1379</v>
      </c>
      <c r="W2483" s="42" t="s">
        <v>1715</v>
      </c>
      <c r="X2483" s="42" t="s">
        <v>1379</v>
      </c>
      <c r="Y2483" s="42" t="s">
        <v>1379</v>
      </c>
      <c r="AA2483" s="321">
        <v>46</v>
      </c>
      <c r="AB2483" s="321">
        <v>8</v>
      </c>
      <c r="AC2483" s="24" t="s">
        <v>2695</v>
      </c>
      <c r="AD2483" s="24">
        <v>5.9</v>
      </c>
      <c r="AE2483" s="24">
        <v>0.88</v>
      </c>
      <c r="AG2483" s="24" t="s">
        <v>2694</v>
      </c>
      <c r="AH2483" s="24" t="s">
        <v>2697</v>
      </c>
      <c r="AI2483" s="24" t="s">
        <v>4321</v>
      </c>
      <c r="AJ2483" s="24" t="s">
        <v>1645</v>
      </c>
      <c r="AK2483" s="24" t="s">
        <v>132</v>
      </c>
      <c r="AL2483" s="24" t="s">
        <v>177</v>
      </c>
      <c r="AM2483" s="24" t="s">
        <v>177</v>
      </c>
      <c r="AN2483" s="24" t="s">
        <v>177</v>
      </c>
      <c r="AT2483" s="24" t="s">
        <v>2699</v>
      </c>
      <c r="AU2483" s="24" t="s">
        <v>2699</v>
      </c>
      <c r="AV2483" s="24" t="s">
        <v>177</v>
      </c>
      <c r="AW2483" s="24" t="s">
        <v>160</v>
      </c>
      <c r="AX2483" s="24">
        <v>3</v>
      </c>
      <c r="AY2483" s="24">
        <v>3</v>
      </c>
      <c r="AZ2483" s="24" t="s">
        <v>2692</v>
      </c>
      <c r="BB2483" s="24">
        <v>7104.7</v>
      </c>
      <c r="BC2483" s="24">
        <v>24.331164383561642</v>
      </c>
      <c r="BK2483" s="24">
        <v>1987</v>
      </c>
      <c r="BL2483" s="24">
        <v>4160</v>
      </c>
      <c r="BP2483" s="395"/>
      <c r="BQ2483" s="395"/>
      <c r="BU2483" s="395"/>
      <c r="BV2483" s="395"/>
      <c r="BZ2483" s="395"/>
      <c r="CA2483" s="395"/>
      <c r="CE2483" s="548"/>
      <c r="CF2483" s="548"/>
      <c r="CG2483" s="548"/>
      <c r="CH2483" s="548"/>
      <c r="JD2483" s="249"/>
    </row>
    <row r="2484" spans="1:264" s="24" customFormat="1" x14ac:dyDescent="0.25">
      <c r="A2484" s="24">
        <v>118</v>
      </c>
      <c r="B2484" s="42" t="s">
        <v>4323</v>
      </c>
      <c r="C2484" s="24" t="s">
        <v>2689</v>
      </c>
      <c r="D2484" s="24" t="s">
        <v>2690</v>
      </c>
      <c r="E2484" s="24">
        <v>1998</v>
      </c>
      <c r="F2484" s="24">
        <v>2006</v>
      </c>
      <c r="G2484" s="24" t="s">
        <v>2696</v>
      </c>
      <c r="H2484" s="24" t="s">
        <v>2693</v>
      </c>
      <c r="I2484" s="24" t="s">
        <v>2827</v>
      </c>
      <c r="J2484" s="24">
        <f t="shared" si="358"/>
        <v>-15.5</v>
      </c>
      <c r="K2484" s="24">
        <f t="shared" si="359"/>
        <v>35.25</v>
      </c>
      <c r="L2484" s="24">
        <v>1030</v>
      </c>
      <c r="O2484" s="32">
        <v>1015</v>
      </c>
      <c r="P2484" s="24">
        <v>1024</v>
      </c>
      <c r="R2484" s="42" t="s">
        <v>1982</v>
      </c>
      <c r="S2484" s="42" t="s">
        <v>1931</v>
      </c>
      <c r="T2484" s="42"/>
      <c r="U2484" s="42" t="s">
        <v>2691</v>
      </c>
      <c r="V2484" s="42" t="s">
        <v>1379</v>
      </c>
      <c r="W2484" s="42" t="s">
        <v>1715</v>
      </c>
      <c r="X2484" s="42" t="s">
        <v>1379</v>
      </c>
      <c r="Y2484" s="42" t="s">
        <v>1379</v>
      </c>
      <c r="AA2484" s="321">
        <v>46</v>
      </c>
      <c r="AB2484" s="321">
        <v>8</v>
      </c>
      <c r="AC2484" s="24" t="s">
        <v>2695</v>
      </c>
      <c r="AD2484" s="24">
        <v>5.9</v>
      </c>
      <c r="AE2484" s="24">
        <v>0.88</v>
      </c>
      <c r="AG2484" s="24" t="s">
        <v>2694</v>
      </c>
      <c r="AH2484" s="24" t="s">
        <v>2697</v>
      </c>
      <c r="AI2484" s="24" t="s">
        <v>4321</v>
      </c>
      <c r="AJ2484" s="24" t="s">
        <v>1645</v>
      </c>
      <c r="AK2484" s="24" t="s">
        <v>132</v>
      </c>
      <c r="AL2484" s="24" t="s">
        <v>177</v>
      </c>
      <c r="AM2484" s="24" t="s">
        <v>177</v>
      </c>
      <c r="AN2484" s="24" t="s">
        <v>177</v>
      </c>
      <c r="AT2484" s="24" t="s">
        <v>2699</v>
      </c>
      <c r="AU2484" s="24" t="s">
        <v>2699</v>
      </c>
      <c r="AV2484" s="24" t="s">
        <v>177</v>
      </c>
      <c r="AW2484" s="24" t="s">
        <v>160</v>
      </c>
      <c r="AX2484" s="24">
        <v>3</v>
      </c>
      <c r="AY2484" s="24">
        <v>3</v>
      </c>
      <c r="AZ2484" s="24" t="s">
        <v>2692</v>
      </c>
      <c r="BB2484" s="24">
        <v>9014</v>
      </c>
      <c r="BC2484" s="24">
        <v>35.34901960784314</v>
      </c>
      <c r="BK2484" s="24">
        <v>2593</v>
      </c>
      <c r="BL2484" s="24">
        <v>5997</v>
      </c>
      <c r="BP2484" s="395"/>
      <c r="BQ2484" s="395"/>
      <c r="BU2484" s="395"/>
      <c r="BV2484" s="395"/>
      <c r="BZ2484" s="395"/>
      <c r="CA2484" s="395"/>
      <c r="CE2484" s="548"/>
      <c r="CF2484" s="548"/>
      <c r="CG2484" s="548"/>
      <c r="CH2484" s="548"/>
      <c r="JD2484" s="249"/>
    </row>
    <row r="2485" spans="1:264" s="24" customFormat="1" x14ac:dyDescent="0.25">
      <c r="A2485" s="24">
        <v>118</v>
      </c>
      <c r="B2485" s="42" t="s">
        <v>4323</v>
      </c>
      <c r="C2485" s="24" t="s">
        <v>2689</v>
      </c>
      <c r="D2485" s="24" t="s">
        <v>2690</v>
      </c>
      <c r="E2485" s="24">
        <v>1999</v>
      </c>
      <c r="F2485" s="24">
        <v>2006</v>
      </c>
      <c r="G2485" s="24" t="s">
        <v>2696</v>
      </c>
      <c r="H2485" s="24" t="s">
        <v>2693</v>
      </c>
      <c r="I2485" s="24" t="s">
        <v>2827</v>
      </c>
      <c r="J2485" s="24">
        <f t="shared" si="358"/>
        <v>-15.5</v>
      </c>
      <c r="K2485" s="24">
        <f t="shared" si="359"/>
        <v>35.25</v>
      </c>
      <c r="L2485" s="24">
        <v>1030</v>
      </c>
      <c r="O2485" s="32">
        <v>1194</v>
      </c>
      <c r="P2485" s="24">
        <v>1024</v>
      </c>
      <c r="R2485" s="42" t="s">
        <v>1975</v>
      </c>
      <c r="S2485" s="42" t="s">
        <v>1931</v>
      </c>
      <c r="T2485" s="42"/>
      <c r="U2485" s="42" t="s">
        <v>2691</v>
      </c>
      <c r="V2485" s="42" t="s">
        <v>1379</v>
      </c>
      <c r="W2485" s="42" t="s">
        <v>1715</v>
      </c>
      <c r="X2485" s="42" t="s">
        <v>1379</v>
      </c>
      <c r="Y2485" s="42" t="s">
        <v>1379</v>
      </c>
      <c r="AA2485" s="321">
        <v>46</v>
      </c>
      <c r="AB2485" s="321">
        <v>8</v>
      </c>
      <c r="AC2485" s="24" t="s">
        <v>2695</v>
      </c>
      <c r="AD2485" s="24">
        <v>5.9</v>
      </c>
      <c r="AE2485" s="24">
        <v>0.88</v>
      </c>
      <c r="AG2485" s="24" t="s">
        <v>2694</v>
      </c>
      <c r="AH2485" s="24" t="s">
        <v>2697</v>
      </c>
      <c r="AI2485" s="24" t="s">
        <v>4321</v>
      </c>
      <c r="AJ2485" s="24" t="s">
        <v>1645</v>
      </c>
      <c r="AK2485" s="24" t="s">
        <v>132</v>
      </c>
      <c r="AL2485" s="24" t="s">
        <v>177</v>
      </c>
      <c r="AM2485" s="24" t="s">
        <v>177</v>
      </c>
      <c r="AN2485" s="24" t="s">
        <v>177</v>
      </c>
      <c r="AT2485" s="24" t="s">
        <v>2699</v>
      </c>
      <c r="AU2485" s="24" t="s">
        <v>2699</v>
      </c>
      <c r="AV2485" s="24" t="s">
        <v>177</v>
      </c>
      <c r="AW2485" s="24" t="s">
        <v>160</v>
      </c>
      <c r="AX2485" s="24">
        <v>3</v>
      </c>
      <c r="AY2485" s="24">
        <v>3</v>
      </c>
      <c r="AZ2485" s="24" t="s">
        <v>2692</v>
      </c>
      <c r="BB2485" s="24">
        <v>9035</v>
      </c>
      <c r="BK2485" s="24">
        <v>2646</v>
      </c>
      <c r="BL2485" s="24">
        <v>5926</v>
      </c>
      <c r="BP2485" s="395"/>
      <c r="BQ2485" s="395"/>
      <c r="BU2485" s="395"/>
      <c r="BV2485" s="395"/>
      <c r="BZ2485" s="395"/>
      <c r="CA2485" s="395"/>
      <c r="CE2485" s="548"/>
      <c r="CF2485" s="548"/>
      <c r="CG2485" s="548"/>
      <c r="CH2485" s="548"/>
      <c r="JD2485" s="249"/>
    </row>
    <row r="2486" spans="1:264" s="24" customFormat="1" x14ac:dyDescent="0.25">
      <c r="A2486" s="24">
        <v>118</v>
      </c>
      <c r="B2486" s="42" t="s">
        <v>4323</v>
      </c>
      <c r="C2486" s="24" t="s">
        <v>2689</v>
      </c>
      <c r="D2486" s="24" t="s">
        <v>2690</v>
      </c>
      <c r="E2486" s="24">
        <v>2000</v>
      </c>
      <c r="F2486" s="24">
        <v>2006</v>
      </c>
      <c r="G2486" s="24" t="s">
        <v>2696</v>
      </c>
      <c r="H2486" s="24" t="s">
        <v>2693</v>
      </c>
      <c r="I2486" s="24" t="s">
        <v>2827</v>
      </c>
      <c r="J2486" s="24">
        <f t="shared" si="358"/>
        <v>-15.5</v>
      </c>
      <c r="K2486" s="24">
        <f t="shared" si="359"/>
        <v>35.25</v>
      </c>
      <c r="L2486" s="24">
        <v>1030</v>
      </c>
      <c r="O2486" s="32">
        <v>786</v>
      </c>
      <c r="P2486" s="24">
        <v>1024</v>
      </c>
      <c r="R2486" s="42" t="s">
        <v>1719</v>
      </c>
      <c r="S2486" s="42" t="s">
        <v>1931</v>
      </c>
      <c r="T2486" s="42"/>
      <c r="U2486" s="42" t="s">
        <v>2691</v>
      </c>
      <c r="V2486" s="42" t="s">
        <v>1379</v>
      </c>
      <c r="W2486" s="42" t="s">
        <v>1715</v>
      </c>
      <c r="X2486" s="42" t="s">
        <v>1379</v>
      </c>
      <c r="Y2486" s="42" t="s">
        <v>1379</v>
      </c>
      <c r="AA2486" s="321">
        <v>46</v>
      </c>
      <c r="AB2486" s="321">
        <v>8</v>
      </c>
      <c r="AC2486" s="24" t="s">
        <v>2695</v>
      </c>
      <c r="AD2486" s="24">
        <v>5.9</v>
      </c>
      <c r="AE2486" s="24">
        <v>0.88</v>
      </c>
      <c r="AG2486" s="24" t="s">
        <v>2694</v>
      </c>
      <c r="AH2486" s="24" t="s">
        <v>2697</v>
      </c>
      <c r="AI2486" s="24" t="s">
        <v>4321</v>
      </c>
      <c r="AJ2486" s="24" t="s">
        <v>1645</v>
      </c>
      <c r="AK2486" s="24" t="s">
        <v>132</v>
      </c>
      <c r="AL2486" s="24" t="s">
        <v>177</v>
      </c>
      <c r="AM2486" s="24" t="s">
        <v>177</v>
      </c>
      <c r="AN2486" s="24" t="s">
        <v>177</v>
      </c>
      <c r="AT2486" s="24" t="s">
        <v>2699</v>
      </c>
      <c r="AU2486" s="24" t="s">
        <v>2699</v>
      </c>
      <c r="AV2486" s="24" t="s">
        <v>177</v>
      </c>
      <c r="AW2486" s="24" t="s">
        <v>160</v>
      </c>
      <c r="AX2486" s="24">
        <v>3</v>
      </c>
      <c r="AY2486" s="24">
        <v>3</v>
      </c>
      <c r="AZ2486" s="24" t="s">
        <v>2692</v>
      </c>
      <c r="BB2486" s="24">
        <v>7592</v>
      </c>
      <c r="BK2486" s="24">
        <v>1708</v>
      </c>
      <c r="BL2486" s="24">
        <v>2947</v>
      </c>
      <c r="BP2486" s="395"/>
      <c r="BQ2486" s="395"/>
      <c r="BU2486" s="395"/>
      <c r="BV2486" s="395"/>
      <c r="BZ2486" s="395"/>
      <c r="CA2486" s="395"/>
      <c r="CE2486" s="548"/>
      <c r="CF2486" s="548"/>
      <c r="CG2486" s="548"/>
      <c r="CH2486" s="548"/>
      <c r="JD2486" s="249"/>
    </row>
    <row r="2487" spans="1:264" s="24" customFormat="1" x14ac:dyDescent="0.25">
      <c r="A2487" s="24">
        <v>118</v>
      </c>
      <c r="B2487" s="42" t="s">
        <v>4323</v>
      </c>
      <c r="C2487" s="24" t="s">
        <v>2689</v>
      </c>
      <c r="D2487" s="24" t="s">
        <v>2690</v>
      </c>
      <c r="E2487" s="24">
        <v>2001</v>
      </c>
      <c r="F2487" s="24">
        <v>2006</v>
      </c>
      <c r="G2487" s="24" t="s">
        <v>2696</v>
      </c>
      <c r="H2487" s="24" t="s">
        <v>2693</v>
      </c>
      <c r="I2487" s="24" t="s">
        <v>2827</v>
      </c>
      <c r="J2487" s="24">
        <f t="shared" si="358"/>
        <v>-15.5</v>
      </c>
      <c r="K2487" s="24">
        <f t="shared" si="359"/>
        <v>35.25</v>
      </c>
      <c r="L2487" s="24">
        <v>1030</v>
      </c>
      <c r="O2487" s="32">
        <v>1225</v>
      </c>
      <c r="P2487" s="24">
        <v>1024</v>
      </c>
      <c r="R2487" s="42" t="s">
        <v>1860</v>
      </c>
      <c r="S2487" s="42" t="s">
        <v>1931</v>
      </c>
      <c r="T2487" s="42"/>
      <c r="U2487" s="42" t="s">
        <v>2691</v>
      </c>
      <c r="V2487" s="42" t="s">
        <v>1379</v>
      </c>
      <c r="W2487" s="42" t="s">
        <v>1715</v>
      </c>
      <c r="X2487" s="42" t="s">
        <v>1379</v>
      </c>
      <c r="Y2487" s="42" t="s">
        <v>1379</v>
      </c>
      <c r="AA2487" s="321">
        <v>46</v>
      </c>
      <c r="AB2487" s="321">
        <v>8</v>
      </c>
      <c r="AC2487" s="24" t="s">
        <v>2695</v>
      </c>
      <c r="AD2487" s="24">
        <v>5.9</v>
      </c>
      <c r="AE2487" s="24">
        <v>0.88</v>
      </c>
      <c r="AG2487" s="24" t="s">
        <v>2694</v>
      </c>
      <c r="AH2487" s="24" t="s">
        <v>2697</v>
      </c>
      <c r="AI2487" s="24" t="s">
        <v>4321</v>
      </c>
      <c r="AJ2487" s="24" t="s">
        <v>1645</v>
      </c>
      <c r="AK2487" s="24" t="s">
        <v>132</v>
      </c>
      <c r="AL2487" s="24" t="s">
        <v>177</v>
      </c>
      <c r="AM2487" s="24" t="s">
        <v>177</v>
      </c>
      <c r="AN2487" s="24" t="s">
        <v>177</v>
      </c>
      <c r="AT2487" s="24" t="s">
        <v>2699</v>
      </c>
      <c r="AU2487" s="24" t="s">
        <v>2699</v>
      </c>
      <c r="AV2487" s="24" t="s">
        <v>177</v>
      </c>
      <c r="AW2487" s="24" t="s">
        <v>160</v>
      </c>
      <c r="AX2487" s="24">
        <v>3</v>
      </c>
      <c r="AY2487" s="24">
        <v>3</v>
      </c>
      <c r="AZ2487" s="24" t="s">
        <v>2692</v>
      </c>
      <c r="BB2487" s="24">
        <v>10094</v>
      </c>
      <c r="BK2487" s="24">
        <v>2640</v>
      </c>
      <c r="BL2487" s="24">
        <v>5830</v>
      </c>
      <c r="BP2487" s="395"/>
      <c r="BQ2487" s="395"/>
      <c r="BU2487" s="395"/>
      <c r="BV2487" s="395"/>
      <c r="BZ2487" s="395"/>
      <c r="CA2487" s="395"/>
      <c r="CE2487" s="548"/>
      <c r="CF2487" s="548"/>
      <c r="CG2487" s="548"/>
      <c r="CH2487" s="548"/>
      <c r="JD2487" s="249"/>
    </row>
    <row r="2488" spans="1:264" s="24" customFormat="1" x14ac:dyDescent="0.25">
      <c r="A2488" s="24">
        <v>118</v>
      </c>
      <c r="B2488" s="42" t="s">
        <v>4323</v>
      </c>
      <c r="C2488" s="24" t="s">
        <v>2689</v>
      </c>
      <c r="D2488" s="24" t="s">
        <v>2690</v>
      </c>
      <c r="E2488" s="24">
        <v>2002</v>
      </c>
      <c r="F2488" s="24">
        <v>2006</v>
      </c>
      <c r="G2488" s="24" t="s">
        <v>2696</v>
      </c>
      <c r="H2488" s="24" t="s">
        <v>2693</v>
      </c>
      <c r="I2488" s="24" t="s">
        <v>2827</v>
      </c>
      <c r="J2488" s="24">
        <f t="shared" si="358"/>
        <v>-15.5</v>
      </c>
      <c r="K2488" s="24">
        <f t="shared" si="359"/>
        <v>35.25</v>
      </c>
      <c r="L2488" s="24">
        <v>1030</v>
      </c>
      <c r="O2488" s="32">
        <v>820</v>
      </c>
      <c r="P2488" s="24">
        <v>1024</v>
      </c>
      <c r="R2488" s="42" t="s">
        <v>1931</v>
      </c>
      <c r="S2488" s="42" t="s">
        <v>1931</v>
      </c>
      <c r="T2488" s="42"/>
      <c r="U2488" s="42" t="s">
        <v>2691</v>
      </c>
      <c r="V2488" s="42" t="s">
        <v>1379</v>
      </c>
      <c r="W2488" s="42" t="s">
        <v>1715</v>
      </c>
      <c r="X2488" s="42" t="s">
        <v>1379</v>
      </c>
      <c r="Y2488" s="42" t="s">
        <v>1379</v>
      </c>
      <c r="AA2488" s="321">
        <v>46</v>
      </c>
      <c r="AB2488" s="321">
        <v>8</v>
      </c>
      <c r="AC2488" s="24" t="s">
        <v>2695</v>
      </c>
      <c r="AD2488" s="24">
        <v>5.9</v>
      </c>
      <c r="AE2488" s="24">
        <v>0.88</v>
      </c>
      <c r="AG2488" s="24" t="s">
        <v>2694</v>
      </c>
      <c r="AH2488" s="24" t="s">
        <v>2697</v>
      </c>
      <c r="AI2488" s="24" t="s">
        <v>4321</v>
      </c>
      <c r="AJ2488" s="24" t="s">
        <v>1645</v>
      </c>
      <c r="AK2488" s="24" t="s">
        <v>132</v>
      </c>
      <c r="AL2488" s="24" t="s">
        <v>177</v>
      </c>
      <c r="AM2488" s="24" t="s">
        <v>177</v>
      </c>
      <c r="AN2488" s="24" t="s">
        <v>177</v>
      </c>
      <c r="AT2488" s="24" t="s">
        <v>2699</v>
      </c>
      <c r="AU2488" s="24" t="s">
        <v>2699</v>
      </c>
      <c r="AV2488" s="24" t="s">
        <v>177</v>
      </c>
      <c r="AW2488" s="24" t="s">
        <v>160</v>
      </c>
      <c r="AX2488" s="24">
        <v>3</v>
      </c>
      <c r="AY2488" s="24">
        <v>3</v>
      </c>
      <c r="AZ2488" s="24" t="s">
        <v>2692</v>
      </c>
      <c r="BB2488" s="24">
        <v>8882</v>
      </c>
      <c r="BK2488" s="24">
        <v>2890</v>
      </c>
      <c r="BL2488" s="24">
        <v>5290</v>
      </c>
      <c r="BP2488" s="395"/>
      <c r="BQ2488" s="395"/>
      <c r="BU2488" s="395"/>
      <c r="BV2488" s="395"/>
      <c r="BZ2488" s="395"/>
      <c r="CA2488" s="395"/>
      <c r="CE2488" s="548"/>
      <c r="CF2488" s="548"/>
      <c r="CG2488" s="548"/>
      <c r="CH2488" s="548"/>
      <c r="JD2488" s="249"/>
    </row>
    <row r="2489" spans="1:264" s="32" customFormat="1" x14ac:dyDescent="0.25">
      <c r="A2489" s="32">
        <v>118</v>
      </c>
      <c r="B2489" s="44" t="s">
        <v>4324</v>
      </c>
      <c r="C2489" s="32" t="s">
        <v>2689</v>
      </c>
      <c r="D2489" s="32" t="s">
        <v>2690</v>
      </c>
      <c r="E2489" s="32">
        <v>1993</v>
      </c>
      <c r="F2489" s="32">
        <v>2006</v>
      </c>
      <c r="G2489" s="32" t="s">
        <v>2696</v>
      </c>
      <c r="H2489" s="32" t="s">
        <v>2693</v>
      </c>
      <c r="I2489" s="24" t="s">
        <v>2827</v>
      </c>
      <c r="J2489" s="32">
        <f t="shared" si="358"/>
        <v>-15.5</v>
      </c>
      <c r="K2489" s="32">
        <f t="shared" si="359"/>
        <v>35.25</v>
      </c>
      <c r="L2489" s="32">
        <v>1030</v>
      </c>
      <c r="O2489" s="32">
        <v>970</v>
      </c>
      <c r="P2489" s="32">
        <v>1024</v>
      </c>
      <c r="R2489" s="44" t="s">
        <v>1728</v>
      </c>
      <c r="S2489" s="44" t="s">
        <v>1931</v>
      </c>
      <c r="T2489" s="44"/>
      <c r="U2489" s="44" t="s">
        <v>2691</v>
      </c>
      <c r="V2489" s="44" t="s">
        <v>1379</v>
      </c>
      <c r="W2489" s="44" t="s">
        <v>1715</v>
      </c>
      <c r="X2489" s="44" t="s">
        <v>1379</v>
      </c>
      <c r="Y2489" s="44" t="s">
        <v>1379</v>
      </c>
      <c r="AA2489" s="323">
        <v>46</v>
      </c>
      <c r="AB2489" s="323">
        <v>8</v>
      </c>
      <c r="AC2489" s="32" t="s">
        <v>2695</v>
      </c>
      <c r="AD2489" s="32">
        <v>5.9</v>
      </c>
      <c r="AE2489" s="32">
        <v>0.88</v>
      </c>
      <c r="AG2489" s="32" t="s">
        <v>2694</v>
      </c>
      <c r="AH2489" s="32" t="s">
        <v>2697</v>
      </c>
      <c r="AI2489" s="32" t="s">
        <v>4321</v>
      </c>
      <c r="AJ2489" s="32" t="s">
        <v>1645</v>
      </c>
      <c r="AK2489" s="32" t="s">
        <v>132</v>
      </c>
      <c r="AL2489" s="32" t="s">
        <v>177</v>
      </c>
      <c r="AM2489" s="32" t="s">
        <v>177</v>
      </c>
      <c r="AN2489" s="32" t="s">
        <v>177</v>
      </c>
      <c r="AT2489" s="32" t="s">
        <v>2700</v>
      </c>
      <c r="AU2489" s="32" t="s">
        <v>2700</v>
      </c>
      <c r="AV2489" s="32" t="s">
        <v>177</v>
      </c>
      <c r="AW2489" s="32" t="s">
        <v>160</v>
      </c>
      <c r="AX2489" s="32">
        <v>3</v>
      </c>
      <c r="AY2489" s="32">
        <v>3</v>
      </c>
      <c r="AZ2489" s="32" t="s">
        <v>2692</v>
      </c>
      <c r="BB2489" s="32">
        <v>4129.8</v>
      </c>
      <c r="BK2489" s="32">
        <v>4147</v>
      </c>
      <c r="BL2489" s="32">
        <v>4013</v>
      </c>
      <c r="BP2489" s="397"/>
      <c r="BQ2489" s="397"/>
      <c r="BU2489" s="397"/>
      <c r="BV2489" s="397"/>
      <c r="BZ2489" s="397"/>
      <c r="CA2489" s="397"/>
      <c r="CE2489" s="550"/>
      <c r="CF2489" s="550"/>
      <c r="CG2489" s="550"/>
      <c r="CH2489" s="550"/>
      <c r="JD2489" s="243"/>
    </row>
    <row r="2490" spans="1:264" s="32" customFormat="1" x14ac:dyDescent="0.25">
      <c r="A2490" s="32">
        <v>118</v>
      </c>
      <c r="B2490" s="44" t="s">
        <v>4324</v>
      </c>
      <c r="C2490" s="32" t="s">
        <v>2689</v>
      </c>
      <c r="D2490" s="32" t="s">
        <v>2690</v>
      </c>
      <c r="E2490" s="32">
        <v>1994</v>
      </c>
      <c r="F2490" s="32">
        <v>2006</v>
      </c>
      <c r="G2490" s="32" t="s">
        <v>2696</v>
      </c>
      <c r="H2490" s="32" t="s">
        <v>2693</v>
      </c>
      <c r="I2490" s="24" t="s">
        <v>2827</v>
      </c>
      <c r="J2490" s="32">
        <f t="shared" si="358"/>
        <v>-15.5</v>
      </c>
      <c r="K2490" s="32">
        <f t="shared" si="359"/>
        <v>35.25</v>
      </c>
      <c r="L2490" s="32">
        <v>1030</v>
      </c>
      <c r="O2490" s="32">
        <v>540</v>
      </c>
      <c r="P2490" s="32">
        <v>1024</v>
      </c>
      <c r="R2490" s="44" t="s">
        <v>1858</v>
      </c>
      <c r="S2490" s="44" t="s">
        <v>1931</v>
      </c>
      <c r="T2490" s="44"/>
      <c r="U2490" s="44" t="s">
        <v>2691</v>
      </c>
      <c r="V2490" s="44" t="s">
        <v>1379</v>
      </c>
      <c r="W2490" s="44" t="s">
        <v>1715</v>
      </c>
      <c r="X2490" s="44" t="s">
        <v>1379</v>
      </c>
      <c r="Y2490" s="44" t="s">
        <v>1379</v>
      </c>
      <c r="AA2490" s="323">
        <v>46</v>
      </c>
      <c r="AB2490" s="323">
        <v>8</v>
      </c>
      <c r="AC2490" s="32" t="s">
        <v>2695</v>
      </c>
      <c r="AD2490" s="32">
        <v>5.9</v>
      </c>
      <c r="AE2490" s="32">
        <v>0.88</v>
      </c>
      <c r="AG2490" s="32" t="s">
        <v>2694</v>
      </c>
      <c r="AH2490" s="32" t="s">
        <v>2697</v>
      </c>
      <c r="AI2490" s="32" t="s">
        <v>4321</v>
      </c>
      <c r="AJ2490" s="32" t="s">
        <v>1645</v>
      </c>
      <c r="AK2490" s="32" t="s">
        <v>132</v>
      </c>
      <c r="AL2490" s="32" t="s">
        <v>177</v>
      </c>
      <c r="AM2490" s="32" t="s">
        <v>177</v>
      </c>
      <c r="AN2490" s="32" t="s">
        <v>177</v>
      </c>
      <c r="AT2490" s="32" t="s">
        <v>2700</v>
      </c>
      <c r="AU2490" s="32" t="s">
        <v>2700</v>
      </c>
      <c r="AV2490" s="32" t="s">
        <v>177</v>
      </c>
      <c r="AW2490" s="32" t="s">
        <v>160</v>
      </c>
      <c r="AX2490" s="32">
        <v>3</v>
      </c>
      <c r="AY2490" s="32">
        <v>3</v>
      </c>
      <c r="AZ2490" s="32" t="s">
        <v>2692</v>
      </c>
      <c r="BB2490" s="32">
        <v>6124</v>
      </c>
      <c r="BK2490" s="32">
        <v>3155</v>
      </c>
      <c r="BL2490" s="32">
        <v>4545</v>
      </c>
      <c r="BP2490" s="397"/>
      <c r="BQ2490" s="397"/>
      <c r="BU2490" s="397"/>
      <c r="BV2490" s="397"/>
      <c r="BZ2490" s="397"/>
      <c r="CA2490" s="397"/>
      <c r="CE2490" s="550"/>
      <c r="CF2490" s="550"/>
      <c r="CG2490" s="550"/>
      <c r="CH2490" s="550"/>
      <c r="JD2490" s="243"/>
    </row>
    <row r="2491" spans="1:264" s="32" customFormat="1" x14ac:dyDescent="0.25">
      <c r="A2491" s="32">
        <v>118</v>
      </c>
      <c r="B2491" s="44" t="s">
        <v>4324</v>
      </c>
      <c r="C2491" s="32" t="s">
        <v>2689</v>
      </c>
      <c r="D2491" s="32" t="s">
        <v>2690</v>
      </c>
      <c r="E2491" s="32">
        <v>1995</v>
      </c>
      <c r="F2491" s="32">
        <v>2006</v>
      </c>
      <c r="G2491" s="32" t="s">
        <v>2696</v>
      </c>
      <c r="H2491" s="32" t="s">
        <v>2693</v>
      </c>
      <c r="I2491" s="24" t="s">
        <v>2827</v>
      </c>
      <c r="J2491" s="32">
        <f t="shared" si="358"/>
        <v>-15.5</v>
      </c>
      <c r="K2491" s="32">
        <f t="shared" si="359"/>
        <v>35.25</v>
      </c>
      <c r="L2491" s="32">
        <v>1030</v>
      </c>
      <c r="O2491" s="32">
        <v>551</v>
      </c>
      <c r="P2491" s="32">
        <v>1024</v>
      </c>
      <c r="R2491" s="44" t="s">
        <v>1722</v>
      </c>
      <c r="S2491" s="44" t="s">
        <v>1931</v>
      </c>
      <c r="T2491" s="44"/>
      <c r="U2491" s="44" t="s">
        <v>2691</v>
      </c>
      <c r="V2491" s="44" t="s">
        <v>1379</v>
      </c>
      <c r="W2491" s="44" t="s">
        <v>1715</v>
      </c>
      <c r="X2491" s="44" t="s">
        <v>1379</v>
      </c>
      <c r="Y2491" s="44" t="s">
        <v>1379</v>
      </c>
      <c r="AA2491" s="323">
        <v>46</v>
      </c>
      <c r="AB2491" s="323">
        <v>8</v>
      </c>
      <c r="AC2491" s="32" t="s">
        <v>2695</v>
      </c>
      <c r="AD2491" s="32">
        <v>5.9</v>
      </c>
      <c r="AE2491" s="32">
        <v>0.88</v>
      </c>
      <c r="AG2491" s="32" t="s">
        <v>2694</v>
      </c>
      <c r="AH2491" s="32" t="s">
        <v>2697</v>
      </c>
      <c r="AI2491" s="32" t="s">
        <v>4321</v>
      </c>
      <c r="AJ2491" s="32" t="s">
        <v>1645</v>
      </c>
      <c r="AK2491" s="32" t="s">
        <v>132</v>
      </c>
      <c r="AL2491" s="32" t="s">
        <v>177</v>
      </c>
      <c r="AM2491" s="32" t="s">
        <v>177</v>
      </c>
      <c r="AN2491" s="32" t="s">
        <v>177</v>
      </c>
      <c r="AT2491" s="32" t="s">
        <v>2700</v>
      </c>
      <c r="AU2491" s="32" t="s">
        <v>2700</v>
      </c>
      <c r="AV2491" s="32" t="s">
        <v>177</v>
      </c>
      <c r="AW2491" s="32" t="s">
        <v>160</v>
      </c>
      <c r="AX2491" s="32">
        <v>3</v>
      </c>
      <c r="AY2491" s="32">
        <v>3</v>
      </c>
      <c r="AZ2491" s="32" t="s">
        <v>2692</v>
      </c>
      <c r="BB2491" s="32">
        <v>5027.7</v>
      </c>
      <c r="BK2491" s="32">
        <v>3320</v>
      </c>
      <c r="BL2491" s="32">
        <v>3730</v>
      </c>
      <c r="BP2491" s="397"/>
      <c r="BQ2491" s="397"/>
      <c r="BU2491" s="397"/>
      <c r="BV2491" s="397"/>
      <c r="BZ2491" s="397"/>
      <c r="CA2491" s="397"/>
      <c r="CE2491" s="550"/>
      <c r="CF2491" s="550"/>
      <c r="CG2491" s="550"/>
      <c r="CH2491" s="550"/>
      <c r="JD2491" s="243"/>
    </row>
    <row r="2492" spans="1:264" s="32" customFormat="1" x14ac:dyDescent="0.25">
      <c r="A2492" s="32">
        <v>118</v>
      </c>
      <c r="B2492" s="44" t="s">
        <v>4324</v>
      </c>
      <c r="C2492" s="32" t="s">
        <v>2689</v>
      </c>
      <c r="D2492" s="32" t="s">
        <v>2690</v>
      </c>
      <c r="E2492" s="32">
        <v>1996</v>
      </c>
      <c r="F2492" s="32">
        <v>2006</v>
      </c>
      <c r="G2492" s="32" t="s">
        <v>2696</v>
      </c>
      <c r="H2492" s="32" t="s">
        <v>2693</v>
      </c>
      <c r="I2492" s="24" t="s">
        <v>2827</v>
      </c>
      <c r="J2492" s="32">
        <f t="shared" si="358"/>
        <v>-15.5</v>
      </c>
      <c r="K2492" s="32">
        <f t="shared" si="359"/>
        <v>35.25</v>
      </c>
      <c r="L2492" s="32">
        <v>1030</v>
      </c>
      <c r="O2492" s="32">
        <v>970</v>
      </c>
      <c r="P2492" s="32">
        <v>1024</v>
      </c>
      <c r="R2492" s="44" t="s">
        <v>1843</v>
      </c>
      <c r="S2492" s="44" t="s">
        <v>1931</v>
      </c>
      <c r="T2492" s="44"/>
      <c r="U2492" s="44" t="s">
        <v>2691</v>
      </c>
      <c r="V2492" s="44" t="s">
        <v>1379</v>
      </c>
      <c r="W2492" s="44" t="s">
        <v>1715</v>
      </c>
      <c r="X2492" s="44" t="s">
        <v>1379</v>
      </c>
      <c r="Y2492" s="44" t="s">
        <v>1379</v>
      </c>
      <c r="AA2492" s="323">
        <v>46</v>
      </c>
      <c r="AB2492" s="323">
        <v>8</v>
      </c>
      <c r="AC2492" s="32" t="s">
        <v>2695</v>
      </c>
      <c r="AD2492" s="32">
        <v>5.9</v>
      </c>
      <c r="AE2492" s="32">
        <v>0.88</v>
      </c>
      <c r="AG2492" s="32" t="s">
        <v>2694</v>
      </c>
      <c r="AH2492" s="32" t="s">
        <v>2697</v>
      </c>
      <c r="AI2492" s="32" t="s">
        <v>4321</v>
      </c>
      <c r="AJ2492" s="32" t="s">
        <v>1645</v>
      </c>
      <c r="AK2492" s="32" t="s">
        <v>132</v>
      </c>
      <c r="AL2492" s="32" t="s">
        <v>177</v>
      </c>
      <c r="AM2492" s="32" t="s">
        <v>177</v>
      </c>
      <c r="AN2492" s="32" t="s">
        <v>177</v>
      </c>
      <c r="AT2492" s="32" t="s">
        <v>2700</v>
      </c>
      <c r="AU2492" s="32" t="s">
        <v>2700</v>
      </c>
      <c r="AV2492" s="32" t="s">
        <v>177</v>
      </c>
      <c r="AW2492" s="32" t="s">
        <v>160</v>
      </c>
      <c r="AX2492" s="32">
        <v>3</v>
      </c>
      <c r="AY2492" s="32">
        <v>3</v>
      </c>
      <c r="AZ2492" s="32" t="s">
        <v>2692</v>
      </c>
      <c r="BB2492" s="32">
        <v>6117</v>
      </c>
      <c r="BK2492" s="32">
        <v>4750</v>
      </c>
      <c r="BL2492" s="32">
        <v>7523</v>
      </c>
      <c r="BP2492" s="397"/>
      <c r="BQ2492" s="397"/>
      <c r="BU2492" s="397"/>
      <c r="BV2492" s="397"/>
      <c r="BZ2492" s="397"/>
      <c r="CA2492" s="397"/>
      <c r="CE2492" s="550"/>
      <c r="CF2492" s="550"/>
      <c r="CG2492" s="550"/>
      <c r="CH2492" s="550"/>
      <c r="JD2492" s="243"/>
    </row>
    <row r="2493" spans="1:264" s="32" customFormat="1" x14ac:dyDescent="0.25">
      <c r="A2493" s="32">
        <v>118</v>
      </c>
      <c r="B2493" s="44" t="s">
        <v>4324</v>
      </c>
      <c r="C2493" s="32" t="s">
        <v>2689</v>
      </c>
      <c r="D2493" s="32" t="s">
        <v>2690</v>
      </c>
      <c r="E2493" s="32">
        <v>1997</v>
      </c>
      <c r="F2493" s="32">
        <v>2006</v>
      </c>
      <c r="G2493" s="32" t="s">
        <v>2696</v>
      </c>
      <c r="H2493" s="32" t="s">
        <v>2693</v>
      </c>
      <c r="I2493" s="24" t="s">
        <v>2827</v>
      </c>
      <c r="J2493" s="32">
        <f t="shared" si="358"/>
        <v>-15.5</v>
      </c>
      <c r="K2493" s="32">
        <f t="shared" si="359"/>
        <v>35.25</v>
      </c>
      <c r="L2493" s="32">
        <v>1030</v>
      </c>
      <c r="O2493" s="32">
        <v>1612</v>
      </c>
      <c r="P2493" s="32">
        <v>1024</v>
      </c>
      <c r="R2493" s="44" t="s">
        <v>1734</v>
      </c>
      <c r="S2493" s="44" t="s">
        <v>1931</v>
      </c>
      <c r="T2493" s="44"/>
      <c r="U2493" s="44" t="s">
        <v>2691</v>
      </c>
      <c r="V2493" s="44" t="s">
        <v>1379</v>
      </c>
      <c r="W2493" s="44" t="s">
        <v>1715</v>
      </c>
      <c r="X2493" s="44" t="s">
        <v>1379</v>
      </c>
      <c r="Y2493" s="44" t="s">
        <v>1379</v>
      </c>
      <c r="AA2493" s="323">
        <v>46</v>
      </c>
      <c r="AB2493" s="323">
        <v>8</v>
      </c>
      <c r="AC2493" s="32" t="s">
        <v>2695</v>
      </c>
      <c r="AD2493" s="32">
        <v>5.9</v>
      </c>
      <c r="AE2493" s="32">
        <v>0.88</v>
      </c>
      <c r="AG2493" s="32" t="s">
        <v>2694</v>
      </c>
      <c r="AH2493" s="32" t="s">
        <v>2697</v>
      </c>
      <c r="AI2493" s="32" t="s">
        <v>4321</v>
      </c>
      <c r="AJ2493" s="32" t="s">
        <v>1645</v>
      </c>
      <c r="AK2493" s="32" t="s">
        <v>132</v>
      </c>
      <c r="AL2493" s="32" t="s">
        <v>177</v>
      </c>
      <c r="AM2493" s="32" t="s">
        <v>177</v>
      </c>
      <c r="AN2493" s="32" t="s">
        <v>177</v>
      </c>
      <c r="AT2493" s="32" t="s">
        <v>2700</v>
      </c>
      <c r="AU2493" s="32" t="s">
        <v>2700</v>
      </c>
      <c r="AV2493" s="32" t="s">
        <v>177</v>
      </c>
      <c r="AW2493" s="32" t="s">
        <v>160</v>
      </c>
      <c r="AX2493" s="32">
        <v>3</v>
      </c>
      <c r="AY2493" s="32">
        <v>3</v>
      </c>
      <c r="AZ2493" s="32" t="s">
        <v>2692</v>
      </c>
      <c r="BB2493" s="32">
        <v>7104.7</v>
      </c>
      <c r="BC2493" s="32">
        <v>24.331164383561642</v>
      </c>
      <c r="BK2493" s="32">
        <v>1931</v>
      </c>
      <c r="BL2493" s="32">
        <v>4469</v>
      </c>
      <c r="BP2493" s="397"/>
      <c r="BQ2493" s="397"/>
      <c r="BU2493" s="397"/>
      <c r="BV2493" s="397"/>
      <c r="BZ2493" s="397"/>
      <c r="CA2493" s="397"/>
      <c r="CE2493" s="550"/>
      <c r="CF2493" s="550"/>
      <c r="CG2493" s="550"/>
      <c r="CH2493" s="550"/>
      <c r="JD2493" s="243"/>
    </row>
    <row r="2494" spans="1:264" s="32" customFormat="1" x14ac:dyDescent="0.25">
      <c r="A2494" s="32">
        <v>118</v>
      </c>
      <c r="B2494" s="44" t="s">
        <v>4324</v>
      </c>
      <c r="C2494" s="32" t="s">
        <v>2689</v>
      </c>
      <c r="D2494" s="32" t="s">
        <v>2690</v>
      </c>
      <c r="E2494" s="32">
        <v>1998</v>
      </c>
      <c r="F2494" s="32">
        <v>2006</v>
      </c>
      <c r="G2494" s="32" t="s">
        <v>2696</v>
      </c>
      <c r="H2494" s="32" t="s">
        <v>2693</v>
      </c>
      <c r="I2494" s="24" t="s">
        <v>2827</v>
      </c>
      <c r="J2494" s="32">
        <f t="shared" si="358"/>
        <v>-15.5</v>
      </c>
      <c r="K2494" s="32">
        <f t="shared" si="359"/>
        <v>35.25</v>
      </c>
      <c r="L2494" s="32">
        <v>1030</v>
      </c>
      <c r="O2494" s="32">
        <v>1015</v>
      </c>
      <c r="P2494" s="32">
        <v>1024</v>
      </c>
      <c r="R2494" s="44" t="s">
        <v>1982</v>
      </c>
      <c r="S2494" s="44" t="s">
        <v>1931</v>
      </c>
      <c r="T2494" s="44"/>
      <c r="U2494" s="44" t="s">
        <v>2691</v>
      </c>
      <c r="V2494" s="44" t="s">
        <v>1379</v>
      </c>
      <c r="W2494" s="44" t="s">
        <v>1715</v>
      </c>
      <c r="X2494" s="44" t="s">
        <v>1379</v>
      </c>
      <c r="Y2494" s="44" t="s">
        <v>1379</v>
      </c>
      <c r="AA2494" s="323">
        <v>46</v>
      </c>
      <c r="AB2494" s="323">
        <v>8</v>
      </c>
      <c r="AC2494" s="32" t="s">
        <v>2695</v>
      </c>
      <c r="AD2494" s="32">
        <v>5.9</v>
      </c>
      <c r="AE2494" s="32">
        <v>0.88</v>
      </c>
      <c r="AG2494" s="32" t="s">
        <v>2694</v>
      </c>
      <c r="AH2494" s="32" t="s">
        <v>2697</v>
      </c>
      <c r="AI2494" s="32" t="s">
        <v>4321</v>
      </c>
      <c r="AJ2494" s="32" t="s">
        <v>1645</v>
      </c>
      <c r="AK2494" s="32" t="s">
        <v>132</v>
      </c>
      <c r="AL2494" s="32" t="s">
        <v>177</v>
      </c>
      <c r="AM2494" s="32" t="s">
        <v>177</v>
      </c>
      <c r="AN2494" s="32" t="s">
        <v>177</v>
      </c>
      <c r="AT2494" s="32" t="s">
        <v>2700</v>
      </c>
      <c r="AU2494" s="32" t="s">
        <v>2700</v>
      </c>
      <c r="AV2494" s="32" t="s">
        <v>177</v>
      </c>
      <c r="AW2494" s="32" t="s">
        <v>160</v>
      </c>
      <c r="AX2494" s="32">
        <v>3</v>
      </c>
      <c r="AY2494" s="32">
        <v>3</v>
      </c>
      <c r="AZ2494" s="32" t="s">
        <v>2692</v>
      </c>
      <c r="BB2494" s="32">
        <v>9014</v>
      </c>
      <c r="BC2494" s="32">
        <v>35.34901960784314</v>
      </c>
      <c r="BK2494" s="32">
        <v>4000</v>
      </c>
      <c r="BL2494" s="32">
        <v>5815</v>
      </c>
      <c r="BP2494" s="397"/>
      <c r="BQ2494" s="397"/>
      <c r="BU2494" s="397"/>
      <c r="BV2494" s="397"/>
      <c r="BZ2494" s="397"/>
      <c r="CA2494" s="397"/>
      <c r="CE2494" s="550"/>
      <c r="CF2494" s="550"/>
      <c r="CG2494" s="550"/>
      <c r="CH2494" s="550"/>
      <c r="JD2494" s="243"/>
    </row>
    <row r="2495" spans="1:264" s="32" customFormat="1" x14ac:dyDescent="0.25">
      <c r="A2495" s="32">
        <v>118</v>
      </c>
      <c r="B2495" s="44" t="s">
        <v>4324</v>
      </c>
      <c r="C2495" s="32" t="s">
        <v>2689</v>
      </c>
      <c r="D2495" s="32" t="s">
        <v>2690</v>
      </c>
      <c r="E2495" s="32">
        <v>1999</v>
      </c>
      <c r="F2495" s="32">
        <v>2006</v>
      </c>
      <c r="G2495" s="32" t="s">
        <v>2696</v>
      </c>
      <c r="H2495" s="32" t="s">
        <v>2693</v>
      </c>
      <c r="I2495" s="24" t="s">
        <v>2827</v>
      </c>
      <c r="J2495" s="32">
        <f t="shared" si="358"/>
        <v>-15.5</v>
      </c>
      <c r="K2495" s="32">
        <f t="shared" si="359"/>
        <v>35.25</v>
      </c>
      <c r="L2495" s="32">
        <v>1030</v>
      </c>
      <c r="O2495" s="32">
        <v>1194</v>
      </c>
      <c r="P2495" s="32">
        <v>1024</v>
      </c>
      <c r="R2495" s="44" t="s">
        <v>1975</v>
      </c>
      <c r="S2495" s="44" t="s">
        <v>1931</v>
      </c>
      <c r="T2495" s="44"/>
      <c r="U2495" s="44" t="s">
        <v>2691</v>
      </c>
      <c r="V2495" s="44" t="s">
        <v>1379</v>
      </c>
      <c r="W2495" s="44" t="s">
        <v>1715</v>
      </c>
      <c r="X2495" s="44" t="s">
        <v>1379</v>
      </c>
      <c r="Y2495" s="44" t="s">
        <v>1379</v>
      </c>
      <c r="AA2495" s="323">
        <v>46</v>
      </c>
      <c r="AB2495" s="323">
        <v>8</v>
      </c>
      <c r="AC2495" s="32" t="s">
        <v>2695</v>
      </c>
      <c r="AD2495" s="32">
        <v>5.9</v>
      </c>
      <c r="AE2495" s="32">
        <v>0.88</v>
      </c>
      <c r="AG2495" s="32" t="s">
        <v>2694</v>
      </c>
      <c r="AH2495" s="32" t="s">
        <v>2697</v>
      </c>
      <c r="AI2495" s="32" t="s">
        <v>4321</v>
      </c>
      <c r="AJ2495" s="32" t="s">
        <v>1645</v>
      </c>
      <c r="AK2495" s="32" t="s">
        <v>132</v>
      </c>
      <c r="AL2495" s="32" t="s">
        <v>177</v>
      </c>
      <c r="AM2495" s="32" t="s">
        <v>177</v>
      </c>
      <c r="AN2495" s="32" t="s">
        <v>177</v>
      </c>
      <c r="AT2495" s="32" t="s">
        <v>2700</v>
      </c>
      <c r="AU2495" s="32" t="s">
        <v>2700</v>
      </c>
      <c r="AV2495" s="32" t="s">
        <v>177</v>
      </c>
      <c r="AW2495" s="32" t="s">
        <v>160</v>
      </c>
      <c r="AX2495" s="32">
        <v>3</v>
      </c>
      <c r="AY2495" s="32">
        <v>3</v>
      </c>
      <c r="AZ2495" s="32" t="s">
        <v>2692</v>
      </c>
      <c r="BB2495" s="32">
        <v>9035</v>
      </c>
      <c r="BK2495" s="32">
        <v>3844</v>
      </c>
      <c r="BL2495" s="32">
        <v>6455</v>
      </c>
      <c r="BP2495" s="397"/>
      <c r="BQ2495" s="397"/>
      <c r="BU2495" s="397"/>
      <c r="BV2495" s="397"/>
      <c r="BZ2495" s="397"/>
      <c r="CA2495" s="397"/>
      <c r="CE2495" s="550"/>
      <c r="CF2495" s="550"/>
      <c r="CG2495" s="550"/>
      <c r="CH2495" s="550"/>
      <c r="JD2495" s="243"/>
    </row>
    <row r="2496" spans="1:264" s="32" customFormat="1" x14ac:dyDescent="0.25">
      <c r="A2496" s="32">
        <v>118</v>
      </c>
      <c r="B2496" s="44" t="s">
        <v>4324</v>
      </c>
      <c r="C2496" s="32" t="s">
        <v>2689</v>
      </c>
      <c r="D2496" s="32" t="s">
        <v>2690</v>
      </c>
      <c r="E2496" s="32">
        <v>2000</v>
      </c>
      <c r="F2496" s="32">
        <v>2006</v>
      </c>
      <c r="G2496" s="32" t="s">
        <v>2696</v>
      </c>
      <c r="H2496" s="32" t="s">
        <v>2693</v>
      </c>
      <c r="I2496" s="24" t="s">
        <v>2827</v>
      </c>
      <c r="J2496" s="32">
        <f t="shared" si="358"/>
        <v>-15.5</v>
      </c>
      <c r="K2496" s="32">
        <f t="shared" si="359"/>
        <v>35.25</v>
      </c>
      <c r="L2496" s="32">
        <v>1030</v>
      </c>
      <c r="O2496" s="32">
        <v>786</v>
      </c>
      <c r="P2496" s="32">
        <v>1024</v>
      </c>
      <c r="R2496" s="44" t="s">
        <v>1719</v>
      </c>
      <c r="S2496" s="44" t="s">
        <v>1931</v>
      </c>
      <c r="T2496" s="44"/>
      <c r="U2496" s="44" t="s">
        <v>2691</v>
      </c>
      <c r="V2496" s="44" t="s">
        <v>1379</v>
      </c>
      <c r="W2496" s="44" t="s">
        <v>1715</v>
      </c>
      <c r="X2496" s="44" t="s">
        <v>1379</v>
      </c>
      <c r="Y2496" s="44" t="s">
        <v>1379</v>
      </c>
      <c r="AA2496" s="323">
        <v>46</v>
      </c>
      <c r="AB2496" s="323">
        <v>8</v>
      </c>
      <c r="AC2496" s="32" t="s">
        <v>2695</v>
      </c>
      <c r="AD2496" s="32">
        <v>5.9</v>
      </c>
      <c r="AE2496" s="32">
        <v>0.88</v>
      </c>
      <c r="AG2496" s="32" t="s">
        <v>2694</v>
      </c>
      <c r="AH2496" s="32" t="s">
        <v>2697</v>
      </c>
      <c r="AI2496" s="32" t="s">
        <v>4321</v>
      </c>
      <c r="AJ2496" s="32" t="s">
        <v>1645</v>
      </c>
      <c r="AK2496" s="32" t="s">
        <v>132</v>
      </c>
      <c r="AL2496" s="32" t="s">
        <v>177</v>
      </c>
      <c r="AM2496" s="32" t="s">
        <v>177</v>
      </c>
      <c r="AN2496" s="32" t="s">
        <v>177</v>
      </c>
      <c r="AT2496" s="32" t="s">
        <v>2700</v>
      </c>
      <c r="AU2496" s="32" t="s">
        <v>2700</v>
      </c>
      <c r="AV2496" s="32" t="s">
        <v>177</v>
      </c>
      <c r="AW2496" s="32" t="s">
        <v>160</v>
      </c>
      <c r="AX2496" s="32">
        <v>3</v>
      </c>
      <c r="AY2496" s="32">
        <v>3</v>
      </c>
      <c r="AZ2496" s="32" t="s">
        <v>2692</v>
      </c>
      <c r="BB2496" s="32">
        <v>7592</v>
      </c>
      <c r="BK2496" s="32">
        <v>2076</v>
      </c>
      <c r="BL2496" s="32">
        <v>3519</v>
      </c>
      <c r="BP2496" s="397"/>
      <c r="BQ2496" s="397"/>
      <c r="BU2496" s="397"/>
      <c r="BV2496" s="397"/>
      <c r="BZ2496" s="397"/>
      <c r="CA2496" s="397"/>
      <c r="CE2496" s="550"/>
      <c r="CF2496" s="550"/>
      <c r="CG2496" s="550"/>
      <c r="CH2496" s="550"/>
      <c r="JD2496" s="243"/>
    </row>
    <row r="2497" spans="1:264" s="32" customFormat="1" x14ac:dyDescent="0.25">
      <c r="A2497" s="32">
        <v>118</v>
      </c>
      <c r="B2497" s="44" t="s">
        <v>4324</v>
      </c>
      <c r="C2497" s="32" t="s">
        <v>2689</v>
      </c>
      <c r="D2497" s="32" t="s">
        <v>2690</v>
      </c>
      <c r="E2497" s="32">
        <v>2001</v>
      </c>
      <c r="F2497" s="32">
        <v>2006</v>
      </c>
      <c r="G2497" s="32" t="s">
        <v>2696</v>
      </c>
      <c r="H2497" s="32" t="s">
        <v>2693</v>
      </c>
      <c r="I2497" s="24" t="s">
        <v>2827</v>
      </c>
      <c r="J2497" s="32">
        <f t="shared" si="358"/>
        <v>-15.5</v>
      </c>
      <c r="K2497" s="32">
        <f t="shared" si="359"/>
        <v>35.25</v>
      </c>
      <c r="L2497" s="32">
        <v>1030</v>
      </c>
      <c r="O2497" s="32">
        <v>1225</v>
      </c>
      <c r="P2497" s="32">
        <v>1024</v>
      </c>
      <c r="R2497" s="44" t="s">
        <v>1860</v>
      </c>
      <c r="S2497" s="44" t="s">
        <v>1931</v>
      </c>
      <c r="T2497" s="44"/>
      <c r="U2497" s="44" t="s">
        <v>2691</v>
      </c>
      <c r="V2497" s="44" t="s">
        <v>1379</v>
      </c>
      <c r="W2497" s="44" t="s">
        <v>1715</v>
      </c>
      <c r="X2497" s="44" t="s">
        <v>1379</v>
      </c>
      <c r="Y2497" s="44" t="s">
        <v>1379</v>
      </c>
      <c r="AA2497" s="323">
        <v>46</v>
      </c>
      <c r="AB2497" s="323">
        <v>8</v>
      </c>
      <c r="AC2497" s="32" t="s">
        <v>2695</v>
      </c>
      <c r="AD2497" s="32">
        <v>5.9</v>
      </c>
      <c r="AE2497" s="32">
        <v>0.88</v>
      </c>
      <c r="AG2497" s="32" t="s">
        <v>2694</v>
      </c>
      <c r="AH2497" s="32" t="s">
        <v>2697</v>
      </c>
      <c r="AI2497" s="32" t="s">
        <v>4321</v>
      </c>
      <c r="AJ2497" s="32" t="s">
        <v>1645</v>
      </c>
      <c r="AK2497" s="32" t="s">
        <v>132</v>
      </c>
      <c r="AL2497" s="32" t="s">
        <v>177</v>
      </c>
      <c r="AM2497" s="32" t="s">
        <v>177</v>
      </c>
      <c r="AN2497" s="32" t="s">
        <v>177</v>
      </c>
      <c r="AT2497" s="32" t="s">
        <v>2700</v>
      </c>
      <c r="AU2497" s="32" t="s">
        <v>2700</v>
      </c>
      <c r="AV2497" s="32" t="s">
        <v>177</v>
      </c>
      <c r="AW2497" s="32" t="s">
        <v>160</v>
      </c>
      <c r="AX2497" s="32">
        <v>3</v>
      </c>
      <c r="AY2497" s="32">
        <v>3</v>
      </c>
      <c r="AZ2497" s="32" t="s">
        <v>2692</v>
      </c>
      <c r="BB2497" s="32">
        <v>10094</v>
      </c>
      <c r="BK2497" s="32">
        <v>3018</v>
      </c>
      <c r="BL2497" s="32">
        <v>6344</v>
      </c>
      <c r="BP2497" s="397"/>
      <c r="BQ2497" s="397"/>
      <c r="BU2497" s="397"/>
      <c r="BV2497" s="397"/>
      <c r="BZ2497" s="397"/>
      <c r="CA2497" s="397"/>
      <c r="CE2497" s="550"/>
      <c r="CF2497" s="550"/>
      <c r="CG2497" s="550"/>
      <c r="CH2497" s="550"/>
      <c r="JD2497" s="243"/>
    </row>
    <row r="2498" spans="1:264" s="32" customFormat="1" x14ac:dyDescent="0.25">
      <c r="A2498" s="32">
        <v>118</v>
      </c>
      <c r="B2498" s="44" t="s">
        <v>4324</v>
      </c>
      <c r="C2498" s="32" t="s">
        <v>2689</v>
      </c>
      <c r="D2498" s="32" t="s">
        <v>2690</v>
      </c>
      <c r="E2498" s="32">
        <v>2002</v>
      </c>
      <c r="F2498" s="32">
        <v>2006</v>
      </c>
      <c r="G2498" s="32" t="s">
        <v>2696</v>
      </c>
      <c r="H2498" s="32" t="s">
        <v>2693</v>
      </c>
      <c r="I2498" s="24" t="s">
        <v>2827</v>
      </c>
      <c r="J2498" s="32">
        <f t="shared" ref="J2498:J2516" si="360">-15.5</f>
        <v>-15.5</v>
      </c>
      <c r="K2498" s="32">
        <f t="shared" ref="K2498:K2516" si="361">35+15/60</f>
        <v>35.25</v>
      </c>
      <c r="L2498" s="32">
        <v>1030</v>
      </c>
      <c r="O2498" s="32">
        <v>820</v>
      </c>
      <c r="P2498" s="32">
        <v>1024</v>
      </c>
      <c r="R2498" s="44" t="s">
        <v>1931</v>
      </c>
      <c r="S2498" s="44" t="s">
        <v>1931</v>
      </c>
      <c r="T2498" s="44"/>
      <c r="U2498" s="44" t="s">
        <v>2691</v>
      </c>
      <c r="V2498" s="44" t="s">
        <v>1379</v>
      </c>
      <c r="W2498" s="44" t="s">
        <v>1715</v>
      </c>
      <c r="X2498" s="44" t="s">
        <v>1379</v>
      </c>
      <c r="Y2498" s="44" t="s">
        <v>1379</v>
      </c>
      <c r="AA2498" s="323">
        <v>46</v>
      </c>
      <c r="AB2498" s="323">
        <v>8</v>
      </c>
      <c r="AC2498" s="32" t="s">
        <v>2695</v>
      </c>
      <c r="AD2498" s="32">
        <v>5.9</v>
      </c>
      <c r="AE2498" s="32">
        <v>0.88</v>
      </c>
      <c r="AG2498" s="32" t="s">
        <v>2694</v>
      </c>
      <c r="AH2498" s="32" t="s">
        <v>2697</v>
      </c>
      <c r="AI2498" s="32" t="s">
        <v>4321</v>
      </c>
      <c r="AJ2498" s="32" t="s">
        <v>1645</v>
      </c>
      <c r="AK2498" s="32" t="s">
        <v>132</v>
      </c>
      <c r="AL2498" s="32" t="s">
        <v>177</v>
      </c>
      <c r="AM2498" s="32" t="s">
        <v>177</v>
      </c>
      <c r="AN2498" s="32" t="s">
        <v>177</v>
      </c>
      <c r="AT2498" s="32" t="s">
        <v>2700</v>
      </c>
      <c r="AU2498" s="32" t="s">
        <v>2700</v>
      </c>
      <c r="AV2498" s="32" t="s">
        <v>177</v>
      </c>
      <c r="AW2498" s="32" t="s">
        <v>160</v>
      </c>
      <c r="AX2498" s="32">
        <v>3</v>
      </c>
      <c r="AY2498" s="32">
        <v>3</v>
      </c>
      <c r="AZ2498" s="32" t="s">
        <v>2692</v>
      </c>
      <c r="BB2498" s="32">
        <v>8882</v>
      </c>
      <c r="BK2498" s="32">
        <v>3620</v>
      </c>
      <c r="BL2498" s="32">
        <v>5120</v>
      </c>
      <c r="BP2498" s="397"/>
      <c r="BQ2498" s="397"/>
      <c r="BU2498" s="397"/>
      <c r="BV2498" s="397"/>
      <c r="BZ2498" s="397"/>
      <c r="CA2498" s="397"/>
      <c r="CE2498" s="550"/>
      <c r="CF2498" s="550"/>
      <c r="CG2498" s="550"/>
      <c r="CH2498" s="550"/>
      <c r="JD2498" s="243"/>
    </row>
    <row r="2499" spans="1:264" s="136" customFormat="1" x14ac:dyDescent="0.25">
      <c r="A2499" s="136">
        <v>118</v>
      </c>
      <c r="B2499" s="137" t="s">
        <v>4325</v>
      </c>
      <c r="C2499" s="136" t="s">
        <v>2689</v>
      </c>
      <c r="D2499" s="136" t="s">
        <v>2690</v>
      </c>
      <c r="E2499" s="136">
        <v>1998</v>
      </c>
      <c r="F2499" s="136">
        <v>2006</v>
      </c>
      <c r="G2499" s="136" t="s">
        <v>2696</v>
      </c>
      <c r="H2499" s="136" t="s">
        <v>2693</v>
      </c>
      <c r="I2499" s="24" t="s">
        <v>2827</v>
      </c>
      <c r="J2499" s="136">
        <f t="shared" si="360"/>
        <v>-15.5</v>
      </c>
      <c r="K2499" s="136">
        <f t="shared" si="361"/>
        <v>35.25</v>
      </c>
      <c r="L2499" s="136">
        <v>1030</v>
      </c>
      <c r="O2499" s="136">
        <v>1015</v>
      </c>
      <c r="P2499" s="136">
        <v>1024</v>
      </c>
      <c r="R2499" s="137" t="s">
        <v>1982</v>
      </c>
      <c r="S2499" s="137" t="s">
        <v>1931</v>
      </c>
      <c r="T2499" s="137"/>
      <c r="U2499" s="137" t="s">
        <v>2691</v>
      </c>
      <c r="V2499" s="137" t="s">
        <v>1379</v>
      </c>
      <c r="W2499" s="137" t="s">
        <v>1715</v>
      </c>
      <c r="X2499" s="137" t="s">
        <v>1379</v>
      </c>
      <c r="Y2499" s="137" t="s">
        <v>1379</v>
      </c>
      <c r="AA2499" s="357">
        <v>46</v>
      </c>
      <c r="AB2499" s="357">
        <v>8</v>
      </c>
      <c r="AC2499" s="136" t="s">
        <v>2695</v>
      </c>
      <c r="AD2499" s="136">
        <v>5.9</v>
      </c>
      <c r="AE2499" s="136">
        <v>0.88</v>
      </c>
      <c r="AG2499" s="136" t="s">
        <v>2694</v>
      </c>
      <c r="AH2499" s="136" t="s">
        <v>2697</v>
      </c>
      <c r="AI2499" s="136" t="s">
        <v>4321</v>
      </c>
      <c r="AJ2499" s="136" t="s">
        <v>1645</v>
      </c>
      <c r="AK2499" s="136" t="s">
        <v>132</v>
      </c>
      <c r="AL2499" s="136" t="s">
        <v>177</v>
      </c>
      <c r="AM2499" s="136" t="s">
        <v>177</v>
      </c>
      <c r="AN2499" s="136" t="s">
        <v>177</v>
      </c>
      <c r="AT2499" s="136" t="s">
        <v>2702</v>
      </c>
      <c r="AU2499" s="136" t="s">
        <v>2702</v>
      </c>
      <c r="AV2499" s="136" t="s">
        <v>177</v>
      </c>
      <c r="AW2499" s="136" t="s">
        <v>160</v>
      </c>
      <c r="AX2499" s="136">
        <v>3</v>
      </c>
      <c r="AY2499" s="136">
        <v>3</v>
      </c>
      <c r="AZ2499" s="136" t="s">
        <v>2692</v>
      </c>
      <c r="BK2499" s="136">
        <v>700</v>
      </c>
      <c r="BL2499" s="136">
        <v>3779</v>
      </c>
      <c r="BP2499" s="432"/>
      <c r="BQ2499" s="432"/>
      <c r="BU2499" s="432"/>
      <c r="BV2499" s="432"/>
      <c r="BZ2499" s="432"/>
      <c r="CA2499" s="432"/>
      <c r="CE2499" s="585"/>
      <c r="CF2499" s="585"/>
      <c r="CG2499" s="585"/>
      <c r="CH2499" s="585"/>
      <c r="JD2499" s="500"/>
    </row>
    <row r="2500" spans="1:264" s="136" customFormat="1" x14ac:dyDescent="0.25">
      <c r="A2500" s="136">
        <v>118</v>
      </c>
      <c r="B2500" s="137" t="s">
        <v>4325</v>
      </c>
      <c r="C2500" s="136" t="s">
        <v>2689</v>
      </c>
      <c r="D2500" s="136" t="s">
        <v>2690</v>
      </c>
      <c r="E2500" s="136">
        <v>1998</v>
      </c>
      <c r="F2500" s="136">
        <v>2006</v>
      </c>
      <c r="G2500" s="136" t="s">
        <v>2696</v>
      </c>
      <c r="H2500" s="136" t="s">
        <v>2693</v>
      </c>
      <c r="I2500" s="24" t="s">
        <v>2827</v>
      </c>
      <c r="J2500" s="136">
        <f t="shared" si="360"/>
        <v>-15.5</v>
      </c>
      <c r="K2500" s="136">
        <f t="shared" si="361"/>
        <v>35.25</v>
      </c>
      <c r="L2500" s="136">
        <v>1030</v>
      </c>
      <c r="O2500" s="136">
        <v>1015</v>
      </c>
      <c r="P2500" s="136">
        <v>1024</v>
      </c>
      <c r="R2500" s="137" t="s">
        <v>1982</v>
      </c>
      <c r="S2500" s="137" t="s">
        <v>1931</v>
      </c>
      <c r="T2500" s="137"/>
      <c r="U2500" s="137" t="s">
        <v>2691</v>
      </c>
      <c r="V2500" s="137" t="s">
        <v>1379</v>
      </c>
      <c r="W2500" s="137" t="s">
        <v>1715</v>
      </c>
      <c r="X2500" s="137" t="s">
        <v>1379</v>
      </c>
      <c r="Y2500" s="137" t="s">
        <v>1379</v>
      </c>
      <c r="AA2500" s="357">
        <v>46</v>
      </c>
      <c r="AB2500" s="357">
        <v>8</v>
      </c>
      <c r="AC2500" s="136" t="s">
        <v>2695</v>
      </c>
      <c r="AD2500" s="136">
        <v>5.9</v>
      </c>
      <c r="AE2500" s="136">
        <v>0.88</v>
      </c>
      <c r="AG2500" s="136" t="s">
        <v>2694</v>
      </c>
      <c r="AH2500" s="136" t="s">
        <v>2697</v>
      </c>
      <c r="AI2500" s="136" t="s">
        <v>4321</v>
      </c>
      <c r="AJ2500" s="136" t="s">
        <v>1645</v>
      </c>
      <c r="AK2500" s="136" t="s">
        <v>132</v>
      </c>
      <c r="AL2500" s="136" t="s">
        <v>177</v>
      </c>
      <c r="AM2500" s="136" t="s">
        <v>177</v>
      </c>
      <c r="AN2500" s="136" t="s">
        <v>177</v>
      </c>
      <c r="AT2500" s="136" t="s">
        <v>2703</v>
      </c>
      <c r="AU2500" s="136" t="s">
        <v>2703</v>
      </c>
      <c r="AV2500" s="136" t="s">
        <v>177</v>
      </c>
      <c r="AW2500" s="136" t="s">
        <v>160</v>
      </c>
      <c r="AX2500" s="136">
        <v>3</v>
      </c>
      <c r="AY2500" s="136">
        <v>3</v>
      </c>
      <c r="AZ2500" s="136" t="s">
        <v>2692</v>
      </c>
      <c r="BK2500" s="136">
        <v>1101</v>
      </c>
      <c r="BL2500" s="136">
        <v>3794</v>
      </c>
      <c r="BP2500" s="432"/>
      <c r="BQ2500" s="432"/>
      <c r="BU2500" s="432"/>
      <c r="BV2500" s="432"/>
      <c r="BZ2500" s="432"/>
      <c r="CA2500" s="432"/>
      <c r="CE2500" s="585"/>
      <c r="CF2500" s="585"/>
      <c r="CG2500" s="585"/>
      <c r="CH2500" s="585"/>
      <c r="JD2500" s="500"/>
    </row>
    <row r="2501" spans="1:264" s="136" customFormat="1" x14ac:dyDescent="0.25">
      <c r="A2501" s="136">
        <v>118</v>
      </c>
      <c r="B2501" s="137" t="s">
        <v>4325</v>
      </c>
      <c r="C2501" s="136" t="s">
        <v>2689</v>
      </c>
      <c r="D2501" s="136" t="s">
        <v>2690</v>
      </c>
      <c r="E2501" s="136">
        <v>1998</v>
      </c>
      <c r="F2501" s="136">
        <v>2006</v>
      </c>
      <c r="G2501" s="136" t="s">
        <v>2696</v>
      </c>
      <c r="H2501" s="136" t="s">
        <v>2693</v>
      </c>
      <c r="I2501" s="24" t="s">
        <v>2827</v>
      </c>
      <c r="J2501" s="136">
        <f t="shared" si="360"/>
        <v>-15.5</v>
      </c>
      <c r="K2501" s="136">
        <f t="shared" si="361"/>
        <v>35.25</v>
      </c>
      <c r="L2501" s="136">
        <v>1030</v>
      </c>
      <c r="O2501" s="136">
        <v>1015</v>
      </c>
      <c r="P2501" s="136">
        <v>1024</v>
      </c>
      <c r="R2501" s="137" t="s">
        <v>1982</v>
      </c>
      <c r="S2501" s="137" t="s">
        <v>1931</v>
      </c>
      <c r="T2501" s="137"/>
      <c r="U2501" s="137" t="s">
        <v>2691</v>
      </c>
      <c r="V2501" s="137" t="s">
        <v>1379</v>
      </c>
      <c r="W2501" s="137" t="s">
        <v>1715</v>
      </c>
      <c r="X2501" s="137" t="s">
        <v>1379</v>
      </c>
      <c r="Y2501" s="137" t="s">
        <v>1379</v>
      </c>
      <c r="AA2501" s="357">
        <v>46</v>
      </c>
      <c r="AB2501" s="357">
        <v>8</v>
      </c>
      <c r="AC2501" s="136" t="s">
        <v>2695</v>
      </c>
      <c r="AD2501" s="136">
        <v>5.9</v>
      </c>
      <c r="AE2501" s="136">
        <v>0.88</v>
      </c>
      <c r="AG2501" s="136" t="s">
        <v>2694</v>
      </c>
      <c r="AH2501" s="136" t="s">
        <v>2697</v>
      </c>
      <c r="AI2501" s="136" t="s">
        <v>4321</v>
      </c>
      <c r="AJ2501" s="136" t="s">
        <v>1645</v>
      </c>
      <c r="AK2501" s="136" t="s">
        <v>132</v>
      </c>
      <c r="AL2501" s="136" t="s">
        <v>177</v>
      </c>
      <c r="AM2501" s="136" t="s">
        <v>177</v>
      </c>
      <c r="AN2501" s="136" t="s">
        <v>177</v>
      </c>
      <c r="AT2501" s="136" t="s">
        <v>2704</v>
      </c>
      <c r="AU2501" s="136" t="s">
        <v>2704</v>
      </c>
      <c r="AV2501" s="136" t="s">
        <v>177</v>
      </c>
      <c r="AW2501" s="136" t="s">
        <v>160</v>
      </c>
      <c r="AX2501" s="136">
        <v>3</v>
      </c>
      <c r="AY2501" s="136">
        <v>3</v>
      </c>
      <c r="AZ2501" s="136" t="s">
        <v>2692</v>
      </c>
      <c r="BK2501" s="136">
        <v>937</v>
      </c>
      <c r="BL2501" s="136">
        <v>3591</v>
      </c>
      <c r="BP2501" s="432"/>
      <c r="BQ2501" s="432"/>
      <c r="BU2501" s="432"/>
      <c r="BV2501" s="432"/>
      <c r="BZ2501" s="432"/>
      <c r="CA2501" s="432"/>
      <c r="CE2501" s="585"/>
      <c r="CF2501" s="585"/>
      <c r="CG2501" s="585"/>
      <c r="CH2501" s="585"/>
      <c r="JD2501" s="500"/>
    </row>
    <row r="2502" spans="1:264" s="136" customFormat="1" x14ac:dyDescent="0.25">
      <c r="A2502" s="136">
        <v>118</v>
      </c>
      <c r="B2502" s="137" t="s">
        <v>4326</v>
      </c>
      <c r="C2502" s="136" t="s">
        <v>2689</v>
      </c>
      <c r="D2502" s="136" t="s">
        <v>2690</v>
      </c>
      <c r="E2502" s="136">
        <v>1998</v>
      </c>
      <c r="F2502" s="136">
        <v>2006</v>
      </c>
      <c r="G2502" s="136" t="s">
        <v>2696</v>
      </c>
      <c r="H2502" s="136" t="s">
        <v>2693</v>
      </c>
      <c r="I2502" s="24" t="s">
        <v>2827</v>
      </c>
      <c r="J2502" s="136">
        <f t="shared" si="360"/>
        <v>-15.5</v>
      </c>
      <c r="K2502" s="136">
        <f t="shared" si="361"/>
        <v>35.25</v>
      </c>
      <c r="L2502" s="136">
        <v>1030</v>
      </c>
      <c r="O2502" s="136">
        <v>1015</v>
      </c>
      <c r="P2502" s="136">
        <v>1024</v>
      </c>
      <c r="R2502" s="137" t="s">
        <v>1982</v>
      </c>
      <c r="S2502" s="137" t="s">
        <v>1931</v>
      </c>
      <c r="T2502" s="137"/>
      <c r="U2502" s="137" t="s">
        <v>2691</v>
      </c>
      <c r="V2502" s="137" t="s">
        <v>1379</v>
      </c>
      <c r="W2502" s="137" t="s">
        <v>1715</v>
      </c>
      <c r="X2502" s="137" t="s">
        <v>1379</v>
      </c>
      <c r="Y2502" s="137" t="s">
        <v>1379</v>
      </c>
      <c r="AA2502" s="357">
        <v>46</v>
      </c>
      <c r="AB2502" s="357">
        <v>8</v>
      </c>
      <c r="AC2502" s="136" t="s">
        <v>2695</v>
      </c>
      <c r="AD2502" s="136">
        <v>5.9</v>
      </c>
      <c r="AE2502" s="136">
        <v>0.88</v>
      </c>
      <c r="AG2502" s="136" t="s">
        <v>2694</v>
      </c>
      <c r="AH2502" s="136" t="s">
        <v>2697</v>
      </c>
      <c r="AI2502" s="136" t="s">
        <v>4321</v>
      </c>
      <c r="AJ2502" s="136" t="s">
        <v>1645</v>
      </c>
      <c r="AK2502" s="136" t="s">
        <v>132</v>
      </c>
      <c r="AL2502" s="136" t="s">
        <v>177</v>
      </c>
      <c r="AM2502" s="136" t="s">
        <v>177</v>
      </c>
      <c r="AN2502" s="136" t="s">
        <v>177</v>
      </c>
      <c r="AT2502" s="136" t="s">
        <v>2705</v>
      </c>
      <c r="AU2502" s="136" t="s">
        <v>2705</v>
      </c>
      <c r="AV2502" s="136" t="s">
        <v>177</v>
      </c>
      <c r="AW2502" s="136" t="s">
        <v>160</v>
      </c>
      <c r="AX2502" s="136">
        <v>3</v>
      </c>
      <c r="AY2502" s="136">
        <v>3</v>
      </c>
      <c r="AZ2502" s="136" t="s">
        <v>2692</v>
      </c>
      <c r="BK2502" s="136">
        <v>1487</v>
      </c>
      <c r="BL2502" s="136">
        <v>4892</v>
      </c>
      <c r="BP2502" s="432"/>
      <c r="BQ2502" s="432"/>
      <c r="BU2502" s="432"/>
      <c r="BV2502" s="432"/>
      <c r="BZ2502" s="432"/>
      <c r="CA2502" s="432"/>
      <c r="CE2502" s="585"/>
      <c r="CF2502" s="585"/>
      <c r="CG2502" s="585"/>
      <c r="CH2502" s="585"/>
      <c r="JD2502" s="500"/>
    </row>
    <row r="2503" spans="1:264" s="136" customFormat="1" x14ac:dyDescent="0.25">
      <c r="A2503" s="136">
        <v>118</v>
      </c>
      <c r="B2503" s="137" t="s">
        <v>4326</v>
      </c>
      <c r="C2503" s="136" t="s">
        <v>2689</v>
      </c>
      <c r="D2503" s="136" t="s">
        <v>2690</v>
      </c>
      <c r="E2503" s="136">
        <v>1998</v>
      </c>
      <c r="F2503" s="136">
        <v>2006</v>
      </c>
      <c r="G2503" s="136" t="s">
        <v>2696</v>
      </c>
      <c r="H2503" s="136" t="s">
        <v>2693</v>
      </c>
      <c r="I2503" s="24" t="s">
        <v>2827</v>
      </c>
      <c r="J2503" s="136">
        <f t="shared" si="360"/>
        <v>-15.5</v>
      </c>
      <c r="K2503" s="136">
        <f t="shared" si="361"/>
        <v>35.25</v>
      </c>
      <c r="L2503" s="136">
        <v>1030</v>
      </c>
      <c r="O2503" s="136">
        <v>1015</v>
      </c>
      <c r="P2503" s="136">
        <v>1024</v>
      </c>
      <c r="R2503" s="137" t="s">
        <v>1982</v>
      </c>
      <c r="S2503" s="137" t="s">
        <v>1931</v>
      </c>
      <c r="T2503" s="137"/>
      <c r="U2503" s="137" t="s">
        <v>2691</v>
      </c>
      <c r="V2503" s="137" t="s">
        <v>1379</v>
      </c>
      <c r="W2503" s="137" t="s">
        <v>1715</v>
      </c>
      <c r="X2503" s="137" t="s">
        <v>1379</v>
      </c>
      <c r="Y2503" s="137" t="s">
        <v>1379</v>
      </c>
      <c r="AA2503" s="357">
        <v>46</v>
      </c>
      <c r="AB2503" s="357">
        <v>8</v>
      </c>
      <c r="AC2503" s="136" t="s">
        <v>2695</v>
      </c>
      <c r="AD2503" s="136">
        <v>5.9</v>
      </c>
      <c r="AE2503" s="136">
        <v>0.88</v>
      </c>
      <c r="AG2503" s="136" t="s">
        <v>2694</v>
      </c>
      <c r="AH2503" s="136" t="s">
        <v>2697</v>
      </c>
      <c r="AI2503" s="136" t="s">
        <v>4321</v>
      </c>
      <c r="AJ2503" s="136" t="s">
        <v>1645</v>
      </c>
      <c r="AK2503" s="136" t="s">
        <v>132</v>
      </c>
      <c r="AL2503" s="136" t="s">
        <v>177</v>
      </c>
      <c r="AM2503" s="136" t="s">
        <v>177</v>
      </c>
      <c r="AN2503" s="136" t="s">
        <v>177</v>
      </c>
      <c r="AT2503" s="136" t="s">
        <v>2707</v>
      </c>
      <c r="AU2503" s="136" t="s">
        <v>2707</v>
      </c>
      <c r="AV2503" s="136" t="s">
        <v>177</v>
      </c>
      <c r="AW2503" s="136" t="s">
        <v>160</v>
      </c>
      <c r="AX2503" s="136">
        <v>3</v>
      </c>
      <c r="AY2503" s="136">
        <v>3</v>
      </c>
      <c r="AZ2503" s="136" t="s">
        <v>2692</v>
      </c>
      <c r="BK2503" s="136">
        <v>2035</v>
      </c>
      <c r="BL2503" s="136">
        <v>3605</v>
      </c>
      <c r="BP2503" s="432"/>
      <c r="BQ2503" s="432"/>
      <c r="BU2503" s="432"/>
      <c r="BV2503" s="432"/>
      <c r="BZ2503" s="432"/>
      <c r="CA2503" s="432"/>
      <c r="CE2503" s="585"/>
      <c r="CF2503" s="585"/>
      <c r="CG2503" s="585"/>
      <c r="CH2503" s="585"/>
      <c r="JD2503" s="500"/>
    </row>
    <row r="2504" spans="1:264" s="136" customFormat="1" x14ac:dyDescent="0.25">
      <c r="A2504" s="136">
        <v>118</v>
      </c>
      <c r="B2504" s="137" t="s">
        <v>4326</v>
      </c>
      <c r="C2504" s="136" t="s">
        <v>2689</v>
      </c>
      <c r="D2504" s="136" t="s">
        <v>2690</v>
      </c>
      <c r="E2504" s="136">
        <v>1998</v>
      </c>
      <c r="F2504" s="136">
        <v>2006</v>
      </c>
      <c r="G2504" s="136" t="s">
        <v>2696</v>
      </c>
      <c r="H2504" s="136" t="s">
        <v>2693</v>
      </c>
      <c r="I2504" s="24" t="s">
        <v>2827</v>
      </c>
      <c r="J2504" s="136">
        <f t="shared" si="360"/>
        <v>-15.5</v>
      </c>
      <c r="K2504" s="136">
        <f t="shared" si="361"/>
        <v>35.25</v>
      </c>
      <c r="L2504" s="136">
        <v>1030</v>
      </c>
      <c r="O2504" s="136">
        <v>1015</v>
      </c>
      <c r="P2504" s="136">
        <v>1024</v>
      </c>
      <c r="R2504" s="137" t="s">
        <v>1982</v>
      </c>
      <c r="S2504" s="137" t="s">
        <v>1931</v>
      </c>
      <c r="T2504" s="137"/>
      <c r="U2504" s="137" t="s">
        <v>2691</v>
      </c>
      <c r="V2504" s="137" t="s">
        <v>1379</v>
      </c>
      <c r="W2504" s="137" t="s">
        <v>1715</v>
      </c>
      <c r="X2504" s="137" t="s">
        <v>1379</v>
      </c>
      <c r="Y2504" s="137" t="s">
        <v>1379</v>
      </c>
      <c r="AA2504" s="357">
        <v>46</v>
      </c>
      <c r="AB2504" s="357">
        <v>8</v>
      </c>
      <c r="AC2504" s="136" t="s">
        <v>2695</v>
      </c>
      <c r="AD2504" s="136">
        <v>5.9</v>
      </c>
      <c r="AE2504" s="136">
        <v>0.88</v>
      </c>
      <c r="AG2504" s="136" t="s">
        <v>2694</v>
      </c>
      <c r="AH2504" s="136" t="s">
        <v>2697</v>
      </c>
      <c r="AI2504" s="136" t="s">
        <v>4321</v>
      </c>
      <c r="AJ2504" s="136" t="s">
        <v>1645</v>
      </c>
      <c r="AK2504" s="136" t="s">
        <v>132</v>
      </c>
      <c r="AL2504" s="136" t="s">
        <v>177</v>
      </c>
      <c r="AM2504" s="136" t="s">
        <v>177</v>
      </c>
      <c r="AN2504" s="136" t="s">
        <v>177</v>
      </c>
      <c r="AT2504" s="136" t="s">
        <v>2708</v>
      </c>
      <c r="AU2504" s="136" t="s">
        <v>2708</v>
      </c>
      <c r="AV2504" s="136" t="s">
        <v>177</v>
      </c>
      <c r="AW2504" s="136" t="s">
        <v>160</v>
      </c>
      <c r="AX2504" s="136">
        <v>3</v>
      </c>
      <c r="AY2504" s="136">
        <v>3</v>
      </c>
      <c r="AZ2504" s="136" t="s">
        <v>2692</v>
      </c>
      <c r="BK2504" s="136">
        <v>2359</v>
      </c>
      <c r="BL2504" s="136">
        <v>3285</v>
      </c>
      <c r="BP2504" s="432"/>
      <c r="BQ2504" s="432"/>
      <c r="BU2504" s="432"/>
      <c r="BV2504" s="432"/>
      <c r="BZ2504" s="432"/>
      <c r="CA2504" s="432"/>
      <c r="CE2504" s="585"/>
      <c r="CF2504" s="585"/>
      <c r="CG2504" s="585"/>
      <c r="CH2504" s="585"/>
      <c r="JD2504" s="500"/>
    </row>
    <row r="2505" spans="1:264" s="136" customFormat="1" x14ac:dyDescent="0.25">
      <c r="A2505" s="136">
        <v>118</v>
      </c>
      <c r="B2505" s="137" t="s">
        <v>4327</v>
      </c>
      <c r="C2505" s="136" t="s">
        <v>2689</v>
      </c>
      <c r="D2505" s="136" t="s">
        <v>2690</v>
      </c>
      <c r="E2505" s="136">
        <v>1998</v>
      </c>
      <c r="F2505" s="136">
        <v>2006</v>
      </c>
      <c r="G2505" s="136" t="s">
        <v>2696</v>
      </c>
      <c r="H2505" s="136" t="s">
        <v>2693</v>
      </c>
      <c r="I2505" s="24" t="s">
        <v>2827</v>
      </c>
      <c r="J2505" s="136">
        <f t="shared" si="360"/>
        <v>-15.5</v>
      </c>
      <c r="K2505" s="136">
        <f t="shared" si="361"/>
        <v>35.25</v>
      </c>
      <c r="L2505" s="136">
        <v>1030</v>
      </c>
      <c r="O2505" s="136">
        <v>1015</v>
      </c>
      <c r="P2505" s="136">
        <v>1024</v>
      </c>
      <c r="R2505" s="137" t="s">
        <v>1982</v>
      </c>
      <c r="S2505" s="137" t="s">
        <v>1931</v>
      </c>
      <c r="T2505" s="137"/>
      <c r="U2505" s="137" t="s">
        <v>2691</v>
      </c>
      <c r="V2505" s="137" t="s">
        <v>1379</v>
      </c>
      <c r="W2505" s="137" t="s">
        <v>1715</v>
      </c>
      <c r="X2505" s="137" t="s">
        <v>1379</v>
      </c>
      <c r="Y2505" s="137" t="s">
        <v>1379</v>
      </c>
      <c r="AA2505" s="357">
        <v>46</v>
      </c>
      <c r="AB2505" s="357">
        <v>8</v>
      </c>
      <c r="AC2505" s="136" t="s">
        <v>2695</v>
      </c>
      <c r="AD2505" s="136">
        <v>5.9</v>
      </c>
      <c r="AE2505" s="136">
        <v>0.88</v>
      </c>
      <c r="AG2505" s="136" t="s">
        <v>2694</v>
      </c>
      <c r="AH2505" s="136" t="s">
        <v>2697</v>
      </c>
      <c r="AI2505" s="136" t="s">
        <v>4321</v>
      </c>
      <c r="AJ2505" s="136" t="s">
        <v>1645</v>
      </c>
      <c r="AK2505" s="136" t="s">
        <v>132</v>
      </c>
      <c r="AL2505" s="136" t="s">
        <v>177</v>
      </c>
      <c r="AM2505" s="136" t="s">
        <v>177</v>
      </c>
      <c r="AN2505" s="136" t="s">
        <v>177</v>
      </c>
      <c r="AT2505" s="136" t="s">
        <v>2706</v>
      </c>
      <c r="AU2505" s="136" t="s">
        <v>2706</v>
      </c>
      <c r="AV2505" s="136" t="s">
        <v>177</v>
      </c>
      <c r="AW2505" s="136" t="s">
        <v>160</v>
      </c>
      <c r="AX2505" s="136">
        <v>3</v>
      </c>
      <c r="AY2505" s="136">
        <v>3</v>
      </c>
      <c r="AZ2505" s="136" t="s">
        <v>2692</v>
      </c>
      <c r="BK2505" s="136">
        <v>2354</v>
      </c>
      <c r="BL2505" s="136">
        <v>4279</v>
      </c>
      <c r="BP2505" s="432"/>
      <c r="BQ2505" s="432"/>
      <c r="BU2505" s="432"/>
      <c r="BV2505" s="432"/>
      <c r="BZ2505" s="432"/>
      <c r="CA2505" s="432"/>
      <c r="CE2505" s="585"/>
      <c r="CF2505" s="585"/>
      <c r="CG2505" s="585"/>
      <c r="CH2505" s="585"/>
      <c r="JD2505" s="500"/>
    </row>
    <row r="2506" spans="1:264" s="136" customFormat="1" x14ac:dyDescent="0.25">
      <c r="A2506" s="136">
        <v>118</v>
      </c>
      <c r="B2506" s="137" t="s">
        <v>4327</v>
      </c>
      <c r="C2506" s="136" t="s">
        <v>2689</v>
      </c>
      <c r="D2506" s="136" t="s">
        <v>2690</v>
      </c>
      <c r="E2506" s="136">
        <v>1998</v>
      </c>
      <c r="F2506" s="136">
        <v>2006</v>
      </c>
      <c r="G2506" s="136" t="s">
        <v>2696</v>
      </c>
      <c r="H2506" s="136" t="s">
        <v>2693</v>
      </c>
      <c r="I2506" s="24" t="s">
        <v>2827</v>
      </c>
      <c r="J2506" s="136">
        <f t="shared" si="360"/>
        <v>-15.5</v>
      </c>
      <c r="K2506" s="136">
        <f t="shared" si="361"/>
        <v>35.25</v>
      </c>
      <c r="L2506" s="136">
        <v>1030</v>
      </c>
      <c r="O2506" s="136">
        <v>1015</v>
      </c>
      <c r="P2506" s="136">
        <v>1024</v>
      </c>
      <c r="R2506" s="137" t="s">
        <v>1982</v>
      </c>
      <c r="S2506" s="137" t="s">
        <v>1931</v>
      </c>
      <c r="T2506" s="137"/>
      <c r="U2506" s="137" t="s">
        <v>2691</v>
      </c>
      <c r="V2506" s="137" t="s">
        <v>1379</v>
      </c>
      <c r="W2506" s="137" t="s">
        <v>1715</v>
      </c>
      <c r="X2506" s="137" t="s">
        <v>1379</v>
      </c>
      <c r="Y2506" s="137" t="s">
        <v>1379</v>
      </c>
      <c r="AA2506" s="357">
        <v>46</v>
      </c>
      <c r="AB2506" s="357">
        <v>8</v>
      </c>
      <c r="AC2506" s="136" t="s">
        <v>2695</v>
      </c>
      <c r="AD2506" s="136">
        <v>5.9</v>
      </c>
      <c r="AE2506" s="136">
        <v>0.88</v>
      </c>
      <c r="AG2506" s="136" t="s">
        <v>2694</v>
      </c>
      <c r="AH2506" s="136" t="s">
        <v>2697</v>
      </c>
      <c r="AI2506" s="136" t="s">
        <v>4321</v>
      </c>
      <c r="AJ2506" s="136" t="s">
        <v>1645</v>
      </c>
      <c r="AK2506" s="136" t="s">
        <v>132</v>
      </c>
      <c r="AL2506" s="136" t="s">
        <v>177</v>
      </c>
      <c r="AM2506" s="136" t="s">
        <v>177</v>
      </c>
      <c r="AN2506" s="136" t="s">
        <v>177</v>
      </c>
      <c r="AT2506" s="136" t="s">
        <v>2709</v>
      </c>
      <c r="AU2506" s="136" t="s">
        <v>2709</v>
      </c>
      <c r="AV2506" s="136" t="s">
        <v>177</v>
      </c>
      <c r="AW2506" s="136" t="s">
        <v>160</v>
      </c>
      <c r="AX2506" s="136">
        <v>3</v>
      </c>
      <c r="AY2506" s="136">
        <v>3</v>
      </c>
      <c r="AZ2506" s="136" t="s">
        <v>2692</v>
      </c>
      <c r="BK2506" s="136">
        <v>2797</v>
      </c>
      <c r="BL2506" s="136">
        <v>3912</v>
      </c>
      <c r="BP2506" s="432"/>
      <c r="BQ2506" s="432"/>
      <c r="BU2506" s="432"/>
      <c r="BV2506" s="432"/>
      <c r="BZ2506" s="432"/>
      <c r="CA2506" s="432"/>
      <c r="CE2506" s="585"/>
      <c r="CF2506" s="585"/>
      <c r="CG2506" s="585"/>
      <c r="CH2506" s="585"/>
      <c r="JD2506" s="500"/>
    </row>
    <row r="2507" spans="1:264" s="136" customFormat="1" x14ac:dyDescent="0.25">
      <c r="A2507" s="136">
        <v>118</v>
      </c>
      <c r="B2507" s="137" t="s">
        <v>4327</v>
      </c>
      <c r="C2507" s="136" t="s">
        <v>2689</v>
      </c>
      <c r="D2507" s="136" t="s">
        <v>2690</v>
      </c>
      <c r="E2507" s="136">
        <v>1998</v>
      </c>
      <c r="F2507" s="136">
        <v>2006</v>
      </c>
      <c r="G2507" s="136" t="s">
        <v>2696</v>
      </c>
      <c r="H2507" s="136" t="s">
        <v>2693</v>
      </c>
      <c r="I2507" s="24" t="s">
        <v>2827</v>
      </c>
      <c r="J2507" s="136">
        <f t="shared" si="360"/>
        <v>-15.5</v>
      </c>
      <c r="K2507" s="136">
        <f t="shared" si="361"/>
        <v>35.25</v>
      </c>
      <c r="L2507" s="136">
        <v>1030</v>
      </c>
      <c r="O2507" s="136">
        <v>1015</v>
      </c>
      <c r="P2507" s="136">
        <v>1024</v>
      </c>
      <c r="R2507" s="137" t="s">
        <v>1982</v>
      </c>
      <c r="S2507" s="137" t="s">
        <v>1931</v>
      </c>
      <c r="T2507" s="137"/>
      <c r="U2507" s="137" t="s">
        <v>2691</v>
      </c>
      <c r="V2507" s="137" t="s">
        <v>1379</v>
      </c>
      <c r="W2507" s="137" t="s">
        <v>1715</v>
      </c>
      <c r="X2507" s="137" t="s">
        <v>1379</v>
      </c>
      <c r="Y2507" s="137" t="s">
        <v>1379</v>
      </c>
      <c r="AA2507" s="357">
        <v>46</v>
      </c>
      <c r="AB2507" s="357">
        <v>8</v>
      </c>
      <c r="AC2507" s="136" t="s">
        <v>2695</v>
      </c>
      <c r="AD2507" s="136">
        <v>5.9</v>
      </c>
      <c r="AE2507" s="136">
        <v>0.88</v>
      </c>
      <c r="AG2507" s="136" t="s">
        <v>2694</v>
      </c>
      <c r="AH2507" s="136" t="s">
        <v>2697</v>
      </c>
      <c r="AI2507" s="136" t="s">
        <v>4321</v>
      </c>
      <c r="AJ2507" s="136" t="s">
        <v>1645</v>
      </c>
      <c r="AK2507" s="136" t="s">
        <v>132</v>
      </c>
      <c r="AL2507" s="136" t="s">
        <v>177</v>
      </c>
      <c r="AM2507" s="136" t="s">
        <v>177</v>
      </c>
      <c r="AN2507" s="136" t="s">
        <v>177</v>
      </c>
      <c r="AT2507" s="136" t="s">
        <v>2710</v>
      </c>
      <c r="AU2507" s="136" t="s">
        <v>2710</v>
      </c>
      <c r="AV2507" s="136" t="s">
        <v>177</v>
      </c>
      <c r="AW2507" s="136" t="s">
        <v>160</v>
      </c>
      <c r="AX2507" s="136">
        <v>3</v>
      </c>
      <c r="AY2507" s="136">
        <v>3</v>
      </c>
      <c r="AZ2507" s="136" t="s">
        <v>2692</v>
      </c>
      <c r="BK2507" s="136">
        <v>3241</v>
      </c>
      <c r="BL2507" s="136">
        <v>3727</v>
      </c>
      <c r="BP2507" s="432"/>
      <c r="BQ2507" s="432"/>
      <c r="BU2507" s="432"/>
      <c r="BV2507" s="432"/>
      <c r="BZ2507" s="432"/>
      <c r="CA2507" s="432"/>
      <c r="CE2507" s="585"/>
      <c r="CF2507" s="585"/>
      <c r="CG2507" s="585"/>
      <c r="CH2507" s="585"/>
      <c r="JD2507" s="500"/>
    </row>
    <row r="2508" spans="1:264" s="134" customFormat="1" x14ac:dyDescent="0.25">
      <c r="A2508" s="134">
        <v>118</v>
      </c>
      <c r="B2508" s="135" t="s">
        <v>4325</v>
      </c>
      <c r="C2508" s="134" t="s">
        <v>2689</v>
      </c>
      <c r="D2508" s="134" t="s">
        <v>2690</v>
      </c>
      <c r="E2508" s="134">
        <v>1999</v>
      </c>
      <c r="F2508" s="134">
        <v>2006</v>
      </c>
      <c r="G2508" s="134" t="s">
        <v>2696</v>
      </c>
      <c r="H2508" s="134" t="s">
        <v>2693</v>
      </c>
      <c r="I2508" s="24" t="s">
        <v>2827</v>
      </c>
      <c r="J2508" s="134">
        <f t="shared" si="360"/>
        <v>-15.5</v>
      </c>
      <c r="K2508" s="134">
        <f t="shared" si="361"/>
        <v>35.25</v>
      </c>
      <c r="L2508" s="134">
        <v>1030</v>
      </c>
      <c r="O2508" s="134">
        <v>1194</v>
      </c>
      <c r="P2508" s="134">
        <v>1024</v>
      </c>
      <c r="R2508" s="135" t="s">
        <v>1975</v>
      </c>
      <c r="S2508" s="135" t="s">
        <v>1931</v>
      </c>
      <c r="T2508" s="135"/>
      <c r="U2508" s="135" t="s">
        <v>2691</v>
      </c>
      <c r="V2508" s="135" t="s">
        <v>1379</v>
      </c>
      <c r="W2508" s="135" t="s">
        <v>1715</v>
      </c>
      <c r="X2508" s="135" t="s">
        <v>1379</v>
      </c>
      <c r="Y2508" s="135" t="s">
        <v>1379</v>
      </c>
      <c r="AA2508" s="356">
        <v>46</v>
      </c>
      <c r="AB2508" s="356">
        <v>8</v>
      </c>
      <c r="AC2508" s="134" t="s">
        <v>2695</v>
      </c>
      <c r="AD2508" s="134">
        <v>5.9</v>
      </c>
      <c r="AE2508" s="134">
        <v>0.88</v>
      </c>
      <c r="AG2508" s="134" t="s">
        <v>2694</v>
      </c>
      <c r="AH2508" s="134" t="s">
        <v>2697</v>
      </c>
      <c r="AI2508" s="134" t="s">
        <v>4321</v>
      </c>
      <c r="AJ2508" s="134" t="s">
        <v>1645</v>
      </c>
      <c r="AK2508" s="134" t="s">
        <v>132</v>
      </c>
      <c r="AL2508" s="134" t="s">
        <v>177</v>
      </c>
      <c r="AM2508" s="134" t="s">
        <v>177</v>
      </c>
      <c r="AN2508" s="134" t="s">
        <v>177</v>
      </c>
      <c r="AT2508" s="134" t="s">
        <v>2702</v>
      </c>
      <c r="AU2508" s="134" t="s">
        <v>2702</v>
      </c>
      <c r="AV2508" s="134" t="s">
        <v>177</v>
      </c>
      <c r="AW2508" s="134" t="s">
        <v>160</v>
      </c>
      <c r="AX2508" s="134">
        <v>3</v>
      </c>
      <c r="AY2508" s="134">
        <v>3</v>
      </c>
      <c r="AZ2508" s="134" t="s">
        <v>2692</v>
      </c>
      <c r="BK2508" s="134">
        <v>653</v>
      </c>
      <c r="BL2508" s="134">
        <v>3802</v>
      </c>
      <c r="BP2508" s="431"/>
      <c r="BQ2508" s="431"/>
      <c r="BU2508" s="431"/>
      <c r="BV2508" s="431"/>
      <c r="BZ2508" s="431"/>
      <c r="CA2508" s="431"/>
      <c r="CE2508" s="584"/>
      <c r="CF2508" s="584"/>
      <c r="CG2508" s="584"/>
      <c r="CH2508" s="584"/>
      <c r="JD2508" s="501"/>
    </row>
    <row r="2509" spans="1:264" s="134" customFormat="1" x14ac:dyDescent="0.25">
      <c r="A2509" s="134">
        <v>118</v>
      </c>
      <c r="B2509" s="135" t="s">
        <v>4325</v>
      </c>
      <c r="C2509" s="134" t="s">
        <v>2689</v>
      </c>
      <c r="D2509" s="134" t="s">
        <v>2690</v>
      </c>
      <c r="E2509" s="134">
        <v>1999</v>
      </c>
      <c r="F2509" s="134">
        <v>2006</v>
      </c>
      <c r="G2509" s="134" t="s">
        <v>2696</v>
      </c>
      <c r="H2509" s="134" t="s">
        <v>2693</v>
      </c>
      <c r="I2509" s="24" t="s">
        <v>2827</v>
      </c>
      <c r="J2509" s="134">
        <f t="shared" si="360"/>
        <v>-15.5</v>
      </c>
      <c r="K2509" s="134">
        <f t="shared" si="361"/>
        <v>35.25</v>
      </c>
      <c r="L2509" s="134">
        <v>1030</v>
      </c>
      <c r="O2509" s="134">
        <v>1194</v>
      </c>
      <c r="P2509" s="134">
        <v>1024</v>
      </c>
      <c r="R2509" s="135" t="s">
        <v>1975</v>
      </c>
      <c r="S2509" s="135" t="s">
        <v>1931</v>
      </c>
      <c r="T2509" s="135"/>
      <c r="U2509" s="135" t="s">
        <v>2691</v>
      </c>
      <c r="V2509" s="135" t="s">
        <v>1379</v>
      </c>
      <c r="W2509" s="135" t="s">
        <v>1715</v>
      </c>
      <c r="X2509" s="135" t="s">
        <v>1379</v>
      </c>
      <c r="Y2509" s="135" t="s">
        <v>1379</v>
      </c>
      <c r="AA2509" s="356">
        <v>46</v>
      </c>
      <c r="AB2509" s="356">
        <v>8</v>
      </c>
      <c r="AC2509" s="134" t="s">
        <v>2695</v>
      </c>
      <c r="AD2509" s="134">
        <v>5.9</v>
      </c>
      <c r="AE2509" s="134">
        <v>0.88</v>
      </c>
      <c r="AG2509" s="134" t="s">
        <v>2694</v>
      </c>
      <c r="AH2509" s="134" t="s">
        <v>2697</v>
      </c>
      <c r="AI2509" s="134" t="s">
        <v>4321</v>
      </c>
      <c r="AJ2509" s="134" t="s">
        <v>1645</v>
      </c>
      <c r="AK2509" s="134" t="s">
        <v>132</v>
      </c>
      <c r="AL2509" s="134" t="s">
        <v>177</v>
      </c>
      <c r="AM2509" s="134" t="s">
        <v>177</v>
      </c>
      <c r="AN2509" s="134" t="s">
        <v>177</v>
      </c>
      <c r="AT2509" s="134" t="s">
        <v>2703</v>
      </c>
      <c r="AU2509" s="134" t="s">
        <v>2703</v>
      </c>
      <c r="AV2509" s="134" t="s">
        <v>177</v>
      </c>
      <c r="AW2509" s="134" t="s">
        <v>160</v>
      </c>
      <c r="AX2509" s="134">
        <v>3</v>
      </c>
      <c r="AY2509" s="134">
        <v>3</v>
      </c>
      <c r="AZ2509" s="134" t="s">
        <v>2692</v>
      </c>
      <c r="BK2509" s="134">
        <v>1053</v>
      </c>
      <c r="BL2509" s="134">
        <v>3818</v>
      </c>
      <c r="BP2509" s="431"/>
      <c r="BQ2509" s="431"/>
      <c r="BU2509" s="431"/>
      <c r="BV2509" s="431"/>
      <c r="BZ2509" s="431"/>
      <c r="CA2509" s="431"/>
      <c r="CE2509" s="584"/>
      <c r="CF2509" s="584"/>
      <c r="CG2509" s="584"/>
      <c r="CH2509" s="584"/>
      <c r="JD2509" s="501"/>
    </row>
    <row r="2510" spans="1:264" s="134" customFormat="1" x14ac:dyDescent="0.25">
      <c r="A2510" s="134">
        <v>118</v>
      </c>
      <c r="B2510" s="135" t="s">
        <v>4325</v>
      </c>
      <c r="C2510" s="134" t="s">
        <v>2689</v>
      </c>
      <c r="D2510" s="134" t="s">
        <v>2690</v>
      </c>
      <c r="E2510" s="134">
        <v>1999</v>
      </c>
      <c r="F2510" s="134">
        <v>2006</v>
      </c>
      <c r="G2510" s="134" t="s">
        <v>2696</v>
      </c>
      <c r="H2510" s="134" t="s">
        <v>2693</v>
      </c>
      <c r="I2510" s="24" t="s">
        <v>2827</v>
      </c>
      <c r="J2510" s="134">
        <f t="shared" si="360"/>
        <v>-15.5</v>
      </c>
      <c r="K2510" s="134">
        <f t="shared" si="361"/>
        <v>35.25</v>
      </c>
      <c r="L2510" s="134">
        <v>1030</v>
      </c>
      <c r="O2510" s="134">
        <v>1194</v>
      </c>
      <c r="P2510" s="134">
        <v>1024</v>
      </c>
      <c r="R2510" s="135" t="s">
        <v>1975</v>
      </c>
      <c r="S2510" s="135" t="s">
        <v>1931</v>
      </c>
      <c r="T2510" s="135"/>
      <c r="U2510" s="135" t="s">
        <v>2691</v>
      </c>
      <c r="V2510" s="135" t="s">
        <v>1379</v>
      </c>
      <c r="W2510" s="135" t="s">
        <v>1715</v>
      </c>
      <c r="X2510" s="135" t="s">
        <v>1379</v>
      </c>
      <c r="Y2510" s="135" t="s">
        <v>1379</v>
      </c>
      <c r="AA2510" s="356">
        <v>46</v>
      </c>
      <c r="AB2510" s="356">
        <v>8</v>
      </c>
      <c r="AC2510" s="134" t="s">
        <v>2695</v>
      </c>
      <c r="AD2510" s="134">
        <v>5.9</v>
      </c>
      <c r="AE2510" s="134">
        <v>0.88</v>
      </c>
      <c r="AG2510" s="134" t="s">
        <v>2694</v>
      </c>
      <c r="AH2510" s="134" t="s">
        <v>2697</v>
      </c>
      <c r="AI2510" s="134" t="s">
        <v>4321</v>
      </c>
      <c r="AJ2510" s="134" t="s">
        <v>1645</v>
      </c>
      <c r="AK2510" s="134" t="s">
        <v>132</v>
      </c>
      <c r="AL2510" s="134" t="s">
        <v>177</v>
      </c>
      <c r="AM2510" s="134" t="s">
        <v>177</v>
      </c>
      <c r="AN2510" s="134" t="s">
        <v>177</v>
      </c>
      <c r="AT2510" s="134" t="s">
        <v>2704</v>
      </c>
      <c r="AU2510" s="134" t="s">
        <v>2704</v>
      </c>
      <c r="AV2510" s="134" t="s">
        <v>177</v>
      </c>
      <c r="AW2510" s="134" t="s">
        <v>160</v>
      </c>
      <c r="AX2510" s="134">
        <v>3</v>
      </c>
      <c r="AY2510" s="134">
        <v>3</v>
      </c>
      <c r="AZ2510" s="134" t="s">
        <v>2692</v>
      </c>
      <c r="BK2510" s="134">
        <v>889</v>
      </c>
      <c r="BL2510" s="134">
        <v>3614</v>
      </c>
      <c r="BP2510" s="431"/>
      <c r="BQ2510" s="431"/>
      <c r="BU2510" s="431"/>
      <c r="BV2510" s="431"/>
      <c r="BZ2510" s="431"/>
      <c r="CA2510" s="431"/>
      <c r="CE2510" s="584"/>
      <c r="CF2510" s="584"/>
      <c r="CG2510" s="584"/>
      <c r="CH2510" s="584"/>
      <c r="JD2510" s="501"/>
    </row>
    <row r="2511" spans="1:264" s="134" customFormat="1" x14ac:dyDescent="0.25">
      <c r="A2511" s="134">
        <v>118</v>
      </c>
      <c r="B2511" s="135" t="s">
        <v>4326</v>
      </c>
      <c r="C2511" s="134" t="s">
        <v>2689</v>
      </c>
      <c r="D2511" s="134" t="s">
        <v>2690</v>
      </c>
      <c r="E2511" s="134">
        <v>1999</v>
      </c>
      <c r="F2511" s="134">
        <v>2006</v>
      </c>
      <c r="G2511" s="134" t="s">
        <v>2696</v>
      </c>
      <c r="H2511" s="134" t="s">
        <v>2693</v>
      </c>
      <c r="I2511" s="24" t="s">
        <v>2827</v>
      </c>
      <c r="J2511" s="134">
        <f t="shared" si="360"/>
        <v>-15.5</v>
      </c>
      <c r="K2511" s="134">
        <f t="shared" si="361"/>
        <v>35.25</v>
      </c>
      <c r="L2511" s="134">
        <v>1030</v>
      </c>
      <c r="O2511" s="134">
        <v>1194</v>
      </c>
      <c r="P2511" s="134">
        <v>1024</v>
      </c>
      <c r="R2511" s="135" t="s">
        <v>1975</v>
      </c>
      <c r="S2511" s="135" t="s">
        <v>1931</v>
      </c>
      <c r="T2511" s="135"/>
      <c r="U2511" s="135" t="s">
        <v>2691</v>
      </c>
      <c r="V2511" s="135" t="s">
        <v>1379</v>
      </c>
      <c r="W2511" s="135" t="s">
        <v>1715</v>
      </c>
      <c r="X2511" s="135" t="s">
        <v>1379</v>
      </c>
      <c r="Y2511" s="135" t="s">
        <v>1379</v>
      </c>
      <c r="AA2511" s="356">
        <v>46</v>
      </c>
      <c r="AB2511" s="356">
        <v>8</v>
      </c>
      <c r="AC2511" s="134" t="s">
        <v>2695</v>
      </c>
      <c r="AD2511" s="134">
        <v>5.9</v>
      </c>
      <c r="AE2511" s="134">
        <v>0.88</v>
      </c>
      <c r="AG2511" s="134" t="s">
        <v>2694</v>
      </c>
      <c r="AH2511" s="134" t="s">
        <v>2697</v>
      </c>
      <c r="AI2511" s="134" t="s">
        <v>4321</v>
      </c>
      <c r="AJ2511" s="134" t="s">
        <v>1645</v>
      </c>
      <c r="AK2511" s="134" t="s">
        <v>132</v>
      </c>
      <c r="AL2511" s="134" t="s">
        <v>177</v>
      </c>
      <c r="AM2511" s="134" t="s">
        <v>177</v>
      </c>
      <c r="AN2511" s="134" t="s">
        <v>177</v>
      </c>
      <c r="AT2511" s="134" t="s">
        <v>2705</v>
      </c>
      <c r="AU2511" s="134" t="s">
        <v>2705</v>
      </c>
      <c r="AV2511" s="134" t="s">
        <v>177</v>
      </c>
      <c r="AW2511" s="134" t="s">
        <v>160</v>
      </c>
      <c r="AX2511" s="134">
        <v>3</v>
      </c>
      <c r="AY2511" s="134">
        <v>3</v>
      </c>
      <c r="AZ2511" s="134" t="s">
        <v>2692</v>
      </c>
      <c r="BK2511" s="134">
        <v>1439</v>
      </c>
      <c r="BL2511" s="134">
        <v>4916</v>
      </c>
      <c r="BP2511" s="431"/>
      <c r="BQ2511" s="431"/>
      <c r="BU2511" s="431"/>
      <c r="BV2511" s="431"/>
      <c r="BZ2511" s="431"/>
      <c r="CA2511" s="431"/>
      <c r="CE2511" s="584"/>
      <c r="CF2511" s="584"/>
      <c r="CG2511" s="584"/>
      <c r="CH2511" s="584"/>
      <c r="JD2511" s="501"/>
    </row>
    <row r="2512" spans="1:264" s="134" customFormat="1" x14ac:dyDescent="0.25">
      <c r="A2512" s="134">
        <v>118</v>
      </c>
      <c r="B2512" s="135" t="s">
        <v>4326</v>
      </c>
      <c r="C2512" s="134" t="s">
        <v>2689</v>
      </c>
      <c r="D2512" s="134" t="s">
        <v>2690</v>
      </c>
      <c r="E2512" s="134">
        <v>1999</v>
      </c>
      <c r="F2512" s="134">
        <v>2006</v>
      </c>
      <c r="G2512" s="134" t="s">
        <v>2696</v>
      </c>
      <c r="H2512" s="134" t="s">
        <v>2693</v>
      </c>
      <c r="I2512" s="24" t="s">
        <v>2827</v>
      </c>
      <c r="J2512" s="134">
        <f t="shared" si="360"/>
        <v>-15.5</v>
      </c>
      <c r="K2512" s="134">
        <f t="shared" si="361"/>
        <v>35.25</v>
      </c>
      <c r="L2512" s="134">
        <v>1030</v>
      </c>
      <c r="O2512" s="134">
        <v>1194</v>
      </c>
      <c r="P2512" s="134">
        <v>1024</v>
      </c>
      <c r="R2512" s="135" t="s">
        <v>1975</v>
      </c>
      <c r="S2512" s="135" t="s">
        <v>1931</v>
      </c>
      <c r="T2512" s="135"/>
      <c r="U2512" s="135" t="s">
        <v>2691</v>
      </c>
      <c r="V2512" s="135" t="s">
        <v>1379</v>
      </c>
      <c r="W2512" s="135" t="s">
        <v>1715</v>
      </c>
      <c r="X2512" s="135" t="s">
        <v>1379</v>
      </c>
      <c r="Y2512" s="135" t="s">
        <v>1379</v>
      </c>
      <c r="AA2512" s="356">
        <v>46</v>
      </c>
      <c r="AB2512" s="356">
        <v>8</v>
      </c>
      <c r="AC2512" s="134" t="s">
        <v>2695</v>
      </c>
      <c r="AD2512" s="134">
        <v>5.9</v>
      </c>
      <c r="AE2512" s="134">
        <v>0.88</v>
      </c>
      <c r="AG2512" s="134" t="s">
        <v>2694</v>
      </c>
      <c r="AH2512" s="134" t="s">
        <v>2697</v>
      </c>
      <c r="AI2512" s="134" t="s">
        <v>4321</v>
      </c>
      <c r="AJ2512" s="134" t="s">
        <v>1645</v>
      </c>
      <c r="AK2512" s="134" t="s">
        <v>132</v>
      </c>
      <c r="AL2512" s="134" t="s">
        <v>177</v>
      </c>
      <c r="AM2512" s="134" t="s">
        <v>177</v>
      </c>
      <c r="AN2512" s="134" t="s">
        <v>177</v>
      </c>
      <c r="AT2512" s="134" t="s">
        <v>2707</v>
      </c>
      <c r="AU2512" s="134" t="s">
        <v>2707</v>
      </c>
      <c r="AV2512" s="134" t="s">
        <v>177</v>
      </c>
      <c r="AW2512" s="134" t="s">
        <v>160</v>
      </c>
      <c r="AX2512" s="134">
        <v>3</v>
      </c>
      <c r="AY2512" s="134">
        <v>3</v>
      </c>
      <c r="AZ2512" s="134" t="s">
        <v>2692</v>
      </c>
      <c r="BK2512" s="134">
        <v>1987</v>
      </c>
      <c r="BL2512" s="134">
        <v>3629</v>
      </c>
      <c r="BP2512" s="431"/>
      <c r="BQ2512" s="431"/>
      <c r="BU2512" s="431"/>
      <c r="BV2512" s="431"/>
      <c r="BZ2512" s="431"/>
      <c r="CA2512" s="431"/>
      <c r="CE2512" s="584"/>
      <c r="CF2512" s="584"/>
      <c r="CG2512" s="584"/>
      <c r="CH2512" s="584"/>
      <c r="JD2512" s="501"/>
    </row>
    <row r="2513" spans="1:264" s="134" customFormat="1" x14ac:dyDescent="0.25">
      <c r="A2513" s="134">
        <v>118</v>
      </c>
      <c r="B2513" s="135" t="s">
        <v>4326</v>
      </c>
      <c r="C2513" s="134" t="s">
        <v>2689</v>
      </c>
      <c r="D2513" s="134" t="s">
        <v>2690</v>
      </c>
      <c r="E2513" s="134">
        <v>1999</v>
      </c>
      <c r="F2513" s="134">
        <v>2006</v>
      </c>
      <c r="G2513" s="134" t="s">
        <v>2696</v>
      </c>
      <c r="H2513" s="134" t="s">
        <v>2693</v>
      </c>
      <c r="I2513" s="24" t="s">
        <v>2827</v>
      </c>
      <c r="J2513" s="134">
        <f t="shared" si="360"/>
        <v>-15.5</v>
      </c>
      <c r="K2513" s="134">
        <f t="shared" si="361"/>
        <v>35.25</v>
      </c>
      <c r="L2513" s="134">
        <v>1030</v>
      </c>
      <c r="O2513" s="134">
        <v>1194</v>
      </c>
      <c r="P2513" s="134">
        <v>1024</v>
      </c>
      <c r="R2513" s="135" t="s">
        <v>1975</v>
      </c>
      <c r="S2513" s="135" t="s">
        <v>1931</v>
      </c>
      <c r="T2513" s="135"/>
      <c r="U2513" s="135" t="s">
        <v>2691</v>
      </c>
      <c r="V2513" s="135" t="s">
        <v>1379</v>
      </c>
      <c r="W2513" s="135" t="s">
        <v>1715</v>
      </c>
      <c r="X2513" s="135" t="s">
        <v>1379</v>
      </c>
      <c r="Y2513" s="135" t="s">
        <v>1379</v>
      </c>
      <c r="AA2513" s="356">
        <v>46</v>
      </c>
      <c r="AB2513" s="356">
        <v>8</v>
      </c>
      <c r="AC2513" s="134" t="s">
        <v>2695</v>
      </c>
      <c r="AD2513" s="134">
        <v>5.9</v>
      </c>
      <c r="AE2513" s="134">
        <v>0.88</v>
      </c>
      <c r="AG2513" s="134" t="s">
        <v>2694</v>
      </c>
      <c r="AH2513" s="134" t="s">
        <v>2697</v>
      </c>
      <c r="AI2513" s="134" t="s">
        <v>4321</v>
      </c>
      <c r="AJ2513" s="134" t="s">
        <v>1645</v>
      </c>
      <c r="AK2513" s="134" t="s">
        <v>132</v>
      </c>
      <c r="AL2513" s="134" t="s">
        <v>177</v>
      </c>
      <c r="AM2513" s="134" t="s">
        <v>177</v>
      </c>
      <c r="AN2513" s="134" t="s">
        <v>177</v>
      </c>
      <c r="AT2513" s="134" t="s">
        <v>2708</v>
      </c>
      <c r="AU2513" s="134" t="s">
        <v>2708</v>
      </c>
      <c r="AV2513" s="134" t="s">
        <v>177</v>
      </c>
      <c r="AW2513" s="134" t="s">
        <v>160</v>
      </c>
      <c r="AX2513" s="134">
        <v>3</v>
      </c>
      <c r="AY2513" s="134">
        <v>3</v>
      </c>
      <c r="AZ2513" s="134" t="s">
        <v>2692</v>
      </c>
      <c r="BK2513" s="134">
        <v>2312</v>
      </c>
      <c r="BL2513" s="134">
        <v>3308</v>
      </c>
      <c r="BP2513" s="431"/>
      <c r="BQ2513" s="431"/>
      <c r="BU2513" s="431"/>
      <c r="BV2513" s="431"/>
      <c r="BZ2513" s="431"/>
      <c r="CA2513" s="431"/>
      <c r="CE2513" s="584"/>
      <c r="CF2513" s="584"/>
      <c r="CG2513" s="584"/>
      <c r="CH2513" s="584"/>
      <c r="JD2513" s="501"/>
    </row>
    <row r="2514" spans="1:264" s="134" customFormat="1" x14ac:dyDescent="0.25">
      <c r="A2514" s="134">
        <v>118</v>
      </c>
      <c r="B2514" s="135" t="s">
        <v>4327</v>
      </c>
      <c r="C2514" s="134" t="s">
        <v>2689</v>
      </c>
      <c r="D2514" s="134" t="s">
        <v>2690</v>
      </c>
      <c r="E2514" s="134">
        <v>1999</v>
      </c>
      <c r="F2514" s="134">
        <v>2006</v>
      </c>
      <c r="G2514" s="134" t="s">
        <v>2696</v>
      </c>
      <c r="H2514" s="134" t="s">
        <v>2693</v>
      </c>
      <c r="I2514" s="24" t="s">
        <v>2827</v>
      </c>
      <c r="J2514" s="134">
        <f t="shared" si="360"/>
        <v>-15.5</v>
      </c>
      <c r="K2514" s="134">
        <f t="shared" si="361"/>
        <v>35.25</v>
      </c>
      <c r="L2514" s="134">
        <v>1030</v>
      </c>
      <c r="O2514" s="134">
        <v>1194</v>
      </c>
      <c r="P2514" s="134">
        <v>1024</v>
      </c>
      <c r="R2514" s="135" t="s">
        <v>1975</v>
      </c>
      <c r="S2514" s="135" t="s">
        <v>1931</v>
      </c>
      <c r="T2514" s="135"/>
      <c r="U2514" s="135" t="s">
        <v>2691</v>
      </c>
      <c r="V2514" s="135" t="s">
        <v>1379</v>
      </c>
      <c r="W2514" s="135" t="s">
        <v>1715</v>
      </c>
      <c r="X2514" s="135" t="s">
        <v>1379</v>
      </c>
      <c r="Y2514" s="135" t="s">
        <v>1379</v>
      </c>
      <c r="AA2514" s="356">
        <v>46</v>
      </c>
      <c r="AB2514" s="356">
        <v>8</v>
      </c>
      <c r="AC2514" s="134" t="s">
        <v>2695</v>
      </c>
      <c r="AD2514" s="134">
        <v>5.9</v>
      </c>
      <c r="AE2514" s="134">
        <v>0.88</v>
      </c>
      <c r="AG2514" s="134" t="s">
        <v>2694</v>
      </c>
      <c r="AH2514" s="134" t="s">
        <v>2697</v>
      </c>
      <c r="AI2514" s="134" t="s">
        <v>4321</v>
      </c>
      <c r="AJ2514" s="134" t="s">
        <v>1645</v>
      </c>
      <c r="AK2514" s="134" t="s">
        <v>132</v>
      </c>
      <c r="AL2514" s="134" t="s">
        <v>177</v>
      </c>
      <c r="AM2514" s="134" t="s">
        <v>177</v>
      </c>
      <c r="AN2514" s="134" t="s">
        <v>177</v>
      </c>
      <c r="AT2514" s="134" t="s">
        <v>2706</v>
      </c>
      <c r="AU2514" s="134" t="s">
        <v>2706</v>
      </c>
      <c r="AV2514" s="134" t="s">
        <v>177</v>
      </c>
      <c r="AW2514" s="134" t="s">
        <v>160</v>
      </c>
      <c r="AX2514" s="134">
        <v>3</v>
      </c>
      <c r="AY2514" s="134">
        <v>3</v>
      </c>
      <c r="AZ2514" s="134" t="s">
        <v>2692</v>
      </c>
      <c r="BK2514" s="134">
        <v>2307</v>
      </c>
      <c r="BL2514" s="134">
        <v>4303</v>
      </c>
      <c r="BP2514" s="431"/>
      <c r="BQ2514" s="431"/>
      <c r="BU2514" s="431"/>
      <c r="BV2514" s="431"/>
      <c r="BZ2514" s="431"/>
      <c r="CA2514" s="431"/>
      <c r="CE2514" s="584"/>
      <c r="CF2514" s="584"/>
      <c r="CG2514" s="584"/>
      <c r="CH2514" s="584"/>
      <c r="JD2514" s="501"/>
    </row>
    <row r="2515" spans="1:264" s="134" customFormat="1" x14ac:dyDescent="0.25">
      <c r="A2515" s="134">
        <v>118</v>
      </c>
      <c r="B2515" s="135" t="s">
        <v>4327</v>
      </c>
      <c r="C2515" s="134" t="s">
        <v>2689</v>
      </c>
      <c r="D2515" s="134" t="s">
        <v>2690</v>
      </c>
      <c r="E2515" s="134">
        <v>1999</v>
      </c>
      <c r="F2515" s="134">
        <v>2006</v>
      </c>
      <c r="G2515" s="134" t="s">
        <v>2696</v>
      </c>
      <c r="H2515" s="134" t="s">
        <v>2693</v>
      </c>
      <c r="I2515" s="24" t="s">
        <v>2827</v>
      </c>
      <c r="J2515" s="134">
        <f t="shared" si="360"/>
        <v>-15.5</v>
      </c>
      <c r="K2515" s="134">
        <f t="shared" si="361"/>
        <v>35.25</v>
      </c>
      <c r="L2515" s="134">
        <v>1030</v>
      </c>
      <c r="O2515" s="134">
        <v>1194</v>
      </c>
      <c r="P2515" s="134">
        <v>1024</v>
      </c>
      <c r="R2515" s="135" t="s">
        <v>1975</v>
      </c>
      <c r="S2515" s="135" t="s">
        <v>1931</v>
      </c>
      <c r="T2515" s="135"/>
      <c r="U2515" s="135" t="s">
        <v>2691</v>
      </c>
      <c r="V2515" s="135" t="s">
        <v>1379</v>
      </c>
      <c r="W2515" s="135" t="s">
        <v>1715</v>
      </c>
      <c r="X2515" s="135" t="s">
        <v>1379</v>
      </c>
      <c r="Y2515" s="135" t="s">
        <v>1379</v>
      </c>
      <c r="AA2515" s="356">
        <v>46</v>
      </c>
      <c r="AB2515" s="356">
        <v>8</v>
      </c>
      <c r="AC2515" s="134" t="s">
        <v>2695</v>
      </c>
      <c r="AD2515" s="134">
        <v>5.9</v>
      </c>
      <c r="AE2515" s="134">
        <v>0.88</v>
      </c>
      <c r="AG2515" s="134" t="s">
        <v>2694</v>
      </c>
      <c r="AH2515" s="134" t="s">
        <v>2697</v>
      </c>
      <c r="AI2515" s="134" t="s">
        <v>4321</v>
      </c>
      <c r="AJ2515" s="134" t="s">
        <v>1645</v>
      </c>
      <c r="AK2515" s="134" t="s">
        <v>132</v>
      </c>
      <c r="AL2515" s="134" t="s">
        <v>177</v>
      </c>
      <c r="AM2515" s="134" t="s">
        <v>177</v>
      </c>
      <c r="AN2515" s="134" t="s">
        <v>177</v>
      </c>
      <c r="AT2515" s="134" t="s">
        <v>2709</v>
      </c>
      <c r="AU2515" s="134" t="s">
        <v>2709</v>
      </c>
      <c r="AV2515" s="134" t="s">
        <v>177</v>
      </c>
      <c r="AW2515" s="134" t="s">
        <v>160</v>
      </c>
      <c r="AX2515" s="134">
        <v>3</v>
      </c>
      <c r="AY2515" s="134">
        <v>3</v>
      </c>
      <c r="AZ2515" s="134" t="s">
        <v>2692</v>
      </c>
      <c r="BK2515" s="134">
        <v>2749</v>
      </c>
      <c r="BL2515" s="134">
        <v>3936</v>
      </c>
      <c r="BP2515" s="431"/>
      <c r="BQ2515" s="431"/>
      <c r="BU2515" s="431"/>
      <c r="BV2515" s="431"/>
      <c r="BZ2515" s="431"/>
      <c r="CA2515" s="431"/>
      <c r="CE2515" s="584"/>
      <c r="CF2515" s="584"/>
      <c r="CG2515" s="584"/>
      <c r="CH2515" s="584"/>
      <c r="JD2515" s="501"/>
    </row>
    <row r="2516" spans="1:264" s="134" customFormat="1" x14ac:dyDescent="0.25">
      <c r="A2516" s="134">
        <v>118</v>
      </c>
      <c r="B2516" s="135" t="s">
        <v>4327</v>
      </c>
      <c r="C2516" s="134" t="s">
        <v>2689</v>
      </c>
      <c r="D2516" s="134" t="s">
        <v>2690</v>
      </c>
      <c r="E2516" s="134">
        <v>1999</v>
      </c>
      <c r="F2516" s="134">
        <v>2006</v>
      </c>
      <c r="G2516" s="134" t="s">
        <v>2696</v>
      </c>
      <c r="H2516" s="134" t="s">
        <v>2693</v>
      </c>
      <c r="I2516" s="24" t="s">
        <v>2827</v>
      </c>
      <c r="J2516" s="134">
        <f t="shared" si="360"/>
        <v>-15.5</v>
      </c>
      <c r="K2516" s="134">
        <f t="shared" si="361"/>
        <v>35.25</v>
      </c>
      <c r="L2516" s="134">
        <v>1030</v>
      </c>
      <c r="O2516" s="134">
        <v>1194</v>
      </c>
      <c r="P2516" s="134">
        <v>1024</v>
      </c>
      <c r="R2516" s="135" t="s">
        <v>1975</v>
      </c>
      <c r="S2516" s="135" t="s">
        <v>1931</v>
      </c>
      <c r="T2516" s="135"/>
      <c r="U2516" s="135" t="s">
        <v>2691</v>
      </c>
      <c r="V2516" s="135" t="s">
        <v>1379</v>
      </c>
      <c r="W2516" s="135" t="s">
        <v>1715</v>
      </c>
      <c r="X2516" s="135" t="s">
        <v>1379</v>
      </c>
      <c r="Y2516" s="135" t="s">
        <v>1379</v>
      </c>
      <c r="AA2516" s="356">
        <v>46</v>
      </c>
      <c r="AB2516" s="356">
        <v>8</v>
      </c>
      <c r="AC2516" s="134" t="s">
        <v>2695</v>
      </c>
      <c r="AD2516" s="134">
        <v>5.9</v>
      </c>
      <c r="AE2516" s="134">
        <v>0.88</v>
      </c>
      <c r="AG2516" s="134" t="s">
        <v>2694</v>
      </c>
      <c r="AH2516" s="134" t="s">
        <v>2697</v>
      </c>
      <c r="AI2516" s="134" t="s">
        <v>4321</v>
      </c>
      <c r="AJ2516" s="134" t="s">
        <v>1645</v>
      </c>
      <c r="AK2516" s="134" t="s">
        <v>132</v>
      </c>
      <c r="AL2516" s="134" t="s">
        <v>177</v>
      </c>
      <c r="AM2516" s="134" t="s">
        <v>177</v>
      </c>
      <c r="AN2516" s="134" t="s">
        <v>177</v>
      </c>
      <c r="AT2516" s="134" t="s">
        <v>2710</v>
      </c>
      <c r="AU2516" s="134" t="s">
        <v>2710</v>
      </c>
      <c r="AV2516" s="134" t="s">
        <v>177</v>
      </c>
      <c r="AW2516" s="134" t="s">
        <v>160</v>
      </c>
      <c r="AX2516" s="134">
        <v>3</v>
      </c>
      <c r="AY2516" s="134">
        <v>3</v>
      </c>
      <c r="AZ2516" s="134" t="s">
        <v>2692</v>
      </c>
      <c r="BK2516" s="134">
        <v>3193</v>
      </c>
      <c r="BL2516" s="134">
        <v>3751</v>
      </c>
      <c r="BP2516" s="431"/>
      <c r="BQ2516" s="431"/>
      <c r="BU2516" s="431"/>
      <c r="BV2516" s="431"/>
      <c r="BZ2516" s="431"/>
      <c r="CA2516" s="431"/>
      <c r="CE2516" s="584"/>
      <c r="CF2516" s="584"/>
      <c r="CG2516" s="584"/>
      <c r="CH2516" s="584"/>
      <c r="JD2516" s="501"/>
    </row>
    <row r="2517" spans="1:264" s="126" customFormat="1" x14ac:dyDescent="0.25">
      <c r="A2517" s="126">
        <v>119</v>
      </c>
      <c r="B2517" s="478" t="s">
        <v>4328</v>
      </c>
      <c r="C2517" s="126" t="s">
        <v>2711</v>
      </c>
      <c r="D2517" s="126" t="s">
        <v>2712</v>
      </c>
      <c r="E2517" s="126">
        <v>2002</v>
      </c>
      <c r="F2517" s="126">
        <v>2007</v>
      </c>
      <c r="G2517" s="126" t="s">
        <v>2713</v>
      </c>
      <c r="H2517" s="126" t="s">
        <v>2693</v>
      </c>
      <c r="I2517" s="126" t="s">
        <v>2827</v>
      </c>
      <c r="J2517" s="126">
        <v>-15.5</v>
      </c>
      <c r="K2517" s="126">
        <v>35.25</v>
      </c>
      <c r="L2517" s="126">
        <v>1030</v>
      </c>
      <c r="O2517" s="126">
        <v>860</v>
      </c>
      <c r="P2517" s="126">
        <v>1024</v>
      </c>
      <c r="R2517" s="478" t="s">
        <v>1931</v>
      </c>
      <c r="S2517" s="478" t="s">
        <v>1929</v>
      </c>
      <c r="T2517" s="478"/>
      <c r="U2517" s="478" t="s">
        <v>2725</v>
      </c>
      <c r="V2517" s="478" t="s">
        <v>1379</v>
      </c>
      <c r="W2517" s="478" t="s">
        <v>1715</v>
      </c>
      <c r="X2517" s="478" t="s">
        <v>1379</v>
      </c>
      <c r="Y2517" s="478" t="s">
        <v>1379</v>
      </c>
      <c r="AA2517" s="479">
        <v>46</v>
      </c>
      <c r="AB2517" s="479">
        <v>8</v>
      </c>
      <c r="AC2517" s="126" t="s">
        <v>2695</v>
      </c>
      <c r="AD2517" s="126">
        <v>5.9</v>
      </c>
      <c r="AE2517" s="126">
        <v>0.88</v>
      </c>
      <c r="AG2517" s="126" t="s">
        <v>2694</v>
      </c>
      <c r="AH2517" s="126" t="s">
        <v>2697</v>
      </c>
      <c r="AI2517" s="126" t="s">
        <v>577</v>
      </c>
      <c r="AJ2517" s="126" t="s">
        <v>1645</v>
      </c>
      <c r="AK2517" s="126" t="s">
        <v>132</v>
      </c>
      <c r="AL2517" s="126" t="s">
        <v>177</v>
      </c>
      <c r="AM2517" s="126" t="s">
        <v>177</v>
      </c>
      <c r="AN2517" s="126" t="s">
        <v>177</v>
      </c>
      <c r="AT2517" s="126" t="s">
        <v>2702</v>
      </c>
      <c r="AU2517" s="126" t="s">
        <v>2702</v>
      </c>
      <c r="AV2517" s="126" t="s">
        <v>177</v>
      </c>
      <c r="AW2517" s="126" t="s">
        <v>160</v>
      </c>
      <c r="AX2517" s="126">
        <v>3</v>
      </c>
      <c r="AY2517" s="126">
        <v>3</v>
      </c>
      <c r="AZ2517" s="126" t="s">
        <v>2692</v>
      </c>
      <c r="BF2517" s="126">
        <v>1906</v>
      </c>
      <c r="BG2517" s="126">
        <v>5113</v>
      </c>
      <c r="BJ2517" s="126" t="s">
        <v>2724</v>
      </c>
      <c r="BK2517" s="126">
        <v>1272</v>
      </c>
      <c r="BL2517" s="126">
        <v>5013</v>
      </c>
      <c r="BP2517" s="481"/>
      <c r="BQ2517" s="481"/>
      <c r="BU2517" s="481">
        <v>0.43</v>
      </c>
      <c r="BV2517" s="481">
        <v>0.66</v>
      </c>
      <c r="BZ2517" s="481"/>
      <c r="CA2517" s="481"/>
      <c r="CD2517" s="126" t="s">
        <v>3120</v>
      </c>
      <c r="CE2517" s="605">
        <v>0.43</v>
      </c>
      <c r="CF2517" s="605">
        <v>0.66</v>
      </c>
      <c r="CG2517" s="605"/>
      <c r="CH2517" s="605"/>
      <c r="CI2517" s="126" t="s">
        <v>4546</v>
      </c>
      <c r="CO2517" s="126">
        <v>26.2</v>
      </c>
      <c r="CP2517" s="126">
        <v>22.1</v>
      </c>
      <c r="CS2517" s="126" t="s">
        <v>2723</v>
      </c>
      <c r="CT2517" s="126">
        <v>0.47</v>
      </c>
      <c r="CU2517" s="126">
        <v>0.74</v>
      </c>
      <c r="CY2517" s="126">
        <v>6</v>
      </c>
      <c r="CZ2517" s="126">
        <v>6.3</v>
      </c>
      <c r="DD2517" s="126">
        <f>1.4+3.5+0.47</f>
        <v>5.37</v>
      </c>
      <c r="DE2517" s="126">
        <f>CU2517+1.4+3.9</f>
        <v>6.0399999999999991</v>
      </c>
      <c r="DH2517" s="126" t="s">
        <v>2722</v>
      </c>
      <c r="JB2517" s="126" t="s">
        <v>2726</v>
      </c>
      <c r="JD2517" s="480"/>
    </row>
    <row r="2518" spans="1:264" s="126" customFormat="1" x14ac:dyDescent="0.25">
      <c r="A2518" s="126">
        <v>119</v>
      </c>
      <c r="B2518" s="478" t="s">
        <v>4328</v>
      </c>
      <c r="C2518" s="126" t="s">
        <v>2711</v>
      </c>
      <c r="D2518" s="126" t="s">
        <v>2712</v>
      </c>
      <c r="E2518" s="126">
        <v>2002</v>
      </c>
      <c r="F2518" s="126">
        <v>2007</v>
      </c>
      <c r="G2518" s="126" t="s">
        <v>2713</v>
      </c>
      <c r="H2518" s="126" t="s">
        <v>2693</v>
      </c>
      <c r="I2518" s="126" t="s">
        <v>2827</v>
      </c>
      <c r="J2518" s="126">
        <v>-15.5</v>
      </c>
      <c r="K2518" s="126">
        <v>35.25</v>
      </c>
      <c r="L2518" s="126">
        <v>1030</v>
      </c>
      <c r="O2518" s="126">
        <v>860</v>
      </c>
      <c r="P2518" s="126">
        <v>1024</v>
      </c>
      <c r="R2518" s="478" t="s">
        <v>1931</v>
      </c>
      <c r="S2518" s="478" t="s">
        <v>1929</v>
      </c>
      <c r="T2518" s="478"/>
      <c r="U2518" s="478" t="s">
        <v>2725</v>
      </c>
      <c r="V2518" s="478" t="s">
        <v>1379</v>
      </c>
      <c r="W2518" s="478" t="s">
        <v>1715</v>
      </c>
      <c r="X2518" s="478" t="s">
        <v>1379</v>
      </c>
      <c r="Y2518" s="478" t="s">
        <v>1379</v>
      </c>
      <c r="AA2518" s="479">
        <v>46</v>
      </c>
      <c r="AB2518" s="479">
        <v>8</v>
      </c>
      <c r="AC2518" s="126" t="s">
        <v>2695</v>
      </c>
      <c r="AD2518" s="126">
        <v>5.9</v>
      </c>
      <c r="AE2518" s="126">
        <v>0.88</v>
      </c>
      <c r="AG2518" s="126" t="s">
        <v>2694</v>
      </c>
      <c r="AH2518" s="126" t="s">
        <v>2697</v>
      </c>
      <c r="AI2518" s="126" t="s">
        <v>577</v>
      </c>
      <c r="AJ2518" s="126" t="s">
        <v>1645</v>
      </c>
      <c r="AK2518" s="126" t="s">
        <v>132</v>
      </c>
      <c r="AL2518" s="126" t="s">
        <v>177</v>
      </c>
      <c r="AM2518" s="126" t="s">
        <v>177</v>
      </c>
      <c r="AN2518" s="126" t="s">
        <v>177</v>
      </c>
      <c r="AT2518" s="126" t="s">
        <v>2714</v>
      </c>
      <c r="AU2518" s="126" t="s">
        <v>2714</v>
      </c>
      <c r="AV2518" s="126" t="s">
        <v>177</v>
      </c>
      <c r="AW2518" s="126" t="s">
        <v>160</v>
      </c>
      <c r="AX2518" s="126">
        <v>3</v>
      </c>
      <c r="AY2518" s="126">
        <v>3</v>
      </c>
      <c r="AZ2518" s="126" t="s">
        <v>2692</v>
      </c>
      <c r="BF2518" s="126">
        <v>1703</v>
      </c>
      <c r="BG2518" s="126">
        <v>4525</v>
      </c>
      <c r="BJ2518" s="126" t="s">
        <v>2724</v>
      </c>
      <c r="BK2518" s="126">
        <v>1395</v>
      </c>
      <c r="BL2518" s="126">
        <v>4486</v>
      </c>
      <c r="BP2518" s="481"/>
      <c r="BQ2518" s="481"/>
      <c r="BU2518" s="481">
        <v>0.6</v>
      </c>
      <c r="BV2518" s="481">
        <v>1.33</v>
      </c>
      <c r="BZ2518" s="481"/>
      <c r="CA2518" s="481"/>
      <c r="CD2518" s="126" t="s">
        <v>3120</v>
      </c>
      <c r="CE2518" s="605">
        <v>0.6</v>
      </c>
      <c r="CF2518" s="605">
        <v>1.33</v>
      </c>
      <c r="CG2518" s="605"/>
      <c r="CH2518" s="605"/>
      <c r="CI2518" s="126" t="s">
        <v>4546</v>
      </c>
      <c r="CO2518" s="126">
        <v>36.6</v>
      </c>
      <c r="CP2518" s="126">
        <v>38.6</v>
      </c>
      <c r="CS2518" s="126" t="s">
        <v>2723</v>
      </c>
      <c r="CT2518" s="126">
        <v>0.42</v>
      </c>
      <c r="CU2518" s="126">
        <v>0.81</v>
      </c>
      <c r="CY2518" s="126">
        <v>6.2</v>
      </c>
      <c r="CZ2518" s="126">
        <v>6.3</v>
      </c>
      <c r="DD2518" s="126">
        <f>1.3+3.5+0.42</f>
        <v>5.22</v>
      </c>
      <c r="DE2518" s="126">
        <f>CU2518+1.4+3.9</f>
        <v>6.1099999999999994</v>
      </c>
      <c r="DH2518" s="126" t="s">
        <v>2722</v>
      </c>
      <c r="JB2518" s="126" t="s">
        <v>2726</v>
      </c>
      <c r="JD2518" s="480"/>
    </row>
    <row r="2519" spans="1:264" s="126" customFormat="1" x14ac:dyDescent="0.25">
      <c r="A2519" s="126">
        <v>119</v>
      </c>
      <c r="B2519" s="478" t="s">
        <v>4328</v>
      </c>
      <c r="C2519" s="126" t="s">
        <v>2711</v>
      </c>
      <c r="D2519" s="126" t="s">
        <v>2712</v>
      </c>
      <c r="E2519" s="126">
        <v>2002</v>
      </c>
      <c r="F2519" s="126">
        <v>2007</v>
      </c>
      <c r="G2519" s="126" t="s">
        <v>2713</v>
      </c>
      <c r="H2519" s="126" t="s">
        <v>2693</v>
      </c>
      <c r="I2519" s="126" t="s">
        <v>2827</v>
      </c>
      <c r="J2519" s="126">
        <v>-15.5</v>
      </c>
      <c r="K2519" s="126">
        <v>35.25</v>
      </c>
      <c r="L2519" s="126">
        <v>1030</v>
      </c>
      <c r="O2519" s="126">
        <v>860</v>
      </c>
      <c r="P2519" s="126">
        <v>1024</v>
      </c>
      <c r="R2519" s="478" t="s">
        <v>1931</v>
      </c>
      <c r="S2519" s="478" t="s">
        <v>1929</v>
      </c>
      <c r="T2519" s="478"/>
      <c r="U2519" s="478" t="s">
        <v>2725</v>
      </c>
      <c r="V2519" s="478" t="s">
        <v>1379</v>
      </c>
      <c r="W2519" s="478" t="s">
        <v>1715</v>
      </c>
      <c r="X2519" s="478" t="s">
        <v>1379</v>
      </c>
      <c r="Y2519" s="478" t="s">
        <v>1379</v>
      </c>
      <c r="AA2519" s="479">
        <v>46</v>
      </c>
      <c r="AB2519" s="479">
        <v>8</v>
      </c>
      <c r="AC2519" s="126" t="s">
        <v>2695</v>
      </c>
      <c r="AD2519" s="126">
        <v>5.9</v>
      </c>
      <c r="AE2519" s="126">
        <v>0.88</v>
      </c>
      <c r="AG2519" s="126" t="s">
        <v>2694</v>
      </c>
      <c r="AH2519" s="126" t="s">
        <v>2697</v>
      </c>
      <c r="AI2519" s="126" t="s">
        <v>577</v>
      </c>
      <c r="AJ2519" s="126" t="s">
        <v>1645</v>
      </c>
      <c r="AK2519" s="126" t="s">
        <v>132</v>
      </c>
      <c r="AL2519" s="126" t="s">
        <v>177</v>
      </c>
      <c r="AM2519" s="126" t="s">
        <v>177</v>
      </c>
      <c r="AN2519" s="126" t="s">
        <v>177</v>
      </c>
      <c r="AT2519" s="126" t="s">
        <v>2715</v>
      </c>
      <c r="AU2519" s="126" t="s">
        <v>2715</v>
      </c>
      <c r="AV2519" s="126" t="s">
        <v>177</v>
      </c>
      <c r="AW2519" s="126" t="s">
        <v>160</v>
      </c>
      <c r="AX2519" s="126">
        <v>3</v>
      </c>
      <c r="AY2519" s="126">
        <v>3</v>
      </c>
      <c r="AZ2519" s="126" t="s">
        <v>2692</v>
      </c>
      <c r="BF2519" s="126">
        <v>1460</v>
      </c>
      <c r="BG2519" s="126">
        <v>4829</v>
      </c>
      <c r="BJ2519" s="126" t="s">
        <v>2724</v>
      </c>
      <c r="BK2519" s="126">
        <v>1490</v>
      </c>
      <c r="BL2519" s="126">
        <v>4865</v>
      </c>
      <c r="BP2519" s="481"/>
      <c r="BQ2519" s="481"/>
      <c r="BU2519" s="481">
        <v>0.63</v>
      </c>
      <c r="BV2519" s="481">
        <v>1.02</v>
      </c>
      <c r="BZ2519" s="481"/>
      <c r="CA2519" s="481"/>
      <c r="CD2519" s="126" t="s">
        <v>3120</v>
      </c>
      <c r="CE2519" s="605">
        <v>0.63</v>
      </c>
      <c r="CF2519" s="605">
        <v>1.02</v>
      </c>
      <c r="CG2519" s="605"/>
      <c r="CH2519" s="605"/>
      <c r="CI2519" s="126" t="s">
        <v>4546</v>
      </c>
      <c r="CO2519" s="126">
        <v>44.7</v>
      </c>
      <c r="CP2519" s="126">
        <v>40.9</v>
      </c>
      <c r="CS2519" s="126" t="s">
        <v>2723</v>
      </c>
      <c r="CT2519" s="126">
        <v>0.46</v>
      </c>
      <c r="CU2519" s="126">
        <v>0.69</v>
      </c>
      <c r="CY2519" s="126">
        <v>5.9</v>
      </c>
      <c r="CZ2519" s="126">
        <v>6.2</v>
      </c>
      <c r="DD2519" s="126">
        <f>1.3+3.41+0.46</f>
        <v>5.17</v>
      </c>
      <c r="DE2519" s="126">
        <f t="shared" ref="DE2519:DE2522" si="362">CU2519+1.4+3.9</f>
        <v>5.99</v>
      </c>
      <c r="DH2519" s="126" t="s">
        <v>2722</v>
      </c>
      <c r="JB2519" s="126" t="s">
        <v>2726</v>
      </c>
      <c r="JD2519" s="480"/>
    </row>
    <row r="2520" spans="1:264" s="126" customFormat="1" x14ac:dyDescent="0.25">
      <c r="A2520" s="126">
        <v>119</v>
      </c>
      <c r="B2520" s="478" t="s">
        <v>4329</v>
      </c>
      <c r="C2520" s="126" t="s">
        <v>2711</v>
      </c>
      <c r="D2520" s="126" t="s">
        <v>2712</v>
      </c>
      <c r="E2520" s="126">
        <v>2002</v>
      </c>
      <c r="F2520" s="126">
        <v>2007</v>
      </c>
      <c r="G2520" s="126" t="s">
        <v>2713</v>
      </c>
      <c r="H2520" s="126" t="s">
        <v>2693</v>
      </c>
      <c r="I2520" s="126" t="s">
        <v>2827</v>
      </c>
      <c r="J2520" s="126">
        <v>-15.5</v>
      </c>
      <c r="K2520" s="126">
        <v>35.25</v>
      </c>
      <c r="L2520" s="126">
        <v>1030</v>
      </c>
      <c r="O2520" s="126">
        <v>860</v>
      </c>
      <c r="P2520" s="126">
        <v>1024</v>
      </c>
      <c r="R2520" s="478" t="s">
        <v>1931</v>
      </c>
      <c r="S2520" s="478" t="s">
        <v>1929</v>
      </c>
      <c r="T2520" s="478"/>
      <c r="U2520" s="478" t="s">
        <v>2725</v>
      </c>
      <c r="V2520" s="478" t="s">
        <v>1379</v>
      </c>
      <c r="W2520" s="478" t="s">
        <v>1715</v>
      </c>
      <c r="X2520" s="478" t="s">
        <v>1379</v>
      </c>
      <c r="Y2520" s="478" t="s">
        <v>1379</v>
      </c>
      <c r="AA2520" s="479">
        <v>46</v>
      </c>
      <c r="AB2520" s="479">
        <v>8</v>
      </c>
      <c r="AC2520" s="126" t="s">
        <v>2695</v>
      </c>
      <c r="AD2520" s="126">
        <v>5.9</v>
      </c>
      <c r="AE2520" s="126">
        <v>0.88</v>
      </c>
      <c r="AG2520" s="126" t="s">
        <v>2694</v>
      </c>
      <c r="AH2520" s="126" t="s">
        <v>2697</v>
      </c>
      <c r="AI2520" s="126" t="s">
        <v>577</v>
      </c>
      <c r="AJ2520" s="126" t="s">
        <v>1645</v>
      </c>
      <c r="AK2520" s="126" t="s">
        <v>132</v>
      </c>
      <c r="AL2520" s="126" t="s">
        <v>177</v>
      </c>
      <c r="AM2520" s="126" t="s">
        <v>177</v>
      </c>
      <c r="AN2520" s="126" t="s">
        <v>177</v>
      </c>
      <c r="AT2520" s="126" t="s">
        <v>2716</v>
      </c>
      <c r="AU2520" s="126" t="s">
        <v>2716</v>
      </c>
      <c r="AV2520" s="126" t="s">
        <v>177</v>
      </c>
      <c r="AW2520" s="126" t="s">
        <v>160</v>
      </c>
      <c r="AX2520" s="126">
        <v>3</v>
      </c>
      <c r="AY2520" s="126">
        <v>3</v>
      </c>
      <c r="AZ2520" s="126" t="s">
        <v>2692</v>
      </c>
      <c r="BF2520" s="126">
        <v>3190</v>
      </c>
      <c r="BG2520" s="126">
        <v>4816</v>
      </c>
      <c r="BJ2520" s="126" t="s">
        <v>2724</v>
      </c>
      <c r="BK2520" s="126">
        <v>2525</v>
      </c>
      <c r="BL2520" s="126">
        <v>4784</v>
      </c>
      <c r="BP2520" s="481"/>
      <c r="BQ2520" s="481"/>
      <c r="BU2520" s="481">
        <v>0.67</v>
      </c>
      <c r="BV2520" s="481">
        <v>1.42</v>
      </c>
      <c r="BZ2520" s="481"/>
      <c r="CA2520" s="481"/>
      <c r="CD2520" s="126" t="s">
        <v>3120</v>
      </c>
      <c r="CE2520" s="605">
        <v>0.67</v>
      </c>
      <c r="CF2520" s="605">
        <v>1.42</v>
      </c>
      <c r="CG2520" s="605"/>
      <c r="CH2520" s="605"/>
      <c r="CI2520" s="126" t="s">
        <v>4546</v>
      </c>
      <c r="CO2520" s="126">
        <v>25.5</v>
      </c>
      <c r="CP2520" s="126">
        <v>26</v>
      </c>
      <c r="CS2520" s="126" t="s">
        <v>2723</v>
      </c>
      <c r="CT2520" s="126">
        <v>0.49</v>
      </c>
      <c r="CU2520" s="126">
        <v>0.91</v>
      </c>
      <c r="CY2520" s="126">
        <v>5.7</v>
      </c>
      <c r="CZ2520" s="126">
        <v>6.1</v>
      </c>
      <c r="DD2520" s="126">
        <f>1.4+3.7+0.49</f>
        <v>5.59</v>
      </c>
      <c r="DE2520" s="126">
        <f>CU2520+1.4+4.1</f>
        <v>6.41</v>
      </c>
      <c r="DH2520" s="126" t="s">
        <v>2722</v>
      </c>
      <c r="JB2520" s="126" t="s">
        <v>2726</v>
      </c>
      <c r="JD2520" s="480"/>
    </row>
    <row r="2521" spans="1:264" s="126" customFormat="1" x14ac:dyDescent="0.25">
      <c r="A2521" s="126">
        <v>119</v>
      </c>
      <c r="B2521" s="478" t="s">
        <v>4329</v>
      </c>
      <c r="C2521" s="126" t="s">
        <v>2711</v>
      </c>
      <c r="D2521" s="126" t="s">
        <v>2712</v>
      </c>
      <c r="E2521" s="126">
        <v>2002</v>
      </c>
      <c r="F2521" s="126">
        <v>2007</v>
      </c>
      <c r="G2521" s="126" t="s">
        <v>2713</v>
      </c>
      <c r="H2521" s="126" t="s">
        <v>2693</v>
      </c>
      <c r="I2521" s="126" t="s">
        <v>2827</v>
      </c>
      <c r="J2521" s="126">
        <v>-15.5</v>
      </c>
      <c r="K2521" s="126">
        <v>35.25</v>
      </c>
      <c r="L2521" s="126">
        <v>1030</v>
      </c>
      <c r="O2521" s="126">
        <v>860</v>
      </c>
      <c r="P2521" s="126">
        <v>1024</v>
      </c>
      <c r="R2521" s="478" t="s">
        <v>1931</v>
      </c>
      <c r="S2521" s="478" t="s">
        <v>1929</v>
      </c>
      <c r="T2521" s="478"/>
      <c r="U2521" s="478" t="s">
        <v>2725</v>
      </c>
      <c r="V2521" s="478" t="s">
        <v>1379</v>
      </c>
      <c r="W2521" s="478" t="s">
        <v>1715</v>
      </c>
      <c r="X2521" s="478" t="s">
        <v>1379</v>
      </c>
      <c r="Y2521" s="478" t="s">
        <v>1379</v>
      </c>
      <c r="AA2521" s="479">
        <v>46</v>
      </c>
      <c r="AB2521" s="479">
        <v>8</v>
      </c>
      <c r="AC2521" s="126" t="s">
        <v>2695</v>
      </c>
      <c r="AD2521" s="126">
        <v>5.9</v>
      </c>
      <c r="AE2521" s="126">
        <v>0.88</v>
      </c>
      <c r="AG2521" s="126" t="s">
        <v>2694</v>
      </c>
      <c r="AH2521" s="126" t="s">
        <v>2697</v>
      </c>
      <c r="AI2521" s="126" t="s">
        <v>577</v>
      </c>
      <c r="AJ2521" s="126" t="s">
        <v>1645</v>
      </c>
      <c r="AK2521" s="126" t="s">
        <v>132</v>
      </c>
      <c r="AL2521" s="126" t="s">
        <v>177</v>
      </c>
      <c r="AM2521" s="126" t="s">
        <v>177</v>
      </c>
      <c r="AN2521" s="126" t="s">
        <v>177</v>
      </c>
      <c r="AT2521" s="126" t="s">
        <v>2717</v>
      </c>
      <c r="AU2521" s="126" t="s">
        <v>2717</v>
      </c>
      <c r="AV2521" s="126" t="s">
        <v>177</v>
      </c>
      <c r="AW2521" s="126" t="s">
        <v>160</v>
      </c>
      <c r="AX2521" s="126">
        <v>3</v>
      </c>
      <c r="AY2521" s="126">
        <v>3</v>
      </c>
      <c r="AZ2521" s="126" t="s">
        <v>2692</v>
      </c>
      <c r="BF2521" s="126">
        <v>3839</v>
      </c>
      <c r="BG2521" s="126">
        <v>4633</v>
      </c>
      <c r="BJ2521" s="126" t="s">
        <v>2724</v>
      </c>
      <c r="BK2521" s="126">
        <v>3154</v>
      </c>
      <c r="BL2521" s="126">
        <v>4973</v>
      </c>
      <c r="BP2521" s="481"/>
      <c r="BQ2521" s="481"/>
      <c r="BU2521" s="481">
        <v>0.72</v>
      </c>
      <c r="BV2521" s="481">
        <v>1.1200000000000001</v>
      </c>
      <c r="BZ2521" s="481"/>
      <c r="CA2521" s="481"/>
      <c r="CD2521" s="126" t="s">
        <v>3120</v>
      </c>
      <c r="CE2521" s="605">
        <v>0.72</v>
      </c>
      <c r="CF2521" s="605">
        <v>1.1200000000000001</v>
      </c>
      <c r="CG2521" s="605"/>
      <c r="CH2521" s="605"/>
      <c r="CI2521" s="126" t="s">
        <v>4546</v>
      </c>
      <c r="CO2521" s="126">
        <v>31</v>
      </c>
      <c r="CP2521" s="126">
        <v>29.7</v>
      </c>
      <c r="CS2521" s="126" t="s">
        <v>2723</v>
      </c>
      <c r="CT2521" s="126">
        <v>0.43</v>
      </c>
      <c r="CU2521" s="126">
        <v>0.78</v>
      </c>
      <c r="CY2521" s="126">
        <v>5.8</v>
      </c>
      <c r="CZ2521" s="126">
        <v>6.1</v>
      </c>
      <c r="DD2521" s="126">
        <f>1.4+3.6+0.43</f>
        <v>5.43</v>
      </c>
      <c r="DE2521" s="126">
        <f>CU2521+1.4+4.1</f>
        <v>6.2799999999999994</v>
      </c>
      <c r="DH2521" s="126" t="s">
        <v>2722</v>
      </c>
      <c r="JB2521" s="126" t="s">
        <v>2726</v>
      </c>
      <c r="JD2521" s="480"/>
    </row>
    <row r="2522" spans="1:264" s="126" customFormat="1" x14ac:dyDescent="0.25">
      <c r="A2522" s="126">
        <v>119</v>
      </c>
      <c r="B2522" s="478" t="s">
        <v>4329</v>
      </c>
      <c r="C2522" s="126" t="s">
        <v>2711</v>
      </c>
      <c r="D2522" s="126" t="s">
        <v>2712</v>
      </c>
      <c r="E2522" s="126">
        <v>2002</v>
      </c>
      <c r="F2522" s="126">
        <v>2007</v>
      </c>
      <c r="G2522" s="126" t="s">
        <v>2713</v>
      </c>
      <c r="H2522" s="126" t="s">
        <v>2693</v>
      </c>
      <c r="I2522" s="126" t="s">
        <v>2827</v>
      </c>
      <c r="J2522" s="126">
        <v>-15.5</v>
      </c>
      <c r="K2522" s="126">
        <v>35.25</v>
      </c>
      <c r="L2522" s="126">
        <v>1030</v>
      </c>
      <c r="O2522" s="126">
        <v>860</v>
      </c>
      <c r="P2522" s="126">
        <v>1024</v>
      </c>
      <c r="R2522" s="478" t="s">
        <v>1931</v>
      </c>
      <c r="S2522" s="478" t="s">
        <v>1929</v>
      </c>
      <c r="T2522" s="478"/>
      <c r="U2522" s="478" t="s">
        <v>2725</v>
      </c>
      <c r="V2522" s="478" t="s">
        <v>1379</v>
      </c>
      <c r="W2522" s="478" t="s">
        <v>1715</v>
      </c>
      <c r="X2522" s="478" t="s">
        <v>1379</v>
      </c>
      <c r="Y2522" s="478" t="s">
        <v>1379</v>
      </c>
      <c r="AA2522" s="479">
        <v>46</v>
      </c>
      <c r="AB2522" s="479">
        <v>8</v>
      </c>
      <c r="AC2522" s="126" t="s">
        <v>2695</v>
      </c>
      <c r="AD2522" s="126">
        <v>5.9</v>
      </c>
      <c r="AE2522" s="126">
        <v>0.88</v>
      </c>
      <c r="AG2522" s="126" t="s">
        <v>2694</v>
      </c>
      <c r="AH2522" s="126" t="s">
        <v>2697</v>
      </c>
      <c r="AI2522" s="126" t="s">
        <v>577</v>
      </c>
      <c r="AJ2522" s="126" t="s">
        <v>1645</v>
      </c>
      <c r="AK2522" s="126" t="s">
        <v>132</v>
      </c>
      <c r="AL2522" s="126" t="s">
        <v>177</v>
      </c>
      <c r="AM2522" s="126" t="s">
        <v>177</v>
      </c>
      <c r="AN2522" s="126" t="s">
        <v>177</v>
      </c>
      <c r="AT2522" s="126" t="s">
        <v>2718</v>
      </c>
      <c r="AU2522" s="126" t="s">
        <v>2718</v>
      </c>
      <c r="AV2522" s="126" t="s">
        <v>177</v>
      </c>
      <c r="AW2522" s="126" t="s">
        <v>160</v>
      </c>
      <c r="AX2522" s="126">
        <v>3</v>
      </c>
      <c r="AY2522" s="126">
        <v>3</v>
      </c>
      <c r="AZ2522" s="126" t="s">
        <v>2692</v>
      </c>
      <c r="BF2522" s="126">
        <v>3717</v>
      </c>
      <c r="BG2522" s="126">
        <v>5727</v>
      </c>
      <c r="BJ2522" s="126" t="s">
        <v>2724</v>
      </c>
      <c r="BK2522" s="126">
        <v>3291</v>
      </c>
      <c r="BL2522" s="126">
        <v>5622</v>
      </c>
      <c r="BP2522" s="481"/>
      <c r="BQ2522" s="481"/>
      <c r="BU2522" s="481">
        <v>0.7</v>
      </c>
      <c r="BV2522" s="481">
        <v>1.69</v>
      </c>
      <c r="BZ2522" s="481"/>
      <c r="CA2522" s="481"/>
      <c r="CD2522" s="126" t="s">
        <v>3120</v>
      </c>
      <c r="CE2522" s="605">
        <v>0.7</v>
      </c>
      <c r="CF2522" s="605">
        <v>1.69</v>
      </c>
      <c r="CG2522" s="605"/>
      <c r="CH2522" s="605"/>
      <c r="CI2522" s="126" t="s">
        <v>4546</v>
      </c>
      <c r="CO2522" s="126">
        <v>37.799999999999997</v>
      </c>
      <c r="CP2522" s="126">
        <v>33.1</v>
      </c>
      <c r="CS2522" s="126" t="s">
        <v>2723</v>
      </c>
      <c r="CT2522" s="126">
        <v>0.36</v>
      </c>
      <c r="CU2522" s="126">
        <v>0.86</v>
      </c>
      <c r="CY2522" s="126">
        <v>6</v>
      </c>
      <c r="CZ2522" s="126">
        <v>6.3</v>
      </c>
      <c r="DD2522" s="126">
        <f>1.4+3.7+0.36</f>
        <v>5.46</v>
      </c>
      <c r="DE2522" s="126">
        <f t="shared" si="362"/>
        <v>6.16</v>
      </c>
      <c r="DH2522" s="126" t="s">
        <v>2722</v>
      </c>
      <c r="JB2522" s="126" t="s">
        <v>2726</v>
      </c>
      <c r="JD2522" s="480"/>
    </row>
    <row r="2523" spans="1:264" s="126" customFormat="1" x14ac:dyDescent="0.25">
      <c r="A2523" s="126">
        <v>119</v>
      </c>
      <c r="B2523" s="478" t="s">
        <v>4330</v>
      </c>
      <c r="C2523" s="126" t="s">
        <v>2711</v>
      </c>
      <c r="D2523" s="126" t="s">
        <v>2712</v>
      </c>
      <c r="E2523" s="126">
        <v>2002</v>
      </c>
      <c r="F2523" s="126">
        <v>2007</v>
      </c>
      <c r="G2523" s="126" t="s">
        <v>2713</v>
      </c>
      <c r="H2523" s="126" t="s">
        <v>2693</v>
      </c>
      <c r="I2523" s="126" t="s">
        <v>2827</v>
      </c>
      <c r="J2523" s="126">
        <v>-15.5</v>
      </c>
      <c r="K2523" s="126">
        <v>35.25</v>
      </c>
      <c r="L2523" s="126">
        <v>1030</v>
      </c>
      <c r="O2523" s="126">
        <v>860</v>
      </c>
      <c r="P2523" s="126">
        <v>1024</v>
      </c>
      <c r="R2523" s="478" t="s">
        <v>1931</v>
      </c>
      <c r="S2523" s="478" t="s">
        <v>1929</v>
      </c>
      <c r="T2523" s="478"/>
      <c r="U2523" s="478" t="s">
        <v>2725</v>
      </c>
      <c r="V2523" s="478" t="s">
        <v>1379</v>
      </c>
      <c r="W2523" s="478" t="s">
        <v>1715</v>
      </c>
      <c r="X2523" s="478" t="s">
        <v>1379</v>
      </c>
      <c r="Y2523" s="478" t="s">
        <v>1379</v>
      </c>
      <c r="AA2523" s="479">
        <v>46</v>
      </c>
      <c r="AB2523" s="479">
        <v>8</v>
      </c>
      <c r="AC2523" s="126" t="s">
        <v>2695</v>
      </c>
      <c r="AD2523" s="126">
        <v>5.9</v>
      </c>
      <c r="AE2523" s="126">
        <v>0.88</v>
      </c>
      <c r="AG2523" s="126" t="s">
        <v>2694</v>
      </c>
      <c r="AH2523" s="126" t="s">
        <v>2697</v>
      </c>
      <c r="AI2523" s="126" t="s">
        <v>577</v>
      </c>
      <c r="AJ2523" s="126" t="s">
        <v>1645</v>
      </c>
      <c r="AK2523" s="126" t="s">
        <v>132</v>
      </c>
      <c r="AL2523" s="126" t="s">
        <v>177</v>
      </c>
      <c r="AM2523" s="126" t="s">
        <v>177</v>
      </c>
      <c r="AN2523" s="126" t="s">
        <v>177</v>
      </c>
      <c r="AT2523" s="126" t="s">
        <v>2719</v>
      </c>
      <c r="AU2523" s="126" t="s">
        <v>2719</v>
      </c>
      <c r="AV2523" s="126" t="s">
        <v>177</v>
      </c>
      <c r="AW2523" s="126" t="s">
        <v>160</v>
      </c>
      <c r="AX2523" s="126">
        <v>3</v>
      </c>
      <c r="AY2523" s="126">
        <v>3</v>
      </c>
      <c r="AZ2523" s="126" t="s">
        <v>2692</v>
      </c>
      <c r="BF2523" s="126">
        <v>3117</v>
      </c>
      <c r="BG2523" s="126">
        <v>4862</v>
      </c>
      <c r="BJ2523" s="126" t="s">
        <v>2724</v>
      </c>
      <c r="BK2523" s="126">
        <v>2903</v>
      </c>
      <c r="BL2523" s="126">
        <v>4919</v>
      </c>
      <c r="BP2523" s="481"/>
      <c r="BQ2523" s="481"/>
      <c r="BU2523" s="481">
        <v>0.82</v>
      </c>
      <c r="BV2523" s="481">
        <v>1</v>
      </c>
      <c r="BZ2523" s="481"/>
      <c r="CA2523" s="481"/>
      <c r="CD2523" s="126" t="s">
        <v>3120</v>
      </c>
      <c r="CE2523" s="605">
        <v>0.82</v>
      </c>
      <c r="CF2523" s="605">
        <v>1</v>
      </c>
      <c r="CG2523" s="605"/>
      <c r="CH2523" s="605"/>
      <c r="CI2523" s="126" t="s">
        <v>4546</v>
      </c>
      <c r="CO2523" s="126">
        <v>24.6</v>
      </c>
      <c r="CP2523" s="126">
        <v>25.9</v>
      </c>
      <c r="CS2523" s="126" t="s">
        <v>2723</v>
      </c>
      <c r="CT2523" s="126">
        <v>0.36</v>
      </c>
      <c r="CU2523" s="126">
        <v>0.81</v>
      </c>
      <c r="CY2523" s="126">
        <v>5.7</v>
      </c>
      <c r="CZ2523" s="126">
        <v>6.1</v>
      </c>
      <c r="DD2523" s="126">
        <f>1.4+3.4+0.36</f>
        <v>5.16</v>
      </c>
      <c r="DE2523" s="126">
        <f>CU2523+1.3+3.8</f>
        <v>5.91</v>
      </c>
      <c r="DH2523" s="126" t="s">
        <v>2722</v>
      </c>
      <c r="JB2523" s="126" t="s">
        <v>2726</v>
      </c>
      <c r="JD2523" s="480"/>
    </row>
    <row r="2524" spans="1:264" s="126" customFormat="1" x14ac:dyDescent="0.25">
      <c r="A2524" s="126">
        <v>119</v>
      </c>
      <c r="B2524" s="478" t="s">
        <v>4330</v>
      </c>
      <c r="C2524" s="126" t="s">
        <v>2711</v>
      </c>
      <c r="D2524" s="126" t="s">
        <v>2712</v>
      </c>
      <c r="E2524" s="126">
        <v>2002</v>
      </c>
      <c r="F2524" s="126">
        <v>2007</v>
      </c>
      <c r="G2524" s="126" t="s">
        <v>2713</v>
      </c>
      <c r="H2524" s="126" t="s">
        <v>2693</v>
      </c>
      <c r="I2524" s="126" t="s">
        <v>2827</v>
      </c>
      <c r="J2524" s="126">
        <v>-15.5</v>
      </c>
      <c r="K2524" s="126">
        <v>35.25</v>
      </c>
      <c r="L2524" s="126">
        <v>1030</v>
      </c>
      <c r="O2524" s="126">
        <v>860</v>
      </c>
      <c r="P2524" s="126">
        <v>1024</v>
      </c>
      <c r="R2524" s="478" t="s">
        <v>1931</v>
      </c>
      <c r="S2524" s="478" t="s">
        <v>1929</v>
      </c>
      <c r="T2524" s="478"/>
      <c r="U2524" s="478" t="s">
        <v>2725</v>
      </c>
      <c r="V2524" s="478" t="s">
        <v>1379</v>
      </c>
      <c r="W2524" s="478" t="s">
        <v>1715</v>
      </c>
      <c r="X2524" s="478" t="s">
        <v>1379</v>
      </c>
      <c r="Y2524" s="478" t="s">
        <v>1379</v>
      </c>
      <c r="AA2524" s="479">
        <v>46</v>
      </c>
      <c r="AB2524" s="479">
        <v>8</v>
      </c>
      <c r="AC2524" s="126" t="s">
        <v>2695</v>
      </c>
      <c r="AD2524" s="126">
        <v>5.9</v>
      </c>
      <c r="AE2524" s="126">
        <v>0.88</v>
      </c>
      <c r="AG2524" s="126" t="s">
        <v>2694</v>
      </c>
      <c r="AH2524" s="126" t="s">
        <v>2697</v>
      </c>
      <c r="AI2524" s="126" t="s">
        <v>577</v>
      </c>
      <c r="AJ2524" s="126" t="s">
        <v>1645</v>
      </c>
      <c r="AK2524" s="126" t="s">
        <v>132</v>
      </c>
      <c r="AL2524" s="126" t="s">
        <v>177</v>
      </c>
      <c r="AM2524" s="126" t="s">
        <v>177</v>
      </c>
      <c r="AN2524" s="126" t="s">
        <v>177</v>
      </c>
      <c r="AT2524" s="126" t="s">
        <v>2720</v>
      </c>
      <c r="AU2524" s="126" t="s">
        <v>2720</v>
      </c>
      <c r="AV2524" s="126" t="s">
        <v>177</v>
      </c>
      <c r="AW2524" s="126" t="s">
        <v>160</v>
      </c>
      <c r="AX2524" s="126">
        <v>3</v>
      </c>
      <c r="AY2524" s="126">
        <v>3</v>
      </c>
      <c r="AZ2524" s="126" t="s">
        <v>2692</v>
      </c>
      <c r="BF2524" s="126">
        <v>3664</v>
      </c>
      <c r="BG2524" s="126">
        <v>6018</v>
      </c>
      <c r="BJ2524" s="126" t="s">
        <v>2724</v>
      </c>
      <c r="BK2524" s="126">
        <v>3396</v>
      </c>
      <c r="BL2524" s="126">
        <v>4973</v>
      </c>
      <c r="BP2524" s="481"/>
      <c r="BQ2524" s="481"/>
      <c r="BU2524" s="481">
        <v>0.55000000000000004</v>
      </c>
      <c r="BV2524" s="481">
        <v>1.01</v>
      </c>
      <c r="BZ2524" s="481"/>
      <c r="CA2524" s="481"/>
      <c r="CD2524" s="126" t="s">
        <v>3120</v>
      </c>
      <c r="CE2524" s="605">
        <v>0.55000000000000004</v>
      </c>
      <c r="CF2524" s="605">
        <v>1.01</v>
      </c>
      <c r="CG2524" s="605"/>
      <c r="CH2524" s="605"/>
      <c r="CI2524" s="126" t="s">
        <v>4546</v>
      </c>
      <c r="CO2524" s="126">
        <v>35.799999999999997</v>
      </c>
      <c r="CP2524" s="126">
        <v>28.7</v>
      </c>
      <c r="CS2524" s="126" t="s">
        <v>2723</v>
      </c>
      <c r="CT2524" s="126">
        <v>0.28000000000000003</v>
      </c>
      <c r="CU2524" s="126">
        <v>0.77</v>
      </c>
      <c r="CY2524" s="126">
        <v>5.7</v>
      </c>
      <c r="CZ2524" s="126">
        <v>5.9</v>
      </c>
      <c r="DD2524" s="126">
        <f>1.3+3.1+0.28</f>
        <v>4.6800000000000006</v>
      </c>
      <c r="DE2524" s="126">
        <f>CU2524+1.4+3.7</f>
        <v>5.87</v>
      </c>
      <c r="DH2524" s="126" t="s">
        <v>2722</v>
      </c>
      <c r="JB2524" s="126" t="s">
        <v>2726</v>
      </c>
      <c r="JD2524" s="480"/>
    </row>
    <row r="2525" spans="1:264" s="126" customFormat="1" x14ac:dyDescent="0.25">
      <c r="A2525" s="126">
        <v>119</v>
      </c>
      <c r="B2525" s="478" t="s">
        <v>4330</v>
      </c>
      <c r="C2525" s="126" t="s">
        <v>2711</v>
      </c>
      <c r="D2525" s="126" t="s">
        <v>2712</v>
      </c>
      <c r="E2525" s="126">
        <v>2002</v>
      </c>
      <c r="F2525" s="126">
        <v>2007</v>
      </c>
      <c r="G2525" s="126" t="s">
        <v>2713</v>
      </c>
      <c r="H2525" s="126" t="s">
        <v>2693</v>
      </c>
      <c r="I2525" s="126" t="s">
        <v>2827</v>
      </c>
      <c r="J2525" s="126">
        <v>-15.5</v>
      </c>
      <c r="K2525" s="126">
        <v>35.25</v>
      </c>
      <c r="L2525" s="126">
        <v>1030</v>
      </c>
      <c r="O2525" s="126">
        <v>860</v>
      </c>
      <c r="P2525" s="126">
        <v>1024</v>
      </c>
      <c r="R2525" s="478" t="s">
        <v>1931</v>
      </c>
      <c r="S2525" s="478" t="s">
        <v>1929</v>
      </c>
      <c r="T2525" s="478"/>
      <c r="U2525" s="478" t="s">
        <v>2725</v>
      </c>
      <c r="V2525" s="478" t="s">
        <v>1379</v>
      </c>
      <c r="W2525" s="478" t="s">
        <v>1715</v>
      </c>
      <c r="X2525" s="478" t="s">
        <v>1379</v>
      </c>
      <c r="Y2525" s="478" t="s">
        <v>1379</v>
      </c>
      <c r="AA2525" s="479">
        <v>46</v>
      </c>
      <c r="AB2525" s="479">
        <v>8</v>
      </c>
      <c r="AC2525" s="126" t="s">
        <v>2695</v>
      </c>
      <c r="AD2525" s="126">
        <v>5.9</v>
      </c>
      <c r="AE2525" s="126">
        <v>0.88</v>
      </c>
      <c r="AG2525" s="126" t="s">
        <v>2694</v>
      </c>
      <c r="AH2525" s="126" t="s">
        <v>2697</v>
      </c>
      <c r="AI2525" s="126" t="s">
        <v>577</v>
      </c>
      <c r="AJ2525" s="126" t="s">
        <v>1645</v>
      </c>
      <c r="AK2525" s="126" t="s">
        <v>132</v>
      </c>
      <c r="AL2525" s="126" t="s">
        <v>177</v>
      </c>
      <c r="AM2525" s="126" t="s">
        <v>177</v>
      </c>
      <c r="AN2525" s="126" t="s">
        <v>177</v>
      </c>
      <c r="AT2525" s="126" t="s">
        <v>2721</v>
      </c>
      <c r="AU2525" s="126" t="s">
        <v>2721</v>
      </c>
      <c r="AV2525" s="126" t="s">
        <v>177</v>
      </c>
      <c r="AW2525" s="126" t="s">
        <v>160</v>
      </c>
      <c r="AX2525" s="126">
        <v>3</v>
      </c>
      <c r="AY2525" s="126">
        <v>3</v>
      </c>
      <c r="AZ2525" s="126" t="s">
        <v>2692</v>
      </c>
      <c r="BF2525" s="126">
        <v>2894</v>
      </c>
      <c r="BG2525" s="126">
        <v>5653</v>
      </c>
      <c r="BJ2525" s="126" t="s">
        <v>2724</v>
      </c>
      <c r="BK2525" s="126">
        <v>3491</v>
      </c>
      <c r="BL2525" s="126">
        <v>5622</v>
      </c>
      <c r="BP2525" s="481"/>
      <c r="BQ2525" s="481"/>
      <c r="BU2525" s="481">
        <v>0.79</v>
      </c>
      <c r="BV2525" s="481">
        <v>1.1599999999999999</v>
      </c>
      <c r="BZ2525" s="481"/>
      <c r="CA2525" s="481"/>
      <c r="CD2525" s="126" t="s">
        <v>3120</v>
      </c>
      <c r="CE2525" s="605">
        <v>0.79</v>
      </c>
      <c r="CF2525" s="605">
        <v>1.1599999999999999</v>
      </c>
      <c r="CG2525" s="605"/>
      <c r="CH2525" s="605"/>
      <c r="CI2525" s="126" t="s">
        <v>4546</v>
      </c>
      <c r="CO2525" s="126">
        <v>37.200000000000003</v>
      </c>
      <c r="CP2525" s="126">
        <v>30.8</v>
      </c>
      <c r="CS2525" s="126" t="s">
        <v>2723</v>
      </c>
      <c r="CT2525" s="126">
        <v>0.28000000000000003</v>
      </c>
      <c r="CU2525" s="126">
        <v>0.55000000000000004</v>
      </c>
      <c r="CY2525" s="126">
        <v>5.9</v>
      </c>
      <c r="CZ2525" s="126">
        <v>5.9</v>
      </c>
      <c r="DD2525" s="126">
        <f>1.3+3.2+0.28</f>
        <v>4.78</v>
      </c>
      <c r="DE2525" s="126">
        <f>CU2525+1.4+3.7</f>
        <v>5.65</v>
      </c>
      <c r="DH2525" s="126" t="s">
        <v>2722</v>
      </c>
      <c r="JB2525" s="126" t="s">
        <v>2726</v>
      </c>
      <c r="JD2525" s="480"/>
    </row>
    <row r="2526" spans="1:264" s="36" customFormat="1" x14ac:dyDescent="0.25">
      <c r="A2526" s="36">
        <v>119</v>
      </c>
      <c r="B2526" s="51" t="s">
        <v>4328</v>
      </c>
      <c r="C2526" s="36" t="s">
        <v>2711</v>
      </c>
      <c r="D2526" s="36" t="s">
        <v>2712</v>
      </c>
      <c r="E2526" s="36">
        <v>2003</v>
      </c>
      <c r="F2526" s="36">
        <v>2007</v>
      </c>
      <c r="G2526" s="36" t="s">
        <v>2713</v>
      </c>
      <c r="H2526" s="36" t="s">
        <v>2693</v>
      </c>
      <c r="I2526" s="126" t="s">
        <v>2827</v>
      </c>
      <c r="J2526" s="36">
        <v>-15.5</v>
      </c>
      <c r="K2526" s="36">
        <v>35.25</v>
      </c>
      <c r="L2526" s="36">
        <v>1030</v>
      </c>
      <c r="O2526" s="36">
        <v>1400</v>
      </c>
      <c r="P2526" s="36">
        <v>1024</v>
      </c>
      <c r="R2526" s="51" t="s">
        <v>1917</v>
      </c>
      <c r="S2526" s="51" t="s">
        <v>1929</v>
      </c>
      <c r="T2526" s="51"/>
      <c r="U2526" s="51" t="s">
        <v>2725</v>
      </c>
      <c r="V2526" s="51" t="s">
        <v>1379</v>
      </c>
      <c r="W2526" s="51" t="s">
        <v>1715</v>
      </c>
      <c r="X2526" s="51" t="s">
        <v>1379</v>
      </c>
      <c r="Y2526" s="51" t="s">
        <v>1379</v>
      </c>
      <c r="AA2526" s="331">
        <v>46</v>
      </c>
      <c r="AB2526" s="331">
        <v>8</v>
      </c>
      <c r="AC2526" s="36" t="s">
        <v>2695</v>
      </c>
      <c r="AD2526" s="36">
        <v>5.9</v>
      </c>
      <c r="AE2526" s="36">
        <v>0.88</v>
      </c>
      <c r="AG2526" s="36" t="s">
        <v>2694</v>
      </c>
      <c r="AH2526" s="36" t="s">
        <v>2697</v>
      </c>
      <c r="AI2526" s="36" t="s">
        <v>577</v>
      </c>
      <c r="AJ2526" s="36" t="s">
        <v>1645</v>
      </c>
      <c r="AK2526" s="36" t="s">
        <v>132</v>
      </c>
      <c r="AL2526" s="36" t="s">
        <v>177</v>
      </c>
      <c r="AM2526" s="36" t="s">
        <v>177</v>
      </c>
      <c r="AN2526" s="36" t="s">
        <v>177</v>
      </c>
      <c r="AT2526" s="36" t="s">
        <v>2702</v>
      </c>
      <c r="AU2526" s="36" t="s">
        <v>2702</v>
      </c>
      <c r="AV2526" s="36" t="s">
        <v>177</v>
      </c>
      <c r="AW2526" s="36" t="s">
        <v>160</v>
      </c>
      <c r="AX2526" s="36">
        <v>3</v>
      </c>
      <c r="AY2526" s="36">
        <v>3</v>
      </c>
      <c r="AZ2526" s="36" t="s">
        <v>2692</v>
      </c>
      <c r="BF2526" s="36">
        <v>1745</v>
      </c>
      <c r="BG2526" s="36">
        <v>4729</v>
      </c>
      <c r="BJ2526" s="36" t="s">
        <v>2724</v>
      </c>
      <c r="BK2526" s="36">
        <v>1230</v>
      </c>
      <c r="BL2526" s="36">
        <v>4419</v>
      </c>
      <c r="BP2526" s="407"/>
      <c r="BQ2526" s="407"/>
      <c r="BU2526" s="407"/>
      <c r="BV2526" s="407"/>
      <c r="BZ2526" s="407"/>
      <c r="CA2526" s="407"/>
      <c r="CE2526" s="560"/>
      <c r="CF2526" s="560"/>
      <c r="CG2526" s="560"/>
      <c r="CH2526" s="560"/>
      <c r="JB2526" s="36" t="s">
        <v>2726</v>
      </c>
      <c r="JD2526" s="230"/>
    </row>
    <row r="2527" spans="1:264" s="36" customFormat="1" x14ac:dyDescent="0.25">
      <c r="A2527" s="36">
        <v>119</v>
      </c>
      <c r="B2527" s="51" t="s">
        <v>4328</v>
      </c>
      <c r="C2527" s="36" t="s">
        <v>2711</v>
      </c>
      <c r="D2527" s="36" t="s">
        <v>2712</v>
      </c>
      <c r="E2527" s="36">
        <v>2003</v>
      </c>
      <c r="F2527" s="36">
        <v>2007</v>
      </c>
      <c r="G2527" s="36" t="s">
        <v>2713</v>
      </c>
      <c r="H2527" s="36" t="s">
        <v>2693</v>
      </c>
      <c r="I2527" s="126" t="s">
        <v>2827</v>
      </c>
      <c r="J2527" s="36">
        <v>-15.5</v>
      </c>
      <c r="K2527" s="36">
        <v>35.25</v>
      </c>
      <c r="L2527" s="36">
        <v>1030</v>
      </c>
      <c r="O2527" s="36">
        <v>1400</v>
      </c>
      <c r="P2527" s="36">
        <v>1024</v>
      </c>
      <c r="R2527" s="51" t="s">
        <v>1917</v>
      </c>
      <c r="S2527" s="51" t="s">
        <v>1929</v>
      </c>
      <c r="T2527" s="51"/>
      <c r="U2527" s="51" t="s">
        <v>2725</v>
      </c>
      <c r="V2527" s="51" t="s">
        <v>1379</v>
      </c>
      <c r="W2527" s="51" t="s">
        <v>1715</v>
      </c>
      <c r="X2527" s="51" t="s">
        <v>1379</v>
      </c>
      <c r="Y2527" s="51" t="s">
        <v>1379</v>
      </c>
      <c r="AA2527" s="331">
        <v>46</v>
      </c>
      <c r="AB2527" s="331">
        <v>8</v>
      </c>
      <c r="AC2527" s="36" t="s">
        <v>2695</v>
      </c>
      <c r="AD2527" s="36">
        <v>5.9</v>
      </c>
      <c r="AE2527" s="36">
        <v>0.88</v>
      </c>
      <c r="AG2527" s="36" t="s">
        <v>2694</v>
      </c>
      <c r="AH2527" s="36" t="s">
        <v>2697</v>
      </c>
      <c r="AI2527" s="36" t="s">
        <v>577</v>
      </c>
      <c r="AJ2527" s="36" t="s">
        <v>1645</v>
      </c>
      <c r="AK2527" s="36" t="s">
        <v>132</v>
      </c>
      <c r="AL2527" s="36" t="s">
        <v>177</v>
      </c>
      <c r="AM2527" s="36" t="s">
        <v>177</v>
      </c>
      <c r="AN2527" s="36" t="s">
        <v>177</v>
      </c>
      <c r="AT2527" s="36" t="s">
        <v>2714</v>
      </c>
      <c r="AU2527" s="36" t="s">
        <v>2714</v>
      </c>
      <c r="AV2527" s="36" t="s">
        <v>177</v>
      </c>
      <c r="AW2527" s="36" t="s">
        <v>160</v>
      </c>
      <c r="AX2527" s="36">
        <v>3</v>
      </c>
      <c r="AY2527" s="36">
        <v>3</v>
      </c>
      <c r="AZ2527" s="36" t="s">
        <v>2692</v>
      </c>
      <c r="BF2527" s="36">
        <v>1562</v>
      </c>
      <c r="BG2527" s="36">
        <v>3716</v>
      </c>
      <c r="BJ2527" s="36" t="s">
        <v>2724</v>
      </c>
      <c r="BK2527" s="36">
        <v>1025</v>
      </c>
      <c r="BL2527" s="36">
        <v>3392</v>
      </c>
      <c r="BP2527" s="407"/>
      <c r="BQ2527" s="407"/>
      <c r="BU2527" s="407"/>
      <c r="BV2527" s="407"/>
      <c r="BZ2527" s="407"/>
      <c r="CA2527" s="407"/>
      <c r="CE2527" s="560"/>
      <c r="CF2527" s="560"/>
      <c r="CG2527" s="560"/>
      <c r="CH2527" s="560"/>
      <c r="JB2527" s="36" t="s">
        <v>2726</v>
      </c>
      <c r="JD2527" s="230"/>
    </row>
    <row r="2528" spans="1:264" s="36" customFormat="1" x14ac:dyDescent="0.25">
      <c r="A2528" s="36">
        <v>119</v>
      </c>
      <c r="B2528" s="51" t="s">
        <v>4328</v>
      </c>
      <c r="C2528" s="36" t="s">
        <v>2711</v>
      </c>
      <c r="D2528" s="36" t="s">
        <v>2712</v>
      </c>
      <c r="E2528" s="36">
        <v>2003</v>
      </c>
      <c r="F2528" s="36">
        <v>2007</v>
      </c>
      <c r="G2528" s="36" t="s">
        <v>2713</v>
      </c>
      <c r="H2528" s="36" t="s">
        <v>2693</v>
      </c>
      <c r="I2528" s="126" t="s">
        <v>2827</v>
      </c>
      <c r="J2528" s="36">
        <v>-15.5</v>
      </c>
      <c r="K2528" s="36">
        <v>35.25</v>
      </c>
      <c r="L2528" s="36">
        <v>1030</v>
      </c>
      <c r="O2528" s="36">
        <v>1400</v>
      </c>
      <c r="P2528" s="36">
        <v>1024</v>
      </c>
      <c r="R2528" s="51" t="s">
        <v>1917</v>
      </c>
      <c r="S2528" s="51" t="s">
        <v>1929</v>
      </c>
      <c r="T2528" s="51"/>
      <c r="U2528" s="51" t="s">
        <v>2725</v>
      </c>
      <c r="V2528" s="51" t="s">
        <v>1379</v>
      </c>
      <c r="W2528" s="51" t="s">
        <v>1715</v>
      </c>
      <c r="X2528" s="51" t="s">
        <v>1379</v>
      </c>
      <c r="Y2528" s="51" t="s">
        <v>1379</v>
      </c>
      <c r="AA2528" s="331">
        <v>46</v>
      </c>
      <c r="AB2528" s="331">
        <v>8</v>
      </c>
      <c r="AC2528" s="36" t="s">
        <v>2695</v>
      </c>
      <c r="AD2528" s="36">
        <v>5.9</v>
      </c>
      <c r="AE2528" s="36">
        <v>0.88</v>
      </c>
      <c r="AG2528" s="36" t="s">
        <v>2694</v>
      </c>
      <c r="AH2528" s="36" t="s">
        <v>2697</v>
      </c>
      <c r="AI2528" s="36" t="s">
        <v>577</v>
      </c>
      <c r="AJ2528" s="36" t="s">
        <v>1645</v>
      </c>
      <c r="AK2528" s="36" t="s">
        <v>132</v>
      </c>
      <c r="AL2528" s="36" t="s">
        <v>177</v>
      </c>
      <c r="AM2528" s="36" t="s">
        <v>177</v>
      </c>
      <c r="AN2528" s="36" t="s">
        <v>177</v>
      </c>
      <c r="AT2528" s="36" t="s">
        <v>2715</v>
      </c>
      <c r="AU2528" s="36" t="s">
        <v>2715</v>
      </c>
      <c r="AV2528" s="36" t="s">
        <v>177</v>
      </c>
      <c r="AW2528" s="36" t="s">
        <v>160</v>
      </c>
      <c r="AX2528" s="36">
        <v>3</v>
      </c>
      <c r="AY2528" s="36">
        <v>3</v>
      </c>
      <c r="AZ2528" s="36" t="s">
        <v>2692</v>
      </c>
      <c r="BF2528" s="36">
        <v>1563</v>
      </c>
      <c r="BG2528" s="36">
        <v>5135</v>
      </c>
      <c r="BJ2528" s="36" t="s">
        <v>2724</v>
      </c>
      <c r="BK2528" s="36">
        <v>1038</v>
      </c>
      <c r="BL2528" s="36">
        <v>4000</v>
      </c>
      <c r="BP2528" s="407"/>
      <c r="BQ2528" s="407"/>
      <c r="BU2528" s="407"/>
      <c r="BV2528" s="407"/>
      <c r="BZ2528" s="407"/>
      <c r="CA2528" s="407"/>
      <c r="CE2528" s="560"/>
      <c r="CF2528" s="560"/>
      <c r="CG2528" s="560"/>
      <c r="CH2528" s="560"/>
      <c r="JB2528" s="36" t="s">
        <v>2726</v>
      </c>
      <c r="JD2528" s="230"/>
    </row>
    <row r="2529" spans="1:264" s="36" customFormat="1" x14ac:dyDescent="0.25">
      <c r="A2529" s="36">
        <v>119</v>
      </c>
      <c r="B2529" s="51" t="s">
        <v>4329</v>
      </c>
      <c r="C2529" s="36" t="s">
        <v>2711</v>
      </c>
      <c r="D2529" s="36" t="s">
        <v>2712</v>
      </c>
      <c r="E2529" s="36">
        <v>2003</v>
      </c>
      <c r="F2529" s="36">
        <v>2007</v>
      </c>
      <c r="G2529" s="36" t="s">
        <v>2713</v>
      </c>
      <c r="H2529" s="36" t="s">
        <v>2693</v>
      </c>
      <c r="I2529" s="126" t="s">
        <v>2827</v>
      </c>
      <c r="J2529" s="36">
        <v>-15.5</v>
      </c>
      <c r="K2529" s="36">
        <v>35.25</v>
      </c>
      <c r="L2529" s="36">
        <v>1030</v>
      </c>
      <c r="O2529" s="36">
        <v>1400</v>
      </c>
      <c r="P2529" s="36">
        <v>1024</v>
      </c>
      <c r="R2529" s="51" t="s">
        <v>1917</v>
      </c>
      <c r="S2529" s="51" t="s">
        <v>1929</v>
      </c>
      <c r="T2529" s="51"/>
      <c r="U2529" s="51" t="s">
        <v>2725</v>
      </c>
      <c r="V2529" s="51" t="s">
        <v>1379</v>
      </c>
      <c r="W2529" s="51" t="s">
        <v>1715</v>
      </c>
      <c r="X2529" s="51" t="s">
        <v>1379</v>
      </c>
      <c r="Y2529" s="51" t="s">
        <v>1379</v>
      </c>
      <c r="AA2529" s="331">
        <v>46</v>
      </c>
      <c r="AB2529" s="331">
        <v>8</v>
      </c>
      <c r="AC2529" s="36" t="s">
        <v>2695</v>
      </c>
      <c r="AD2529" s="36">
        <v>5.9</v>
      </c>
      <c r="AE2529" s="36">
        <v>0.88</v>
      </c>
      <c r="AG2529" s="36" t="s">
        <v>2694</v>
      </c>
      <c r="AH2529" s="36" t="s">
        <v>2697</v>
      </c>
      <c r="AI2529" s="36" t="s">
        <v>577</v>
      </c>
      <c r="AJ2529" s="36" t="s">
        <v>1645</v>
      </c>
      <c r="AK2529" s="36" t="s">
        <v>132</v>
      </c>
      <c r="AL2529" s="36" t="s">
        <v>177</v>
      </c>
      <c r="AM2529" s="36" t="s">
        <v>177</v>
      </c>
      <c r="AN2529" s="36" t="s">
        <v>177</v>
      </c>
      <c r="AT2529" s="36" t="s">
        <v>2716</v>
      </c>
      <c r="AU2529" s="36" t="s">
        <v>2716</v>
      </c>
      <c r="AV2529" s="36" t="s">
        <v>177</v>
      </c>
      <c r="AW2529" s="36" t="s">
        <v>160</v>
      </c>
      <c r="AX2529" s="36">
        <v>3</v>
      </c>
      <c r="AY2529" s="36">
        <v>3</v>
      </c>
      <c r="AZ2529" s="36" t="s">
        <v>2692</v>
      </c>
      <c r="BF2529" s="36">
        <v>1813</v>
      </c>
      <c r="BG2529" s="36">
        <v>4249</v>
      </c>
      <c r="BJ2529" s="36" t="s">
        <v>2724</v>
      </c>
      <c r="BK2529" s="36">
        <v>2004</v>
      </c>
      <c r="BL2529" s="36">
        <v>3973</v>
      </c>
      <c r="BP2529" s="407"/>
      <c r="BQ2529" s="407"/>
      <c r="BU2529" s="407"/>
      <c r="BV2529" s="407"/>
      <c r="BZ2529" s="407"/>
      <c r="CA2529" s="407"/>
      <c r="CE2529" s="560"/>
      <c r="CF2529" s="560"/>
      <c r="CG2529" s="560"/>
      <c r="CH2529" s="560"/>
      <c r="JB2529" s="36" t="s">
        <v>2726</v>
      </c>
      <c r="JD2529" s="230"/>
    </row>
    <row r="2530" spans="1:264" s="36" customFormat="1" x14ac:dyDescent="0.25">
      <c r="A2530" s="36">
        <v>119</v>
      </c>
      <c r="B2530" s="51" t="s">
        <v>4329</v>
      </c>
      <c r="C2530" s="36" t="s">
        <v>2711</v>
      </c>
      <c r="D2530" s="36" t="s">
        <v>2712</v>
      </c>
      <c r="E2530" s="36">
        <v>2003</v>
      </c>
      <c r="F2530" s="36">
        <v>2007</v>
      </c>
      <c r="G2530" s="36" t="s">
        <v>2713</v>
      </c>
      <c r="H2530" s="36" t="s">
        <v>2693</v>
      </c>
      <c r="I2530" s="126" t="s">
        <v>2827</v>
      </c>
      <c r="J2530" s="36">
        <v>-15.5</v>
      </c>
      <c r="K2530" s="36">
        <v>35.25</v>
      </c>
      <c r="L2530" s="36">
        <v>1030</v>
      </c>
      <c r="O2530" s="36">
        <v>1400</v>
      </c>
      <c r="P2530" s="36">
        <v>1024</v>
      </c>
      <c r="R2530" s="51" t="s">
        <v>1917</v>
      </c>
      <c r="S2530" s="51" t="s">
        <v>1929</v>
      </c>
      <c r="T2530" s="51"/>
      <c r="U2530" s="51" t="s">
        <v>2725</v>
      </c>
      <c r="V2530" s="51" t="s">
        <v>1379</v>
      </c>
      <c r="W2530" s="51" t="s">
        <v>1715</v>
      </c>
      <c r="X2530" s="51" t="s">
        <v>1379</v>
      </c>
      <c r="Y2530" s="51" t="s">
        <v>1379</v>
      </c>
      <c r="AA2530" s="331">
        <v>46</v>
      </c>
      <c r="AB2530" s="331">
        <v>8</v>
      </c>
      <c r="AC2530" s="36" t="s">
        <v>2695</v>
      </c>
      <c r="AD2530" s="36">
        <v>5.9</v>
      </c>
      <c r="AE2530" s="36">
        <v>0.88</v>
      </c>
      <c r="AG2530" s="36" t="s">
        <v>2694</v>
      </c>
      <c r="AH2530" s="36" t="s">
        <v>2697</v>
      </c>
      <c r="AI2530" s="36" t="s">
        <v>577</v>
      </c>
      <c r="AJ2530" s="36" t="s">
        <v>1645</v>
      </c>
      <c r="AK2530" s="36" t="s">
        <v>132</v>
      </c>
      <c r="AL2530" s="36" t="s">
        <v>177</v>
      </c>
      <c r="AM2530" s="36" t="s">
        <v>177</v>
      </c>
      <c r="AN2530" s="36" t="s">
        <v>177</v>
      </c>
      <c r="AT2530" s="36" t="s">
        <v>2717</v>
      </c>
      <c r="AU2530" s="36" t="s">
        <v>2717</v>
      </c>
      <c r="AV2530" s="36" t="s">
        <v>177</v>
      </c>
      <c r="AW2530" s="36" t="s">
        <v>160</v>
      </c>
      <c r="AX2530" s="36">
        <v>3</v>
      </c>
      <c r="AY2530" s="36">
        <v>3</v>
      </c>
      <c r="AZ2530" s="36" t="s">
        <v>2692</v>
      </c>
      <c r="BF2530" s="36">
        <v>2726</v>
      </c>
      <c r="BG2530" s="36">
        <v>4655</v>
      </c>
      <c r="BJ2530" s="36" t="s">
        <v>2724</v>
      </c>
      <c r="BK2530" s="36">
        <v>3358</v>
      </c>
      <c r="BL2530" s="36">
        <v>4365</v>
      </c>
      <c r="BP2530" s="407"/>
      <c r="BQ2530" s="407"/>
      <c r="BU2530" s="407"/>
      <c r="BV2530" s="407"/>
      <c r="BZ2530" s="407"/>
      <c r="CA2530" s="407"/>
      <c r="CE2530" s="560"/>
      <c r="CF2530" s="560"/>
      <c r="CG2530" s="560"/>
      <c r="CH2530" s="560"/>
      <c r="JB2530" s="36" t="s">
        <v>2726</v>
      </c>
      <c r="JD2530" s="230"/>
    </row>
    <row r="2531" spans="1:264" s="36" customFormat="1" x14ac:dyDescent="0.25">
      <c r="A2531" s="36">
        <v>119</v>
      </c>
      <c r="B2531" s="51" t="s">
        <v>4329</v>
      </c>
      <c r="C2531" s="36" t="s">
        <v>2711</v>
      </c>
      <c r="D2531" s="36" t="s">
        <v>2712</v>
      </c>
      <c r="E2531" s="36">
        <v>2003</v>
      </c>
      <c r="F2531" s="36">
        <v>2007</v>
      </c>
      <c r="G2531" s="36" t="s">
        <v>2713</v>
      </c>
      <c r="H2531" s="36" t="s">
        <v>2693</v>
      </c>
      <c r="I2531" s="126" t="s">
        <v>2827</v>
      </c>
      <c r="J2531" s="36">
        <v>-15.5</v>
      </c>
      <c r="K2531" s="36">
        <v>35.25</v>
      </c>
      <c r="L2531" s="36">
        <v>1030</v>
      </c>
      <c r="O2531" s="36">
        <v>1400</v>
      </c>
      <c r="P2531" s="36">
        <v>1024</v>
      </c>
      <c r="R2531" s="51" t="s">
        <v>1917</v>
      </c>
      <c r="S2531" s="51" t="s">
        <v>1929</v>
      </c>
      <c r="T2531" s="51"/>
      <c r="U2531" s="51" t="s">
        <v>2725</v>
      </c>
      <c r="V2531" s="51" t="s">
        <v>1379</v>
      </c>
      <c r="W2531" s="51" t="s">
        <v>1715</v>
      </c>
      <c r="X2531" s="51" t="s">
        <v>1379</v>
      </c>
      <c r="Y2531" s="51" t="s">
        <v>1379</v>
      </c>
      <c r="AA2531" s="331">
        <v>46</v>
      </c>
      <c r="AB2531" s="331">
        <v>8</v>
      </c>
      <c r="AC2531" s="36" t="s">
        <v>2695</v>
      </c>
      <c r="AD2531" s="36">
        <v>5.9</v>
      </c>
      <c r="AE2531" s="36">
        <v>0.88</v>
      </c>
      <c r="AG2531" s="36" t="s">
        <v>2694</v>
      </c>
      <c r="AH2531" s="36" t="s">
        <v>2697</v>
      </c>
      <c r="AI2531" s="36" t="s">
        <v>577</v>
      </c>
      <c r="AJ2531" s="36" t="s">
        <v>1645</v>
      </c>
      <c r="AK2531" s="36" t="s">
        <v>132</v>
      </c>
      <c r="AL2531" s="36" t="s">
        <v>177</v>
      </c>
      <c r="AM2531" s="36" t="s">
        <v>177</v>
      </c>
      <c r="AN2531" s="36" t="s">
        <v>177</v>
      </c>
      <c r="AT2531" s="36" t="s">
        <v>2718</v>
      </c>
      <c r="AU2531" s="36" t="s">
        <v>2718</v>
      </c>
      <c r="AV2531" s="36" t="s">
        <v>177</v>
      </c>
      <c r="AW2531" s="36" t="s">
        <v>160</v>
      </c>
      <c r="AX2531" s="36">
        <v>3</v>
      </c>
      <c r="AY2531" s="36">
        <v>3</v>
      </c>
      <c r="AZ2531" s="36" t="s">
        <v>2692</v>
      </c>
      <c r="BF2531" s="36">
        <v>3009</v>
      </c>
      <c r="BG2531" s="36">
        <v>5729</v>
      </c>
      <c r="BJ2531" s="36" t="s">
        <v>2724</v>
      </c>
      <c r="BK2531" s="36">
        <v>3167</v>
      </c>
      <c r="BL2531" s="36">
        <v>5135</v>
      </c>
      <c r="BP2531" s="407"/>
      <c r="BQ2531" s="407"/>
      <c r="BU2531" s="407"/>
      <c r="BV2531" s="407"/>
      <c r="BZ2531" s="407"/>
      <c r="CA2531" s="407"/>
      <c r="CE2531" s="560"/>
      <c r="CF2531" s="560"/>
      <c r="CG2531" s="560"/>
      <c r="CH2531" s="560"/>
      <c r="JB2531" s="36" t="s">
        <v>2726</v>
      </c>
      <c r="JD2531" s="230"/>
    </row>
    <row r="2532" spans="1:264" s="36" customFormat="1" x14ac:dyDescent="0.25">
      <c r="A2532" s="36">
        <v>119</v>
      </c>
      <c r="B2532" s="51" t="s">
        <v>4330</v>
      </c>
      <c r="C2532" s="36" t="s">
        <v>2711</v>
      </c>
      <c r="D2532" s="36" t="s">
        <v>2712</v>
      </c>
      <c r="E2532" s="36">
        <v>2003</v>
      </c>
      <c r="F2532" s="36">
        <v>2007</v>
      </c>
      <c r="G2532" s="36" t="s">
        <v>2713</v>
      </c>
      <c r="H2532" s="36" t="s">
        <v>2693</v>
      </c>
      <c r="I2532" s="126" t="s">
        <v>2827</v>
      </c>
      <c r="J2532" s="36">
        <v>-15.5</v>
      </c>
      <c r="K2532" s="36">
        <v>35.25</v>
      </c>
      <c r="L2532" s="36">
        <v>1030</v>
      </c>
      <c r="O2532" s="36">
        <v>1400</v>
      </c>
      <c r="P2532" s="36">
        <v>1024</v>
      </c>
      <c r="R2532" s="51" t="s">
        <v>1917</v>
      </c>
      <c r="S2532" s="51" t="s">
        <v>1929</v>
      </c>
      <c r="T2532" s="51"/>
      <c r="U2532" s="51" t="s">
        <v>2725</v>
      </c>
      <c r="V2532" s="51" t="s">
        <v>1379</v>
      </c>
      <c r="W2532" s="51" t="s">
        <v>1715</v>
      </c>
      <c r="X2532" s="51" t="s">
        <v>1379</v>
      </c>
      <c r="Y2532" s="51" t="s">
        <v>1379</v>
      </c>
      <c r="AA2532" s="331">
        <v>46</v>
      </c>
      <c r="AB2532" s="331">
        <v>8</v>
      </c>
      <c r="AC2532" s="36" t="s">
        <v>2695</v>
      </c>
      <c r="AD2532" s="36">
        <v>5.9</v>
      </c>
      <c r="AE2532" s="36">
        <v>0.88</v>
      </c>
      <c r="AG2532" s="36" t="s">
        <v>2694</v>
      </c>
      <c r="AH2532" s="36" t="s">
        <v>2697</v>
      </c>
      <c r="AI2532" s="36" t="s">
        <v>577</v>
      </c>
      <c r="AJ2532" s="36" t="s">
        <v>1645</v>
      </c>
      <c r="AK2532" s="36" t="s">
        <v>132</v>
      </c>
      <c r="AL2532" s="36" t="s">
        <v>177</v>
      </c>
      <c r="AM2532" s="36" t="s">
        <v>177</v>
      </c>
      <c r="AN2532" s="36" t="s">
        <v>177</v>
      </c>
      <c r="AT2532" s="36" t="s">
        <v>2719</v>
      </c>
      <c r="AU2532" s="36" t="s">
        <v>2719</v>
      </c>
      <c r="AV2532" s="36" t="s">
        <v>177</v>
      </c>
      <c r="AW2532" s="36" t="s">
        <v>160</v>
      </c>
      <c r="AX2532" s="36">
        <v>3</v>
      </c>
      <c r="AY2532" s="36">
        <v>3</v>
      </c>
      <c r="AZ2532" s="36" t="s">
        <v>2692</v>
      </c>
      <c r="BF2532" s="36">
        <v>1436</v>
      </c>
      <c r="BG2532" s="36">
        <v>3749</v>
      </c>
      <c r="BJ2532" s="36" t="s">
        <v>2724</v>
      </c>
      <c r="BK2532" s="36">
        <v>2136</v>
      </c>
      <c r="BL2532" s="36">
        <v>3486</v>
      </c>
      <c r="BP2532" s="407"/>
      <c r="BQ2532" s="407"/>
      <c r="BU2532" s="407"/>
      <c r="BV2532" s="407"/>
      <c r="BZ2532" s="407"/>
      <c r="CA2532" s="407"/>
      <c r="CE2532" s="560"/>
      <c r="CF2532" s="560"/>
      <c r="CG2532" s="560"/>
      <c r="CH2532" s="560"/>
      <c r="JB2532" s="36" t="s">
        <v>2726</v>
      </c>
      <c r="JD2532" s="230"/>
    </row>
    <row r="2533" spans="1:264" s="36" customFormat="1" x14ac:dyDescent="0.25">
      <c r="A2533" s="36">
        <v>119</v>
      </c>
      <c r="B2533" s="51" t="s">
        <v>4330</v>
      </c>
      <c r="C2533" s="36" t="s">
        <v>2711</v>
      </c>
      <c r="D2533" s="36" t="s">
        <v>2712</v>
      </c>
      <c r="E2533" s="36">
        <v>2003</v>
      </c>
      <c r="F2533" s="36">
        <v>2007</v>
      </c>
      <c r="G2533" s="36" t="s">
        <v>2713</v>
      </c>
      <c r="H2533" s="36" t="s">
        <v>2693</v>
      </c>
      <c r="I2533" s="126" t="s">
        <v>2827</v>
      </c>
      <c r="J2533" s="36">
        <v>-15.5</v>
      </c>
      <c r="K2533" s="36">
        <v>35.25</v>
      </c>
      <c r="L2533" s="36">
        <v>1030</v>
      </c>
      <c r="O2533" s="36">
        <v>1400</v>
      </c>
      <c r="P2533" s="36">
        <v>1024</v>
      </c>
      <c r="R2533" s="51" t="s">
        <v>1917</v>
      </c>
      <c r="S2533" s="51" t="s">
        <v>1929</v>
      </c>
      <c r="T2533" s="51"/>
      <c r="U2533" s="51" t="s">
        <v>2725</v>
      </c>
      <c r="V2533" s="51" t="s">
        <v>1379</v>
      </c>
      <c r="W2533" s="51" t="s">
        <v>1715</v>
      </c>
      <c r="X2533" s="51" t="s">
        <v>1379</v>
      </c>
      <c r="Y2533" s="51" t="s">
        <v>1379</v>
      </c>
      <c r="AA2533" s="331">
        <v>46</v>
      </c>
      <c r="AB2533" s="331">
        <v>8</v>
      </c>
      <c r="AC2533" s="36" t="s">
        <v>2695</v>
      </c>
      <c r="AD2533" s="36">
        <v>5.9</v>
      </c>
      <c r="AE2533" s="36">
        <v>0.88</v>
      </c>
      <c r="AG2533" s="36" t="s">
        <v>2694</v>
      </c>
      <c r="AH2533" s="36" t="s">
        <v>2697</v>
      </c>
      <c r="AI2533" s="36" t="s">
        <v>577</v>
      </c>
      <c r="AJ2533" s="36" t="s">
        <v>1645</v>
      </c>
      <c r="AK2533" s="36" t="s">
        <v>132</v>
      </c>
      <c r="AL2533" s="36" t="s">
        <v>177</v>
      </c>
      <c r="AM2533" s="36" t="s">
        <v>177</v>
      </c>
      <c r="AN2533" s="36" t="s">
        <v>177</v>
      </c>
      <c r="AT2533" s="36" t="s">
        <v>2720</v>
      </c>
      <c r="AU2533" s="36" t="s">
        <v>2720</v>
      </c>
      <c r="AV2533" s="36" t="s">
        <v>177</v>
      </c>
      <c r="AW2533" s="36" t="s">
        <v>160</v>
      </c>
      <c r="AX2533" s="36">
        <v>3</v>
      </c>
      <c r="AY2533" s="36">
        <v>3</v>
      </c>
      <c r="AZ2533" s="36" t="s">
        <v>2692</v>
      </c>
      <c r="BF2533" s="36">
        <v>2490</v>
      </c>
      <c r="BG2533" s="36">
        <v>4655</v>
      </c>
      <c r="BJ2533" s="36" t="s">
        <v>2724</v>
      </c>
      <c r="BK2533" s="36">
        <v>2519</v>
      </c>
      <c r="BL2533" s="36">
        <v>5095</v>
      </c>
      <c r="BP2533" s="407"/>
      <c r="BQ2533" s="407"/>
      <c r="BU2533" s="407"/>
      <c r="BV2533" s="407"/>
      <c r="BZ2533" s="407"/>
      <c r="CA2533" s="407"/>
      <c r="CE2533" s="560"/>
      <c r="CF2533" s="560"/>
      <c r="CG2533" s="560"/>
      <c r="CH2533" s="560"/>
      <c r="JB2533" s="36" t="s">
        <v>2726</v>
      </c>
      <c r="JD2533" s="230"/>
    </row>
    <row r="2534" spans="1:264" s="36" customFormat="1" x14ac:dyDescent="0.25">
      <c r="A2534" s="36">
        <v>119</v>
      </c>
      <c r="B2534" s="51" t="s">
        <v>4330</v>
      </c>
      <c r="C2534" s="36" t="s">
        <v>2711</v>
      </c>
      <c r="D2534" s="36" t="s">
        <v>2712</v>
      </c>
      <c r="E2534" s="36">
        <v>2003</v>
      </c>
      <c r="F2534" s="36">
        <v>2007</v>
      </c>
      <c r="G2534" s="36" t="s">
        <v>2713</v>
      </c>
      <c r="H2534" s="36" t="s">
        <v>2693</v>
      </c>
      <c r="I2534" s="126" t="s">
        <v>2827</v>
      </c>
      <c r="J2534" s="36">
        <v>-15.5</v>
      </c>
      <c r="K2534" s="36">
        <v>35.25</v>
      </c>
      <c r="L2534" s="36">
        <v>1030</v>
      </c>
      <c r="O2534" s="36">
        <v>1400</v>
      </c>
      <c r="P2534" s="36">
        <v>1024</v>
      </c>
      <c r="R2534" s="51" t="s">
        <v>1917</v>
      </c>
      <c r="S2534" s="51" t="s">
        <v>1929</v>
      </c>
      <c r="T2534" s="51"/>
      <c r="U2534" s="51" t="s">
        <v>2725</v>
      </c>
      <c r="V2534" s="51" t="s">
        <v>1379</v>
      </c>
      <c r="W2534" s="51" t="s">
        <v>1715</v>
      </c>
      <c r="X2534" s="51" t="s">
        <v>1379</v>
      </c>
      <c r="Y2534" s="51" t="s">
        <v>1379</v>
      </c>
      <c r="AA2534" s="331">
        <v>46</v>
      </c>
      <c r="AB2534" s="331">
        <v>8</v>
      </c>
      <c r="AC2534" s="36" t="s">
        <v>2695</v>
      </c>
      <c r="AD2534" s="36">
        <v>5.9</v>
      </c>
      <c r="AE2534" s="36">
        <v>0.88</v>
      </c>
      <c r="AG2534" s="36" t="s">
        <v>2694</v>
      </c>
      <c r="AH2534" s="36" t="s">
        <v>2697</v>
      </c>
      <c r="AI2534" s="36" t="s">
        <v>577</v>
      </c>
      <c r="AJ2534" s="36" t="s">
        <v>1645</v>
      </c>
      <c r="AK2534" s="36" t="s">
        <v>132</v>
      </c>
      <c r="AL2534" s="36" t="s">
        <v>177</v>
      </c>
      <c r="AM2534" s="36" t="s">
        <v>177</v>
      </c>
      <c r="AN2534" s="36" t="s">
        <v>177</v>
      </c>
      <c r="AT2534" s="36" t="s">
        <v>2721</v>
      </c>
      <c r="AU2534" s="36" t="s">
        <v>2721</v>
      </c>
      <c r="AV2534" s="36" t="s">
        <v>177</v>
      </c>
      <c r="AW2534" s="36" t="s">
        <v>160</v>
      </c>
      <c r="AX2534" s="36">
        <v>3</v>
      </c>
      <c r="AY2534" s="36">
        <v>3</v>
      </c>
      <c r="AZ2534" s="36" t="s">
        <v>2692</v>
      </c>
      <c r="BF2534" s="36">
        <v>2509</v>
      </c>
      <c r="BG2534" s="36">
        <v>5729</v>
      </c>
      <c r="BJ2534" s="36" t="s">
        <v>2724</v>
      </c>
      <c r="BK2534" s="36">
        <v>2834</v>
      </c>
      <c r="BL2534" s="36">
        <v>4081</v>
      </c>
      <c r="BP2534" s="407"/>
      <c r="BQ2534" s="407"/>
      <c r="BU2534" s="407"/>
      <c r="BV2534" s="407"/>
      <c r="BZ2534" s="407"/>
      <c r="CA2534" s="407"/>
      <c r="CE2534" s="560"/>
      <c r="CF2534" s="560"/>
      <c r="CG2534" s="560"/>
      <c r="CH2534" s="560"/>
      <c r="JB2534" s="36" t="s">
        <v>2726</v>
      </c>
      <c r="JD2534" s="230"/>
    </row>
    <row r="2535" spans="1:264" s="126" customFormat="1" x14ac:dyDescent="0.25">
      <c r="A2535" s="126">
        <v>119</v>
      </c>
      <c r="B2535" s="478" t="s">
        <v>4328</v>
      </c>
      <c r="C2535" s="126" t="s">
        <v>2711</v>
      </c>
      <c r="D2535" s="126" t="s">
        <v>2712</v>
      </c>
      <c r="E2535" s="126">
        <v>2004</v>
      </c>
      <c r="F2535" s="126">
        <v>2007</v>
      </c>
      <c r="G2535" s="126" t="s">
        <v>2713</v>
      </c>
      <c r="H2535" s="126" t="s">
        <v>2693</v>
      </c>
      <c r="I2535" s="126" t="s">
        <v>2827</v>
      </c>
      <c r="J2535" s="126">
        <v>-15.5</v>
      </c>
      <c r="K2535" s="126">
        <v>35.25</v>
      </c>
      <c r="L2535" s="126">
        <v>1030</v>
      </c>
      <c r="O2535" s="126">
        <v>700</v>
      </c>
      <c r="P2535" s="126">
        <v>1024</v>
      </c>
      <c r="R2535" s="478" t="s">
        <v>1954</v>
      </c>
      <c r="S2535" s="478" t="s">
        <v>1929</v>
      </c>
      <c r="T2535" s="478"/>
      <c r="U2535" s="478" t="s">
        <v>2725</v>
      </c>
      <c r="V2535" s="478" t="s">
        <v>1379</v>
      </c>
      <c r="W2535" s="478" t="s">
        <v>1715</v>
      </c>
      <c r="X2535" s="478" t="s">
        <v>1379</v>
      </c>
      <c r="Y2535" s="478" t="s">
        <v>1379</v>
      </c>
      <c r="AA2535" s="479">
        <v>46</v>
      </c>
      <c r="AB2535" s="479">
        <v>8</v>
      </c>
      <c r="AC2535" s="126" t="s">
        <v>2695</v>
      </c>
      <c r="AD2535" s="126">
        <v>5.9</v>
      </c>
      <c r="AE2535" s="126">
        <v>0.88</v>
      </c>
      <c r="AG2535" s="126" t="s">
        <v>2694</v>
      </c>
      <c r="AH2535" s="126" t="s">
        <v>2697</v>
      </c>
      <c r="AI2535" s="126" t="s">
        <v>577</v>
      </c>
      <c r="AJ2535" s="126" t="s">
        <v>1645</v>
      </c>
      <c r="AK2535" s="126" t="s">
        <v>132</v>
      </c>
      <c r="AL2535" s="126" t="s">
        <v>177</v>
      </c>
      <c r="AM2535" s="126" t="s">
        <v>177</v>
      </c>
      <c r="AN2535" s="126" t="s">
        <v>177</v>
      </c>
      <c r="AT2535" s="126" t="s">
        <v>2702</v>
      </c>
      <c r="AU2535" s="126" t="s">
        <v>2702</v>
      </c>
      <c r="AV2535" s="126" t="s">
        <v>177</v>
      </c>
      <c r="AW2535" s="126" t="s">
        <v>160</v>
      </c>
      <c r="AX2535" s="126">
        <v>3</v>
      </c>
      <c r="AY2535" s="126">
        <v>3</v>
      </c>
      <c r="AZ2535" s="126" t="s">
        <v>2692</v>
      </c>
      <c r="BF2535" s="126">
        <v>3308</v>
      </c>
      <c r="BG2535" s="126">
        <v>7284</v>
      </c>
      <c r="BJ2535" s="126" t="s">
        <v>2724</v>
      </c>
      <c r="BK2535" s="126">
        <v>586</v>
      </c>
      <c r="BL2535" s="126">
        <v>3905</v>
      </c>
      <c r="BP2535" s="481"/>
      <c r="BQ2535" s="481"/>
      <c r="BU2535" s="481"/>
      <c r="BV2535" s="481"/>
      <c r="BZ2535" s="481"/>
      <c r="CA2535" s="481"/>
      <c r="CE2535" s="605"/>
      <c r="CF2535" s="605"/>
      <c r="CG2535" s="605"/>
      <c r="CH2535" s="605"/>
      <c r="JB2535" s="126" t="s">
        <v>2726</v>
      </c>
      <c r="JD2535" s="480"/>
    </row>
    <row r="2536" spans="1:264" s="126" customFormat="1" x14ac:dyDescent="0.25">
      <c r="A2536" s="126">
        <v>119</v>
      </c>
      <c r="B2536" s="478" t="s">
        <v>4328</v>
      </c>
      <c r="C2536" s="126" t="s">
        <v>2711</v>
      </c>
      <c r="D2536" s="126" t="s">
        <v>2712</v>
      </c>
      <c r="E2536" s="126">
        <v>2004</v>
      </c>
      <c r="F2536" s="126">
        <v>2007</v>
      </c>
      <c r="G2536" s="126" t="s">
        <v>2713</v>
      </c>
      <c r="H2536" s="126" t="s">
        <v>2693</v>
      </c>
      <c r="I2536" s="126" t="s">
        <v>2827</v>
      </c>
      <c r="J2536" s="126">
        <v>-15.5</v>
      </c>
      <c r="K2536" s="126">
        <v>35.25</v>
      </c>
      <c r="L2536" s="126">
        <v>1030</v>
      </c>
      <c r="O2536" s="126">
        <v>700</v>
      </c>
      <c r="P2536" s="126">
        <v>1024</v>
      </c>
      <c r="R2536" s="478" t="s">
        <v>1954</v>
      </c>
      <c r="S2536" s="478" t="s">
        <v>1929</v>
      </c>
      <c r="T2536" s="478"/>
      <c r="U2536" s="478" t="s">
        <v>2725</v>
      </c>
      <c r="V2536" s="478" t="s">
        <v>1379</v>
      </c>
      <c r="W2536" s="478" t="s">
        <v>1715</v>
      </c>
      <c r="X2536" s="478" t="s">
        <v>1379</v>
      </c>
      <c r="Y2536" s="478" t="s">
        <v>1379</v>
      </c>
      <c r="AA2536" s="479">
        <v>46</v>
      </c>
      <c r="AB2536" s="479">
        <v>8</v>
      </c>
      <c r="AC2536" s="126" t="s">
        <v>2695</v>
      </c>
      <c r="AD2536" s="126">
        <v>5.9</v>
      </c>
      <c r="AE2536" s="126">
        <v>0.88</v>
      </c>
      <c r="AG2536" s="126" t="s">
        <v>2694</v>
      </c>
      <c r="AH2536" s="126" t="s">
        <v>2697</v>
      </c>
      <c r="AI2536" s="126" t="s">
        <v>577</v>
      </c>
      <c r="AJ2536" s="126" t="s">
        <v>1645</v>
      </c>
      <c r="AK2536" s="126" t="s">
        <v>132</v>
      </c>
      <c r="AL2536" s="126" t="s">
        <v>177</v>
      </c>
      <c r="AM2536" s="126" t="s">
        <v>177</v>
      </c>
      <c r="AN2536" s="126" t="s">
        <v>177</v>
      </c>
      <c r="AT2536" s="126" t="s">
        <v>2714</v>
      </c>
      <c r="AU2536" s="126" t="s">
        <v>2714</v>
      </c>
      <c r="AV2536" s="126" t="s">
        <v>177</v>
      </c>
      <c r="AW2536" s="126" t="s">
        <v>160</v>
      </c>
      <c r="AX2536" s="126">
        <v>3</v>
      </c>
      <c r="AY2536" s="126">
        <v>3</v>
      </c>
      <c r="AZ2536" s="126" t="s">
        <v>2692</v>
      </c>
      <c r="BF2536" s="126">
        <v>2375</v>
      </c>
      <c r="BG2536" s="126">
        <v>7001</v>
      </c>
      <c r="BJ2536" s="126" t="s">
        <v>2724</v>
      </c>
      <c r="BK2536" s="126">
        <v>791</v>
      </c>
      <c r="BL2536" s="126">
        <v>3622</v>
      </c>
      <c r="BP2536" s="481"/>
      <c r="BQ2536" s="481"/>
      <c r="BU2536" s="481"/>
      <c r="BV2536" s="481"/>
      <c r="BZ2536" s="481"/>
      <c r="CA2536" s="481"/>
      <c r="CE2536" s="605"/>
      <c r="CF2536" s="605"/>
      <c r="CG2536" s="605"/>
      <c r="CH2536" s="605"/>
      <c r="JB2536" s="126" t="s">
        <v>2726</v>
      </c>
      <c r="JD2536" s="480"/>
    </row>
    <row r="2537" spans="1:264" s="126" customFormat="1" x14ac:dyDescent="0.25">
      <c r="A2537" s="126">
        <v>119</v>
      </c>
      <c r="B2537" s="478" t="s">
        <v>4328</v>
      </c>
      <c r="C2537" s="126" t="s">
        <v>2711</v>
      </c>
      <c r="D2537" s="126" t="s">
        <v>2712</v>
      </c>
      <c r="E2537" s="126">
        <v>2004</v>
      </c>
      <c r="F2537" s="126">
        <v>2007</v>
      </c>
      <c r="G2537" s="126" t="s">
        <v>2713</v>
      </c>
      <c r="H2537" s="126" t="s">
        <v>2693</v>
      </c>
      <c r="I2537" s="126" t="s">
        <v>2827</v>
      </c>
      <c r="J2537" s="126">
        <v>-15.5</v>
      </c>
      <c r="K2537" s="126">
        <v>35.25</v>
      </c>
      <c r="L2537" s="126">
        <v>1030</v>
      </c>
      <c r="O2537" s="126">
        <v>700</v>
      </c>
      <c r="P2537" s="126">
        <v>1024</v>
      </c>
      <c r="R2537" s="478" t="s">
        <v>1954</v>
      </c>
      <c r="S2537" s="478" t="s">
        <v>1929</v>
      </c>
      <c r="T2537" s="478"/>
      <c r="U2537" s="478" t="s">
        <v>2725</v>
      </c>
      <c r="V2537" s="478" t="s">
        <v>1379</v>
      </c>
      <c r="W2537" s="478" t="s">
        <v>1715</v>
      </c>
      <c r="X2537" s="478" t="s">
        <v>1379</v>
      </c>
      <c r="Y2537" s="478" t="s">
        <v>1379</v>
      </c>
      <c r="AA2537" s="479">
        <v>46</v>
      </c>
      <c r="AB2537" s="479">
        <v>8</v>
      </c>
      <c r="AC2537" s="126" t="s">
        <v>2695</v>
      </c>
      <c r="AD2537" s="126">
        <v>5.9</v>
      </c>
      <c r="AE2537" s="126">
        <v>0.88</v>
      </c>
      <c r="AG2537" s="126" t="s">
        <v>2694</v>
      </c>
      <c r="AH2537" s="126" t="s">
        <v>2697</v>
      </c>
      <c r="AI2537" s="126" t="s">
        <v>577</v>
      </c>
      <c r="AJ2537" s="126" t="s">
        <v>1645</v>
      </c>
      <c r="AK2537" s="126" t="s">
        <v>132</v>
      </c>
      <c r="AL2537" s="126" t="s">
        <v>177</v>
      </c>
      <c r="AM2537" s="126" t="s">
        <v>177</v>
      </c>
      <c r="AN2537" s="126" t="s">
        <v>177</v>
      </c>
      <c r="AT2537" s="126" t="s">
        <v>2715</v>
      </c>
      <c r="AU2537" s="126" t="s">
        <v>2715</v>
      </c>
      <c r="AV2537" s="126" t="s">
        <v>177</v>
      </c>
      <c r="AW2537" s="126" t="s">
        <v>160</v>
      </c>
      <c r="AX2537" s="126">
        <v>3</v>
      </c>
      <c r="AY2537" s="126">
        <v>3</v>
      </c>
      <c r="AZ2537" s="126" t="s">
        <v>2692</v>
      </c>
      <c r="BF2537" s="126">
        <v>2375</v>
      </c>
      <c r="BG2537" s="126">
        <v>6089</v>
      </c>
      <c r="BJ2537" s="126" t="s">
        <v>2724</v>
      </c>
      <c r="BK2537" s="126">
        <v>709</v>
      </c>
      <c r="BL2537" s="126">
        <v>3514</v>
      </c>
      <c r="BP2537" s="481"/>
      <c r="BQ2537" s="481"/>
      <c r="BU2537" s="481"/>
      <c r="BV2537" s="481"/>
      <c r="BZ2537" s="481"/>
      <c r="CA2537" s="481"/>
      <c r="CE2537" s="605"/>
      <c r="CF2537" s="605"/>
      <c r="CG2537" s="605"/>
      <c r="CH2537" s="605"/>
      <c r="JB2537" s="126" t="s">
        <v>2726</v>
      </c>
      <c r="JD2537" s="480"/>
    </row>
    <row r="2538" spans="1:264" s="126" customFormat="1" x14ac:dyDescent="0.25">
      <c r="A2538" s="126">
        <v>119</v>
      </c>
      <c r="B2538" s="478" t="s">
        <v>4329</v>
      </c>
      <c r="C2538" s="126" t="s">
        <v>2711</v>
      </c>
      <c r="D2538" s="126" t="s">
        <v>2712</v>
      </c>
      <c r="E2538" s="126">
        <v>2004</v>
      </c>
      <c r="F2538" s="126">
        <v>2007</v>
      </c>
      <c r="G2538" s="126" t="s">
        <v>2713</v>
      </c>
      <c r="H2538" s="126" t="s">
        <v>2693</v>
      </c>
      <c r="I2538" s="126" t="s">
        <v>2827</v>
      </c>
      <c r="J2538" s="126">
        <v>-15.5</v>
      </c>
      <c r="K2538" s="126">
        <v>35.25</v>
      </c>
      <c r="L2538" s="126">
        <v>1030</v>
      </c>
      <c r="O2538" s="126">
        <v>700</v>
      </c>
      <c r="P2538" s="126">
        <v>1024</v>
      </c>
      <c r="R2538" s="478" t="s">
        <v>1954</v>
      </c>
      <c r="S2538" s="478" t="s">
        <v>1929</v>
      </c>
      <c r="T2538" s="478"/>
      <c r="U2538" s="478" t="s">
        <v>2725</v>
      </c>
      <c r="V2538" s="478" t="s">
        <v>1379</v>
      </c>
      <c r="W2538" s="478" t="s">
        <v>1715</v>
      </c>
      <c r="X2538" s="478" t="s">
        <v>1379</v>
      </c>
      <c r="Y2538" s="478" t="s">
        <v>1379</v>
      </c>
      <c r="AA2538" s="479">
        <v>46</v>
      </c>
      <c r="AB2538" s="479">
        <v>8</v>
      </c>
      <c r="AC2538" s="126" t="s">
        <v>2695</v>
      </c>
      <c r="AD2538" s="126">
        <v>5.9</v>
      </c>
      <c r="AE2538" s="126">
        <v>0.88</v>
      </c>
      <c r="AG2538" s="126" t="s">
        <v>2694</v>
      </c>
      <c r="AH2538" s="126" t="s">
        <v>2697</v>
      </c>
      <c r="AI2538" s="126" t="s">
        <v>577</v>
      </c>
      <c r="AJ2538" s="126" t="s">
        <v>1645</v>
      </c>
      <c r="AK2538" s="126" t="s">
        <v>132</v>
      </c>
      <c r="AL2538" s="126" t="s">
        <v>177</v>
      </c>
      <c r="AM2538" s="126" t="s">
        <v>177</v>
      </c>
      <c r="AN2538" s="126" t="s">
        <v>177</v>
      </c>
      <c r="AT2538" s="126" t="s">
        <v>2716</v>
      </c>
      <c r="AU2538" s="126" t="s">
        <v>2716</v>
      </c>
      <c r="AV2538" s="126" t="s">
        <v>177</v>
      </c>
      <c r="AW2538" s="126" t="s">
        <v>160</v>
      </c>
      <c r="AX2538" s="126">
        <v>3</v>
      </c>
      <c r="AY2538" s="126">
        <v>3</v>
      </c>
      <c r="AZ2538" s="126" t="s">
        <v>2692</v>
      </c>
      <c r="BF2538" s="126">
        <v>4977</v>
      </c>
      <c r="BG2538" s="126">
        <v>6359</v>
      </c>
      <c r="BJ2538" s="126" t="s">
        <v>2724</v>
      </c>
      <c r="BK2538" s="126">
        <v>3098</v>
      </c>
      <c r="BL2538" s="126">
        <v>4243</v>
      </c>
      <c r="BP2538" s="481"/>
      <c r="BQ2538" s="481"/>
      <c r="BU2538" s="481"/>
      <c r="BV2538" s="481"/>
      <c r="BZ2538" s="481"/>
      <c r="CA2538" s="481"/>
      <c r="CE2538" s="605"/>
      <c r="CF2538" s="605"/>
      <c r="CG2538" s="605"/>
      <c r="CH2538" s="605"/>
      <c r="JB2538" s="126" t="s">
        <v>2726</v>
      </c>
      <c r="JD2538" s="480"/>
    </row>
    <row r="2539" spans="1:264" s="126" customFormat="1" x14ac:dyDescent="0.25">
      <c r="A2539" s="126">
        <v>119</v>
      </c>
      <c r="B2539" s="478" t="s">
        <v>4329</v>
      </c>
      <c r="C2539" s="126" t="s">
        <v>2711</v>
      </c>
      <c r="D2539" s="126" t="s">
        <v>2712</v>
      </c>
      <c r="E2539" s="126">
        <v>2004</v>
      </c>
      <c r="F2539" s="126">
        <v>2007</v>
      </c>
      <c r="G2539" s="126" t="s">
        <v>2713</v>
      </c>
      <c r="H2539" s="126" t="s">
        <v>2693</v>
      </c>
      <c r="I2539" s="126" t="s">
        <v>2827</v>
      </c>
      <c r="J2539" s="126">
        <v>-15.5</v>
      </c>
      <c r="K2539" s="126">
        <v>35.25</v>
      </c>
      <c r="L2539" s="126">
        <v>1030</v>
      </c>
      <c r="O2539" s="126">
        <v>700</v>
      </c>
      <c r="P2539" s="126">
        <v>1024</v>
      </c>
      <c r="R2539" s="478" t="s">
        <v>1954</v>
      </c>
      <c r="S2539" s="478" t="s">
        <v>1929</v>
      </c>
      <c r="T2539" s="478"/>
      <c r="U2539" s="478" t="s">
        <v>2725</v>
      </c>
      <c r="V2539" s="478" t="s">
        <v>1379</v>
      </c>
      <c r="W2539" s="478" t="s">
        <v>1715</v>
      </c>
      <c r="X2539" s="478" t="s">
        <v>1379</v>
      </c>
      <c r="Y2539" s="478" t="s">
        <v>1379</v>
      </c>
      <c r="AA2539" s="479">
        <v>46</v>
      </c>
      <c r="AB2539" s="479">
        <v>8</v>
      </c>
      <c r="AC2539" s="126" t="s">
        <v>2695</v>
      </c>
      <c r="AD2539" s="126">
        <v>5.9</v>
      </c>
      <c r="AE2539" s="126">
        <v>0.88</v>
      </c>
      <c r="AG2539" s="126" t="s">
        <v>2694</v>
      </c>
      <c r="AH2539" s="126" t="s">
        <v>2697</v>
      </c>
      <c r="AI2539" s="126" t="s">
        <v>577</v>
      </c>
      <c r="AJ2539" s="126" t="s">
        <v>1645</v>
      </c>
      <c r="AK2539" s="126" t="s">
        <v>132</v>
      </c>
      <c r="AL2539" s="126" t="s">
        <v>177</v>
      </c>
      <c r="AM2539" s="126" t="s">
        <v>177</v>
      </c>
      <c r="AN2539" s="126" t="s">
        <v>177</v>
      </c>
      <c r="AT2539" s="126" t="s">
        <v>2717</v>
      </c>
      <c r="AU2539" s="126" t="s">
        <v>2717</v>
      </c>
      <c r="AV2539" s="126" t="s">
        <v>177</v>
      </c>
      <c r="AW2539" s="126" t="s">
        <v>160</v>
      </c>
      <c r="AX2539" s="126">
        <v>3</v>
      </c>
      <c r="AY2539" s="126">
        <v>3</v>
      </c>
      <c r="AZ2539" s="126" t="s">
        <v>2692</v>
      </c>
      <c r="BF2539" s="126">
        <v>6072</v>
      </c>
      <c r="BG2539" s="126">
        <v>6804</v>
      </c>
      <c r="BJ2539" s="126" t="s">
        <v>2724</v>
      </c>
      <c r="BK2539" s="126">
        <v>4479</v>
      </c>
      <c r="BL2539" s="126">
        <v>4892</v>
      </c>
      <c r="BP2539" s="481"/>
      <c r="BQ2539" s="481"/>
      <c r="BU2539" s="481"/>
      <c r="BV2539" s="481"/>
      <c r="BZ2539" s="481"/>
      <c r="CA2539" s="481"/>
      <c r="CE2539" s="605"/>
      <c r="CF2539" s="605"/>
      <c r="CG2539" s="605"/>
      <c r="CH2539" s="605"/>
      <c r="JB2539" s="126" t="s">
        <v>2726</v>
      </c>
      <c r="JD2539" s="480"/>
    </row>
    <row r="2540" spans="1:264" s="126" customFormat="1" x14ac:dyDescent="0.25">
      <c r="A2540" s="126">
        <v>119</v>
      </c>
      <c r="B2540" s="478" t="s">
        <v>4329</v>
      </c>
      <c r="C2540" s="126" t="s">
        <v>2711</v>
      </c>
      <c r="D2540" s="126" t="s">
        <v>2712</v>
      </c>
      <c r="E2540" s="126">
        <v>2004</v>
      </c>
      <c r="F2540" s="126">
        <v>2007</v>
      </c>
      <c r="G2540" s="126" t="s">
        <v>2713</v>
      </c>
      <c r="H2540" s="126" t="s">
        <v>2693</v>
      </c>
      <c r="I2540" s="126" t="s">
        <v>2827</v>
      </c>
      <c r="J2540" s="126">
        <v>-15.5</v>
      </c>
      <c r="K2540" s="126">
        <v>35.25</v>
      </c>
      <c r="L2540" s="126">
        <v>1030</v>
      </c>
      <c r="O2540" s="126">
        <v>700</v>
      </c>
      <c r="P2540" s="126">
        <v>1024</v>
      </c>
      <c r="R2540" s="478" t="s">
        <v>1954</v>
      </c>
      <c r="S2540" s="478" t="s">
        <v>1929</v>
      </c>
      <c r="T2540" s="478"/>
      <c r="U2540" s="478" t="s">
        <v>2725</v>
      </c>
      <c r="V2540" s="478" t="s">
        <v>1379</v>
      </c>
      <c r="W2540" s="478" t="s">
        <v>1715</v>
      </c>
      <c r="X2540" s="478" t="s">
        <v>1379</v>
      </c>
      <c r="Y2540" s="478" t="s">
        <v>1379</v>
      </c>
      <c r="AA2540" s="479">
        <v>46</v>
      </c>
      <c r="AB2540" s="479">
        <v>8</v>
      </c>
      <c r="AC2540" s="126" t="s">
        <v>2695</v>
      </c>
      <c r="AD2540" s="126">
        <v>5.9</v>
      </c>
      <c r="AE2540" s="126">
        <v>0.88</v>
      </c>
      <c r="AG2540" s="126" t="s">
        <v>2694</v>
      </c>
      <c r="AH2540" s="126" t="s">
        <v>2697</v>
      </c>
      <c r="AI2540" s="126" t="s">
        <v>577</v>
      </c>
      <c r="AJ2540" s="126" t="s">
        <v>1645</v>
      </c>
      <c r="AK2540" s="126" t="s">
        <v>132</v>
      </c>
      <c r="AL2540" s="126" t="s">
        <v>177</v>
      </c>
      <c r="AM2540" s="126" t="s">
        <v>177</v>
      </c>
      <c r="AN2540" s="126" t="s">
        <v>177</v>
      </c>
      <c r="AT2540" s="126" t="s">
        <v>2718</v>
      </c>
      <c r="AU2540" s="126" t="s">
        <v>2718</v>
      </c>
      <c r="AV2540" s="126" t="s">
        <v>177</v>
      </c>
      <c r="AW2540" s="126" t="s">
        <v>160</v>
      </c>
      <c r="AX2540" s="126">
        <v>3</v>
      </c>
      <c r="AY2540" s="126">
        <v>3</v>
      </c>
      <c r="AZ2540" s="126" t="s">
        <v>2692</v>
      </c>
      <c r="BF2540" s="126">
        <v>6396</v>
      </c>
      <c r="BG2540" s="126">
        <v>8285</v>
      </c>
      <c r="BJ2540" s="126" t="s">
        <v>2724</v>
      </c>
      <c r="BK2540" s="126">
        <v>4493</v>
      </c>
      <c r="BL2540" s="126">
        <v>6405</v>
      </c>
      <c r="BP2540" s="481"/>
      <c r="BQ2540" s="481"/>
      <c r="BU2540" s="481"/>
      <c r="BV2540" s="481"/>
      <c r="BZ2540" s="481"/>
      <c r="CA2540" s="481"/>
      <c r="CE2540" s="605"/>
      <c r="CF2540" s="605"/>
      <c r="CG2540" s="605"/>
      <c r="CH2540" s="605"/>
      <c r="JB2540" s="126" t="s">
        <v>2726</v>
      </c>
      <c r="JD2540" s="480"/>
    </row>
    <row r="2541" spans="1:264" s="126" customFormat="1" x14ac:dyDescent="0.25">
      <c r="A2541" s="126">
        <v>119</v>
      </c>
      <c r="B2541" s="478" t="s">
        <v>4330</v>
      </c>
      <c r="C2541" s="126" t="s">
        <v>2711</v>
      </c>
      <c r="D2541" s="126" t="s">
        <v>2712</v>
      </c>
      <c r="E2541" s="126">
        <v>2004</v>
      </c>
      <c r="F2541" s="126">
        <v>2007</v>
      </c>
      <c r="G2541" s="126" t="s">
        <v>2713</v>
      </c>
      <c r="H2541" s="126" t="s">
        <v>2693</v>
      </c>
      <c r="I2541" s="126" t="s">
        <v>2827</v>
      </c>
      <c r="J2541" s="126">
        <v>-15.5</v>
      </c>
      <c r="K2541" s="126">
        <v>35.25</v>
      </c>
      <c r="L2541" s="126">
        <v>1030</v>
      </c>
      <c r="O2541" s="126">
        <v>700</v>
      </c>
      <c r="P2541" s="126">
        <v>1024</v>
      </c>
      <c r="R2541" s="478" t="s">
        <v>1954</v>
      </c>
      <c r="S2541" s="478" t="s">
        <v>1929</v>
      </c>
      <c r="T2541" s="478"/>
      <c r="U2541" s="478" t="s">
        <v>2725</v>
      </c>
      <c r="V2541" s="478" t="s">
        <v>1379</v>
      </c>
      <c r="W2541" s="478" t="s">
        <v>1715</v>
      </c>
      <c r="X2541" s="478" t="s">
        <v>1379</v>
      </c>
      <c r="Y2541" s="478" t="s">
        <v>1379</v>
      </c>
      <c r="AA2541" s="479">
        <v>46</v>
      </c>
      <c r="AB2541" s="479">
        <v>8</v>
      </c>
      <c r="AC2541" s="126" t="s">
        <v>2695</v>
      </c>
      <c r="AD2541" s="126">
        <v>5.9</v>
      </c>
      <c r="AE2541" s="126">
        <v>0.88</v>
      </c>
      <c r="AG2541" s="126" t="s">
        <v>2694</v>
      </c>
      <c r="AH2541" s="126" t="s">
        <v>2697</v>
      </c>
      <c r="AI2541" s="126" t="s">
        <v>577</v>
      </c>
      <c r="AJ2541" s="126" t="s">
        <v>1645</v>
      </c>
      <c r="AK2541" s="126" t="s">
        <v>132</v>
      </c>
      <c r="AL2541" s="126" t="s">
        <v>177</v>
      </c>
      <c r="AM2541" s="126" t="s">
        <v>177</v>
      </c>
      <c r="AN2541" s="126" t="s">
        <v>177</v>
      </c>
      <c r="AT2541" s="126" t="s">
        <v>2719</v>
      </c>
      <c r="AU2541" s="126" t="s">
        <v>2719</v>
      </c>
      <c r="AV2541" s="126" t="s">
        <v>177</v>
      </c>
      <c r="AW2541" s="126" t="s">
        <v>160</v>
      </c>
      <c r="AX2541" s="126">
        <v>3</v>
      </c>
      <c r="AY2541" s="126">
        <v>3</v>
      </c>
      <c r="AZ2541" s="126" t="s">
        <v>2692</v>
      </c>
      <c r="BF2541" s="126">
        <v>5126</v>
      </c>
      <c r="BG2541" s="126">
        <v>8028</v>
      </c>
      <c r="BJ2541" s="126" t="s">
        <v>2724</v>
      </c>
      <c r="BK2541" s="126">
        <v>3640</v>
      </c>
      <c r="BL2541" s="126">
        <v>5568</v>
      </c>
      <c r="BP2541" s="481"/>
      <c r="BQ2541" s="481"/>
      <c r="BU2541" s="481"/>
      <c r="BV2541" s="481"/>
      <c r="BZ2541" s="481"/>
      <c r="CA2541" s="481"/>
      <c r="CE2541" s="605"/>
      <c r="CF2541" s="605"/>
      <c r="CG2541" s="605"/>
      <c r="CH2541" s="605"/>
      <c r="JB2541" s="126" t="s">
        <v>2726</v>
      </c>
      <c r="JD2541" s="480"/>
    </row>
    <row r="2542" spans="1:264" s="126" customFormat="1" x14ac:dyDescent="0.25">
      <c r="A2542" s="126">
        <v>119</v>
      </c>
      <c r="B2542" s="478" t="s">
        <v>4330</v>
      </c>
      <c r="C2542" s="126" t="s">
        <v>2711</v>
      </c>
      <c r="D2542" s="126" t="s">
        <v>2712</v>
      </c>
      <c r="E2542" s="126">
        <v>2004</v>
      </c>
      <c r="F2542" s="126">
        <v>2007</v>
      </c>
      <c r="G2542" s="126" t="s">
        <v>2713</v>
      </c>
      <c r="H2542" s="126" t="s">
        <v>2693</v>
      </c>
      <c r="I2542" s="126" t="s">
        <v>2827</v>
      </c>
      <c r="J2542" s="126">
        <v>-15.5</v>
      </c>
      <c r="K2542" s="126">
        <v>35.25</v>
      </c>
      <c r="L2542" s="126">
        <v>1030</v>
      </c>
      <c r="O2542" s="126">
        <v>700</v>
      </c>
      <c r="P2542" s="126">
        <v>1024</v>
      </c>
      <c r="R2542" s="478" t="s">
        <v>1954</v>
      </c>
      <c r="S2542" s="478" t="s">
        <v>1929</v>
      </c>
      <c r="T2542" s="478"/>
      <c r="U2542" s="478" t="s">
        <v>2725</v>
      </c>
      <c r="V2542" s="478" t="s">
        <v>1379</v>
      </c>
      <c r="W2542" s="478" t="s">
        <v>1715</v>
      </c>
      <c r="X2542" s="478" t="s">
        <v>1379</v>
      </c>
      <c r="Y2542" s="478" t="s">
        <v>1379</v>
      </c>
      <c r="AA2542" s="479">
        <v>46</v>
      </c>
      <c r="AB2542" s="479">
        <v>8</v>
      </c>
      <c r="AC2542" s="126" t="s">
        <v>2695</v>
      </c>
      <c r="AD2542" s="126">
        <v>5.9</v>
      </c>
      <c r="AE2542" s="126">
        <v>0.88</v>
      </c>
      <c r="AG2542" s="126" t="s">
        <v>2694</v>
      </c>
      <c r="AH2542" s="126" t="s">
        <v>2697</v>
      </c>
      <c r="AI2542" s="126" t="s">
        <v>577</v>
      </c>
      <c r="AJ2542" s="126" t="s">
        <v>1645</v>
      </c>
      <c r="AK2542" s="126" t="s">
        <v>132</v>
      </c>
      <c r="AL2542" s="126" t="s">
        <v>177</v>
      </c>
      <c r="AM2542" s="126" t="s">
        <v>177</v>
      </c>
      <c r="AN2542" s="126" t="s">
        <v>177</v>
      </c>
      <c r="AT2542" s="126" t="s">
        <v>2720</v>
      </c>
      <c r="AU2542" s="126" t="s">
        <v>2720</v>
      </c>
      <c r="AV2542" s="126" t="s">
        <v>177</v>
      </c>
      <c r="AW2542" s="126" t="s">
        <v>160</v>
      </c>
      <c r="AX2542" s="126">
        <v>3</v>
      </c>
      <c r="AY2542" s="126">
        <v>3</v>
      </c>
      <c r="AZ2542" s="126" t="s">
        <v>2692</v>
      </c>
      <c r="BF2542" s="126">
        <v>5674</v>
      </c>
      <c r="BG2542" s="126">
        <v>7703</v>
      </c>
      <c r="BJ2542" s="126" t="s">
        <v>2724</v>
      </c>
      <c r="BK2542" s="126">
        <v>3954</v>
      </c>
      <c r="BL2542" s="126">
        <v>5202</v>
      </c>
      <c r="BP2542" s="481"/>
      <c r="BQ2542" s="481"/>
      <c r="BU2542" s="481"/>
      <c r="BV2542" s="481"/>
      <c r="BZ2542" s="481"/>
      <c r="CA2542" s="481"/>
      <c r="CE2542" s="605"/>
      <c r="CF2542" s="605"/>
      <c r="CG2542" s="605"/>
      <c r="CH2542" s="605"/>
      <c r="JB2542" s="126" t="s">
        <v>2726</v>
      </c>
      <c r="JD2542" s="480"/>
    </row>
    <row r="2543" spans="1:264" s="126" customFormat="1" x14ac:dyDescent="0.25">
      <c r="A2543" s="126">
        <v>119</v>
      </c>
      <c r="B2543" s="478" t="s">
        <v>4330</v>
      </c>
      <c r="C2543" s="126" t="s">
        <v>2711</v>
      </c>
      <c r="D2543" s="126" t="s">
        <v>2712</v>
      </c>
      <c r="E2543" s="126">
        <v>2004</v>
      </c>
      <c r="F2543" s="126">
        <v>2007</v>
      </c>
      <c r="G2543" s="126" t="s">
        <v>2713</v>
      </c>
      <c r="H2543" s="126" t="s">
        <v>2693</v>
      </c>
      <c r="I2543" s="126" t="s">
        <v>2827</v>
      </c>
      <c r="J2543" s="126">
        <v>-15.5</v>
      </c>
      <c r="K2543" s="126">
        <v>35.25</v>
      </c>
      <c r="L2543" s="126">
        <v>1030</v>
      </c>
      <c r="O2543" s="126">
        <v>700</v>
      </c>
      <c r="P2543" s="126">
        <v>1024</v>
      </c>
      <c r="R2543" s="478" t="s">
        <v>1954</v>
      </c>
      <c r="S2543" s="478" t="s">
        <v>1929</v>
      </c>
      <c r="T2543" s="478"/>
      <c r="U2543" s="478" t="s">
        <v>2725</v>
      </c>
      <c r="V2543" s="478" t="s">
        <v>1379</v>
      </c>
      <c r="W2543" s="478" t="s">
        <v>1715</v>
      </c>
      <c r="X2543" s="478" t="s">
        <v>1379</v>
      </c>
      <c r="Y2543" s="478" t="s">
        <v>1379</v>
      </c>
      <c r="AA2543" s="479">
        <v>46</v>
      </c>
      <c r="AB2543" s="479">
        <v>8</v>
      </c>
      <c r="AC2543" s="126" t="s">
        <v>2695</v>
      </c>
      <c r="AD2543" s="126">
        <v>5.9</v>
      </c>
      <c r="AE2543" s="126">
        <v>0.88</v>
      </c>
      <c r="AG2543" s="126" t="s">
        <v>2694</v>
      </c>
      <c r="AH2543" s="126" t="s">
        <v>2697</v>
      </c>
      <c r="AI2543" s="126" t="s">
        <v>577</v>
      </c>
      <c r="AJ2543" s="126" t="s">
        <v>1645</v>
      </c>
      <c r="AK2543" s="126" t="s">
        <v>132</v>
      </c>
      <c r="AL2543" s="126" t="s">
        <v>177</v>
      </c>
      <c r="AM2543" s="126" t="s">
        <v>177</v>
      </c>
      <c r="AN2543" s="126" t="s">
        <v>177</v>
      </c>
      <c r="AT2543" s="126" t="s">
        <v>2721</v>
      </c>
      <c r="AU2543" s="126" t="s">
        <v>2721</v>
      </c>
      <c r="AV2543" s="126" t="s">
        <v>177</v>
      </c>
      <c r="AW2543" s="126" t="s">
        <v>160</v>
      </c>
      <c r="AX2543" s="126">
        <v>3</v>
      </c>
      <c r="AY2543" s="126">
        <v>3</v>
      </c>
      <c r="AZ2543" s="126" t="s">
        <v>2692</v>
      </c>
      <c r="BF2543" s="126">
        <v>6261</v>
      </c>
      <c r="BG2543" s="126">
        <v>7379</v>
      </c>
      <c r="BJ2543" s="126" t="s">
        <v>2724</v>
      </c>
      <c r="BK2543" s="126">
        <v>3462</v>
      </c>
      <c r="BL2543" s="126">
        <v>5216</v>
      </c>
      <c r="BP2543" s="481"/>
      <c r="BQ2543" s="481"/>
      <c r="BU2543" s="481"/>
      <c r="BV2543" s="481"/>
      <c r="BZ2543" s="481"/>
      <c r="CA2543" s="481"/>
      <c r="CE2543" s="605"/>
      <c r="CF2543" s="605"/>
      <c r="CG2543" s="605"/>
      <c r="CH2543" s="605"/>
      <c r="JB2543" s="126" t="s">
        <v>2726</v>
      </c>
      <c r="JD2543" s="480"/>
    </row>
    <row r="2544" spans="1:264" s="36" customFormat="1" x14ac:dyDescent="0.25">
      <c r="A2544" s="36">
        <v>119</v>
      </c>
      <c r="B2544" s="51" t="s">
        <v>4328</v>
      </c>
      <c r="C2544" s="36" t="s">
        <v>2711</v>
      </c>
      <c r="D2544" s="36" t="s">
        <v>2712</v>
      </c>
      <c r="E2544" s="36">
        <v>2005</v>
      </c>
      <c r="F2544" s="36">
        <v>2007</v>
      </c>
      <c r="G2544" s="36" t="s">
        <v>2713</v>
      </c>
      <c r="H2544" s="36" t="s">
        <v>2693</v>
      </c>
      <c r="I2544" s="126" t="s">
        <v>2827</v>
      </c>
      <c r="J2544" s="36">
        <v>-15.5</v>
      </c>
      <c r="K2544" s="36">
        <v>35.25</v>
      </c>
      <c r="L2544" s="36">
        <v>1030</v>
      </c>
      <c r="O2544" s="36">
        <v>1160</v>
      </c>
      <c r="P2544" s="36">
        <v>1024</v>
      </c>
      <c r="R2544" s="51" t="s">
        <v>1717</v>
      </c>
      <c r="S2544" s="51" t="s">
        <v>1929</v>
      </c>
      <c r="T2544" s="51"/>
      <c r="U2544" s="51" t="s">
        <v>2725</v>
      </c>
      <c r="V2544" s="51" t="s">
        <v>1379</v>
      </c>
      <c r="W2544" s="51" t="s">
        <v>1715</v>
      </c>
      <c r="X2544" s="51" t="s">
        <v>1379</v>
      </c>
      <c r="Y2544" s="51" t="s">
        <v>1379</v>
      </c>
      <c r="AA2544" s="331">
        <v>46</v>
      </c>
      <c r="AB2544" s="331">
        <v>8</v>
      </c>
      <c r="AC2544" s="36" t="s">
        <v>2695</v>
      </c>
      <c r="AD2544" s="36">
        <v>5.9</v>
      </c>
      <c r="AE2544" s="36">
        <v>0.88</v>
      </c>
      <c r="AG2544" s="36" t="s">
        <v>2694</v>
      </c>
      <c r="AH2544" s="36" t="s">
        <v>2697</v>
      </c>
      <c r="AI2544" s="36" t="s">
        <v>577</v>
      </c>
      <c r="AJ2544" s="36" t="s">
        <v>1645</v>
      </c>
      <c r="AK2544" s="36" t="s">
        <v>132</v>
      </c>
      <c r="AL2544" s="36" t="s">
        <v>177</v>
      </c>
      <c r="AM2544" s="36" t="s">
        <v>177</v>
      </c>
      <c r="AN2544" s="36" t="s">
        <v>177</v>
      </c>
      <c r="AT2544" s="36" t="s">
        <v>2702</v>
      </c>
      <c r="AU2544" s="36" t="s">
        <v>2702</v>
      </c>
      <c r="AV2544" s="36" t="s">
        <v>177</v>
      </c>
      <c r="AW2544" s="36" t="s">
        <v>160</v>
      </c>
      <c r="AX2544" s="36">
        <v>3</v>
      </c>
      <c r="AY2544" s="36">
        <v>3</v>
      </c>
      <c r="AZ2544" s="36" t="s">
        <v>2692</v>
      </c>
      <c r="BF2544" s="36">
        <v>3694</v>
      </c>
      <c r="BG2544" s="36">
        <v>4549</v>
      </c>
      <c r="BJ2544" s="36" t="s">
        <v>2724</v>
      </c>
      <c r="BK2544" s="36">
        <v>503</v>
      </c>
      <c r="BL2544" s="36">
        <v>3365</v>
      </c>
      <c r="BP2544" s="407"/>
      <c r="BQ2544" s="407"/>
      <c r="BU2544" s="407"/>
      <c r="BV2544" s="407"/>
      <c r="BZ2544" s="407"/>
      <c r="CA2544" s="407"/>
      <c r="CE2544" s="560"/>
      <c r="CF2544" s="560"/>
      <c r="CG2544" s="560"/>
      <c r="CH2544" s="560"/>
      <c r="JB2544" s="36" t="s">
        <v>2726</v>
      </c>
      <c r="JD2544" s="230"/>
    </row>
    <row r="2545" spans="1:264" s="36" customFormat="1" x14ac:dyDescent="0.25">
      <c r="A2545" s="36">
        <v>119</v>
      </c>
      <c r="B2545" s="51" t="s">
        <v>4328</v>
      </c>
      <c r="C2545" s="36" t="s">
        <v>2711</v>
      </c>
      <c r="D2545" s="36" t="s">
        <v>2712</v>
      </c>
      <c r="E2545" s="36">
        <v>2005</v>
      </c>
      <c r="F2545" s="36">
        <v>2007</v>
      </c>
      <c r="G2545" s="36" t="s">
        <v>2713</v>
      </c>
      <c r="H2545" s="36" t="s">
        <v>2693</v>
      </c>
      <c r="I2545" s="126" t="s">
        <v>2827</v>
      </c>
      <c r="J2545" s="36">
        <v>-15.5</v>
      </c>
      <c r="K2545" s="36">
        <v>35.25</v>
      </c>
      <c r="L2545" s="36">
        <v>1030</v>
      </c>
      <c r="O2545" s="36">
        <v>1160</v>
      </c>
      <c r="P2545" s="36">
        <v>1024</v>
      </c>
      <c r="R2545" s="51" t="s">
        <v>1717</v>
      </c>
      <c r="S2545" s="51" t="s">
        <v>1929</v>
      </c>
      <c r="T2545" s="51"/>
      <c r="U2545" s="51" t="s">
        <v>2725</v>
      </c>
      <c r="V2545" s="51" t="s">
        <v>1379</v>
      </c>
      <c r="W2545" s="51" t="s">
        <v>1715</v>
      </c>
      <c r="X2545" s="51" t="s">
        <v>1379</v>
      </c>
      <c r="Y2545" s="51" t="s">
        <v>1379</v>
      </c>
      <c r="AA2545" s="331">
        <v>46</v>
      </c>
      <c r="AB2545" s="331">
        <v>8</v>
      </c>
      <c r="AC2545" s="36" t="s">
        <v>2695</v>
      </c>
      <c r="AD2545" s="36">
        <v>5.9</v>
      </c>
      <c r="AE2545" s="36">
        <v>0.88</v>
      </c>
      <c r="AG2545" s="36" t="s">
        <v>2694</v>
      </c>
      <c r="AH2545" s="36" t="s">
        <v>2697</v>
      </c>
      <c r="AI2545" s="36" t="s">
        <v>577</v>
      </c>
      <c r="AJ2545" s="36" t="s">
        <v>1645</v>
      </c>
      <c r="AK2545" s="36" t="s">
        <v>132</v>
      </c>
      <c r="AL2545" s="36" t="s">
        <v>177</v>
      </c>
      <c r="AM2545" s="36" t="s">
        <v>177</v>
      </c>
      <c r="AN2545" s="36" t="s">
        <v>177</v>
      </c>
      <c r="AT2545" s="36" t="s">
        <v>2714</v>
      </c>
      <c r="AU2545" s="36" t="s">
        <v>2714</v>
      </c>
      <c r="AV2545" s="36" t="s">
        <v>177</v>
      </c>
      <c r="AW2545" s="36" t="s">
        <v>160</v>
      </c>
      <c r="AX2545" s="36">
        <v>3</v>
      </c>
      <c r="AY2545" s="36">
        <v>3</v>
      </c>
      <c r="AZ2545" s="36" t="s">
        <v>2692</v>
      </c>
      <c r="BF2545" s="36">
        <v>3309</v>
      </c>
      <c r="BG2545" s="36">
        <v>5522</v>
      </c>
      <c r="BJ2545" s="36" t="s">
        <v>2724</v>
      </c>
      <c r="BK2545" s="36">
        <v>530</v>
      </c>
      <c r="BL2545" s="36">
        <v>3364</v>
      </c>
      <c r="BP2545" s="407"/>
      <c r="BQ2545" s="407"/>
      <c r="BU2545" s="407"/>
      <c r="BV2545" s="407"/>
      <c r="BZ2545" s="407"/>
      <c r="CA2545" s="407"/>
      <c r="CE2545" s="560"/>
      <c r="CF2545" s="560"/>
      <c r="CG2545" s="560"/>
      <c r="CH2545" s="560"/>
      <c r="JB2545" s="36" t="s">
        <v>2726</v>
      </c>
      <c r="JD2545" s="230"/>
    </row>
    <row r="2546" spans="1:264" s="36" customFormat="1" x14ac:dyDescent="0.25">
      <c r="A2546" s="36">
        <v>119</v>
      </c>
      <c r="B2546" s="51" t="s">
        <v>4328</v>
      </c>
      <c r="C2546" s="36" t="s">
        <v>2711</v>
      </c>
      <c r="D2546" s="36" t="s">
        <v>2712</v>
      </c>
      <c r="E2546" s="36">
        <v>2005</v>
      </c>
      <c r="F2546" s="36">
        <v>2007</v>
      </c>
      <c r="G2546" s="36" t="s">
        <v>2713</v>
      </c>
      <c r="H2546" s="36" t="s">
        <v>2693</v>
      </c>
      <c r="I2546" s="126" t="s">
        <v>2827</v>
      </c>
      <c r="J2546" s="36">
        <v>-15.5</v>
      </c>
      <c r="K2546" s="36">
        <v>35.25</v>
      </c>
      <c r="L2546" s="36">
        <v>1030</v>
      </c>
      <c r="O2546" s="36">
        <v>1160</v>
      </c>
      <c r="P2546" s="36">
        <v>1024</v>
      </c>
      <c r="R2546" s="51" t="s">
        <v>1717</v>
      </c>
      <c r="S2546" s="51" t="s">
        <v>1929</v>
      </c>
      <c r="T2546" s="51"/>
      <c r="U2546" s="51" t="s">
        <v>2725</v>
      </c>
      <c r="V2546" s="51" t="s">
        <v>1379</v>
      </c>
      <c r="W2546" s="51" t="s">
        <v>1715</v>
      </c>
      <c r="X2546" s="51" t="s">
        <v>1379</v>
      </c>
      <c r="Y2546" s="51" t="s">
        <v>1379</v>
      </c>
      <c r="AA2546" s="331">
        <v>46</v>
      </c>
      <c r="AB2546" s="331">
        <v>8</v>
      </c>
      <c r="AC2546" s="36" t="s">
        <v>2695</v>
      </c>
      <c r="AD2546" s="36">
        <v>5.9</v>
      </c>
      <c r="AE2546" s="36">
        <v>0.88</v>
      </c>
      <c r="AG2546" s="36" t="s">
        <v>2694</v>
      </c>
      <c r="AH2546" s="36" t="s">
        <v>2697</v>
      </c>
      <c r="AI2546" s="36" t="s">
        <v>577</v>
      </c>
      <c r="AJ2546" s="36" t="s">
        <v>1645</v>
      </c>
      <c r="AK2546" s="36" t="s">
        <v>132</v>
      </c>
      <c r="AL2546" s="36" t="s">
        <v>177</v>
      </c>
      <c r="AM2546" s="36" t="s">
        <v>177</v>
      </c>
      <c r="AN2546" s="36" t="s">
        <v>177</v>
      </c>
      <c r="AT2546" s="36" t="s">
        <v>2715</v>
      </c>
      <c r="AU2546" s="36" t="s">
        <v>2715</v>
      </c>
      <c r="AV2546" s="36" t="s">
        <v>177</v>
      </c>
      <c r="AW2546" s="36" t="s">
        <v>160</v>
      </c>
      <c r="AX2546" s="36">
        <v>3</v>
      </c>
      <c r="AY2546" s="36">
        <v>3</v>
      </c>
      <c r="AZ2546" s="36" t="s">
        <v>2692</v>
      </c>
      <c r="BF2546" s="36">
        <v>3552</v>
      </c>
      <c r="BG2546" s="36">
        <v>5036</v>
      </c>
      <c r="BJ2546" s="36" t="s">
        <v>2724</v>
      </c>
      <c r="BK2546" s="36">
        <v>680</v>
      </c>
      <c r="BL2546" s="36">
        <v>3730</v>
      </c>
      <c r="BP2546" s="407"/>
      <c r="BQ2546" s="407"/>
      <c r="BU2546" s="407"/>
      <c r="BV2546" s="407"/>
      <c r="BZ2546" s="407"/>
      <c r="CA2546" s="407"/>
      <c r="CE2546" s="560"/>
      <c r="CF2546" s="560"/>
      <c r="CG2546" s="560"/>
      <c r="CH2546" s="560"/>
      <c r="JB2546" s="36" t="s">
        <v>2726</v>
      </c>
      <c r="JD2546" s="230"/>
    </row>
    <row r="2547" spans="1:264" s="36" customFormat="1" x14ac:dyDescent="0.25">
      <c r="A2547" s="36">
        <v>119</v>
      </c>
      <c r="B2547" s="51" t="s">
        <v>4329</v>
      </c>
      <c r="C2547" s="36" t="s">
        <v>2711</v>
      </c>
      <c r="D2547" s="36" t="s">
        <v>2712</v>
      </c>
      <c r="E2547" s="36">
        <v>2005</v>
      </c>
      <c r="F2547" s="36">
        <v>2007</v>
      </c>
      <c r="G2547" s="36" t="s">
        <v>2713</v>
      </c>
      <c r="H2547" s="36" t="s">
        <v>2693</v>
      </c>
      <c r="I2547" s="126" t="s">
        <v>2827</v>
      </c>
      <c r="J2547" s="36">
        <v>-15.5</v>
      </c>
      <c r="K2547" s="36">
        <v>35.25</v>
      </c>
      <c r="L2547" s="36">
        <v>1030</v>
      </c>
      <c r="O2547" s="36">
        <v>1160</v>
      </c>
      <c r="P2547" s="36">
        <v>1024</v>
      </c>
      <c r="R2547" s="51" t="s">
        <v>1717</v>
      </c>
      <c r="S2547" s="51" t="s">
        <v>1929</v>
      </c>
      <c r="T2547" s="51"/>
      <c r="U2547" s="51" t="s">
        <v>2725</v>
      </c>
      <c r="V2547" s="51" t="s">
        <v>1379</v>
      </c>
      <c r="W2547" s="51" t="s">
        <v>1715</v>
      </c>
      <c r="X2547" s="51" t="s">
        <v>1379</v>
      </c>
      <c r="Y2547" s="51" t="s">
        <v>1379</v>
      </c>
      <c r="AA2547" s="331">
        <v>46</v>
      </c>
      <c r="AB2547" s="331">
        <v>8</v>
      </c>
      <c r="AC2547" s="36" t="s">
        <v>2695</v>
      </c>
      <c r="AD2547" s="36">
        <v>5.9</v>
      </c>
      <c r="AE2547" s="36">
        <v>0.88</v>
      </c>
      <c r="AG2547" s="36" t="s">
        <v>2694</v>
      </c>
      <c r="AH2547" s="36" t="s">
        <v>2697</v>
      </c>
      <c r="AI2547" s="36" t="s">
        <v>577</v>
      </c>
      <c r="AJ2547" s="36" t="s">
        <v>1645</v>
      </c>
      <c r="AK2547" s="36" t="s">
        <v>132</v>
      </c>
      <c r="AL2547" s="36" t="s">
        <v>177</v>
      </c>
      <c r="AM2547" s="36" t="s">
        <v>177</v>
      </c>
      <c r="AN2547" s="36" t="s">
        <v>177</v>
      </c>
      <c r="AT2547" s="36" t="s">
        <v>2716</v>
      </c>
      <c r="AU2547" s="36" t="s">
        <v>2716</v>
      </c>
      <c r="AV2547" s="36" t="s">
        <v>177</v>
      </c>
      <c r="AW2547" s="36" t="s">
        <v>160</v>
      </c>
      <c r="AX2547" s="36">
        <v>3</v>
      </c>
      <c r="AY2547" s="36">
        <v>3</v>
      </c>
      <c r="AZ2547" s="36" t="s">
        <v>2692</v>
      </c>
      <c r="BF2547" s="36">
        <v>4999</v>
      </c>
      <c r="BG2547" s="36">
        <v>4009</v>
      </c>
      <c r="BJ2547" s="36" t="s">
        <v>2724</v>
      </c>
      <c r="BK2547" s="36">
        <v>2549</v>
      </c>
      <c r="BL2547" s="36">
        <v>3919</v>
      </c>
      <c r="BP2547" s="407"/>
      <c r="BQ2547" s="407"/>
      <c r="BU2547" s="407"/>
      <c r="BV2547" s="407"/>
      <c r="BZ2547" s="407"/>
      <c r="CA2547" s="407"/>
      <c r="CE2547" s="560"/>
      <c r="CF2547" s="560"/>
      <c r="CG2547" s="560"/>
      <c r="CH2547" s="560"/>
      <c r="JB2547" s="36" t="s">
        <v>2726</v>
      </c>
      <c r="JD2547" s="230"/>
    </row>
    <row r="2548" spans="1:264" s="36" customFormat="1" x14ac:dyDescent="0.25">
      <c r="A2548" s="36">
        <v>119</v>
      </c>
      <c r="B2548" s="51" t="s">
        <v>4329</v>
      </c>
      <c r="C2548" s="36" t="s">
        <v>2711</v>
      </c>
      <c r="D2548" s="36" t="s">
        <v>2712</v>
      </c>
      <c r="E2548" s="36">
        <v>2005</v>
      </c>
      <c r="F2548" s="36">
        <v>2007</v>
      </c>
      <c r="G2548" s="36" t="s">
        <v>2713</v>
      </c>
      <c r="H2548" s="36" t="s">
        <v>2693</v>
      </c>
      <c r="I2548" s="126" t="s">
        <v>2827</v>
      </c>
      <c r="J2548" s="36">
        <v>-15.5</v>
      </c>
      <c r="K2548" s="36">
        <v>35.25</v>
      </c>
      <c r="L2548" s="36">
        <v>1030</v>
      </c>
      <c r="O2548" s="36">
        <v>1160</v>
      </c>
      <c r="P2548" s="36">
        <v>1024</v>
      </c>
      <c r="R2548" s="51" t="s">
        <v>1717</v>
      </c>
      <c r="S2548" s="51" t="s">
        <v>1929</v>
      </c>
      <c r="T2548" s="51"/>
      <c r="U2548" s="51" t="s">
        <v>2725</v>
      </c>
      <c r="V2548" s="51" t="s">
        <v>1379</v>
      </c>
      <c r="W2548" s="51" t="s">
        <v>1715</v>
      </c>
      <c r="X2548" s="51" t="s">
        <v>1379</v>
      </c>
      <c r="Y2548" s="51" t="s">
        <v>1379</v>
      </c>
      <c r="AA2548" s="331">
        <v>46</v>
      </c>
      <c r="AB2548" s="331">
        <v>8</v>
      </c>
      <c r="AC2548" s="36" t="s">
        <v>2695</v>
      </c>
      <c r="AD2548" s="36">
        <v>5.9</v>
      </c>
      <c r="AE2548" s="36">
        <v>0.88</v>
      </c>
      <c r="AG2548" s="36" t="s">
        <v>2694</v>
      </c>
      <c r="AH2548" s="36" t="s">
        <v>2697</v>
      </c>
      <c r="AI2548" s="36" t="s">
        <v>577</v>
      </c>
      <c r="AJ2548" s="36" t="s">
        <v>1645</v>
      </c>
      <c r="AK2548" s="36" t="s">
        <v>132</v>
      </c>
      <c r="AL2548" s="36" t="s">
        <v>177</v>
      </c>
      <c r="AM2548" s="36" t="s">
        <v>177</v>
      </c>
      <c r="AN2548" s="36" t="s">
        <v>177</v>
      </c>
      <c r="AT2548" s="36" t="s">
        <v>2717</v>
      </c>
      <c r="AU2548" s="36" t="s">
        <v>2717</v>
      </c>
      <c r="AV2548" s="36" t="s">
        <v>177</v>
      </c>
      <c r="AW2548" s="36" t="s">
        <v>160</v>
      </c>
      <c r="AX2548" s="36">
        <v>3</v>
      </c>
      <c r="AY2548" s="36">
        <v>3</v>
      </c>
      <c r="AZ2548" s="36" t="s">
        <v>2692</v>
      </c>
      <c r="BF2548" s="36">
        <v>3235</v>
      </c>
      <c r="BG2548" s="36">
        <v>3563</v>
      </c>
      <c r="BJ2548" s="36" t="s">
        <v>2724</v>
      </c>
      <c r="BK2548" s="36">
        <v>3411</v>
      </c>
      <c r="BL2548" s="36">
        <v>4838</v>
      </c>
      <c r="BP2548" s="407"/>
      <c r="BQ2548" s="407"/>
      <c r="BU2548" s="407"/>
      <c r="BV2548" s="407"/>
      <c r="BZ2548" s="407"/>
      <c r="CA2548" s="407"/>
      <c r="CE2548" s="560"/>
      <c r="CF2548" s="560"/>
      <c r="CG2548" s="560"/>
      <c r="CH2548" s="560"/>
      <c r="JB2548" s="36" t="s">
        <v>2726</v>
      </c>
      <c r="JD2548" s="230"/>
    </row>
    <row r="2549" spans="1:264" s="36" customFormat="1" x14ac:dyDescent="0.25">
      <c r="A2549" s="36">
        <v>119</v>
      </c>
      <c r="B2549" s="51" t="s">
        <v>4329</v>
      </c>
      <c r="C2549" s="36" t="s">
        <v>2711</v>
      </c>
      <c r="D2549" s="36" t="s">
        <v>2712</v>
      </c>
      <c r="E2549" s="36">
        <v>2005</v>
      </c>
      <c r="F2549" s="36">
        <v>2007</v>
      </c>
      <c r="G2549" s="36" t="s">
        <v>2713</v>
      </c>
      <c r="H2549" s="36" t="s">
        <v>2693</v>
      </c>
      <c r="I2549" s="126" t="s">
        <v>2827</v>
      </c>
      <c r="J2549" s="36">
        <v>-15.5</v>
      </c>
      <c r="K2549" s="36">
        <v>35.25</v>
      </c>
      <c r="L2549" s="36">
        <v>1030</v>
      </c>
      <c r="O2549" s="36">
        <v>1160</v>
      </c>
      <c r="P2549" s="36">
        <v>1024</v>
      </c>
      <c r="R2549" s="51" t="s">
        <v>1717</v>
      </c>
      <c r="S2549" s="51" t="s">
        <v>1929</v>
      </c>
      <c r="T2549" s="51"/>
      <c r="U2549" s="51" t="s">
        <v>2725</v>
      </c>
      <c r="V2549" s="51" t="s">
        <v>1379</v>
      </c>
      <c r="W2549" s="51" t="s">
        <v>1715</v>
      </c>
      <c r="X2549" s="51" t="s">
        <v>1379</v>
      </c>
      <c r="Y2549" s="51" t="s">
        <v>1379</v>
      </c>
      <c r="AA2549" s="331">
        <v>46</v>
      </c>
      <c r="AB2549" s="331">
        <v>8</v>
      </c>
      <c r="AC2549" s="36" t="s">
        <v>2695</v>
      </c>
      <c r="AD2549" s="36">
        <v>5.9</v>
      </c>
      <c r="AE2549" s="36">
        <v>0.88</v>
      </c>
      <c r="AG2549" s="36" t="s">
        <v>2694</v>
      </c>
      <c r="AH2549" s="36" t="s">
        <v>2697</v>
      </c>
      <c r="AI2549" s="36" t="s">
        <v>577</v>
      </c>
      <c r="AJ2549" s="36" t="s">
        <v>1645</v>
      </c>
      <c r="AK2549" s="36" t="s">
        <v>132</v>
      </c>
      <c r="AL2549" s="36" t="s">
        <v>177</v>
      </c>
      <c r="AM2549" s="36" t="s">
        <v>177</v>
      </c>
      <c r="AN2549" s="36" t="s">
        <v>177</v>
      </c>
      <c r="AT2549" s="36" t="s">
        <v>2718</v>
      </c>
      <c r="AU2549" s="36" t="s">
        <v>2718</v>
      </c>
      <c r="AV2549" s="36" t="s">
        <v>177</v>
      </c>
      <c r="AW2549" s="36" t="s">
        <v>160</v>
      </c>
      <c r="AX2549" s="36">
        <v>3</v>
      </c>
      <c r="AY2549" s="36">
        <v>3</v>
      </c>
      <c r="AZ2549" s="36" t="s">
        <v>2692</v>
      </c>
      <c r="BF2549" s="36">
        <v>4026</v>
      </c>
      <c r="BG2549" s="36">
        <v>4373</v>
      </c>
      <c r="BJ2549" s="36" t="s">
        <v>2724</v>
      </c>
      <c r="BK2549" s="36">
        <v>3794</v>
      </c>
      <c r="BL2549" s="36">
        <v>5797</v>
      </c>
      <c r="BP2549" s="407"/>
      <c r="BQ2549" s="407"/>
      <c r="BU2549" s="407"/>
      <c r="BV2549" s="407"/>
      <c r="BZ2549" s="407"/>
      <c r="CA2549" s="407"/>
      <c r="CE2549" s="560"/>
      <c r="CF2549" s="560"/>
      <c r="CG2549" s="560"/>
      <c r="CH2549" s="560"/>
      <c r="JB2549" s="36" t="s">
        <v>2726</v>
      </c>
      <c r="JD2549" s="230"/>
    </row>
    <row r="2550" spans="1:264" s="36" customFormat="1" x14ac:dyDescent="0.25">
      <c r="A2550" s="36">
        <v>119</v>
      </c>
      <c r="B2550" s="51" t="s">
        <v>4330</v>
      </c>
      <c r="C2550" s="36" t="s">
        <v>2711</v>
      </c>
      <c r="D2550" s="36" t="s">
        <v>2712</v>
      </c>
      <c r="E2550" s="36">
        <v>2005</v>
      </c>
      <c r="F2550" s="36">
        <v>2007</v>
      </c>
      <c r="G2550" s="36" t="s">
        <v>2713</v>
      </c>
      <c r="H2550" s="36" t="s">
        <v>2693</v>
      </c>
      <c r="I2550" s="126" t="s">
        <v>2827</v>
      </c>
      <c r="J2550" s="36">
        <v>-15.5</v>
      </c>
      <c r="K2550" s="36">
        <v>35.25</v>
      </c>
      <c r="L2550" s="36">
        <v>1030</v>
      </c>
      <c r="O2550" s="36">
        <v>1160</v>
      </c>
      <c r="P2550" s="36">
        <v>1024</v>
      </c>
      <c r="R2550" s="51" t="s">
        <v>1717</v>
      </c>
      <c r="S2550" s="51" t="s">
        <v>1929</v>
      </c>
      <c r="T2550" s="51"/>
      <c r="U2550" s="51" t="s">
        <v>2725</v>
      </c>
      <c r="V2550" s="51" t="s">
        <v>1379</v>
      </c>
      <c r="W2550" s="51" t="s">
        <v>1715</v>
      </c>
      <c r="X2550" s="51" t="s">
        <v>1379</v>
      </c>
      <c r="Y2550" s="51" t="s">
        <v>1379</v>
      </c>
      <c r="AA2550" s="331">
        <v>46</v>
      </c>
      <c r="AB2550" s="331">
        <v>8</v>
      </c>
      <c r="AC2550" s="36" t="s">
        <v>2695</v>
      </c>
      <c r="AD2550" s="36">
        <v>5.9</v>
      </c>
      <c r="AE2550" s="36">
        <v>0.88</v>
      </c>
      <c r="AG2550" s="36" t="s">
        <v>2694</v>
      </c>
      <c r="AH2550" s="36" t="s">
        <v>2697</v>
      </c>
      <c r="AI2550" s="36" t="s">
        <v>577</v>
      </c>
      <c r="AJ2550" s="36" t="s">
        <v>1645</v>
      </c>
      <c r="AK2550" s="36" t="s">
        <v>132</v>
      </c>
      <c r="AL2550" s="36" t="s">
        <v>177</v>
      </c>
      <c r="AM2550" s="36" t="s">
        <v>177</v>
      </c>
      <c r="AN2550" s="36" t="s">
        <v>177</v>
      </c>
      <c r="AT2550" s="36" t="s">
        <v>2719</v>
      </c>
      <c r="AU2550" s="36" t="s">
        <v>2719</v>
      </c>
      <c r="AV2550" s="36" t="s">
        <v>177</v>
      </c>
      <c r="AW2550" s="36" t="s">
        <v>160</v>
      </c>
      <c r="AX2550" s="36">
        <v>3</v>
      </c>
      <c r="AY2550" s="36">
        <v>3</v>
      </c>
      <c r="AZ2550" s="36" t="s">
        <v>2692</v>
      </c>
      <c r="BF2550" s="36">
        <v>5736</v>
      </c>
      <c r="BG2550" s="36">
        <v>3833</v>
      </c>
      <c r="BJ2550" s="36" t="s">
        <v>2724</v>
      </c>
      <c r="BK2550" s="36">
        <v>5061</v>
      </c>
      <c r="BL2550" s="36">
        <v>6311</v>
      </c>
      <c r="BP2550" s="407"/>
      <c r="BQ2550" s="407"/>
      <c r="BU2550" s="407"/>
      <c r="BV2550" s="407"/>
      <c r="BZ2550" s="407"/>
      <c r="CA2550" s="407"/>
      <c r="CE2550" s="560"/>
      <c r="CF2550" s="560"/>
      <c r="CG2550" s="560"/>
      <c r="CH2550" s="560"/>
      <c r="JB2550" s="36" t="s">
        <v>2726</v>
      </c>
      <c r="JD2550" s="230"/>
    </row>
    <row r="2551" spans="1:264" s="36" customFormat="1" x14ac:dyDescent="0.25">
      <c r="A2551" s="36">
        <v>119</v>
      </c>
      <c r="B2551" s="51" t="s">
        <v>4330</v>
      </c>
      <c r="C2551" s="36" t="s">
        <v>2711</v>
      </c>
      <c r="D2551" s="36" t="s">
        <v>2712</v>
      </c>
      <c r="E2551" s="36">
        <v>2005</v>
      </c>
      <c r="F2551" s="36">
        <v>2007</v>
      </c>
      <c r="G2551" s="36" t="s">
        <v>2713</v>
      </c>
      <c r="H2551" s="36" t="s">
        <v>2693</v>
      </c>
      <c r="I2551" s="126" t="s">
        <v>2827</v>
      </c>
      <c r="J2551" s="36">
        <v>-15.5</v>
      </c>
      <c r="K2551" s="36">
        <v>35.25</v>
      </c>
      <c r="L2551" s="36">
        <v>1030</v>
      </c>
      <c r="O2551" s="36">
        <v>1160</v>
      </c>
      <c r="P2551" s="36">
        <v>1024</v>
      </c>
      <c r="R2551" s="51" t="s">
        <v>1717</v>
      </c>
      <c r="S2551" s="51" t="s">
        <v>1929</v>
      </c>
      <c r="T2551" s="51"/>
      <c r="U2551" s="51" t="s">
        <v>2725</v>
      </c>
      <c r="V2551" s="51" t="s">
        <v>1379</v>
      </c>
      <c r="W2551" s="51" t="s">
        <v>1715</v>
      </c>
      <c r="X2551" s="51" t="s">
        <v>1379</v>
      </c>
      <c r="Y2551" s="51" t="s">
        <v>1379</v>
      </c>
      <c r="AA2551" s="331">
        <v>46</v>
      </c>
      <c r="AB2551" s="331">
        <v>8</v>
      </c>
      <c r="AC2551" s="36" t="s">
        <v>2695</v>
      </c>
      <c r="AD2551" s="36">
        <v>5.9</v>
      </c>
      <c r="AE2551" s="36">
        <v>0.88</v>
      </c>
      <c r="AG2551" s="36" t="s">
        <v>2694</v>
      </c>
      <c r="AH2551" s="36" t="s">
        <v>2697</v>
      </c>
      <c r="AI2551" s="36" t="s">
        <v>577</v>
      </c>
      <c r="AJ2551" s="36" t="s">
        <v>1645</v>
      </c>
      <c r="AK2551" s="36" t="s">
        <v>132</v>
      </c>
      <c r="AL2551" s="36" t="s">
        <v>177</v>
      </c>
      <c r="AM2551" s="36" t="s">
        <v>177</v>
      </c>
      <c r="AN2551" s="36" t="s">
        <v>177</v>
      </c>
      <c r="AT2551" s="36" t="s">
        <v>2720</v>
      </c>
      <c r="AU2551" s="36" t="s">
        <v>2720</v>
      </c>
      <c r="AV2551" s="36" t="s">
        <v>177</v>
      </c>
      <c r="AW2551" s="36" t="s">
        <v>160</v>
      </c>
      <c r="AX2551" s="36">
        <v>3</v>
      </c>
      <c r="AY2551" s="36">
        <v>3</v>
      </c>
      <c r="AZ2551" s="36" t="s">
        <v>2692</v>
      </c>
      <c r="BF2551" s="36">
        <v>3283</v>
      </c>
      <c r="BG2551" s="36">
        <v>3448</v>
      </c>
      <c r="BJ2551" s="36" t="s">
        <v>2724</v>
      </c>
      <c r="BK2551" s="36">
        <v>5239</v>
      </c>
      <c r="BL2551" s="36">
        <v>5338</v>
      </c>
      <c r="BP2551" s="407"/>
      <c r="BQ2551" s="407"/>
      <c r="BU2551" s="407"/>
      <c r="BV2551" s="407"/>
      <c r="BZ2551" s="407"/>
      <c r="CA2551" s="407"/>
      <c r="CE2551" s="560"/>
      <c r="CF2551" s="560"/>
      <c r="CG2551" s="560"/>
      <c r="CH2551" s="560"/>
      <c r="JB2551" s="36" t="s">
        <v>2726</v>
      </c>
      <c r="JD2551" s="230"/>
    </row>
    <row r="2552" spans="1:264" s="36" customFormat="1" x14ac:dyDescent="0.25">
      <c r="A2552" s="36">
        <v>119</v>
      </c>
      <c r="B2552" s="51" t="s">
        <v>4330</v>
      </c>
      <c r="C2552" s="36" t="s">
        <v>2711</v>
      </c>
      <c r="D2552" s="36" t="s">
        <v>2712</v>
      </c>
      <c r="E2552" s="36">
        <v>2005</v>
      </c>
      <c r="F2552" s="36">
        <v>2007</v>
      </c>
      <c r="G2552" s="36" t="s">
        <v>2713</v>
      </c>
      <c r="H2552" s="36" t="s">
        <v>2693</v>
      </c>
      <c r="I2552" s="126" t="s">
        <v>2827</v>
      </c>
      <c r="J2552" s="36">
        <v>-15.5</v>
      </c>
      <c r="K2552" s="36">
        <v>35.25</v>
      </c>
      <c r="L2552" s="36">
        <v>1030</v>
      </c>
      <c r="O2552" s="36">
        <v>1160</v>
      </c>
      <c r="P2552" s="36">
        <v>1024</v>
      </c>
      <c r="R2552" s="51" t="s">
        <v>1717</v>
      </c>
      <c r="S2552" s="51" t="s">
        <v>1929</v>
      </c>
      <c r="T2552" s="51"/>
      <c r="U2552" s="51" t="s">
        <v>2725</v>
      </c>
      <c r="V2552" s="51" t="s">
        <v>1379</v>
      </c>
      <c r="W2552" s="51" t="s">
        <v>1715</v>
      </c>
      <c r="X2552" s="51" t="s">
        <v>1379</v>
      </c>
      <c r="Y2552" s="51" t="s">
        <v>1379</v>
      </c>
      <c r="AA2552" s="331">
        <v>46</v>
      </c>
      <c r="AB2552" s="331">
        <v>8</v>
      </c>
      <c r="AC2552" s="36" t="s">
        <v>2695</v>
      </c>
      <c r="AD2552" s="36">
        <v>5.9</v>
      </c>
      <c r="AE2552" s="36">
        <v>0.88</v>
      </c>
      <c r="AG2552" s="36" t="s">
        <v>2694</v>
      </c>
      <c r="AH2552" s="36" t="s">
        <v>2697</v>
      </c>
      <c r="AI2552" s="36" t="s">
        <v>577</v>
      </c>
      <c r="AJ2552" s="36" t="s">
        <v>1645</v>
      </c>
      <c r="AK2552" s="36" t="s">
        <v>132</v>
      </c>
      <c r="AL2552" s="36" t="s">
        <v>177</v>
      </c>
      <c r="AM2552" s="36" t="s">
        <v>177</v>
      </c>
      <c r="AN2552" s="36" t="s">
        <v>177</v>
      </c>
      <c r="AT2552" s="36" t="s">
        <v>2721</v>
      </c>
      <c r="AU2552" s="36" t="s">
        <v>2721</v>
      </c>
      <c r="AV2552" s="36" t="s">
        <v>177</v>
      </c>
      <c r="AW2552" s="36" t="s">
        <v>160</v>
      </c>
      <c r="AX2552" s="36">
        <v>3</v>
      </c>
      <c r="AY2552" s="36">
        <v>3</v>
      </c>
      <c r="AZ2552" s="36" t="s">
        <v>2692</v>
      </c>
      <c r="BF2552" s="36">
        <v>6222</v>
      </c>
      <c r="BG2552" s="36">
        <v>4725</v>
      </c>
      <c r="BJ2552" s="36" t="s">
        <v>2724</v>
      </c>
      <c r="BK2552" s="36">
        <v>4842</v>
      </c>
      <c r="BL2552" s="36">
        <v>6014</v>
      </c>
      <c r="BP2552" s="407"/>
      <c r="BQ2552" s="407"/>
      <c r="BU2552" s="407"/>
      <c r="BV2552" s="407"/>
      <c r="BZ2552" s="407"/>
      <c r="CA2552" s="407"/>
      <c r="CE2552" s="560"/>
      <c r="CF2552" s="560"/>
      <c r="CG2552" s="560"/>
      <c r="CH2552" s="560"/>
      <c r="JB2552" s="36" t="s">
        <v>2726</v>
      </c>
      <c r="JD2552" s="230"/>
    </row>
    <row r="2553" spans="1:264" s="24" customFormat="1" x14ac:dyDescent="0.25">
      <c r="A2553" s="24">
        <v>120</v>
      </c>
      <c r="B2553" s="42" t="s">
        <v>4331</v>
      </c>
      <c r="C2553" s="24" t="s">
        <v>2728</v>
      </c>
      <c r="D2553" s="24" t="s">
        <v>2729</v>
      </c>
      <c r="E2553" s="24">
        <v>1997</v>
      </c>
      <c r="F2553" s="24">
        <v>1991</v>
      </c>
      <c r="G2553" s="24" t="s">
        <v>2696</v>
      </c>
      <c r="H2553" s="24" t="s">
        <v>2730</v>
      </c>
      <c r="I2553" s="24" t="s">
        <v>2828</v>
      </c>
      <c r="J2553" s="24">
        <f>6+27/60</f>
        <v>6.45</v>
      </c>
      <c r="K2553" s="24">
        <v>2</v>
      </c>
      <c r="L2553" s="24">
        <v>41.3</v>
      </c>
      <c r="N2553" s="24">
        <v>28.7</v>
      </c>
      <c r="P2553" s="24">
        <v>1244</v>
      </c>
      <c r="R2553" s="42" t="s">
        <v>1977</v>
      </c>
      <c r="S2553" s="42" t="s">
        <v>1728</v>
      </c>
      <c r="T2553" s="42"/>
      <c r="U2553" s="42" t="s">
        <v>2727</v>
      </c>
      <c r="V2553" s="42" t="s">
        <v>1377</v>
      </c>
      <c r="W2553" s="42" t="s">
        <v>1377</v>
      </c>
      <c r="X2553" s="42" t="s">
        <v>1377</v>
      </c>
      <c r="Y2553" s="42" t="s">
        <v>1377</v>
      </c>
      <c r="AA2553" s="321"/>
      <c r="AB2553" s="321"/>
      <c r="AD2553" s="24">
        <v>4.9000000000000004</v>
      </c>
      <c r="AG2553" s="24" t="s">
        <v>2732</v>
      </c>
      <c r="AH2553" s="24" t="s">
        <v>2734</v>
      </c>
      <c r="AI2553" s="24" t="s">
        <v>577</v>
      </c>
      <c r="AJ2553" s="24" t="s">
        <v>1645</v>
      </c>
      <c r="AK2553" s="24" t="s">
        <v>132</v>
      </c>
      <c r="AW2553" s="24" t="s">
        <v>160</v>
      </c>
      <c r="AX2553" s="24">
        <v>4</v>
      </c>
      <c r="AZ2553" s="24" t="s">
        <v>141</v>
      </c>
      <c r="BB2553" s="24">
        <f>AVERAGE(197,188,235)*10</f>
        <v>2066.6666666666665</v>
      </c>
      <c r="BK2553" s="24">
        <f>74.8*10</f>
        <v>748</v>
      </c>
      <c r="BL2553" s="24">
        <v>522</v>
      </c>
      <c r="BO2553" s="24" t="s">
        <v>2735</v>
      </c>
      <c r="BP2553" s="395"/>
      <c r="BQ2553" s="395"/>
      <c r="BU2553" s="395"/>
      <c r="BV2553" s="395"/>
      <c r="BZ2553" s="395"/>
      <c r="CA2553" s="395"/>
      <c r="CE2553" s="548"/>
      <c r="CF2553" s="548"/>
      <c r="CG2553" s="548"/>
      <c r="CH2553" s="548"/>
      <c r="JD2553" s="249"/>
    </row>
    <row r="2554" spans="1:264" s="24" customFormat="1" x14ac:dyDescent="0.25">
      <c r="A2554" s="24">
        <v>120</v>
      </c>
      <c r="B2554" s="42" t="s">
        <v>4331</v>
      </c>
      <c r="C2554" s="24" t="s">
        <v>2728</v>
      </c>
      <c r="D2554" s="24" t="s">
        <v>2729</v>
      </c>
      <c r="E2554" s="24">
        <v>1997</v>
      </c>
      <c r="F2554" s="24">
        <v>1992</v>
      </c>
      <c r="G2554" s="24" t="s">
        <v>2696</v>
      </c>
      <c r="H2554" s="24" t="s">
        <v>2730</v>
      </c>
      <c r="I2554" s="24" t="s">
        <v>2828</v>
      </c>
      <c r="J2554" s="24">
        <f>6+27/60</f>
        <v>6.45</v>
      </c>
      <c r="K2554" s="24">
        <v>2</v>
      </c>
      <c r="L2554" s="24">
        <v>41.3</v>
      </c>
      <c r="N2554" s="24">
        <v>28.7</v>
      </c>
      <c r="P2554" s="24">
        <v>1244</v>
      </c>
      <c r="R2554" s="42" t="s">
        <v>1847</v>
      </c>
      <c r="S2554" s="42" t="s">
        <v>1728</v>
      </c>
      <c r="T2554" s="42"/>
      <c r="U2554" s="42" t="s">
        <v>2727</v>
      </c>
      <c r="V2554" s="42" t="s">
        <v>1377</v>
      </c>
      <c r="W2554" s="42" t="s">
        <v>1377</v>
      </c>
      <c r="X2554" s="42" t="s">
        <v>1377</v>
      </c>
      <c r="Y2554" s="42" t="s">
        <v>1377</v>
      </c>
      <c r="AA2554" s="321"/>
      <c r="AB2554" s="321"/>
      <c r="AD2554" s="24">
        <v>4.9000000000000004</v>
      </c>
      <c r="AG2554" s="24" t="s">
        <v>2732</v>
      </c>
      <c r="AH2554" s="24" t="s">
        <v>2734</v>
      </c>
      <c r="AI2554" s="24" t="s">
        <v>577</v>
      </c>
      <c r="AJ2554" s="24" t="s">
        <v>1645</v>
      </c>
      <c r="AK2554" s="24" t="s">
        <v>132</v>
      </c>
      <c r="AW2554" s="24" t="s">
        <v>160</v>
      </c>
      <c r="AX2554" s="24">
        <v>4</v>
      </c>
      <c r="AZ2554" s="24" t="s">
        <v>141</v>
      </c>
      <c r="BB2554" s="24">
        <f>AVERAGE(1192,593,997)*10</f>
        <v>9273.3333333333339</v>
      </c>
      <c r="BK2554" s="24">
        <v>1287</v>
      </c>
      <c r="BL2554" s="24">
        <v>1305</v>
      </c>
      <c r="BO2554" s="24" t="s">
        <v>2735</v>
      </c>
      <c r="BP2554" s="395"/>
      <c r="BQ2554" s="395"/>
      <c r="BU2554" s="395"/>
      <c r="BV2554" s="395"/>
      <c r="BZ2554" s="395"/>
      <c r="CA2554" s="395"/>
      <c r="CE2554" s="548"/>
      <c r="CF2554" s="548"/>
      <c r="CG2554" s="548"/>
      <c r="CH2554" s="548"/>
      <c r="JD2554" s="249"/>
    </row>
    <row r="2555" spans="1:264" s="24" customFormat="1" x14ac:dyDescent="0.25">
      <c r="A2555" s="24">
        <v>120</v>
      </c>
      <c r="B2555" s="42" t="s">
        <v>4332</v>
      </c>
      <c r="C2555" s="24" t="s">
        <v>2728</v>
      </c>
      <c r="D2555" s="24" t="s">
        <v>2729</v>
      </c>
      <c r="E2555" s="24">
        <v>1997</v>
      </c>
      <c r="F2555" s="24">
        <v>1991</v>
      </c>
      <c r="G2555" s="24" t="s">
        <v>2696</v>
      </c>
      <c r="H2555" s="24" t="s">
        <v>2731</v>
      </c>
      <c r="I2555" s="24" t="s">
        <v>2828</v>
      </c>
      <c r="J2555" s="24">
        <f>7+58/60</f>
        <v>7.9666666666666668</v>
      </c>
      <c r="K2555" s="24">
        <v>3</v>
      </c>
      <c r="L2555" s="24">
        <v>200</v>
      </c>
      <c r="N2555" s="24">
        <v>28.7</v>
      </c>
      <c r="P2555" s="24">
        <v>1156</v>
      </c>
      <c r="R2555" s="42" t="s">
        <v>1977</v>
      </c>
      <c r="S2555" s="42" t="s">
        <v>1728</v>
      </c>
      <c r="T2555" s="42"/>
      <c r="U2555" s="42" t="s">
        <v>2727</v>
      </c>
      <c r="V2555" s="42" t="s">
        <v>1377</v>
      </c>
      <c r="W2555" s="42" t="s">
        <v>1377</v>
      </c>
      <c r="X2555" s="42" t="s">
        <v>1377</v>
      </c>
      <c r="Y2555" s="42" t="s">
        <v>1377</v>
      </c>
      <c r="AA2555" s="321"/>
      <c r="AB2555" s="321"/>
      <c r="AD2555" s="24">
        <v>5.6</v>
      </c>
      <c r="AG2555" s="24" t="s">
        <v>2733</v>
      </c>
      <c r="AH2555" s="24" t="s">
        <v>2734</v>
      </c>
      <c r="AI2555" s="24" t="s">
        <v>577</v>
      </c>
      <c r="AJ2555" s="24" t="s">
        <v>2327</v>
      </c>
      <c r="AK2555" s="24" t="s">
        <v>229</v>
      </c>
      <c r="AW2555" s="24" t="s">
        <v>160</v>
      </c>
      <c r="AX2555" s="24">
        <v>4</v>
      </c>
      <c r="AZ2555" s="24" t="s">
        <v>141</v>
      </c>
      <c r="BB2555" s="24">
        <f>AVERAGE(197,188,235)*10</f>
        <v>2066.6666666666665</v>
      </c>
      <c r="BK2555" s="24">
        <v>3184</v>
      </c>
      <c r="BL2555" s="24">
        <v>2362</v>
      </c>
      <c r="BO2555" s="24" t="s">
        <v>2735</v>
      </c>
      <c r="BP2555" s="395"/>
      <c r="BQ2555" s="395"/>
      <c r="BU2555" s="395"/>
      <c r="BV2555" s="395"/>
      <c r="BZ2555" s="395"/>
      <c r="CA2555" s="395"/>
      <c r="CE2555" s="548"/>
      <c r="CF2555" s="548"/>
      <c r="CG2555" s="548"/>
      <c r="CH2555" s="548"/>
      <c r="JD2555" s="249"/>
    </row>
    <row r="2556" spans="1:264" s="24" customFormat="1" x14ac:dyDescent="0.25">
      <c r="A2556" s="24">
        <v>120</v>
      </c>
      <c r="B2556" s="42" t="s">
        <v>4332</v>
      </c>
      <c r="C2556" s="24" t="s">
        <v>2728</v>
      </c>
      <c r="D2556" s="24" t="s">
        <v>2729</v>
      </c>
      <c r="E2556" s="24">
        <v>1997</v>
      </c>
      <c r="F2556" s="24">
        <v>1992</v>
      </c>
      <c r="G2556" s="24" t="s">
        <v>2696</v>
      </c>
      <c r="H2556" s="24" t="s">
        <v>2731</v>
      </c>
      <c r="I2556" s="24" t="s">
        <v>2828</v>
      </c>
      <c r="J2556" s="24">
        <f>7+58/60</f>
        <v>7.9666666666666668</v>
      </c>
      <c r="K2556" s="24">
        <v>3</v>
      </c>
      <c r="L2556" s="24">
        <v>200</v>
      </c>
      <c r="N2556" s="24">
        <v>28.7</v>
      </c>
      <c r="P2556" s="24">
        <v>1156</v>
      </c>
      <c r="R2556" s="42" t="s">
        <v>1847</v>
      </c>
      <c r="S2556" s="42" t="s">
        <v>1728</v>
      </c>
      <c r="T2556" s="42"/>
      <c r="U2556" s="42" t="s">
        <v>2727</v>
      </c>
      <c r="V2556" s="42" t="s">
        <v>1377</v>
      </c>
      <c r="W2556" s="42" t="s">
        <v>1377</v>
      </c>
      <c r="X2556" s="42" t="s">
        <v>1377</v>
      </c>
      <c r="Y2556" s="42" t="s">
        <v>1377</v>
      </c>
      <c r="AA2556" s="321"/>
      <c r="AB2556" s="321"/>
      <c r="AD2556" s="24">
        <v>5.6</v>
      </c>
      <c r="AG2556" s="24" t="s">
        <v>2733</v>
      </c>
      <c r="AH2556" s="24" t="s">
        <v>2734</v>
      </c>
      <c r="AI2556" s="24" t="s">
        <v>577</v>
      </c>
      <c r="AJ2556" s="24" t="s">
        <v>2327</v>
      </c>
      <c r="AK2556" s="24" t="s">
        <v>229</v>
      </c>
      <c r="AW2556" s="24" t="s">
        <v>160</v>
      </c>
      <c r="AX2556" s="24">
        <v>4</v>
      </c>
      <c r="AZ2556" s="24" t="s">
        <v>141</v>
      </c>
      <c r="BB2556" s="24">
        <f>AVERAGE(1192,593,997)*10</f>
        <v>9273.3333333333339</v>
      </c>
      <c r="BK2556" s="24">
        <v>3077</v>
      </c>
      <c r="BL2556" s="24">
        <v>3923</v>
      </c>
      <c r="BO2556" s="24" t="s">
        <v>2735</v>
      </c>
      <c r="BP2556" s="395"/>
      <c r="BQ2556" s="395"/>
      <c r="BU2556" s="395"/>
      <c r="BV2556" s="395"/>
      <c r="BZ2556" s="395"/>
      <c r="CA2556" s="395"/>
      <c r="CE2556" s="548"/>
      <c r="CF2556" s="548"/>
      <c r="CG2556" s="548"/>
      <c r="CH2556" s="548"/>
      <c r="JD2556" s="249"/>
    </row>
    <row r="2557" spans="1:264" s="126" customFormat="1" x14ac:dyDescent="0.25">
      <c r="A2557" s="126">
        <v>121</v>
      </c>
      <c r="B2557" s="478" t="s">
        <v>4333</v>
      </c>
      <c r="C2557" s="126" t="s">
        <v>2737</v>
      </c>
      <c r="D2557" s="126" t="s">
        <v>2736</v>
      </c>
      <c r="E2557" s="126">
        <v>1999</v>
      </c>
      <c r="F2557" s="126">
        <v>1995</v>
      </c>
      <c r="G2557" s="126" t="s">
        <v>2738</v>
      </c>
      <c r="H2557" s="126" t="s">
        <v>2739</v>
      </c>
      <c r="I2557" s="126" t="s">
        <v>2823</v>
      </c>
      <c r="J2557" s="126">
        <f t="shared" ref="J2557:J2564" si="363">10+24/60</f>
        <v>10.4</v>
      </c>
      <c r="K2557" s="126">
        <f t="shared" ref="K2557:K2564" si="364">7+42/60</f>
        <v>7.7</v>
      </c>
      <c r="L2557" s="126">
        <v>656</v>
      </c>
      <c r="P2557" s="126">
        <v>1350</v>
      </c>
      <c r="R2557" s="478" t="s">
        <v>1977</v>
      </c>
      <c r="S2557" s="478" t="s">
        <v>1847</v>
      </c>
      <c r="T2557" s="478"/>
      <c r="U2557" s="478" t="s">
        <v>1953</v>
      </c>
      <c r="V2557" s="478" t="s">
        <v>1382</v>
      </c>
      <c r="W2557" s="478" t="s">
        <v>1717</v>
      </c>
      <c r="X2557" s="478" t="s">
        <v>1382</v>
      </c>
      <c r="Y2557" s="478" t="s">
        <v>1382</v>
      </c>
      <c r="AA2557" s="479">
        <v>47.5</v>
      </c>
      <c r="AB2557" s="479">
        <f t="shared" ref="AB2557:AB2596" si="365">100-AA2557-30</f>
        <v>22.5</v>
      </c>
      <c r="AC2557" s="126" t="s">
        <v>518</v>
      </c>
      <c r="AD2557" s="126">
        <v>6.5</v>
      </c>
      <c r="AE2557" s="126">
        <v>0.7</v>
      </c>
      <c r="AH2557" s="126" t="s">
        <v>2742</v>
      </c>
      <c r="AI2557" s="126" t="s">
        <v>577</v>
      </c>
      <c r="AJ2557" s="126" t="s">
        <v>1645</v>
      </c>
      <c r="AK2557" s="126" t="s">
        <v>132</v>
      </c>
      <c r="AW2557" s="126" t="s">
        <v>2741</v>
      </c>
      <c r="AX2557" s="126">
        <v>4</v>
      </c>
      <c r="AZ2557" s="126" t="s">
        <v>141</v>
      </c>
      <c r="BF2557" s="126">
        <v>5.4</v>
      </c>
      <c r="BG2557" s="126">
        <v>7</v>
      </c>
      <c r="BH2557" s="126">
        <v>1.75</v>
      </c>
      <c r="BI2557" s="126">
        <v>1.75</v>
      </c>
      <c r="BJ2557" s="126" t="s">
        <v>2748</v>
      </c>
      <c r="BK2557" s="126">
        <v>2300</v>
      </c>
      <c r="BL2557" s="126">
        <v>3980</v>
      </c>
      <c r="BO2557" s="126" t="s">
        <v>2745</v>
      </c>
      <c r="BP2557" s="481"/>
      <c r="BQ2557" s="481"/>
      <c r="BU2557" s="481"/>
      <c r="BV2557" s="481"/>
      <c r="BZ2557" s="481"/>
      <c r="CA2557" s="481"/>
      <c r="CE2557" s="605"/>
      <c r="CF2557" s="605"/>
      <c r="CG2557" s="605"/>
      <c r="CH2557" s="605"/>
      <c r="CJ2557" s="126">
        <f>0.055*10000</f>
        <v>550</v>
      </c>
      <c r="CK2557" s="126">
        <v>620</v>
      </c>
      <c r="CL2557" s="126">
        <v>53</v>
      </c>
      <c r="CM2557" s="126">
        <v>53</v>
      </c>
      <c r="CN2557" s="126" t="s">
        <v>2680</v>
      </c>
      <c r="JD2557" s="480"/>
    </row>
    <row r="2558" spans="1:264" s="126" customFormat="1" x14ac:dyDescent="0.25">
      <c r="A2558" s="126">
        <v>121</v>
      </c>
      <c r="B2558" s="478" t="s">
        <v>4333</v>
      </c>
      <c r="C2558" s="126" t="s">
        <v>2737</v>
      </c>
      <c r="D2558" s="126" t="s">
        <v>2736</v>
      </c>
      <c r="E2558" s="126">
        <v>1999</v>
      </c>
      <c r="F2558" s="126">
        <v>1995</v>
      </c>
      <c r="G2558" s="126" t="s">
        <v>2738</v>
      </c>
      <c r="H2558" s="126" t="s">
        <v>2739</v>
      </c>
      <c r="I2558" s="126" t="s">
        <v>2823</v>
      </c>
      <c r="J2558" s="126">
        <f t="shared" si="363"/>
        <v>10.4</v>
      </c>
      <c r="K2558" s="126">
        <f t="shared" si="364"/>
        <v>7.7</v>
      </c>
      <c r="L2558" s="126">
        <v>656</v>
      </c>
      <c r="P2558" s="126">
        <v>1350</v>
      </c>
      <c r="R2558" s="478" t="s">
        <v>1977</v>
      </c>
      <c r="S2558" s="478" t="s">
        <v>1847</v>
      </c>
      <c r="T2558" s="478"/>
      <c r="U2558" s="478" t="s">
        <v>1953</v>
      </c>
      <c r="V2558" s="478" t="s">
        <v>1382</v>
      </c>
      <c r="W2558" s="478" t="s">
        <v>1717</v>
      </c>
      <c r="X2558" s="478" t="s">
        <v>1382</v>
      </c>
      <c r="Y2558" s="478" t="s">
        <v>1382</v>
      </c>
      <c r="AA2558" s="479">
        <v>47.5</v>
      </c>
      <c r="AB2558" s="479">
        <f t="shared" si="365"/>
        <v>22.5</v>
      </c>
      <c r="AC2558" s="126" t="s">
        <v>518</v>
      </c>
      <c r="AD2558" s="126">
        <v>6.5</v>
      </c>
      <c r="AE2558" s="126">
        <v>0.7</v>
      </c>
      <c r="AH2558" s="126" t="s">
        <v>2743</v>
      </c>
      <c r="AI2558" s="126" t="s">
        <v>577</v>
      </c>
      <c r="AJ2558" s="126" t="s">
        <v>1645</v>
      </c>
      <c r="AK2558" s="126" t="s">
        <v>132</v>
      </c>
      <c r="AW2558" s="126" t="s">
        <v>2741</v>
      </c>
      <c r="AX2558" s="126">
        <v>4</v>
      </c>
      <c r="AZ2558" s="126" t="s">
        <v>141</v>
      </c>
      <c r="BF2558" s="126">
        <v>5.4</v>
      </c>
      <c r="BG2558" s="126">
        <v>11.2</v>
      </c>
      <c r="BJ2558" s="126" t="s">
        <v>2748</v>
      </c>
      <c r="BK2558" s="126">
        <v>2300</v>
      </c>
      <c r="BL2558" s="126">
        <v>1860</v>
      </c>
      <c r="BO2558" s="126" t="s">
        <v>2745</v>
      </c>
      <c r="BP2558" s="481"/>
      <c r="BQ2558" s="481"/>
      <c r="BU2558" s="481"/>
      <c r="BV2558" s="481"/>
      <c r="BZ2558" s="481"/>
      <c r="CA2558" s="481"/>
      <c r="CE2558" s="605"/>
      <c r="CF2558" s="605"/>
      <c r="CG2558" s="605"/>
      <c r="CH2558" s="605"/>
      <c r="CJ2558" s="126">
        <f t="shared" ref="CJ2558:CJ2560" si="366">0.055*10000</f>
        <v>550</v>
      </c>
      <c r="CK2558" s="126">
        <v>600</v>
      </c>
      <c r="CN2558" s="126" t="s">
        <v>2680</v>
      </c>
      <c r="JD2558" s="480"/>
    </row>
    <row r="2559" spans="1:264" s="126" customFormat="1" x14ac:dyDescent="0.25">
      <c r="A2559" s="126">
        <v>121</v>
      </c>
      <c r="B2559" s="478" t="s">
        <v>4333</v>
      </c>
      <c r="C2559" s="126" t="s">
        <v>2737</v>
      </c>
      <c r="D2559" s="126" t="s">
        <v>2736</v>
      </c>
      <c r="E2559" s="126">
        <v>1999</v>
      </c>
      <c r="F2559" s="126">
        <v>1995</v>
      </c>
      <c r="G2559" s="126" t="s">
        <v>2738</v>
      </c>
      <c r="H2559" s="126" t="s">
        <v>2739</v>
      </c>
      <c r="I2559" s="126" t="s">
        <v>2823</v>
      </c>
      <c r="J2559" s="126">
        <f t="shared" si="363"/>
        <v>10.4</v>
      </c>
      <c r="K2559" s="126">
        <f t="shared" si="364"/>
        <v>7.7</v>
      </c>
      <c r="L2559" s="126">
        <v>656</v>
      </c>
      <c r="P2559" s="126">
        <v>1350</v>
      </c>
      <c r="R2559" s="478" t="s">
        <v>1977</v>
      </c>
      <c r="S2559" s="478" t="s">
        <v>1847</v>
      </c>
      <c r="T2559" s="478"/>
      <c r="U2559" s="478" t="s">
        <v>1953</v>
      </c>
      <c r="V2559" s="478" t="s">
        <v>1382</v>
      </c>
      <c r="W2559" s="478" t="s">
        <v>1717</v>
      </c>
      <c r="X2559" s="478" t="s">
        <v>1382</v>
      </c>
      <c r="Y2559" s="478" t="s">
        <v>1382</v>
      </c>
      <c r="AA2559" s="479">
        <v>47.5</v>
      </c>
      <c r="AB2559" s="479">
        <f t="shared" si="365"/>
        <v>22.5</v>
      </c>
      <c r="AC2559" s="126" t="s">
        <v>518</v>
      </c>
      <c r="AD2559" s="126">
        <v>6.5</v>
      </c>
      <c r="AE2559" s="126">
        <v>0.7</v>
      </c>
      <c r="AH2559" s="126" t="s">
        <v>2744</v>
      </c>
      <c r="AI2559" s="126" t="s">
        <v>577</v>
      </c>
      <c r="AJ2559" s="126" t="s">
        <v>1645</v>
      </c>
      <c r="AK2559" s="126" t="s">
        <v>132</v>
      </c>
      <c r="AW2559" s="126" t="s">
        <v>2741</v>
      </c>
      <c r="AX2559" s="126">
        <v>4</v>
      </c>
      <c r="AZ2559" s="126" t="s">
        <v>141</v>
      </c>
      <c r="BF2559" s="126">
        <v>5.4</v>
      </c>
      <c r="BG2559" s="126">
        <v>10.8</v>
      </c>
      <c r="BJ2559" s="126" t="s">
        <v>2748</v>
      </c>
      <c r="BK2559" s="126">
        <v>2300</v>
      </c>
      <c r="BL2559" s="126">
        <v>5020</v>
      </c>
      <c r="BO2559" s="126" t="s">
        <v>2745</v>
      </c>
      <c r="BP2559" s="481"/>
      <c r="BQ2559" s="481"/>
      <c r="BU2559" s="481"/>
      <c r="BV2559" s="481"/>
      <c r="BZ2559" s="481"/>
      <c r="CA2559" s="481"/>
      <c r="CE2559" s="605"/>
      <c r="CF2559" s="605"/>
      <c r="CG2559" s="605"/>
      <c r="CH2559" s="605"/>
      <c r="CJ2559" s="126">
        <f t="shared" si="366"/>
        <v>550</v>
      </c>
      <c r="CK2559" s="126">
        <v>700</v>
      </c>
      <c r="CN2559" s="126" t="s">
        <v>2680</v>
      </c>
      <c r="JD2559" s="480"/>
    </row>
    <row r="2560" spans="1:264" s="126" customFormat="1" x14ac:dyDescent="0.25">
      <c r="A2560" s="126">
        <v>121</v>
      </c>
      <c r="B2560" s="478" t="s">
        <v>4333</v>
      </c>
      <c r="C2560" s="126" t="s">
        <v>2737</v>
      </c>
      <c r="D2560" s="126" t="s">
        <v>2736</v>
      </c>
      <c r="E2560" s="126">
        <v>1999</v>
      </c>
      <c r="F2560" s="126">
        <v>1995</v>
      </c>
      <c r="G2560" s="126" t="s">
        <v>2738</v>
      </c>
      <c r="H2560" s="126" t="s">
        <v>2739</v>
      </c>
      <c r="I2560" s="126" t="s">
        <v>2823</v>
      </c>
      <c r="J2560" s="126">
        <f t="shared" si="363"/>
        <v>10.4</v>
      </c>
      <c r="K2560" s="126">
        <f t="shared" si="364"/>
        <v>7.7</v>
      </c>
      <c r="L2560" s="126">
        <v>656</v>
      </c>
      <c r="P2560" s="126">
        <v>1350</v>
      </c>
      <c r="R2560" s="478" t="s">
        <v>1977</v>
      </c>
      <c r="S2560" s="478" t="s">
        <v>1847</v>
      </c>
      <c r="T2560" s="478"/>
      <c r="U2560" s="478" t="s">
        <v>1953</v>
      </c>
      <c r="V2560" s="478" t="s">
        <v>1382</v>
      </c>
      <c r="W2560" s="478" t="s">
        <v>1717</v>
      </c>
      <c r="X2560" s="478" t="s">
        <v>1382</v>
      </c>
      <c r="Y2560" s="478" t="s">
        <v>1382</v>
      </c>
      <c r="AA2560" s="479">
        <v>47.5</v>
      </c>
      <c r="AB2560" s="479">
        <f t="shared" si="365"/>
        <v>22.5</v>
      </c>
      <c r="AC2560" s="126" t="s">
        <v>518</v>
      </c>
      <c r="AD2560" s="126">
        <v>6.5</v>
      </c>
      <c r="AE2560" s="126">
        <v>0.7</v>
      </c>
      <c r="AH2560" s="126" t="s">
        <v>2326</v>
      </c>
      <c r="AI2560" s="126" t="s">
        <v>577</v>
      </c>
      <c r="AJ2560" s="126" t="s">
        <v>1645</v>
      </c>
      <c r="AK2560" s="126" t="s">
        <v>132</v>
      </c>
      <c r="AW2560" s="126" t="s">
        <v>2741</v>
      </c>
      <c r="AX2560" s="126">
        <v>4</v>
      </c>
      <c r="AZ2560" s="126" t="s">
        <v>141</v>
      </c>
      <c r="BF2560" s="126">
        <v>5.4</v>
      </c>
      <c r="BG2560" s="126">
        <v>7.8</v>
      </c>
      <c r="BJ2560" s="126" t="s">
        <v>2748</v>
      </c>
      <c r="BK2560" s="126">
        <v>2300</v>
      </c>
      <c r="BL2560" s="126">
        <v>610</v>
      </c>
      <c r="BO2560" s="126" t="s">
        <v>2745</v>
      </c>
      <c r="BP2560" s="481"/>
      <c r="BQ2560" s="481"/>
      <c r="BU2560" s="481"/>
      <c r="BV2560" s="481"/>
      <c r="BZ2560" s="481"/>
      <c r="CA2560" s="481"/>
      <c r="CE2560" s="605"/>
      <c r="CF2560" s="605"/>
      <c r="CG2560" s="605"/>
      <c r="CH2560" s="605"/>
      <c r="CJ2560" s="126">
        <f t="shared" si="366"/>
        <v>550</v>
      </c>
      <c r="CK2560" s="126">
        <v>670</v>
      </c>
      <c r="CN2560" s="126" t="s">
        <v>2680</v>
      </c>
      <c r="JD2560" s="480"/>
    </row>
    <row r="2561" spans="1:264" s="126" customFormat="1" x14ac:dyDescent="0.25">
      <c r="A2561" s="126">
        <v>121</v>
      </c>
      <c r="B2561" s="478" t="s">
        <v>4333</v>
      </c>
      <c r="C2561" s="126" t="s">
        <v>2737</v>
      </c>
      <c r="D2561" s="126" t="s">
        <v>2736</v>
      </c>
      <c r="E2561" s="126">
        <v>1999</v>
      </c>
      <c r="F2561" s="126">
        <v>1995</v>
      </c>
      <c r="G2561" s="126" t="s">
        <v>2738</v>
      </c>
      <c r="H2561" s="126" t="s">
        <v>2739</v>
      </c>
      <c r="I2561" s="126" t="s">
        <v>2823</v>
      </c>
      <c r="J2561" s="126">
        <f t="shared" si="363"/>
        <v>10.4</v>
      </c>
      <c r="K2561" s="126">
        <f t="shared" si="364"/>
        <v>7.7</v>
      </c>
      <c r="L2561" s="126">
        <v>656</v>
      </c>
      <c r="P2561" s="126">
        <v>1350</v>
      </c>
      <c r="R2561" s="478" t="s">
        <v>1977</v>
      </c>
      <c r="S2561" s="478" t="s">
        <v>1847</v>
      </c>
      <c r="T2561" s="478"/>
      <c r="U2561" s="478" t="s">
        <v>1953</v>
      </c>
      <c r="V2561" s="478" t="s">
        <v>1382</v>
      </c>
      <c r="W2561" s="478" t="s">
        <v>1717</v>
      </c>
      <c r="X2561" s="478" t="s">
        <v>1382</v>
      </c>
      <c r="Y2561" s="478" t="s">
        <v>1382</v>
      </c>
      <c r="AA2561" s="479">
        <v>47.5</v>
      </c>
      <c r="AB2561" s="479">
        <f t="shared" si="365"/>
        <v>22.5</v>
      </c>
      <c r="AC2561" s="126" t="s">
        <v>518</v>
      </c>
      <c r="AD2561" s="126">
        <v>6.5</v>
      </c>
      <c r="AE2561" s="126">
        <v>0.7</v>
      </c>
      <c r="AH2561" s="126" t="s">
        <v>2742</v>
      </c>
      <c r="AI2561" s="126" t="s">
        <v>577</v>
      </c>
      <c r="AJ2561" s="126" t="s">
        <v>1645</v>
      </c>
      <c r="AK2561" s="126" t="s">
        <v>132</v>
      </c>
      <c r="AW2561" s="126" t="s">
        <v>2741</v>
      </c>
      <c r="AX2561" s="126">
        <v>4</v>
      </c>
      <c r="AZ2561" s="126" t="s">
        <v>141</v>
      </c>
      <c r="BF2561" s="126">
        <v>4.2</v>
      </c>
      <c r="BG2561" s="126">
        <v>5.3</v>
      </c>
      <c r="BJ2561" s="126" t="s">
        <v>2748</v>
      </c>
      <c r="BK2561" s="126">
        <v>2160</v>
      </c>
      <c r="BL2561" s="126">
        <v>6170</v>
      </c>
      <c r="BO2561" s="126" t="s">
        <v>2746</v>
      </c>
      <c r="BP2561" s="481"/>
      <c r="BQ2561" s="481"/>
      <c r="BU2561" s="481"/>
      <c r="BV2561" s="481"/>
      <c r="BZ2561" s="481"/>
      <c r="CA2561" s="481"/>
      <c r="CE2561" s="605"/>
      <c r="CF2561" s="605"/>
      <c r="CG2561" s="605"/>
      <c r="CH2561" s="605"/>
      <c r="JD2561" s="480"/>
    </row>
    <row r="2562" spans="1:264" s="126" customFormat="1" x14ac:dyDescent="0.25">
      <c r="A2562" s="126">
        <v>121</v>
      </c>
      <c r="B2562" s="478" t="s">
        <v>4333</v>
      </c>
      <c r="C2562" s="126" t="s">
        <v>2737</v>
      </c>
      <c r="D2562" s="126" t="s">
        <v>2736</v>
      </c>
      <c r="E2562" s="126">
        <v>1999</v>
      </c>
      <c r="F2562" s="126">
        <v>1995</v>
      </c>
      <c r="G2562" s="126" t="s">
        <v>2738</v>
      </c>
      <c r="H2562" s="126" t="s">
        <v>2739</v>
      </c>
      <c r="I2562" s="126" t="s">
        <v>2823</v>
      </c>
      <c r="J2562" s="126">
        <f t="shared" si="363"/>
        <v>10.4</v>
      </c>
      <c r="K2562" s="126">
        <f t="shared" si="364"/>
        <v>7.7</v>
      </c>
      <c r="L2562" s="126">
        <v>656</v>
      </c>
      <c r="P2562" s="126">
        <v>1350</v>
      </c>
      <c r="R2562" s="478" t="s">
        <v>1977</v>
      </c>
      <c r="S2562" s="478" t="s">
        <v>1847</v>
      </c>
      <c r="T2562" s="478"/>
      <c r="U2562" s="478" t="s">
        <v>1953</v>
      </c>
      <c r="V2562" s="478" t="s">
        <v>1382</v>
      </c>
      <c r="W2562" s="478" t="s">
        <v>1717</v>
      </c>
      <c r="X2562" s="478" t="s">
        <v>1382</v>
      </c>
      <c r="Y2562" s="478" t="s">
        <v>1382</v>
      </c>
      <c r="AA2562" s="479">
        <v>47.5</v>
      </c>
      <c r="AB2562" s="479">
        <f t="shared" si="365"/>
        <v>22.5</v>
      </c>
      <c r="AC2562" s="126" t="s">
        <v>518</v>
      </c>
      <c r="AD2562" s="126">
        <v>6.5</v>
      </c>
      <c r="AE2562" s="126">
        <v>0.7</v>
      </c>
      <c r="AH2562" s="126" t="s">
        <v>2743</v>
      </c>
      <c r="AI2562" s="126" t="s">
        <v>577</v>
      </c>
      <c r="AJ2562" s="126" t="s">
        <v>1645</v>
      </c>
      <c r="AK2562" s="126" t="s">
        <v>132</v>
      </c>
      <c r="AW2562" s="126" t="s">
        <v>2741</v>
      </c>
      <c r="AX2562" s="126">
        <v>4</v>
      </c>
      <c r="AZ2562" s="126" t="s">
        <v>141</v>
      </c>
      <c r="BF2562" s="126">
        <v>4.2</v>
      </c>
      <c r="BG2562" s="126">
        <v>7.1</v>
      </c>
      <c r="BJ2562" s="126" t="s">
        <v>2748</v>
      </c>
      <c r="BK2562" s="126">
        <v>2160</v>
      </c>
      <c r="BL2562" s="126">
        <v>1950</v>
      </c>
      <c r="BO2562" s="126" t="s">
        <v>2746</v>
      </c>
      <c r="BP2562" s="481"/>
      <c r="BQ2562" s="481"/>
      <c r="BU2562" s="481"/>
      <c r="BV2562" s="481"/>
      <c r="BZ2562" s="481"/>
      <c r="CA2562" s="481"/>
      <c r="CE2562" s="605"/>
      <c r="CF2562" s="605"/>
      <c r="CG2562" s="605"/>
      <c r="CH2562" s="605"/>
      <c r="JD2562" s="480"/>
    </row>
    <row r="2563" spans="1:264" s="126" customFormat="1" x14ac:dyDescent="0.25">
      <c r="A2563" s="126">
        <v>121</v>
      </c>
      <c r="B2563" s="478" t="s">
        <v>4333</v>
      </c>
      <c r="C2563" s="126" t="s">
        <v>2737</v>
      </c>
      <c r="D2563" s="126" t="s">
        <v>2736</v>
      </c>
      <c r="E2563" s="126">
        <v>1999</v>
      </c>
      <c r="F2563" s="126">
        <v>1995</v>
      </c>
      <c r="G2563" s="126" t="s">
        <v>2738</v>
      </c>
      <c r="H2563" s="126" t="s">
        <v>2739</v>
      </c>
      <c r="I2563" s="126" t="s">
        <v>2823</v>
      </c>
      <c r="J2563" s="126">
        <f t="shared" si="363"/>
        <v>10.4</v>
      </c>
      <c r="K2563" s="126">
        <f t="shared" si="364"/>
        <v>7.7</v>
      </c>
      <c r="L2563" s="126">
        <v>656</v>
      </c>
      <c r="P2563" s="126">
        <v>1350</v>
      </c>
      <c r="R2563" s="478" t="s">
        <v>1977</v>
      </c>
      <c r="S2563" s="478" t="s">
        <v>1847</v>
      </c>
      <c r="T2563" s="478"/>
      <c r="U2563" s="478" t="s">
        <v>1953</v>
      </c>
      <c r="V2563" s="478" t="s">
        <v>1382</v>
      </c>
      <c r="W2563" s="478" t="s">
        <v>1717</v>
      </c>
      <c r="X2563" s="478" t="s">
        <v>1382</v>
      </c>
      <c r="Y2563" s="478" t="s">
        <v>1382</v>
      </c>
      <c r="AA2563" s="479">
        <v>47.5</v>
      </c>
      <c r="AB2563" s="479">
        <f t="shared" si="365"/>
        <v>22.5</v>
      </c>
      <c r="AC2563" s="126" t="s">
        <v>518</v>
      </c>
      <c r="AD2563" s="126">
        <v>6.5</v>
      </c>
      <c r="AE2563" s="126">
        <v>0.7</v>
      </c>
      <c r="AH2563" s="126" t="s">
        <v>2744</v>
      </c>
      <c r="AI2563" s="126" t="s">
        <v>577</v>
      </c>
      <c r="AJ2563" s="126" t="s">
        <v>1645</v>
      </c>
      <c r="AK2563" s="126" t="s">
        <v>132</v>
      </c>
      <c r="AW2563" s="126" t="s">
        <v>2741</v>
      </c>
      <c r="AX2563" s="126">
        <v>4</v>
      </c>
      <c r="AZ2563" s="126" t="s">
        <v>141</v>
      </c>
      <c r="BF2563" s="126">
        <v>4.2</v>
      </c>
      <c r="BG2563" s="126">
        <v>7.3</v>
      </c>
      <c r="BJ2563" s="126" t="s">
        <v>2748</v>
      </c>
      <c r="BK2563" s="126">
        <v>2160</v>
      </c>
      <c r="BL2563" s="126">
        <v>8030</v>
      </c>
      <c r="BO2563" s="126" t="s">
        <v>2746</v>
      </c>
      <c r="BP2563" s="481"/>
      <c r="BQ2563" s="481"/>
      <c r="BU2563" s="481"/>
      <c r="BV2563" s="481"/>
      <c r="BZ2563" s="481"/>
      <c r="CA2563" s="481"/>
      <c r="CE2563" s="605"/>
      <c r="CF2563" s="605"/>
      <c r="CG2563" s="605"/>
      <c r="CH2563" s="605"/>
      <c r="JD2563" s="480"/>
    </row>
    <row r="2564" spans="1:264" s="126" customFormat="1" x14ac:dyDescent="0.25">
      <c r="A2564" s="126">
        <v>121</v>
      </c>
      <c r="B2564" s="478" t="s">
        <v>4333</v>
      </c>
      <c r="C2564" s="126" t="s">
        <v>2737</v>
      </c>
      <c r="D2564" s="126" t="s">
        <v>2736</v>
      </c>
      <c r="E2564" s="126">
        <v>1999</v>
      </c>
      <c r="F2564" s="126">
        <v>1995</v>
      </c>
      <c r="G2564" s="126" t="s">
        <v>2738</v>
      </c>
      <c r="H2564" s="126" t="s">
        <v>2739</v>
      </c>
      <c r="I2564" s="126" t="s">
        <v>2823</v>
      </c>
      <c r="J2564" s="126">
        <f t="shared" si="363"/>
        <v>10.4</v>
      </c>
      <c r="K2564" s="126">
        <f t="shared" si="364"/>
        <v>7.7</v>
      </c>
      <c r="L2564" s="126">
        <v>656</v>
      </c>
      <c r="P2564" s="126">
        <v>1350</v>
      </c>
      <c r="R2564" s="478" t="s">
        <v>1977</v>
      </c>
      <c r="S2564" s="478" t="s">
        <v>1847</v>
      </c>
      <c r="T2564" s="478"/>
      <c r="U2564" s="478" t="s">
        <v>1953</v>
      </c>
      <c r="V2564" s="478" t="s">
        <v>1382</v>
      </c>
      <c r="W2564" s="478" t="s">
        <v>1717</v>
      </c>
      <c r="X2564" s="478" t="s">
        <v>1382</v>
      </c>
      <c r="Y2564" s="478" t="s">
        <v>1382</v>
      </c>
      <c r="AA2564" s="479">
        <v>47.5</v>
      </c>
      <c r="AB2564" s="479">
        <f t="shared" si="365"/>
        <v>22.5</v>
      </c>
      <c r="AC2564" s="126" t="s">
        <v>518</v>
      </c>
      <c r="AD2564" s="126">
        <v>6.5</v>
      </c>
      <c r="AE2564" s="126">
        <v>0.7</v>
      </c>
      <c r="AH2564" s="126" t="s">
        <v>2326</v>
      </c>
      <c r="AI2564" s="126" t="s">
        <v>577</v>
      </c>
      <c r="AJ2564" s="126" t="s">
        <v>1645</v>
      </c>
      <c r="AK2564" s="126" t="s">
        <v>132</v>
      </c>
      <c r="AW2564" s="126" t="s">
        <v>2741</v>
      </c>
      <c r="AX2564" s="126">
        <v>4</v>
      </c>
      <c r="AZ2564" s="126" t="s">
        <v>141</v>
      </c>
      <c r="BF2564" s="126">
        <v>4.2</v>
      </c>
      <c r="BG2564" s="126">
        <v>5.8</v>
      </c>
      <c r="BJ2564" s="126" t="s">
        <v>2748</v>
      </c>
      <c r="BK2564" s="126">
        <v>2160</v>
      </c>
      <c r="BL2564" s="126">
        <v>620</v>
      </c>
      <c r="BO2564" s="126" t="s">
        <v>2746</v>
      </c>
      <c r="BP2564" s="481"/>
      <c r="BQ2564" s="481"/>
      <c r="BU2564" s="481"/>
      <c r="BV2564" s="481"/>
      <c r="BZ2564" s="481"/>
      <c r="CA2564" s="481"/>
      <c r="CE2564" s="605"/>
      <c r="CF2564" s="605"/>
      <c r="CG2564" s="605"/>
      <c r="CH2564" s="605"/>
      <c r="JD2564" s="480"/>
    </row>
    <row r="2565" spans="1:264" s="36" customFormat="1" x14ac:dyDescent="0.25">
      <c r="A2565" s="36">
        <v>121</v>
      </c>
      <c r="B2565" s="51" t="s">
        <v>4334</v>
      </c>
      <c r="C2565" s="36" t="s">
        <v>2737</v>
      </c>
      <c r="D2565" s="36" t="s">
        <v>2736</v>
      </c>
      <c r="E2565" s="36">
        <v>1999</v>
      </c>
      <c r="F2565" s="36">
        <v>1995</v>
      </c>
      <c r="G2565" s="36" t="s">
        <v>2738</v>
      </c>
      <c r="H2565" s="36" t="s">
        <v>2740</v>
      </c>
      <c r="I2565" s="36" t="s">
        <v>2823</v>
      </c>
      <c r="J2565" s="36">
        <f t="shared" ref="J2565:J2572" si="367">10+1/60</f>
        <v>10.016666666666667</v>
      </c>
      <c r="K2565" s="36">
        <f t="shared" ref="K2565:K2572" si="368">9+47/60</f>
        <v>9.7833333333333332</v>
      </c>
      <c r="L2565" s="36">
        <v>542</v>
      </c>
      <c r="P2565" s="36">
        <v>1350</v>
      </c>
      <c r="R2565" s="51" t="s">
        <v>1977</v>
      </c>
      <c r="S2565" s="51" t="s">
        <v>1847</v>
      </c>
      <c r="T2565" s="51"/>
      <c r="U2565" s="51" t="s">
        <v>1953</v>
      </c>
      <c r="V2565" s="51" t="s">
        <v>1382</v>
      </c>
      <c r="W2565" s="51" t="s">
        <v>1717</v>
      </c>
      <c r="X2565" s="51" t="s">
        <v>1382</v>
      </c>
      <c r="Y2565" s="51" t="s">
        <v>1382</v>
      </c>
      <c r="AA2565" s="331">
        <v>47.5</v>
      </c>
      <c r="AB2565" s="331">
        <f t="shared" si="365"/>
        <v>22.5</v>
      </c>
      <c r="AC2565" s="36" t="s">
        <v>518</v>
      </c>
      <c r="AD2565" s="36">
        <v>6.5</v>
      </c>
      <c r="AE2565" s="36">
        <v>0.7</v>
      </c>
      <c r="AH2565" s="36" t="s">
        <v>2742</v>
      </c>
      <c r="AI2565" s="36" t="s">
        <v>577</v>
      </c>
      <c r="AJ2565" s="36" t="s">
        <v>1645</v>
      </c>
      <c r="AK2565" s="36" t="s">
        <v>132</v>
      </c>
      <c r="AW2565" s="36" t="s">
        <v>2741</v>
      </c>
      <c r="AX2565" s="36">
        <v>4</v>
      </c>
      <c r="AZ2565" s="36" t="s">
        <v>141</v>
      </c>
      <c r="BF2565" s="36">
        <v>3.9</v>
      </c>
      <c r="BG2565" s="36">
        <v>3.9</v>
      </c>
      <c r="BH2565" s="36">
        <v>0.62</v>
      </c>
      <c r="BI2565" s="36">
        <v>0.62</v>
      </c>
      <c r="BJ2565" s="36" t="s">
        <v>2748</v>
      </c>
      <c r="BK2565" s="36">
        <v>2070</v>
      </c>
      <c r="BL2565" s="36">
        <v>1720</v>
      </c>
      <c r="BO2565" s="36" t="s">
        <v>2747</v>
      </c>
      <c r="BP2565" s="407"/>
      <c r="BQ2565" s="407"/>
      <c r="BU2565" s="407"/>
      <c r="BV2565" s="407"/>
      <c r="BZ2565" s="407"/>
      <c r="CA2565" s="407"/>
      <c r="CE2565" s="560"/>
      <c r="CF2565" s="560"/>
      <c r="CG2565" s="560"/>
      <c r="CH2565" s="560"/>
      <c r="CJ2565" s="36">
        <v>400</v>
      </c>
      <c r="CK2565" s="36">
        <v>370</v>
      </c>
      <c r="CL2565" s="36">
        <v>75</v>
      </c>
      <c r="CM2565" s="36">
        <v>75</v>
      </c>
      <c r="CN2565" s="36" t="s">
        <v>2680</v>
      </c>
      <c r="JD2565" s="230"/>
    </row>
    <row r="2566" spans="1:264" s="36" customFormat="1" x14ac:dyDescent="0.25">
      <c r="A2566" s="36">
        <v>121</v>
      </c>
      <c r="B2566" s="51" t="s">
        <v>4334</v>
      </c>
      <c r="C2566" s="36" t="s">
        <v>2737</v>
      </c>
      <c r="D2566" s="36" t="s">
        <v>2736</v>
      </c>
      <c r="E2566" s="36">
        <v>1999</v>
      </c>
      <c r="F2566" s="36">
        <v>1995</v>
      </c>
      <c r="G2566" s="36" t="s">
        <v>2738</v>
      </c>
      <c r="H2566" s="36" t="s">
        <v>2740</v>
      </c>
      <c r="I2566" s="36" t="s">
        <v>2823</v>
      </c>
      <c r="J2566" s="36">
        <f t="shared" si="367"/>
        <v>10.016666666666667</v>
      </c>
      <c r="K2566" s="36">
        <f t="shared" si="368"/>
        <v>9.7833333333333332</v>
      </c>
      <c r="L2566" s="36">
        <v>542</v>
      </c>
      <c r="P2566" s="36">
        <v>1350</v>
      </c>
      <c r="R2566" s="51" t="s">
        <v>1977</v>
      </c>
      <c r="S2566" s="51" t="s">
        <v>1847</v>
      </c>
      <c r="T2566" s="51"/>
      <c r="U2566" s="51" t="s">
        <v>1953</v>
      </c>
      <c r="V2566" s="51" t="s">
        <v>1382</v>
      </c>
      <c r="W2566" s="51" t="s">
        <v>1717</v>
      </c>
      <c r="X2566" s="51" t="s">
        <v>1382</v>
      </c>
      <c r="Y2566" s="51" t="s">
        <v>1382</v>
      </c>
      <c r="AA2566" s="331">
        <v>47.5</v>
      </c>
      <c r="AB2566" s="331">
        <f t="shared" si="365"/>
        <v>22.5</v>
      </c>
      <c r="AC2566" s="36" t="s">
        <v>518</v>
      </c>
      <c r="AD2566" s="36">
        <v>6.5</v>
      </c>
      <c r="AE2566" s="36">
        <v>0.7</v>
      </c>
      <c r="AH2566" s="36" t="s">
        <v>2743</v>
      </c>
      <c r="AI2566" s="36" t="s">
        <v>577</v>
      </c>
      <c r="AJ2566" s="36" t="s">
        <v>1645</v>
      </c>
      <c r="AK2566" s="36" t="s">
        <v>132</v>
      </c>
      <c r="AW2566" s="36" t="s">
        <v>2741</v>
      </c>
      <c r="AX2566" s="36">
        <v>4</v>
      </c>
      <c r="AZ2566" s="36" t="s">
        <v>141</v>
      </c>
      <c r="BF2566" s="36">
        <v>3.9</v>
      </c>
      <c r="BG2566" s="36">
        <v>4.2</v>
      </c>
      <c r="BJ2566" s="36" t="s">
        <v>2748</v>
      </c>
      <c r="BK2566" s="36">
        <v>2070</v>
      </c>
      <c r="BL2566" s="36">
        <v>580</v>
      </c>
      <c r="BO2566" s="36" t="s">
        <v>2747</v>
      </c>
      <c r="BP2566" s="407"/>
      <c r="BQ2566" s="407"/>
      <c r="BU2566" s="407"/>
      <c r="BV2566" s="407"/>
      <c r="BZ2566" s="407"/>
      <c r="CA2566" s="407"/>
      <c r="CE2566" s="560"/>
      <c r="CF2566" s="560"/>
      <c r="CG2566" s="560"/>
      <c r="CH2566" s="560"/>
      <c r="CJ2566" s="36">
        <v>400</v>
      </c>
      <c r="CK2566" s="36">
        <v>450</v>
      </c>
      <c r="CN2566" s="36" t="s">
        <v>2680</v>
      </c>
      <c r="JD2566" s="230"/>
    </row>
    <row r="2567" spans="1:264" s="36" customFormat="1" x14ac:dyDescent="0.25">
      <c r="A2567" s="36">
        <v>121</v>
      </c>
      <c r="B2567" s="51" t="s">
        <v>4334</v>
      </c>
      <c r="C2567" s="36" t="s">
        <v>2737</v>
      </c>
      <c r="D2567" s="36" t="s">
        <v>2736</v>
      </c>
      <c r="E2567" s="36">
        <v>1999</v>
      </c>
      <c r="F2567" s="36">
        <v>1995</v>
      </c>
      <c r="G2567" s="36" t="s">
        <v>2738</v>
      </c>
      <c r="H2567" s="36" t="s">
        <v>2740</v>
      </c>
      <c r="I2567" s="36" t="s">
        <v>2823</v>
      </c>
      <c r="J2567" s="36">
        <f t="shared" si="367"/>
        <v>10.016666666666667</v>
      </c>
      <c r="K2567" s="36">
        <f t="shared" si="368"/>
        <v>9.7833333333333332</v>
      </c>
      <c r="L2567" s="36">
        <v>542</v>
      </c>
      <c r="P2567" s="36">
        <v>1350</v>
      </c>
      <c r="R2567" s="51" t="s">
        <v>1977</v>
      </c>
      <c r="S2567" s="51" t="s">
        <v>1847</v>
      </c>
      <c r="T2567" s="51"/>
      <c r="U2567" s="51" t="s">
        <v>1953</v>
      </c>
      <c r="V2567" s="51" t="s">
        <v>1382</v>
      </c>
      <c r="W2567" s="51" t="s">
        <v>1717</v>
      </c>
      <c r="X2567" s="51" t="s">
        <v>1382</v>
      </c>
      <c r="Y2567" s="51" t="s">
        <v>1382</v>
      </c>
      <c r="AA2567" s="331">
        <v>47.5</v>
      </c>
      <c r="AB2567" s="331">
        <f t="shared" si="365"/>
        <v>22.5</v>
      </c>
      <c r="AC2567" s="36" t="s">
        <v>518</v>
      </c>
      <c r="AD2567" s="36">
        <v>6.5</v>
      </c>
      <c r="AE2567" s="36">
        <v>0.7</v>
      </c>
      <c r="AH2567" s="36" t="s">
        <v>2744</v>
      </c>
      <c r="AI2567" s="36" t="s">
        <v>577</v>
      </c>
      <c r="AJ2567" s="36" t="s">
        <v>1645</v>
      </c>
      <c r="AK2567" s="36" t="s">
        <v>132</v>
      </c>
      <c r="AW2567" s="36" t="s">
        <v>2741</v>
      </c>
      <c r="AX2567" s="36">
        <v>4</v>
      </c>
      <c r="AZ2567" s="36" t="s">
        <v>141</v>
      </c>
      <c r="BF2567" s="36">
        <v>3.9</v>
      </c>
      <c r="BG2567" s="36">
        <v>6</v>
      </c>
      <c r="BJ2567" s="36" t="s">
        <v>2748</v>
      </c>
      <c r="BK2567" s="36">
        <v>2070</v>
      </c>
      <c r="BL2567" s="36">
        <v>1980</v>
      </c>
      <c r="BO2567" s="36" t="s">
        <v>2747</v>
      </c>
      <c r="BP2567" s="407"/>
      <c r="BQ2567" s="407"/>
      <c r="BU2567" s="407"/>
      <c r="BV2567" s="407"/>
      <c r="BZ2567" s="407"/>
      <c r="CA2567" s="407"/>
      <c r="CE2567" s="560"/>
      <c r="CF2567" s="560"/>
      <c r="CG2567" s="560"/>
      <c r="CH2567" s="560"/>
      <c r="CJ2567" s="36">
        <v>400</v>
      </c>
      <c r="CK2567" s="36">
        <v>470</v>
      </c>
      <c r="CN2567" s="36" t="s">
        <v>2680</v>
      </c>
      <c r="JD2567" s="230"/>
    </row>
    <row r="2568" spans="1:264" s="36" customFormat="1" x14ac:dyDescent="0.25">
      <c r="A2568" s="36">
        <v>121</v>
      </c>
      <c r="B2568" s="51" t="s">
        <v>4334</v>
      </c>
      <c r="C2568" s="36" t="s">
        <v>2737</v>
      </c>
      <c r="D2568" s="36" t="s">
        <v>2736</v>
      </c>
      <c r="E2568" s="36">
        <v>1999</v>
      </c>
      <c r="F2568" s="36">
        <v>1995</v>
      </c>
      <c r="G2568" s="36" t="s">
        <v>2738</v>
      </c>
      <c r="H2568" s="36" t="s">
        <v>2740</v>
      </c>
      <c r="I2568" s="36" t="s">
        <v>2823</v>
      </c>
      <c r="J2568" s="36">
        <f t="shared" si="367"/>
        <v>10.016666666666667</v>
      </c>
      <c r="K2568" s="36">
        <f t="shared" si="368"/>
        <v>9.7833333333333332</v>
      </c>
      <c r="L2568" s="36">
        <v>542</v>
      </c>
      <c r="P2568" s="36">
        <v>1350</v>
      </c>
      <c r="R2568" s="51" t="s">
        <v>1977</v>
      </c>
      <c r="S2568" s="51" t="s">
        <v>1847</v>
      </c>
      <c r="T2568" s="51"/>
      <c r="U2568" s="51" t="s">
        <v>1953</v>
      </c>
      <c r="V2568" s="51" t="s">
        <v>1382</v>
      </c>
      <c r="W2568" s="51" t="s">
        <v>1717</v>
      </c>
      <c r="X2568" s="51" t="s">
        <v>1382</v>
      </c>
      <c r="Y2568" s="51" t="s">
        <v>1382</v>
      </c>
      <c r="AA2568" s="331">
        <v>47.5</v>
      </c>
      <c r="AB2568" s="331">
        <f t="shared" si="365"/>
        <v>22.5</v>
      </c>
      <c r="AC2568" s="36" t="s">
        <v>518</v>
      </c>
      <c r="AD2568" s="36">
        <v>6.5</v>
      </c>
      <c r="AE2568" s="36">
        <v>0.7</v>
      </c>
      <c r="AH2568" s="36" t="s">
        <v>2326</v>
      </c>
      <c r="AI2568" s="36" t="s">
        <v>577</v>
      </c>
      <c r="AJ2568" s="36" t="s">
        <v>1645</v>
      </c>
      <c r="AK2568" s="36" t="s">
        <v>132</v>
      </c>
      <c r="AW2568" s="36" t="s">
        <v>2741</v>
      </c>
      <c r="AX2568" s="36">
        <v>4</v>
      </c>
      <c r="AZ2568" s="36" t="s">
        <v>141</v>
      </c>
      <c r="BF2568" s="36">
        <v>3.9</v>
      </c>
      <c r="BG2568" s="36">
        <v>6.3</v>
      </c>
      <c r="BJ2568" s="36" t="s">
        <v>2748</v>
      </c>
      <c r="BK2568" s="36">
        <v>2070</v>
      </c>
      <c r="BL2568" s="36">
        <v>1440</v>
      </c>
      <c r="BO2568" s="36" t="s">
        <v>2747</v>
      </c>
      <c r="BP2568" s="407"/>
      <c r="BQ2568" s="407"/>
      <c r="BU2568" s="407"/>
      <c r="BV2568" s="407"/>
      <c r="BZ2568" s="407"/>
      <c r="CA2568" s="407"/>
      <c r="CE2568" s="560"/>
      <c r="CF2568" s="560"/>
      <c r="CG2568" s="560"/>
      <c r="CH2568" s="560"/>
      <c r="CJ2568" s="36">
        <v>400</v>
      </c>
      <c r="CK2568" s="36">
        <v>360</v>
      </c>
      <c r="CN2568" s="36" t="s">
        <v>2680</v>
      </c>
      <c r="JD2568" s="230"/>
    </row>
    <row r="2569" spans="1:264" s="36" customFormat="1" x14ac:dyDescent="0.25">
      <c r="A2569" s="36">
        <v>121</v>
      </c>
      <c r="B2569" s="51" t="s">
        <v>4334</v>
      </c>
      <c r="C2569" s="36" t="s">
        <v>2737</v>
      </c>
      <c r="D2569" s="36" t="s">
        <v>2736</v>
      </c>
      <c r="E2569" s="36">
        <v>1999</v>
      </c>
      <c r="F2569" s="36">
        <v>1995</v>
      </c>
      <c r="G2569" s="36" t="s">
        <v>2738</v>
      </c>
      <c r="H2569" s="36" t="s">
        <v>2740</v>
      </c>
      <c r="I2569" s="36" t="s">
        <v>2823</v>
      </c>
      <c r="J2569" s="36">
        <f t="shared" si="367"/>
        <v>10.016666666666667</v>
      </c>
      <c r="K2569" s="36">
        <f t="shared" si="368"/>
        <v>9.7833333333333332</v>
      </c>
      <c r="L2569" s="36">
        <v>542</v>
      </c>
      <c r="P2569" s="36">
        <v>1350</v>
      </c>
      <c r="R2569" s="51" t="s">
        <v>1977</v>
      </c>
      <c r="S2569" s="51" t="s">
        <v>1847</v>
      </c>
      <c r="T2569" s="51"/>
      <c r="U2569" s="51" t="s">
        <v>1953</v>
      </c>
      <c r="V2569" s="51" t="s">
        <v>1382</v>
      </c>
      <c r="W2569" s="51" t="s">
        <v>1717</v>
      </c>
      <c r="X2569" s="51" t="s">
        <v>1382</v>
      </c>
      <c r="Y2569" s="51" t="s">
        <v>1382</v>
      </c>
      <c r="AA2569" s="331">
        <v>47.5</v>
      </c>
      <c r="AB2569" s="331">
        <f t="shared" si="365"/>
        <v>22.5</v>
      </c>
      <c r="AC2569" s="36" t="s">
        <v>518</v>
      </c>
      <c r="AD2569" s="36">
        <v>6.5</v>
      </c>
      <c r="AE2569" s="36">
        <v>0.7</v>
      </c>
      <c r="AH2569" s="36" t="s">
        <v>2742</v>
      </c>
      <c r="AI2569" s="36" t="s">
        <v>577</v>
      </c>
      <c r="AJ2569" s="36" t="s">
        <v>1645</v>
      </c>
      <c r="AK2569" s="36" t="s">
        <v>132</v>
      </c>
      <c r="AW2569" s="36" t="s">
        <v>2741</v>
      </c>
      <c r="AX2569" s="36">
        <v>4</v>
      </c>
      <c r="AZ2569" s="36" t="s">
        <v>141</v>
      </c>
      <c r="BF2569" s="36">
        <v>3.1</v>
      </c>
      <c r="BG2569" s="36">
        <v>2.6</v>
      </c>
      <c r="BJ2569" s="36" t="s">
        <v>2748</v>
      </c>
      <c r="BK2569" s="36">
        <v>2490</v>
      </c>
      <c r="BL2569" s="36">
        <v>3370</v>
      </c>
      <c r="BO2569" s="36" t="s">
        <v>2746</v>
      </c>
      <c r="BP2569" s="407"/>
      <c r="BQ2569" s="407"/>
      <c r="BU2569" s="407"/>
      <c r="BV2569" s="407"/>
      <c r="BZ2569" s="407"/>
      <c r="CA2569" s="407"/>
      <c r="CE2569" s="560"/>
      <c r="CF2569" s="560"/>
      <c r="CG2569" s="560"/>
      <c r="CH2569" s="560"/>
      <c r="JD2569" s="230"/>
    </row>
    <row r="2570" spans="1:264" s="36" customFormat="1" x14ac:dyDescent="0.25">
      <c r="A2570" s="36">
        <v>121</v>
      </c>
      <c r="B2570" s="51" t="s">
        <v>4334</v>
      </c>
      <c r="C2570" s="36" t="s">
        <v>2737</v>
      </c>
      <c r="D2570" s="36" t="s">
        <v>2736</v>
      </c>
      <c r="E2570" s="36">
        <v>1999</v>
      </c>
      <c r="F2570" s="36">
        <v>1995</v>
      </c>
      <c r="G2570" s="36" t="s">
        <v>2738</v>
      </c>
      <c r="H2570" s="36" t="s">
        <v>2740</v>
      </c>
      <c r="I2570" s="36" t="s">
        <v>2823</v>
      </c>
      <c r="J2570" s="36">
        <f t="shared" si="367"/>
        <v>10.016666666666667</v>
      </c>
      <c r="K2570" s="36">
        <f t="shared" si="368"/>
        <v>9.7833333333333332</v>
      </c>
      <c r="L2570" s="36">
        <v>542</v>
      </c>
      <c r="P2570" s="36">
        <v>1350</v>
      </c>
      <c r="R2570" s="51" t="s">
        <v>1977</v>
      </c>
      <c r="S2570" s="51" t="s">
        <v>1847</v>
      </c>
      <c r="T2570" s="51"/>
      <c r="U2570" s="51" t="s">
        <v>1953</v>
      </c>
      <c r="V2570" s="51" t="s">
        <v>1382</v>
      </c>
      <c r="W2570" s="51" t="s">
        <v>1717</v>
      </c>
      <c r="X2570" s="51" t="s">
        <v>1382</v>
      </c>
      <c r="Y2570" s="51" t="s">
        <v>1382</v>
      </c>
      <c r="AA2570" s="331">
        <v>47.5</v>
      </c>
      <c r="AB2570" s="331">
        <f t="shared" si="365"/>
        <v>22.5</v>
      </c>
      <c r="AC2570" s="36" t="s">
        <v>518</v>
      </c>
      <c r="AD2570" s="36">
        <v>6.5</v>
      </c>
      <c r="AE2570" s="36">
        <v>0.7</v>
      </c>
      <c r="AH2570" s="36" t="s">
        <v>2743</v>
      </c>
      <c r="AI2570" s="36" t="s">
        <v>577</v>
      </c>
      <c r="AJ2570" s="36" t="s">
        <v>1645</v>
      </c>
      <c r="AK2570" s="36" t="s">
        <v>132</v>
      </c>
      <c r="AW2570" s="36" t="s">
        <v>2741</v>
      </c>
      <c r="AX2570" s="36">
        <v>4</v>
      </c>
      <c r="AZ2570" s="36" t="s">
        <v>141</v>
      </c>
      <c r="BF2570" s="36">
        <v>3.1</v>
      </c>
      <c r="BG2570" s="36">
        <v>2.8</v>
      </c>
      <c r="BJ2570" s="36" t="s">
        <v>2748</v>
      </c>
      <c r="BK2570" s="36">
        <v>2490</v>
      </c>
      <c r="BL2570" s="36">
        <v>1760</v>
      </c>
      <c r="BO2570" s="36" t="s">
        <v>2746</v>
      </c>
      <c r="BP2570" s="407"/>
      <c r="BQ2570" s="407"/>
      <c r="BU2570" s="407"/>
      <c r="BV2570" s="407"/>
      <c r="BZ2570" s="407"/>
      <c r="CA2570" s="407"/>
      <c r="CE2570" s="560"/>
      <c r="CF2570" s="560"/>
      <c r="CG2570" s="560"/>
      <c r="CH2570" s="560"/>
      <c r="JD2570" s="230"/>
    </row>
    <row r="2571" spans="1:264" s="36" customFormat="1" x14ac:dyDescent="0.25">
      <c r="A2571" s="36">
        <v>121</v>
      </c>
      <c r="B2571" s="51" t="s">
        <v>4334</v>
      </c>
      <c r="C2571" s="36" t="s">
        <v>2737</v>
      </c>
      <c r="D2571" s="36" t="s">
        <v>2736</v>
      </c>
      <c r="E2571" s="36">
        <v>1999</v>
      </c>
      <c r="F2571" s="36">
        <v>1995</v>
      </c>
      <c r="G2571" s="36" t="s">
        <v>2738</v>
      </c>
      <c r="H2571" s="36" t="s">
        <v>2740</v>
      </c>
      <c r="I2571" s="36" t="s">
        <v>2823</v>
      </c>
      <c r="J2571" s="36">
        <f t="shared" si="367"/>
        <v>10.016666666666667</v>
      </c>
      <c r="K2571" s="36">
        <f t="shared" si="368"/>
        <v>9.7833333333333332</v>
      </c>
      <c r="L2571" s="36">
        <v>542</v>
      </c>
      <c r="P2571" s="36">
        <v>1350</v>
      </c>
      <c r="R2571" s="51" t="s">
        <v>1977</v>
      </c>
      <c r="S2571" s="51" t="s">
        <v>1847</v>
      </c>
      <c r="T2571" s="51"/>
      <c r="U2571" s="51" t="s">
        <v>1953</v>
      </c>
      <c r="V2571" s="51" t="s">
        <v>1382</v>
      </c>
      <c r="W2571" s="51" t="s">
        <v>1717</v>
      </c>
      <c r="X2571" s="51" t="s">
        <v>1382</v>
      </c>
      <c r="Y2571" s="51" t="s">
        <v>1382</v>
      </c>
      <c r="AA2571" s="331">
        <v>47.5</v>
      </c>
      <c r="AB2571" s="331">
        <f t="shared" si="365"/>
        <v>22.5</v>
      </c>
      <c r="AC2571" s="36" t="s">
        <v>518</v>
      </c>
      <c r="AD2571" s="36">
        <v>6.5</v>
      </c>
      <c r="AE2571" s="36">
        <v>0.7</v>
      </c>
      <c r="AH2571" s="36" t="s">
        <v>2744</v>
      </c>
      <c r="AI2571" s="36" t="s">
        <v>577</v>
      </c>
      <c r="AJ2571" s="36" t="s">
        <v>1645</v>
      </c>
      <c r="AK2571" s="36" t="s">
        <v>132</v>
      </c>
      <c r="AW2571" s="36" t="s">
        <v>2741</v>
      </c>
      <c r="AX2571" s="36">
        <v>4</v>
      </c>
      <c r="AZ2571" s="36" t="s">
        <v>141</v>
      </c>
      <c r="BF2571" s="36">
        <v>3.1</v>
      </c>
      <c r="BG2571" s="36">
        <v>3.9</v>
      </c>
      <c r="BJ2571" s="36" t="s">
        <v>2748</v>
      </c>
      <c r="BK2571" s="36">
        <v>2490</v>
      </c>
      <c r="BL2571" s="36">
        <v>3250</v>
      </c>
      <c r="BO2571" s="36" t="s">
        <v>2746</v>
      </c>
      <c r="BP2571" s="407"/>
      <c r="BQ2571" s="407"/>
      <c r="BU2571" s="407"/>
      <c r="BV2571" s="407"/>
      <c r="BZ2571" s="407"/>
      <c r="CA2571" s="407"/>
      <c r="CE2571" s="560"/>
      <c r="CF2571" s="560"/>
      <c r="CG2571" s="560"/>
      <c r="CH2571" s="560"/>
      <c r="JD2571" s="230"/>
    </row>
    <row r="2572" spans="1:264" s="36" customFormat="1" x14ac:dyDescent="0.25">
      <c r="A2572" s="36">
        <v>121</v>
      </c>
      <c r="B2572" s="51" t="s">
        <v>4334</v>
      </c>
      <c r="C2572" s="36" t="s">
        <v>2737</v>
      </c>
      <c r="D2572" s="36" t="s">
        <v>2736</v>
      </c>
      <c r="E2572" s="36">
        <v>1999</v>
      </c>
      <c r="F2572" s="36">
        <v>1995</v>
      </c>
      <c r="G2572" s="36" t="s">
        <v>2738</v>
      </c>
      <c r="H2572" s="36" t="s">
        <v>2740</v>
      </c>
      <c r="I2572" s="36" t="s">
        <v>2823</v>
      </c>
      <c r="J2572" s="36">
        <f t="shared" si="367"/>
        <v>10.016666666666667</v>
      </c>
      <c r="K2572" s="36">
        <f t="shared" si="368"/>
        <v>9.7833333333333332</v>
      </c>
      <c r="L2572" s="36">
        <v>542</v>
      </c>
      <c r="P2572" s="36">
        <v>1350</v>
      </c>
      <c r="R2572" s="51" t="s">
        <v>1977</v>
      </c>
      <c r="S2572" s="51" t="s">
        <v>1847</v>
      </c>
      <c r="T2572" s="51"/>
      <c r="U2572" s="51" t="s">
        <v>1953</v>
      </c>
      <c r="V2572" s="51" t="s">
        <v>1382</v>
      </c>
      <c r="W2572" s="51" t="s">
        <v>1717</v>
      </c>
      <c r="X2572" s="51" t="s">
        <v>1382</v>
      </c>
      <c r="Y2572" s="51" t="s">
        <v>1382</v>
      </c>
      <c r="AA2572" s="331">
        <v>47.5</v>
      </c>
      <c r="AB2572" s="331">
        <f t="shared" si="365"/>
        <v>22.5</v>
      </c>
      <c r="AC2572" s="36" t="s">
        <v>518</v>
      </c>
      <c r="AD2572" s="36">
        <v>6.5</v>
      </c>
      <c r="AE2572" s="36">
        <v>0.7</v>
      </c>
      <c r="AH2572" s="36" t="s">
        <v>2326</v>
      </c>
      <c r="AI2572" s="36" t="s">
        <v>577</v>
      </c>
      <c r="AJ2572" s="36" t="s">
        <v>1645</v>
      </c>
      <c r="AK2572" s="36" t="s">
        <v>132</v>
      </c>
      <c r="AW2572" s="36" t="s">
        <v>2741</v>
      </c>
      <c r="AX2572" s="36">
        <v>4</v>
      </c>
      <c r="AZ2572" s="36" t="s">
        <v>141</v>
      </c>
      <c r="BF2572" s="36">
        <v>3.1</v>
      </c>
      <c r="BG2572" s="36">
        <v>3.1</v>
      </c>
      <c r="BJ2572" s="36" t="s">
        <v>2748</v>
      </c>
      <c r="BK2572" s="36">
        <v>2490</v>
      </c>
      <c r="BL2572" s="36">
        <v>2310</v>
      </c>
      <c r="BO2572" s="36" t="s">
        <v>2746</v>
      </c>
      <c r="BP2572" s="407"/>
      <c r="BQ2572" s="407"/>
      <c r="BU2572" s="407"/>
      <c r="BV2572" s="407"/>
      <c r="BZ2572" s="407"/>
      <c r="CA2572" s="407"/>
      <c r="CE2572" s="560"/>
      <c r="CF2572" s="560"/>
      <c r="CG2572" s="560"/>
      <c r="CH2572" s="560"/>
      <c r="JD2572" s="230"/>
    </row>
    <row r="2573" spans="1:264" s="126" customFormat="1" x14ac:dyDescent="0.25">
      <c r="A2573" s="126">
        <v>121</v>
      </c>
      <c r="B2573" s="478" t="s">
        <v>4335</v>
      </c>
      <c r="C2573" s="126" t="s">
        <v>2737</v>
      </c>
      <c r="D2573" s="126" t="s">
        <v>2736</v>
      </c>
      <c r="E2573" s="126">
        <v>1999</v>
      </c>
      <c r="F2573" s="126">
        <v>1995</v>
      </c>
      <c r="G2573" s="126" t="s">
        <v>2738</v>
      </c>
      <c r="H2573" s="126" t="s">
        <v>2739</v>
      </c>
      <c r="I2573" s="126" t="s">
        <v>2823</v>
      </c>
      <c r="J2573" s="126">
        <f t="shared" ref="J2573:J2584" si="369">10+24/60</f>
        <v>10.4</v>
      </c>
      <c r="K2573" s="126">
        <f t="shared" ref="K2573:K2584" si="370">7+42/60</f>
        <v>7.7</v>
      </c>
      <c r="L2573" s="126">
        <v>656</v>
      </c>
      <c r="P2573" s="126">
        <v>1350</v>
      </c>
      <c r="R2573" s="478" t="s">
        <v>1977</v>
      </c>
      <c r="S2573" s="478" t="s">
        <v>1847</v>
      </c>
      <c r="T2573" s="478"/>
      <c r="U2573" s="478" t="s">
        <v>1953</v>
      </c>
      <c r="V2573" s="478" t="s">
        <v>1382</v>
      </c>
      <c r="W2573" s="478" t="s">
        <v>1717</v>
      </c>
      <c r="X2573" s="478" t="s">
        <v>1382</v>
      </c>
      <c r="Y2573" s="478" t="s">
        <v>1382</v>
      </c>
      <c r="AA2573" s="479">
        <v>47.5</v>
      </c>
      <c r="AB2573" s="479">
        <f t="shared" si="365"/>
        <v>22.5</v>
      </c>
      <c r="AC2573" s="126" t="s">
        <v>518</v>
      </c>
      <c r="AD2573" s="126">
        <v>6.5</v>
      </c>
      <c r="AE2573" s="126">
        <v>0.7</v>
      </c>
      <c r="AH2573" s="126" t="s">
        <v>2742</v>
      </c>
      <c r="AI2573" s="126" t="s">
        <v>577</v>
      </c>
      <c r="AJ2573" s="126" t="s">
        <v>1645</v>
      </c>
      <c r="AK2573" s="126" t="s">
        <v>132</v>
      </c>
      <c r="AT2573" s="126" t="s">
        <v>161</v>
      </c>
      <c r="AU2573" s="126" t="s">
        <v>161</v>
      </c>
      <c r="AV2573" s="126" t="s">
        <v>177</v>
      </c>
      <c r="AW2573" s="126" t="s">
        <v>2741</v>
      </c>
      <c r="AX2573" s="126">
        <v>4</v>
      </c>
      <c r="AZ2573" s="126" t="s">
        <v>141</v>
      </c>
      <c r="BF2573" s="126">
        <v>867</v>
      </c>
      <c r="BG2573" s="126">
        <v>1027</v>
      </c>
      <c r="BH2573" s="126">
        <v>296</v>
      </c>
      <c r="BI2573" s="126">
        <v>296</v>
      </c>
      <c r="BJ2573" s="126" t="s">
        <v>569</v>
      </c>
      <c r="BK2573" s="126">
        <v>734</v>
      </c>
      <c r="BL2573" s="126">
        <v>815</v>
      </c>
      <c r="BM2573" s="126">
        <v>205</v>
      </c>
      <c r="BN2573" s="126">
        <v>205</v>
      </c>
      <c r="BO2573" s="126" t="s">
        <v>2751</v>
      </c>
      <c r="BP2573" s="481"/>
      <c r="BQ2573" s="481"/>
      <c r="BU2573" s="481"/>
      <c r="BV2573" s="481"/>
      <c r="BZ2573" s="481"/>
      <c r="CA2573" s="481"/>
      <c r="CE2573" s="605"/>
      <c r="CF2573" s="605"/>
      <c r="CG2573" s="605"/>
      <c r="CH2573" s="605"/>
      <c r="JD2573" s="480"/>
    </row>
    <row r="2574" spans="1:264" s="126" customFormat="1" x14ac:dyDescent="0.25">
      <c r="A2574" s="126">
        <v>121</v>
      </c>
      <c r="B2574" s="478" t="s">
        <v>4336</v>
      </c>
      <c r="C2574" s="126" t="s">
        <v>2737</v>
      </c>
      <c r="D2574" s="126" t="s">
        <v>2736</v>
      </c>
      <c r="E2574" s="126">
        <v>1999</v>
      </c>
      <c r="F2574" s="126">
        <v>1995</v>
      </c>
      <c r="G2574" s="126" t="s">
        <v>2738</v>
      </c>
      <c r="H2574" s="126" t="s">
        <v>2739</v>
      </c>
      <c r="I2574" s="126" t="s">
        <v>2823</v>
      </c>
      <c r="J2574" s="126">
        <f t="shared" si="369"/>
        <v>10.4</v>
      </c>
      <c r="K2574" s="126">
        <f t="shared" si="370"/>
        <v>7.7</v>
      </c>
      <c r="L2574" s="126">
        <v>656</v>
      </c>
      <c r="P2574" s="126">
        <v>1350</v>
      </c>
      <c r="R2574" s="478" t="s">
        <v>1977</v>
      </c>
      <c r="S2574" s="478" t="s">
        <v>1847</v>
      </c>
      <c r="T2574" s="478"/>
      <c r="U2574" s="478" t="s">
        <v>1953</v>
      </c>
      <c r="V2574" s="478" t="s">
        <v>1382</v>
      </c>
      <c r="W2574" s="478" t="s">
        <v>1717</v>
      </c>
      <c r="X2574" s="478" t="s">
        <v>1382</v>
      </c>
      <c r="Y2574" s="478" t="s">
        <v>1382</v>
      </c>
      <c r="AA2574" s="479">
        <v>47.5</v>
      </c>
      <c r="AB2574" s="479">
        <f t="shared" si="365"/>
        <v>22.5</v>
      </c>
      <c r="AC2574" s="126" t="s">
        <v>518</v>
      </c>
      <c r="AD2574" s="126">
        <v>6.5</v>
      </c>
      <c r="AE2574" s="126">
        <v>0.7</v>
      </c>
      <c r="AH2574" s="126" t="s">
        <v>2742</v>
      </c>
      <c r="AI2574" s="126" t="s">
        <v>577</v>
      </c>
      <c r="AJ2574" s="126" t="s">
        <v>1645</v>
      </c>
      <c r="AK2574" s="126" t="s">
        <v>132</v>
      </c>
      <c r="AT2574" s="126" t="s">
        <v>2749</v>
      </c>
      <c r="AU2574" s="126" t="s">
        <v>2749</v>
      </c>
      <c r="AV2574" s="126" t="s">
        <v>177</v>
      </c>
      <c r="AW2574" s="126" t="s">
        <v>2741</v>
      </c>
      <c r="AX2574" s="126">
        <v>4</v>
      </c>
      <c r="AZ2574" s="126" t="s">
        <v>141</v>
      </c>
      <c r="BF2574" s="126">
        <v>1649</v>
      </c>
      <c r="BG2574" s="126">
        <v>1789</v>
      </c>
      <c r="BJ2574" s="126" t="s">
        <v>569</v>
      </c>
      <c r="BK2574" s="126">
        <v>1214</v>
      </c>
      <c r="BL2574" s="126">
        <v>1544</v>
      </c>
      <c r="BO2574" s="126" t="s">
        <v>2751</v>
      </c>
      <c r="BP2574" s="481"/>
      <c r="BQ2574" s="481"/>
      <c r="BU2574" s="481"/>
      <c r="BV2574" s="481"/>
      <c r="BZ2574" s="481"/>
      <c r="CA2574" s="481"/>
      <c r="CE2574" s="605"/>
      <c r="CF2574" s="605"/>
      <c r="CG2574" s="605"/>
      <c r="CH2574" s="605"/>
      <c r="JD2574" s="480"/>
    </row>
    <row r="2575" spans="1:264" s="126" customFormat="1" x14ac:dyDescent="0.25">
      <c r="A2575" s="126">
        <v>121</v>
      </c>
      <c r="B2575" s="478" t="s">
        <v>4337</v>
      </c>
      <c r="C2575" s="126" t="s">
        <v>2737</v>
      </c>
      <c r="D2575" s="126" t="s">
        <v>2736</v>
      </c>
      <c r="E2575" s="126">
        <v>1999</v>
      </c>
      <c r="F2575" s="126">
        <v>1995</v>
      </c>
      <c r="G2575" s="126" t="s">
        <v>2738</v>
      </c>
      <c r="H2575" s="126" t="s">
        <v>2739</v>
      </c>
      <c r="I2575" s="126" t="s">
        <v>2823</v>
      </c>
      <c r="J2575" s="126">
        <f t="shared" si="369"/>
        <v>10.4</v>
      </c>
      <c r="K2575" s="126">
        <f t="shared" si="370"/>
        <v>7.7</v>
      </c>
      <c r="L2575" s="126">
        <v>656</v>
      </c>
      <c r="P2575" s="126">
        <v>1350</v>
      </c>
      <c r="R2575" s="478" t="s">
        <v>1977</v>
      </c>
      <c r="S2575" s="478" t="s">
        <v>1847</v>
      </c>
      <c r="T2575" s="478"/>
      <c r="U2575" s="478" t="s">
        <v>1953</v>
      </c>
      <c r="V2575" s="478" t="s">
        <v>1382</v>
      </c>
      <c r="W2575" s="478" t="s">
        <v>1717</v>
      </c>
      <c r="X2575" s="478" t="s">
        <v>1382</v>
      </c>
      <c r="Y2575" s="478" t="s">
        <v>1382</v>
      </c>
      <c r="AA2575" s="479">
        <v>47.5</v>
      </c>
      <c r="AB2575" s="479">
        <f t="shared" si="365"/>
        <v>22.5</v>
      </c>
      <c r="AC2575" s="126" t="s">
        <v>518</v>
      </c>
      <c r="AD2575" s="126">
        <v>6.5</v>
      </c>
      <c r="AE2575" s="126">
        <v>0.7</v>
      </c>
      <c r="AH2575" s="126" t="s">
        <v>2742</v>
      </c>
      <c r="AI2575" s="126" t="s">
        <v>577</v>
      </c>
      <c r="AJ2575" s="126" t="s">
        <v>1645</v>
      </c>
      <c r="AK2575" s="126" t="s">
        <v>132</v>
      </c>
      <c r="AT2575" s="126" t="s">
        <v>2750</v>
      </c>
      <c r="AU2575" s="126" t="s">
        <v>2750</v>
      </c>
      <c r="AV2575" s="126" t="s">
        <v>177</v>
      </c>
      <c r="AW2575" s="126" t="s">
        <v>2741</v>
      </c>
      <c r="AX2575" s="126">
        <v>4</v>
      </c>
      <c r="AZ2575" s="126" t="s">
        <v>141</v>
      </c>
      <c r="BF2575" s="126">
        <v>2233</v>
      </c>
      <c r="BG2575" s="126">
        <v>2724</v>
      </c>
      <c r="BJ2575" s="126" t="s">
        <v>569</v>
      </c>
      <c r="BK2575" s="126">
        <v>2111</v>
      </c>
      <c r="BL2575" s="126">
        <v>2376</v>
      </c>
      <c r="BO2575" s="126" t="s">
        <v>2751</v>
      </c>
      <c r="BP2575" s="481"/>
      <c r="BQ2575" s="481"/>
      <c r="BU2575" s="481"/>
      <c r="BV2575" s="481"/>
      <c r="BZ2575" s="481"/>
      <c r="CA2575" s="481"/>
      <c r="CE2575" s="605"/>
      <c r="CF2575" s="605"/>
      <c r="CG2575" s="605"/>
      <c r="CH2575" s="605"/>
      <c r="JD2575" s="480"/>
    </row>
    <row r="2576" spans="1:264" s="126" customFormat="1" x14ac:dyDescent="0.25">
      <c r="A2576" s="126">
        <v>121</v>
      </c>
      <c r="B2576" s="478" t="s">
        <v>4335</v>
      </c>
      <c r="C2576" s="126" t="s">
        <v>2737</v>
      </c>
      <c r="D2576" s="126" t="s">
        <v>2736</v>
      </c>
      <c r="E2576" s="126">
        <v>1999</v>
      </c>
      <c r="F2576" s="126">
        <v>1995</v>
      </c>
      <c r="G2576" s="126" t="s">
        <v>2738</v>
      </c>
      <c r="H2576" s="126" t="s">
        <v>2739</v>
      </c>
      <c r="I2576" s="126" t="s">
        <v>2823</v>
      </c>
      <c r="J2576" s="126">
        <f t="shared" si="369"/>
        <v>10.4</v>
      </c>
      <c r="K2576" s="126">
        <f t="shared" si="370"/>
        <v>7.7</v>
      </c>
      <c r="L2576" s="126">
        <v>656</v>
      </c>
      <c r="P2576" s="126">
        <v>1350</v>
      </c>
      <c r="R2576" s="478" t="s">
        <v>1977</v>
      </c>
      <c r="S2576" s="478" t="s">
        <v>1847</v>
      </c>
      <c r="T2576" s="478"/>
      <c r="U2576" s="478" t="s">
        <v>1953</v>
      </c>
      <c r="V2576" s="478" t="s">
        <v>1382</v>
      </c>
      <c r="W2576" s="478" t="s">
        <v>1717</v>
      </c>
      <c r="X2576" s="478" t="s">
        <v>1382</v>
      </c>
      <c r="Y2576" s="478" t="s">
        <v>1382</v>
      </c>
      <c r="AA2576" s="479">
        <v>47.5</v>
      </c>
      <c r="AB2576" s="479">
        <f t="shared" si="365"/>
        <v>22.5</v>
      </c>
      <c r="AC2576" s="126" t="s">
        <v>518</v>
      </c>
      <c r="AD2576" s="126">
        <v>6.5</v>
      </c>
      <c r="AE2576" s="126">
        <v>0.7</v>
      </c>
      <c r="AH2576" s="126" t="s">
        <v>2743</v>
      </c>
      <c r="AI2576" s="126" t="s">
        <v>577</v>
      </c>
      <c r="AJ2576" s="126" t="s">
        <v>1645</v>
      </c>
      <c r="AK2576" s="126" t="s">
        <v>132</v>
      </c>
      <c r="AT2576" s="126" t="s">
        <v>161</v>
      </c>
      <c r="AU2576" s="126" t="s">
        <v>161</v>
      </c>
      <c r="AV2576" s="126" t="s">
        <v>177</v>
      </c>
      <c r="AW2576" s="126" t="s">
        <v>2741</v>
      </c>
      <c r="AX2576" s="126">
        <v>4</v>
      </c>
      <c r="AZ2576" s="126" t="s">
        <v>141</v>
      </c>
      <c r="BF2576" s="126">
        <v>867</v>
      </c>
      <c r="BG2576" s="126">
        <v>1706</v>
      </c>
      <c r="BJ2576" s="126" t="s">
        <v>569</v>
      </c>
      <c r="BK2576" s="126">
        <v>734</v>
      </c>
      <c r="BL2576" s="126">
        <v>929</v>
      </c>
      <c r="BO2576" s="126" t="s">
        <v>2751</v>
      </c>
      <c r="BP2576" s="481"/>
      <c r="BQ2576" s="481"/>
      <c r="BU2576" s="481"/>
      <c r="BV2576" s="481"/>
      <c r="BZ2576" s="481"/>
      <c r="CA2576" s="481"/>
      <c r="CE2576" s="605"/>
      <c r="CF2576" s="605"/>
      <c r="CG2576" s="605"/>
      <c r="CH2576" s="605"/>
      <c r="JD2576" s="480"/>
    </row>
    <row r="2577" spans="1:264" s="126" customFormat="1" x14ac:dyDescent="0.25">
      <c r="A2577" s="126">
        <v>121</v>
      </c>
      <c r="B2577" s="478" t="s">
        <v>4336</v>
      </c>
      <c r="C2577" s="126" t="s">
        <v>2737</v>
      </c>
      <c r="D2577" s="126" t="s">
        <v>2736</v>
      </c>
      <c r="E2577" s="126">
        <v>1999</v>
      </c>
      <c r="F2577" s="126">
        <v>1995</v>
      </c>
      <c r="G2577" s="126" t="s">
        <v>2738</v>
      </c>
      <c r="H2577" s="126" t="s">
        <v>2739</v>
      </c>
      <c r="I2577" s="126" t="s">
        <v>2823</v>
      </c>
      <c r="J2577" s="126">
        <f t="shared" si="369"/>
        <v>10.4</v>
      </c>
      <c r="K2577" s="126">
        <f t="shared" si="370"/>
        <v>7.7</v>
      </c>
      <c r="L2577" s="126">
        <v>656</v>
      </c>
      <c r="P2577" s="126">
        <v>1350</v>
      </c>
      <c r="R2577" s="478" t="s">
        <v>1977</v>
      </c>
      <c r="S2577" s="478" t="s">
        <v>1847</v>
      </c>
      <c r="T2577" s="478"/>
      <c r="U2577" s="478" t="s">
        <v>1953</v>
      </c>
      <c r="V2577" s="478" t="s">
        <v>1382</v>
      </c>
      <c r="W2577" s="478" t="s">
        <v>1717</v>
      </c>
      <c r="X2577" s="478" t="s">
        <v>1382</v>
      </c>
      <c r="Y2577" s="478" t="s">
        <v>1382</v>
      </c>
      <c r="AA2577" s="479">
        <v>47.5</v>
      </c>
      <c r="AB2577" s="479">
        <f t="shared" si="365"/>
        <v>22.5</v>
      </c>
      <c r="AC2577" s="126" t="s">
        <v>518</v>
      </c>
      <c r="AD2577" s="126">
        <v>6.5</v>
      </c>
      <c r="AE2577" s="126">
        <v>0.7</v>
      </c>
      <c r="AH2577" s="126" t="s">
        <v>2743</v>
      </c>
      <c r="AI2577" s="126" t="s">
        <v>577</v>
      </c>
      <c r="AJ2577" s="126" t="s">
        <v>1645</v>
      </c>
      <c r="AK2577" s="126" t="s">
        <v>132</v>
      </c>
      <c r="AT2577" s="126" t="s">
        <v>2749</v>
      </c>
      <c r="AU2577" s="126" t="s">
        <v>2749</v>
      </c>
      <c r="AV2577" s="126" t="s">
        <v>177</v>
      </c>
      <c r="AW2577" s="126" t="s">
        <v>2741</v>
      </c>
      <c r="AX2577" s="126">
        <v>4</v>
      </c>
      <c r="AZ2577" s="126" t="s">
        <v>141</v>
      </c>
      <c r="BF2577" s="126">
        <v>1649</v>
      </c>
      <c r="BG2577" s="126">
        <v>2398</v>
      </c>
      <c r="BJ2577" s="126" t="s">
        <v>569</v>
      </c>
      <c r="BK2577" s="126">
        <v>1214</v>
      </c>
      <c r="BL2577" s="126">
        <v>2016</v>
      </c>
      <c r="BO2577" s="126" t="s">
        <v>2751</v>
      </c>
      <c r="BP2577" s="481"/>
      <c r="BQ2577" s="481"/>
      <c r="BU2577" s="481"/>
      <c r="BV2577" s="481"/>
      <c r="BZ2577" s="481"/>
      <c r="CA2577" s="481"/>
      <c r="CE2577" s="605"/>
      <c r="CF2577" s="605"/>
      <c r="CG2577" s="605"/>
      <c r="CH2577" s="605"/>
      <c r="JD2577" s="480"/>
    </row>
    <row r="2578" spans="1:264" s="126" customFormat="1" x14ac:dyDescent="0.25">
      <c r="A2578" s="126">
        <v>121</v>
      </c>
      <c r="B2578" s="478" t="s">
        <v>4337</v>
      </c>
      <c r="C2578" s="126" t="s">
        <v>2737</v>
      </c>
      <c r="D2578" s="126" t="s">
        <v>2736</v>
      </c>
      <c r="E2578" s="126">
        <v>1999</v>
      </c>
      <c r="F2578" s="126">
        <v>1995</v>
      </c>
      <c r="G2578" s="126" t="s">
        <v>2738</v>
      </c>
      <c r="H2578" s="126" t="s">
        <v>2739</v>
      </c>
      <c r="I2578" s="126" t="s">
        <v>2823</v>
      </c>
      <c r="J2578" s="126">
        <f t="shared" si="369"/>
        <v>10.4</v>
      </c>
      <c r="K2578" s="126">
        <f t="shared" si="370"/>
        <v>7.7</v>
      </c>
      <c r="L2578" s="126">
        <v>656</v>
      </c>
      <c r="P2578" s="126">
        <v>1350</v>
      </c>
      <c r="R2578" s="478" t="s">
        <v>1977</v>
      </c>
      <c r="S2578" s="478" t="s">
        <v>1847</v>
      </c>
      <c r="T2578" s="478"/>
      <c r="U2578" s="478" t="s">
        <v>1953</v>
      </c>
      <c r="V2578" s="478" t="s">
        <v>1382</v>
      </c>
      <c r="W2578" s="478" t="s">
        <v>1717</v>
      </c>
      <c r="X2578" s="478" t="s">
        <v>1382</v>
      </c>
      <c r="Y2578" s="478" t="s">
        <v>1382</v>
      </c>
      <c r="AA2578" s="479">
        <v>47.5</v>
      </c>
      <c r="AB2578" s="479">
        <f t="shared" si="365"/>
        <v>22.5</v>
      </c>
      <c r="AC2578" s="126" t="s">
        <v>518</v>
      </c>
      <c r="AD2578" s="126">
        <v>6.5</v>
      </c>
      <c r="AE2578" s="126">
        <v>0.7</v>
      </c>
      <c r="AH2578" s="126" t="s">
        <v>2743</v>
      </c>
      <c r="AI2578" s="126" t="s">
        <v>577</v>
      </c>
      <c r="AJ2578" s="126" t="s">
        <v>1645</v>
      </c>
      <c r="AK2578" s="126" t="s">
        <v>132</v>
      </c>
      <c r="AT2578" s="126" t="s">
        <v>2750</v>
      </c>
      <c r="AU2578" s="126" t="s">
        <v>2750</v>
      </c>
      <c r="AV2578" s="126" t="s">
        <v>177</v>
      </c>
      <c r="AW2578" s="126" t="s">
        <v>2741</v>
      </c>
      <c r="AX2578" s="126">
        <v>4</v>
      </c>
      <c r="AZ2578" s="126" t="s">
        <v>141</v>
      </c>
      <c r="BF2578" s="126">
        <v>2233</v>
      </c>
      <c r="BG2578" s="126">
        <v>2444</v>
      </c>
      <c r="BJ2578" s="126" t="s">
        <v>569</v>
      </c>
      <c r="BK2578" s="126">
        <v>2111</v>
      </c>
      <c r="BL2578" s="126">
        <v>2482</v>
      </c>
      <c r="BO2578" s="126" t="s">
        <v>2751</v>
      </c>
      <c r="BP2578" s="481"/>
      <c r="BQ2578" s="481"/>
      <c r="BU2578" s="481"/>
      <c r="BV2578" s="481"/>
      <c r="BZ2578" s="481"/>
      <c r="CA2578" s="481"/>
      <c r="CE2578" s="605"/>
      <c r="CF2578" s="605"/>
      <c r="CG2578" s="605"/>
      <c r="CH2578" s="605"/>
      <c r="JD2578" s="480"/>
    </row>
    <row r="2579" spans="1:264" s="126" customFormat="1" x14ac:dyDescent="0.25">
      <c r="A2579" s="126">
        <v>121</v>
      </c>
      <c r="B2579" s="478" t="s">
        <v>4335</v>
      </c>
      <c r="C2579" s="126" t="s">
        <v>2737</v>
      </c>
      <c r="D2579" s="126" t="s">
        <v>2736</v>
      </c>
      <c r="E2579" s="126">
        <v>1999</v>
      </c>
      <c r="F2579" s="126">
        <v>1995</v>
      </c>
      <c r="G2579" s="126" t="s">
        <v>2738</v>
      </c>
      <c r="H2579" s="126" t="s">
        <v>2739</v>
      </c>
      <c r="I2579" s="126" t="s">
        <v>2823</v>
      </c>
      <c r="J2579" s="126">
        <f t="shared" si="369"/>
        <v>10.4</v>
      </c>
      <c r="K2579" s="126">
        <f t="shared" si="370"/>
        <v>7.7</v>
      </c>
      <c r="L2579" s="126">
        <v>656</v>
      </c>
      <c r="P2579" s="126">
        <v>1350</v>
      </c>
      <c r="R2579" s="478" t="s">
        <v>1977</v>
      </c>
      <c r="S2579" s="478" t="s">
        <v>1847</v>
      </c>
      <c r="T2579" s="478"/>
      <c r="U2579" s="478" t="s">
        <v>1953</v>
      </c>
      <c r="V2579" s="478" t="s">
        <v>1382</v>
      </c>
      <c r="W2579" s="478" t="s">
        <v>1717</v>
      </c>
      <c r="X2579" s="478" t="s">
        <v>1382</v>
      </c>
      <c r="Y2579" s="478" t="s">
        <v>1382</v>
      </c>
      <c r="AA2579" s="479">
        <v>47.5</v>
      </c>
      <c r="AB2579" s="479">
        <f t="shared" si="365"/>
        <v>22.5</v>
      </c>
      <c r="AC2579" s="126" t="s">
        <v>518</v>
      </c>
      <c r="AD2579" s="126">
        <v>6.5</v>
      </c>
      <c r="AE2579" s="126">
        <v>0.7</v>
      </c>
      <c r="AH2579" s="126" t="s">
        <v>2744</v>
      </c>
      <c r="AI2579" s="126" t="s">
        <v>577</v>
      </c>
      <c r="AJ2579" s="126" t="s">
        <v>1645</v>
      </c>
      <c r="AK2579" s="126" t="s">
        <v>132</v>
      </c>
      <c r="AT2579" s="126" t="s">
        <v>161</v>
      </c>
      <c r="AU2579" s="126" t="s">
        <v>161</v>
      </c>
      <c r="AV2579" s="126" t="s">
        <v>177</v>
      </c>
      <c r="AW2579" s="126" t="s">
        <v>2741</v>
      </c>
      <c r="AX2579" s="126">
        <v>4</v>
      </c>
      <c r="AZ2579" s="126" t="s">
        <v>141</v>
      </c>
      <c r="BF2579" s="126">
        <v>867</v>
      </c>
      <c r="BG2579" s="126">
        <v>1444</v>
      </c>
      <c r="BJ2579" s="126" t="s">
        <v>569</v>
      </c>
      <c r="BK2579" s="126">
        <v>734</v>
      </c>
      <c r="BL2579" s="126">
        <v>1212</v>
      </c>
      <c r="BO2579" s="126" t="s">
        <v>2751</v>
      </c>
      <c r="BP2579" s="481"/>
      <c r="BQ2579" s="481"/>
      <c r="BU2579" s="481"/>
      <c r="BV2579" s="481"/>
      <c r="BZ2579" s="481"/>
      <c r="CA2579" s="481"/>
      <c r="CE2579" s="605"/>
      <c r="CF2579" s="605"/>
      <c r="CG2579" s="605"/>
      <c r="CH2579" s="605"/>
      <c r="JD2579" s="480"/>
    </row>
    <row r="2580" spans="1:264" s="126" customFormat="1" x14ac:dyDescent="0.25">
      <c r="A2580" s="126">
        <v>121</v>
      </c>
      <c r="B2580" s="478" t="s">
        <v>4336</v>
      </c>
      <c r="C2580" s="126" t="s">
        <v>2737</v>
      </c>
      <c r="D2580" s="126" t="s">
        <v>2736</v>
      </c>
      <c r="E2580" s="126">
        <v>1999</v>
      </c>
      <c r="F2580" s="126">
        <v>1995</v>
      </c>
      <c r="G2580" s="126" t="s">
        <v>2738</v>
      </c>
      <c r="H2580" s="126" t="s">
        <v>2739</v>
      </c>
      <c r="I2580" s="126" t="s">
        <v>2823</v>
      </c>
      <c r="J2580" s="126">
        <f t="shared" si="369"/>
        <v>10.4</v>
      </c>
      <c r="K2580" s="126">
        <f t="shared" si="370"/>
        <v>7.7</v>
      </c>
      <c r="L2580" s="126">
        <v>656</v>
      </c>
      <c r="P2580" s="126">
        <v>1350</v>
      </c>
      <c r="R2580" s="478" t="s">
        <v>1977</v>
      </c>
      <c r="S2580" s="478" t="s">
        <v>1847</v>
      </c>
      <c r="T2580" s="478"/>
      <c r="U2580" s="478" t="s">
        <v>1953</v>
      </c>
      <c r="V2580" s="478" t="s">
        <v>1382</v>
      </c>
      <c r="W2580" s="478" t="s">
        <v>1717</v>
      </c>
      <c r="X2580" s="478" t="s">
        <v>1382</v>
      </c>
      <c r="Y2580" s="478" t="s">
        <v>1382</v>
      </c>
      <c r="AA2580" s="479">
        <v>47.5</v>
      </c>
      <c r="AB2580" s="479">
        <f t="shared" si="365"/>
        <v>22.5</v>
      </c>
      <c r="AC2580" s="126" t="s">
        <v>518</v>
      </c>
      <c r="AD2580" s="126">
        <v>6.5</v>
      </c>
      <c r="AE2580" s="126">
        <v>0.7</v>
      </c>
      <c r="AH2580" s="126" t="s">
        <v>2744</v>
      </c>
      <c r="AI2580" s="126" t="s">
        <v>577</v>
      </c>
      <c r="AJ2580" s="126" t="s">
        <v>1645</v>
      </c>
      <c r="AK2580" s="126" t="s">
        <v>132</v>
      </c>
      <c r="AT2580" s="126" t="s">
        <v>2749</v>
      </c>
      <c r="AU2580" s="126" t="s">
        <v>2749</v>
      </c>
      <c r="AV2580" s="126" t="s">
        <v>177</v>
      </c>
      <c r="AW2580" s="126" t="s">
        <v>2741</v>
      </c>
      <c r="AX2580" s="126">
        <v>4</v>
      </c>
      <c r="AZ2580" s="126" t="s">
        <v>141</v>
      </c>
      <c r="BF2580" s="126">
        <v>1649</v>
      </c>
      <c r="BG2580" s="126">
        <v>3430</v>
      </c>
      <c r="BJ2580" s="126" t="s">
        <v>569</v>
      </c>
      <c r="BK2580" s="126">
        <v>1214</v>
      </c>
      <c r="BL2580" s="126">
        <v>2051</v>
      </c>
      <c r="BO2580" s="126" t="s">
        <v>2751</v>
      </c>
      <c r="BP2580" s="481"/>
      <c r="BQ2580" s="481"/>
      <c r="BU2580" s="481"/>
      <c r="BV2580" s="481"/>
      <c r="BZ2580" s="481"/>
      <c r="CA2580" s="481"/>
      <c r="CE2580" s="605"/>
      <c r="CF2580" s="605"/>
      <c r="CG2580" s="605"/>
      <c r="CH2580" s="605"/>
      <c r="JD2580" s="480"/>
    </row>
    <row r="2581" spans="1:264" s="126" customFormat="1" x14ac:dyDescent="0.25">
      <c r="A2581" s="126">
        <v>121</v>
      </c>
      <c r="B2581" s="478" t="s">
        <v>4337</v>
      </c>
      <c r="C2581" s="126" t="s">
        <v>2737</v>
      </c>
      <c r="D2581" s="126" t="s">
        <v>2736</v>
      </c>
      <c r="E2581" s="126">
        <v>1999</v>
      </c>
      <c r="F2581" s="126">
        <v>1995</v>
      </c>
      <c r="G2581" s="126" t="s">
        <v>2738</v>
      </c>
      <c r="H2581" s="126" t="s">
        <v>2739</v>
      </c>
      <c r="I2581" s="126" t="s">
        <v>2823</v>
      </c>
      <c r="J2581" s="126">
        <f t="shared" si="369"/>
        <v>10.4</v>
      </c>
      <c r="K2581" s="126">
        <f t="shared" si="370"/>
        <v>7.7</v>
      </c>
      <c r="L2581" s="126">
        <v>656</v>
      </c>
      <c r="P2581" s="126">
        <v>1350</v>
      </c>
      <c r="R2581" s="478" t="s">
        <v>1977</v>
      </c>
      <c r="S2581" s="478" t="s">
        <v>1847</v>
      </c>
      <c r="T2581" s="478"/>
      <c r="U2581" s="478" t="s">
        <v>1953</v>
      </c>
      <c r="V2581" s="478" t="s">
        <v>1382</v>
      </c>
      <c r="W2581" s="478" t="s">
        <v>1717</v>
      </c>
      <c r="X2581" s="478" t="s">
        <v>1382</v>
      </c>
      <c r="Y2581" s="478" t="s">
        <v>1382</v>
      </c>
      <c r="AA2581" s="479">
        <v>47.5</v>
      </c>
      <c r="AB2581" s="479">
        <f t="shared" si="365"/>
        <v>22.5</v>
      </c>
      <c r="AC2581" s="126" t="s">
        <v>518</v>
      </c>
      <c r="AD2581" s="126">
        <v>6.5</v>
      </c>
      <c r="AE2581" s="126">
        <v>0.7</v>
      </c>
      <c r="AH2581" s="126" t="s">
        <v>2744</v>
      </c>
      <c r="AI2581" s="126" t="s">
        <v>577</v>
      </c>
      <c r="AJ2581" s="126" t="s">
        <v>1645</v>
      </c>
      <c r="AK2581" s="126" t="s">
        <v>132</v>
      </c>
      <c r="AT2581" s="126" t="s">
        <v>2750</v>
      </c>
      <c r="AU2581" s="126" t="s">
        <v>2750</v>
      </c>
      <c r="AV2581" s="126" t="s">
        <v>177</v>
      </c>
      <c r="AW2581" s="126" t="s">
        <v>2741</v>
      </c>
      <c r="AX2581" s="126">
        <v>4</v>
      </c>
      <c r="AZ2581" s="126" t="s">
        <v>141</v>
      </c>
      <c r="BF2581" s="126">
        <v>2233</v>
      </c>
      <c r="BG2581" s="126">
        <v>2745</v>
      </c>
      <c r="BJ2581" s="126" t="s">
        <v>569</v>
      </c>
      <c r="BK2581" s="126">
        <v>2111</v>
      </c>
      <c r="BL2581" s="126">
        <v>1975</v>
      </c>
      <c r="BO2581" s="126" t="s">
        <v>2751</v>
      </c>
      <c r="BP2581" s="481"/>
      <c r="BQ2581" s="481"/>
      <c r="BU2581" s="481"/>
      <c r="BV2581" s="481"/>
      <c r="BZ2581" s="481"/>
      <c r="CA2581" s="481"/>
      <c r="CE2581" s="605"/>
      <c r="CF2581" s="605"/>
      <c r="CG2581" s="605"/>
      <c r="CH2581" s="605"/>
      <c r="JD2581" s="480"/>
    </row>
    <row r="2582" spans="1:264" s="126" customFormat="1" x14ac:dyDescent="0.25">
      <c r="A2582" s="126">
        <v>121</v>
      </c>
      <c r="B2582" s="478" t="s">
        <v>4335</v>
      </c>
      <c r="C2582" s="126" t="s">
        <v>2737</v>
      </c>
      <c r="D2582" s="126" t="s">
        <v>2736</v>
      </c>
      <c r="E2582" s="126">
        <v>1999</v>
      </c>
      <c r="F2582" s="126">
        <v>1995</v>
      </c>
      <c r="G2582" s="126" t="s">
        <v>2738</v>
      </c>
      <c r="H2582" s="126" t="s">
        <v>2739</v>
      </c>
      <c r="I2582" s="126" t="s">
        <v>2823</v>
      </c>
      <c r="J2582" s="126">
        <f t="shared" si="369"/>
        <v>10.4</v>
      </c>
      <c r="K2582" s="126">
        <f t="shared" si="370"/>
        <v>7.7</v>
      </c>
      <c r="L2582" s="126">
        <v>656</v>
      </c>
      <c r="P2582" s="126">
        <v>1350</v>
      </c>
      <c r="R2582" s="478" t="s">
        <v>1977</v>
      </c>
      <c r="S2582" s="478" t="s">
        <v>1847</v>
      </c>
      <c r="T2582" s="478"/>
      <c r="U2582" s="478" t="s">
        <v>1953</v>
      </c>
      <c r="V2582" s="478" t="s">
        <v>1382</v>
      </c>
      <c r="W2582" s="478" t="s">
        <v>1717</v>
      </c>
      <c r="X2582" s="478" t="s">
        <v>1382</v>
      </c>
      <c r="Y2582" s="478" t="s">
        <v>1382</v>
      </c>
      <c r="AA2582" s="479">
        <v>47.5</v>
      </c>
      <c r="AB2582" s="479">
        <f t="shared" si="365"/>
        <v>22.5</v>
      </c>
      <c r="AC2582" s="126" t="s">
        <v>518</v>
      </c>
      <c r="AD2582" s="126">
        <v>6.5</v>
      </c>
      <c r="AE2582" s="126">
        <v>0.7</v>
      </c>
      <c r="AH2582" s="126" t="s">
        <v>2326</v>
      </c>
      <c r="AI2582" s="126" t="s">
        <v>577</v>
      </c>
      <c r="AJ2582" s="126" t="s">
        <v>1645</v>
      </c>
      <c r="AK2582" s="126" t="s">
        <v>132</v>
      </c>
      <c r="AT2582" s="126" t="s">
        <v>161</v>
      </c>
      <c r="AU2582" s="126" t="s">
        <v>161</v>
      </c>
      <c r="AV2582" s="126" t="s">
        <v>177</v>
      </c>
      <c r="AW2582" s="126" t="s">
        <v>2741</v>
      </c>
      <c r="AX2582" s="126">
        <v>4</v>
      </c>
      <c r="AZ2582" s="126" t="s">
        <v>141</v>
      </c>
      <c r="BF2582" s="126">
        <v>867</v>
      </c>
      <c r="BG2582" s="126">
        <v>1168</v>
      </c>
      <c r="BJ2582" s="126" t="s">
        <v>569</v>
      </c>
      <c r="BK2582" s="126">
        <v>734</v>
      </c>
      <c r="BL2582" s="126">
        <v>895</v>
      </c>
      <c r="BO2582" s="126" t="s">
        <v>2751</v>
      </c>
      <c r="BP2582" s="481"/>
      <c r="BQ2582" s="481"/>
      <c r="BU2582" s="481"/>
      <c r="BV2582" s="481"/>
      <c r="BZ2582" s="481"/>
      <c r="CA2582" s="481"/>
      <c r="CE2582" s="605"/>
      <c r="CF2582" s="605"/>
      <c r="CG2582" s="605"/>
      <c r="CH2582" s="605"/>
      <c r="JD2582" s="480"/>
    </row>
    <row r="2583" spans="1:264" s="126" customFormat="1" x14ac:dyDescent="0.25">
      <c r="A2583" s="126">
        <v>121</v>
      </c>
      <c r="B2583" s="478" t="s">
        <v>4336</v>
      </c>
      <c r="C2583" s="126" t="s">
        <v>2737</v>
      </c>
      <c r="D2583" s="126" t="s">
        <v>2736</v>
      </c>
      <c r="E2583" s="126">
        <v>1999</v>
      </c>
      <c r="F2583" s="126">
        <v>1995</v>
      </c>
      <c r="G2583" s="126" t="s">
        <v>2738</v>
      </c>
      <c r="H2583" s="126" t="s">
        <v>2739</v>
      </c>
      <c r="I2583" s="126" t="s">
        <v>2823</v>
      </c>
      <c r="J2583" s="126">
        <f t="shared" si="369"/>
        <v>10.4</v>
      </c>
      <c r="K2583" s="126">
        <f t="shared" si="370"/>
        <v>7.7</v>
      </c>
      <c r="L2583" s="126">
        <v>656</v>
      </c>
      <c r="P2583" s="126">
        <v>1350</v>
      </c>
      <c r="R2583" s="478" t="s">
        <v>1977</v>
      </c>
      <c r="S2583" s="478" t="s">
        <v>1847</v>
      </c>
      <c r="T2583" s="478"/>
      <c r="U2583" s="478" t="s">
        <v>1953</v>
      </c>
      <c r="V2583" s="478" t="s">
        <v>1382</v>
      </c>
      <c r="W2583" s="478" t="s">
        <v>1717</v>
      </c>
      <c r="X2583" s="478" t="s">
        <v>1382</v>
      </c>
      <c r="Y2583" s="478" t="s">
        <v>1382</v>
      </c>
      <c r="AA2583" s="479">
        <v>47.5</v>
      </c>
      <c r="AB2583" s="479">
        <f t="shared" si="365"/>
        <v>22.5</v>
      </c>
      <c r="AC2583" s="126" t="s">
        <v>518</v>
      </c>
      <c r="AD2583" s="126">
        <v>6.5</v>
      </c>
      <c r="AE2583" s="126">
        <v>0.7</v>
      </c>
      <c r="AH2583" s="126" t="s">
        <v>2326</v>
      </c>
      <c r="AI2583" s="126" t="s">
        <v>577</v>
      </c>
      <c r="AJ2583" s="126" t="s">
        <v>1645</v>
      </c>
      <c r="AK2583" s="126" t="s">
        <v>132</v>
      </c>
      <c r="AT2583" s="126" t="s">
        <v>2749</v>
      </c>
      <c r="AU2583" s="126" t="s">
        <v>2749</v>
      </c>
      <c r="AV2583" s="126" t="s">
        <v>177</v>
      </c>
      <c r="AW2583" s="126" t="s">
        <v>2741</v>
      </c>
      <c r="AX2583" s="126">
        <v>4</v>
      </c>
      <c r="AZ2583" s="126" t="s">
        <v>141</v>
      </c>
      <c r="BF2583" s="126">
        <v>1649</v>
      </c>
      <c r="BG2583" s="126">
        <v>1830</v>
      </c>
      <c r="BJ2583" s="126" t="s">
        <v>569</v>
      </c>
      <c r="BK2583" s="126">
        <v>1214</v>
      </c>
      <c r="BL2583" s="126">
        <v>1610</v>
      </c>
      <c r="BO2583" s="126" t="s">
        <v>2751</v>
      </c>
      <c r="BP2583" s="481"/>
      <c r="BQ2583" s="481"/>
      <c r="BU2583" s="481"/>
      <c r="BV2583" s="481"/>
      <c r="BZ2583" s="481"/>
      <c r="CA2583" s="481"/>
      <c r="CE2583" s="605"/>
      <c r="CF2583" s="605"/>
      <c r="CG2583" s="605"/>
      <c r="CH2583" s="605"/>
      <c r="JD2583" s="480"/>
    </row>
    <row r="2584" spans="1:264" s="126" customFormat="1" x14ac:dyDescent="0.25">
      <c r="A2584" s="126">
        <v>121</v>
      </c>
      <c r="B2584" s="478" t="s">
        <v>4337</v>
      </c>
      <c r="C2584" s="126" t="s">
        <v>2737</v>
      </c>
      <c r="D2584" s="126" t="s">
        <v>2736</v>
      </c>
      <c r="E2584" s="126">
        <v>1999</v>
      </c>
      <c r="F2584" s="126">
        <v>1995</v>
      </c>
      <c r="G2584" s="126" t="s">
        <v>2738</v>
      </c>
      <c r="H2584" s="126" t="s">
        <v>2739</v>
      </c>
      <c r="I2584" s="126" t="s">
        <v>2823</v>
      </c>
      <c r="J2584" s="126">
        <f t="shared" si="369"/>
        <v>10.4</v>
      </c>
      <c r="K2584" s="126">
        <f t="shared" si="370"/>
        <v>7.7</v>
      </c>
      <c r="L2584" s="126">
        <v>656</v>
      </c>
      <c r="P2584" s="126">
        <v>1350</v>
      </c>
      <c r="R2584" s="478" t="s">
        <v>1977</v>
      </c>
      <c r="S2584" s="478" t="s">
        <v>1847</v>
      </c>
      <c r="T2584" s="478"/>
      <c r="U2584" s="478" t="s">
        <v>1953</v>
      </c>
      <c r="V2584" s="478" t="s">
        <v>1382</v>
      </c>
      <c r="W2584" s="478" t="s">
        <v>1717</v>
      </c>
      <c r="X2584" s="478" t="s">
        <v>1382</v>
      </c>
      <c r="Y2584" s="478" t="s">
        <v>1382</v>
      </c>
      <c r="AA2584" s="479">
        <v>47.5</v>
      </c>
      <c r="AB2584" s="479">
        <f t="shared" si="365"/>
        <v>22.5</v>
      </c>
      <c r="AC2584" s="126" t="s">
        <v>518</v>
      </c>
      <c r="AD2584" s="126">
        <v>6.5</v>
      </c>
      <c r="AE2584" s="126">
        <v>0.7</v>
      </c>
      <c r="AH2584" s="126" t="s">
        <v>2326</v>
      </c>
      <c r="AI2584" s="126" t="s">
        <v>577</v>
      </c>
      <c r="AJ2584" s="126" t="s">
        <v>1645</v>
      </c>
      <c r="AK2584" s="126" t="s">
        <v>132</v>
      </c>
      <c r="AT2584" s="126" t="s">
        <v>2750</v>
      </c>
      <c r="AU2584" s="126" t="s">
        <v>2750</v>
      </c>
      <c r="AV2584" s="126" t="s">
        <v>177</v>
      </c>
      <c r="AW2584" s="126" t="s">
        <v>2741</v>
      </c>
      <c r="AX2584" s="126">
        <v>4</v>
      </c>
      <c r="AZ2584" s="126" t="s">
        <v>141</v>
      </c>
      <c r="BF2584" s="126">
        <v>2233</v>
      </c>
      <c r="BG2584" s="126">
        <v>1859</v>
      </c>
      <c r="BJ2584" s="126" t="s">
        <v>569</v>
      </c>
      <c r="BK2584" s="126">
        <v>2111</v>
      </c>
      <c r="BL2584" s="126">
        <v>1572</v>
      </c>
      <c r="BO2584" s="126" t="s">
        <v>2751</v>
      </c>
      <c r="BP2584" s="481"/>
      <c r="BQ2584" s="481"/>
      <c r="BU2584" s="481"/>
      <c r="BV2584" s="481"/>
      <c r="BZ2584" s="481"/>
      <c r="CA2584" s="481"/>
      <c r="CE2584" s="605"/>
      <c r="CF2584" s="605"/>
      <c r="CG2584" s="605"/>
      <c r="CH2584" s="605"/>
      <c r="JD2584" s="480"/>
    </row>
    <row r="2585" spans="1:264" s="36" customFormat="1" x14ac:dyDescent="0.25">
      <c r="A2585" s="36">
        <v>121</v>
      </c>
      <c r="B2585" s="51" t="s">
        <v>4335</v>
      </c>
      <c r="C2585" s="36" t="s">
        <v>2737</v>
      </c>
      <c r="D2585" s="36" t="s">
        <v>2736</v>
      </c>
      <c r="E2585" s="36">
        <v>1999</v>
      </c>
      <c r="F2585" s="36">
        <v>1995</v>
      </c>
      <c r="G2585" s="36" t="s">
        <v>2738</v>
      </c>
      <c r="H2585" s="36" t="s">
        <v>2740</v>
      </c>
      <c r="I2585" s="36" t="s">
        <v>2823</v>
      </c>
      <c r="J2585" s="36">
        <v>10.016666666666667</v>
      </c>
      <c r="K2585" s="36">
        <v>9.7833333333333332</v>
      </c>
      <c r="L2585" s="36">
        <v>542</v>
      </c>
      <c r="P2585" s="36">
        <v>1350</v>
      </c>
      <c r="R2585" s="51" t="s">
        <v>1977</v>
      </c>
      <c r="S2585" s="51" t="s">
        <v>1847</v>
      </c>
      <c r="T2585" s="51"/>
      <c r="U2585" s="51" t="s">
        <v>1953</v>
      </c>
      <c r="V2585" s="51" t="s">
        <v>1382</v>
      </c>
      <c r="W2585" s="51" t="s">
        <v>1717</v>
      </c>
      <c r="X2585" s="51" t="s">
        <v>1382</v>
      </c>
      <c r="Y2585" s="51" t="s">
        <v>1382</v>
      </c>
      <c r="AA2585" s="331">
        <v>47.5</v>
      </c>
      <c r="AB2585" s="331">
        <f t="shared" si="365"/>
        <v>22.5</v>
      </c>
      <c r="AC2585" s="36" t="s">
        <v>518</v>
      </c>
      <c r="AD2585" s="36">
        <v>6.5</v>
      </c>
      <c r="AE2585" s="36">
        <v>0.7</v>
      </c>
      <c r="AH2585" s="36" t="s">
        <v>2742</v>
      </c>
      <c r="AI2585" s="36" t="s">
        <v>577</v>
      </c>
      <c r="AJ2585" s="36" t="s">
        <v>1645</v>
      </c>
      <c r="AK2585" s="36" t="s">
        <v>132</v>
      </c>
      <c r="AT2585" s="36" t="s">
        <v>161</v>
      </c>
      <c r="AU2585" s="36" t="s">
        <v>161</v>
      </c>
      <c r="AV2585" s="36" t="s">
        <v>177</v>
      </c>
      <c r="AW2585" s="36" t="s">
        <v>2741</v>
      </c>
      <c r="AX2585" s="36">
        <v>4</v>
      </c>
      <c r="AZ2585" s="36" t="s">
        <v>141</v>
      </c>
      <c r="BF2585" s="36">
        <v>720</v>
      </c>
      <c r="BG2585" s="36">
        <v>1133</v>
      </c>
      <c r="BH2585" s="36">
        <v>204</v>
      </c>
      <c r="BI2585" s="36">
        <v>204</v>
      </c>
      <c r="BJ2585" s="36" t="s">
        <v>569</v>
      </c>
      <c r="BK2585" s="36">
        <v>565</v>
      </c>
      <c r="BL2585" s="36">
        <v>988</v>
      </c>
      <c r="BM2585" s="36">
        <v>296</v>
      </c>
      <c r="BN2585" s="36">
        <v>296</v>
      </c>
      <c r="BO2585" s="36" t="s">
        <v>2751</v>
      </c>
      <c r="BP2585" s="407"/>
      <c r="BQ2585" s="407"/>
      <c r="BU2585" s="407"/>
      <c r="BV2585" s="407"/>
      <c r="BZ2585" s="407"/>
      <c r="CA2585" s="407"/>
      <c r="CE2585" s="560"/>
      <c r="CF2585" s="560"/>
      <c r="CG2585" s="560"/>
      <c r="CH2585" s="560"/>
      <c r="JD2585" s="230"/>
    </row>
    <row r="2586" spans="1:264" s="36" customFormat="1" x14ac:dyDescent="0.25">
      <c r="A2586" s="36">
        <v>121</v>
      </c>
      <c r="B2586" s="51" t="s">
        <v>4336</v>
      </c>
      <c r="C2586" s="36" t="s">
        <v>2737</v>
      </c>
      <c r="D2586" s="36" t="s">
        <v>2736</v>
      </c>
      <c r="E2586" s="36">
        <v>1999</v>
      </c>
      <c r="F2586" s="36">
        <v>1995</v>
      </c>
      <c r="G2586" s="36" t="s">
        <v>2738</v>
      </c>
      <c r="H2586" s="36" t="s">
        <v>2740</v>
      </c>
      <c r="I2586" s="36" t="s">
        <v>2823</v>
      </c>
      <c r="J2586" s="36">
        <v>10.016666666666667</v>
      </c>
      <c r="K2586" s="36">
        <v>9.7833333333333332</v>
      </c>
      <c r="L2586" s="36">
        <v>542</v>
      </c>
      <c r="P2586" s="36">
        <v>1350</v>
      </c>
      <c r="R2586" s="51" t="s">
        <v>1977</v>
      </c>
      <c r="S2586" s="51" t="s">
        <v>1847</v>
      </c>
      <c r="T2586" s="51"/>
      <c r="U2586" s="51" t="s">
        <v>1953</v>
      </c>
      <c r="V2586" s="51" t="s">
        <v>1382</v>
      </c>
      <c r="W2586" s="51" t="s">
        <v>1717</v>
      </c>
      <c r="X2586" s="51" t="s">
        <v>1382</v>
      </c>
      <c r="Y2586" s="51" t="s">
        <v>1382</v>
      </c>
      <c r="AA2586" s="331">
        <v>47.5</v>
      </c>
      <c r="AB2586" s="331">
        <f t="shared" si="365"/>
        <v>22.5</v>
      </c>
      <c r="AC2586" s="36" t="s">
        <v>518</v>
      </c>
      <c r="AD2586" s="36">
        <v>6.5</v>
      </c>
      <c r="AE2586" s="36">
        <v>0.7</v>
      </c>
      <c r="AH2586" s="36" t="s">
        <v>2742</v>
      </c>
      <c r="AI2586" s="36" t="s">
        <v>577</v>
      </c>
      <c r="AJ2586" s="36" t="s">
        <v>1645</v>
      </c>
      <c r="AK2586" s="36" t="s">
        <v>132</v>
      </c>
      <c r="AT2586" s="36" t="s">
        <v>2749</v>
      </c>
      <c r="AU2586" s="36" t="s">
        <v>2749</v>
      </c>
      <c r="AV2586" s="36" t="s">
        <v>177</v>
      </c>
      <c r="AW2586" s="36" t="s">
        <v>2741</v>
      </c>
      <c r="AX2586" s="36">
        <v>4</v>
      </c>
      <c r="AZ2586" s="36" t="s">
        <v>141</v>
      </c>
      <c r="BF2586" s="36">
        <v>1687</v>
      </c>
      <c r="BG2586" s="36">
        <v>1787</v>
      </c>
      <c r="BJ2586" s="36" t="s">
        <v>569</v>
      </c>
      <c r="BK2586" s="36">
        <v>2107</v>
      </c>
      <c r="BL2586" s="36">
        <v>2053</v>
      </c>
      <c r="BO2586" s="36" t="s">
        <v>2751</v>
      </c>
      <c r="BP2586" s="407"/>
      <c r="BQ2586" s="407"/>
      <c r="BU2586" s="407"/>
      <c r="BV2586" s="407"/>
      <c r="BZ2586" s="407"/>
      <c r="CA2586" s="407"/>
      <c r="CE2586" s="560"/>
      <c r="CF2586" s="560"/>
      <c r="CG2586" s="560"/>
      <c r="CH2586" s="560"/>
      <c r="JD2586" s="230"/>
    </row>
    <row r="2587" spans="1:264" s="36" customFormat="1" x14ac:dyDescent="0.25">
      <c r="A2587" s="36">
        <v>121</v>
      </c>
      <c r="B2587" s="51" t="s">
        <v>4337</v>
      </c>
      <c r="C2587" s="36" t="s">
        <v>2737</v>
      </c>
      <c r="D2587" s="36" t="s">
        <v>2736</v>
      </c>
      <c r="E2587" s="36">
        <v>1999</v>
      </c>
      <c r="F2587" s="36">
        <v>1995</v>
      </c>
      <c r="G2587" s="36" t="s">
        <v>2738</v>
      </c>
      <c r="H2587" s="36" t="s">
        <v>2740</v>
      </c>
      <c r="I2587" s="36" t="s">
        <v>2823</v>
      </c>
      <c r="J2587" s="36">
        <v>10.016666666666667</v>
      </c>
      <c r="K2587" s="36">
        <v>9.7833333333333332</v>
      </c>
      <c r="L2587" s="36">
        <v>542</v>
      </c>
      <c r="P2587" s="36">
        <v>1350</v>
      </c>
      <c r="R2587" s="51" t="s">
        <v>1977</v>
      </c>
      <c r="S2587" s="51" t="s">
        <v>1847</v>
      </c>
      <c r="T2587" s="51"/>
      <c r="U2587" s="51" t="s">
        <v>1953</v>
      </c>
      <c r="V2587" s="51" t="s">
        <v>1382</v>
      </c>
      <c r="W2587" s="51" t="s">
        <v>1717</v>
      </c>
      <c r="X2587" s="51" t="s">
        <v>1382</v>
      </c>
      <c r="Y2587" s="51" t="s">
        <v>1382</v>
      </c>
      <c r="AA2587" s="331">
        <v>47.5</v>
      </c>
      <c r="AB2587" s="331">
        <f t="shared" si="365"/>
        <v>22.5</v>
      </c>
      <c r="AC2587" s="36" t="s">
        <v>518</v>
      </c>
      <c r="AD2587" s="36">
        <v>6.5</v>
      </c>
      <c r="AE2587" s="36">
        <v>0.7</v>
      </c>
      <c r="AH2587" s="36" t="s">
        <v>2742</v>
      </c>
      <c r="AI2587" s="36" t="s">
        <v>577</v>
      </c>
      <c r="AJ2587" s="36" t="s">
        <v>1645</v>
      </c>
      <c r="AK2587" s="36" t="s">
        <v>132</v>
      </c>
      <c r="AT2587" s="36" t="s">
        <v>2750</v>
      </c>
      <c r="AU2587" s="36" t="s">
        <v>2750</v>
      </c>
      <c r="AV2587" s="36" t="s">
        <v>177</v>
      </c>
      <c r="AW2587" s="36" t="s">
        <v>2741</v>
      </c>
      <c r="AX2587" s="36">
        <v>4</v>
      </c>
      <c r="AZ2587" s="36" t="s">
        <v>141</v>
      </c>
      <c r="BF2587" s="36">
        <v>1653</v>
      </c>
      <c r="BG2587" s="36">
        <v>2193</v>
      </c>
      <c r="BJ2587" s="36" t="s">
        <v>569</v>
      </c>
      <c r="BK2587" s="36">
        <v>2286</v>
      </c>
      <c r="BL2587" s="36">
        <v>2521</v>
      </c>
      <c r="BO2587" s="36" t="s">
        <v>2751</v>
      </c>
      <c r="BP2587" s="407"/>
      <c r="BQ2587" s="407"/>
      <c r="BU2587" s="407"/>
      <c r="BV2587" s="407"/>
      <c r="BZ2587" s="407"/>
      <c r="CA2587" s="407"/>
      <c r="CE2587" s="560"/>
      <c r="CF2587" s="560"/>
      <c r="CG2587" s="560"/>
      <c r="CH2587" s="560"/>
      <c r="JD2587" s="230"/>
    </row>
    <row r="2588" spans="1:264" s="36" customFormat="1" x14ac:dyDescent="0.25">
      <c r="A2588" s="36">
        <v>121</v>
      </c>
      <c r="B2588" s="51" t="s">
        <v>4335</v>
      </c>
      <c r="C2588" s="36" t="s">
        <v>2737</v>
      </c>
      <c r="D2588" s="36" t="s">
        <v>2736</v>
      </c>
      <c r="E2588" s="36">
        <v>1999</v>
      </c>
      <c r="F2588" s="36">
        <v>1995</v>
      </c>
      <c r="G2588" s="36" t="s">
        <v>2738</v>
      </c>
      <c r="H2588" s="36" t="s">
        <v>2740</v>
      </c>
      <c r="I2588" s="36" t="s">
        <v>2823</v>
      </c>
      <c r="J2588" s="36">
        <v>10.016666666666667</v>
      </c>
      <c r="K2588" s="36">
        <v>9.7833333333333332</v>
      </c>
      <c r="L2588" s="36">
        <v>542</v>
      </c>
      <c r="P2588" s="36">
        <v>1350</v>
      </c>
      <c r="R2588" s="51" t="s">
        <v>1977</v>
      </c>
      <c r="S2588" s="51" t="s">
        <v>1847</v>
      </c>
      <c r="T2588" s="51"/>
      <c r="U2588" s="51" t="s">
        <v>1953</v>
      </c>
      <c r="V2588" s="51" t="s">
        <v>1382</v>
      </c>
      <c r="W2588" s="51" t="s">
        <v>1717</v>
      </c>
      <c r="X2588" s="51" t="s">
        <v>1382</v>
      </c>
      <c r="Y2588" s="51" t="s">
        <v>1382</v>
      </c>
      <c r="AA2588" s="331">
        <v>47.5</v>
      </c>
      <c r="AB2588" s="331">
        <f t="shared" si="365"/>
        <v>22.5</v>
      </c>
      <c r="AC2588" s="36" t="s">
        <v>518</v>
      </c>
      <c r="AD2588" s="36">
        <v>6.5</v>
      </c>
      <c r="AE2588" s="36">
        <v>0.7</v>
      </c>
      <c r="AH2588" s="36" t="s">
        <v>2743</v>
      </c>
      <c r="AI2588" s="36" t="s">
        <v>577</v>
      </c>
      <c r="AJ2588" s="36" t="s">
        <v>1645</v>
      </c>
      <c r="AK2588" s="36" t="s">
        <v>132</v>
      </c>
      <c r="AT2588" s="36" t="s">
        <v>161</v>
      </c>
      <c r="AU2588" s="36" t="s">
        <v>161</v>
      </c>
      <c r="AV2588" s="36" t="s">
        <v>177</v>
      </c>
      <c r="AW2588" s="36" t="s">
        <v>2741</v>
      </c>
      <c r="AX2588" s="36">
        <v>4</v>
      </c>
      <c r="AZ2588" s="36" t="s">
        <v>141</v>
      </c>
      <c r="BF2588" s="36">
        <v>720</v>
      </c>
      <c r="BG2588" s="36">
        <v>853</v>
      </c>
      <c r="BJ2588" s="36" t="s">
        <v>569</v>
      </c>
      <c r="BK2588" s="36">
        <v>565</v>
      </c>
      <c r="BL2588" s="36">
        <v>713</v>
      </c>
      <c r="BO2588" s="36" t="s">
        <v>2751</v>
      </c>
      <c r="BP2588" s="407"/>
      <c r="BQ2588" s="407"/>
      <c r="BU2588" s="407"/>
      <c r="BV2588" s="407"/>
      <c r="BZ2588" s="407"/>
      <c r="CA2588" s="407"/>
      <c r="CE2588" s="560"/>
      <c r="CF2588" s="560"/>
      <c r="CG2588" s="560"/>
      <c r="CH2588" s="560"/>
      <c r="JD2588" s="230"/>
    </row>
    <row r="2589" spans="1:264" s="36" customFormat="1" x14ac:dyDescent="0.25">
      <c r="A2589" s="36">
        <v>121</v>
      </c>
      <c r="B2589" s="51" t="s">
        <v>4336</v>
      </c>
      <c r="C2589" s="36" t="s">
        <v>2737</v>
      </c>
      <c r="D2589" s="36" t="s">
        <v>2736</v>
      </c>
      <c r="E2589" s="36">
        <v>1999</v>
      </c>
      <c r="F2589" s="36">
        <v>1995</v>
      </c>
      <c r="G2589" s="36" t="s">
        <v>2738</v>
      </c>
      <c r="H2589" s="36" t="s">
        <v>2740</v>
      </c>
      <c r="I2589" s="36" t="s">
        <v>2823</v>
      </c>
      <c r="J2589" s="36">
        <v>10.016666666666667</v>
      </c>
      <c r="K2589" s="36">
        <v>9.7833333333333332</v>
      </c>
      <c r="L2589" s="36">
        <v>542</v>
      </c>
      <c r="P2589" s="36">
        <v>1350</v>
      </c>
      <c r="R2589" s="51" t="s">
        <v>1977</v>
      </c>
      <c r="S2589" s="51" t="s">
        <v>1847</v>
      </c>
      <c r="T2589" s="51"/>
      <c r="U2589" s="51" t="s">
        <v>1953</v>
      </c>
      <c r="V2589" s="51" t="s">
        <v>1382</v>
      </c>
      <c r="W2589" s="51" t="s">
        <v>1717</v>
      </c>
      <c r="X2589" s="51" t="s">
        <v>1382</v>
      </c>
      <c r="Y2589" s="51" t="s">
        <v>1382</v>
      </c>
      <c r="AA2589" s="331">
        <v>47.5</v>
      </c>
      <c r="AB2589" s="331">
        <f t="shared" si="365"/>
        <v>22.5</v>
      </c>
      <c r="AC2589" s="36" t="s">
        <v>518</v>
      </c>
      <c r="AD2589" s="36">
        <v>6.5</v>
      </c>
      <c r="AE2589" s="36">
        <v>0.7</v>
      </c>
      <c r="AH2589" s="36" t="s">
        <v>2743</v>
      </c>
      <c r="AI2589" s="36" t="s">
        <v>577</v>
      </c>
      <c r="AJ2589" s="36" t="s">
        <v>1645</v>
      </c>
      <c r="AK2589" s="36" t="s">
        <v>132</v>
      </c>
      <c r="AT2589" s="36" t="s">
        <v>2749</v>
      </c>
      <c r="AU2589" s="36" t="s">
        <v>2749</v>
      </c>
      <c r="AV2589" s="36" t="s">
        <v>177</v>
      </c>
      <c r="AW2589" s="36" t="s">
        <v>2741</v>
      </c>
      <c r="AX2589" s="36">
        <v>4</v>
      </c>
      <c r="AZ2589" s="36" t="s">
        <v>141</v>
      </c>
      <c r="BF2589" s="36">
        <v>1687</v>
      </c>
      <c r="BG2589" s="36">
        <v>1507</v>
      </c>
      <c r="BJ2589" s="36" t="s">
        <v>569</v>
      </c>
      <c r="BK2589" s="36">
        <v>2107</v>
      </c>
      <c r="BL2589" s="36">
        <v>1640</v>
      </c>
      <c r="BO2589" s="36" t="s">
        <v>2751</v>
      </c>
      <c r="BP2589" s="407"/>
      <c r="BQ2589" s="407"/>
      <c r="BU2589" s="407"/>
      <c r="BV2589" s="407"/>
      <c r="BZ2589" s="407"/>
      <c r="CA2589" s="407"/>
      <c r="CE2589" s="560"/>
      <c r="CF2589" s="560"/>
      <c r="CG2589" s="560"/>
      <c r="CH2589" s="560"/>
      <c r="JD2589" s="230"/>
    </row>
    <row r="2590" spans="1:264" s="36" customFormat="1" x14ac:dyDescent="0.25">
      <c r="A2590" s="36">
        <v>121</v>
      </c>
      <c r="B2590" s="51" t="s">
        <v>4337</v>
      </c>
      <c r="C2590" s="36" t="s">
        <v>2737</v>
      </c>
      <c r="D2590" s="36" t="s">
        <v>2736</v>
      </c>
      <c r="E2590" s="36">
        <v>1999</v>
      </c>
      <c r="F2590" s="36">
        <v>1995</v>
      </c>
      <c r="G2590" s="36" t="s">
        <v>2738</v>
      </c>
      <c r="H2590" s="36" t="s">
        <v>2740</v>
      </c>
      <c r="I2590" s="36" t="s">
        <v>2823</v>
      </c>
      <c r="J2590" s="36">
        <v>10.016666666666667</v>
      </c>
      <c r="K2590" s="36">
        <v>9.7833333333333332</v>
      </c>
      <c r="L2590" s="36">
        <v>542</v>
      </c>
      <c r="P2590" s="36">
        <v>1350</v>
      </c>
      <c r="R2590" s="51" t="s">
        <v>1977</v>
      </c>
      <c r="S2590" s="51" t="s">
        <v>1847</v>
      </c>
      <c r="T2590" s="51"/>
      <c r="U2590" s="51" t="s">
        <v>1953</v>
      </c>
      <c r="V2590" s="51" t="s">
        <v>1382</v>
      </c>
      <c r="W2590" s="51" t="s">
        <v>1717</v>
      </c>
      <c r="X2590" s="51" t="s">
        <v>1382</v>
      </c>
      <c r="Y2590" s="51" t="s">
        <v>1382</v>
      </c>
      <c r="AA2590" s="331">
        <v>47.5</v>
      </c>
      <c r="AB2590" s="331">
        <f t="shared" si="365"/>
        <v>22.5</v>
      </c>
      <c r="AC2590" s="36" t="s">
        <v>518</v>
      </c>
      <c r="AD2590" s="36">
        <v>6.5</v>
      </c>
      <c r="AE2590" s="36">
        <v>0.7</v>
      </c>
      <c r="AH2590" s="36" t="s">
        <v>2743</v>
      </c>
      <c r="AI2590" s="36" t="s">
        <v>577</v>
      </c>
      <c r="AJ2590" s="36" t="s">
        <v>1645</v>
      </c>
      <c r="AK2590" s="36" t="s">
        <v>132</v>
      </c>
      <c r="AT2590" s="36" t="s">
        <v>2750</v>
      </c>
      <c r="AU2590" s="36" t="s">
        <v>2750</v>
      </c>
      <c r="AV2590" s="36" t="s">
        <v>177</v>
      </c>
      <c r="AW2590" s="36" t="s">
        <v>2741</v>
      </c>
      <c r="AX2590" s="36">
        <v>4</v>
      </c>
      <c r="AZ2590" s="36" t="s">
        <v>141</v>
      </c>
      <c r="BF2590" s="36">
        <v>1653</v>
      </c>
      <c r="BG2590" s="36">
        <v>1767</v>
      </c>
      <c r="BJ2590" s="36" t="s">
        <v>569</v>
      </c>
      <c r="BK2590" s="36">
        <v>2286</v>
      </c>
      <c r="BL2590" s="36">
        <v>2253</v>
      </c>
      <c r="BO2590" s="36" t="s">
        <v>2751</v>
      </c>
      <c r="BP2590" s="407"/>
      <c r="BQ2590" s="407"/>
      <c r="BU2590" s="407"/>
      <c r="BV2590" s="407"/>
      <c r="BZ2590" s="407"/>
      <c r="CA2590" s="407"/>
      <c r="CE2590" s="560"/>
      <c r="CF2590" s="560"/>
      <c r="CG2590" s="560"/>
      <c r="CH2590" s="560"/>
      <c r="JD2590" s="230"/>
    </row>
    <row r="2591" spans="1:264" s="36" customFormat="1" x14ac:dyDescent="0.25">
      <c r="A2591" s="36">
        <v>121</v>
      </c>
      <c r="B2591" s="51" t="s">
        <v>4335</v>
      </c>
      <c r="C2591" s="36" t="s">
        <v>2737</v>
      </c>
      <c r="D2591" s="36" t="s">
        <v>2736</v>
      </c>
      <c r="E2591" s="36">
        <v>1999</v>
      </c>
      <c r="F2591" s="36">
        <v>1995</v>
      </c>
      <c r="G2591" s="36" t="s">
        <v>2738</v>
      </c>
      <c r="H2591" s="36" t="s">
        <v>2740</v>
      </c>
      <c r="I2591" s="36" t="s">
        <v>2823</v>
      </c>
      <c r="J2591" s="36">
        <v>10.016666666666667</v>
      </c>
      <c r="K2591" s="36">
        <v>9.7833333333333332</v>
      </c>
      <c r="L2591" s="36">
        <v>542</v>
      </c>
      <c r="P2591" s="36">
        <v>1350</v>
      </c>
      <c r="R2591" s="51" t="s">
        <v>1977</v>
      </c>
      <c r="S2591" s="51" t="s">
        <v>1847</v>
      </c>
      <c r="T2591" s="51"/>
      <c r="U2591" s="51" t="s">
        <v>1953</v>
      </c>
      <c r="V2591" s="51" t="s">
        <v>1382</v>
      </c>
      <c r="W2591" s="51" t="s">
        <v>1717</v>
      </c>
      <c r="X2591" s="51" t="s">
        <v>1382</v>
      </c>
      <c r="Y2591" s="51" t="s">
        <v>1382</v>
      </c>
      <c r="AA2591" s="331">
        <v>47.5</v>
      </c>
      <c r="AB2591" s="331">
        <f t="shared" si="365"/>
        <v>22.5</v>
      </c>
      <c r="AC2591" s="36" t="s">
        <v>518</v>
      </c>
      <c r="AD2591" s="36">
        <v>6.5</v>
      </c>
      <c r="AE2591" s="36">
        <v>0.7</v>
      </c>
      <c r="AH2591" s="36" t="s">
        <v>2744</v>
      </c>
      <c r="AI2591" s="36" t="s">
        <v>577</v>
      </c>
      <c r="AJ2591" s="36" t="s">
        <v>1645</v>
      </c>
      <c r="AK2591" s="36" t="s">
        <v>132</v>
      </c>
      <c r="AT2591" s="36" t="s">
        <v>161</v>
      </c>
      <c r="AU2591" s="36" t="s">
        <v>161</v>
      </c>
      <c r="AV2591" s="36" t="s">
        <v>177</v>
      </c>
      <c r="AW2591" s="36" t="s">
        <v>2741</v>
      </c>
      <c r="AX2591" s="36">
        <v>4</v>
      </c>
      <c r="AZ2591" s="36" t="s">
        <v>141</v>
      </c>
      <c r="BF2591" s="36">
        <v>720</v>
      </c>
      <c r="BG2591" s="36">
        <v>1293</v>
      </c>
      <c r="BJ2591" s="36" t="s">
        <v>569</v>
      </c>
      <c r="BK2591" s="36">
        <v>565</v>
      </c>
      <c r="BL2591" s="36">
        <v>884</v>
      </c>
      <c r="BO2591" s="36" t="s">
        <v>2751</v>
      </c>
      <c r="BP2591" s="407"/>
      <c r="BQ2591" s="407"/>
      <c r="BU2591" s="407"/>
      <c r="BV2591" s="407"/>
      <c r="BZ2591" s="407"/>
      <c r="CA2591" s="407"/>
      <c r="CE2591" s="560"/>
      <c r="CF2591" s="560"/>
      <c r="CG2591" s="560"/>
      <c r="CH2591" s="560"/>
      <c r="JD2591" s="230"/>
    </row>
    <row r="2592" spans="1:264" s="36" customFormat="1" x14ac:dyDescent="0.25">
      <c r="A2592" s="36">
        <v>121</v>
      </c>
      <c r="B2592" s="51" t="s">
        <v>4336</v>
      </c>
      <c r="C2592" s="36" t="s">
        <v>2737</v>
      </c>
      <c r="D2592" s="36" t="s">
        <v>2736</v>
      </c>
      <c r="E2592" s="36">
        <v>1999</v>
      </c>
      <c r="F2592" s="36">
        <v>1995</v>
      </c>
      <c r="G2592" s="36" t="s">
        <v>2738</v>
      </c>
      <c r="H2592" s="36" t="s">
        <v>2740</v>
      </c>
      <c r="I2592" s="36" t="s">
        <v>2823</v>
      </c>
      <c r="J2592" s="36">
        <v>10.016666666666667</v>
      </c>
      <c r="K2592" s="36">
        <v>9.7833333333333332</v>
      </c>
      <c r="L2592" s="36">
        <v>542</v>
      </c>
      <c r="P2592" s="36">
        <v>1350</v>
      </c>
      <c r="R2592" s="51" t="s">
        <v>1977</v>
      </c>
      <c r="S2592" s="51" t="s">
        <v>1847</v>
      </c>
      <c r="T2592" s="51"/>
      <c r="U2592" s="51" t="s">
        <v>1953</v>
      </c>
      <c r="V2592" s="51" t="s">
        <v>1382</v>
      </c>
      <c r="W2592" s="51" t="s">
        <v>1717</v>
      </c>
      <c r="X2592" s="51" t="s">
        <v>1382</v>
      </c>
      <c r="Y2592" s="51" t="s">
        <v>1382</v>
      </c>
      <c r="AA2592" s="331">
        <v>47.5</v>
      </c>
      <c r="AB2592" s="331">
        <f t="shared" si="365"/>
        <v>22.5</v>
      </c>
      <c r="AC2592" s="36" t="s">
        <v>518</v>
      </c>
      <c r="AD2592" s="36">
        <v>6.5</v>
      </c>
      <c r="AE2592" s="36">
        <v>0.7</v>
      </c>
      <c r="AH2592" s="36" t="s">
        <v>2744</v>
      </c>
      <c r="AI2592" s="36" t="s">
        <v>577</v>
      </c>
      <c r="AJ2592" s="36" t="s">
        <v>1645</v>
      </c>
      <c r="AK2592" s="36" t="s">
        <v>132</v>
      </c>
      <c r="AT2592" s="36" t="s">
        <v>2749</v>
      </c>
      <c r="AU2592" s="36" t="s">
        <v>2749</v>
      </c>
      <c r="AV2592" s="36" t="s">
        <v>177</v>
      </c>
      <c r="AW2592" s="36" t="s">
        <v>2741</v>
      </c>
      <c r="AX2592" s="36">
        <v>4</v>
      </c>
      <c r="AZ2592" s="36" t="s">
        <v>141</v>
      </c>
      <c r="BF2592" s="36">
        <v>1687</v>
      </c>
      <c r="BG2592" s="36">
        <v>1527</v>
      </c>
      <c r="BJ2592" s="36" t="s">
        <v>569</v>
      </c>
      <c r="BK2592" s="36">
        <v>2107</v>
      </c>
      <c r="BL2592" s="36">
        <v>1745</v>
      </c>
      <c r="BO2592" s="36" t="s">
        <v>2751</v>
      </c>
      <c r="BP2592" s="407"/>
      <c r="BQ2592" s="407"/>
      <c r="BU2592" s="407"/>
      <c r="BV2592" s="407"/>
      <c r="BZ2592" s="407"/>
      <c r="CA2592" s="407"/>
      <c r="CE2592" s="560"/>
      <c r="CF2592" s="560"/>
      <c r="CG2592" s="560"/>
      <c r="CH2592" s="560"/>
      <c r="JD2592" s="230"/>
    </row>
    <row r="2593" spans="1:264" s="36" customFormat="1" x14ac:dyDescent="0.25">
      <c r="A2593" s="36">
        <v>121</v>
      </c>
      <c r="B2593" s="51" t="s">
        <v>4337</v>
      </c>
      <c r="C2593" s="36" t="s">
        <v>2737</v>
      </c>
      <c r="D2593" s="36" t="s">
        <v>2736</v>
      </c>
      <c r="E2593" s="36">
        <v>1999</v>
      </c>
      <c r="F2593" s="36">
        <v>1995</v>
      </c>
      <c r="G2593" s="36" t="s">
        <v>2738</v>
      </c>
      <c r="H2593" s="36" t="s">
        <v>2740</v>
      </c>
      <c r="I2593" s="36" t="s">
        <v>2823</v>
      </c>
      <c r="J2593" s="36">
        <v>10.016666666666699</v>
      </c>
      <c r="K2593" s="36">
        <v>9.7833333333333297</v>
      </c>
      <c r="L2593" s="36">
        <v>542</v>
      </c>
      <c r="P2593" s="36">
        <v>1350</v>
      </c>
      <c r="R2593" s="51" t="s">
        <v>1977</v>
      </c>
      <c r="S2593" s="51" t="s">
        <v>1847</v>
      </c>
      <c r="T2593" s="51"/>
      <c r="U2593" s="51" t="s">
        <v>1953</v>
      </c>
      <c r="V2593" s="51" t="s">
        <v>1382</v>
      </c>
      <c r="W2593" s="51" t="s">
        <v>1717</v>
      </c>
      <c r="X2593" s="51" t="s">
        <v>1382</v>
      </c>
      <c r="Y2593" s="51" t="s">
        <v>1382</v>
      </c>
      <c r="AA2593" s="331">
        <v>47.5</v>
      </c>
      <c r="AB2593" s="331">
        <f t="shared" si="365"/>
        <v>22.5</v>
      </c>
      <c r="AC2593" s="36" t="s">
        <v>518</v>
      </c>
      <c r="AD2593" s="36">
        <v>6.5</v>
      </c>
      <c r="AE2593" s="36">
        <v>0.7</v>
      </c>
      <c r="AH2593" s="36" t="s">
        <v>2744</v>
      </c>
      <c r="AI2593" s="36" t="s">
        <v>577</v>
      </c>
      <c r="AJ2593" s="36" t="s">
        <v>1645</v>
      </c>
      <c r="AK2593" s="36" t="s">
        <v>132</v>
      </c>
      <c r="AT2593" s="36" t="s">
        <v>2750</v>
      </c>
      <c r="AU2593" s="36" t="s">
        <v>2750</v>
      </c>
      <c r="AV2593" s="36" t="s">
        <v>177</v>
      </c>
      <c r="AW2593" s="36" t="s">
        <v>2741</v>
      </c>
      <c r="AX2593" s="36">
        <v>4</v>
      </c>
      <c r="AZ2593" s="36" t="s">
        <v>141</v>
      </c>
      <c r="BF2593" s="36">
        <v>1653</v>
      </c>
      <c r="BG2593" s="36">
        <v>1547</v>
      </c>
      <c r="BJ2593" s="36" t="s">
        <v>569</v>
      </c>
      <c r="BK2593" s="36">
        <v>2286</v>
      </c>
      <c r="BL2593" s="36">
        <v>1648</v>
      </c>
      <c r="BO2593" s="36" t="s">
        <v>2751</v>
      </c>
      <c r="BP2593" s="407"/>
      <c r="BQ2593" s="407"/>
      <c r="BU2593" s="407"/>
      <c r="BV2593" s="407"/>
      <c r="BZ2593" s="407"/>
      <c r="CA2593" s="407"/>
      <c r="CE2593" s="560"/>
      <c r="CF2593" s="560"/>
      <c r="CG2593" s="560"/>
      <c r="CH2593" s="560"/>
      <c r="JD2593" s="230"/>
    </row>
    <row r="2594" spans="1:264" s="36" customFormat="1" x14ac:dyDescent="0.25">
      <c r="A2594" s="36">
        <v>121</v>
      </c>
      <c r="B2594" s="51" t="s">
        <v>4335</v>
      </c>
      <c r="C2594" s="36" t="s">
        <v>2737</v>
      </c>
      <c r="D2594" s="36" t="s">
        <v>2736</v>
      </c>
      <c r="E2594" s="36">
        <v>1999</v>
      </c>
      <c r="F2594" s="36">
        <v>1995</v>
      </c>
      <c r="G2594" s="36" t="s">
        <v>2738</v>
      </c>
      <c r="H2594" s="36" t="s">
        <v>2740</v>
      </c>
      <c r="I2594" s="36" t="s">
        <v>2823</v>
      </c>
      <c r="J2594" s="36">
        <v>10.016666666666699</v>
      </c>
      <c r="K2594" s="36">
        <v>9.7833333333333297</v>
      </c>
      <c r="L2594" s="36">
        <v>542</v>
      </c>
      <c r="P2594" s="36">
        <v>1350</v>
      </c>
      <c r="R2594" s="51" t="s">
        <v>1977</v>
      </c>
      <c r="S2594" s="51" t="s">
        <v>1847</v>
      </c>
      <c r="T2594" s="51"/>
      <c r="U2594" s="51" t="s">
        <v>1953</v>
      </c>
      <c r="V2594" s="51" t="s">
        <v>1382</v>
      </c>
      <c r="W2594" s="51" t="s">
        <v>1717</v>
      </c>
      <c r="X2594" s="51" t="s">
        <v>1382</v>
      </c>
      <c r="Y2594" s="51" t="s">
        <v>1382</v>
      </c>
      <c r="AA2594" s="331">
        <v>47.5</v>
      </c>
      <c r="AB2594" s="331">
        <f t="shared" si="365"/>
        <v>22.5</v>
      </c>
      <c r="AC2594" s="36" t="s">
        <v>518</v>
      </c>
      <c r="AD2594" s="36">
        <v>6.5</v>
      </c>
      <c r="AE2594" s="36">
        <v>0.7</v>
      </c>
      <c r="AH2594" s="36" t="s">
        <v>2326</v>
      </c>
      <c r="AI2594" s="36" t="s">
        <v>577</v>
      </c>
      <c r="AJ2594" s="36" t="s">
        <v>1645</v>
      </c>
      <c r="AK2594" s="36" t="s">
        <v>132</v>
      </c>
      <c r="AT2594" s="36" t="s">
        <v>161</v>
      </c>
      <c r="AU2594" s="36" t="s">
        <v>161</v>
      </c>
      <c r="AV2594" s="36" t="s">
        <v>177</v>
      </c>
      <c r="AW2594" s="36" t="s">
        <v>2741</v>
      </c>
      <c r="AX2594" s="36">
        <v>4</v>
      </c>
      <c r="AZ2594" s="36" t="s">
        <v>141</v>
      </c>
      <c r="BF2594" s="36">
        <v>720</v>
      </c>
      <c r="BG2594" s="36">
        <v>1133</v>
      </c>
      <c r="BJ2594" s="36" t="s">
        <v>569</v>
      </c>
      <c r="BK2594" s="36">
        <v>565</v>
      </c>
      <c r="BL2594" s="36">
        <v>992</v>
      </c>
      <c r="BO2594" s="36" t="s">
        <v>2751</v>
      </c>
      <c r="BP2594" s="407"/>
      <c r="BQ2594" s="407"/>
      <c r="BU2594" s="407"/>
      <c r="BV2594" s="407"/>
      <c r="BZ2594" s="407"/>
      <c r="CA2594" s="407"/>
      <c r="CE2594" s="560"/>
      <c r="CF2594" s="560"/>
      <c r="CG2594" s="560"/>
      <c r="CH2594" s="560"/>
      <c r="JD2594" s="230"/>
    </row>
    <row r="2595" spans="1:264" s="36" customFormat="1" x14ac:dyDescent="0.25">
      <c r="A2595" s="36">
        <v>121</v>
      </c>
      <c r="B2595" s="51" t="s">
        <v>4336</v>
      </c>
      <c r="C2595" s="36" t="s">
        <v>2737</v>
      </c>
      <c r="D2595" s="36" t="s">
        <v>2736</v>
      </c>
      <c r="E2595" s="36">
        <v>1999</v>
      </c>
      <c r="F2595" s="36">
        <v>1995</v>
      </c>
      <c r="G2595" s="36" t="s">
        <v>2738</v>
      </c>
      <c r="H2595" s="36" t="s">
        <v>2740</v>
      </c>
      <c r="I2595" s="36" t="s">
        <v>2823</v>
      </c>
      <c r="J2595" s="36">
        <v>10.016666666666699</v>
      </c>
      <c r="K2595" s="36">
        <v>9.7833333333333297</v>
      </c>
      <c r="L2595" s="36">
        <v>542</v>
      </c>
      <c r="P2595" s="36">
        <v>1350</v>
      </c>
      <c r="R2595" s="51" t="s">
        <v>1977</v>
      </c>
      <c r="S2595" s="51" t="s">
        <v>1847</v>
      </c>
      <c r="T2595" s="51"/>
      <c r="U2595" s="51" t="s">
        <v>1953</v>
      </c>
      <c r="V2595" s="51" t="s">
        <v>1382</v>
      </c>
      <c r="W2595" s="51" t="s">
        <v>1717</v>
      </c>
      <c r="X2595" s="51" t="s">
        <v>1382</v>
      </c>
      <c r="Y2595" s="51" t="s">
        <v>1382</v>
      </c>
      <c r="AA2595" s="331">
        <v>47.5</v>
      </c>
      <c r="AB2595" s="331">
        <f t="shared" si="365"/>
        <v>22.5</v>
      </c>
      <c r="AC2595" s="36" t="s">
        <v>518</v>
      </c>
      <c r="AD2595" s="36">
        <v>6.5</v>
      </c>
      <c r="AE2595" s="36">
        <v>0.7</v>
      </c>
      <c r="AH2595" s="36" t="s">
        <v>2326</v>
      </c>
      <c r="AI2595" s="36" t="s">
        <v>577</v>
      </c>
      <c r="AJ2595" s="36" t="s">
        <v>1645</v>
      </c>
      <c r="AK2595" s="36" t="s">
        <v>132</v>
      </c>
      <c r="AT2595" s="36" t="s">
        <v>2749</v>
      </c>
      <c r="AU2595" s="36" t="s">
        <v>2749</v>
      </c>
      <c r="AV2595" s="36" t="s">
        <v>177</v>
      </c>
      <c r="AW2595" s="36" t="s">
        <v>2741</v>
      </c>
      <c r="AX2595" s="36">
        <v>4</v>
      </c>
      <c r="AZ2595" s="36" t="s">
        <v>141</v>
      </c>
      <c r="BF2595" s="36">
        <v>1687</v>
      </c>
      <c r="BG2595" s="36">
        <v>2160</v>
      </c>
      <c r="BJ2595" s="36" t="s">
        <v>569</v>
      </c>
      <c r="BK2595" s="36">
        <v>2107</v>
      </c>
      <c r="BL2595" s="36">
        <v>2276</v>
      </c>
      <c r="BO2595" s="36" t="s">
        <v>2751</v>
      </c>
      <c r="BP2595" s="407"/>
      <c r="BQ2595" s="407"/>
      <c r="BU2595" s="407"/>
      <c r="BV2595" s="407"/>
      <c r="BZ2595" s="407"/>
      <c r="CA2595" s="407"/>
      <c r="CE2595" s="560"/>
      <c r="CF2595" s="560"/>
      <c r="CG2595" s="560"/>
      <c r="CH2595" s="560"/>
      <c r="JD2595" s="230"/>
    </row>
    <row r="2596" spans="1:264" s="36" customFormat="1" x14ac:dyDescent="0.25">
      <c r="A2596" s="36">
        <v>121</v>
      </c>
      <c r="B2596" s="51" t="s">
        <v>4337</v>
      </c>
      <c r="C2596" s="36" t="s">
        <v>2737</v>
      </c>
      <c r="D2596" s="36" t="s">
        <v>2736</v>
      </c>
      <c r="E2596" s="36">
        <v>1999</v>
      </c>
      <c r="F2596" s="36">
        <v>1995</v>
      </c>
      <c r="G2596" s="36" t="s">
        <v>2738</v>
      </c>
      <c r="H2596" s="36" t="s">
        <v>2740</v>
      </c>
      <c r="I2596" s="36" t="s">
        <v>2823</v>
      </c>
      <c r="J2596" s="36">
        <v>10.016666666666699</v>
      </c>
      <c r="K2596" s="36">
        <v>9.7833333333333297</v>
      </c>
      <c r="L2596" s="36">
        <v>542</v>
      </c>
      <c r="P2596" s="36">
        <v>1350</v>
      </c>
      <c r="R2596" s="51" t="s">
        <v>1977</v>
      </c>
      <c r="S2596" s="51" t="s">
        <v>1847</v>
      </c>
      <c r="T2596" s="51"/>
      <c r="U2596" s="51" t="s">
        <v>1953</v>
      </c>
      <c r="V2596" s="51" t="s">
        <v>1382</v>
      </c>
      <c r="W2596" s="51" t="s">
        <v>1717</v>
      </c>
      <c r="X2596" s="51" t="s">
        <v>1382</v>
      </c>
      <c r="Y2596" s="51" t="s">
        <v>1382</v>
      </c>
      <c r="AA2596" s="331">
        <v>47.5</v>
      </c>
      <c r="AB2596" s="331">
        <f t="shared" si="365"/>
        <v>22.5</v>
      </c>
      <c r="AC2596" s="36" t="s">
        <v>518</v>
      </c>
      <c r="AD2596" s="36">
        <v>6.5</v>
      </c>
      <c r="AE2596" s="36">
        <v>0.7</v>
      </c>
      <c r="AH2596" s="36" t="s">
        <v>2326</v>
      </c>
      <c r="AI2596" s="36" t="s">
        <v>577</v>
      </c>
      <c r="AJ2596" s="36" t="s">
        <v>1645</v>
      </c>
      <c r="AK2596" s="36" t="s">
        <v>132</v>
      </c>
      <c r="AT2596" s="36" t="s">
        <v>2750</v>
      </c>
      <c r="AU2596" s="36" t="s">
        <v>2750</v>
      </c>
      <c r="AV2596" s="36" t="s">
        <v>177</v>
      </c>
      <c r="AW2596" s="36" t="s">
        <v>2741</v>
      </c>
      <c r="AX2596" s="36">
        <v>4</v>
      </c>
      <c r="AZ2596" s="36" t="s">
        <v>141</v>
      </c>
      <c r="BF2596" s="36">
        <v>1653</v>
      </c>
      <c r="BG2596" s="36">
        <v>1907</v>
      </c>
      <c r="BJ2596" s="36" t="s">
        <v>569</v>
      </c>
      <c r="BK2596" s="36">
        <v>2286</v>
      </c>
      <c r="BL2596" s="36">
        <v>2177</v>
      </c>
      <c r="BO2596" s="36" t="s">
        <v>2751</v>
      </c>
      <c r="BP2596" s="407"/>
      <c r="BQ2596" s="407"/>
      <c r="BU2596" s="407"/>
      <c r="BV2596" s="407"/>
      <c r="BZ2596" s="407"/>
      <c r="CA2596" s="407"/>
      <c r="CE2596" s="560"/>
      <c r="CF2596" s="560"/>
      <c r="CG2596" s="560"/>
      <c r="CH2596" s="560"/>
      <c r="JD2596" s="230"/>
    </row>
    <row r="2597" spans="1:264" s="24" customFormat="1" x14ac:dyDescent="0.25">
      <c r="A2597" s="24">
        <v>122</v>
      </c>
      <c r="B2597" s="42" t="s">
        <v>4338</v>
      </c>
      <c r="C2597" s="24" t="s">
        <v>2752</v>
      </c>
      <c r="D2597" s="24" t="s">
        <v>2753</v>
      </c>
      <c r="E2597" s="24">
        <v>2004</v>
      </c>
      <c r="F2597" s="24">
        <v>2001</v>
      </c>
      <c r="G2597" s="24" t="s">
        <v>2696</v>
      </c>
      <c r="H2597" s="24" t="s">
        <v>2754</v>
      </c>
      <c r="I2597" s="24" t="s">
        <v>2829</v>
      </c>
      <c r="J2597" s="24">
        <f t="shared" ref="J2597:J2604" si="371">-13-39/60</f>
        <v>-13.65</v>
      </c>
      <c r="K2597" s="24">
        <f t="shared" ref="K2597:K2604" si="372">32+34/60</f>
        <v>32.56666666666667</v>
      </c>
      <c r="L2597" s="24">
        <v>1028</v>
      </c>
      <c r="N2597" s="24">
        <f t="shared" ref="N2597:N2604" si="373">(25+16)/2</f>
        <v>20.5</v>
      </c>
      <c r="P2597" s="24">
        <v>960</v>
      </c>
      <c r="R2597" s="42" t="s">
        <v>1858</v>
      </c>
      <c r="S2597" s="42" t="s">
        <v>1722</v>
      </c>
      <c r="T2597" s="42"/>
      <c r="U2597" s="42" t="s">
        <v>1989</v>
      </c>
      <c r="V2597" s="42" t="s">
        <v>1379</v>
      </c>
      <c r="W2597" s="42" t="s">
        <v>1715</v>
      </c>
      <c r="X2597" s="42" t="s">
        <v>1379</v>
      </c>
      <c r="Y2597" s="42" t="s">
        <v>1379</v>
      </c>
      <c r="AA2597" s="321">
        <v>58</v>
      </c>
      <c r="AB2597" s="321">
        <v>17</v>
      </c>
      <c r="AC2597" s="24" t="s">
        <v>240</v>
      </c>
      <c r="AE2597" s="24">
        <v>1</v>
      </c>
      <c r="AG2597" s="24" t="s">
        <v>2755</v>
      </c>
      <c r="AH2597" s="24" t="s">
        <v>2763</v>
      </c>
      <c r="AI2597" s="24" t="s">
        <v>1129</v>
      </c>
      <c r="AJ2597" s="24" t="s">
        <v>1645</v>
      </c>
      <c r="AK2597" s="24" t="s">
        <v>132</v>
      </c>
      <c r="AW2597" s="24" t="s">
        <v>160</v>
      </c>
      <c r="AX2597" s="24">
        <v>3</v>
      </c>
      <c r="AZ2597" s="24" t="s">
        <v>141</v>
      </c>
      <c r="BB2597" s="24">
        <v>6016</v>
      </c>
      <c r="BC2597" s="24">
        <f>BB2597/198</f>
        <v>30.383838383838384</v>
      </c>
      <c r="BK2597" s="24">
        <v>1436</v>
      </c>
      <c r="BL2597" s="24">
        <v>3907</v>
      </c>
      <c r="BO2597" s="24" t="s">
        <v>2759</v>
      </c>
      <c r="BP2597" s="395"/>
      <c r="BQ2597" s="395"/>
      <c r="BU2597" s="395"/>
      <c r="BV2597" s="395"/>
      <c r="BZ2597" s="395"/>
      <c r="CA2597" s="395"/>
      <c r="CE2597" s="548"/>
      <c r="CF2597" s="548"/>
      <c r="CG2597" s="548"/>
      <c r="CH2597" s="548"/>
      <c r="CJ2597" s="24">
        <v>7.79</v>
      </c>
      <c r="CK2597" s="24">
        <v>14</v>
      </c>
      <c r="CN2597" s="24" t="s">
        <v>2757</v>
      </c>
      <c r="JD2597" s="249"/>
    </row>
    <row r="2598" spans="1:264" s="24" customFormat="1" x14ac:dyDescent="0.25">
      <c r="A2598" s="24">
        <v>122</v>
      </c>
      <c r="B2598" s="42" t="s">
        <v>4338</v>
      </c>
      <c r="C2598" s="24" t="s">
        <v>2752</v>
      </c>
      <c r="D2598" s="24" t="s">
        <v>2753</v>
      </c>
      <c r="E2598" s="24">
        <v>2004</v>
      </c>
      <c r="F2598" s="24">
        <v>2001</v>
      </c>
      <c r="G2598" s="24" t="s">
        <v>2696</v>
      </c>
      <c r="H2598" s="24" t="s">
        <v>2754</v>
      </c>
      <c r="I2598" s="24" t="s">
        <v>2829</v>
      </c>
      <c r="J2598" s="24">
        <f t="shared" si="371"/>
        <v>-13.65</v>
      </c>
      <c r="K2598" s="24">
        <f t="shared" si="372"/>
        <v>32.56666666666667</v>
      </c>
      <c r="L2598" s="24">
        <v>1028</v>
      </c>
      <c r="N2598" s="24">
        <f t="shared" si="373"/>
        <v>20.5</v>
      </c>
      <c r="P2598" s="24">
        <v>960</v>
      </c>
      <c r="R2598" s="42" t="s">
        <v>1858</v>
      </c>
      <c r="S2598" s="42" t="s">
        <v>1722</v>
      </c>
      <c r="T2598" s="42"/>
      <c r="U2598" s="42" t="s">
        <v>1989</v>
      </c>
      <c r="V2598" s="42" t="s">
        <v>1379</v>
      </c>
      <c r="W2598" s="42" t="s">
        <v>1715</v>
      </c>
      <c r="X2598" s="42" t="s">
        <v>1379</v>
      </c>
      <c r="Y2598" s="42" t="s">
        <v>1379</v>
      </c>
      <c r="AA2598" s="321">
        <v>58</v>
      </c>
      <c r="AB2598" s="321">
        <v>17</v>
      </c>
      <c r="AC2598" s="24" t="s">
        <v>240</v>
      </c>
      <c r="AE2598" s="24">
        <v>1</v>
      </c>
      <c r="AG2598" s="24" t="s">
        <v>2755</v>
      </c>
      <c r="AH2598" s="24" t="s">
        <v>2763</v>
      </c>
      <c r="AI2598" s="24" t="s">
        <v>1129</v>
      </c>
      <c r="AJ2598" s="24" t="s">
        <v>1645</v>
      </c>
      <c r="AK2598" s="24" t="s">
        <v>132</v>
      </c>
      <c r="AW2598" s="24" t="s">
        <v>160</v>
      </c>
      <c r="AX2598" s="24">
        <v>3</v>
      </c>
      <c r="AZ2598" s="24" t="s">
        <v>141</v>
      </c>
      <c r="BB2598" s="24">
        <v>4974</v>
      </c>
      <c r="BC2598" s="24">
        <f>BB2598/167</f>
        <v>29.78443113772455</v>
      </c>
      <c r="BK2598" s="24">
        <v>1436</v>
      </c>
      <c r="BL2598" s="24">
        <v>3999</v>
      </c>
      <c r="BO2598" s="24" t="s">
        <v>2760</v>
      </c>
      <c r="BP2598" s="395"/>
      <c r="BQ2598" s="395"/>
      <c r="BU2598" s="395"/>
      <c r="BV2598" s="395"/>
      <c r="BZ2598" s="395"/>
      <c r="CA2598" s="395"/>
      <c r="CE2598" s="548"/>
      <c r="CF2598" s="548"/>
      <c r="CG2598" s="548"/>
      <c r="CH2598" s="548"/>
      <c r="CJ2598" s="24">
        <v>7.79</v>
      </c>
      <c r="CK2598" s="24">
        <v>8.94</v>
      </c>
      <c r="CN2598" s="24" t="s">
        <v>2758</v>
      </c>
      <c r="JD2598" s="249"/>
    </row>
    <row r="2599" spans="1:264" s="24" customFormat="1" x14ac:dyDescent="0.25">
      <c r="A2599" s="24">
        <v>122</v>
      </c>
      <c r="B2599" s="42" t="s">
        <v>4338</v>
      </c>
      <c r="C2599" s="24" t="s">
        <v>2752</v>
      </c>
      <c r="D2599" s="24" t="s">
        <v>2753</v>
      </c>
      <c r="E2599" s="24">
        <v>2004</v>
      </c>
      <c r="F2599" s="24">
        <v>2001</v>
      </c>
      <c r="G2599" s="24" t="s">
        <v>2696</v>
      </c>
      <c r="H2599" s="24" t="s">
        <v>2754</v>
      </c>
      <c r="I2599" s="24" t="s">
        <v>2829</v>
      </c>
      <c r="J2599" s="24">
        <f t="shared" si="371"/>
        <v>-13.65</v>
      </c>
      <c r="K2599" s="24">
        <f t="shared" si="372"/>
        <v>32.56666666666667</v>
      </c>
      <c r="L2599" s="24">
        <v>1028</v>
      </c>
      <c r="N2599" s="24">
        <f t="shared" si="373"/>
        <v>20.5</v>
      </c>
      <c r="P2599" s="24">
        <v>960</v>
      </c>
      <c r="R2599" s="42" t="s">
        <v>1858</v>
      </c>
      <c r="S2599" s="42" t="s">
        <v>1722</v>
      </c>
      <c r="T2599" s="42"/>
      <c r="U2599" s="42" t="s">
        <v>1989</v>
      </c>
      <c r="V2599" s="42" t="s">
        <v>1379</v>
      </c>
      <c r="W2599" s="42" t="s">
        <v>1715</v>
      </c>
      <c r="X2599" s="42" t="s">
        <v>1379</v>
      </c>
      <c r="Y2599" s="42" t="s">
        <v>1379</v>
      </c>
      <c r="AA2599" s="321">
        <v>58</v>
      </c>
      <c r="AB2599" s="321">
        <v>17</v>
      </c>
      <c r="AC2599" s="24" t="s">
        <v>240</v>
      </c>
      <c r="AE2599" s="24">
        <v>1</v>
      </c>
      <c r="AG2599" s="24" t="s">
        <v>2755</v>
      </c>
      <c r="AH2599" s="24" t="s">
        <v>2763</v>
      </c>
      <c r="AI2599" s="24" t="s">
        <v>1129</v>
      </c>
      <c r="AJ2599" s="24" t="s">
        <v>1645</v>
      </c>
      <c r="AK2599" s="24" t="s">
        <v>132</v>
      </c>
      <c r="AW2599" s="24" t="s">
        <v>160</v>
      </c>
      <c r="AX2599" s="24">
        <v>3</v>
      </c>
      <c r="AZ2599" s="24" t="s">
        <v>141</v>
      </c>
      <c r="BB2599" s="24">
        <v>3131</v>
      </c>
      <c r="BC2599" s="24">
        <f>BB2599/103</f>
        <v>30.398058252427184</v>
      </c>
      <c r="BK2599" s="24">
        <v>1436</v>
      </c>
      <c r="BL2599" s="24">
        <v>3086</v>
      </c>
      <c r="BO2599" s="24" t="s">
        <v>2761</v>
      </c>
      <c r="BP2599" s="395"/>
      <c r="BQ2599" s="395"/>
      <c r="BU2599" s="395"/>
      <c r="BV2599" s="395"/>
      <c r="BZ2599" s="395"/>
      <c r="CA2599" s="395"/>
      <c r="CE2599" s="548"/>
      <c r="CF2599" s="548"/>
      <c r="CG2599" s="548"/>
      <c r="CH2599" s="548"/>
      <c r="JD2599" s="249"/>
    </row>
    <row r="2600" spans="1:264" s="24" customFormat="1" x14ac:dyDescent="0.25">
      <c r="A2600" s="24">
        <v>122</v>
      </c>
      <c r="B2600" s="42" t="s">
        <v>4338</v>
      </c>
      <c r="C2600" s="24" t="s">
        <v>2752</v>
      </c>
      <c r="D2600" s="24" t="s">
        <v>2753</v>
      </c>
      <c r="E2600" s="24">
        <v>2004</v>
      </c>
      <c r="F2600" s="24">
        <v>2001</v>
      </c>
      <c r="G2600" s="24" t="s">
        <v>2696</v>
      </c>
      <c r="H2600" s="24" t="s">
        <v>2754</v>
      </c>
      <c r="I2600" s="24" t="s">
        <v>2829</v>
      </c>
      <c r="J2600" s="24">
        <f t="shared" si="371"/>
        <v>-13.65</v>
      </c>
      <c r="K2600" s="24">
        <f t="shared" si="372"/>
        <v>32.56666666666667</v>
      </c>
      <c r="L2600" s="24">
        <v>1028</v>
      </c>
      <c r="N2600" s="24">
        <f t="shared" si="373"/>
        <v>20.5</v>
      </c>
      <c r="P2600" s="24">
        <v>960</v>
      </c>
      <c r="R2600" s="42" t="s">
        <v>1858</v>
      </c>
      <c r="S2600" s="42" t="s">
        <v>1722</v>
      </c>
      <c r="T2600" s="42"/>
      <c r="U2600" s="42" t="s">
        <v>1989</v>
      </c>
      <c r="V2600" s="42" t="s">
        <v>1379</v>
      </c>
      <c r="W2600" s="42" t="s">
        <v>1715</v>
      </c>
      <c r="X2600" s="42" t="s">
        <v>1379</v>
      </c>
      <c r="Y2600" s="42" t="s">
        <v>1379</v>
      </c>
      <c r="AA2600" s="321">
        <v>58</v>
      </c>
      <c r="AB2600" s="321">
        <v>17</v>
      </c>
      <c r="AC2600" s="24" t="s">
        <v>240</v>
      </c>
      <c r="AE2600" s="24">
        <v>1</v>
      </c>
      <c r="AG2600" s="24" t="s">
        <v>2755</v>
      </c>
      <c r="AH2600" s="24" t="s">
        <v>2763</v>
      </c>
      <c r="AI2600" s="24" t="s">
        <v>1129</v>
      </c>
      <c r="AJ2600" s="24" t="s">
        <v>1645</v>
      </c>
      <c r="AK2600" s="24" t="s">
        <v>132</v>
      </c>
      <c r="AW2600" s="24" t="s">
        <v>160</v>
      </c>
      <c r="AX2600" s="24">
        <v>3</v>
      </c>
      <c r="AZ2600" s="24" t="s">
        <v>141</v>
      </c>
      <c r="BK2600" s="24">
        <v>1436</v>
      </c>
      <c r="BL2600" s="24">
        <v>1864</v>
      </c>
      <c r="BO2600" s="24" t="s">
        <v>2762</v>
      </c>
      <c r="BP2600" s="395"/>
      <c r="BQ2600" s="395"/>
      <c r="BU2600" s="395"/>
      <c r="BV2600" s="395"/>
      <c r="BZ2600" s="395"/>
      <c r="CA2600" s="395"/>
      <c r="CE2600" s="548"/>
      <c r="CF2600" s="548"/>
      <c r="CG2600" s="548"/>
      <c r="CH2600" s="548"/>
      <c r="JD2600" s="249"/>
    </row>
    <row r="2601" spans="1:264" s="136" customFormat="1" x14ac:dyDescent="0.25">
      <c r="A2601" s="136">
        <v>122</v>
      </c>
      <c r="B2601" s="137" t="s">
        <v>4338</v>
      </c>
      <c r="C2601" s="136" t="s">
        <v>2752</v>
      </c>
      <c r="D2601" s="136" t="s">
        <v>2753</v>
      </c>
      <c r="E2601" s="136">
        <v>2004</v>
      </c>
      <c r="F2601" s="136">
        <v>2002</v>
      </c>
      <c r="G2601" s="136" t="s">
        <v>2696</v>
      </c>
      <c r="H2601" s="136" t="s">
        <v>2754</v>
      </c>
      <c r="I2601" s="24" t="s">
        <v>2829</v>
      </c>
      <c r="J2601" s="136">
        <f t="shared" si="371"/>
        <v>-13.65</v>
      </c>
      <c r="K2601" s="136">
        <f t="shared" si="372"/>
        <v>32.56666666666667</v>
      </c>
      <c r="L2601" s="136">
        <v>1028</v>
      </c>
      <c r="N2601" s="136">
        <f t="shared" si="373"/>
        <v>20.5</v>
      </c>
      <c r="P2601" s="136">
        <v>960</v>
      </c>
      <c r="R2601" s="137" t="s">
        <v>1722</v>
      </c>
      <c r="S2601" s="137" t="s">
        <v>1722</v>
      </c>
      <c r="T2601" s="137"/>
      <c r="U2601" s="137" t="s">
        <v>1989</v>
      </c>
      <c r="V2601" s="137" t="s">
        <v>1379</v>
      </c>
      <c r="W2601" s="137" t="s">
        <v>1715</v>
      </c>
      <c r="X2601" s="137" t="s">
        <v>1379</v>
      </c>
      <c r="Y2601" s="137" t="s">
        <v>1379</v>
      </c>
      <c r="AA2601" s="357">
        <v>58</v>
      </c>
      <c r="AB2601" s="357">
        <v>17</v>
      </c>
      <c r="AC2601" s="136" t="s">
        <v>240</v>
      </c>
      <c r="AE2601" s="136">
        <v>1</v>
      </c>
      <c r="AG2601" s="136" t="s">
        <v>2755</v>
      </c>
      <c r="AH2601" s="24" t="s">
        <v>2763</v>
      </c>
      <c r="AI2601" s="24" t="s">
        <v>1129</v>
      </c>
      <c r="AJ2601" s="24" t="s">
        <v>1645</v>
      </c>
      <c r="AK2601" s="24" t="s">
        <v>132</v>
      </c>
      <c r="AW2601" s="136" t="s">
        <v>160</v>
      </c>
      <c r="AX2601" s="136">
        <v>3</v>
      </c>
      <c r="AZ2601" s="136" t="s">
        <v>141</v>
      </c>
      <c r="BB2601" s="136">
        <v>4297</v>
      </c>
      <c r="BC2601" s="136">
        <f>BB2601/146</f>
        <v>29.431506849315067</v>
      </c>
      <c r="BK2601" s="136">
        <v>1638</v>
      </c>
      <c r="BL2601" s="136">
        <v>4000</v>
      </c>
      <c r="BO2601" s="136" t="s">
        <v>2759</v>
      </c>
      <c r="BP2601" s="432"/>
      <c r="BQ2601" s="432"/>
      <c r="BU2601" s="432"/>
      <c r="BV2601" s="432"/>
      <c r="BZ2601" s="432"/>
      <c r="CA2601" s="432"/>
      <c r="CE2601" s="585"/>
      <c r="CF2601" s="585"/>
      <c r="CG2601" s="585"/>
      <c r="CH2601" s="585"/>
      <c r="JD2601" s="500"/>
    </row>
    <row r="2602" spans="1:264" s="136" customFormat="1" x14ac:dyDescent="0.25">
      <c r="A2602" s="136">
        <v>122</v>
      </c>
      <c r="B2602" s="137" t="s">
        <v>4338</v>
      </c>
      <c r="C2602" s="136" t="s">
        <v>2752</v>
      </c>
      <c r="D2602" s="136" t="s">
        <v>2753</v>
      </c>
      <c r="E2602" s="136">
        <v>2004</v>
      </c>
      <c r="F2602" s="136">
        <v>2002</v>
      </c>
      <c r="G2602" s="136" t="s">
        <v>2696</v>
      </c>
      <c r="H2602" s="136" t="s">
        <v>2754</v>
      </c>
      <c r="I2602" s="24" t="s">
        <v>2829</v>
      </c>
      <c r="J2602" s="136">
        <f t="shared" si="371"/>
        <v>-13.65</v>
      </c>
      <c r="K2602" s="136">
        <f t="shared" si="372"/>
        <v>32.56666666666667</v>
      </c>
      <c r="L2602" s="136">
        <v>1028</v>
      </c>
      <c r="N2602" s="136">
        <f t="shared" si="373"/>
        <v>20.5</v>
      </c>
      <c r="P2602" s="136">
        <v>960</v>
      </c>
      <c r="R2602" s="137" t="s">
        <v>1722</v>
      </c>
      <c r="S2602" s="137" t="s">
        <v>1722</v>
      </c>
      <c r="T2602" s="137"/>
      <c r="U2602" s="137" t="s">
        <v>1989</v>
      </c>
      <c r="V2602" s="137" t="s">
        <v>1379</v>
      </c>
      <c r="W2602" s="137" t="s">
        <v>1715</v>
      </c>
      <c r="X2602" s="137" t="s">
        <v>1379</v>
      </c>
      <c r="Y2602" s="137" t="s">
        <v>1379</v>
      </c>
      <c r="AA2602" s="357">
        <v>58</v>
      </c>
      <c r="AB2602" s="357">
        <v>17</v>
      </c>
      <c r="AC2602" s="136" t="s">
        <v>240</v>
      </c>
      <c r="AE2602" s="136">
        <v>1</v>
      </c>
      <c r="AG2602" s="136" t="s">
        <v>2755</v>
      </c>
      <c r="AH2602" s="24" t="s">
        <v>2763</v>
      </c>
      <c r="AI2602" s="24" t="s">
        <v>1129</v>
      </c>
      <c r="AJ2602" s="24" t="s">
        <v>1645</v>
      </c>
      <c r="AK2602" s="24" t="s">
        <v>132</v>
      </c>
      <c r="AW2602" s="136" t="s">
        <v>160</v>
      </c>
      <c r="AX2602" s="136">
        <v>3</v>
      </c>
      <c r="AZ2602" s="136" t="s">
        <v>141</v>
      </c>
      <c r="BB2602" s="136">
        <v>3371</v>
      </c>
      <c r="BC2602" s="136">
        <f>BB2602/116</f>
        <v>29.060344827586206</v>
      </c>
      <c r="BK2602" s="136">
        <v>1638</v>
      </c>
      <c r="BL2602" s="136">
        <v>3594</v>
      </c>
      <c r="BO2602" s="136" t="s">
        <v>2760</v>
      </c>
      <c r="BP2602" s="432"/>
      <c r="BQ2602" s="432"/>
      <c r="BU2602" s="432"/>
      <c r="BV2602" s="432"/>
      <c r="BZ2602" s="432"/>
      <c r="CA2602" s="432"/>
      <c r="CE2602" s="585"/>
      <c r="CF2602" s="585"/>
      <c r="CG2602" s="585"/>
      <c r="CH2602" s="585"/>
      <c r="JD2602" s="500"/>
    </row>
    <row r="2603" spans="1:264" s="136" customFormat="1" x14ac:dyDescent="0.25">
      <c r="A2603" s="136">
        <v>122</v>
      </c>
      <c r="B2603" s="137" t="s">
        <v>4338</v>
      </c>
      <c r="C2603" s="136" t="s">
        <v>2752</v>
      </c>
      <c r="D2603" s="136" t="s">
        <v>2753</v>
      </c>
      <c r="E2603" s="136">
        <v>2004</v>
      </c>
      <c r="F2603" s="136">
        <v>2002</v>
      </c>
      <c r="G2603" s="136" t="s">
        <v>2696</v>
      </c>
      <c r="H2603" s="136" t="s">
        <v>2754</v>
      </c>
      <c r="I2603" s="24" t="s">
        <v>2829</v>
      </c>
      <c r="J2603" s="136">
        <f t="shared" si="371"/>
        <v>-13.65</v>
      </c>
      <c r="K2603" s="136">
        <f t="shared" si="372"/>
        <v>32.56666666666667</v>
      </c>
      <c r="L2603" s="136">
        <v>1028</v>
      </c>
      <c r="N2603" s="136">
        <f t="shared" si="373"/>
        <v>20.5</v>
      </c>
      <c r="P2603" s="136">
        <v>960</v>
      </c>
      <c r="R2603" s="137" t="s">
        <v>1722</v>
      </c>
      <c r="S2603" s="137" t="s">
        <v>1722</v>
      </c>
      <c r="T2603" s="137"/>
      <c r="U2603" s="137" t="s">
        <v>1989</v>
      </c>
      <c r="V2603" s="137" t="s">
        <v>1379</v>
      </c>
      <c r="W2603" s="137" t="s">
        <v>1715</v>
      </c>
      <c r="X2603" s="137" t="s">
        <v>1379</v>
      </c>
      <c r="Y2603" s="137" t="s">
        <v>1379</v>
      </c>
      <c r="AA2603" s="357">
        <v>58</v>
      </c>
      <c r="AB2603" s="357">
        <v>17</v>
      </c>
      <c r="AC2603" s="136" t="s">
        <v>240</v>
      </c>
      <c r="AE2603" s="136">
        <v>1</v>
      </c>
      <c r="AG2603" s="136" t="s">
        <v>2755</v>
      </c>
      <c r="AH2603" s="24" t="s">
        <v>2763</v>
      </c>
      <c r="AI2603" s="24" t="s">
        <v>1129</v>
      </c>
      <c r="AJ2603" s="24" t="s">
        <v>1645</v>
      </c>
      <c r="AK2603" s="24" t="s">
        <v>132</v>
      </c>
      <c r="AW2603" s="136" t="s">
        <v>160</v>
      </c>
      <c r="AX2603" s="136">
        <v>3</v>
      </c>
      <c r="AZ2603" s="136" t="s">
        <v>141</v>
      </c>
      <c r="BB2603" s="136">
        <v>1764</v>
      </c>
      <c r="BC2603" s="136">
        <f>BB2603/61</f>
        <v>28.918032786885245</v>
      </c>
      <c r="BK2603" s="136">
        <v>1638</v>
      </c>
      <c r="BL2603" s="136">
        <v>2817</v>
      </c>
      <c r="BO2603" s="136" t="s">
        <v>2761</v>
      </c>
      <c r="BP2603" s="432"/>
      <c r="BQ2603" s="432"/>
      <c r="BU2603" s="432"/>
      <c r="BV2603" s="432"/>
      <c r="BZ2603" s="432"/>
      <c r="CA2603" s="432"/>
      <c r="CE2603" s="585"/>
      <c r="CF2603" s="585"/>
      <c r="CG2603" s="585"/>
      <c r="CH2603" s="585"/>
      <c r="JD2603" s="500"/>
    </row>
    <row r="2604" spans="1:264" s="136" customFormat="1" x14ac:dyDescent="0.25">
      <c r="A2604" s="136">
        <v>122</v>
      </c>
      <c r="B2604" s="137" t="s">
        <v>4338</v>
      </c>
      <c r="C2604" s="136" t="s">
        <v>2752</v>
      </c>
      <c r="D2604" s="136" t="s">
        <v>2753</v>
      </c>
      <c r="E2604" s="136">
        <v>2004</v>
      </c>
      <c r="F2604" s="136">
        <v>2002</v>
      </c>
      <c r="G2604" s="136" t="s">
        <v>2696</v>
      </c>
      <c r="H2604" s="136" t="s">
        <v>2754</v>
      </c>
      <c r="I2604" s="24" t="s">
        <v>2829</v>
      </c>
      <c r="J2604" s="136">
        <f t="shared" si="371"/>
        <v>-13.65</v>
      </c>
      <c r="K2604" s="136">
        <f t="shared" si="372"/>
        <v>32.56666666666667</v>
      </c>
      <c r="L2604" s="136">
        <v>1028</v>
      </c>
      <c r="N2604" s="136">
        <f t="shared" si="373"/>
        <v>20.5</v>
      </c>
      <c r="P2604" s="136">
        <v>960</v>
      </c>
      <c r="R2604" s="137" t="s">
        <v>1722</v>
      </c>
      <c r="S2604" s="137" t="s">
        <v>1722</v>
      </c>
      <c r="T2604" s="137"/>
      <c r="U2604" s="137" t="s">
        <v>1989</v>
      </c>
      <c r="V2604" s="137" t="s">
        <v>1379</v>
      </c>
      <c r="W2604" s="137" t="s">
        <v>1715</v>
      </c>
      <c r="X2604" s="137" t="s">
        <v>1379</v>
      </c>
      <c r="Y2604" s="137" t="s">
        <v>1379</v>
      </c>
      <c r="AA2604" s="357">
        <v>58</v>
      </c>
      <c r="AB2604" s="357">
        <v>17</v>
      </c>
      <c r="AC2604" s="136" t="s">
        <v>240</v>
      </c>
      <c r="AE2604" s="136">
        <v>1</v>
      </c>
      <c r="AG2604" s="136" t="s">
        <v>2755</v>
      </c>
      <c r="AH2604" s="24" t="s">
        <v>2763</v>
      </c>
      <c r="AI2604" s="24" t="s">
        <v>1129</v>
      </c>
      <c r="AJ2604" s="24" t="s">
        <v>1645</v>
      </c>
      <c r="AK2604" s="24" t="s">
        <v>132</v>
      </c>
      <c r="AW2604" s="136" t="s">
        <v>160</v>
      </c>
      <c r="AX2604" s="136">
        <v>3</v>
      </c>
      <c r="AZ2604" s="136" t="s">
        <v>141</v>
      </c>
      <c r="BK2604" s="136">
        <v>1638</v>
      </c>
      <c r="BL2604" s="136">
        <v>1604</v>
      </c>
      <c r="BO2604" s="136" t="s">
        <v>2762</v>
      </c>
      <c r="BP2604" s="432"/>
      <c r="BQ2604" s="432"/>
      <c r="BU2604" s="432"/>
      <c r="BV2604" s="432"/>
      <c r="BZ2604" s="432"/>
      <c r="CA2604" s="432"/>
      <c r="CE2604" s="585"/>
      <c r="CF2604" s="585"/>
      <c r="CG2604" s="585"/>
      <c r="CH2604" s="585"/>
      <c r="JD2604" s="500"/>
    </row>
    <row r="2605" spans="1:264" x14ac:dyDescent="0.25">
      <c r="A2605" s="37">
        <v>123</v>
      </c>
      <c r="B2605" s="50" t="s">
        <v>4339</v>
      </c>
      <c r="C2605" s="37" t="s">
        <v>2765</v>
      </c>
      <c r="D2605" s="37" t="s">
        <v>2764</v>
      </c>
      <c r="E2605" s="37">
        <v>2003</v>
      </c>
      <c r="F2605" s="37">
        <v>2000</v>
      </c>
      <c r="G2605" s="37" t="s">
        <v>2766</v>
      </c>
      <c r="H2605" s="37" t="s">
        <v>2767</v>
      </c>
      <c r="I2605" s="37" t="s">
        <v>2829</v>
      </c>
      <c r="J2605" s="37">
        <f t="shared" ref="J2605:J2636" si="374">-14-15/60</f>
        <v>-14.25</v>
      </c>
      <c r="K2605" s="37">
        <v>32</v>
      </c>
      <c r="L2605" s="37">
        <v>988</v>
      </c>
      <c r="P2605" s="37">
        <v>850</v>
      </c>
      <c r="R2605" s="50" t="s">
        <v>1858</v>
      </c>
      <c r="S2605" s="50" t="s">
        <v>1843</v>
      </c>
      <c r="U2605" s="50" t="s">
        <v>2768</v>
      </c>
      <c r="V2605" s="50" t="s">
        <v>1379</v>
      </c>
      <c r="W2605" s="50" t="s">
        <v>1715</v>
      </c>
      <c r="X2605" s="50" t="s">
        <v>1379</v>
      </c>
      <c r="Y2605" s="50" t="s">
        <v>1417</v>
      </c>
      <c r="AA2605" s="330">
        <v>44</v>
      </c>
      <c r="AB2605" s="330">
        <f t="shared" ref="AB2605:AB2636" si="375">100-44-50</f>
        <v>6</v>
      </c>
      <c r="AC2605" s="37" t="s">
        <v>796</v>
      </c>
      <c r="AD2605" s="37">
        <v>5.6</v>
      </c>
      <c r="AE2605" s="37">
        <v>0.9</v>
      </c>
      <c r="AG2605" s="37" t="s">
        <v>2769</v>
      </c>
      <c r="AH2605" s="37" t="s">
        <v>2770</v>
      </c>
      <c r="AI2605" s="37" t="s">
        <v>577</v>
      </c>
      <c r="AJ2605" s="37" t="s">
        <v>1601</v>
      </c>
      <c r="AK2605" s="37" t="s">
        <v>1601</v>
      </c>
      <c r="AT2605" s="37" t="s">
        <v>2778</v>
      </c>
      <c r="AU2605" s="37" t="s">
        <v>2779</v>
      </c>
      <c r="AW2605" s="37" t="s">
        <v>2780</v>
      </c>
      <c r="AX2605" s="37">
        <v>3</v>
      </c>
      <c r="AZ2605" s="37" t="s">
        <v>141</v>
      </c>
      <c r="BK2605" s="37">
        <v>600</v>
      </c>
      <c r="BL2605" s="37">
        <v>1800</v>
      </c>
      <c r="BO2605" s="37" t="s">
        <v>2781</v>
      </c>
      <c r="CE2605" s="559"/>
      <c r="CF2605" s="559"/>
      <c r="CG2605" s="556"/>
      <c r="CH2605" s="556"/>
      <c r="CJ2605" s="37">
        <v>8.8000000000000007</v>
      </c>
      <c r="CK2605" s="37">
        <v>12.8</v>
      </c>
      <c r="CN2605" s="37" t="s">
        <v>2776</v>
      </c>
      <c r="EC2605" s="37">
        <f>AVERAGE(EC2633,EC2640,EC2647,EC2654)</f>
        <v>2.3250000000000002</v>
      </c>
      <c r="ED2605" s="37">
        <f>AVERAGE(ED2633,ED2640,ED2647,ED2654)</f>
        <v>1.85</v>
      </c>
      <c r="EH2605" s="37">
        <v>5.9</v>
      </c>
      <c r="EI2605" s="37">
        <v>9.5</v>
      </c>
      <c r="EL2605" s="37" t="s">
        <v>932</v>
      </c>
    </row>
    <row r="2606" spans="1:264" x14ac:dyDescent="0.25">
      <c r="A2606" s="37">
        <v>123</v>
      </c>
      <c r="B2606" s="50" t="s">
        <v>4339</v>
      </c>
      <c r="C2606" s="37" t="s">
        <v>2765</v>
      </c>
      <c r="D2606" s="37" t="s">
        <v>2764</v>
      </c>
      <c r="E2606" s="37">
        <v>2003</v>
      </c>
      <c r="F2606" s="37">
        <v>2000</v>
      </c>
      <c r="G2606" s="37" t="s">
        <v>2766</v>
      </c>
      <c r="H2606" s="37" t="s">
        <v>2767</v>
      </c>
      <c r="I2606" s="37" t="s">
        <v>2829</v>
      </c>
      <c r="J2606" s="37">
        <f t="shared" si="374"/>
        <v>-14.25</v>
      </c>
      <c r="K2606" s="37">
        <v>32</v>
      </c>
      <c r="L2606" s="37">
        <v>988</v>
      </c>
      <c r="P2606" s="37">
        <v>850</v>
      </c>
      <c r="R2606" s="50" t="s">
        <v>1858</v>
      </c>
      <c r="S2606" s="50" t="s">
        <v>1843</v>
      </c>
      <c r="U2606" s="50" t="s">
        <v>2768</v>
      </c>
      <c r="V2606" s="50" t="s">
        <v>1379</v>
      </c>
      <c r="W2606" s="50" t="s">
        <v>1715</v>
      </c>
      <c r="X2606" s="50" t="s">
        <v>1379</v>
      </c>
      <c r="Y2606" s="50" t="s">
        <v>1417</v>
      </c>
      <c r="AA2606" s="330">
        <v>44</v>
      </c>
      <c r="AB2606" s="330">
        <f t="shared" si="375"/>
        <v>6</v>
      </c>
      <c r="AC2606" s="37" t="s">
        <v>796</v>
      </c>
      <c r="AD2606" s="37">
        <v>5.6</v>
      </c>
      <c r="AE2606" s="37">
        <v>0.9</v>
      </c>
      <c r="AG2606" s="37" t="s">
        <v>2769</v>
      </c>
      <c r="AH2606" s="37" t="s">
        <v>2697</v>
      </c>
      <c r="AI2606" s="37" t="s">
        <v>577</v>
      </c>
      <c r="AJ2606" s="37" t="s">
        <v>1601</v>
      </c>
      <c r="AK2606" s="37" t="s">
        <v>1601</v>
      </c>
      <c r="AT2606" s="37" t="s">
        <v>2778</v>
      </c>
      <c r="AU2606" s="37" t="s">
        <v>2779</v>
      </c>
      <c r="AW2606" s="37" t="s">
        <v>2780</v>
      </c>
      <c r="AX2606" s="37">
        <v>3</v>
      </c>
      <c r="AZ2606" s="37" t="s">
        <v>141</v>
      </c>
      <c r="BB2606" s="37">
        <v>2200</v>
      </c>
      <c r="BC2606" s="37">
        <f>BB2606/72.1</f>
        <v>30.513176144244106</v>
      </c>
      <c r="BK2606" s="37">
        <v>600</v>
      </c>
      <c r="BL2606" s="37">
        <v>1300</v>
      </c>
      <c r="BO2606" s="37" t="s">
        <v>2781</v>
      </c>
      <c r="CE2606" s="559"/>
      <c r="CF2606" s="559"/>
      <c r="CG2606" s="556"/>
      <c r="CH2606" s="556"/>
      <c r="CJ2606" s="37">
        <v>8.8000000000000007</v>
      </c>
      <c r="CK2606" s="37">
        <v>14</v>
      </c>
      <c r="CN2606" s="37" t="s">
        <v>2776</v>
      </c>
      <c r="EC2606" s="37">
        <f t="shared" ref="EC2606:ED2611" si="376">AVERAGE(EC2634,EC2641,EC2648,EC2655)</f>
        <v>2.3250000000000002</v>
      </c>
      <c r="ED2606" s="37">
        <f t="shared" si="376"/>
        <v>1.7</v>
      </c>
      <c r="EH2606" s="37">
        <v>5.9</v>
      </c>
      <c r="EI2606" s="37">
        <v>4.4000000000000004</v>
      </c>
      <c r="EL2606" s="37" t="s">
        <v>932</v>
      </c>
    </row>
    <row r="2607" spans="1:264" x14ac:dyDescent="0.25">
      <c r="A2607" s="37">
        <v>123</v>
      </c>
      <c r="B2607" s="50" t="s">
        <v>4339</v>
      </c>
      <c r="C2607" s="37" t="s">
        <v>2765</v>
      </c>
      <c r="D2607" s="37" t="s">
        <v>2764</v>
      </c>
      <c r="E2607" s="37">
        <v>2003</v>
      </c>
      <c r="F2607" s="37">
        <v>2000</v>
      </c>
      <c r="G2607" s="37" t="s">
        <v>2766</v>
      </c>
      <c r="H2607" s="37" t="s">
        <v>2767</v>
      </c>
      <c r="I2607" s="37" t="s">
        <v>2829</v>
      </c>
      <c r="J2607" s="37">
        <f t="shared" si="374"/>
        <v>-14.25</v>
      </c>
      <c r="K2607" s="37">
        <v>32</v>
      </c>
      <c r="L2607" s="37">
        <v>988</v>
      </c>
      <c r="P2607" s="37">
        <v>850</v>
      </c>
      <c r="R2607" s="50" t="s">
        <v>1858</v>
      </c>
      <c r="S2607" s="50" t="s">
        <v>1843</v>
      </c>
      <c r="U2607" s="50" t="s">
        <v>2768</v>
      </c>
      <c r="V2607" s="50" t="s">
        <v>1379</v>
      </c>
      <c r="W2607" s="50" t="s">
        <v>1715</v>
      </c>
      <c r="X2607" s="50" t="s">
        <v>1379</v>
      </c>
      <c r="Y2607" s="50" t="s">
        <v>1417</v>
      </c>
      <c r="AA2607" s="330">
        <v>44</v>
      </c>
      <c r="AB2607" s="330">
        <f t="shared" si="375"/>
        <v>6</v>
      </c>
      <c r="AC2607" s="37" t="s">
        <v>796</v>
      </c>
      <c r="AD2607" s="37">
        <v>5.6</v>
      </c>
      <c r="AE2607" s="37">
        <v>0.9</v>
      </c>
      <c r="AG2607" s="37" t="s">
        <v>2769</v>
      </c>
      <c r="AH2607" s="37" t="s">
        <v>2771</v>
      </c>
      <c r="AI2607" s="37" t="s">
        <v>577</v>
      </c>
      <c r="AJ2607" s="37" t="s">
        <v>1601</v>
      </c>
      <c r="AK2607" s="37" t="s">
        <v>1601</v>
      </c>
      <c r="AT2607" s="37" t="s">
        <v>2778</v>
      </c>
      <c r="AU2607" s="37" t="s">
        <v>2779</v>
      </c>
      <c r="AW2607" s="37" t="s">
        <v>2780</v>
      </c>
      <c r="AX2607" s="37">
        <v>3</v>
      </c>
      <c r="AZ2607" s="37" t="s">
        <v>141</v>
      </c>
      <c r="BB2607" s="37">
        <v>800</v>
      </c>
      <c r="BC2607" s="37">
        <f>BB2607/28.9</f>
        <v>27.681660899653981</v>
      </c>
      <c r="BK2607" s="37">
        <v>600</v>
      </c>
      <c r="BL2607" s="37">
        <v>1000</v>
      </c>
      <c r="BO2607" s="37" t="s">
        <v>2781</v>
      </c>
      <c r="CE2607" s="559"/>
      <c r="CF2607" s="559"/>
      <c r="CG2607" s="556"/>
      <c r="CH2607" s="556"/>
      <c r="CJ2607" s="37">
        <v>8.8000000000000007</v>
      </c>
      <c r="CK2607" s="37">
        <v>8.1</v>
      </c>
      <c r="CN2607" s="37" t="s">
        <v>2776</v>
      </c>
      <c r="EC2607" s="37">
        <f t="shared" si="376"/>
        <v>2.3250000000000002</v>
      </c>
      <c r="ED2607" s="37">
        <f t="shared" si="376"/>
        <v>2</v>
      </c>
      <c r="EH2607" s="37">
        <v>5.9</v>
      </c>
      <c r="EI2607" s="37">
        <v>3.7</v>
      </c>
      <c r="EL2607" s="37" t="s">
        <v>932</v>
      </c>
    </row>
    <row r="2608" spans="1:264" x14ac:dyDescent="0.25">
      <c r="A2608" s="37">
        <v>123</v>
      </c>
      <c r="B2608" s="50" t="s">
        <v>4339</v>
      </c>
      <c r="C2608" s="37" t="s">
        <v>2765</v>
      </c>
      <c r="D2608" s="37" t="s">
        <v>2764</v>
      </c>
      <c r="E2608" s="37">
        <v>2003</v>
      </c>
      <c r="F2608" s="37">
        <v>2000</v>
      </c>
      <c r="G2608" s="37" t="s">
        <v>2766</v>
      </c>
      <c r="H2608" s="37" t="s">
        <v>2767</v>
      </c>
      <c r="I2608" s="37" t="s">
        <v>2829</v>
      </c>
      <c r="J2608" s="37">
        <f t="shared" si="374"/>
        <v>-14.25</v>
      </c>
      <c r="K2608" s="37">
        <v>32</v>
      </c>
      <c r="L2608" s="37">
        <v>988</v>
      </c>
      <c r="P2608" s="37">
        <v>850</v>
      </c>
      <c r="R2608" s="50" t="s">
        <v>1858</v>
      </c>
      <c r="S2608" s="50" t="s">
        <v>1843</v>
      </c>
      <c r="U2608" s="50" t="s">
        <v>2768</v>
      </c>
      <c r="V2608" s="50" t="s">
        <v>1379</v>
      </c>
      <c r="W2608" s="50" t="s">
        <v>1715</v>
      </c>
      <c r="X2608" s="50" t="s">
        <v>1379</v>
      </c>
      <c r="Y2608" s="50" t="s">
        <v>1417</v>
      </c>
      <c r="AA2608" s="330">
        <v>44</v>
      </c>
      <c r="AB2608" s="330">
        <f t="shared" si="375"/>
        <v>6</v>
      </c>
      <c r="AC2608" s="37" t="s">
        <v>796</v>
      </c>
      <c r="AD2608" s="37">
        <v>5.6</v>
      </c>
      <c r="AE2608" s="37">
        <v>0.9</v>
      </c>
      <c r="AG2608" s="37" t="s">
        <v>2769</v>
      </c>
      <c r="AH2608" s="37" t="s">
        <v>2774</v>
      </c>
      <c r="AI2608" s="37" t="s">
        <v>577</v>
      </c>
      <c r="AJ2608" s="37" t="s">
        <v>1601</v>
      </c>
      <c r="AK2608" s="37" t="s">
        <v>1601</v>
      </c>
      <c r="AT2608" s="37" t="s">
        <v>2778</v>
      </c>
      <c r="AU2608" s="37" t="s">
        <v>2779</v>
      </c>
      <c r="AW2608" s="37" t="s">
        <v>2780</v>
      </c>
      <c r="AX2608" s="37">
        <v>3</v>
      </c>
      <c r="AZ2608" s="37" t="s">
        <v>141</v>
      </c>
      <c r="BB2608" s="37">
        <v>1700</v>
      </c>
      <c r="BC2608" s="37">
        <f>BB2608/52.8</f>
        <v>32.196969696969695</v>
      </c>
      <c r="BK2608" s="37">
        <v>600</v>
      </c>
      <c r="BL2608" s="37">
        <v>800</v>
      </c>
      <c r="BO2608" s="37" t="s">
        <v>2781</v>
      </c>
      <c r="CE2608" s="559"/>
      <c r="CF2608" s="559"/>
      <c r="CG2608" s="556"/>
      <c r="CH2608" s="556"/>
      <c r="CJ2608" s="37">
        <v>8.8000000000000007</v>
      </c>
      <c r="CK2608" s="37">
        <v>7.1</v>
      </c>
      <c r="CN2608" s="37" t="s">
        <v>2776</v>
      </c>
      <c r="EC2608" s="37">
        <f t="shared" si="376"/>
        <v>2.3250000000000002</v>
      </c>
      <c r="ED2608" s="37">
        <f t="shared" si="376"/>
        <v>2.15</v>
      </c>
      <c r="EH2608" s="37">
        <v>5.9</v>
      </c>
      <c r="EI2608" s="37">
        <v>5.5</v>
      </c>
      <c r="EL2608" s="37" t="s">
        <v>932</v>
      </c>
    </row>
    <row r="2609" spans="1:264" x14ac:dyDescent="0.25">
      <c r="A2609" s="37">
        <v>123</v>
      </c>
      <c r="B2609" s="50" t="s">
        <v>4340</v>
      </c>
      <c r="C2609" s="37" t="s">
        <v>2765</v>
      </c>
      <c r="D2609" s="37" t="s">
        <v>2764</v>
      </c>
      <c r="E2609" s="37">
        <v>2003</v>
      </c>
      <c r="F2609" s="37">
        <v>2000</v>
      </c>
      <c r="G2609" s="37" t="s">
        <v>2766</v>
      </c>
      <c r="H2609" s="37" t="s">
        <v>2767</v>
      </c>
      <c r="I2609" s="37" t="s">
        <v>2829</v>
      </c>
      <c r="J2609" s="37">
        <f t="shared" si="374"/>
        <v>-14.25</v>
      </c>
      <c r="K2609" s="37">
        <v>32</v>
      </c>
      <c r="L2609" s="37">
        <v>988</v>
      </c>
      <c r="P2609" s="37">
        <v>850</v>
      </c>
      <c r="R2609" s="50" t="s">
        <v>1858</v>
      </c>
      <c r="S2609" s="50" t="s">
        <v>1843</v>
      </c>
      <c r="U2609" s="50" t="s">
        <v>2768</v>
      </c>
      <c r="V2609" s="50" t="s">
        <v>1379</v>
      </c>
      <c r="W2609" s="50" t="s">
        <v>1715</v>
      </c>
      <c r="X2609" s="50" t="s">
        <v>1379</v>
      </c>
      <c r="Y2609" s="50" t="s">
        <v>1417</v>
      </c>
      <c r="AA2609" s="330">
        <v>44</v>
      </c>
      <c r="AB2609" s="330">
        <f t="shared" si="375"/>
        <v>6</v>
      </c>
      <c r="AC2609" s="37" t="s">
        <v>796</v>
      </c>
      <c r="AD2609" s="37">
        <v>5.6</v>
      </c>
      <c r="AE2609" s="37">
        <v>0.9</v>
      </c>
      <c r="AG2609" s="37" t="s">
        <v>2769</v>
      </c>
      <c r="AH2609" s="37" t="s">
        <v>2772</v>
      </c>
      <c r="AI2609" s="37" t="s">
        <v>1583</v>
      </c>
      <c r="AJ2609" s="37" t="s">
        <v>1601</v>
      </c>
      <c r="AK2609" s="37" t="s">
        <v>1601</v>
      </c>
      <c r="AT2609" s="37" t="s">
        <v>2778</v>
      </c>
      <c r="AU2609" s="37" t="s">
        <v>2779</v>
      </c>
      <c r="AW2609" s="37" t="s">
        <v>2780</v>
      </c>
      <c r="AX2609" s="37">
        <v>3</v>
      </c>
      <c r="AZ2609" s="37" t="s">
        <v>141</v>
      </c>
      <c r="BB2609" s="37">
        <v>3900</v>
      </c>
      <c r="BC2609" s="37">
        <f>BB2609/125.1</f>
        <v>31.175059952038371</v>
      </c>
      <c r="BK2609" s="37">
        <v>600</v>
      </c>
      <c r="BL2609" s="37">
        <v>2400</v>
      </c>
      <c r="BO2609" s="37" t="s">
        <v>2781</v>
      </c>
      <c r="CE2609" s="559"/>
      <c r="CF2609" s="559"/>
      <c r="CG2609" s="556"/>
      <c r="CH2609" s="556"/>
      <c r="CJ2609" s="37">
        <v>8.8000000000000007</v>
      </c>
      <c r="CK2609" s="37">
        <v>11.7</v>
      </c>
      <c r="CN2609" s="37" t="s">
        <v>2776</v>
      </c>
      <c r="EC2609" s="37">
        <f t="shared" si="376"/>
        <v>2.3250000000000002</v>
      </c>
      <c r="ED2609" s="37">
        <f t="shared" si="376"/>
        <v>1.5249999999999999</v>
      </c>
      <c r="EH2609" s="37">
        <v>5.9</v>
      </c>
      <c r="EI2609" s="37">
        <v>7.1</v>
      </c>
      <c r="EL2609" s="37" t="s">
        <v>932</v>
      </c>
    </row>
    <row r="2610" spans="1:264" x14ac:dyDescent="0.25">
      <c r="A2610" s="37">
        <v>123</v>
      </c>
      <c r="B2610" s="50" t="s">
        <v>4340</v>
      </c>
      <c r="C2610" s="37" t="s">
        <v>2765</v>
      </c>
      <c r="D2610" s="37" t="s">
        <v>2764</v>
      </c>
      <c r="E2610" s="37">
        <v>2003</v>
      </c>
      <c r="F2610" s="37">
        <v>2000</v>
      </c>
      <c r="G2610" s="37" t="s">
        <v>2766</v>
      </c>
      <c r="H2610" s="37" t="s">
        <v>2767</v>
      </c>
      <c r="I2610" s="37" t="s">
        <v>2829</v>
      </c>
      <c r="J2610" s="37">
        <f t="shared" si="374"/>
        <v>-14.25</v>
      </c>
      <c r="K2610" s="37">
        <v>32</v>
      </c>
      <c r="L2610" s="37">
        <v>988</v>
      </c>
      <c r="P2610" s="37">
        <v>850</v>
      </c>
      <c r="R2610" s="50" t="s">
        <v>1858</v>
      </c>
      <c r="S2610" s="50" t="s">
        <v>1843</v>
      </c>
      <c r="U2610" s="50" t="s">
        <v>2768</v>
      </c>
      <c r="V2610" s="50" t="s">
        <v>1379</v>
      </c>
      <c r="W2610" s="50" t="s">
        <v>1715</v>
      </c>
      <c r="X2610" s="50" t="s">
        <v>1379</v>
      </c>
      <c r="Y2610" s="50" t="s">
        <v>1417</v>
      </c>
      <c r="AA2610" s="330">
        <v>44</v>
      </c>
      <c r="AB2610" s="330">
        <f t="shared" si="375"/>
        <v>6</v>
      </c>
      <c r="AC2610" s="37" t="s">
        <v>796</v>
      </c>
      <c r="AD2610" s="37">
        <v>5.6</v>
      </c>
      <c r="AE2610" s="37">
        <v>0.9</v>
      </c>
      <c r="AG2610" s="37" t="s">
        <v>2769</v>
      </c>
      <c r="AH2610" s="37" t="s">
        <v>2773</v>
      </c>
      <c r="AI2610" s="37" t="s">
        <v>1583</v>
      </c>
      <c r="AJ2610" s="37" t="s">
        <v>1601</v>
      </c>
      <c r="AK2610" s="37" t="s">
        <v>1601</v>
      </c>
      <c r="AT2610" s="37" t="s">
        <v>2778</v>
      </c>
      <c r="AU2610" s="37" t="s">
        <v>2779</v>
      </c>
      <c r="AW2610" s="37" t="s">
        <v>2780</v>
      </c>
      <c r="AX2610" s="37">
        <v>3</v>
      </c>
      <c r="AZ2610" s="37" t="s">
        <v>141</v>
      </c>
      <c r="BB2610" s="37">
        <v>1100</v>
      </c>
      <c r="BC2610" s="37">
        <f>BB2610/37.9</f>
        <v>29.023746701846967</v>
      </c>
      <c r="BK2610" s="37">
        <v>600</v>
      </c>
      <c r="BL2610" s="37">
        <v>1900</v>
      </c>
      <c r="BO2610" s="37" t="s">
        <v>2781</v>
      </c>
      <c r="CE2610" s="559"/>
      <c r="CF2610" s="559"/>
      <c r="CG2610" s="556"/>
      <c r="CH2610" s="556"/>
      <c r="CJ2610" s="37">
        <v>8.8000000000000007</v>
      </c>
      <c r="CK2610" s="37">
        <v>10.9</v>
      </c>
      <c r="CN2610" s="37" t="s">
        <v>2776</v>
      </c>
      <c r="EC2610" s="37">
        <f t="shared" si="376"/>
        <v>2.3250000000000002</v>
      </c>
      <c r="ED2610" s="37">
        <f t="shared" si="376"/>
        <v>1.8</v>
      </c>
      <c r="EH2610" s="37">
        <v>5.9</v>
      </c>
      <c r="EI2610" s="37">
        <v>11.9</v>
      </c>
      <c r="EL2610" s="37" t="s">
        <v>932</v>
      </c>
    </row>
    <row r="2611" spans="1:264" x14ac:dyDescent="0.25">
      <c r="A2611" s="37">
        <v>123</v>
      </c>
      <c r="B2611" s="50" t="s">
        <v>4340</v>
      </c>
      <c r="C2611" s="37" t="s">
        <v>2765</v>
      </c>
      <c r="D2611" s="37" t="s">
        <v>2764</v>
      </c>
      <c r="E2611" s="37">
        <v>2003</v>
      </c>
      <c r="F2611" s="37">
        <v>2000</v>
      </c>
      <c r="G2611" s="37" t="s">
        <v>2766</v>
      </c>
      <c r="H2611" s="37" t="s">
        <v>2767</v>
      </c>
      <c r="I2611" s="37" t="s">
        <v>2829</v>
      </c>
      <c r="J2611" s="37">
        <f t="shared" si="374"/>
        <v>-14.25</v>
      </c>
      <c r="K2611" s="37">
        <v>32</v>
      </c>
      <c r="L2611" s="37">
        <v>988</v>
      </c>
      <c r="P2611" s="37">
        <v>850</v>
      </c>
      <c r="R2611" s="50" t="s">
        <v>1858</v>
      </c>
      <c r="S2611" s="50" t="s">
        <v>1843</v>
      </c>
      <c r="U2611" s="50" t="s">
        <v>2768</v>
      </c>
      <c r="V2611" s="50" t="s">
        <v>1379</v>
      </c>
      <c r="W2611" s="50" t="s">
        <v>1715</v>
      </c>
      <c r="X2611" s="50" t="s">
        <v>1379</v>
      </c>
      <c r="Y2611" s="50" t="s">
        <v>1417</v>
      </c>
      <c r="AA2611" s="330">
        <v>44</v>
      </c>
      <c r="AB2611" s="330">
        <f t="shared" si="375"/>
        <v>6</v>
      </c>
      <c r="AC2611" s="37" t="s">
        <v>796</v>
      </c>
      <c r="AD2611" s="37">
        <v>5.6</v>
      </c>
      <c r="AE2611" s="37">
        <v>0.9</v>
      </c>
      <c r="AG2611" s="37" t="s">
        <v>2769</v>
      </c>
      <c r="AH2611" s="37" t="s">
        <v>2775</v>
      </c>
      <c r="AI2611" s="37" t="s">
        <v>1583</v>
      </c>
      <c r="AJ2611" s="37" t="s">
        <v>1601</v>
      </c>
      <c r="AK2611" s="37" t="s">
        <v>1601</v>
      </c>
      <c r="AT2611" s="37" t="s">
        <v>2778</v>
      </c>
      <c r="AU2611" s="37" t="s">
        <v>2779</v>
      </c>
      <c r="AW2611" s="37" t="s">
        <v>2780</v>
      </c>
      <c r="AX2611" s="37">
        <v>3</v>
      </c>
      <c r="AZ2611" s="37" t="s">
        <v>141</v>
      </c>
      <c r="BB2611" s="37">
        <v>1300</v>
      </c>
      <c r="BC2611" s="37">
        <f>BB2611/41</f>
        <v>31.707317073170731</v>
      </c>
      <c r="BK2611" s="37">
        <v>600</v>
      </c>
      <c r="BL2611" s="37">
        <v>1500</v>
      </c>
      <c r="BO2611" s="37" t="s">
        <v>2781</v>
      </c>
      <c r="CE2611" s="559"/>
      <c r="CF2611" s="559"/>
      <c r="CG2611" s="556"/>
      <c r="CH2611" s="556"/>
      <c r="CJ2611" s="37">
        <v>8.8000000000000007</v>
      </c>
      <c r="CK2611" s="37">
        <v>9.3000000000000007</v>
      </c>
      <c r="CN2611" s="37" t="s">
        <v>2776</v>
      </c>
      <c r="EC2611" s="37">
        <f t="shared" si="376"/>
        <v>2.3250000000000002</v>
      </c>
      <c r="ED2611" s="37">
        <f t="shared" si="376"/>
        <v>1.925</v>
      </c>
      <c r="EH2611" s="37">
        <v>5.9</v>
      </c>
      <c r="EI2611" s="37">
        <v>9.4</v>
      </c>
      <c r="EL2611" s="37" t="s">
        <v>932</v>
      </c>
    </row>
    <row r="2612" spans="1:264" x14ac:dyDescent="0.25">
      <c r="A2612" s="37">
        <v>123</v>
      </c>
      <c r="B2612" s="50" t="s">
        <v>4339</v>
      </c>
      <c r="C2612" s="37" t="s">
        <v>2765</v>
      </c>
      <c r="D2612" s="37" t="s">
        <v>2764</v>
      </c>
      <c r="E2612" s="37">
        <v>2003</v>
      </c>
      <c r="F2612" s="37">
        <v>2000</v>
      </c>
      <c r="G2612" s="37" t="s">
        <v>2766</v>
      </c>
      <c r="H2612" s="37" t="s">
        <v>2767</v>
      </c>
      <c r="I2612" s="37" t="s">
        <v>2829</v>
      </c>
      <c r="J2612" s="37">
        <f t="shared" si="374"/>
        <v>-14.25</v>
      </c>
      <c r="K2612" s="37">
        <v>32</v>
      </c>
      <c r="L2612" s="37">
        <v>988</v>
      </c>
      <c r="P2612" s="37">
        <v>850</v>
      </c>
      <c r="R2612" s="50" t="s">
        <v>1858</v>
      </c>
      <c r="S2612" s="50" t="s">
        <v>1843</v>
      </c>
      <c r="U2612" s="50" t="s">
        <v>2768</v>
      </c>
      <c r="V2612" s="50" t="s">
        <v>1379</v>
      </c>
      <c r="W2612" s="50" t="s">
        <v>1715</v>
      </c>
      <c r="X2612" s="50" t="s">
        <v>1379</v>
      </c>
      <c r="Y2612" s="50" t="s">
        <v>1417</v>
      </c>
      <c r="AA2612" s="330">
        <v>44</v>
      </c>
      <c r="AB2612" s="330">
        <f t="shared" si="375"/>
        <v>6</v>
      </c>
      <c r="AC2612" s="37" t="s">
        <v>796</v>
      </c>
      <c r="AD2612" s="37">
        <v>5.6</v>
      </c>
      <c r="AE2612" s="37">
        <v>0.9</v>
      </c>
      <c r="AG2612" s="37" t="s">
        <v>2769</v>
      </c>
      <c r="AH2612" s="37" t="s">
        <v>2770</v>
      </c>
      <c r="AI2612" s="37" t="s">
        <v>577</v>
      </c>
      <c r="AJ2612" s="37" t="s">
        <v>1601</v>
      </c>
      <c r="AK2612" s="37" t="s">
        <v>1601</v>
      </c>
      <c r="AT2612" s="37" t="s">
        <v>2778</v>
      </c>
      <c r="AU2612" s="37" t="s">
        <v>2779</v>
      </c>
      <c r="AW2612" s="37" t="s">
        <v>2780</v>
      </c>
      <c r="AX2612" s="37">
        <v>3</v>
      </c>
      <c r="AZ2612" s="37" t="s">
        <v>141</v>
      </c>
      <c r="CE2612" s="559"/>
      <c r="CF2612" s="559"/>
      <c r="CG2612" s="556"/>
      <c r="CH2612" s="556"/>
      <c r="CJ2612" s="37">
        <v>6.6</v>
      </c>
      <c r="CK2612" s="37">
        <v>9.6</v>
      </c>
      <c r="CN2612" s="37" t="s">
        <v>2777</v>
      </c>
    </row>
    <row r="2613" spans="1:264" x14ac:dyDescent="0.25">
      <c r="A2613" s="37">
        <v>123</v>
      </c>
      <c r="B2613" s="50" t="s">
        <v>4339</v>
      </c>
      <c r="C2613" s="37" t="s">
        <v>2765</v>
      </c>
      <c r="D2613" s="37" t="s">
        <v>2764</v>
      </c>
      <c r="E2613" s="37">
        <v>2003</v>
      </c>
      <c r="F2613" s="37">
        <v>2000</v>
      </c>
      <c r="G2613" s="37" t="s">
        <v>2766</v>
      </c>
      <c r="H2613" s="37" t="s">
        <v>2767</v>
      </c>
      <c r="I2613" s="37" t="s">
        <v>2829</v>
      </c>
      <c r="J2613" s="37">
        <f t="shared" si="374"/>
        <v>-14.25</v>
      </c>
      <c r="K2613" s="37">
        <v>32</v>
      </c>
      <c r="L2613" s="37">
        <v>988</v>
      </c>
      <c r="P2613" s="37">
        <v>850</v>
      </c>
      <c r="R2613" s="50" t="s">
        <v>1858</v>
      </c>
      <c r="S2613" s="50" t="s">
        <v>1843</v>
      </c>
      <c r="U2613" s="50" t="s">
        <v>2768</v>
      </c>
      <c r="V2613" s="50" t="s">
        <v>1379</v>
      </c>
      <c r="W2613" s="50" t="s">
        <v>1715</v>
      </c>
      <c r="X2613" s="50" t="s">
        <v>1379</v>
      </c>
      <c r="Y2613" s="50" t="s">
        <v>1417</v>
      </c>
      <c r="AA2613" s="330">
        <v>44</v>
      </c>
      <c r="AB2613" s="330">
        <f t="shared" si="375"/>
        <v>6</v>
      </c>
      <c r="AC2613" s="37" t="s">
        <v>796</v>
      </c>
      <c r="AD2613" s="37">
        <v>5.6</v>
      </c>
      <c r="AE2613" s="37">
        <v>0.9</v>
      </c>
      <c r="AG2613" s="37" t="s">
        <v>2769</v>
      </c>
      <c r="AH2613" s="37" t="s">
        <v>2697</v>
      </c>
      <c r="AI2613" s="37" t="s">
        <v>577</v>
      </c>
      <c r="AJ2613" s="37" t="s">
        <v>1601</v>
      </c>
      <c r="AK2613" s="37" t="s">
        <v>1601</v>
      </c>
      <c r="AT2613" s="37" t="s">
        <v>2778</v>
      </c>
      <c r="AU2613" s="37" t="s">
        <v>2779</v>
      </c>
      <c r="AW2613" s="37" t="s">
        <v>2780</v>
      </c>
      <c r="AX2613" s="37">
        <v>3</v>
      </c>
      <c r="AZ2613" s="37" t="s">
        <v>141</v>
      </c>
      <c r="CE2613" s="559"/>
      <c r="CF2613" s="559"/>
      <c r="CG2613" s="556"/>
      <c r="CH2613" s="556"/>
      <c r="CJ2613" s="37">
        <v>6.6</v>
      </c>
      <c r="CK2613" s="37">
        <v>21.9</v>
      </c>
      <c r="CN2613" s="37" t="s">
        <v>2777</v>
      </c>
    </row>
    <row r="2614" spans="1:264" x14ac:dyDescent="0.25">
      <c r="A2614" s="37">
        <v>123</v>
      </c>
      <c r="B2614" s="50" t="s">
        <v>4339</v>
      </c>
      <c r="C2614" s="37" t="s">
        <v>2765</v>
      </c>
      <c r="D2614" s="37" t="s">
        <v>2764</v>
      </c>
      <c r="E2614" s="37">
        <v>2003</v>
      </c>
      <c r="F2614" s="37">
        <v>2000</v>
      </c>
      <c r="G2614" s="37" t="s">
        <v>2766</v>
      </c>
      <c r="H2614" s="37" t="s">
        <v>2767</v>
      </c>
      <c r="I2614" s="37" t="s">
        <v>2829</v>
      </c>
      <c r="J2614" s="37">
        <f t="shared" si="374"/>
        <v>-14.25</v>
      </c>
      <c r="K2614" s="37">
        <v>32</v>
      </c>
      <c r="L2614" s="37">
        <v>988</v>
      </c>
      <c r="P2614" s="37">
        <v>850</v>
      </c>
      <c r="R2614" s="50" t="s">
        <v>1858</v>
      </c>
      <c r="S2614" s="50" t="s">
        <v>1843</v>
      </c>
      <c r="U2614" s="50" t="s">
        <v>2768</v>
      </c>
      <c r="V2614" s="50" t="s">
        <v>1379</v>
      </c>
      <c r="W2614" s="50" t="s">
        <v>1715</v>
      </c>
      <c r="X2614" s="50" t="s">
        <v>1379</v>
      </c>
      <c r="Y2614" s="50" t="s">
        <v>1417</v>
      </c>
      <c r="AA2614" s="330">
        <v>44</v>
      </c>
      <c r="AB2614" s="330">
        <f t="shared" si="375"/>
        <v>6</v>
      </c>
      <c r="AC2614" s="37" t="s">
        <v>796</v>
      </c>
      <c r="AD2614" s="37">
        <v>5.6</v>
      </c>
      <c r="AE2614" s="37">
        <v>0.9</v>
      </c>
      <c r="AG2614" s="37" t="s">
        <v>2769</v>
      </c>
      <c r="AH2614" s="37" t="s">
        <v>2771</v>
      </c>
      <c r="AI2614" s="37" t="s">
        <v>577</v>
      </c>
      <c r="AJ2614" s="37" t="s">
        <v>1601</v>
      </c>
      <c r="AK2614" s="37" t="s">
        <v>1601</v>
      </c>
      <c r="AT2614" s="37" t="s">
        <v>2778</v>
      </c>
      <c r="AU2614" s="37" t="s">
        <v>2779</v>
      </c>
      <c r="AW2614" s="37" t="s">
        <v>2780</v>
      </c>
      <c r="AX2614" s="37">
        <v>3</v>
      </c>
      <c r="AZ2614" s="37" t="s">
        <v>141</v>
      </c>
      <c r="CE2614" s="559"/>
      <c r="CF2614" s="559"/>
      <c r="CG2614" s="556"/>
      <c r="CH2614" s="556"/>
      <c r="CJ2614" s="37">
        <v>6.6</v>
      </c>
      <c r="CK2614" s="37">
        <v>6.5</v>
      </c>
      <c r="CN2614" s="37" t="s">
        <v>2777</v>
      </c>
    </row>
    <row r="2615" spans="1:264" x14ac:dyDescent="0.25">
      <c r="A2615" s="37">
        <v>123</v>
      </c>
      <c r="B2615" s="50" t="s">
        <v>4339</v>
      </c>
      <c r="C2615" s="37" t="s">
        <v>2765</v>
      </c>
      <c r="D2615" s="37" t="s">
        <v>2764</v>
      </c>
      <c r="E2615" s="37">
        <v>2003</v>
      </c>
      <c r="F2615" s="37">
        <v>2000</v>
      </c>
      <c r="G2615" s="37" t="s">
        <v>2766</v>
      </c>
      <c r="H2615" s="37" t="s">
        <v>2767</v>
      </c>
      <c r="I2615" s="37" t="s">
        <v>2829</v>
      </c>
      <c r="J2615" s="37">
        <f t="shared" si="374"/>
        <v>-14.25</v>
      </c>
      <c r="K2615" s="37">
        <v>32</v>
      </c>
      <c r="L2615" s="37">
        <v>988</v>
      </c>
      <c r="P2615" s="37">
        <v>850</v>
      </c>
      <c r="R2615" s="50" t="s">
        <v>1858</v>
      </c>
      <c r="S2615" s="50" t="s">
        <v>1843</v>
      </c>
      <c r="U2615" s="50" t="s">
        <v>2768</v>
      </c>
      <c r="V2615" s="50" t="s">
        <v>1379</v>
      </c>
      <c r="W2615" s="50" t="s">
        <v>1715</v>
      </c>
      <c r="X2615" s="50" t="s">
        <v>1379</v>
      </c>
      <c r="Y2615" s="50" t="s">
        <v>1417</v>
      </c>
      <c r="AA2615" s="330">
        <v>44</v>
      </c>
      <c r="AB2615" s="330">
        <f t="shared" si="375"/>
        <v>6</v>
      </c>
      <c r="AC2615" s="37" t="s">
        <v>796</v>
      </c>
      <c r="AD2615" s="37">
        <v>5.6</v>
      </c>
      <c r="AE2615" s="37">
        <v>0.9</v>
      </c>
      <c r="AG2615" s="37" t="s">
        <v>2769</v>
      </c>
      <c r="AH2615" s="37" t="s">
        <v>2774</v>
      </c>
      <c r="AI2615" s="37" t="s">
        <v>577</v>
      </c>
      <c r="AJ2615" s="37" t="s">
        <v>1601</v>
      </c>
      <c r="AK2615" s="37" t="s">
        <v>1601</v>
      </c>
      <c r="AT2615" s="37" t="s">
        <v>2778</v>
      </c>
      <c r="AU2615" s="37" t="s">
        <v>2779</v>
      </c>
      <c r="AW2615" s="37" t="s">
        <v>2780</v>
      </c>
      <c r="AX2615" s="37">
        <v>3</v>
      </c>
      <c r="AZ2615" s="37" t="s">
        <v>141</v>
      </c>
      <c r="CE2615" s="559"/>
      <c r="CF2615" s="559"/>
      <c r="CG2615" s="556"/>
      <c r="CH2615" s="556"/>
      <c r="CJ2615" s="37">
        <v>6.6</v>
      </c>
      <c r="CK2615" s="37">
        <v>8.1999999999999993</v>
      </c>
      <c r="CN2615" s="37" t="s">
        <v>2777</v>
      </c>
    </row>
    <row r="2616" spans="1:264" x14ac:dyDescent="0.25">
      <c r="A2616" s="37">
        <v>123</v>
      </c>
      <c r="B2616" s="50" t="s">
        <v>4340</v>
      </c>
      <c r="C2616" s="37" t="s">
        <v>2765</v>
      </c>
      <c r="D2616" s="37" t="s">
        <v>2764</v>
      </c>
      <c r="E2616" s="37">
        <v>2003</v>
      </c>
      <c r="F2616" s="37">
        <v>2000</v>
      </c>
      <c r="G2616" s="37" t="s">
        <v>2766</v>
      </c>
      <c r="H2616" s="37" t="s">
        <v>2767</v>
      </c>
      <c r="I2616" s="37" t="s">
        <v>2829</v>
      </c>
      <c r="J2616" s="37">
        <f t="shared" si="374"/>
        <v>-14.25</v>
      </c>
      <c r="K2616" s="37">
        <v>32</v>
      </c>
      <c r="L2616" s="37">
        <v>988</v>
      </c>
      <c r="P2616" s="37">
        <v>850</v>
      </c>
      <c r="R2616" s="50" t="s">
        <v>1858</v>
      </c>
      <c r="S2616" s="50" t="s">
        <v>1843</v>
      </c>
      <c r="U2616" s="50" t="s">
        <v>2768</v>
      </c>
      <c r="V2616" s="50" t="s">
        <v>1379</v>
      </c>
      <c r="W2616" s="50" t="s">
        <v>1715</v>
      </c>
      <c r="X2616" s="50" t="s">
        <v>1379</v>
      </c>
      <c r="Y2616" s="50" t="s">
        <v>1417</v>
      </c>
      <c r="AA2616" s="330">
        <v>44</v>
      </c>
      <c r="AB2616" s="330">
        <f t="shared" si="375"/>
        <v>6</v>
      </c>
      <c r="AC2616" s="37" t="s">
        <v>796</v>
      </c>
      <c r="AD2616" s="37">
        <v>5.6</v>
      </c>
      <c r="AE2616" s="37">
        <v>0.9</v>
      </c>
      <c r="AG2616" s="37" t="s">
        <v>2769</v>
      </c>
      <c r="AH2616" s="37" t="s">
        <v>2772</v>
      </c>
      <c r="AI2616" s="37" t="s">
        <v>1583</v>
      </c>
      <c r="AJ2616" s="37" t="s">
        <v>1601</v>
      </c>
      <c r="AK2616" s="37" t="s">
        <v>1601</v>
      </c>
      <c r="AT2616" s="37" t="s">
        <v>2778</v>
      </c>
      <c r="AU2616" s="37" t="s">
        <v>2779</v>
      </c>
      <c r="AW2616" s="37" t="s">
        <v>2780</v>
      </c>
      <c r="AX2616" s="37">
        <v>3</v>
      </c>
      <c r="AZ2616" s="37" t="s">
        <v>141</v>
      </c>
      <c r="CE2616" s="559"/>
      <c r="CF2616" s="559"/>
      <c r="CG2616" s="556"/>
      <c r="CH2616" s="556"/>
      <c r="CJ2616" s="37">
        <v>6.6</v>
      </c>
      <c r="CK2616" s="37">
        <v>10.199999999999999</v>
      </c>
      <c r="CN2616" s="37" t="s">
        <v>2777</v>
      </c>
    </row>
    <row r="2617" spans="1:264" x14ac:dyDescent="0.25">
      <c r="A2617" s="37">
        <v>123</v>
      </c>
      <c r="B2617" s="50" t="s">
        <v>4340</v>
      </c>
      <c r="C2617" s="37" t="s">
        <v>2765</v>
      </c>
      <c r="D2617" s="37" t="s">
        <v>2764</v>
      </c>
      <c r="E2617" s="37">
        <v>2003</v>
      </c>
      <c r="F2617" s="37">
        <v>2000</v>
      </c>
      <c r="G2617" s="37" t="s">
        <v>2766</v>
      </c>
      <c r="H2617" s="37" t="s">
        <v>2767</v>
      </c>
      <c r="I2617" s="37" t="s">
        <v>2829</v>
      </c>
      <c r="J2617" s="37">
        <f t="shared" si="374"/>
        <v>-14.25</v>
      </c>
      <c r="K2617" s="37">
        <v>32</v>
      </c>
      <c r="L2617" s="37">
        <v>988</v>
      </c>
      <c r="P2617" s="37">
        <v>850</v>
      </c>
      <c r="R2617" s="50" t="s">
        <v>1858</v>
      </c>
      <c r="S2617" s="50" t="s">
        <v>1843</v>
      </c>
      <c r="U2617" s="50" t="s">
        <v>2768</v>
      </c>
      <c r="V2617" s="50" t="s">
        <v>1379</v>
      </c>
      <c r="W2617" s="50" t="s">
        <v>1715</v>
      </c>
      <c r="X2617" s="50" t="s">
        <v>1379</v>
      </c>
      <c r="Y2617" s="50" t="s">
        <v>1417</v>
      </c>
      <c r="AA2617" s="330">
        <v>44</v>
      </c>
      <c r="AB2617" s="330">
        <f t="shared" si="375"/>
        <v>6</v>
      </c>
      <c r="AC2617" s="37" t="s">
        <v>796</v>
      </c>
      <c r="AD2617" s="37">
        <v>5.6</v>
      </c>
      <c r="AE2617" s="37">
        <v>0.9</v>
      </c>
      <c r="AG2617" s="37" t="s">
        <v>2769</v>
      </c>
      <c r="AH2617" s="37" t="s">
        <v>2773</v>
      </c>
      <c r="AI2617" s="37" t="s">
        <v>1583</v>
      </c>
      <c r="AJ2617" s="37" t="s">
        <v>1601</v>
      </c>
      <c r="AK2617" s="37" t="s">
        <v>1601</v>
      </c>
      <c r="AT2617" s="37" t="s">
        <v>2778</v>
      </c>
      <c r="AU2617" s="37" t="s">
        <v>2779</v>
      </c>
      <c r="AW2617" s="37" t="s">
        <v>2780</v>
      </c>
      <c r="AX2617" s="37">
        <v>3</v>
      </c>
      <c r="AZ2617" s="37" t="s">
        <v>141</v>
      </c>
      <c r="CE2617" s="559"/>
      <c r="CF2617" s="559"/>
      <c r="CG2617" s="556"/>
      <c r="CH2617" s="556"/>
      <c r="CJ2617" s="37">
        <v>6.6</v>
      </c>
      <c r="CK2617" s="37">
        <v>17.399999999999999</v>
      </c>
      <c r="CN2617" s="37" t="s">
        <v>2777</v>
      </c>
    </row>
    <row r="2618" spans="1:264" x14ac:dyDescent="0.25">
      <c r="A2618" s="37">
        <v>123</v>
      </c>
      <c r="B2618" s="50" t="s">
        <v>4340</v>
      </c>
      <c r="C2618" s="37" t="s">
        <v>2765</v>
      </c>
      <c r="D2618" s="37" t="s">
        <v>2764</v>
      </c>
      <c r="E2618" s="37">
        <v>2003</v>
      </c>
      <c r="F2618" s="37">
        <v>2000</v>
      </c>
      <c r="G2618" s="37" t="s">
        <v>2766</v>
      </c>
      <c r="H2618" s="37" t="s">
        <v>2767</v>
      </c>
      <c r="I2618" s="37" t="s">
        <v>2829</v>
      </c>
      <c r="J2618" s="37">
        <f t="shared" si="374"/>
        <v>-14.25</v>
      </c>
      <c r="K2618" s="37">
        <v>32</v>
      </c>
      <c r="L2618" s="37">
        <v>988</v>
      </c>
      <c r="P2618" s="37">
        <v>850</v>
      </c>
      <c r="R2618" s="50" t="s">
        <v>1858</v>
      </c>
      <c r="S2618" s="50" t="s">
        <v>1843</v>
      </c>
      <c r="U2618" s="50" t="s">
        <v>2768</v>
      </c>
      <c r="V2618" s="50" t="s">
        <v>1379</v>
      </c>
      <c r="W2618" s="50" t="s">
        <v>1715</v>
      </c>
      <c r="X2618" s="50" t="s">
        <v>1379</v>
      </c>
      <c r="Y2618" s="50" t="s">
        <v>1417</v>
      </c>
      <c r="AA2618" s="330">
        <v>44</v>
      </c>
      <c r="AB2618" s="330">
        <f t="shared" si="375"/>
        <v>6</v>
      </c>
      <c r="AC2618" s="37" t="s">
        <v>796</v>
      </c>
      <c r="AD2618" s="37">
        <v>5.6</v>
      </c>
      <c r="AE2618" s="37">
        <v>0.9</v>
      </c>
      <c r="AG2618" s="37" t="s">
        <v>2769</v>
      </c>
      <c r="AH2618" s="37" t="s">
        <v>2775</v>
      </c>
      <c r="AI2618" s="37" t="s">
        <v>1583</v>
      </c>
      <c r="AJ2618" s="37" t="s">
        <v>1601</v>
      </c>
      <c r="AK2618" s="37" t="s">
        <v>1601</v>
      </c>
      <c r="AT2618" s="37" t="s">
        <v>2778</v>
      </c>
      <c r="AU2618" s="37" t="s">
        <v>2779</v>
      </c>
      <c r="AW2618" s="37" t="s">
        <v>2780</v>
      </c>
      <c r="AX2618" s="37">
        <v>3</v>
      </c>
      <c r="AZ2618" s="37" t="s">
        <v>141</v>
      </c>
      <c r="CE2618" s="559"/>
      <c r="CF2618" s="559"/>
      <c r="CG2618" s="556"/>
      <c r="CH2618" s="556"/>
      <c r="CJ2618" s="37">
        <v>6.6</v>
      </c>
      <c r="CK2618" s="37">
        <v>10.199999999999999</v>
      </c>
      <c r="CN2618" s="37" t="s">
        <v>2777</v>
      </c>
    </row>
    <row r="2619" spans="1:264" s="126" customFormat="1" x14ac:dyDescent="0.25">
      <c r="A2619" s="126">
        <v>123</v>
      </c>
      <c r="B2619" s="478" t="s">
        <v>4339</v>
      </c>
      <c r="C2619" s="126" t="s">
        <v>2765</v>
      </c>
      <c r="D2619" s="126" t="s">
        <v>2764</v>
      </c>
      <c r="E2619" s="126">
        <v>2003</v>
      </c>
      <c r="F2619" s="126">
        <v>2001</v>
      </c>
      <c r="G2619" s="126" t="s">
        <v>2766</v>
      </c>
      <c r="H2619" s="126" t="s">
        <v>2767</v>
      </c>
      <c r="I2619" s="126" t="s">
        <v>2829</v>
      </c>
      <c r="J2619" s="126">
        <f t="shared" si="374"/>
        <v>-14.25</v>
      </c>
      <c r="K2619" s="126">
        <v>32</v>
      </c>
      <c r="L2619" s="126">
        <v>988</v>
      </c>
      <c r="P2619" s="126">
        <v>850</v>
      </c>
      <c r="R2619" s="478" t="s">
        <v>1722</v>
      </c>
      <c r="S2619" s="478" t="s">
        <v>1843</v>
      </c>
      <c r="T2619" s="478"/>
      <c r="U2619" s="478" t="s">
        <v>2768</v>
      </c>
      <c r="V2619" s="478" t="s">
        <v>1379</v>
      </c>
      <c r="W2619" s="478" t="s">
        <v>1715</v>
      </c>
      <c r="X2619" s="478" t="s">
        <v>1379</v>
      </c>
      <c r="Y2619" s="478" t="s">
        <v>1417</v>
      </c>
      <c r="AA2619" s="479">
        <v>44</v>
      </c>
      <c r="AB2619" s="479">
        <f t="shared" si="375"/>
        <v>6</v>
      </c>
      <c r="AC2619" s="126" t="s">
        <v>796</v>
      </c>
      <c r="AD2619" s="126">
        <v>5.6</v>
      </c>
      <c r="AE2619" s="126">
        <v>0.9</v>
      </c>
      <c r="AG2619" s="126" t="s">
        <v>2769</v>
      </c>
      <c r="AH2619" s="126" t="s">
        <v>2770</v>
      </c>
      <c r="AI2619" s="126" t="s">
        <v>577</v>
      </c>
      <c r="AJ2619" s="126" t="s">
        <v>1601</v>
      </c>
      <c r="AK2619" s="126" t="s">
        <v>1601</v>
      </c>
      <c r="AT2619" s="126" t="s">
        <v>2778</v>
      </c>
      <c r="AU2619" s="126" t="s">
        <v>2779</v>
      </c>
      <c r="AW2619" s="126" t="s">
        <v>2780</v>
      </c>
      <c r="AX2619" s="126">
        <v>3</v>
      </c>
      <c r="AZ2619" s="126" t="s">
        <v>141</v>
      </c>
      <c r="BK2619" s="126">
        <v>400</v>
      </c>
      <c r="BL2619" s="126">
        <v>600</v>
      </c>
      <c r="BO2619" s="126" t="s">
        <v>2781</v>
      </c>
      <c r="BP2619" s="481"/>
      <c r="BQ2619" s="481"/>
      <c r="BU2619" s="481"/>
      <c r="BV2619" s="481"/>
      <c r="BZ2619" s="481"/>
      <c r="CA2619" s="481"/>
      <c r="CE2619" s="605"/>
      <c r="CF2619" s="605"/>
      <c r="CG2619" s="605"/>
      <c r="CH2619" s="605"/>
      <c r="CJ2619" s="126">
        <v>9.3000000000000007</v>
      </c>
      <c r="CK2619" s="126">
        <v>12.6</v>
      </c>
      <c r="CN2619" s="37" t="s">
        <v>2776</v>
      </c>
      <c r="JD2619" s="480"/>
    </row>
    <row r="2620" spans="1:264" s="126" customFormat="1" x14ac:dyDescent="0.25">
      <c r="A2620" s="126">
        <v>123</v>
      </c>
      <c r="B2620" s="478" t="s">
        <v>4339</v>
      </c>
      <c r="C2620" s="126" t="s">
        <v>2765</v>
      </c>
      <c r="D2620" s="126" t="s">
        <v>2764</v>
      </c>
      <c r="E2620" s="126">
        <v>2003</v>
      </c>
      <c r="F2620" s="126">
        <v>2001</v>
      </c>
      <c r="G2620" s="126" t="s">
        <v>2766</v>
      </c>
      <c r="H2620" s="126" t="s">
        <v>2767</v>
      </c>
      <c r="I2620" s="126" t="s">
        <v>2829</v>
      </c>
      <c r="J2620" s="126">
        <f t="shared" si="374"/>
        <v>-14.25</v>
      </c>
      <c r="K2620" s="126">
        <v>32</v>
      </c>
      <c r="L2620" s="126">
        <v>988</v>
      </c>
      <c r="P2620" s="126">
        <v>850</v>
      </c>
      <c r="R2620" s="478" t="s">
        <v>1722</v>
      </c>
      <c r="S2620" s="478" t="s">
        <v>1843</v>
      </c>
      <c r="T2620" s="478"/>
      <c r="U2620" s="478" t="s">
        <v>2768</v>
      </c>
      <c r="V2620" s="478" t="s">
        <v>1379</v>
      </c>
      <c r="W2620" s="478" t="s">
        <v>1715</v>
      </c>
      <c r="X2620" s="478" t="s">
        <v>1379</v>
      </c>
      <c r="Y2620" s="478" t="s">
        <v>1417</v>
      </c>
      <c r="AA2620" s="479">
        <v>44</v>
      </c>
      <c r="AB2620" s="479">
        <f t="shared" si="375"/>
        <v>6</v>
      </c>
      <c r="AC2620" s="126" t="s">
        <v>796</v>
      </c>
      <c r="AD2620" s="126">
        <v>5.6</v>
      </c>
      <c r="AE2620" s="126">
        <v>0.9</v>
      </c>
      <c r="AG2620" s="126" t="s">
        <v>2769</v>
      </c>
      <c r="AH2620" s="126" t="s">
        <v>2697</v>
      </c>
      <c r="AI2620" s="126" t="s">
        <v>577</v>
      </c>
      <c r="AJ2620" s="126" t="s">
        <v>1601</v>
      </c>
      <c r="AK2620" s="126" t="s">
        <v>1601</v>
      </c>
      <c r="AT2620" s="126" t="s">
        <v>2778</v>
      </c>
      <c r="AU2620" s="126" t="s">
        <v>2779</v>
      </c>
      <c r="AW2620" s="126" t="s">
        <v>2780</v>
      </c>
      <c r="AX2620" s="126">
        <v>3</v>
      </c>
      <c r="AZ2620" s="126" t="s">
        <v>141</v>
      </c>
      <c r="BB2620" s="126">
        <v>1800</v>
      </c>
      <c r="BC2620" s="126">
        <f>BB2620/60.4</f>
        <v>29.80132450331126</v>
      </c>
      <c r="BK2620" s="126">
        <v>400</v>
      </c>
      <c r="BL2620" s="126">
        <v>700</v>
      </c>
      <c r="BO2620" s="126" t="s">
        <v>2781</v>
      </c>
      <c r="BP2620" s="481"/>
      <c r="BQ2620" s="481"/>
      <c r="BU2620" s="481"/>
      <c r="BV2620" s="481"/>
      <c r="BZ2620" s="481"/>
      <c r="CA2620" s="481"/>
      <c r="CE2620" s="605"/>
      <c r="CF2620" s="605"/>
      <c r="CG2620" s="605"/>
      <c r="CH2620" s="605"/>
      <c r="CJ2620" s="126">
        <v>9.3000000000000007</v>
      </c>
      <c r="CK2620" s="126">
        <v>13.8</v>
      </c>
      <c r="CN2620" s="37" t="s">
        <v>2776</v>
      </c>
      <c r="JD2620" s="480"/>
    </row>
    <row r="2621" spans="1:264" s="126" customFormat="1" x14ac:dyDescent="0.25">
      <c r="A2621" s="126">
        <v>123</v>
      </c>
      <c r="B2621" s="478" t="s">
        <v>4339</v>
      </c>
      <c r="C2621" s="126" t="s">
        <v>2765</v>
      </c>
      <c r="D2621" s="126" t="s">
        <v>2764</v>
      </c>
      <c r="E2621" s="126">
        <v>2003</v>
      </c>
      <c r="F2621" s="126">
        <v>2001</v>
      </c>
      <c r="G2621" s="126" t="s">
        <v>2766</v>
      </c>
      <c r="H2621" s="126" t="s">
        <v>2767</v>
      </c>
      <c r="I2621" s="126" t="s">
        <v>2829</v>
      </c>
      <c r="J2621" s="126">
        <f t="shared" si="374"/>
        <v>-14.25</v>
      </c>
      <c r="K2621" s="126">
        <v>32</v>
      </c>
      <c r="L2621" s="126">
        <v>988</v>
      </c>
      <c r="P2621" s="126">
        <v>850</v>
      </c>
      <c r="R2621" s="478" t="s">
        <v>1722</v>
      </c>
      <c r="S2621" s="478" t="s">
        <v>1843</v>
      </c>
      <c r="T2621" s="478"/>
      <c r="U2621" s="478" t="s">
        <v>2768</v>
      </c>
      <c r="V2621" s="478" t="s">
        <v>1379</v>
      </c>
      <c r="W2621" s="478" t="s">
        <v>1715</v>
      </c>
      <c r="X2621" s="478" t="s">
        <v>1379</v>
      </c>
      <c r="Y2621" s="478" t="s">
        <v>1417</v>
      </c>
      <c r="AA2621" s="479">
        <v>44</v>
      </c>
      <c r="AB2621" s="479">
        <f t="shared" si="375"/>
        <v>6</v>
      </c>
      <c r="AC2621" s="126" t="s">
        <v>796</v>
      </c>
      <c r="AD2621" s="126">
        <v>5.6</v>
      </c>
      <c r="AE2621" s="126">
        <v>0.9</v>
      </c>
      <c r="AG2621" s="126" t="s">
        <v>2769</v>
      </c>
      <c r="AH2621" s="126" t="s">
        <v>2771</v>
      </c>
      <c r="AI2621" s="126" t="s">
        <v>577</v>
      </c>
      <c r="AJ2621" s="126" t="s">
        <v>1601</v>
      </c>
      <c r="AK2621" s="126" t="s">
        <v>1601</v>
      </c>
      <c r="AT2621" s="126" t="s">
        <v>2778</v>
      </c>
      <c r="AU2621" s="126" t="s">
        <v>2779</v>
      </c>
      <c r="AW2621" s="126" t="s">
        <v>2780</v>
      </c>
      <c r="AX2621" s="126">
        <v>3</v>
      </c>
      <c r="AZ2621" s="126" t="s">
        <v>141</v>
      </c>
      <c r="BB2621" s="126">
        <v>400</v>
      </c>
      <c r="BC2621" s="126">
        <f>BB2621/14.3</f>
        <v>27.97202797202797</v>
      </c>
      <c r="BK2621" s="126">
        <v>400</v>
      </c>
      <c r="BL2621" s="126">
        <v>400</v>
      </c>
      <c r="BO2621" s="126" t="s">
        <v>2781</v>
      </c>
      <c r="BP2621" s="481"/>
      <c r="BQ2621" s="481"/>
      <c r="BU2621" s="481"/>
      <c r="BV2621" s="481"/>
      <c r="BZ2621" s="481"/>
      <c r="CA2621" s="481"/>
      <c r="CE2621" s="605"/>
      <c r="CF2621" s="605"/>
      <c r="CG2621" s="605"/>
      <c r="CH2621" s="605"/>
      <c r="CJ2621" s="126">
        <v>9.3000000000000007</v>
      </c>
      <c r="CK2621" s="126">
        <v>11.4</v>
      </c>
      <c r="CN2621" s="37" t="s">
        <v>2776</v>
      </c>
      <c r="JD2621" s="480"/>
    </row>
    <row r="2622" spans="1:264" s="126" customFormat="1" x14ac:dyDescent="0.25">
      <c r="A2622" s="126">
        <v>123</v>
      </c>
      <c r="B2622" s="478" t="s">
        <v>4339</v>
      </c>
      <c r="C2622" s="126" t="s">
        <v>2765</v>
      </c>
      <c r="D2622" s="126" t="s">
        <v>2764</v>
      </c>
      <c r="E2622" s="126">
        <v>2003</v>
      </c>
      <c r="F2622" s="126">
        <v>2001</v>
      </c>
      <c r="G2622" s="126" t="s">
        <v>2766</v>
      </c>
      <c r="H2622" s="126" t="s">
        <v>2767</v>
      </c>
      <c r="I2622" s="126" t="s">
        <v>2829</v>
      </c>
      <c r="J2622" s="126">
        <f t="shared" si="374"/>
        <v>-14.25</v>
      </c>
      <c r="K2622" s="126">
        <v>32</v>
      </c>
      <c r="L2622" s="126">
        <v>988</v>
      </c>
      <c r="P2622" s="126">
        <v>850</v>
      </c>
      <c r="R2622" s="478" t="s">
        <v>1722</v>
      </c>
      <c r="S2622" s="478" t="s">
        <v>1843</v>
      </c>
      <c r="T2622" s="478"/>
      <c r="U2622" s="478" t="s">
        <v>2768</v>
      </c>
      <c r="V2622" s="478" t="s">
        <v>1379</v>
      </c>
      <c r="W2622" s="478" t="s">
        <v>1715</v>
      </c>
      <c r="X2622" s="478" t="s">
        <v>1379</v>
      </c>
      <c r="Y2622" s="478" t="s">
        <v>1417</v>
      </c>
      <c r="AA2622" s="479">
        <v>44</v>
      </c>
      <c r="AB2622" s="479">
        <f t="shared" si="375"/>
        <v>6</v>
      </c>
      <c r="AC2622" s="126" t="s">
        <v>796</v>
      </c>
      <c r="AD2622" s="126">
        <v>5.6</v>
      </c>
      <c r="AE2622" s="126">
        <v>0.9</v>
      </c>
      <c r="AG2622" s="126" t="s">
        <v>2769</v>
      </c>
      <c r="AH2622" s="126" t="s">
        <v>2774</v>
      </c>
      <c r="AI2622" s="126" t="s">
        <v>577</v>
      </c>
      <c r="AJ2622" s="126" t="s">
        <v>1601</v>
      </c>
      <c r="AK2622" s="126" t="s">
        <v>1601</v>
      </c>
      <c r="AT2622" s="126" t="s">
        <v>2778</v>
      </c>
      <c r="AU2622" s="126" t="s">
        <v>2779</v>
      </c>
      <c r="AW2622" s="126" t="s">
        <v>2780</v>
      </c>
      <c r="AX2622" s="126">
        <v>3</v>
      </c>
      <c r="AZ2622" s="126" t="s">
        <v>141</v>
      </c>
      <c r="BB2622" s="126">
        <v>1200</v>
      </c>
      <c r="BC2622" s="126">
        <f>BB2622/38.1</f>
        <v>31.496062992125982</v>
      </c>
      <c r="BK2622" s="126">
        <v>400</v>
      </c>
      <c r="BL2622" s="126">
        <v>400</v>
      </c>
      <c r="BO2622" s="126" t="s">
        <v>2781</v>
      </c>
      <c r="BP2622" s="481"/>
      <c r="BQ2622" s="481"/>
      <c r="BU2622" s="481"/>
      <c r="BV2622" s="481"/>
      <c r="BZ2622" s="481"/>
      <c r="CA2622" s="481"/>
      <c r="CE2622" s="605"/>
      <c r="CF2622" s="605"/>
      <c r="CG2622" s="605"/>
      <c r="CH2622" s="605"/>
      <c r="CJ2622" s="126">
        <v>9.3000000000000007</v>
      </c>
      <c r="CK2622" s="126">
        <v>9.3000000000000007</v>
      </c>
      <c r="CN2622" s="37" t="s">
        <v>2776</v>
      </c>
      <c r="JD2622" s="480"/>
    </row>
    <row r="2623" spans="1:264" s="126" customFormat="1" x14ac:dyDescent="0.25">
      <c r="A2623" s="126">
        <v>123</v>
      </c>
      <c r="B2623" s="478" t="s">
        <v>4340</v>
      </c>
      <c r="C2623" s="126" t="s">
        <v>2765</v>
      </c>
      <c r="D2623" s="126" t="s">
        <v>2764</v>
      </c>
      <c r="E2623" s="126">
        <v>2003</v>
      </c>
      <c r="F2623" s="126">
        <v>2001</v>
      </c>
      <c r="G2623" s="126" t="s">
        <v>2766</v>
      </c>
      <c r="H2623" s="126" t="s">
        <v>2767</v>
      </c>
      <c r="I2623" s="126" t="s">
        <v>2829</v>
      </c>
      <c r="J2623" s="126">
        <f t="shared" si="374"/>
        <v>-14.25</v>
      </c>
      <c r="K2623" s="126">
        <v>32</v>
      </c>
      <c r="L2623" s="126">
        <v>988</v>
      </c>
      <c r="P2623" s="126">
        <v>850</v>
      </c>
      <c r="R2623" s="478" t="s">
        <v>1722</v>
      </c>
      <c r="S2623" s="478" t="s">
        <v>1843</v>
      </c>
      <c r="T2623" s="478"/>
      <c r="U2623" s="478" t="s">
        <v>2768</v>
      </c>
      <c r="V2623" s="478" t="s">
        <v>1379</v>
      </c>
      <c r="W2623" s="478" t="s">
        <v>1715</v>
      </c>
      <c r="X2623" s="478" t="s">
        <v>1379</v>
      </c>
      <c r="Y2623" s="478" t="s">
        <v>1417</v>
      </c>
      <c r="AA2623" s="479">
        <v>44</v>
      </c>
      <c r="AB2623" s="479">
        <f t="shared" si="375"/>
        <v>6</v>
      </c>
      <c r="AC2623" s="126" t="s">
        <v>796</v>
      </c>
      <c r="AD2623" s="126">
        <v>5.6</v>
      </c>
      <c r="AE2623" s="126">
        <v>0.9</v>
      </c>
      <c r="AG2623" s="126" t="s">
        <v>2769</v>
      </c>
      <c r="AH2623" s="126" t="s">
        <v>2772</v>
      </c>
      <c r="AI2623" s="126" t="s">
        <v>1583</v>
      </c>
      <c r="AJ2623" s="126" t="s">
        <v>1601</v>
      </c>
      <c r="AK2623" s="126" t="s">
        <v>1601</v>
      </c>
      <c r="AT2623" s="126" t="s">
        <v>2778</v>
      </c>
      <c r="AU2623" s="126" t="s">
        <v>2779</v>
      </c>
      <c r="AW2623" s="126" t="s">
        <v>2780</v>
      </c>
      <c r="AX2623" s="126">
        <v>3</v>
      </c>
      <c r="AZ2623" s="126" t="s">
        <v>141</v>
      </c>
      <c r="BB2623" s="126">
        <v>1600</v>
      </c>
      <c r="BC2623" s="126">
        <f>BB2623/51.3</f>
        <v>31.18908382066277</v>
      </c>
      <c r="BK2623" s="126">
        <v>400</v>
      </c>
      <c r="BL2623" s="126">
        <v>1100</v>
      </c>
      <c r="BO2623" s="126" t="s">
        <v>2781</v>
      </c>
      <c r="BP2623" s="481"/>
      <c r="BQ2623" s="481"/>
      <c r="BU2623" s="481"/>
      <c r="BV2623" s="481"/>
      <c r="BZ2623" s="481"/>
      <c r="CA2623" s="481"/>
      <c r="CE2623" s="605"/>
      <c r="CF2623" s="605"/>
      <c r="CG2623" s="605"/>
      <c r="CH2623" s="605"/>
      <c r="CJ2623" s="126">
        <v>9.3000000000000007</v>
      </c>
      <c r="CK2623" s="126">
        <v>14.7</v>
      </c>
      <c r="CN2623" s="37" t="s">
        <v>2776</v>
      </c>
      <c r="JD2623" s="480"/>
    </row>
    <row r="2624" spans="1:264" s="126" customFormat="1" x14ac:dyDescent="0.25">
      <c r="A2624" s="126">
        <v>123</v>
      </c>
      <c r="B2624" s="478" t="s">
        <v>4340</v>
      </c>
      <c r="C2624" s="126" t="s">
        <v>2765</v>
      </c>
      <c r="D2624" s="126" t="s">
        <v>2764</v>
      </c>
      <c r="E2624" s="126">
        <v>2003</v>
      </c>
      <c r="F2624" s="126">
        <v>2001</v>
      </c>
      <c r="G2624" s="126" t="s">
        <v>2766</v>
      </c>
      <c r="H2624" s="126" t="s">
        <v>2767</v>
      </c>
      <c r="I2624" s="126" t="s">
        <v>2829</v>
      </c>
      <c r="J2624" s="126">
        <f t="shared" si="374"/>
        <v>-14.25</v>
      </c>
      <c r="K2624" s="126">
        <v>32</v>
      </c>
      <c r="L2624" s="126">
        <v>988</v>
      </c>
      <c r="P2624" s="126">
        <v>850</v>
      </c>
      <c r="R2624" s="478" t="s">
        <v>1722</v>
      </c>
      <c r="S2624" s="478" t="s">
        <v>1843</v>
      </c>
      <c r="T2624" s="478"/>
      <c r="U2624" s="478" t="s">
        <v>2768</v>
      </c>
      <c r="V2624" s="478" t="s">
        <v>1379</v>
      </c>
      <c r="W2624" s="478" t="s">
        <v>1715</v>
      </c>
      <c r="X2624" s="478" t="s">
        <v>1379</v>
      </c>
      <c r="Y2624" s="478" t="s">
        <v>1417</v>
      </c>
      <c r="AA2624" s="479">
        <v>44</v>
      </c>
      <c r="AB2624" s="479">
        <f t="shared" si="375"/>
        <v>6</v>
      </c>
      <c r="AC2624" s="126" t="s">
        <v>796</v>
      </c>
      <c r="AD2624" s="126">
        <v>5.6</v>
      </c>
      <c r="AE2624" s="126">
        <v>0.9</v>
      </c>
      <c r="AG2624" s="126" t="s">
        <v>2769</v>
      </c>
      <c r="AH2624" s="126" t="s">
        <v>2773</v>
      </c>
      <c r="AI2624" s="126" t="s">
        <v>1583</v>
      </c>
      <c r="AJ2624" s="126" t="s">
        <v>1601</v>
      </c>
      <c r="AK2624" s="126" t="s">
        <v>1601</v>
      </c>
      <c r="AT2624" s="126" t="s">
        <v>2778</v>
      </c>
      <c r="AU2624" s="126" t="s">
        <v>2779</v>
      </c>
      <c r="AW2624" s="126" t="s">
        <v>2780</v>
      </c>
      <c r="AX2624" s="126">
        <v>3</v>
      </c>
      <c r="AZ2624" s="126" t="s">
        <v>141</v>
      </c>
      <c r="BB2624" s="126">
        <v>200</v>
      </c>
      <c r="BC2624" s="126">
        <f>BB2624/6.9</f>
        <v>28.985507246376809</v>
      </c>
      <c r="BK2624" s="126">
        <v>400</v>
      </c>
      <c r="BL2624" s="126">
        <v>600</v>
      </c>
      <c r="BO2624" s="126" t="s">
        <v>2781</v>
      </c>
      <c r="BP2624" s="481"/>
      <c r="BQ2624" s="481"/>
      <c r="BU2624" s="481"/>
      <c r="BV2624" s="481"/>
      <c r="BZ2624" s="481"/>
      <c r="CA2624" s="481"/>
      <c r="CE2624" s="605"/>
      <c r="CF2624" s="605"/>
      <c r="CG2624" s="605"/>
      <c r="CH2624" s="605"/>
      <c r="CJ2624" s="126">
        <v>9.3000000000000007</v>
      </c>
      <c r="CK2624" s="126">
        <v>13.5</v>
      </c>
      <c r="CN2624" s="37" t="s">
        <v>2776</v>
      </c>
      <c r="JD2624" s="480"/>
    </row>
    <row r="2625" spans="1:264" s="126" customFormat="1" x14ac:dyDescent="0.25">
      <c r="A2625" s="126">
        <v>123</v>
      </c>
      <c r="B2625" s="478" t="s">
        <v>4340</v>
      </c>
      <c r="C2625" s="126" t="s">
        <v>2765</v>
      </c>
      <c r="D2625" s="126" t="s">
        <v>2764</v>
      </c>
      <c r="E2625" s="126">
        <v>2003</v>
      </c>
      <c r="F2625" s="126">
        <v>2001</v>
      </c>
      <c r="G2625" s="126" t="s">
        <v>2766</v>
      </c>
      <c r="H2625" s="126" t="s">
        <v>2767</v>
      </c>
      <c r="I2625" s="126" t="s">
        <v>2829</v>
      </c>
      <c r="J2625" s="126">
        <f t="shared" si="374"/>
        <v>-14.25</v>
      </c>
      <c r="K2625" s="126">
        <v>32</v>
      </c>
      <c r="L2625" s="126">
        <v>988</v>
      </c>
      <c r="P2625" s="126">
        <v>850</v>
      </c>
      <c r="R2625" s="478" t="s">
        <v>1722</v>
      </c>
      <c r="S2625" s="478" t="s">
        <v>1843</v>
      </c>
      <c r="T2625" s="478"/>
      <c r="U2625" s="478" t="s">
        <v>2768</v>
      </c>
      <c r="V2625" s="478" t="s">
        <v>1379</v>
      </c>
      <c r="W2625" s="478" t="s">
        <v>1715</v>
      </c>
      <c r="X2625" s="478" t="s">
        <v>1379</v>
      </c>
      <c r="Y2625" s="478" t="s">
        <v>1417</v>
      </c>
      <c r="AA2625" s="479">
        <v>44</v>
      </c>
      <c r="AB2625" s="479">
        <f t="shared" si="375"/>
        <v>6</v>
      </c>
      <c r="AC2625" s="126" t="s">
        <v>796</v>
      </c>
      <c r="AD2625" s="126">
        <v>5.6</v>
      </c>
      <c r="AE2625" s="126">
        <v>0.9</v>
      </c>
      <c r="AG2625" s="126" t="s">
        <v>2769</v>
      </c>
      <c r="AH2625" s="126" t="s">
        <v>2775</v>
      </c>
      <c r="AI2625" s="126" t="s">
        <v>1583</v>
      </c>
      <c r="AJ2625" s="126" t="s">
        <v>1601</v>
      </c>
      <c r="AK2625" s="126" t="s">
        <v>1601</v>
      </c>
      <c r="AT2625" s="126" t="s">
        <v>2778</v>
      </c>
      <c r="AU2625" s="126" t="s">
        <v>2779</v>
      </c>
      <c r="AW2625" s="126" t="s">
        <v>2780</v>
      </c>
      <c r="AX2625" s="126">
        <v>3</v>
      </c>
      <c r="AZ2625" s="126" t="s">
        <v>141</v>
      </c>
      <c r="BB2625" s="126">
        <v>500</v>
      </c>
      <c r="BC2625" s="126">
        <f>BB2625/14.1</f>
        <v>35.460992907801419</v>
      </c>
      <c r="BK2625" s="126">
        <v>400</v>
      </c>
      <c r="BL2625" s="126">
        <v>500</v>
      </c>
      <c r="BO2625" s="126" t="s">
        <v>2781</v>
      </c>
      <c r="BP2625" s="481"/>
      <c r="BQ2625" s="481"/>
      <c r="BU2625" s="481"/>
      <c r="BV2625" s="481"/>
      <c r="BZ2625" s="481"/>
      <c r="CA2625" s="481"/>
      <c r="CE2625" s="605"/>
      <c r="CF2625" s="605"/>
      <c r="CG2625" s="605"/>
      <c r="CH2625" s="605"/>
      <c r="CJ2625" s="126">
        <v>9.3000000000000007</v>
      </c>
      <c r="CK2625" s="126">
        <v>13.4</v>
      </c>
      <c r="CN2625" s="37" t="s">
        <v>2776</v>
      </c>
      <c r="JD2625" s="480"/>
    </row>
    <row r="2626" spans="1:264" s="126" customFormat="1" x14ac:dyDescent="0.25">
      <c r="A2626" s="126">
        <v>123</v>
      </c>
      <c r="B2626" s="478" t="s">
        <v>4339</v>
      </c>
      <c r="C2626" s="126" t="s">
        <v>2765</v>
      </c>
      <c r="D2626" s="126" t="s">
        <v>2764</v>
      </c>
      <c r="E2626" s="126">
        <v>2003</v>
      </c>
      <c r="F2626" s="126">
        <v>2001</v>
      </c>
      <c r="G2626" s="126" t="s">
        <v>2766</v>
      </c>
      <c r="H2626" s="126" t="s">
        <v>2767</v>
      </c>
      <c r="I2626" s="126" t="s">
        <v>2829</v>
      </c>
      <c r="J2626" s="126">
        <f t="shared" si="374"/>
        <v>-14.25</v>
      </c>
      <c r="K2626" s="126">
        <v>32</v>
      </c>
      <c r="L2626" s="126">
        <v>988</v>
      </c>
      <c r="P2626" s="126">
        <v>850</v>
      </c>
      <c r="R2626" s="478" t="s">
        <v>1722</v>
      </c>
      <c r="S2626" s="478" t="s">
        <v>1843</v>
      </c>
      <c r="T2626" s="478"/>
      <c r="U2626" s="478" t="s">
        <v>2768</v>
      </c>
      <c r="V2626" s="478" t="s">
        <v>1379</v>
      </c>
      <c r="W2626" s="478" t="s">
        <v>1715</v>
      </c>
      <c r="X2626" s="478" t="s">
        <v>1379</v>
      </c>
      <c r="Y2626" s="478" t="s">
        <v>1417</v>
      </c>
      <c r="AA2626" s="479">
        <v>44</v>
      </c>
      <c r="AB2626" s="479">
        <f t="shared" si="375"/>
        <v>6</v>
      </c>
      <c r="AC2626" s="126" t="s">
        <v>796</v>
      </c>
      <c r="AD2626" s="126">
        <v>5.6</v>
      </c>
      <c r="AE2626" s="126">
        <v>0.9</v>
      </c>
      <c r="AG2626" s="126" t="s">
        <v>2769</v>
      </c>
      <c r="AH2626" s="126" t="s">
        <v>2770</v>
      </c>
      <c r="AI2626" s="126" t="s">
        <v>577</v>
      </c>
      <c r="AJ2626" s="126" t="s">
        <v>1601</v>
      </c>
      <c r="AK2626" s="126" t="s">
        <v>1601</v>
      </c>
      <c r="AT2626" s="126" t="s">
        <v>2778</v>
      </c>
      <c r="AU2626" s="126" t="s">
        <v>2779</v>
      </c>
      <c r="AW2626" s="126" t="s">
        <v>2780</v>
      </c>
      <c r="AX2626" s="126">
        <v>3</v>
      </c>
      <c r="AZ2626" s="126" t="s">
        <v>141</v>
      </c>
      <c r="BP2626" s="481"/>
      <c r="BQ2626" s="481"/>
      <c r="BU2626" s="481"/>
      <c r="BV2626" s="481"/>
      <c r="BZ2626" s="481"/>
      <c r="CA2626" s="481"/>
      <c r="CE2626" s="605"/>
      <c r="CF2626" s="605"/>
      <c r="CG2626" s="605"/>
      <c r="CH2626" s="605"/>
      <c r="CJ2626" s="126">
        <v>6.3</v>
      </c>
      <c r="CK2626" s="126">
        <v>7.2</v>
      </c>
      <c r="CN2626" s="37" t="s">
        <v>2777</v>
      </c>
      <c r="JD2626" s="480"/>
    </row>
    <row r="2627" spans="1:264" s="126" customFormat="1" x14ac:dyDescent="0.25">
      <c r="A2627" s="126">
        <v>123</v>
      </c>
      <c r="B2627" s="478" t="s">
        <v>4339</v>
      </c>
      <c r="C2627" s="126" t="s">
        <v>2765</v>
      </c>
      <c r="D2627" s="126" t="s">
        <v>2764</v>
      </c>
      <c r="E2627" s="126">
        <v>2003</v>
      </c>
      <c r="F2627" s="126">
        <v>2001</v>
      </c>
      <c r="G2627" s="126" t="s">
        <v>2766</v>
      </c>
      <c r="H2627" s="126" t="s">
        <v>2767</v>
      </c>
      <c r="I2627" s="126" t="s">
        <v>2829</v>
      </c>
      <c r="J2627" s="126">
        <f t="shared" si="374"/>
        <v>-14.25</v>
      </c>
      <c r="K2627" s="126">
        <v>32</v>
      </c>
      <c r="L2627" s="126">
        <v>988</v>
      </c>
      <c r="P2627" s="126">
        <v>850</v>
      </c>
      <c r="R2627" s="478" t="s">
        <v>1722</v>
      </c>
      <c r="S2627" s="478" t="s">
        <v>1843</v>
      </c>
      <c r="T2627" s="478"/>
      <c r="U2627" s="478" t="s">
        <v>2768</v>
      </c>
      <c r="V2627" s="478" t="s">
        <v>1379</v>
      </c>
      <c r="W2627" s="478" t="s">
        <v>1715</v>
      </c>
      <c r="X2627" s="478" t="s">
        <v>1379</v>
      </c>
      <c r="Y2627" s="478" t="s">
        <v>1417</v>
      </c>
      <c r="AA2627" s="479">
        <v>44</v>
      </c>
      <c r="AB2627" s="479">
        <f t="shared" si="375"/>
        <v>6</v>
      </c>
      <c r="AC2627" s="126" t="s">
        <v>796</v>
      </c>
      <c r="AD2627" s="126">
        <v>5.6</v>
      </c>
      <c r="AE2627" s="126">
        <v>0.9</v>
      </c>
      <c r="AG2627" s="126" t="s">
        <v>2769</v>
      </c>
      <c r="AH2627" s="126" t="s">
        <v>2697</v>
      </c>
      <c r="AI2627" s="126" t="s">
        <v>577</v>
      </c>
      <c r="AJ2627" s="126" t="s">
        <v>1601</v>
      </c>
      <c r="AK2627" s="126" t="s">
        <v>1601</v>
      </c>
      <c r="AT2627" s="126" t="s">
        <v>2778</v>
      </c>
      <c r="AU2627" s="126" t="s">
        <v>2779</v>
      </c>
      <c r="AW2627" s="126" t="s">
        <v>2780</v>
      </c>
      <c r="AX2627" s="126">
        <v>3</v>
      </c>
      <c r="AZ2627" s="126" t="s">
        <v>141</v>
      </c>
      <c r="BP2627" s="481"/>
      <c r="BQ2627" s="481"/>
      <c r="BU2627" s="481"/>
      <c r="BV2627" s="481"/>
      <c r="BZ2627" s="481"/>
      <c r="CA2627" s="481"/>
      <c r="CE2627" s="605"/>
      <c r="CF2627" s="605"/>
      <c r="CG2627" s="605"/>
      <c r="CH2627" s="605"/>
      <c r="CJ2627" s="126">
        <v>6.3</v>
      </c>
      <c r="CK2627" s="126">
        <v>14.2</v>
      </c>
      <c r="CN2627" s="37" t="s">
        <v>2777</v>
      </c>
      <c r="JD2627" s="480"/>
    </row>
    <row r="2628" spans="1:264" s="126" customFormat="1" x14ac:dyDescent="0.25">
      <c r="A2628" s="126">
        <v>123</v>
      </c>
      <c r="B2628" s="478" t="s">
        <v>4339</v>
      </c>
      <c r="C2628" s="126" t="s">
        <v>2765</v>
      </c>
      <c r="D2628" s="126" t="s">
        <v>2764</v>
      </c>
      <c r="E2628" s="126">
        <v>2003</v>
      </c>
      <c r="F2628" s="126">
        <v>2001</v>
      </c>
      <c r="G2628" s="126" t="s">
        <v>2766</v>
      </c>
      <c r="H2628" s="126" t="s">
        <v>2767</v>
      </c>
      <c r="I2628" s="126" t="s">
        <v>2829</v>
      </c>
      <c r="J2628" s="126">
        <f t="shared" si="374"/>
        <v>-14.25</v>
      </c>
      <c r="K2628" s="126">
        <v>32</v>
      </c>
      <c r="L2628" s="126">
        <v>988</v>
      </c>
      <c r="P2628" s="126">
        <v>850</v>
      </c>
      <c r="R2628" s="478" t="s">
        <v>1722</v>
      </c>
      <c r="S2628" s="478" t="s">
        <v>1843</v>
      </c>
      <c r="T2628" s="478"/>
      <c r="U2628" s="478" t="s">
        <v>2768</v>
      </c>
      <c r="V2628" s="478" t="s">
        <v>1379</v>
      </c>
      <c r="W2628" s="478" t="s">
        <v>1715</v>
      </c>
      <c r="X2628" s="478" t="s">
        <v>1379</v>
      </c>
      <c r="Y2628" s="478" t="s">
        <v>1417</v>
      </c>
      <c r="AA2628" s="479">
        <v>44</v>
      </c>
      <c r="AB2628" s="479">
        <f t="shared" si="375"/>
        <v>6</v>
      </c>
      <c r="AC2628" s="126" t="s">
        <v>796</v>
      </c>
      <c r="AD2628" s="126">
        <v>5.6</v>
      </c>
      <c r="AE2628" s="126">
        <v>0.9</v>
      </c>
      <c r="AG2628" s="126" t="s">
        <v>2769</v>
      </c>
      <c r="AH2628" s="126" t="s">
        <v>2771</v>
      </c>
      <c r="AI2628" s="126" t="s">
        <v>577</v>
      </c>
      <c r="AJ2628" s="126" t="s">
        <v>1601</v>
      </c>
      <c r="AK2628" s="126" t="s">
        <v>1601</v>
      </c>
      <c r="AT2628" s="126" t="s">
        <v>2778</v>
      </c>
      <c r="AU2628" s="126" t="s">
        <v>2779</v>
      </c>
      <c r="AW2628" s="126" t="s">
        <v>2780</v>
      </c>
      <c r="AX2628" s="126">
        <v>3</v>
      </c>
      <c r="AZ2628" s="126" t="s">
        <v>141</v>
      </c>
      <c r="BP2628" s="481"/>
      <c r="BQ2628" s="481"/>
      <c r="BU2628" s="481"/>
      <c r="BV2628" s="481"/>
      <c r="BZ2628" s="481"/>
      <c r="CA2628" s="481"/>
      <c r="CE2628" s="605"/>
      <c r="CF2628" s="605"/>
      <c r="CG2628" s="605"/>
      <c r="CH2628" s="605"/>
      <c r="CJ2628" s="126">
        <v>6.3</v>
      </c>
      <c r="CK2628" s="126">
        <v>15</v>
      </c>
      <c r="CN2628" s="37" t="s">
        <v>2777</v>
      </c>
      <c r="JD2628" s="480"/>
    </row>
    <row r="2629" spans="1:264" s="126" customFormat="1" x14ac:dyDescent="0.25">
      <c r="A2629" s="126">
        <v>123</v>
      </c>
      <c r="B2629" s="478" t="s">
        <v>4339</v>
      </c>
      <c r="C2629" s="126" t="s">
        <v>2765</v>
      </c>
      <c r="D2629" s="126" t="s">
        <v>2764</v>
      </c>
      <c r="E2629" s="126">
        <v>2003</v>
      </c>
      <c r="F2629" s="126">
        <v>2001</v>
      </c>
      <c r="G2629" s="126" t="s">
        <v>2766</v>
      </c>
      <c r="H2629" s="126" t="s">
        <v>2767</v>
      </c>
      <c r="I2629" s="126" t="s">
        <v>2829</v>
      </c>
      <c r="J2629" s="126">
        <f t="shared" si="374"/>
        <v>-14.25</v>
      </c>
      <c r="K2629" s="126">
        <v>32</v>
      </c>
      <c r="L2629" s="126">
        <v>988</v>
      </c>
      <c r="P2629" s="126">
        <v>850</v>
      </c>
      <c r="R2629" s="478" t="s">
        <v>1722</v>
      </c>
      <c r="S2629" s="478" t="s">
        <v>1843</v>
      </c>
      <c r="T2629" s="478"/>
      <c r="U2629" s="478" t="s">
        <v>2768</v>
      </c>
      <c r="V2629" s="478" t="s">
        <v>1379</v>
      </c>
      <c r="W2629" s="478" t="s">
        <v>1715</v>
      </c>
      <c r="X2629" s="478" t="s">
        <v>1379</v>
      </c>
      <c r="Y2629" s="478" t="s">
        <v>1417</v>
      </c>
      <c r="AA2629" s="479">
        <v>44</v>
      </c>
      <c r="AB2629" s="479">
        <f t="shared" si="375"/>
        <v>6</v>
      </c>
      <c r="AC2629" s="126" t="s">
        <v>796</v>
      </c>
      <c r="AD2629" s="126">
        <v>5.6</v>
      </c>
      <c r="AE2629" s="126">
        <v>0.9</v>
      </c>
      <c r="AG2629" s="126" t="s">
        <v>2769</v>
      </c>
      <c r="AH2629" s="126" t="s">
        <v>2774</v>
      </c>
      <c r="AI2629" s="126" t="s">
        <v>577</v>
      </c>
      <c r="AJ2629" s="126" t="s">
        <v>1601</v>
      </c>
      <c r="AK2629" s="126" t="s">
        <v>1601</v>
      </c>
      <c r="AT2629" s="126" t="s">
        <v>2778</v>
      </c>
      <c r="AU2629" s="126" t="s">
        <v>2779</v>
      </c>
      <c r="AW2629" s="126" t="s">
        <v>2780</v>
      </c>
      <c r="AX2629" s="126">
        <v>3</v>
      </c>
      <c r="AZ2629" s="126" t="s">
        <v>141</v>
      </c>
      <c r="BP2629" s="481"/>
      <c r="BQ2629" s="481"/>
      <c r="BU2629" s="481"/>
      <c r="BV2629" s="481"/>
      <c r="BZ2629" s="481"/>
      <c r="CA2629" s="481"/>
      <c r="CE2629" s="605"/>
      <c r="CF2629" s="605"/>
      <c r="CG2629" s="605"/>
      <c r="CH2629" s="605"/>
      <c r="CJ2629" s="126">
        <v>6.3</v>
      </c>
      <c r="CK2629" s="126">
        <v>7.3</v>
      </c>
      <c r="CN2629" s="37" t="s">
        <v>2777</v>
      </c>
      <c r="JD2629" s="480"/>
    </row>
    <row r="2630" spans="1:264" s="126" customFormat="1" x14ac:dyDescent="0.25">
      <c r="A2630" s="126">
        <v>123</v>
      </c>
      <c r="B2630" s="478" t="s">
        <v>4340</v>
      </c>
      <c r="C2630" s="126" t="s">
        <v>2765</v>
      </c>
      <c r="D2630" s="126" t="s">
        <v>2764</v>
      </c>
      <c r="E2630" s="126">
        <v>2003</v>
      </c>
      <c r="F2630" s="126">
        <v>2001</v>
      </c>
      <c r="G2630" s="126" t="s">
        <v>2766</v>
      </c>
      <c r="H2630" s="126" t="s">
        <v>2767</v>
      </c>
      <c r="I2630" s="126" t="s">
        <v>2829</v>
      </c>
      <c r="J2630" s="126">
        <f t="shared" si="374"/>
        <v>-14.25</v>
      </c>
      <c r="K2630" s="126">
        <v>32</v>
      </c>
      <c r="L2630" s="126">
        <v>988</v>
      </c>
      <c r="P2630" s="126">
        <v>850</v>
      </c>
      <c r="R2630" s="478" t="s">
        <v>1722</v>
      </c>
      <c r="S2630" s="478" t="s">
        <v>1843</v>
      </c>
      <c r="T2630" s="478"/>
      <c r="U2630" s="478" t="s">
        <v>2768</v>
      </c>
      <c r="V2630" s="478" t="s">
        <v>1379</v>
      </c>
      <c r="W2630" s="478" t="s">
        <v>1715</v>
      </c>
      <c r="X2630" s="478" t="s">
        <v>1379</v>
      </c>
      <c r="Y2630" s="478" t="s">
        <v>1417</v>
      </c>
      <c r="AA2630" s="479">
        <v>44</v>
      </c>
      <c r="AB2630" s="479">
        <f t="shared" si="375"/>
        <v>6</v>
      </c>
      <c r="AC2630" s="126" t="s">
        <v>796</v>
      </c>
      <c r="AD2630" s="126">
        <v>5.6</v>
      </c>
      <c r="AE2630" s="126">
        <v>0.9</v>
      </c>
      <c r="AG2630" s="126" t="s">
        <v>2769</v>
      </c>
      <c r="AH2630" s="126" t="s">
        <v>2772</v>
      </c>
      <c r="AI2630" s="126" t="s">
        <v>1583</v>
      </c>
      <c r="AJ2630" s="126" t="s">
        <v>1601</v>
      </c>
      <c r="AK2630" s="126" t="s">
        <v>1601</v>
      </c>
      <c r="AT2630" s="126" t="s">
        <v>2778</v>
      </c>
      <c r="AU2630" s="126" t="s">
        <v>2779</v>
      </c>
      <c r="AW2630" s="126" t="s">
        <v>2780</v>
      </c>
      <c r="AX2630" s="126">
        <v>3</v>
      </c>
      <c r="AZ2630" s="126" t="s">
        <v>141</v>
      </c>
      <c r="BP2630" s="481"/>
      <c r="BQ2630" s="481"/>
      <c r="BU2630" s="481"/>
      <c r="BV2630" s="481"/>
      <c r="BZ2630" s="481"/>
      <c r="CA2630" s="481"/>
      <c r="CE2630" s="605"/>
      <c r="CF2630" s="605"/>
      <c r="CG2630" s="605"/>
      <c r="CH2630" s="605"/>
      <c r="CJ2630" s="126">
        <v>6.3</v>
      </c>
      <c r="CK2630" s="126">
        <v>7.2</v>
      </c>
      <c r="CN2630" s="37" t="s">
        <v>2777</v>
      </c>
      <c r="JD2630" s="480"/>
    </row>
    <row r="2631" spans="1:264" s="126" customFormat="1" x14ac:dyDescent="0.25">
      <c r="A2631" s="126">
        <v>123</v>
      </c>
      <c r="B2631" s="478" t="s">
        <v>4340</v>
      </c>
      <c r="C2631" s="126" t="s">
        <v>2765</v>
      </c>
      <c r="D2631" s="126" t="s">
        <v>2764</v>
      </c>
      <c r="E2631" s="126">
        <v>2003</v>
      </c>
      <c r="F2631" s="126">
        <v>2001</v>
      </c>
      <c r="G2631" s="126" t="s">
        <v>2766</v>
      </c>
      <c r="H2631" s="126" t="s">
        <v>2767</v>
      </c>
      <c r="I2631" s="126" t="s">
        <v>2829</v>
      </c>
      <c r="J2631" s="126">
        <f t="shared" si="374"/>
        <v>-14.25</v>
      </c>
      <c r="K2631" s="126">
        <v>32</v>
      </c>
      <c r="L2631" s="126">
        <v>988</v>
      </c>
      <c r="P2631" s="126">
        <v>850</v>
      </c>
      <c r="R2631" s="478" t="s">
        <v>1722</v>
      </c>
      <c r="S2631" s="478" t="s">
        <v>1843</v>
      </c>
      <c r="T2631" s="478"/>
      <c r="U2631" s="478" t="s">
        <v>2768</v>
      </c>
      <c r="V2631" s="478" t="s">
        <v>1379</v>
      </c>
      <c r="W2631" s="478" t="s">
        <v>1715</v>
      </c>
      <c r="X2631" s="478" t="s">
        <v>1379</v>
      </c>
      <c r="Y2631" s="478" t="s">
        <v>1417</v>
      </c>
      <c r="AA2631" s="479">
        <v>44</v>
      </c>
      <c r="AB2631" s="479">
        <f t="shared" si="375"/>
        <v>6</v>
      </c>
      <c r="AC2631" s="126" t="s">
        <v>796</v>
      </c>
      <c r="AD2631" s="126">
        <v>5.6</v>
      </c>
      <c r="AE2631" s="126">
        <v>0.9</v>
      </c>
      <c r="AG2631" s="126" t="s">
        <v>2769</v>
      </c>
      <c r="AH2631" s="126" t="s">
        <v>2773</v>
      </c>
      <c r="AI2631" s="126" t="s">
        <v>1583</v>
      </c>
      <c r="AJ2631" s="126" t="s">
        <v>1601</v>
      </c>
      <c r="AK2631" s="126" t="s">
        <v>1601</v>
      </c>
      <c r="AT2631" s="126" t="s">
        <v>2778</v>
      </c>
      <c r="AU2631" s="126" t="s">
        <v>2779</v>
      </c>
      <c r="AW2631" s="126" t="s">
        <v>2780</v>
      </c>
      <c r="AX2631" s="126">
        <v>3</v>
      </c>
      <c r="AZ2631" s="126" t="s">
        <v>141</v>
      </c>
      <c r="BP2631" s="481"/>
      <c r="BQ2631" s="481"/>
      <c r="BU2631" s="481"/>
      <c r="BV2631" s="481"/>
      <c r="BZ2631" s="481"/>
      <c r="CA2631" s="481"/>
      <c r="CE2631" s="605"/>
      <c r="CF2631" s="605"/>
      <c r="CG2631" s="605"/>
      <c r="CH2631" s="605"/>
      <c r="CJ2631" s="126">
        <v>6.3</v>
      </c>
      <c r="CK2631" s="126">
        <v>7.5</v>
      </c>
      <c r="CN2631" s="37" t="s">
        <v>2777</v>
      </c>
      <c r="JD2631" s="480"/>
    </row>
    <row r="2632" spans="1:264" s="126" customFormat="1" x14ac:dyDescent="0.25">
      <c r="A2632" s="126">
        <v>123</v>
      </c>
      <c r="B2632" s="478" t="s">
        <v>4340</v>
      </c>
      <c r="C2632" s="126" t="s">
        <v>2765</v>
      </c>
      <c r="D2632" s="126" t="s">
        <v>2764</v>
      </c>
      <c r="E2632" s="126">
        <v>2003</v>
      </c>
      <c r="F2632" s="126">
        <v>2001</v>
      </c>
      <c r="G2632" s="126" t="s">
        <v>2766</v>
      </c>
      <c r="H2632" s="126" t="s">
        <v>2767</v>
      </c>
      <c r="I2632" s="126" t="s">
        <v>2829</v>
      </c>
      <c r="J2632" s="126">
        <f t="shared" si="374"/>
        <v>-14.25</v>
      </c>
      <c r="K2632" s="126">
        <v>32</v>
      </c>
      <c r="L2632" s="126">
        <v>988</v>
      </c>
      <c r="P2632" s="126">
        <v>850</v>
      </c>
      <c r="R2632" s="478" t="s">
        <v>1722</v>
      </c>
      <c r="S2632" s="478" t="s">
        <v>1843</v>
      </c>
      <c r="T2632" s="478"/>
      <c r="U2632" s="478" t="s">
        <v>2768</v>
      </c>
      <c r="V2632" s="478" t="s">
        <v>1379</v>
      </c>
      <c r="W2632" s="478" t="s">
        <v>1715</v>
      </c>
      <c r="X2632" s="478" t="s">
        <v>1379</v>
      </c>
      <c r="Y2632" s="478" t="s">
        <v>1417</v>
      </c>
      <c r="AA2632" s="479">
        <v>44</v>
      </c>
      <c r="AB2632" s="479">
        <f t="shared" si="375"/>
        <v>6</v>
      </c>
      <c r="AC2632" s="126" t="s">
        <v>796</v>
      </c>
      <c r="AD2632" s="126">
        <v>5.6</v>
      </c>
      <c r="AE2632" s="126">
        <v>0.9</v>
      </c>
      <c r="AG2632" s="126" t="s">
        <v>2769</v>
      </c>
      <c r="AH2632" s="126" t="s">
        <v>2775</v>
      </c>
      <c r="AI2632" s="126" t="s">
        <v>1583</v>
      </c>
      <c r="AJ2632" s="126" t="s">
        <v>1601</v>
      </c>
      <c r="AK2632" s="126" t="s">
        <v>1601</v>
      </c>
      <c r="AT2632" s="126" t="s">
        <v>2778</v>
      </c>
      <c r="AU2632" s="126" t="s">
        <v>2779</v>
      </c>
      <c r="AW2632" s="126" t="s">
        <v>2780</v>
      </c>
      <c r="AX2632" s="126">
        <v>3</v>
      </c>
      <c r="AZ2632" s="126" t="s">
        <v>141</v>
      </c>
      <c r="BP2632" s="481"/>
      <c r="BQ2632" s="481"/>
      <c r="BU2632" s="481"/>
      <c r="BV2632" s="481"/>
      <c r="BZ2632" s="481"/>
      <c r="CA2632" s="481"/>
      <c r="CE2632" s="605"/>
      <c r="CF2632" s="605"/>
      <c r="CG2632" s="605"/>
      <c r="CH2632" s="605"/>
      <c r="CJ2632" s="126">
        <v>6.3</v>
      </c>
      <c r="CK2632" s="126">
        <v>13.4</v>
      </c>
      <c r="CN2632" s="37" t="s">
        <v>2777</v>
      </c>
      <c r="JD2632" s="480"/>
    </row>
    <row r="2633" spans="1:264" x14ac:dyDescent="0.25">
      <c r="A2633" s="37">
        <v>123</v>
      </c>
      <c r="B2633" s="50" t="s">
        <v>4341</v>
      </c>
      <c r="C2633" s="37" t="s">
        <v>2765</v>
      </c>
      <c r="D2633" s="37" t="s">
        <v>2764</v>
      </c>
      <c r="E2633" s="37">
        <v>2003</v>
      </c>
      <c r="F2633" s="37">
        <v>2000</v>
      </c>
      <c r="G2633" s="37" t="s">
        <v>2766</v>
      </c>
      <c r="H2633" s="37" t="s">
        <v>2767</v>
      </c>
      <c r="I2633" s="37" t="s">
        <v>2829</v>
      </c>
      <c r="J2633" s="37">
        <f t="shared" si="374"/>
        <v>-14.25</v>
      </c>
      <c r="K2633" s="37">
        <v>32</v>
      </c>
      <c r="L2633" s="37">
        <v>988</v>
      </c>
      <c r="P2633" s="37">
        <v>850</v>
      </c>
      <c r="R2633" s="50" t="s">
        <v>1858</v>
      </c>
      <c r="S2633" s="50" t="s">
        <v>1843</v>
      </c>
      <c r="U2633" s="50" t="s">
        <v>2768</v>
      </c>
      <c r="V2633" s="50" t="s">
        <v>1394</v>
      </c>
      <c r="W2633" s="50" t="s">
        <v>1722</v>
      </c>
      <c r="X2633" s="50" t="s">
        <v>1394</v>
      </c>
      <c r="Y2633" s="50" t="s">
        <v>1417</v>
      </c>
      <c r="AA2633" s="330">
        <v>44</v>
      </c>
      <c r="AB2633" s="330">
        <f t="shared" si="375"/>
        <v>6</v>
      </c>
      <c r="AC2633" s="37" t="s">
        <v>796</v>
      </c>
      <c r="AD2633" s="37">
        <v>5.6</v>
      </c>
      <c r="AE2633" s="37">
        <v>0.9</v>
      </c>
      <c r="AG2633" s="37" t="s">
        <v>2769</v>
      </c>
      <c r="AH2633" s="37" t="s">
        <v>2770</v>
      </c>
      <c r="AI2633" s="37" t="s">
        <v>577</v>
      </c>
      <c r="AJ2633" s="37" t="s">
        <v>1601</v>
      </c>
      <c r="AK2633" s="37" t="s">
        <v>1601</v>
      </c>
      <c r="AT2633" s="37" t="s">
        <v>2778</v>
      </c>
      <c r="AU2633" s="37" t="s">
        <v>2779</v>
      </c>
      <c r="AW2633" s="37" t="s">
        <v>2780</v>
      </c>
      <c r="AX2633" s="37">
        <v>3</v>
      </c>
      <c r="AZ2633" s="37" t="s">
        <v>141</v>
      </c>
      <c r="CE2633" s="559"/>
      <c r="CF2633" s="559"/>
      <c r="CG2633" s="556"/>
      <c r="CH2633" s="556"/>
      <c r="EC2633" s="37">
        <v>0.9</v>
      </c>
      <c r="ED2633" s="37">
        <v>0.9</v>
      </c>
      <c r="EG2633" s="37" t="s">
        <v>2412</v>
      </c>
    </row>
    <row r="2634" spans="1:264" x14ac:dyDescent="0.25">
      <c r="A2634" s="37">
        <v>123</v>
      </c>
      <c r="B2634" s="50" t="s">
        <v>4341</v>
      </c>
      <c r="C2634" s="37" t="s">
        <v>2765</v>
      </c>
      <c r="D2634" s="37" t="s">
        <v>2764</v>
      </c>
      <c r="E2634" s="37">
        <v>2003</v>
      </c>
      <c r="F2634" s="37">
        <v>2000</v>
      </c>
      <c r="G2634" s="37" t="s">
        <v>2766</v>
      </c>
      <c r="H2634" s="37" t="s">
        <v>2767</v>
      </c>
      <c r="I2634" s="37" t="s">
        <v>2829</v>
      </c>
      <c r="J2634" s="37">
        <f t="shared" si="374"/>
        <v>-14.25</v>
      </c>
      <c r="K2634" s="37">
        <v>32</v>
      </c>
      <c r="L2634" s="37">
        <v>988</v>
      </c>
      <c r="P2634" s="37">
        <v>850</v>
      </c>
      <c r="R2634" s="50" t="s">
        <v>1858</v>
      </c>
      <c r="S2634" s="50" t="s">
        <v>1843</v>
      </c>
      <c r="U2634" s="50" t="s">
        <v>2768</v>
      </c>
      <c r="V2634" s="50" t="s">
        <v>1394</v>
      </c>
      <c r="W2634" s="50" t="s">
        <v>1722</v>
      </c>
      <c r="X2634" s="50" t="s">
        <v>1394</v>
      </c>
      <c r="Y2634" s="50" t="s">
        <v>1417</v>
      </c>
      <c r="AA2634" s="330">
        <v>44</v>
      </c>
      <c r="AB2634" s="330">
        <f t="shared" si="375"/>
        <v>6</v>
      </c>
      <c r="AC2634" s="37" t="s">
        <v>796</v>
      </c>
      <c r="AD2634" s="37">
        <v>5.6</v>
      </c>
      <c r="AE2634" s="37">
        <v>0.9</v>
      </c>
      <c r="AG2634" s="37" t="s">
        <v>2769</v>
      </c>
      <c r="AH2634" s="37" t="s">
        <v>2697</v>
      </c>
      <c r="AI2634" s="37" t="s">
        <v>577</v>
      </c>
      <c r="AJ2634" s="37" t="s">
        <v>1601</v>
      </c>
      <c r="AK2634" s="37" t="s">
        <v>1601</v>
      </c>
      <c r="AT2634" s="37" t="s">
        <v>2778</v>
      </c>
      <c r="AU2634" s="37" t="s">
        <v>2779</v>
      </c>
      <c r="AW2634" s="37" t="s">
        <v>2780</v>
      </c>
      <c r="AX2634" s="37">
        <v>3</v>
      </c>
      <c r="AZ2634" s="37" t="s">
        <v>141</v>
      </c>
      <c r="CE2634" s="559"/>
      <c r="CF2634" s="559"/>
      <c r="CG2634" s="556"/>
      <c r="CH2634" s="556"/>
      <c r="EC2634" s="37">
        <v>0.9</v>
      </c>
      <c r="ED2634" s="37">
        <v>0.6</v>
      </c>
      <c r="EG2634" s="37" t="s">
        <v>2412</v>
      </c>
    </row>
    <row r="2635" spans="1:264" x14ac:dyDescent="0.25">
      <c r="A2635" s="37">
        <v>123</v>
      </c>
      <c r="B2635" s="50" t="s">
        <v>4341</v>
      </c>
      <c r="C2635" s="37" t="s">
        <v>2765</v>
      </c>
      <c r="D2635" s="37" t="s">
        <v>2764</v>
      </c>
      <c r="E2635" s="37">
        <v>2003</v>
      </c>
      <c r="F2635" s="37">
        <v>2000</v>
      </c>
      <c r="G2635" s="37" t="s">
        <v>2766</v>
      </c>
      <c r="H2635" s="37" t="s">
        <v>2767</v>
      </c>
      <c r="I2635" s="37" t="s">
        <v>2829</v>
      </c>
      <c r="J2635" s="37">
        <f t="shared" si="374"/>
        <v>-14.25</v>
      </c>
      <c r="K2635" s="37">
        <v>32</v>
      </c>
      <c r="L2635" s="37">
        <v>988</v>
      </c>
      <c r="P2635" s="37">
        <v>850</v>
      </c>
      <c r="R2635" s="50" t="s">
        <v>1858</v>
      </c>
      <c r="S2635" s="50" t="s">
        <v>1843</v>
      </c>
      <c r="U2635" s="50" t="s">
        <v>2768</v>
      </c>
      <c r="V2635" s="50" t="s">
        <v>1394</v>
      </c>
      <c r="W2635" s="50" t="s">
        <v>1722</v>
      </c>
      <c r="X2635" s="50" t="s">
        <v>1394</v>
      </c>
      <c r="Y2635" s="50" t="s">
        <v>1417</v>
      </c>
      <c r="AA2635" s="330">
        <v>44</v>
      </c>
      <c r="AB2635" s="330">
        <f t="shared" si="375"/>
        <v>6</v>
      </c>
      <c r="AC2635" s="37" t="s">
        <v>796</v>
      </c>
      <c r="AD2635" s="37">
        <v>5.6</v>
      </c>
      <c r="AE2635" s="37">
        <v>0.9</v>
      </c>
      <c r="AG2635" s="37" t="s">
        <v>2769</v>
      </c>
      <c r="AH2635" s="37" t="s">
        <v>2771</v>
      </c>
      <c r="AI2635" s="37" t="s">
        <v>577</v>
      </c>
      <c r="AJ2635" s="37" t="s">
        <v>1601</v>
      </c>
      <c r="AK2635" s="37" t="s">
        <v>1601</v>
      </c>
      <c r="AT2635" s="37" t="s">
        <v>2778</v>
      </c>
      <c r="AU2635" s="37" t="s">
        <v>2779</v>
      </c>
      <c r="AW2635" s="37" t="s">
        <v>2780</v>
      </c>
      <c r="AX2635" s="37">
        <v>3</v>
      </c>
      <c r="AZ2635" s="37" t="s">
        <v>141</v>
      </c>
      <c r="CE2635" s="559"/>
      <c r="CF2635" s="559"/>
      <c r="CG2635" s="556"/>
      <c r="CH2635" s="556"/>
      <c r="EC2635" s="37">
        <v>0.9</v>
      </c>
      <c r="ED2635" s="37">
        <v>0.8</v>
      </c>
      <c r="EG2635" s="37" t="s">
        <v>2412</v>
      </c>
    </row>
    <row r="2636" spans="1:264" x14ac:dyDescent="0.25">
      <c r="A2636" s="37">
        <v>123</v>
      </c>
      <c r="B2636" s="50" t="s">
        <v>4341</v>
      </c>
      <c r="C2636" s="37" t="s">
        <v>2765</v>
      </c>
      <c r="D2636" s="37" t="s">
        <v>2764</v>
      </c>
      <c r="E2636" s="37">
        <v>2003</v>
      </c>
      <c r="F2636" s="37">
        <v>2000</v>
      </c>
      <c r="G2636" s="37" t="s">
        <v>2766</v>
      </c>
      <c r="H2636" s="37" t="s">
        <v>2767</v>
      </c>
      <c r="I2636" s="37" t="s">
        <v>2829</v>
      </c>
      <c r="J2636" s="37">
        <f t="shared" si="374"/>
        <v>-14.25</v>
      </c>
      <c r="K2636" s="37">
        <v>32</v>
      </c>
      <c r="L2636" s="37">
        <v>988</v>
      </c>
      <c r="P2636" s="37">
        <v>850</v>
      </c>
      <c r="R2636" s="50" t="s">
        <v>1858</v>
      </c>
      <c r="S2636" s="50" t="s">
        <v>1843</v>
      </c>
      <c r="U2636" s="50" t="s">
        <v>2768</v>
      </c>
      <c r="V2636" s="50" t="s">
        <v>1394</v>
      </c>
      <c r="W2636" s="50" t="s">
        <v>1722</v>
      </c>
      <c r="X2636" s="50" t="s">
        <v>1394</v>
      </c>
      <c r="Y2636" s="50" t="s">
        <v>1417</v>
      </c>
      <c r="AA2636" s="330">
        <v>44</v>
      </c>
      <c r="AB2636" s="330">
        <f t="shared" si="375"/>
        <v>6</v>
      </c>
      <c r="AC2636" s="37" t="s">
        <v>796</v>
      </c>
      <c r="AD2636" s="37">
        <v>5.6</v>
      </c>
      <c r="AE2636" s="37">
        <v>0.9</v>
      </c>
      <c r="AG2636" s="37" t="s">
        <v>2769</v>
      </c>
      <c r="AH2636" s="37" t="s">
        <v>2774</v>
      </c>
      <c r="AI2636" s="37" t="s">
        <v>577</v>
      </c>
      <c r="AJ2636" s="37" t="s">
        <v>1601</v>
      </c>
      <c r="AK2636" s="37" t="s">
        <v>1601</v>
      </c>
      <c r="AT2636" s="37" t="s">
        <v>2778</v>
      </c>
      <c r="AU2636" s="37" t="s">
        <v>2779</v>
      </c>
      <c r="AW2636" s="37" t="s">
        <v>2780</v>
      </c>
      <c r="AX2636" s="37">
        <v>3</v>
      </c>
      <c r="AZ2636" s="37" t="s">
        <v>141</v>
      </c>
      <c r="CE2636" s="559"/>
      <c r="CF2636" s="559"/>
      <c r="CG2636" s="556"/>
      <c r="CH2636" s="556"/>
      <c r="EC2636" s="37">
        <v>0.9</v>
      </c>
      <c r="ED2636" s="37">
        <v>1</v>
      </c>
      <c r="EG2636" s="37" t="s">
        <v>2412</v>
      </c>
    </row>
    <row r="2637" spans="1:264" x14ac:dyDescent="0.25">
      <c r="A2637" s="37">
        <v>123</v>
      </c>
      <c r="B2637" s="50" t="s">
        <v>4341</v>
      </c>
      <c r="C2637" s="37" t="s">
        <v>2765</v>
      </c>
      <c r="D2637" s="37" t="s">
        <v>2764</v>
      </c>
      <c r="E2637" s="37">
        <v>2003</v>
      </c>
      <c r="F2637" s="37">
        <v>2000</v>
      </c>
      <c r="G2637" s="37" t="s">
        <v>2766</v>
      </c>
      <c r="H2637" s="37" t="s">
        <v>2767</v>
      </c>
      <c r="I2637" s="37" t="s">
        <v>2829</v>
      </c>
      <c r="J2637" s="37">
        <f t="shared" ref="J2637:J2668" si="377">-14-15/60</f>
        <v>-14.25</v>
      </c>
      <c r="K2637" s="37">
        <v>32</v>
      </c>
      <c r="L2637" s="37">
        <v>988</v>
      </c>
      <c r="P2637" s="37">
        <v>850</v>
      </c>
      <c r="R2637" s="50" t="s">
        <v>1858</v>
      </c>
      <c r="S2637" s="50" t="s">
        <v>1843</v>
      </c>
      <c r="U2637" s="50" t="s">
        <v>2768</v>
      </c>
      <c r="V2637" s="50" t="s">
        <v>1394</v>
      </c>
      <c r="W2637" s="50" t="s">
        <v>1722</v>
      </c>
      <c r="X2637" s="50" t="s">
        <v>1394</v>
      </c>
      <c r="Y2637" s="50" t="s">
        <v>1417</v>
      </c>
      <c r="AA2637" s="330">
        <v>44</v>
      </c>
      <c r="AB2637" s="330">
        <f t="shared" ref="AB2637:AB2668" si="378">100-44-50</f>
        <v>6</v>
      </c>
      <c r="AC2637" s="37" t="s">
        <v>796</v>
      </c>
      <c r="AD2637" s="37">
        <v>5.6</v>
      </c>
      <c r="AE2637" s="37">
        <v>0.9</v>
      </c>
      <c r="AG2637" s="37" t="s">
        <v>2769</v>
      </c>
      <c r="AH2637" s="37" t="s">
        <v>2772</v>
      </c>
      <c r="AI2637" s="37" t="s">
        <v>1583</v>
      </c>
      <c r="AJ2637" s="37" t="s">
        <v>1601</v>
      </c>
      <c r="AK2637" s="37" t="s">
        <v>1601</v>
      </c>
      <c r="AT2637" s="37" t="s">
        <v>2778</v>
      </c>
      <c r="AU2637" s="37" t="s">
        <v>2779</v>
      </c>
      <c r="AW2637" s="37" t="s">
        <v>2780</v>
      </c>
      <c r="AX2637" s="37">
        <v>3</v>
      </c>
      <c r="AZ2637" s="37" t="s">
        <v>141</v>
      </c>
      <c r="CE2637" s="559"/>
      <c r="CF2637" s="559"/>
      <c r="CG2637" s="556"/>
      <c r="CH2637" s="556"/>
      <c r="EC2637" s="37">
        <v>0.9</v>
      </c>
      <c r="ED2637" s="37">
        <v>0.7</v>
      </c>
      <c r="EG2637" s="37" t="s">
        <v>2412</v>
      </c>
    </row>
    <row r="2638" spans="1:264" x14ac:dyDescent="0.25">
      <c r="A2638" s="37">
        <v>123</v>
      </c>
      <c r="B2638" s="50" t="s">
        <v>4341</v>
      </c>
      <c r="C2638" s="37" t="s">
        <v>2765</v>
      </c>
      <c r="D2638" s="37" t="s">
        <v>2764</v>
      </c>
      <c r="E2638" s="37">
        <v>2003</v>
      </c>
      <c r="F2638" s="37">
        <v>2000</v>
      </c>
      <c r="G2638" s="37" t="s">
        <v>2766</v>
      </c>
      <c r="H2638" s="37" t="s">
        <v>2767</v>
      </c>
      <c r="I2638" s="37" t="s">
        <v>2829</v>
      </c>
      <c r="J2638" s="37">
        <f t="shared" si="377"/>
        <v>-14.25</v>
      </c>
      <c r="K2638" s="37">
        <v>32</v>
      </c>
      <c r="L2638" s="37">
        <v>988</v>
      </c>
      <c r="P2638" s="37">
        <v>850</v>
      </c>
      <c r="R2638" s="50" t="s">
        <v>1858</v>
      </c>
      <c r="S2638" s="50" t="s">
        <v>1843</v>
      </c>
      <c r="U2638" s="50" t="s">
        <v>2768</v>
      </c>
      <c r="V2638" s="50" t="s">
        <v>1394</v>
      </c>
      <c r="W2638" s="50" t="s">
        <v>1722</v>
      </c>
      <c r="X2638" s="50" t="s">
        <v>1394</v>
      </c>
      <c r="Y2638" s="50" t="s">
        <v>1417</v>
      </c>
      <c r="AA2638" s="330">
        <v>44</v>
      </c>
      <c r="AB2638" s="330">
        <f t="shared" si="378"/>
        <v>6</v>
      </c>
      <c r="AC2638" s="37" t="s">
        <v>796</v>
      </c>
      <c r="AD2638" s="37">
        <v>5.6</v>
      </c>
      <c r="AE2638" s="37">
        <v>0.9</v>
      </c>
      <c r="AG2638" s="37" t="s">
        <v>2769</v>
      </c>
      <c r="AH2638" s="37" t="s">
        <v>2773</v>
      </c>
      <c r="AI2638" s="37" t="s">
        <v>1583</v>
      </c>
      <c r="AJ2638" s="37" t="s">
        <v>1601</v>
      </c>
      <c r="AK2638" s="37" t="s">
        <v>1601</v>
      </c>
      <c r="AT2638" s="37" t="s">
        <v>2778</v>
      </c>
      <c r="AU2638" s="37" t="s">
        <v>2779</v>
      </c>
      <c r="AW2638" s="37" t="s">
        <v>2780</v>
      </c>
      <c r="AX2638" s="37">
        <v>3</v>
      </c>
      <c r="AZ2638" s="37" t="s">
        <v>141</v>
      </c>
      <c r="CE2638" s="559"/>
      <c r="CF2638" s="559"/>
      <c r="CG2638" s="556"/>
      <c r="CH2638" s="556"/>
      <c r="EC2638" s="37">
        <v>0.9</v>
      </c>
      <c r="ED2638" s="37">
        <v>0.7</v>
      </c>
      <c r="EG2638" s="37" t="s">
        <v>2412</v>
      </c>
    </row>
    <row r="2639" spans="1:264" x14ac:dyDescent="0.25">
      <c r="A2639" s="37">
        <v>123</v>
      </c>
      <c r="B2639" s="50" t="s">
        <v>4341</v>
      </c>
      <c r="C2639" s="37" t="s">
        <v>2765</v>
      </c>
      <c r="D2639" s="37" t="s">
        <v>2764</v>
      </c>
      <c r="E2639" s="37">
        <v>2003</v>
      </c>
      <c r="F2639" s="37">
        <v>2000</v>
      </c>
      <c r="G2639" s="37" t="s">
        <v>2766</v>
      </c>
      <c r="H2639" s="37" t="s">
        <v>2767</v>
      </c>
      <c r="I2639" s="37" t="s">
        <v>2829</v>
      </c>
      <c r="J2639" s="37">
        <f t="shared" si="377"/>
        <v>-14.25</v>
      </c>
      <c r="K2639" s="37">
        <v>32</v>
      </c>
      <c r="L2639" s="37">
        <v>988</v>
      </c>
      <c r="P2639" s="37">
        <v>850</v>
      </c>
      <c r="R2639" s="50" t="s">
        <v>1858</v>
      </c>
      <c r="S2639" s="50" t="s">
        <v>1843</v>
      </c>
      <c r="U2639" s="50" t="s">
        <v>2768</v>
      </c>
      <c r="V2639" s="50" t="s">
        <v>1394</v>
      </c>
      <c r="W2639" s="50" t="s">
        <v>1722</v>
      </c>
      <c r="X2639" s="50" t="s">
        <v>1394</v>
      </c>
      <c r="Y2639" s="50" t="s">
        <v>1417</v>
      </c>
      <c r="AA2639" s="330">
        <v>44</v>
      </c>
      <c r="AB2639" s="330">
        <f t="shared" si="378"/>
        <v>6</v>
      </c>
      <c r="AC2639" s="37" t="s">
        <v>796</v>
      </c>
      <c r="AD2639" s="37">
        <v>5.6</v>
      </c>
      <c r="AE2639" s="37">
        <v>0.9</v>
      </c>
      <c r="AG2639" s="37" t="s">
        <v>2769</v>
      </c>
      <c r="AH2639" s="37" t="s">
        <v>2775</v>
      </c>
      <c r="AI2639" s="37" t="s">
        <v>1583</v>
      </c>
      <c r="AJ2639" s="37" t="s">
        <v>1601</v>
      </c>
      <c r="AK2639" s="37" t="s">
        <v>1601</v>
      </c>
      <c r="AT2639" s="37" t="s">
        <v>2778</v>
      </c>
      <c r="AU2639" s="37" t="s">
        <v>2779</v>
      </c>
      <c r="AW2639" s="37" t="s">
        <v>2780</v>
      </c>
      <c r="AX2639" s="37">
        <v>3</v>
      </c>
      <c r="AZ2639" s="37" t="s">
        <v>141</v>
      </c>
      <c r="CE2639" s="559"/>
      <c r="CF2639" s="559"/>
      <c r="CG2639" s="556"/>
      <c r="CH2639" s="556"/>
      <c r="EC2639" s="37">
        <v>0.9</v>
      </c>
      <c r="ED2639" s="37">
        <v>1</v>
      </c>
      <c r="EG2639" s="37" t="s">
        <v>2412</v>
      </c>
    </row>
    <row r="2640" spans="1:264" s="36" customFormat="1" x14ac:dyDescent="0.25">
      <c r="A2640" s="36">
        <v>123</v>
      </c>
      <c r="B2640" s="51" t="s">
        <v>4342</v>
      </c>
      <c r="C2640" s="36" t="s">
        <v>2765</v>
      </c>
      <c r="D2640" s="36" t="s">
        <v>2764</v>
      </c>
      <c r="E2640" s="36">
        <v>2003</v>
      </c>
      <c r="F2640" s="36">
        <v>2000</v>
      </c>
      <c r="G2640" s="36" t="s">
        <v>2766</v>
      </c>
      <c r="H2640" s="36" t="s">
        <v>2767</v>
      </c>
      <c r="I2640" s="36" t="s">
        <v>2829</v>
      </c>
      <c r="J2640" s="36">
        <f t="shared" si="377"/>
        <v>-14.25</v>
      </c>
      <c r="K2640" s="36">
        <v>32</v>
      </c>
      <c r="L2640" s="36">
        <v>988</v>
      </c>
      <c r="P2640" s="36">
        <v>850</v>
      </c>
      <c r="R2640" s="51" t="s">
        <v>1858</v>
      </c>
      <c r="S2640" s="51" t="s">
        <v>1843</v>
      </c>
      <c r="T2640" s="51"/>
      <c r="U2640" s="51" t="s">
        <v>2768</v>
      </c>
      <c r="V2640" s="51" t="s">
        <v>1401</v>
      </c>
      <c r="W2640" s="51" t="s">
        <v>1722</v>
      </c>
      <c r="X2640" s="51" t="s">
        <v>1394</v>
      </c>
      <c r="Y2640" s="51" t="s">
        <v>1417</v>
      </c>
      <c r="AA2640" s="331">
        <v>44</v>
      </c>
      <c r="AB2640" s="331">
        <f t="shared" si="378"/>
        <v>6</v>
      </c>
      <c r="AC2640" s="36" t="s">
        <v>796</v>
      </c>
      <c r="AD2640" s="36">
        <v>5.6</v>
      </c>
      <c r="AE2640" s="36">
        <v>0.9</v>
      </c>
      <c r="AG2640" s="36" t="s">
        <v>2769</v>
      </c>
      <c r="AH2640" s="36" t="s">
        <v>2770</v>
      </c>
      <c r="AI2640" s="36" t="s">
        <v>577</v>
      </c>
      <c r="AJ2640" s="36" t="s">
        <v>1601</v>
      </c>
      <c r="AK2640" s="36" t="s">
        <v>1601</v>
      </c>
      <c r="AT2640" s="36" t="s">
        <v>2778</v>
      </c>
      <c r="AU2640" s="36" t="s">
        <v>2779</v>
      </c>
      <c r="AW2640" s="36" t="s">
        <v>2780</v>
      </c>
      <c r="AX2640" s="36">
        <v>3</v>
      </c>
      <c r="AZ2640" s="36" t="s">
        <v>141</v>
      </c>
      <c r="BP2640" s="407"/>
      <c r="BQ2640" s="407"/>
      <c r="BU2640" s="407"/>
      <c r="BV2640" s="407"/>
      <c r="BZ2640" s="407"/>
      <c r="CA2640" s="407"/>
      <c r="CE2640" s="560"/>
      <c r="CF2640" s="560"/>
      <c r="CG2640" s="560"/>
      <c r="CH2640" s="560"/>
      <c r="EC2640" s="36">
        <v>1.6</v>
      </c>
      <c r="ED2640" s="36">
        <v>1.1000000000000001</v>
      </c>
      <c r="EG2640" s="36" t="s">
        <v>2412</v>
      </c>
      <c r="JD2640" s="230"/>
    </row>
    <row r="2641" spans="1:264" s="36" customFormat="1" x14ac:dyDescent="0.25">
      <c r="A2641" s="36">
        <v>123</v>
      </c>
      <c r="B2641" s="51" t="s">
        <v>4342</v>
      </c>
      <c r="C2641" s="36" t="s">
        <v>2765</v>
      </c>
      <c r="D2641" s="36" t="s">
        <v>2764</v>
      </c>
      <c r="E2641" s="36">
        <v>2003</v>
      </c>
      <c r="F2641" s="36">
        <v>2000</v>
      </c>
      <c r="G2641" s="36" t="s">
        <v>2766</v>
      </c>
      <c r="H2641" s="36" t="s">
        <v>2767</v>
      </c>
      <c r="I2641" s="36" t="s">
        <v>2829</v>
      </c>
      <c r="J2641" s="36">
        <f t="shared" si="377"/>
        <v>-14.25</v>
      </c>
      <c r="K2641" s="36">
        <v>32</v>
      </c>
      <c r="L2641" s="36">
        <v>988</v>
      </c>
      <c r="P2641" s="36">
        <v>850</v>
      </c>
      <c r="R2641" s="51" t="s">
        <v>1858</v>
      </c>
      <c r="S2641" s="51" t="s">
        <v>1843</v>
      </c>
      <c r="T2641" s="51"/>
      <c r="U2641" s="51" t="s">
        <v>2768</v>
      </c>
      <c r="V2641" s="51" t="s">
        <v>1401</v>
      </c>
      <c r="W2641" s="51" t="s">
        <v>1722</v>
      </c>
      <c r="X2641" s="51" t="s">
        <v>1394</v>
      </c>
      <c r="Y2641" s="51" t="s">
        <v>1417</v>
      </c>
      <c r="AA2641" s="331">
        <v>44</v>
      </c>
      <c r="AB2641" s="331">
        <f t="shared" si="378"/>
        <v>6</v>
      </c>
      <c r="AC2641" s="36" t="s">
        <v>796</v>
      </c>
      <c r="AD2641" s="36">
        <v>5.6</v>
      </c>
      <c r="AE2641" s="36">
        <v>0.9</v>
      </c>
      <c r="AG2641" s="36" t="s">
        <v>2769</v>
      </c>
      <c r="AH2641" s="36" t="s">
        <v>2697</v>
      </c>
      <c r="AI2641" s="36" t="s">
        <v>577</v>
      </c>
      <c r="AJ2641" s="36" t="s">
        <v>1601</v>
      </c>
      <c r="AK2641" s="36" t="s">
        <v>1601</v>
      </c>
      <c r="AT2641" s="36" t="s">
        <v>2778</v>
      </c>
      <c r="AU2641" s="36" t="s">
        <v>2779</v>
      </c>
      <c r="AW2641" s="36" t="s">
        <v>2780</v>
      </c>
      <c r="AX2641" s="36">
        <v>3</v>
      </c>
      <c r="AZ2641" s="36" t="s">
        <v>141</v>
      </c>
      <c r="BP2641" s="407"/>
      <c r="BQ2641" s="407"/>
      <c r="BU2641" s="407"/>
      <c r="BV2641" s="407"/>
      <c r="BZ2641" s="407"/>
      <c r="CA2641" s="407"/>
      <c r="CE2641" s="560"/>
      <c r="CF2641" s="560"/>
      <c r="CG2641" s="560"/>
      <c r="CH2641" s="560"/>
      <c r="EC2641" s="36">
        <v>1.6</v>
      </c>
      <c r="ED2641" s="36">
        <v>0.9</v>
      </c>
      <c r="EG2641" s="36" t="s">
        <v>2412</v>
      </c>
      <c r="JD2641" s="230"/>
    </row>
    <row r="2642" spans="1:264" s="36" customFormat="1" x14ac:dyDescent="0.25">
      <c r="A2642" s="36">
        <v>123</v>
      </c>
      <c r="B2642" s="51" t="s">
        <v>4342</v>
      </c>
      <c r="C2642" s="36" t="s">
        <v>2765</v>
      </c>
      <c r="D2642" s="36" t="s">
        <v>2764</v>
      </c>
      <c r="E2642" s="36">
        <v>2003</v>
      </c>
      <c r="F2642" s="36">
        <v>2000</v>
      </c>
      <c r="G2642" s="36" t="s">
        <v>2766</v>
      </c>
      <c r="H2642" s="36" t="s">
        <v>2767</v>
      </c>
      <c r="I2642" s="36" t="s">
        <v>2829</v>
      </c>
      <c r="J2642" s="36">
        <f t="shared" si="377"/>
        <v>-14.25</v>
      </c>
      <c r="K2642" s="36">
        <v>32</v>
      </c>
      <c r="L2642" s="36">
        <v>988</v>
      </c>
      <c r="P2642" s="36">
        <v>850</v>
      </c>
      <c r="R2642" s="51" t="s">
        <v>1858</v>
      </c>
      <c r="S2642" s="51" t="s">
        <v>1843</v>
      </c>
      <c r="T2642" s="51"/>
      <c r="U2642" s="51" t="s">
        <v>2768</v>
      </c>
      <c r="V2642" s="51" t="s">
        <v>1401</v>
      </c>
      <c r="W2642" s="51" t="s">
        <v>1722</v>
      </c>
      <c r="X2642" s="51" t="s">
        <v>1394</v>
      </c>
      <c r="Y2642" s="51" t="s">
        <v>1417</v>
      </c>
      <c r="AA2642" s="331">
        <v>44</v>
      </c>
      <c r="AB2642" s="331">
        <f t="shared" si="378"/>
        <v>6</v>
      </c>
      <c r="AC2642" s="36" t="s">
        <v>796</v>
      </c>
      <c r="AD2642" s="36">
        <v>5.6</v>
      </c>
      <c r="AE2642" s="36">
        <v>0.9</v>
      </c>
      <c r="AG2642" s="36" t="s">
        <v>2769</v>
      </c>
      <c r="AH2642" s="36" t="s">
        <v>2771</v>
      </c>
      <c r="AI2642" s="36" t="s">
        <v>577</v>
      </c>
      <c r="AJ2642" s="36" t="s">
        <v>1601</v>
      </c>
      <c r="AK2642" s="36" t="s">
        <v>1601</v>
      </c>
      <c r="AT2642" s="36" t="s">
        <v>2778</v>
      </c>
      <c r="AU2642" s="36" t="s">
        <v>2779</v>
      </c>
      <c r="AW2642" s="36" t="s">
        <v>2780</v>
      </c>
      <c r="AX2642" s="36">
        <v>3</v>
      </c>
      <c r="AZ2642" s="36" t="s">
        <v>141</v>
      </c>
      <c r="BP2642" s="407"/>
      <c r="BQ2642" s="407"/>
      <c r="BU2642" s="407"/>
      <c r="BV2642" s="407"/>
      <c r="BZ2642" s="407"/>
      <c r="CA2642" s="407"/>
      <c r="CE2642" s="560"/>
      <c r="CF2642" s="560"/>
      <c r="CG2642" s="560"/>
      <c r="CH2642" s="560"/>
      <c r="EC2642" s="36">
        <v>1.6</v>
      </c>
      <c r="ED2642" s="36">
        <v>1.1000000000000001</v>
      </c>
      <c r="EG2642" s="36" t="s">
        <v>2412</v>
      </c>
      <c r="JD2642" s="230"/>
    </row>
    <row r="2643" spans="1:264" s="36" customFormat="1" x14ac:dyDescent="0.25">
      <c r="A2643" s="36">
        <v>123</v>
      </c>
      <c r="B2643" s="51" t="s">
        <v>4342</v>
      </c>
      <c r="C2643" s="36" t="s">
        <v>2765</v>
      </c>
      <c r="D2643" s="36" t="s">
        <v>2764</v>
      </c>
      <c r="E2643" s="36">
        <v>2003</v>
      </c>
      <c r="F2643" s="36">
        <v>2000</v>
      </c>
      <c r="G2643" s="36" t="s">
        <v>2766</v>
      </c>
      <c r="H2643" s="36" t="s">
        <v>2767</v>
      </c>
      <c r="I2643" s="36" t="s">
        <v>2829</v>
      </c>
      <c r="J2643" s="36">
        <f t="shared" si="377"/>
        <v>-14.25</v>
      </c>
      <c r="K2643" s="36">
        <v>32</v>
      </c>
      <c r="L2643" s="36">
        <v>988</v>
      </c>
      <c r="P2643" s="36">
        <v>850</v>
      </c>
      <c r="R2643" s="51" t="s">
        <v>1858</v>
      </c>
      <c r="S2643" s="51" t="s">
        <v>1843</v>
      </c>
      <c r="T2643" s="51"/>
      <c r="U2643" s="51" t="s">
        <v>2768</v>
      </c>
      <c r="V2643" s="51" t="s">
        <v>1401</v>
      </c>
      <c r="W2643" s="51" t="s">
        <v>1722</v>
      </c>
      <c r="X2643" s="51" t="s">
        <v>1394</v>
      </c>
      <c r="Y2643" s="51" t="s">
        <v>1417</v>
      </c>
      <c r="AA2643" s="331">
        <v>44</v>
      </c>
      <c r="AB2643" s="331">
        <f t="shared" si="378"/>
        <v>6</v>
      </c>
      <c r="AC2643" s="36" t="s">
        <v>796</v>
      </c>
      <c r="AD2643" s="36">
        <v>5.6</v>
      </c>
      <c r="AE2643" s="36">
        <v>0.9</v>
      </c>
      <c r="AG2643" s="36" t="s">
        <v>2769</v>
      </c>
      <c r="AH2643" s="36" t="s">
        <v>2774</v>
      </c>
      <c r="AI2643" s="36" t="s">
        <v>577</v>
      </c>
      <c r="AJ2643" s="36" t="s">
        <v>1601</v>
      </c>
      <c r="AK2643" s="36" t="s">
        <v>1601</v>
      </c>
      <c r="AT2643" s="36" t="s">
        <v>2778</v>
      </c>
      <c r="AU2643" s="36" t="s">
        <v>2779</v>
      </c>
      <c r="AW2643" s="36" t="s">
        <v>2780</v>
      </c>
      <c r="AX2643" s="36">
        <v>3</v>
      </c>
      <c r="AZ2643" s="36" t="s">
        <v>141</v>
      </c>
      <c r="BP2643" s="407"/>
      <c r="BQ2643" s="407"/>
      <c r="BU2643" s="407"/>
      <c r="BV2643" s="407"/>
      <c r="BZ2643" s="407"/>
      <c r="CA2643" s="407"/>
      <c r="CE2643" s="560"/>
      <c r="CF2643" s="560"/>
      <c r="CG2643" s="560"/>
      <c r="CH2643" s="560"/>
      <c r="EC2643" s="36">
        <v>1.6</v>
      </c>
      <c r="ED2643" s="36">
        <v>1.6</v>
      </c>
      <c r="EG2643" s="36" t="s">
        <v>2412</v>
      </c>
      <c r="JD2643" s="230"/>
    </row>
    <row r="2644" spans="1:264" s="36" customFormat="1" x14ac:dyDescent="0.25">
      <c r="A2644" s="36">
        <v>123</v>
      </c>
      <c r="B2644" s="51" t="s">
        <v>4342</v>
      </c>
      <c r="C2644" s="36" t="s">
        <v>2765</v>
      </c>
      <c r="D2644" s="36" t="s">
        <v>2764</v>
      </c>
      <c r="E2644" s="36">
        <v>2003</v>
      </c>
      <c r="F2644" s="36">
        <v>2000</v>
      </c>
      <c r="G2644" s="36" t="s">
        <v>2766</v>
      </c>
      <c r="H2644" s="36" t="s">
        <v>2767</v>
      </c>
      <c r="I2644" s="36" t="s">
        <v>2829</v>
      </c>
      <c r="J2644" s="36">
        <f t="shared" si="377"/>
        <v>-14.25</v>
      </c>
      <c r="K2644" s="36">
        <v>32</v>
      </c>
      <c r="L2644" s="36">
        <v>988</v>
      </c>
      <c r="P2644" s="36">
        <v>850</v>
      </c>
      <c r="R2644" s="51" t="s">
        <v>1858</v>
      </c>
      <c r="S2644" s="51" t="s">
        <v>1843</v>
      </c>
      <c r="T2644" s="51"/>
      <c r="U2644" s="51" t="s">
        <v>2768</v>
      </c>
      <c r="V2644" s="51" t="s">
        <v>1401</v>
      </c>
      <c r="W2644" s="51" t="s">
        <v>1722</v>
      </c>
      <c r="X2644" s="51" t="s">
        <v>1394</v>
      </c>
      <c r="Y2644" s="51" t="s">
        <v>1417</v>
      </c>
      <c r="AA2644" s="331">
        <v>44</v>
      </c>
      <c r="AB2644" s="331">
        <f t="shared" si="378"/>
        <v>6</v>
      </c>
      <c r="AC2644" s="36" t="s">
        <v>796</v>
      </c>
      <c r="AD2644" s="36">
        <v>5.6</v>
      </c>
      <c r="AE2644" s="36">
        <v>0.9</v>
      </c>
      <c r="AG2644" s="36" t="s">
        <v>2769</v>
      </c>
      <c r="AH2644" s="36" t="s">
        <v>2772</v>
      </c>
      <c r="AI2644" s="36" t="s">
        <v>1583</v>
      </c>
      <c r="AJ2644" s="36" t="s">
        <v>1601</v>
      </c>
      <c r="AK2644" s="36" t="s">
        <v>1601</v>
      </c>
      <c r="AT2644" s="36" t="s">
        <v>2778</v>
      </c>
      <c r="AU2644" s="36" t="s">
        <v>2779</v>
      </c>
      <c r="AW2644" s="36" t="s">
        <v>2780</v>
      </c>
      <c r="AX2644" s="36">
        <v>3</v>
      </c>
      <c r="AZ2644" s="36" t="s">
        <v>141</v>
      </c>
      <c r="BP2644" s="407"/>
      <c r="BQ2644" s="407"/>
      <c r="BU2644" s="407"/>
      <c r="BV2644" s="407"/>
      <c r="BZ2644" s="407"/>
      <c r="CA2644" s="407"/>
      <c r="CE2644" s="560"/>
      <c r="CF2644" s="560"/>
      <c r="CG2644" s="560"/>
      <c r="CH2644" s="560"/>
      <c r="EC2644" s="36">
        <v>1.6</v>
      </c>
      <c r="ED2644" s="36">
        <v>0.8</v>
      </c>
      <c r="EG2644" s="36" t="s">
        <v>2412</v>
      </c>
      <c r="JD2644" s="230"/>
    </row>
    <row r="2645" spans="1:264" s="36" customFormat="1" x14ac:dyDescent="0.25">
      <c r="A2645" s="36">
        <v>123</v>
      </c>
      <c r="B2645" s="51" t="s">
        <v>4342</v>
      </c>
      <c r="C2645" s="36" t="s">
        <v>2765</v>
      </c>
      <c r="D2645" s="36" t="s">
        <v>2764</v>
      </c>
      <c r="E2645" s="36">
        <v>2003</v>
      </c>
      <c r="F2645" s="36">
        <v>2000</v>
      </c>
      <c r="G2645" s="36" t="s">
        <v>2766</v>
      </c>
      <c r="H2645" s="36" t="s">
        <v>2767</v>
      </c>
      <c r="I2645" s="36" t="s">
        <v>2829</v>
      </c>
      <c r="J2645" s="36">
        <f t="shared" si="377"/>
        <v>-14.25</v>
      </c>
      <c r="K2645" s="36">
        <v>32</v>
      </c>
      <c r="L2645" s="36">
        <v>988</v>
      </c>
      <c r="P2645" s="36">
        <v>850</v>
      </c>
      <c r="R2645" s="51" t="s">
        <v>1858</v>
      </c>
      <c r="S2645" s="51" t="s">
        <v>1843</v>
      </c>
      <c r="T2645" s="51"/>
      <c r="U2645" s="51" t="s">
        <v>2768</v>
      </c>
      <c r="V2645" s="51" t="s">
        <v>1401</v>
      </c>
      <c r="W2645" s="51" t="s">
        <v>1722</v>
      </c>
      <c r="X2645" s="51" t="s">
        <v>1394</v>
      </c>
      <c r="Y2645" s="51" t="s">
        <v>1417</v>
      </c>
      <c r="AA2645" s="331">
        <v>44</v>
      </c>
      <c r="AB2645" s="331">
        <f t="shared" si="378"/>
        <v>6</v>
      </c>
      <c r="AC2645" s="36" t="s">
        <v>796</v>
      </c>
      <c r="AD2645" s="36">
        <v>5.6</v>
      </c>
      <c r="AE2645" s="36">
        <v>0.9</v>
      </c>
      <c r="AG2645" s="36" t="s">
        <v>2769</v>
      </c>
      <c r="AH2645" s="36" t="s">
        <v>2773</v>
      </c>
      <c r="AI2645" s="36" t="s">
        <v>1583</v>
      </c>
      <c r="AJ2645" s="36" t="s">
        <v>1601</v>
      </c>
      <c r="AK2645" s="36" t="s">
        <v>1601</v>
      </c>
      <c r="AT2645" s="36" t="s">
        <v>2778</v>
      </c>
      <c r="AU2645" s="36" t="s">
        <v>2779</v>
      </c>
      <c r="AW2645" s="36" t="s">
        <v>2780</v>
      </c>
      <c r="AX2645" s="36">
        <v>3</v>
      </c>
      <c r="AZ2645" s="36" t="s">
        <v>141</v>
      </c>
      <c r="BP2645" s="407"/>
      <c r="BQ2645" s="407"/>
      <c r="BU2645" s="407"/>
      <c r="BV2645" s="407"/>
      <c r="BZ2645" s="407"/>
      <c r="CA2645" s="407"/>
      <c r="CE2645" s="560"/>
      <c r="CF2645" s="560"/>
      <c r="CG2645" s="560"/>
      <c r="CH2645" s="560"/>
      <c r="EC2645" s="36">
        <v>1.6</v>
      </c>
      <c r="ED2645" s="36">
        <v>0.8</v>
      </c>
      <c r="EG2645" s="36" t="s">
        <v>2412</v>
      </c>
      <c r="JD2645" s="230"/>
    </row>
    <row r="2646" spans="1:264" s="36" customFormat="1" x14ac:dyDescent="0.25">
      <c r="A2646" s="36">
        <v>123</v>
      </c>
      <c r="B2646" s="51" t="s">
        <v>4342</v>
      </c>
      <c r="C2646" s="36" t="s">
        <v>2765</v>
      </c>
      <c r="D2646" s="36" t="s">
        <v>2764</v>
      </c>
      <c r="E2646" s="36">
        <v>2003</v>
      </c>
      <c r="F2646" s="36">
        <v>2000</v>
      </c>
      <c r="G2646" s="36" t="s">
        <v>2766</v>
      </c>
      <c r="H2646" s="36" t="s">
        <v>2767</v>
      </c>
      <c r="I2646" s="36" t="s">
        <v>2829</v>
      </c>
      <c r="J2646" s="36">
        <f t="shared" si="377"/>
        <v>-14.25</v>
      </c>
      <c r="K2646" s="36">
        <v>32</v>
      </c>
      <c r="L2646" s="36">
        <v>988</v>
      </c>
      <c r="P2646" s="36">
        <v>850</v>
      </c>
      <c r="R2646" s="51" t="s">
        <v>1858</v>
      </c>
      <c r="S2646" s="51" t="s">
        <v>1843</v>
      </c>
      <c r="T2646" s="51"/>
      <c r="U2646" s="51" t="s">
        <v>2768</v>
      </c>
      <c r="V2646" s="51" t="s">
        <v>1401</v>
      </c>
      <c r="W2646" s="51" t="s">
        <v>1722</v>
      </c>
      <c r="X2646" s="51" t="s">
        <v>1394</v>
      </c>
      <c r="Y2646" s="51" t="s">
        <v>1417</v>
      </c>
      <c r="AA2646" s="331">
        <v>44</v>
      </c>
      <c r="AB2646" s="331">
        <f t="shared" si="378"/>
        <v>6</v>
      </c>
      <c r="AC2646" s="36" t="s">
        <v>796</v>
      </c>
      <c r="AD2646" s="36">
        <v>5.6</v>
      </c>
      <c r="AE2646" s="36">
        <v>0.9</v>
      </c>
      <c r="AG2646" s="36" t="s">
        <v>2769</v>
      </c>
      <c r="AH2646" s="36" t="s">
        <v>2775</v>
      </c>
      <c r="AI2646" s="36" t="s">
        <v>1583</v>
      </c>
      <c r="AJ2646" s="36" t="s">
        <v>1601</v>
      </c>
      <c r="AK2646" s="36" t="s">
        <v>1601</v>
      </c>
      <c r="AT2646" s="36" t="s">
        <v>2778</v>
      </c>
      <c r="AU2646" s="36" t="s">
        <v>2779</v>
      </c>
      <c r="AW2646" s="36" t="s">
        <v>2780</v>
      </c>
      <c r="AX2646" s="36">
        <v>3</v>
      </c>
      <c r="AZ2646" s="36" t="s">
        <v>141</v>
      </c>
      <c r="BP2646" s="407"/>
      <c r="BQ2646" s="407"/>
      <c r="BU2646" s="407"/>
      <c r="BV2646" s="407"/>
      <c r="BZ2646" s="407"/>
      <c r="CA2646" s="407"/>
      <c r="CE2646" s="560"/>
      <c r="CF2646" s="560"/>
      <c r="CG2646" s="560"/>
      <c r="CH2646" s="560"/>
      <c r="EC2646" s="36">
        <v>1.6</v>
      </c>
      <c r="ED2646" s="36">
        <v>1.2</v>
      </c>
      <c r="EG2646" s="36" t="s">
        <v>2412</v>
      </c>
      <c r="JD2646" s="230"/>
    </row>
    <row r="2647" spans="1:264" x14ac:dyDescent="0.25">
      <c r="A2647" s="37">
        <v>123</v>
      </c>
      <c r="B2647" s="50" t="s">
        <v>4343</v>
      </c>
      <c r="C2647" s="37" t="s">
        <v>2765</v>
      </c>
      <c r="D2647" s="37" t="s">
        <v>2764</v>
      </c>
      <c r="E2647" s="37">
        <v>2003</v>
      </c>
      <c r="F2647" s="37">
        <v>2000</v>
      </c>
      <c r="G2647" s="37" t="s">
        <v>2766</v>
      </c>
      <c r="H2647" s="37" t="s">
        <v>2767</v>
      </c>
      <c r="I2647" s="37" t="s">
        <v>2829</v>
      </c>
      <c r="J2647" s="37">
        <f t="shared" si="377"/>
        <v>-14.25</v>
      </c>
      <c r="K2647" s="37">
        <v>32</v>
      </c>
      <c r="L2647" s="37">
        <v>988</v>
      </c>
      <c r="P2647" s="37">
        <v>850</v>
      </c>
      <c r="R2647" s="50" t="s">
        <v>1858</v>
      </c>
      <c r="S2647" s="50" t="s">
        <v>1843</v>
      </c>
      <c r="U2647" s="50" t="s">
        <v>2768</v>
      </c>
      <c r="V2647" s="50" t="s">
        <v>1409</v>
      </c>
      <c r="W2647" s="50" t="s">
        <v>1722</v>
      </c>
      <c r="X2647" s="50" t="s">
        <v>1394</v>
      </c>
      <c r="Y2647" s="50" t="s">
        <v>1417</v>
      </c>
      <c r="AA2647" s="330">
        <v>44</v>
      </c>
      <c r="AB2647" s="330">
        <f t="shared" si="378"/>
        <v>6</v>
      </c>
      <c r="AC2647" s="37" t="s">
        <v>796</v>
      </c>
      <c r="AD2647" s="37">
        <v>5.6</v>
      </c>
      <c r="AE2647" s="37">
        <v>0.9</v>
      </c>
      <c r="AG2647" s="37" t="s">
        <v>2769</v>
      </c>
      <c r="AH2647" s="37" t="s">
        <v>2770</v>
      </c>
      <c r="AI2647" s="37" t="s">
        <v>577</v>
      </c>
      <c r="AJ2647" s="37" t="s">
        <v>1601</v>
      </c>
      <c r="AK2647" s="37" t="s">
        <v>1601</v>
      </c>
      <c r="AT2647" s="37" t="s">
        <v>2778</v>
      </c>
      <c r="AU2647" s="37" t="s">
        <v>2779</v>
      </c>
      <c r="AW2647" s="37" t="s">
        <v>2780</v>
      </c>
      <c r="AX2647" s="37">
        <v>3</v>
      </c>
      <c r="AZ2647" s="37" t="s">
        <v>141</v>
      </c>
      <c r="CE2647" s="559"/>
      <c r="CF2647" s="559"/>
      <c r="CG2647" s="556"/>
      <c r="CH2647" s="556"/>
      <c r="EC2647" s="37">
        <v>3</v>
      </c>
      <c r="ED2647" s="37">
        <v>2.2999999999999998</v>
      </c>
      <c r="EG2647" s="37" t="s">
        <v>2412</v>
      </c>
    </row>
    <row r="2648" spans="1:264" x14ac:dyDescent="0.25">
      <c r="A2648" s="37">
        <v>123</v>
      </c>
      <c r="B2648" s="50" t="s">
        <v>4343</v>
      </c>
      <c r="C2648" s="37" t="s">
        <v>2765</v>
      </c>
      <c r="D2648" s="37" t="s">
        <v>2764</v>
      </c>
      <c r="E2648" s="37">
        <v>2003</v>
      </c>
      <c r="F2648" s="37">
        <v>2000</v>
      </c>
      <c r="G2648" s="37" t="s">
        <v>2766</v>
      </c>
      <c r="H2648" s="37" t="s">
        <v>2767</v>
      </c>
      <c r="I2648" s="37" t="s">
        <v>2829</v>
      </c>
      <c r="J2648" s="37">
        <f t="shared" si="377"/>
        <v>-14.25</v>
      </c>
      <c r="K2648" s="37">
        <v>32</v>
      </c>
      <c r="L2648" s="37">
        <v>988</v>
      </c>
      <c r="P2648" s="37">
        <v>850</v>
      </c>
      <c r="R2648" s="50" t="s">
        <v>1858</v>
      </c>
      <c r="S2648" s="50" t="s">
        <v>1843</v>
      </c>
      <c r="U2648" s="50" t="s">
        <v>2768</v>
      </c>
      <c r="V2648" s="50" t="s">
        <v>1409</v>
      </c>
      <c r="W2648" s="50" t="s">
        <v>1722</v>
      </c>
      <c r="X2648" s="50" t="s">
        <v>1394</v>
      </c>
      <c r="Y2648" s="50" t="s">
        <v>1417</v>
      </c>
      <c r="AA2648" s="330">
        <v>44</v>
      </c>
      <c r="AB2648" s="330">
        <f t="shared" si="378"/>
        <v>6</v>
      </c>
      <c r="AC2648" s="37" t="s">
        <v>796</v>
      </c>
      <c r="AD2648" s="37">
        <v>5.6</v>
      </c>
      <c r="AE2648" s="37">
        <v>0.9</v>
      </c>
      <c r="AG2648" s="37" t="s">
        <v>2769</v>
      </c>
      <c r="AH2648" s="37" t="s">
        <v>2697</v>
      </c>
      <c r="AI2648" s="37" t="s">
        <v>577</v>
      </c>
      <c r="AJ2648" s="37" t="s">
        <v>1601</v>
      </c>
      <c r="AK2648" s="37" t="s">
        <v>1601</v>
      </c>
      <c r="AT2648" s="37" t="s">
        <v>2778</v>
      </c>
      <c r="AU2648" s="37" t="s">
        <v>2779</v>
      </c>
      <c r="AW2648" s="37" t="s">
        <v>2780</v>
      </c>
      <c r="AX2648" s="37">
        <v>3</v>
      </c>
      <c r="AZ2648" s="37" t="s">
        <v>141</v>
      </c>
      <c r="CE2648" s="559"/>
      <c r="CF2648" s="559"/>
      <c r="CG2648" s="556"/>
      <c r="CH2648" s="556"/>
      <c r="EC2648" s="37">
        <v>3</v>
      </c>
      <c r="ED2648" s="37">
        <v>2</v>
      </c>
      <c r="EG2648" s="37" t="s">
        <v>2412</v>
      </c>
    </row>
    <row r="2649" spans="1:264" x14ac:dyDescent="0.25">
      <c r="A2649" s="37">
        <v>123</v>
      </c>
      <c r="B2649" s="50" t="s">
        <v>4343</v>
      </c>
      <c r="C2649" s="37" t="s">
        <v>2765</v>
      </c>
      <c r="D2649" s="37" t="s">
        <v>2764</v>
      </c>
      <c r="E2649" s="37">
        <v>2003</v>
      </c>
      <c r="F2649" s="37">
        <v>2000</v>
      </c>
      <c r="G2649" s="37" t="s">
        <v>2766</v>
      </c>
      <c r="H2649" s="37" t="s">
        <v>2767</v>
      </c>
      <c r="I2649" s="37" t="s">
        <v>2829</v>
      </c>
      <c r="J2649" s="37">
        <f t="shared" si="377"/>
        <v>-14.25</v>
      </c>
      <c r="K2649" s="37">
        <v>32</v>
      </c>
      <c r="L2649" s="37">
        <v>988</v>
      </c>
      <c r="P2649" s="37">
        <v>850</v>
      </c>
      <c r="R2649" s="50" t="s">
        <v>1858</v>
      </c>
      <c r="S2649" s="50" t="s">
        <v>1843</v>
      </c>
      <c r="U2649" s="50" t="s">
        <v>2768</v>
      </c>
      <c r="V2649" s="50" t="s">
        <v>1409</v>
      </c>
      <c r="W2649" s="50" t="s">
        <v>1722</v>
      </c>
      <c r="X2649" s="50" t="s">
        <v>1394</v>
      </c>
      <c r="Y2649" s="50" t="s">
        <v>1417</v>
      </c>
      <c r="AA2649" s="330">
        <v>44</v>
      </c>
      <c r="AB2649" s="330">
        <f t="shared" si="378"/>
        <v>6</v>
      </c>
      <c r="AC2649" s="37" t="s">
        <v>796</v>
      </c>
      <c r="AD2649" s="37">
        <v>5.6</v>
      </c>
      <c r="AE2649" s="37">
        <v>0.9</v>
      </c>
      <c r="AG2649" s="37" t="s">
        <v>2769</v>
      </c>
      <c r="AH2649" s="37" t="s">
        <v>2771</v>
      </c>
      <c r="AI2649" s="37" t="s">
        <v>577</v>
      </c>
      <c r="AJ2649" s="37" t="s">
        <v>1601</v>
      </c>
      <c r="AK2649" s="37" t="s">
        <v>1601</v>
      </c>
      <c r="AT2649" s="37" t="s">
        <v>2778</v>
      </c>
      <c r="AU2649" s="37" t="s">
        <v>2779</v>
      </c>
      <c r="AW2649" s="37" t="s">
        <v>2780</v>
      </c>
      <c r="AX2649" s="37">
        <v>3</v>
      </c>
      <c r="AZ2649" s="37" t="s">
        <v>141</v>
      </c>
      <c r="CE2649" s="559"/>
      <c r="CF2649" s="559"/>
      <c r="CG2649" s="556"/>
      <c r="CH2649" s="556"/>
      <c r="EC2649" s="37">
        <v>3</v>
      </c>
      <c r="ED2649" s="37">
        <v>2.5</v>
      </c>
      <c r="EG2649" s="37" t="s">
        <v>2412</v>
      </c>
    </row>
    <row r="2650" spans="1:264" x14ac:dyDescent="0.25">
      <c r="A2650" s="37">
        <v>123</v>
      </c>
      <c r="B2650" s="50" t="s">
        <v>4343</v>
      </c>
      <c r="C2650" s="37" t="s">
        <v>2765</v>
      </c>
      <c r="D2650" s="37" t="s">
        <v>2764</v>
      </c>
      <c r="E2650" s="37">
        <v>2003</v>
      </c>
      <c r="F2650" s="37">
        <v>2000</v>
      </c>
      <c r="G2650" s="37" t="s">
        <v>2766</v>
      </c>
      <c r="H2650" s="37" t="s">
        <v>2767</v>
      </c>
      <c r="I2650" s="37" t="s">
        <v>2829</v>
      </c>
      <c r="J2650" s="37">
        <f t="shared" si="377"/>
        <v>-14.25</v>
      </c>
      <c r="K2650" s="37">
        <v>32</v>
      </c>
      <c r="L2650" s="37">
        <v>988</v>
      </c>
      <c r="P2650" s="37">
        <v>850</v>
      </c>
      <c r="R2650" s="50" t="s">
        <v>1858</v>
      </c>
      <c r="S2650" s="50" t="s">
        <v>1843</v>
      </c>
      <c r="U2650" s="50" t="s">
        <v>2768</v>
      </c>
      <c r="V2650" s="50" t="s">
        <v>1409</v>
      </c>
      <c r="W2650" s="50" t="s">
        <v>1722</v>
      </c>
      <c r="X2650" s="50" t="s">
        <v>1394</v>
      </c>
      <c r="Y2650" s="50" t="s">
        <v>1417</v>
      </c>
      <c r="AA2650" s="330">
        <v>44</v>
      </c>
      <c r="AB2650" s="330">
        <f t="shared" si="378"/>
        <v>6</v>
      </c>
      <c r="AC2650" s="37" t="s">
        <v>796</v>
      </c>
      <c r="AD2650" s="37">
        <v>5.6</v>
      </c>
      <c r="AE2650" s="37">
        <v>0.9</v>
      </c>
      <c r="AG2650" s="37" t="s">
        <v>2769</v>
      </c>
      <c r="AH2650" s="37" t="s">
        <v>2774</v>
      </c>
      <c r="AI2650" s="37" t="s">
        <v>577</v>
      </c>
      <c r="AJ2650" s="37" t="s">
        <v>1601</v>
      </c>
      <c r="AK2650" s="37" t="s">
        <v>1601</v>
      </c>
      <c r="AT2650" s="37" t="s">
        <v>2778</v>
      </c>
      <c r="AU2650" s="37" t="s">
        <v>2779</v>
      </c>
      <c r="AW2650" s="37" t="s">
        <v>2780</v>
      </c>
      <c r="AX2650" s="37">
        <v>3</v>
      </c>
      <c r="AZ2650" s="37" t="s">
        <v>141</v>
      </c>
      <c r="CE2650" s="559"/>
      <c r="CF2650" s="559"/>
      <c r="CG2650" s="556"/>
      <c r="CH2650" s="556"/>
      <c r="EC2650" s="37">
        <v>3</v>
      </c>
      <c r="ED2650" s="37">
        <v>2.6</v>
      </c>
      <c r="EG2650" s="37" t="s">
        <v>2412</v>
      </c>
    </row>
    <row r="2651" spans="1:264" x14ac:dyDescent="0.25">
      <c r="A2651" s="37">
        <v>123</v>
      </c>
      <c r="B2651" s="50" t="s">
        <v>4343</v>
      </c>
      <c r="C2651" s="37" t="s">
        <v>2765</v>
      </c>
      <c r="D2651" s="37" t="s">
        <v>2764</v>
      </c>
      <c r="E2651" s="37">
        <v>2003</v>
      </c>
      <c r="F2651" s="37">
        <v>2000</v>
      </c>
      <c r="G2651" s="37" t="s">
        <v>2766</v>
      </c>
      <c r="H2651" s="37" t="s">
        <v>2767</v>
      </c>
      <c r="I2651" s="37" t="s">
        <v>2829</v>
      </c>
      <c r="J2651" s="37">
        <f t="shared" si="377"/>
        <v>-14.25</v>
      </c>
      <c r="K2651" s="37">
        <v>32</v>
      </c>
      <c r="L2651" s="37">
        <v>988</v>
      </c>
      <c r="P2651" s="37">
        <v>850</v>
      </c>
      <c r="R2651" s="50" t="s">
        <v>1858</v>
      </c>
      <c r="S2651" s="50" t="s">
        <v>1843</v>
      </c>
      <c r="U2651" s="50" t="s">
        <v>2768</v>
      </c>
      <c r="V2651" s="50" t="s">
        <v>1409</v>
      </c>
      <c r="W2651" s="50" t="s">
        <v>1722</v>
      </c>
      <c r="X2651" s="50" t="s">
        <v>1394</v>
      </c>
      <c r="Y2651" s="50" t="s">
        <v>1417</v>
      </c>
      <c r="AA2651" s="330">
        <v>44</v>
      </c>
      <c r="AB2651" s="330">
        <f t="shared" si="378"/>
        <v>6</v>
      </c>
      <c r="AC2651" s="37" t="s">
        <v>796</v>
      </c>
      <c r="AD2651" s="37">
        <v>5.6</v>
      </c>
      <c r="AE2651" s="37">
        <v>0.9</v>
      </c>
      <c r="AG2651" s="37" t="s">
        <v>2769</v>
      </c>
      <c r="AH2651" s="37" t="s">
        <v>2772</v>
      </c>
      <c r="AI2651" s="37" t="s">
        <v>1583</v>
      </c>
      <c r="AJ2651" s="37" t="s">
        <v>1601</v>
      </c>
      <c r="AK2651" s="37" t="s">
        <v>1601</v>
      </c>
      <c r="AT2651" s="37" t="s">
        <v>2778</v>
      </c>
      <c r="AU2651" s="37" t="s">
        <v>2779</v>
      </c>
      <c r="AW2651" s="37" t="s">
        <v>2780</v>
      </c>
      <c r="AX2651" s="37">
        <v>3</v>
      </c>
      <c r="AZ2651" s="37" t="s">
        <v>141</v>
      </c>
      <c r="CE2651" s="559"/>
      <c r="CF2651" s="559"/>
      <c r="CG2651" s="556"/>
      <c r="CH2651" s="556"/>
      <c r="EC2651" s="37">
        <v>3</v>
      </c>
      <c r="ED2651" s="37">
        <v>1.7</v>
      </c>
      <c r="EG2651" s="37" t="s">
        <v>2412</v>
      </c>
    </row>
    <row r="2652" spans="1:264" x14ac:dyDescent="0.25">
      <c r="A2652" s="37">
        <v>123</v>
      </c>
      <c r="B2652" s="50" t="s">
        <v>4343</v>
      </c>
      <c r="C2652" s="37" t="s">
        <v>2765</v>
      </c>
      <c r="D2652" s="37" t="s">
        <v>2764</v>
      </c>
      <c r="E2652" s="37">
        <v>2003</v>
      </c>
      <c r="F2652" s="37">
        <v>2000</v>
      </c>
      <c r="G2652" s="37" t="s">
        <v>2766</v>
      </c>
      <c r="H2652" s="37" t="s">
        <v>2767</v>
      </c>
      <c r="I2652" s="37" t="s">
        <v>2829</v>
      </c>
      <c r="J2652" s="37">
        <f t="shared" si="377"/>
        <v>-14.25</v>
      </c>
      <c r="K2652" s="37">
        <v>32</v>
      </c>
      <c r="L2652" s="37">
        <v>988</v>
      </c>
      <c r="P2652" s="37">
        <v>850</v>
      </c>
      <c r="R2652" s="50" t="s">
        <v>1858</v>
      </c>
      <c r="S2652" s="50" t="s">
        <v>1843</v>
      </c>
      <c r="U2652" s="50" t="s">
        <v>2768</v>
      </c>
      <c r="V2652" s="50" t="s">
        <v>1409</v>
      </c>
      <c r="W2652" s="50" t="s">
        <v>1722</v>
      </c>
      <c r="X2652" s="50" t="s">
        <v>1394</v>
      </c>
      <c r="Y2652" s="50" t="s">
        <v>1417</v>
      </c>
      <c r="AA2652" s="330">
        <v>44</v>
      </c>
      <c r="AB2652" s="330">
        <f t="shared" si="378"/>
        <v>6</v>
      </c>
      <c r="AC2652" s="37" t="s">
        <v>796</v>
      </c>
      <c r="AD2652" s="37">
        <v>5.6</v>
      </c>
      <c r="AE2652" s="37">
        <v>0.9</v>
      </c>
      <c r="AG2652" s="37" t="s">
        <v>2769</v>
      </c>
      <c r="AH2652" s="37" t="s">
        <v>2773</v>
      </c>
      <c r="AI2652" s="37" t="s">
        <v>1583</v>
      </c>
      <c r="AJ2652" s="37" t="s">
        <v>1601</v>
      </c>
      <c r="AK2652" s="37" t="s">
        <v>1601</v>
      </c>
      <c r="AT2652" s="37" t="s">
        <v>2778</v>
      </c>
      <c r="AU2652" s="37" t="s">
        <v>2779</v>
      </c>
      <c r="AW2652" s="37" t="s">
        <v>2780</v>
      </c>
      <c r="AX2652" s="37">
        <v>3</v>
      </c>
      <c r="AZ2652" s="37" t="s">
        <v>141</v>
      </c>
      <c r="CE2652" s="559"/>
      <c r="CF2652" s="559"/>
      <c r="CG2652" s="556"/>
      <c r="CH2652" s="556"/>
      <c r="EC2652" s="37">
        <v>3</v>
      </c>
      <c r="ED2652" s="37">
        <v>2.1</v>
      </c>
      <c r="EG2652" s="37" t="s">
        <v>2412</v>
      </c>
    </row>
    <row r="2653" spans="1:264" x14ac:dyDescent="0.25">
      <c r="A2653" s="37">
        <v>123</v>
      </c>
      <c r="B2653" s="50" t="s">
        <v>4343</v>
      </c>
      <c r="C2653" s="37" t="s">
        <v>2765</v>
      </c>
      <c r="D2653" s="37" t="s">
        <v>2764</v>
      </c>
      <c r="E2653" s="37">
        <v>2003</v>
      </c>
      <c r="F2653" s="37">
        <v>2000</v>
      </c>
      <c r="G2653" s="37" t="s">
        <v>2766</v>
      </c>
      <c r="H2653" s="37" t="s">
        <v>2767</v>
      </c>
      <c r="I2653" s="37" t="s">
        <v>2829</v>
      </c>
      <c r="J2653" s="37">
        <f t="shared" si="377"/>
        <v>-14.25</v>
      </c>
      <c r="K2653" s="37">
        <v>32</v>
      </c>
      <c r="L2653" s="37">
        <v>988</v>
      </c>
      <c r="P2653" s="37">
        <v>850</v>
      </c>
      <c r="R2653" s="50" t="s">
        <v>1858</v>
      </c>
      <c r="S2653" s="50" t="s">
        <v>1843</v>
      </c>
      <c r="U2653" s="50" t="s">
        <v>2768</v>
      </c>
      <c r="V2653" s="50" t="s">
        <v>1409</v>
      </c>
      <c r="W2653" s="50" t="s">
        <v>1722</v>
      </c>
      <c r="X2653" s="50" t="s">
        <v>1394</v>
      </c>
      <c r="Y2653" s="50" t="s">
        <v>1417</v>
      </c>
      <c r="AA2653" s="330">
        <v>44</v>
      </c>
      <c r="AB2653" s="330">
        <f t="shared" si="378"/>
        <v>6</v>
      </c>
      <c r="AC2653" s="37" t="s">
        <v>796</v>
      </c>
      <c r="AD2653" s="37">
        <v>5.6</v>
      </c>
      <c r="AE2653" s="37">
        <v>0.9</v>
      </c>
      <c r="AG2653" s="37" t="s">
        <v>2769</v>
      </c>
      <c r="AH2653" s="37" t="s">
        <v>2775</v>
      </c>
      <c r="AI2653" s="37" t="s">
        <v>1583</v>
      </c>
      <c r="AJ2653" s="37" t="s">
        <v>1601</v>
      </c>
      <c r="AK2653" s="37" t="s">
        <v>1601</v>
      </c>
      <c r="AT2653" s="37" t="s">
        <v>2778</v>
      </c>
      <c r="AU2653" s="37" t="s">
        <v>2779</v>
      </c>
      <c r="AW2653" s="37" t="s">
        <v>2780</v>
      </c>
      <c r="AX2653" s="37">
        <v>3</v>
      </c>
      <c r="AZ2653" s="37" t="s">
        <v>141</v>
      </c>
      <c r="CE2653" s="559"/>
      <c r="CF2653" s="559"/>
      <c r="CG2653" s="556"/>
      <c r="CH2653" s="556"/>
      <c r="EC2653" s="37">
        <v>3</v>
      </c>
      <c r="ED2653" s="37">
        <v>2.2000000000000002</v>
      </c>
      <c r="EG2653" s="37" t="s">
        <v>2412</v>
      </c>
    </row>
    <row r="2654" spans="1:264" s="36" customFormat="1" x14ac:dyDescent="0.25">
      <c r="A2654" s="36">
        <v>123</v>
      </c>
      <c r="B2654" s="51" t="s">
        <v>4344</v>
      </c>
      <c r="C2654" s="36" t="s">
        <v>2765</v>
      </c>
      <c r="D2654" s="36" t="s">
        <v>2764</v>
      </c>
      <c r="E2654" s="36">
        <v>2003</v>
      </c>
      <c r="F2654" s="36">
        <v>2000</v>
      </c>
      <c r="G2654" s="36" t="s">
        <v>2766</v>
      </c>
      <c r="H2654" s="36" t="s">
        <v>2767</v>
      </c>
      <c r="I2654" s="36" t="s">
        <v>2829</v>
      </c>
      <c r="J2654" s="36">
        <f t="shared" si="377"/>
        <v>-14.25</v>
      </c>
      <c r="K2654" s="36">
        <v>32</v>
      </c>
      <c r="L2654" s="36">
        <v>988</v>
      </c>
      <c r="P2654" s="36">
        <v>850</v>
      </c>
      <c r="R2654" s="51" t="s">
        <v>1858</v>
      </c>
      <c r="S2654" s="51" t="s">
        <v>1843</v>
      </c>
      <c r="T2654" s="51"/>
      <c r="U2654" s="51" t="s">
        <v>2768</v>
      </c>
      <c r="V2654" s="51" t="s">
        <v>2076</v>
      </c>
      <c r="W2654" s="51" t="s">
        <v>1722</v>
      </c>
      <c r="X2654" s="51" t="s">
        <v>1394</v>
      </c>
      <c r="Y2654" s="51" t="s">
        <v>1417</v>
      </c>
      <c r="AA2654" s="331">
        <v>44</v>
      </c>
      <c r="AB2654" s="331">
        <f t="shared" si="378"/>
        <v>6</v>
      </c>
      <c r="AC2654" s="36" t="s">
        <v>796</v>
      </c>
      <c r="AD2654" s="36">
        <v>5.6</v>
      </c>
      <c r="AE2654" s="36">
        <v>0.9</v>
      </c>
      <c r="AG2654" s="36" t="s">
        <v>2769</v>
      </c>
      <c r="AH2654" s="36" t="s">
        <v>2770</v>
      </c>
      <c r="AI2654" s="36" t="s">
        <v>577</v>
      </c>
      <c r="AJ2654" s="36" t="s">
        <v>1601</v>
      </c>
      <c r="AK2654" s="36" t="s">
        <v>1601</v>
      </c>
      <c r="AT2654" s="36" t="s">
        <v>2778</v>
      </c>
      <c r="AU2654" s="36" t="s">
        <v>2779</v>
      </c>
      <c r="AW2654" s="36" t="s">
        <v>2780</v>
      </c>
      <c r="AX2654" s="36">
        <v>3</v>
      </c>
      <c r="AZ2654" s="36" t="s">
        <v>141</v>
      </c>
      <c r="BP2654" s="407"/>
      <c r="BQ2654" s="407"/>
      <c r="BU2654" s="407"/>
      <c r="BV2654" s="407"/>
      <c r="BZ2654" s="407"/>
      <c r="CA2654" s="407"/>
      <c r="CE2654" s="560"/>
      <c r="CF2654" s="560"/>
      <c r="CG2654" s="560"/>
      <c r="CH2654" s="560"/>
      <c r="EC2654" s="36">
        <v>3.8</v>
      </c>
      <c r="ED2654" s="36">
        <v>3.1</v>
      </c>
      <c r="EG2654" s="36" t="s">
        <v>2412</v>
      </c>
      <c r="JD2654" s="230"/>
    </row>
    <row r="2655" spans="1:264" s="36" customFormat="1" x14ac:dyDescent="0.25">
      <c r="A2655" s="36">
        <v>123</v>
      </c>
      <c r="B2655" s="51" t="s">
        <v>4344</v>
      </c>
      <c r="C2655" s="36" t="s">
        <v>2765</v>
      </c>
      <c r="D2655" s="36" t="s">
        <v>2764</v>
      </c>
      <c r="E2655" s="36">
        <v>2003</v>
      </c>
      <c r="F2655" s="36">
        <v>2000</v>
      </c>
      <c r="G2655" s="36" t="s">
        <v>2766</v>
      </c>
      <c r="H2655" s="36" t="s">
        <v>2767</v>
      </c>
      <c r="I2655" s="36" t="s">
        <v>2829</v>
      </c>
      <c r="J2655" s="36">
        <f t="shared" si="377"/>
        <v>-14.25</v>
      </c>
      <c r="K2655" s="36">
        <v>32</v>
      </c>
      <c r="L2655" s="36">
        <v>988</v>
      </c>
      <c r="P2655" s="36">
        <v>850</v>
      </c>
      <c r="R2655" s="51" t="s">
        <v>1858</v>
      </c>
      <c r="S2655" s="51" t="s">
        <v>1843</v>
      </c>
      <c r="T2655" s="51"/>
      <c r="U2655" s="51" t="s">
        <v>2768</v>
      </c>
      <c r="V2655" s="51" t="s">
        <v>2076</v>
      </c>
      <c r="W2655" s="51" t="s">
        <v>1722</v>
      </c>
      <c r="X2655" s="51" t="s">
        <v>1394</v>
      </c>
      <c r="Y2655" s="51" t="s">
        <v>1417</v>
      </c>
      <c r="AA2655" s="331">
        <v>44</v>
      </c>
      <c r="AB2655" s="331">
        <f t="shared" si="378"/>
        <v>6</v>
      </c>
      <c r="AC2655" s="36" t="s">
        <v>796</v>
      </c>
      <c r="AD2655" s="36">
        <v>5.6</v>
      </c>
      <c r="AE2655" s="36">
        <v>0.9</v>
      </c>
      <c r="AG2655" s="36" t="s">
        <v>2769</v>
      </c>
      <c r="AH2655" s="36" t="s">
        <v>2697</v>
      </c>
      <c r="AI2655" s="36" t="s">
        <v>577</v>
      </c>
      <c r="AJ2655" s="36" t="s">
        <v>1601</v>
      </c>
      <c r="AK2655" s="36" t="s">
        <v>1601</v>
      </c>
      <c r="AT2655" s="36" t="s">
        <v>2778</v>
      </c>
      <c r="AU2655" s="36" t="s">
        <v>2779</v>
      </c>
      <c r="AW2655" s="36" t="s">
        <v>2780</v>
      </c>
      <c r="AX2655" s="36">
        <v>3</v>
      </c>
      <c r="AZ2655" s="36" t="s">
        <v>141</v>
      </c>
      <c r="BP2655" s="407"/>
      <c r="BQ2655" s="407"/>
      <c r="BU2655" s="407"/>
      <c r="BV2655" s="407"/>
      <c r="BZ2655" s="407"/>
      <c r="CA2655" s="407"/>
      <c r="CE2655" s="560"/>
      <c r="CF2655" s="560"/>
      <c r="CG2655" s="560"/>
      <c r="CH2655" s="560"/>
      <c r="EC2655" s="36">
        <v>3.8</v>
      </c>
      <c r="ED2655" s="36">
        <v>3.3</v>
      </c>
      <c r="EG2655" s="36" t="s">
        <v>2412</v>
      </c>
      <c r="JD2655" s="230"/>
    </row>
    <row r="2656" spans="1:264" s="36" customFormat="1" x14ac:dyDescent="0.25">
      <c r="A2656" s="36">
        <v>123</v>
      </c>
      <c r="B2656" s="51" t="s">
        <v>4344</v>
      </c>
      <c r="C2656" s="36" t="s">
        <v>2765</v>
      </c>
      <c r="D2656" s="36" t="s">
        <v>2764</v>
      </c>
      <c r="E2656" s="36">
        <v>2003</v>
      </c>
      <c r="F2656" s="36">
        <v>2000</v>
      </c>
      <c r="G2656" s="36" t="s">
        <v>2766</v>
      </c>
      <c r="H2656" s="36" t="s">
        <v>2767</v>
      </c>
      <c r="I2656" s="36" t="s">
        <v>2829</v>
      </c>
      <c r="J2656" s="36">
        <f t="shared" si="377"/>
        <v>-14.25</v>
      </c>
      <c r="K2656" s="36">
        <v>32</v>
      </c>
      <c r="L2656" s="36">
        <v>988</v>
      </c>
      <c r="P2656" s="36">
        <v>850</v>
      </c>
      <c r="R2656" s="51" t="s">
        <v>1858</v>
      </c>
      <c r="S2656" s="51" t="s">
        <v>1843</v>
      </c>
      <c r="T2656" s="51"/>
      <c r="U2656" s="51" t="s">
        <v>2768</v>
      </c>
      <c r="V2656" s="51" t="s">
        <v>2076</v>
      </c>
      <c r="W2656" s="51" t="s">
        <v>1722</v>
      </c>
      <c r="X2656" s="51" t="s">
        <v>1394</v>
      </c>
      <c r="Y2656" s="51" t="s">
        <v>1417</v>
      </c>
      <c r="AA2656" s="331">
        <v>44</v>
      </c>
      <c r="AB2656" s="331">
        <f t="shared" si="378"/>
        <v>6</v>
      </c>
      <c r="AC2656" s="36" t="s">
        <v>796</v>
      </c>
      <c r="AD2656" s="36">
        <v>5.6</v>
      </c>
      <c r="AE2656" s="36">
        <v>0.9</v>
      </c>
      <c r="AG2656" s="36" t="s">
        <v>2769</v>
      </c>
      <c r="AH2656" s="36" t="s">
        <v>2771</v>
      </c>
      <c r="AI2656" s="36" t="s">
        <v>577</v>
      </c>
      <c r="AJ2656" s="36" t="s">
        <v>1601</v>
      </c>
      <c r="AK2656" s="36" t="s">
        <v>1601</v>
      </c>
      <c r="AT2656" s="36" t="s">
        <v>2778</v>
      </c>
      <c r="AU2656" s="36" t="s">
        <v>2779</v>
      </c>
      <c r="AW2656" s="36" t="s">
        <v>2780</v>
      </c>
      <c r="AX2656" s="36">
        <v>3</v>
      </c>
      <c r="AZ2656" s="36" t="s">
        <v>141</v>
      </c>
      <c r="BP2656" s="407"/>
      <c r="BQ2656" s="407"/>
      <c r="BU2656" s="407"/>
      <c r="BV2656" s="407"/>
      <c r="BZ2656" s="407"/>
      <c r="CA2656" s="407"/>
      <c r="CE2656" s="560"/>
      <c r="CF2656" s="560"/>
      <c r="CG2656" s="560"/>
      <c r="CH2656" s="560"/>
      <c r="EC2656" s="36">
        <v>3.8</v>
      </c>
      <c r="ED2656" s="36">
        <v>3.6</v>
      </c>
      <c r="EG2656" s="36" t="s">
        <v>2412</v>
      </c>
      <c r="JD2656" s="230"/>
    </row>
    <row r="2657" spans="1:264" s="36" customFormat="1" x14ac:dyDescent="0.25">
      <c r="A2657" s="36">
        <v>123</v>
      </c>
      <c r="B2657" s="51" t="s">
        <v>4344</v>
      </c>
      <c r="C2657" s="36" t="s">
        <v>2765</v>
      </c>
      <c r="D2657" s="36" t="s">
        <v>2764</v>
      </c>
      <c r="E2657" s="36">
        <v>2003</v>
      </c>
      <c r="F2657" s="36">
        <v>2000</v>
      </c>
      <c r="G2657" s="36" t="s">
        <v>2766</v>
      </c>
      <c r="H2657" s="36" t="s">
        <v>2767</v>
      </c>
      <c r="I2657" s="36" t="s">
        <v>2829</v>
      </c>
      <c r="J2657" s="36">
        <f t="shared" si="377"/>
        <v>-14.25</v>
      </c>
      <c r="K2657" s="36">
        <v>32</v>
      </c>
      <c r="L2657" s="36">
        <v>988</v>
      </c>
      <c r="P2657" s="36">
        <v>850</v>
      </c>
      <c r="R2657" s="51" t="s">
        <v>1858</v>
      </c>
      <c r="S2657" s="51" t="s">
        <v>1843</v>
      </c>
      <c r="T2657" s="51"/>
      <c r="U2657" s="51" t="s">
        <v>2768</v>
      </c>
      <c r="V2657" s="51" t="s">
        <v>2076</v>
      </c>
      <c r="W2657" s="51" t="s">
        <v>1722</v>
      </c>
      <c r="X2657" s="51" t="s">
        <v>1394</v>
      </c>
      <c r="Y2657" s="51" t="s">
        <v>1417</v>
      </c>
      <c r="AA2657" s="331">
        <v>44</v>
      </c>
      <c r="AB2657" s="331">
        <f t="shared" si="378"/>
        <v>6</v>
      </c>
      <c r="AC2657" s="36" t="s">
        <v>796</v>
      </c>
      <c r="AD2657" s="36">
        <v>5.6</v>
      </c>
      <c r="AE2657" s="36">
        <v>0.9</v>
      </c>
      <c r="AG2657" s="36" t="s">
        <v>2769</v>
      </c>
      <c r="AH2657" s="36" t="s">
        <v>2774</v>
      </c>
      <c r="AI2657" s="36" t="s">
        <v>577</v>
      </c>
      <c r="AJ2657" s="36" t="s">
        <v>1601</v>
      </c>
      <c r="AK2657" s="36" t="s">
        <v>1601</v>
      </c>
      <c r="AT2657" s="36" t="s">
        <v>2778</v>
      </c>
      <c r="AU2657" s="36" t="s">
        <v>2779</v>
      </c>
      <c r="AW2657" s="36" t="s">
        <v>2780</v>
      </c>
      <c r="AX2657" s="36">
        <v>3</v>
      </c>
      <c r="AZ2657" s="36" t="s">
        <v>141</v>
      </c>
      <c r="BP2657" s="407"/>
      <c r="BQ2657" s="407"/>
      <c r="BU2657" s="407"/>
      <c r="BV2657" s="407"/>
      <c r="BZ2657" s="407"/>
      <c r="CA2657" s="407"/>
      <c r="CE2657" s="560"/>
      <c r="CF2657" s="560"/>
      <c r="CG2657" s="560"/>
      <c r="CH2657" s="560"/>
      <c r="EC2657" s="36">
        <v>3.8</v>
      </c>
      <c r="ED2657" s="36">
        <v>3.4</v>
      </c>
      <c r="EG2657" s="36" t="s">
        <v>2412</v>
      </c>
      <c r="JD2657" s="230"/>
    </row>
    <row r="2658" spans="1:264" s="36" customFormat="1" x14ac:dyDescent="0.25">
      <c r="A2658" s="36">
        <v>123</v>
      </c>
      <c r="B2658" s="51" t="s">
        <v>4344</v>
      </c>
      <c r="C2658" s="36" t="s">
        <v>2765</v>
      </c>
      <c r="D2658" s="36" t="s">
        <v>2764</v>
      </c>
      <c r="E2658" s="36">
        <v>2003</v>
      </c>
      <c r="F2658" s="36">
        <v>2000</v>
      </c>
      <c r="G2658" s="36" t="s">
        <v>2766</v>
      </c>
      <c r="H2658" s="36" t="s">
        <v>2767</v>
      </c>
      <c r="I2658" s="36" t="s">
        <v>2829</v>
      </c>
      <c r="J2658" s="36">
        <f t="shared" si="377"/>
        <v>-14.25</v>
      </c>
      <c r="K2658" s="36">
        <v>32</v>
      </c>
      <c r="L2658" s="36">
        <v>988</v>
      </c>
      <c r="P2658" s="36">
        <v>850</v>
      </c>
      <c r="R2658" s="51" t="s">
        <v>1858</v>
      </c>
      <c r="S2658" s="51" t="s">
        <v>1843</v>
      </c>
      <c r="T2658" s="51"/>
      <c r="U2658" s="51" t="s">
        <v>2768</v>
      </c>
      <c r="V2658" s="51" t="s">
        <v>2076</v>
      </c>
      <c r="W2658" s="51" t="s">
        <v>1722</v>
      </c>
      <c r="X2658" s="51" t="s">
        <v>1394</v>
      </c>
      <c r="Y2658" s="51" t="s">
        <v>1417</v>
      </c>
      <c r="AA2658" s="331">
        <v>44</v>
      </c>
      <c r="AB2658" s="331">
        <f t="shared" si="378"/>
        <v>6</v>
      </c>
      <c r="AC2658" s="36" t="s">
        <v>796</v>
      </c>
      <c r="AD2658" s="36">
        <v>5.6</v>
      </c>
      <c r="AE2658" s="36">
        <v>0.9</v>
      </c>
      <c r="AG2658" s="36" t="s">
        <v>2769</v>
      </c>
      <c r="AH2658" s="36" t="s">
        <v>2772</v>
      </c>
      <c r="AI2658" s="36" t="s">
        <v>1583</v>
      </c>
      <c r="AJ2658" s="36" t="s">
        <v>1601</v>
      </c>
      <c r="AK2658" s="36" t="s">
        <v>1601</v>
      </c>
      <c r="AT2658" s="36" t="s">
        <v>2778</v>
      </c>
      <c r="AU2658" s="36" t="s">
        <v>2779</v>
      </c>
      <c r="AW2658" s="36" t="s">
        <v>2780</v>
      </c>
      <c r="AX2658" s="36">
        <v>3</v>
      </c>
      <c r="AZ2658" s="36" t="s">
        <v>141</v>
      </c>
      <c r="BP2658" s="407"/>
      <c r="BQ2658" s="407"/>
      <c r="BU2658" s="407"/>
      <c r="BV2658" s="407"/>
      <c r="BZ2658" s="407"/>
      <c r="CA2658" s="407"/>
      <c r="CE2658" s="560"/>
      <c r="CF2658" s="560"/>
      <c r="CG2658" s="560"/>
      <c r="CH2658" s="560"/>
      <c r="EC2658" s="36">
        <v>3.8</v>
      </c>
      <c r="ED2658" s="36">
        <v>2.9</v>
      </c>
      <c r="EG2658" s="36" t="s">
        <v>2412</v>
      </c>
      <c r="JD2658" s="230"/>
    </row>
    <row r="2659" spans="1:264" s="36" customFormat="1" x14ac:dyDescent="0.25">
      <c r="A2659" s="36">
        <v>123</v>
      </c>
      <c r="B2659" s="51" t="s">
        <v>4344</v>
      </c>
      <c r="C2659" s="36" t="s">
        <v>2765</v>
      </c>
      <c r="D2659" s="36" t="s">
        <v>2764</v>
      </c>
      <c r="E2659" s="36">
        <v>2003</v>
      </c>
      <c r="F2659" s="36">
        <v>2000</v>
      </c>
      <c r="G2659" s="36" t="s">
        <v>2766</v>
      </c>
      <c r="H2659" s="36" t="s">
        <v>2767</v>
      </c>
      <c r="I2659" s="36" t="s">
        <v>2829</v>
      </c>
      <c r="J2659" s="36">
        <f t="shared" si="377"/>
        <v>-14.25</v>
      </c>
      <c r="K2659" s="36">
        <v>32</v>
      </c>
      <c r="L2659" s="36">
        <v>988</v>
      </c>
      <c r="P2659" s="36">
        <v>850</v>
      </c>
      <c r="R2659" s="51" t="s">
        <v>1858</v>
      </c>
      <c r="S2659" s="51" t="s">
        <v>1843</v>
      </c>
      <c r="T2659" s="51"/>
      <c r="U2659" s="51" t="s">
        <v>2768</v>
      </c>
      <c r="V2659" s="51" t="s">
        <v>2076</v>
      </c>
      <c r="W2659" s="51" t="s">
        <v>1722</v>
      </c>
      <c r="X2659" s="51" t="s">
        <v>1394</v>
      </c>
      <c r="Y2659" s="51" t="s">
        <v>1417</v>
      </c>
      <c r="AA2659" s="331">
        <v>44</v>
      </c>
      <c r="AB2659" s="331">
        <f t="shared" si="378"/>
        <v>6</v>
      </c>
      <c r="AC2659" s="36" t="s">
        <v>796</v>
      </c>
      <c r="AD2659" s="36">
        <v>5.6</v>
      </c>
      <c r="AE2659" s="36">
        <v>0.9</v>
      </c>
      <c r="AG2659" s="36" t="s">
        <v>2769</v>
      </c>
      <c r="AH2659" s="36" t="s">
        <v>2773</v>
      </c>
      <c r="AI2659" s="36" t="s">
        <v>1583</v>
      </c>
      <c r="AJ2659" s="36" t="s">
        <v>1601</v>
      </c>
      <c r="AK2659" s="36" t="s">
        <v>1601</v>
      </c>
      <c r="AT2659" s="36" t="s">
        <v>2778</v>
      </c>
      <c r="AU2659" s="36" t="s">
        <v>2779</v>
      </c>
      <c r="AW2659" s="36" t="s">
        <v>2780</v>
      </c>
      <c r="AX2659" s="36">
        <v>3</v>
      </c>
      <c r="AZ2659" s="36" t="s">
        <v>141</v>
      </c>
      <c r="BP2659" s="407"/>
      <c r="BQ2659" s="407"/>
      <c r="BU2659" s="407"/>
      <c r="BV2659" s="407"/>
      <c r="BZ2659" s="407"/>
      <c r="CA2659" s="407"/>
      <c r="CE2659" s="560"/>
      <c r="CF2659" s="560"/>
      <c r="CG2659" s="560"/>
      <c r="CH2659" s="560"/>
      <c r="EC2659" s="36">
        <v>3.8</v>
      </c>
      <c r="ED2659" s="36">
        <v>3.6</v>
      </c>
      <c r="EG2659" s="36" t="s">
        <v>2412</v>
      </c>
      <c r="JD2659" s="230"/>
    </row>
    <row r="2660" spans="1:264" s="36" customFormat="1" x14ac:dyDescent="0.25">
      <c r="A2660" s="36">
        <v>123</v>
      </c>
      <c r="B2660" s="51" t="s">
        <v>4344</v>
      </c>
      <c r="C2660" s="36" t="s">
        <v>2765</v>
      </c>
      <c r="D2660" s="36" t="s">
        <v>2764</v>
      </c>
      <c r="E2660" s="36">
        <v>2003</v>
      </c>
      <c r="F2660" s="36">
        <v>2000</v>
      </c>
      <c r="G2660" s="36" t="s">
        <v>2766</v>
      </c>
      <c r="H2660" s="36" t="s">
        <v>2767</v>
      </c>
      <c r="I2660" s="36" t="s">
        <v>2829</v>
      </c>
      <c r="J2660" s="36">
        <f t="shared" si="377"/>
        <v>-14.25</v>
      </c>
      <c r="K2660" s="36">
        <v>32</v>
      </c>
      <c r="L2660" s="36">
        <v>988</v>
      </c>
      <c r="P2660" s="36">
        <v>850</v>
      </c>
      <c r="R2660" s="51" t="s">
        <v>1858</v>
      </c>
      <c r="S2660" s="51" t="s">
        <v>1843</v>
      </c>
      <c r="T2660" s="51"/>
      <c r="U2660" s="51" t="s">
        <v>2768</v>
      </c>
      <c r="V2660" s="51" t="s">
        <v>2076</v>
      </c>
      <c r="W2660" s="51" t="s">
        <v>1722</v>
      </c>
      <c r="X2660" s="51" t="s">
        <v>1394</v>
      </c>
      <c r="Y2660" s="51" t="s">
        <v>1417</v>
      </c>
      <c r="AA2660" s="331">
        <v>44</v>
      </c>
      <c r="AB2660" s="331">
        <f t="shared" si="378"/>
        <v>6</v>
      </c>
      <c r="AC2660" s="36" t="s">
        <v>796</v>
      </c>
      <c r="AD2660" s="36">
        <v>5.6</v>
      </c>
      <c r="AE2660" s="36">
        <v>0.9</v>
      </c>
      <c r="AG2660" s="36" t="s">
        <v>2769</v>
      </c>
      <c r="AH2660" s="36" t="s">
        <v>2775</v>
      </c>
      <c r="AI2660" s="36" t="s">
        <v>1583</v>
      </c>
      <c r="AJ2660" s="36" t="s">
        <v>1601</v>
      </c>
      <c r="AK2660" s="36" t="s">
        <v>1601</v>
      </c>
      <c r="AT2660" s="36" t="s">
        <v>2778</v>
      </c>
      <c r="AU2660" s="36" t="s">
        <v>2779</v>
      </c>
      <c r="AW2660" s="36" t="s">
        <v>2780</v>
      </c>
      <c r="AX2660" s="36">
        <v>3</v>
      </c>
      <c r="AZ2660" s="36" t="s">
        <v>141</v>
      </c>
      <c r="BP2660" s="407"/>
      <c r="BQ2660" s="407"/>
      <c r="BU2660" s="407"/>
      <c r="BV2660" s="407"/>
      <c r="BZ2660" s="407"/>
      <c r="CA2660" s="407"/>
      <c r="CE2660" s="560"/>
      <c r="CF2660" s="560"/>
      <c r="CG2660" s="560"/>
      <c r="CH2660" s="560"/>
      <c r="EC2660" s="36">
        <v>3.8</v>
      </c>
      <c r="ED2660" s="36">
        <v>3.3</v>
      </c>
      <c r="EG2660" s="36" t="s">
        <v>2412</v>
      </c>
      <c r="JD2660" s="230"/>
    </row>
    <row r="2661" spans="1:264" s="24" customFormat="1" x14ac:dyDescent="0.25">
      <c r="A2661" s="24">
        <v>124</v>
      </c>
      <c r="B2661" s="42" t="s">
        <v>4345</v>
      </c>
      <c r="C2661" s="24" t="s">
        <v>2765</v>
      </c>
      <c r="D2661" s="24" t="s">
        <v>2764</v>
      </c>
      <c r="E2661" s="24">
        <v>2004</v>
      </c>
      <c r="F2661" s="24">
        <v>2000</v>
      </c>
      <c r="G2661" s="24" t="s">
        <v>794</v>
      </c>
      <c r="H2661" s="24" t="s">
        <v>2767</v>
      </c>
      <c r="I2661" s="24" t="s">
        <v>2829</v>
      </c>
      <c r="J2661" s="24">
        <f t="shared" si="377"/>
        <v>-14.25</v>
      </c>
      <c r="K2661" s="24">
        <v>32</v>
      </c>
      <c r="L2661" s="24">
        <v>988</v>
      </c>
      <c r="P2661" s="24">
        <v>850</v>
      </c>
      <c r="R2661" s="42" t="s">
        <v>1858</v>
      </c>
      <c r="S2661" s="42" t="s">
        <v>1843</v>
      </c>
      <c r="T2661" s="42"/>
      <c r="U2661" s="42" t="s">
        <v>2768</v>
      </c>
      <c r="V2661" s="42" t="s">
        <v>1379</v>
      </c>
      <c r="W2661" s="42" t="s">
        <v>1715</v>
      </c>
      <c r="X2661" s="42" t="s">
        <v>1379</v>
      </c>
      <c r="Y2661" s="42" t="s">
        <v>1417</v>
      </c>
      <c r="AA2661" s="321">
        <v>44</v>
      </c>
      <c r="AB2661" s="321">
        <f t="shared" si="378"/>
        <v>6</v>
      </c>
      <c r="AC2661" s="24" t="s">
        <v>796</v>
      </c>
      <c r="AD2661" s="24">
        <v>5.6</v>
      </c>
      <c r="AE2661" s="24">
        <v>0.9</v>
      </c>
      <c r="AG2661" s="24" t="s">
        <v>2769</v>
      </c>
      <c r="AH2661" s="24" t="s">
        <v>2782</v>
      </c>
      <c r="AI2661" s="24" t="s">
        <v>577</v>
      </c>
      <c r="AJ2661" s="24" t="s">
        <v>1601</v>
      </c>
      <c r="AK2661" s="24" t="s">
        <v>1601</v>
      </c>
      <c r="AT2661" s="24" t="s">
        <v>2778</v>
      </c>
      <c r="AU2661" s="24" t="s">
        <v>2779</v>
      </c>
      <c r="AW2661" s="24" t="s">
        <v>2780</v>
      </c>
      <c r="AX2661" s="24">
        <v>3</v>
      </c>
      <c r="AZ2661" s="24" t="s">
        <v>141</v>
      </c>
      <c r="BP2661" s="395"/>
      <c r="BQ2661" s="395"/>
      <c r="BU2661" s="395"/>
      <c r="BV2661" s="395"/>
      <c r="BZ2661" s="395"/>
      <c r="CA2661" s="395"/>
      <c r="CE2661" s="548"/>
      <c r="CF2661" s="548"/>
      <c r="CG2661" s="548"/>
      <c r="CH2661" s="548"/>
      <c r="CJ2661" s="24">
        <v>1.5</v>
      </c>
      <c r="CK2661" s="24">
        <v>3.5</v>
      </c>
      <c r="CN2661" s="24" t="s">
        <v>1674</v>
      </c>
      <c r="HJ2661" s="24">
        <v>0.72</v>
      </c>
      <c r="HK2661" s="24">
        <v>38.520000000000003</v>
      </c>
      <c r="HN2661" s="24" t="s">
        <v>2756</v>
      </c>
      <c r="JD2661" s="249"/>
    </row>
    <row r="2662" spans="1:264" s="24" customFormat="1" x14ac:dyDescent="0.25">
      <c r="A2662" s="24">
        <v>124</v>
      </c>
      <c r="B2662" s="42" t="s">
        <v>4345</v>
      </c>
      <c r="C2662" s="24" t="s">
        <v>2765</v>
      </c>
      <c r="D2662" s="24" t="s">
        <v>2764</v>
      </c>
      <c r="E2662" s="24">
        <v>2004</v>
      </c>
      <c r="F2662" s="24">
        <v>2000</v>
      </c>
      <c r="G2662" s="24" t="s">
        <v>794</v>
      </c>
      <c r="H2662" s="24" t="s">
        <v>2767</v>
      </c>
      <c r="I2662" s="24" t="s">
        <v>2829</v>
      </c>
      <c r="J2662" s="24">
        <f t="shared" si="377"/>
        <v>-14.25</v>
      </c>
      <c r="K2662" s="24">
        <v>32</v>
      </c>
      <c r="L2662" s="24">
        <v>988</v>
      </c>
      <c r="P2662" s="24">
        <v>850</v>
      </c>
      <c r="R2662" s="42" t="s">
        <v>1858</v>
      </c>
      <c r="S2662" s="42" t="s">
        <v>1843</v>
      </c>
      <c r="T2662" s="42"/>
      <c r="U2662" s="42" t="s">
        <v>2768</v>
      </c>
      <c r="V2662" s="42" t="s">
        <v>1379</v>
      </c>
      <c r="W2662" s="42" t="s">
        <v>1715</v>
      </c>
      <c r="X2662" s="42" t="s">
        <v>1379</v>
      </c>
      <c r="Y2662" s="42" t="s">
        <v>1417</v>
      </c>
      <c r="AA2662" s="321">
        <v>44</v>
      </c>
      <c r="AB2662" s="321">
        <f t="shared" si="378"/>
        <v>6</v>
      </c>
      <c r="AC2662" s="24" t="s">
        <v>796</v>
      </c>
      <c r="AD2662" s="24">
        <v>5.6</v>
      </c>
      <c r="AE2662" s="24">
        <v>0.9</v>
      </c>
      <c r="AG2662" s="24" t="s">
        <v>2769</v>
      </c>
      <c r="AH2662" s="24" t="s">
        <v>2770</v>
      </c>
      <c r="AI2662" s="24" t="s">
        <v>577</v>
      </c>
      <c r="AJ2662" s="24" t="s">
        <v>1601</v>
      </c>
      <c r="AK2662" s="24" t="s">
        <v>1601</v>
      </c>
      <c r="AT2662" s="24" t="s">
        <v>2778</v>
      </c>
      <c r="AU2662" s="24" t="s">
        <v>2779</v>
      </c>
      <c r="AW2662" s="24" t="s">
        <v>2780</v>
      </c>
      <c r="AX2662" s="24">
        <v>3</v>
      </c>
      <c r="AZ2662" s="24" t="s">
        <v>141</v>
      </c>
      <c r="BP2662" s="395"/>
      <c r="BQ2662" s="395"/>
      <c r="BU2662" s="395"/>
      <c r="BV2662" s="395"/>
      <c r="BZ2662" s="395"/>
      <c r="CA2662" s="395"/>
      <c r="CE2662" s="548"/>
      <c r="CF2662" s="548"/>
      <c r="CG2662" s="548"/>
      <c r="CH2662" s="548"/>
      <c r="CJ2662" s="24">
        <v>1.5</v>
      </c>
      <c r="CK2662" s="24">
        <v>2.5</v>
      </c>
      <c r="CN2662" s="24" t="s">
        <v>1674</v>
      </c>
      <c r="HJ2662" s="24">
        <v>0.72</v>
      </c>
      <c r="HK2662" s="24">
        <v>59.33</v>
      </c>
      <c r="HN2662" s="24" t="s">
        <v>2756</v>
      </c>
      <c r="JD2662" s="249"/>
    </row>
    <row r="2663" spans="1:264" s="101" customFormat="1" x14ac:dyDescent="0.25">
      <c r="A2663" s="101">
        <v>124</v>
      </c>
      <c r="B2663" s="102" t="s">
        <v>4346</v>
      </c>
      <c r="C2663" s="101" t="s">
        <v>2765</v>
      </c>
      <c r="D2663" s="101" t="s">
        <v>2764</v>
      </c>
      <c r="E2663" s="101">
        <v>2004</v>
      </c>
      <c r="F2663" s="101">
        <v>2000</v>
      </c>
      <c r="G2663" s="101" t="s">
        <v>794</v>
      </c>
      <c r="H2663" s="101" t="s">
        <v>2767</v>
      </c>
      <c r="I2663" s="24" t="s">
        <v>2829</v>
      </c>
      <c r="J2663" s="101">
        <f t="shared" si="377"/>
        <v>-14.25</v>
      </c>
      <c r="K2663" s="101">
        <v>32</v>
      </c>
      <c r="L2663" s="101">
        <v>988</v>
      </c>
      <c r="P2663" s="101">
        <v>850</v>
      </c>
      <c r="R2663" s="102" t="s">
        <v>1858</v>
      </c>
      <c r="S2663" s="102" t="s">
        <v>1843</v>
      </c>
      <c r="T2663" s="102"/>
      <c r="U2663" s="102" t="s">
        <v>2768</v>
      </c>
      <c r="V2663" s="102" t="s">
        <v>1383</v>
      </c>
      <c r="W2663" s="102" t="s">
        <v>1715</v>
      </c>
      <c r="X2663" s="102" t="s">
        <v>1379</v>
      </c>
      <c r="Y2663" s="102" t="s">
        <v>1417</v>
      </c>
      <c r="AA2663" s="352">
        <v>44</v>
      </c>
      <c r="AB2663" s="352">
        <f t="shared" si="378"/>
        <v>6</v>
      </c>
      <c r="AC2663" s="101" t="s">
        <v>796</v>
      </c>
      <c r="AD2663" s="101">
        <v>5.6</v>
      </c>
      <c r="AE2663" s="101">
        <v>0.9</v>
      </c>
      <c r="AG2663" s="101" t="s">
        <v>2769</v>
      </c>
      <c r="AH2663" s="101" t="s">
        <v>2782</v>
      </c>
      <c r="AI2663" s="101" t="s">
        <v>577</v>
      </c>
      <c r="AJ2663" s="24" t="s">
        <v>1601</v>
      </c>
      <c r="AK2663" s="24" t="s">
        <v>1601</v>
      </c>
      <c r="AT2663" s="101" t="s">
        <v>2778</v>
      </c>
      <c r="AU2663" s="101" t="s">
        <v>2779</v>
      </c>
      <c r="AW2663" s="101" t="s">
        <v>2780</v>
      </c>
      <c r="AX2663" s="101">
        <v>3</v>
      </c>
      <c r="AZ2663" s="101" t="s">
        <v>141</v>
      </c>
      <c r="BP2663" s="427"/>
      <c r="BQ2663" s="427"/>
      <c r="BU2663" s="427"/>
      <c r="BV2663" s="427"/>
      <c r="BZ2663" s="427"/>
      <c r="CA2663" s="427"/>
      <c r="CE2663" s="580"/>
      <c r="CF2663" s="580"/>
      <c r="CG2663" s="580"/>
      <c r="CH2663" s="580"/>
      <c r="CJ2663" s="101">
        <v>0.7</v>
      </c>
      <c r="CK2663" s="101">
        <v>2.4</v>
      </c>
      <c r="CN2663" s="24" t="s">
        <v>1674</v>
      </c>
      <c r="JD2663" s="177"/>
    </row>
    <row r="2664" spans="1:264" s="101" customFormat="1" x14ac:dyDescent="0.25">
      <c r="A2664" s="101">
        <v>124</v>
      </c>
      <c r="B2664" s="102" t="s">
        <v>4346</v>
      </c>
      <c r="C2664" s="101" t="s">
        <v>2765</v>
      </c>
      <c r="D2664" s="101" t="s">
        <v>2764</v>
      </c>
      <c r="E2664" s="101">
        <v>2004</v>
      </c>
      <c r="F2664" s="101">
        <v>2000</v>
      </c>
      <c r="G2664" s="101" t="s">
        <v>794</v>
      </c>
      <c r="H2664" s="101" t="s">
        <v>2767</v>
      </c>
      <c r="I2664" s="24" t="s">
        <v>2829</v>
      </c>
      <c r="J2664" s="101">
        <f t="shared" si="377"/>
        <v>-14.25</v>
      </c>
      <c r="K2664" s="101">
        <v>32</v>
      </c>
      <c r="L2664" s="101">
        <v>988</v>
      </c>
      <c r="P2664" s="101">
        <v>850</v>
      </c>
      <c r="R2664" s="102" t="s">
        <v>1858</v>
      </c>
      <c r="S2664" s="102" t="s">
        <v>1843</v>
      </c>
      <c r="T2664" s="102"/>
      <c r="U2664" s="102" t="s">
        <v>2768</v>
      </c>
      <c r="V2664" s="102" t="s">
        <v>1383</v>
      </c>
      <c r="W2664" s="102" t="s">
        <v>1715</v>
      </c>
      <c r="X2664" s="102" t="s">
        <v>1379</v>
      </c>
      <c r="Y2664" s="102" t="s">
        <v>1417</v>
      </c>
      <c r="AA2664" s="352">
        <v>44</v>
      </c>
      <c r="AB2664" s="352">
        <f t="shared" si="378"/>
        <v>6</v>
      </c>
      <c r="AC2664" s="101" t="s">
        <v>796</v>
      </c>
      <c r="AD2664" s="101">
        <v>5.6</v>
      </c>
      <c r="AE2664" s="101">
        <v>0.9</v>
      </c>
      <c r="AG2664" s="101" t="s">
        <v>2769</v>
      </c>
      <c r="AH2664" s="101" t="s">
        <v>2770</v>
      </c>
      <c r="AI2664" s="101" t="s">
        <v>577</v>
      </c>
      <c r="AJ2664" s="24" t="s">
        <v>1601</v>
      </c>
      <c r="AK2664" s="24" t="s">
        <v>1601</v>
      </c>
      <c r="AT2664" s="101" t="s">
        <v>2778</v>
      </c>
      <c r="AU2664" s="101" t="s">
        <v>2779</v>
      </c>
      <c r="AW2664" s="101" t="s">
        <v>2780</v>
      </c>
      <c r="AX2664" s="101">
        <v>3</v>
      </c>
      <c r="AZ2664" s="101" t="s">
        <v>141</v>
      </c>
      <c r="BP2664" s="427"/>
      <c r="BQ2664" s="427"/>
      <c r="BU2664" s="427"/>
      <c r="BV2664" s="427"/>
      <c r="BZ2664" s="427"/>
      <c r="CA2664" s="427"/>
      <c r="CE2664" s="580"/>
      <c r="CF2664" s="580"/>
      <c r="CG2664" s="580"/>
      <c r="CH2664" s="580"/>
      <c r="CJ2664" s="101">
        <v>0.7</v>
      </c>
      <c r="CK2664" s="101">
        <v>1.5</v>
      </c>
      <c r="CN2664" s="24" t="s">
        <v>1674</v>
      </c>
      <c r="JD2664" s="177"/>
    </row>
    <row r="2665" spans="1:264" s="24" customFormat="1" x14ac:dyDescent="0.25">
      <c r="A2665" s="24">
        <v>124</v>
      </c>
      <c r="B2665" s="42" t="s">
        <v>4347</v>
      </c>
      <c r="C2665" s="24" t="s">
        <v>2765</v>
      </c>
      <c r="D2665" s="24" t="s">
        <v>2764</v>
      </c>
      <c r="E2665" s="24">
        <v>2004</v>
      </c>
      <c r="F2665" s="24">
        <v>2000</v>
      </c>
      <c r="G2665" s="24" t="s">
        <v>794</v>
      </c>
      <c r="H2665" s="24" t="s">
        <v>2767</v>
      </c>
      <c r="I2665" s="24" t="s">
        <v>2829</v>
      </c>
      <c r="J2665" s="24">
        <f t="shared" si="377"/>
        <v>-14.25</v>
      </c>
      <c r="K2665" s="24">
        <v>32</v>
      </c>
      <c r="L2665" s="24">
        <v>988</v>
      </c>
      <c r="P2665" s="24">
        <v>850</v>
      </c>
      <c r="R2665" s="42" t="s">
        <v>1858</v>
      </c>
      <c r="S2665" s="42" t="s">
        <v>1843</v>
      </c>
      <c r="T2665" s="42"/>
      <c r="U2665" s="42" t="s">
        <v>2768</v>
      </c>
      <c r="V2665" s="42" t="s">
        <v>1384</v>
      </c>
      <c r="W2665" s="42" t="s">
        <v>1715</v>
      </c>
      <c r="X2665" s="42" t="s">
        <v>1379</v>
      </c>
      <c r="Y2665" s="42" t="s">
        <v>1417</v>
      </c>
      <c r="AA2665" s="321">
        <v>44</v>
      </c>
      <c r="AB2665" s="321">
        <f t="shared" si="378"/>
        <v>6</v>
      </c>
      <c r="AC2665" s="24" t="s">
        <v>796</v>
      </c>
      <c r="AD2665" s="24">
        <v>5.6</v>
      </c>
      <c r="AE2665" s="24">
        <v>0.9</v>
      </c>
      <c r="AG2665" s="24" t="s">
        <v>2769</v>
      </c>
      <c r="AH2665" s="24" t="s">
        <v>2782</v>
      </c>
      <c r="AI2665" s="24" t="s">
        <v>577</v>
      </c>
      <c r="AJ2665" s="24" t="s">
        <v>1601</v>
      </c>
      <c r="AK2665" s="24" t="s">
        <v>1601</v>
      </c>
      <c r="AT2665" s="24" t="s">
        <v>2778</v>
      </c>
      <c r="AU2665" s="24" t="s">
        <v>2779</v>
      </c>
      <c r="AW2665" s="24" t="s">
        <v>2780</v>
      </c>
      <c r="AX2665" s="24">
        <v>3</v>
      </c>
      <c r="AZ2665" s="24" t="s">
        <v>141</v>
      </c>
      <c r="BP2665" s="395"/>
      <c r="BQ2665" s="395"/>
      <c r="BU2665" s="395"/>
      <c r="BV2665" s="395"/>
      <c r="BZ2665" s="395"/>
      <c r="CA2665" s="395"/>
      <c r="CE2665" s="548"/>
      <c r="CF2665" s="548"/>
      <c r="CG2665" s="548"/>
      <c r="CH2665" s="548"/>
      <c r="CJ2665" s="24">
        <v>0.6</v>
      </c>
      <c r="CK2665" s="24">
        <v>1.3</v>
      </c>
      <c r="CN2665" s="24" t="s">
        <v>1674</v>
      </c>
      <c r="JD2665" s="249"/>
    </row>
    <row r="2666" spans="1:264" s="24" customFormat="1" x14ac:dyDescent="0.25">
      <c r="A2666" s="24">
        <v>124</v>
      </c>
      <c r="B2666" s="42" t="s">
        <v>4347</v>
      </c>
      <c r="C2666" s="24" t="s">
        <v>2765</v>
      </c>
      <c r="D2666" s="24" t="s">
        <v>2764</v>
      </c>
      <c r="E2666" s="24">
        <v>2004</v>
      </c>
      <c r="F2666" s="24">
        <v>2000</v>
      </c>
      <c r="G2666" s="24" t="s">
        <v>794</v>
      </c>
      <c r="H2666" s="24" t="s">
        <v>2767</v>
      </c>
      <c r="I2666" s="24" t="s">
        <v>2829</v>
      </c>
      <c r="J2666" s="24">
        <f t="shared" si="377"/>
        <v>-14.25</v>
      </c>
      <c r="K2666" s="24">
        <v>32</v>
      </c>
      <c r="L2666" s="24">
        <v>988</v>
      </c>
      <c r="P2666" s="24">
        <v>850</v>
      </c>
      <c r="R2666" s="42" t="s">
        <v>1858</v>
      </c>
      <c r="S2666" s="42" t="s">
        <v>1843</v>
      </c>
      <c r="T2666" s="42"/>
      <c r="U2666" s="42" t="s">
        <v>2768</v>
      </c>
      <c r="V2666" s="42" t="s">
        <v>1384</v>
      </c>
      <c r="W2666" s="42" t="s">
        <v>1715</v>
      </c>
      <c r="X2666" s="42" t="s">
        <v>1379</v>
      </c>
      <c r="Y2666" s="42" t="s">
        <v>1417</v>
      </c>
      <c r="AA2666" s="321">
        <v>44</v>
      </c>
      <c r="AB2666" s="321">
        <f t="shared" si="378"/>
        <v>6</v>
      </c>
      <c r="AC2666" s="24" t="s">
        <v>796</v>
      </c>
      <c r="AD2666" s="24">
        <v>5.6</v>
      </c>
      <c r="AE2666" s="24">
        <v>0.9</v>
      </c>
      <c r="AG2666" s="24" t="s">
        <v>2769</v>
      </c>
      <c r="AH2666" s="24" t="s">
        <v>2770</v>
      </c>
      <c r="AI2666" s="24" t="s">
        <v>577</v>
      </c>
      <c r="AJ2666" s="24" t="s">
        <v>1601</v>
      </c>
      <c r="AK2666" s="24" t="s">
        <v>1601</v>
      </c>
      <c r="AT2666" s="24" t="s">
        <v>2778</v>
      </c>
      <c r="AU2666" s="24" t="s">
        <v>2779</v>
      </c>
      <c r="AW2666" s="24" t="s">
        <v>2780</v>
      </c>
      <c r="AX2666" s="24">
        <v>3</v>
      </c>
      <c r="AZ2666" s="24" t="s">
        <v>141</v>
      </c>
      <c r="BP2666" s="395"/>
      <c r="BQ2666" s="395"/>
      <c r="BU2666" s="395"/>
      <c r="BV2666" s="395"/>
      <c r="BZ2666" s="395"/>
      <c r="CA2666" s="395"/>
      <c r="CE2666" s="548"/>
      <c r="CF2666" s="548"/>
      <c r="CG2666" s="548"/>
      <c r="CH2666" s="548"/>
      <c r="CJ2666" s="24">
        <v>0.6</v>
      </c>
      <c r="CK2666" s="24">
        <v>2.1</v>
      </c>
      <c r="CN2666" s="24" t="s">
        <v>1674</v>
      </c>
      <c r="JD2666" s="249"/>
    </row>
    <row r="2667" spans="1:264" s="101" customFormat="1" x14ac:dyDescent="0.25">
      <c r="A2667" s="101">
        <v>124</v>
      </c>
      <c r="B2667" s="102" t="s">
        <v>4348</v>
      </c>
      <c r="C2667" s="101" t="s">
        <v>2765</v>
      </c>
      <c r="D2667" s="101" t="s">
        <v>2764</v>
      </c>
      <c r="E2667" s="101">
        <v>2004</v>
      </c>
      <c r="F2667" s="101">
        <v>2000</v>
      </c>
      <c r="G2667" s="101" t="s">
        <v>794</v>
      </c>
      <c r="H2667" s="101" t="s">
        <v>2767</v>
      </c>
      <c r="I2667" s="24" t="s">
        <v>2829</v>
      </c>
      <c r="J2667" s="101">
        <f t="shared" si="377"/>
        <v>-14.25</v>
      </c>
      <c r="K2667" s="101">
        <v>32</v>
      </c>
      <c r="L2667" s="101">
        <v>988</v>
      </c>
      <c r="P2667" s="101">
        <v>850</v>
      </c>
      <c r="R2667" s="102" t="s">
        <v>1858</v>
      </c>
      <c r="S2667" s="102" t="s">
        <v>1843</v>
      </c>
      <c r="T2667" s="102"/>
      <c r="U2667" s="102" t="s">
        <v>2768</v>
      </c>
      <c r="V2667" s="102" t="s">
        <v>1417</v>
      </c>
      <c r="W2667" s="102" t="s">
        <v>1724</v>
      </c>
      <c r="X2667" s="102" t="s">
        <v>1379</v>
      </c>
      <c r="Y2667" s="102" t="s">
        <v>1417</v>
      </c>
      <c r="AA2667" s="352">
        <v>44</v>
      </c>
      <c r="AB2667" s="352">
        <f t="shared" si="378"/>
        <v>6</v>
      </c>
      <c r="AC2667" s="101" t="s">
        <v>796</v>
      </c>
      <c r="AD2667" s="101">
        <v>5.6</v>
      </c>
      <c r="AE2667" s="101">
        <v>0.9</v>
      </c>
      <c r="AG2667" s="101" t="s">
        <v>2769</v>
      </c>
      <c r="AH2667" s="101" t="s">
        <v>2782</v>
      </c>
      <c r="AI2667" s="101" t="s">
        <v>577</v>
      </c>
      <c r="AJ2667" s="24" t="s">
        <v>1601</v>
      </c>
      <c r="AK2667" s="24" t="s">
        <v>1601</v>
      </c>
      <c r="AT2667" s="101" t="s">
        <v>2778</v>
      </c>
      <c r="AU2667" s="101" t="s">
        <v>2779</v>
      </c>
      <c r="AW2667" s="101" t="s">
        <v>2780</v>
      </c>
      <c r="AX2667" s="101">
        <v>3</v>
      </c>
      <c r="AZ2667" s="101" t="s">
        <v>141</v>
      </c>
      <c r="BP2667" s="427"/>
      <c r="BQ2667" s="427"/>
      <c r="BU2667" s="427"/>
      <c r="BV2667" s="427"/>
      <c r="BZ2667" s="427"/>
      <c r="CA2667" s="427"/>
      <c r="CE2667" s="580"/>
      <c r="CF2667" s="580"/>
      <c r="CG2667" s="580"/>
      <c r="CH2667" s="580"/>
      <c r="CJ2667" s="101">
        <v>2.8</v>
      </c>
      <c r="CK2667" s="101">
        <v>7.2</v>
      </c>
      <c r="CN2667" s="24" t="s">
        <v>1674</v>
      </c>
      <c r="JD2667" s="177"/>
    </row>
    <row r="2668" spans="1:264" s="101" customFormat="1" x14ac:dyDescent="0.25">
      <c r="A2668" s="101">
        <v>124</v>
      </c>
      <c r="B2668" s="102" t="s">
        <v>4348</v>
      </c>
      <c r="C2668" s="101" t="s">
        <v>2765</v>
      </c>
      <c r="D2668" s="101" t="s">
        <v>2764</v>
      </c>
      <c r="E2668" s="101">
        <v>2004</v>
      </c>
      <c r="F2668" s="101">
        <v>2000</v>
      </c>
      <c r="G2668" s="101" t="s">
        <v>794</v>
      </c>
      <c r="H2668" s="101" t="s">
        <v>2767</v>
      </c>
      <c r="I2668" s="24" t="s">
        <v>2829</v>
      </c>
      <c r="J2668" s="101">
        <f t="shared" si="377"/>
        <v>-14.25</v>
      </c>
      <c r="K2668" s="101">
        <v>32</v>
      </c>
      <c r="L2668" s="101">
        <v>988</v>
      </c>
      <c r="P2668" s="101">
        <v>850</v>
      </c>
      <c r="R2668" s="102" t="s">
        <v>1858</v>
      </c>
      <c r="S2668" s="102" t="s">
        <v>1843</v>
      </c>
      <c r="T2668" s="102"/>
      <c r="U2668" s="102" t="s">
        <v>2768</v>
      </c>
      <c r="V2668" s="102" t="s">
        <v>1417</v>
      </c>
      <c r="W2668" s="102" t="s">
        <v>1724</v>
      </c>
      <c r="X2668" s="102" t="s">
        <v>1379</v>
      </c>
      <c r="Y2668" s="102" t="s">
        <v>1417</v>
      </c>
      <c r="AA2668" s="352">
        <v>44</v>
      </c>
      <c r="AB2668" s="352">
        <f t="shared" si="378"/>
        <v>6</v>
      </c>
      <c r="AC2668" s="101" t="s">
        <v>796</v>
      </c>
      <c r="AD2668" s="101">
        <v>5.6</v>
      </c>
      <c r="AE2668" s="101">
        <v>0.9</v>
      </c>
      <c r="AG2668" s="101" t="s">
        <v>2769</v>
      </c>
      <c r="AH2668" s="101" t="s">
        <v>2770</v>
      </c>
      <c r="AI2668" s="101" t="s">
        <v>577</v>
      </c>
      <c r="AJ2668" s="24" t="s">
        <v>1601</v>
      </c>
      <c r="AK2668" s="24" t="s">
        <v>1601</v>
      </c>
      <c r="AT2668" s="101" t="s">
        <v>2778</v>
      </c>
      <c r="AU2668" s="101" t="s">
        <v>2779</v>
      </c>
      <c r="AW2668" s="101" t="s">
        <v>2780</v>
      </c>
      <c r="AX2668" s="101">
        <v>3</v>
      </c>
      <c r="AZ2668" s="101" t="s">
        <v>141</v>
      </c>
      <c r="BP2668" s="427"/>
      <c r="BQ2668" s="427"/>
      <c r="BU2668" s="427"/>
      <c r="BV2668" s="427"/>
      <c r="BZ2668" s="427"/>
      <c r="CA2668" s="427"/>
      <c r="CE2668" s="580"/>
      <c r="CF2668" s="580"/>
      <c r="CG2668" s="580"/>
      <c r="CH2668" s="580"/>
      <c r="CJ2668" s="101">
        <v>2.8</v>
      </c>
      <c r="CK2668" s="101">
        <v>6.1</v>
      </c>
      <c r="CN2668" s="24" t="s">
        <v>1674</v>
      </c>
      <c r="JD2668" s="177"/>
    </row>
    <row r="2669" spans="1:264" s="32" customFormat="1" x14ac:dyDescent="0.25">
      <c r="A2669" s="32">
        <v>124</v>
      </c>
      <c r="B2669" s="44" t="s">
        <v>4345</v>
      </c>
      <c r="C2669" s="32" t="s">
        <v>2765</v>
      </c>
      <c r="D2669" s="32" t="s">
        <v>2764</v>
      </c>
      <c r="E2669" s="32">
        <v>2004</v>
      </c>
      <c r="F2669" s="32">
        <v>2000</v>
      </c>
      <c r="G2669" s="32" t="s">
        <v>794</v>
      </c>
      <c r="H2669" s="32" t="s">
        <v>2767</v>
      </c>
      <c r="I2669" s="32" t="s">
        <v>2829</v>
      </c>
      <c r="J2669" s="32">
        <f t="shared" ref="J2669:J2676" si="379">-14-15/60</f>
        <v>-14.25</v>
      </c>
      <c r="K2669" s="32">
        <v>32</v>
      </c>
      <c r="L2669" s="32">
        <v>988</v>
      </c>
      <c r="P2669" s="32">
        <v>850</v>
      </c>
      <c r="R2669" s="44" t="s">
        <v>1858</v>
      </c>
      <c r="S2669" s="44" t="s">
        <v>1843</v>
      </c>
      <c r="T2669" s="44"/>
      <c r="U2669" s="44" t="s">
        <v>2768</v>
      </c>
      <c r="V2669" s="44" t="s">
        <v>1379</v>
      </c>
      <c r="W2669" s="44" t="s">
        <v>1715</v>
      </c>
      <c r="X2669" s="44" t="s">
        <v>1379</v>
      </c>
      <c r="Y2669" s="44" t="s">
        <v>1417</v>
      </c>
      <c r="AA2669" s="323">
        <v>44</v>
      </c>
      <c r="AB2669" s="323">
        <f t="shared" ref="AB2669:AB2676" si="380">100-44-50</f>
        <v>6</v>
      </c>
      <c r="AC2669" s="32" t="s">
        <v>796</v>
      </c>
      <c r="AD2669" s="32">
        <v>5.6</v>
      </c>
      <c r="AE2669" s="32">
        <v>0.9</v>
      </c>
      <c r="AG2669" s="32" t="s">
        <v>2769</v>
      </c>
      <c r="AH2669" s="32" t="s">
        <v>2782</v>
      </c>
      <c r="AI2669" s="32" t="s">
        <v>577</v>
      </c>
      <c r="AJ2669" s="32" t="s">
        <v>1601</v>
      </c>
      <c r="AK2669" s="32" t="s">
        <v>1601</v>
      </c>
      <c r="AT2669" s="32" t="s">
        <v>2778</v>
      </c>
      <c r="AU2669" s="32" t="s">
        <v>2779</v>
      </c>
      <c r="AW2669" s="32" t="s">
        <v>2780</v>
      </c>
      <c r="AX2669" s="32">
        <v>3</v>
      </c>
      <c r="AZ2669" s="32" t="s">
        <v>141</v>
      </c>
      <c r="BP2669" s="397"/>
      <c r="BQ2669" s="397"/>
      <c r="BU2669" s="397"/>
      <c r="BV2669" s="397"/>
      <c r="BZ2669" s="397"/>
      <c r="CA2669" s="397"/>
      <c r="CE2669" s="550"/>
      <c r="CF2669" s="550"/>
      <c r="CG2669" s="550"/>
      <c r="CH2669" s="550"/>
      <c r="CJ2669" s="32">
        <v>4.5999999999999996</v>
      </c>
      <c r="CK2669" s="32">
        <v>7.1</v>
      </c>
      <c r="CN2669" s="32" t="s">
        <v>2783</v>
      </c>
      <c r="JD2669" s="243"/>
    </row>
    <row r="2670" spans="1:264" s="32" customFormat="1" x14ac:dyDescent="0.25">
      <c r="A2670" s="32">
        <v>124</v>
      </c>
      <c r="B2670" s="44" t="s">
        <v>4345</v>
      </c>
      <c r="C2670" s="32" t="s">
        <v>2765</v>
      </c>
      <c r="D2670" s="32" t="s">
        <v>2764</v>
      </c>
      <c r="E2670" s="32">
        <v>2004</v>
      </c>
      <c r="F2670" s="32">
        <v>2000</v>
      </c>
      <c r="G2670" s="32" t="s">
        <v>794</v>
      </c>
      <c r="H2670" s="32" t="s">
        <v>2767</v>
      </c>
      <c r="I2670" s="32" t="s">
        <v>2829</v>
      </c>
      <c r="J2670" s="32">
        <f t="shared" si="379"/>
        <v>-14.25</v>
      </c>
      <c r="K2670" s="32">
        <v>32</v>
      </c>
      <c r="L2670" s="32">
        <v>988</v>
      </c>
      <c r="P2670" s="32">
        <v>850</v>
      </c>
      <c r="R2670" s="44" t="s">
        <v>1858</v>
      </c>
      <c r="S2670" s="44" t="s">
        <v>1843</v>
      </c>
      <c r="T2670" s="44"/>
      <c r="U2670" s="44" t="s">
        <v>2768</v>
      </c>
      <c r="V2670" s="44" t="s">
        <v>1379</v>
      </c>
      <c r="W2670" s="44" t="s">
        <v>1715</v>
      </c>
      <c r="X2670" s="44" t="s">
        <v>1379</v>
      </c>
      <c r="Y2670" s="44" t="s">
        <v>1417</v>
      </c>
      <c r="AA2670" s="323">
        <v>44</v>
      </c>
      <c r="AB2670" s="323">
        <f t="shared" si="380"/>
        <v>6</v>
      </c>
      <c r="AC2670" s="32" t="s">
        <v>796</v>
      </c>
      <c r="AD2670" s="32">
        <v>5.6</v>
      </c>
      <c r="AE2670" s="32">
        <v>0.9</v>
      </c>
      <c r="AG2670" s="32" t="s">
        <v>2769</v>
      </c>
      <c r="AH2670" s="32" t="s">
        <v>2770</v>
      </c>
      <c r="AI2670" s="32" t="s">
        <v>577</v>
      </c>
      <c r="AJ2670" s="32" t="s">
        <v>1601</v>
      </c>
      <c r="AK2670" s="32" t="s">
        <v>1601</v>
      </c>
      <c r="AT2670" s="32" t="s">
        <v>2778</v>
      </c>
      <c r="AU2670" s="32" t="s">
        <v>2779</v>
      </c>
      <c r="AW2670" s="32" t="s">
        <v>2780</v>
      </c>
      <c r="AX2670" s="32">
        <v>3</v>
      </c>
      <c r="AZ2670" s="32" t="s">
        <v>141</v>
      </c>
      <c r="BP2670" s="397"/>
      <c r="BQ2670" s="397"/>
      <c r="BU2670" s="397"/>
      <c r="BV2670" s="397"/>
      <c r="BZ2670" s="397"/>
      <c r="CA2670" s="397"/>
      <c r="CE2670" s="550"/>
      <c r="CF2670" s="550"/>
      <c r="CG2670" s="550"/>
      <c r="CH2670" s="550"/>
      <c r="CJ2670" s="32">
        <v>4.5999999999999996</v>
      </c>
      <c r="CK2670" s="32">
        <v>6.7</v>
      </c>
      <c r="CN2670" s="32" t="s">
        <v>2783</v>
      </c>
      <c r="JD2670" s="243"/>
    </row>
    <row r="2671" spans="1:264" s="105" customFormat="1" x14ac:dyDescent="0.25">
      <c r="A2671" s="105">
        <v>124</v>
      </c>
      <c r="B2671" s="106" t="s">
        <v>4346</v>
      </c>
      <c r="C2671" s="105" t="s">
        <v>2765</v>
      </c>
      <c r="D2671" s="105" t="s">
        <v>2764</v>
      </c>
      <c r="E2671" s="105">
        <v>2004</v>
      </c>
      <c r="F2671" s="105">
        <v>2000</v>
      </c>
      <c r="G2671" s="105" t="s">
        <v>794</v>
      </c>
      <c r="H2671" s="105" t="s">
        <v>2767</v>
      </c>
      <c r="I2671" s="32" t="s">
        <v>2829</v>
      </c>
      <c r="J2671" s="105">
        <f t="shared" si="379"/>
        <v>-14.25</v>
      </c>
      <c r="K2671" s="105">
        <v>32</v>
      </c>
      <c r="L2671" s="105">
        <v>988</v>
      </c>
      <c r="P2671" s="105">
        <v>850</v>
      </c>
      <c r="R2671" s="106" t="s">
        <v>1858</v>
      </c>
      <c r="S2671" s="106" t="s">
        <v>1843</v>
      </c>
      <c r="T2671" s="106"/>
      <c r="U2671" s="106" t="s">
        <v>2768</v>
      </c>
      <c r="V2671" s="106" t="s">
        <v>1383</v>
      </c>
      <c r="W2671" s="106" t="s">
        <v>1715</v>
      </c>
      <c r="X2671" s="106" t="s">
        <v>1379</v>
      </c>
      <c r="Y2671" s="106" t="s">
        <v>1417</v>
      </c>
      <c r="AA2671" s="354">
        <v>44</v>
      </c>
      <c r="AB2671" s="354">
        <f t="shared" si="380"/>
        <v>6</v>
      </c>
      <c r="AC2671" s="105" t="s">
        <v>796</v>
      </c>
      <c r="AD2671" s="105">
        <v>5.6</v>
      </c>
      <c r="AE2671" s="105">
        <v>0.9</v>
      </c>
      <c r="AG2671" s="105" t="s">
        <v>2769</v>
      </c>
      <c r="AH2671" s="105" t="s">
        <v>2782</v>
      </c>
      <c r="AI2671" s="105" t="s">
        <v>577</v>
      </c>
      <c r="AJ2671" s="32" t="s">
        <v>1601</v>
      </c>
      <c r="AK2671" s="32" t="s">
        <v>1601</v>
      </c>
      <c r="AT2671" s="105" t="s">
        <v>2778</v>
      </c>
      <c r="AU2671" s="105" t="s">
        <v>2779</v>
      </c>
      <c r="AW2671" s="105" t="s">
        <v>2780</v>
      </c>
      <c r="AX2671" s="105">
        <v>3</v>
      </c>
      <c r="AZ2671" s="105" t="s">
        <v>141</v>
      </c>
      <c r="BP2671" s="429"/>
      <c r="BQ2671" s="429"/>
      <c r="BU2671" s="429"/>
      <c r="BV2671" s="429"/>
      <c r="BZ2671" s="429"/>
      <c r="CA2671" s="429"/>
      <c r="CE2671" s="582"/>
      <c r="CF2671" s="582"/>
      <c r="CG2671" s="582"/>
      <c r="CH2671" s="582"/>
      <c r="CJ2671" s="105">
        <v>2.9</v>
      </c>
      <c r="CK2671" s="105">
        <v>4.9000000000000004</v>
      </c>
      <c r="CN2671" s="32" t="s">
        <v>2783</v>
      </c>
      <c r="JD2671" s="499"/>
    </row>
    <row r="2672" spans="1:264" s="105" customFormat="1" x14ac:dyDescent="0.25">
      <c r="A2672" s="105">
        <v>124</v>
      </c>
      <c r="B2672" s="106" t="s">
        <v>4346</v>
      </c>
      <c r="C2672" s="105" t="s">
        <v>2765</v>
      </c>
      <c r="D2672" s="105" t="s">
        <v>2764</v>
      </c>
      <c r="E2672" s="105">
        <v>2004</v>
      </c>
      <c r="F2672" s="105">
        <v>2000</v>
      </c>
      <c r="G2672" s="105" t="s">
        <v>794</v>
      </c>
      <c r="H2672" s="105" t="s">
        <v>2767</v>
      </c>
      <c r="I2672" s="32" t="s">
        <v>2829</v>
      </c>
      <c r="J2672" s="105">
        <f t="shared" si="379"/>
        <v>-14.25</v>
      </c>
      <c r="K2672" s="105">
        <v>32</v>
      </c>
      <c r="L2672" s="105">
        <v>988</v>
      </c>
      <c r="P2672" s="105">
        <v>850</v>
      </c>
      <c r="R2672" s="106" t="s">
        <v>1858</v>
      </c>
      <c r="S2672" s="106" t="s">
        <v>1843</v>
      </c>
      <c r="T2672" s="106"/>
      <c r="U2672" s="106" t="s">
        <v>2768</v>
      </c>
      <c r="V2672" s="106" t="s">
        <v>1383</v>
      </c>
      <c r="W2672" s="106" t="s">
        <v>1715</v>
      </c>
      <c r="X2672" s="106" t="s">
        <v>1379</v>
      </c>
      <c r="Y2672" s="106" t="s">
        <v>1417</v>
      </c>
      <c r="AA2672" s="354">
        <v>44</v>
      </c>
      <c r="AB2672" s="354">
        <f t="shared" si="380"/>
        <v>6</v>
      </c>
      <c r="AC2672" s="105" t="s">
        <v>796</v>
      </c>
      <c r="AD2672" s="105">
        <v>5.6</v>
      </c>
      <c r="AE2672" s="105">
        <v>0.9</v>
      </c>
      <c r="AG2672" s="105" t="s">
        <v>2769</v>
      </c>
      <c r="AH2672" s="105" t="s">
        <v>2770</v>
      </c>
      <c r="AI2672" s="105" t="s">
        <v>577</v>
      </c>
      <c r="AJ2672" s="32" t="s">
        <v>1601</v>
      </c>
      <c r="AK2672" s="32" t="s">
        <v>1601</v>
      </c>
      <c r="AT2672" s="105" t="s">
        <v>2778</v>
      </c>
      <c r="AU2672" s="105" t="s">
        <v>2779</v>
      </c>
      <c r="AW2672" s="105" t="s">
        <v>2780</v>
      </c>
      <c r="AX2672" s="105">
        <v>3</v>
      </c>
      <c r="AZ2672" s="105" t="s">
        <v>141</v>
      </c>
      <c r="BP2672" s="429"/>
      <c r="BQ2672" s="429"/>
      <c r="BU2672" s="429"/>
      <c r="BV2672" s="429"/>
      <c r="BZ2672" s="429"/>
      <c r="CA2672" s="429"/>
      <c r="CE2672" s="582"/>
      <c r="CF2672" s="582"/>
      <c r="CG2672" s="582"/>
      <c r="CH2672" s="582"/>
      <c r="CJ2672" s="105">
        <v>2.9</v>
      </c>
      <c r="CK2672" s="105">
        <v>3.4</v>
      </c>
      <c r="CN2672" s="32" t="s">
        <v>2783</v>
      </c>
      <c r="JD2672" s="499"/>
    </row>
    <row r="2673" spans="1:264" s="32" customFormat="1" x14ac:dyDescent="0.25">
      <c r="A2673" s="32">
        <v>124</v>
      </c>
      <c r="B2673" s="44" t="s">
        <v>4347</v>
      </c>
      <c r="C2673" s="32" t="s">
        <v>2765</v>
      </c>
      <c r="D2673" s="32" t="s">
        <v>2764</v>
      </c>
      <c r="E2673" s="32">
        <v>2004</v>
      </c>
      <c r="F2673" s="32">
        <v>2000</v>
      </c>
      <c r="G2673" s="32" t="s">
        <v>794</v>
      </c>
      <c r="H2673" s="32" t="s">
        <v>2767</v>
      </c>
      <c r="I2673" s="32" t="s">
        <v>2829</v>
      </c>
      <c r="J2673" s="32">
        <f t="shared" si="379"/>
        <v>-14.25</v>
      </c>
      <c r="K2673" s="32">
        <v>32</v>
      </c>
      <c r="L2673" s="32">
        <v>988</v>
      </c>
      <c r="P2673" s="32">
        <v>850</v>
      </c>
      <c r="R2673" s="44" t="s">
        <v>1858</v>
      </c>
      <c r="S2673" s="44" t="s">
        <v>1843</v>
      </c>
      <c r="T2673" s="44"/>
      <c r="U2673" s="44" t="s">
        <v>2768</v>
      </c>
      <c r="V2673" s="44" t="s">
        <v>1384</v>
      </c>
      <c r="W2673" s="44" t="s">
        <v>1715</v>
      </c>
      <c r="X2673" s="44" t="s">
        <v>1379</v>
      </c>
      <c r="Y2673" s="44" t="s">
        <v>1417</v>
      </c>
      <c r="AA2673" s="323">
        <v>44</v>
      </c>
      <c r="AB2673" s="323">
        <f t="shared" si="380"/>
        <v>6</v>
      </c>
      <c r="AC2673" s="32" t="s">
        <v>796</v>
      </c>
      <c r="AD2673" s="32">
        <v>5.6</v>
      </c>
      <c r="AE2673" s="32">
        <v>0.9</v>
      </c>
      <c r="AG2673" s="32" t="s">
        <v>2769</v>
      </c>
      <c r="AH2673" s="32" t="s">
        <v>2782</v>
      </c>
      <c r="AI2673" s="32" t="s">
        <v>577</v>
      </c>
      <c r="AJ2673" s="32" t="s">
        <v>1601</v>
      </c>
      <c r="AK2673" s="32" t="s">
        <v>1601</v>
      </c>
      <c r="AT2673" s="32" t="s">
        <v>2778</v>
      </c>
      <c r="AU2673" s="32" t="s">
        <v>2779</v>
      </c>
      <c r="AW2673" s="32" t="s">
        <v>2780</v>
      </c>
      <c r="AX2673" s="32">
        <v>3</v>
      </c>
      <c r="AZ2673" s="32" t="s">
        <v>141</v>
      </c>
      <c r="BP2673" s="397"/>
      <c r="BQ2673" s="397"/>
      <c r="BU2673" s="397"/>
      <c r="BV2673" s="397"/>
      <c r="BZ2673" s="397"/>
      <c r="CA2673" s="397"/>
      <c r="CE2673" s="550"/>
      <c r="CF2673" s="550"/>
      <c r="CG2673" s="550"/>
      <c r="CH2673" s="550"/>
      <c r="CJ2673" s="32">
        <v>2.2000000000000002</v>
      </c>
      <c r="CK2673" s="32">
        <v>3.4</v>
      </c>
      <c r="CN2673" s="32" t="s">
        <v>2783</v>
      </c>
      <c r="JD2673" s="243"/>
    </row>
    <row r="2674" spans="1:264" s="32" customFormat="1" x14ac:dyDescent="0.25">
      <c r="A2674" s="32">
        <v>124</v>
      </c>
      <c r="B2674" s="44" t="s">
        <v>4347</v>
      </c>
      <c r="C2674" s="32" t="s">
        <v>2765</v>
      </c>
      <c r="D2674" s="32" t="s">
        <v>2764</v>
      </c>
      <c r="E2674" s="32">
        <v>2004</v>
      </c>
      <c r="F2674" s="32">
        <v>2000</v>
      </c>
      <c r="G2674" s="32" t="s">
        <v>794</v>
      </c>
      <c r="H2674" s="32" t="s">
        <v>2767</v>
      </c>
      <c r="I2674" s="32" t="s">
        <v>2829</v>
      </c>
      <c r="J2674" s="32">
        <f t="shared" si="379"/>
        <v>-14.25</v>
      </c>
      <c r="K2674" s="32">
        <v>32</v>
      </c>
      <c r="L2674" s="32">
        <v>988</v>
      </c>
      <c r="P2674" s="32">
        <v>850</v>
      </c>
      <c r="R2674" s="44" t="s">
        <v>1858</v>
      </c>
      <c r="S2674" s="44" t="s">
        <v>1843</v>
      </c>
      <c r="T2674" s="44"/>
      <c r="U2674" s="44" t="s">
        <v>2768</v>
      </c>
      <c r="V2674" s="44" t="s">
        <v>1384</v>
      </c>
      <c r="W2674" s="44" t="s">
        <v>1715</v>
      </c>
      <c r="X2674" s="44" t="s">
        <v>1379</v>
      </c>
      <c r="Y2674" s="44" t="s">
        <v>1417</v>
      </c>
      <c r="AA2674" s="323">
        <v>44</v>
      </c>
      <c r="AB2674" s="323">
        <f t="shared" si="380"/>
        <v>6</v>
      </c>
      <c r="AC2674" s="32" t="s">
        <v>796</v>
      </c>
      <c r="AD2674" s="32">
        <v>5.6</v>
      </c>
      <c r="AE2674" s="32">
        <v>0.9</v>
      </c>
      <c r="AG2674" s="32" t="s">
        <v>2769</v>
      </c>
      <c r="AH2674" s="32" t="s">
        <v>2770</v>
      </c>
      <c r="AI2674" s="32" t="s">
        <v>577</v>
      </c>
      <c r="AJ2674" s="32" t="s">
        <v>1601</v>
      </c>
      <c r="AK2674" s="32" t="s">
        <v>1601</v>
      </c>
      <c r="AT2674" s="32" t="s">
        <v>2778</v>
      </c>
      <c r="AU2674" s="32" t="s">
        <v>2779</v>
      </c>
      <c r="AW2674" s="32" t="s">
        <v>2780</v>
      </c>
      <c r="AX2674" s="32">
        <v>3</v>
      </c>
      <c r="AZ2674" s="32" t="s">
        <v>141</v>
      </c>
      <c r="BP2674" s="397"/>
      <c r="BQ2674" s="397"/>
      <c r="BU2674" s="397"/>
      <c r="BV2674" s="397"/>
      <c r="BZ2674" s="397"/>
      <c r="CA2674" s="397"/>
      <c r="CE2674" s="550"/>
      <c r="CF2674" s="550"/>
      <c r="CG2674" s="550"/>
      <c r="CH2674" s="550"/>
      <c r="CJ2674" s="32">
        <v>2.2000000000000002</v>
      </c>
      <c r="CK2674" s="32">
        <v>4</v>
      </c>
      <c r="CN2674" s="32" t="s">
        <v>2783</v>
      </c>
      <c r="JD2674" s="243"/>
    </row>
    <row r="2675" spans="1:264" s="105" customFormat="1" x14ac:dyDescent="0.25">
      <c r="A2675" s="105">
        <v>124</v>
      </c>
      <c r="B2675" s="106" t="s">
        <v>4348</v>
      </c>
      <c r="C2675" s="105" t="s">
        <v>2765</v>
      </c>
      <c r="D2675" s="105" t="s">
        <v>2764</v>
      </c>
      <c r="E2675" s="105">
        <v>2004</v>
      </c>
      <c r="F2675" s="105">
        <v>2000</v>
      </c>
      <c r="G2675" s="105" t="s">
        <v>794</v>
      </c>
      <c r="H2675" s="105" t="s">
        <v>2767</v>
      </c>
      <c r="I2675" s="32" t="s">
        <v>2829</v>
      </c>
      <c r="J2675" s="105">
        <f t="shared" si="379"/>
        <v>-14.25</v>
      </c>
      <c r="K2675" s="105">
        <v>32</v>
      </c>
      <c r="L2675" s="105">
        <v>988</v>
      </c>
      <c r="P2675" s="105">
        <v>850</v>
      </c>
      <c r="R2675" s="106" t="s">
        <v>1858</v>
      </c>
      <c r="S2675" s="106" t="s">
        <v>1843</v>
      </c>
      <c r="T2675" s="106"/>
      <c r="U2675" s="106" t="s">
        <v>2768</v>
      </c>
      <c r="V2675" s="106" t="s">
        <v>1417</v>
      </c>
      <c r="W2675" s="106" t="s">
        <v>1724</v>
      </c>
      <c r="X2675" s="106" t="s">
        <v>1379</v>
      </c>
      <c r="Y2675" s="106" t="s">
        <v>1417</v>
      </c>
      <c r="AA2675" s="354">
        <v>44</v>
      </c>
      <c r="AB2675" s="354">
        <f t="shared" si="380"/>
        <v>6</v>
      </c>
      <c r="AC2675" s="105" t="s">
        <v>796</v>
      </c>
      <c r="AD2675" s="105">
        <v>5.6</v>
      </c>
      <c r="AE2675" s="105">
        <v>0.9</v>
      </c>
      <c r="AG2675" s="105" t="s">
        <v>2769</v>
      </c>
      <c r="AH2675" s="105" t="s">
        <v>2782</v>
      </c>
      <c r="AI2675" s="105" t="s">
        <v>577</v>
      </c>
      <c r="AJ2675" s="32" t="s">
        <v>1601</v>
      </c>
      <c r="AK2675" s="32" t="s">
        <v>1601</v>
      </c>
      <c r="AT2675" s="105" t="s">
        <v>2778</v>
      </c>
      <c r="AU2675" s="105" t="s">
        <v>2779</v>
      </c>
      <c r="AW2675" s="105" t="s">
        <v>2780</v>
      </c>
      <c r="AX2675" s="105">
        <v>3</v>
      </c>
      <c r="AZ2675" s="105" t="s">
        <v>141</v>
      </c>
      <c r="BP2675" s="429"/>
      <c r="BQ2675" s="429"/>
      <c r="BU2675" s="429"/>
      <c r="BV2675" s="429"/>
      <c r="BZ2675" s="429"/>
      <c r="CA2675" s="429"/>
      <c r="CE2675" s="582"/>
      <c r="CF2675" s="582"/>
      <c r="CG2675" s="582"/>
      <c r="CH2675" s="582"/>
      <c r="CJ2675" s="105">
        <v>9.6999999999999993</v>
      </c>
      <c r="CK2675" s="105">
        <v>15.4</v>
      </c>
      <c r="CN2675" s="32" t="s">
        <v>2783</v>
      </c>
      <c r="JD2675" s="499"/>
    </row>
    <row r="2676" spans="1:264" s="105" customFormat="1" x14ac:dyDescent="0.25">
      <c r="A2676" s="105">
        <v>124</v>
      </c>
      <c r="B2676" s="106" t="s">
        <v>4348</v>
      </c>
      <c r="C2676" s="105" t="s">
        <v>2765</v>
      </c>
      <c r="D2676" s="105" t="s">
        <v>2764</v>
      </c>
      <c r="E2676" s="105">
        <v>2004</v>
      </c>
      <c r="F2676" s="105">
        <v>2000</v>
      </c>
      <c r="G2676" s="105" t="s">
        <v>794</v>
      </c>
      <c r="H2676" s="105" t="s">
        <v>2767</v>
      </c>
      <c r="I2676" s="32" t="s">
        <v>2829</v>
      </c>
      <c r="J2676" s="105">
        <f t="shared" si="379"/>
        <v>-14.25</v>
      </c>
      <c r="K2676" s="105">
        <v>32</v>
      </c>
      <c r="L2676" s="105">
        <v>988</v>
      </c>
      <c r="P2676" s="105">
        <v>850</v>
      </c>
      <c r="R2676" s="106" t="s">
        <v>1858</v>
      </c>
      <c r="S2676" s="106" t="s">
        <v>1843</v>
      </c>
      <c r="T2676" s="106"/>
      <c r="U2676" s="106" t="s">
        <v>2768</v>
      </c>
      <c r="V2676" s="106" t="s">
        <v>1417</v>
      </c>
      <c r="W2676" s="106" t="s">
        <v>1724</v>
      </c>
      <c r="X2676" s="106" t="s">
        <v>1379</v>
      </c>
      <c r="Y2676" s="106" t="s">
        <v>1417</v>
      </c>
      <c r="AA2676" s="354">
        <v>44</v>
      </c>
      <c r="AB2676" s="354">
        <f t="shared" si="380"/>
        <v>6</v>
      </c>
      <c r="AC2676" s="105" t="s">
        <v>796</v>
      </c>
      <c r="AD2676" s="105">
        <v>5.6</v>
      </c>
      <c r="AE2676" s="105">
        <v>0.9</v>
      </c>
      <c r="AG2676" s="105" t="s">
        <v>2769</v>
      </c>
      <c r="AH2676" s="105" t="s">
        <v>2770</v>
      </c>
      <c r="AI2676" s="105" t="s">
        <v>577</v>
      </c>
      <c r="AJ2676" s="32" t="s">
        <v>1601</v>
      </c>
      <c r="AK2676" s="32" t="s">
        <v>1601</v>
      </c>
      <c r="AT2676" s="105" t="s">
        <v>2778</v>
      </c>
      <c r="AU2676" s="105" t="s">
        <v>2779</v>
      </c>
      <c r="AW2676" s="105" t="s">
        <v>2780</v>
      </c>
      <c r="AX2676" s="105">
        <v>3</v>
      </c>
      <c r="AZ2676" s="105" t="s">
        <v>141</v>
      </c>
      <c r="BP2676" s="429"/>
      <c r="BQ2676" s="429"/>
      <c r="BU2676" s="429"/>
      <c r="BV2676" s="429"/>
      <c r="BZ2676" s="429"/>
      <c r="CA2676" s="429"/>
      <c r="CE2676" s="582"/>
      <c r="CF2676" s="582"/>
      <c r="CG2676" s="582"/>
      <c r="CH2676" s="582"/>
      <c r="CJ2676" s="105">
        <v>9.6999999999999993</v>
      </c>
      <c r="CK2676" s="105">
        <v>14.1</v>
      </c>
      <c r="CN2676" s="32" t="s">
        <v>2783</v>
      </c>
      <c r="JD2676" s="499"/>
    </row>
    <row r="2677" spans="1:264" x14ac:dyDescent="0.25">
      <c r="A2677" s="37">
        <v>125</v>
      </c>
      <c r="B2677" s="50" t="s">
        <v>4349</v>
      </c>
      <c r="C2677" s="37" t="s">
        <v>2785</v>
      </c>
      <c r="D2677" s="37" t="s">
        <v>2784</v>
      </c>
      <c r="E2677" s="37">
        <v>1996</v>
      </c>
      <c r="F2677" s="37">
        <v>1990</v>
      </c>
      <c r="G2677" s="37" t="s">
        <v>2696</v>
      </c>
      <c r="H2677" s="37" t="s">
        <v>2830</v>
      </c>
      <c r="I2677" s="37" t="s">
        <v>2827</v>
      </c>
      <c r="J2677" s="37">
        <v>-13.98</v>
      </c>
      <c r="K2677" s="37">
        <v>33.64</v>
      </c>
      <c r="L2677" s="37">
        <v>1155</v>
      </c>
      <c r="V2677" s="50" t="s">
        <v>1377</v>
      </c>
      <c r="W2677" s="50" t="s">
        <v>1377</v>
      </c>
      <c r="X2677" s="50" t="s">
        <v>1377</v>
      </c>
      <c r="Y2677" s="50" t="s">
        <v>1377</v>
      </c>
      <c r="AH2677" s="37" t="s">
        <v>2786</v>
      </c>
      <c r="AI2677" s="37" t="s">
        <v>577</v>
      </c>
      <c r="AJ2677" s="37" t="s">
        <v>1601</v>
      </c>
      <c r="AK2677" s="37" t="s">
        <v>1601</v>
      </c>
      <c r="AT2677" s="37" t="s">
        <v>338</v>
      </c>
      <c r="AU2677" s="37" t="s">
        <v>2779</v>
      </c>
      <c r="AW2677" s="37" t="s">
        <v>160</v>
      </c>
      <c r="BK2677" s="37">
        <v>1110</v>
      </c>
      <c r="BL2677" s="37">
        <v>730</v>
      </c>
      <c r="CE2677" s="559"/>
      <c r="CF2677" s="559"/>
      <c r="CG2677" s="556"/>
      <c r="CH2677" s="556"/>
    </row>
    <row r="2678" spans="1:264" x14ac:dyDescent="0.25">
      <c r="A2678" s="37">
        <v>125</v>
      </c>
      <c r="B2678" s="50" t="s">
        <v>4350</v>
      </c>
      <c r="C2678" s="37" t="s">
        <v>2785</v>
      </c>
      <c r="D2678" s="37" t="s">
        <v>2784</v>
      </c>
      <c r="E2678" s="37">
        <v>1996</v>
      </c>
      <c r="F2678" s="37">
        <v>1990</v>
      </c>
      <c r="G2678" s="37" t="s">
        <v>2696</v>
      </c>
      <c r="H2678" s="37" t="s">
        <v>2830</v>
      </c>
      <c r="I2678" s="37" t="s">
        <v>2827</v>
      </c>
      <c r="J2678" s="37">
        <v>-13.98</v>
      </c>
      <c r="K2678" s="37">
        <v>33.64</v>
      </c>
      <c r="L2678" s="37">
        <v>1155</v>
      </c>
      <c r="V2678" s="50" t="s">
        <v>1377</v>
      </c>
      <c r="W2678" s="50" t="s">
        <v>1377</v>
      </c>
      <c r="X2678" s="50" t="s">
        <v>1377</v>
      </c>
      <c r="Y2678" s="50" t="s">
        <v>1377</v>
      </c>
      <c r="AH2678" s="37" t="s">
        <v>2786</v>
      </c>
      <c r="AI2678" s="37" t="s">
        <v>577</v>
      </c>
      <c r="AJ2678" s="37" t="s">
        <v>1601</v>
      </c>
      <c r="AK2678" s="37" t="s">
        <v>1601</v>
      </c>
      <c r="AT2678" s="37" t="s">
        <v>2787</v>
      </c>
      <c r="AU2678" s="37" t="s">
        <v>2779</v>
      </c>
      <c r="AW2678" s="37" t="s">
        <v>160</v>
      </c>
      <c r="BK2678" s="37">
        <v>2080</v>
      </c>
      <c r="BL2678" s="37">
        <v>730</v>
      </c>
      <c r="CE2678" s="559"/>
      <c r="CF2678" s="559"/>
      <c r="CG2678" s="556"/>
      <c r="CH2678" s="556"/>
    </row>
    <row r="2679" spans="1:264" s="36" customFormat="1" x14ac:dyDescent="0.25">
      <c r="A2679" s="36">
        <v>125</v>
      </c>
      <c r="B2679" s="51" t="s">
        <v>4349</v>
      </c>
      <c r="C2679" s="36" t="s">
        <v>2785</v>
      </c>
      <c r="D2679" s="36" t="s">
        <v>2784</v>
      </c>
      <c r="E2679" s="36">
        <v>1996</v>
      </c>
      <c r="F2679" s="36">
        <v>1991</v>
      </c>
      <c r="G2679" s="36" t="s">
        <v>2696</v>
      </c>
      <c r="H2679" s="36" t="s">
        <v>2830</v>
      </c>
      <c r="I2679" s="37" t="s">
        <v>2827</v>
      </c>
      <c r="J2679" s="36">
        <v>-13.98</v>
      </c>
      <c r="K2679" s="36">
        <v>33.64</v>
      </c>
      <c r="L2679" s="36">
        <v>1155</v>
      </c>
      <c r="R2679" s="51"/>
      <c r="S2679" s="51"/>
      <c r="T2679" s="51"/>
      <c r="U2679" s="51"/>
      <c r="V2679" s="51" t="s">
        <v>1377</v>
      </c>
      <c r="W2679" s="51" t="s">
        <v>1377</v>
      </c>
      <c r="X2679" s="51" t="s">
        <v>1377</v>
      </c>
      <c r="Y2679" s="51" t="s">
        <v>1377</v>
      </c>
      <c r="AA2679" s="331"/>
      <c r="AB2679" s="331"/>
      <c r="AH2679" s="36" t="s">
        <v>2786</v>
      </c>
      <c r="AI2679" s="36" t="s">
        <v>577</v>
      </c>
      <c r="AJ2679" s="36" t="s">
        <v>1601</v>
      </c>
      <c r="AK2679" s="36" t="s">
        <v>1601</v>
      </c>
      <c r="AT2679" s="36" t="s">
        <v>338</v>
      </c>
      <c r="AU2679" s="36" t="s">
        <v>2779</v>
      </c>
      <c r="AW2679" s="36" t="s">
        <v>160</v>
      </c>
      <c r="BK2679" s="36">
        <v>820</v>
      </c>
      <c r="BL2679" s="36">
        <v>960</v>
      </c>
      <c r="BP2679" s="407"/>
      <c r="BQ2679" s="407"/>
      <c r="BU2679" s="407"/>
      <c r="BV2679" s="407"/>
      <c r="BZ2679" s="407"/>
      <c r="CA2679" s="407"/>
      <c r="CE2679" s="560"/>
      <c r="CF2679" s="560"/>
      <c r="CG2679" s="560"/>
      <c r="CH2679" s="560"/>
      <c r="JD2679" s="230"/>
    </row>
    <row r="2680" spans="1:264" s="36" customFormat="1" x14ac:dyDescent="0.25">
      <c r="A2680" s="36">
        <v>125</v>
      </c>
      <c r="B2680" s="51" t="s">
        <v>4350</v>
      </c>
      <c r="C2680" s="36" t="s">
        <v>2785</v>
      </c>
      <c r="D2680" s="36" t="s">
        <v>2784</v>
      </c>
      <c r="E2680" s="36">
        <v>1996</v>
      </c>
      <c r="F2680" s="36">
        <v>1991</v>
      </c>
      <c r="G2680" s="36" t="s">
        <v>2696</v>
      </c>
      <c r="H2680" s="36" t="s">
        <v>2830</v>
      </c>
      <c r="I2680" s="37" t="s">
        <v>2827</v>
      </c>
      <c r="J2680" s="36">
        <v>-13.98</v>
      </c>
      <c r="K2680" s="36">
        <v>33.64</v>
      </c>
      <c r="L2680" s="36">
        <v>1155</v>
      </c>
      <c r="R2680" s="51"/>
      <c r="S2680" s="51"/>
      <c r="T2680" s="51"/>
      <c r="U2680" s="51"/>
      <c r="V2680" s="51" t="s">
        <v>1377</v>
      </c>
      <c r="W2680" s="51" t="s">
        <v>1377</v>
      </c>
      <c r="X2680" s="51" t="s">
        <v>1377</v>
      </c>
      <c r="Y2680" s="51" t="s">
        <v>1377</v>
      </c>
      <c r="AA2680" s="331"/>
      <c r="AB2680" s="331"/>
      <c r="AH2680" s="36" t="s">
        <v>2786</v>
      </c>
      <c r="AI2680" s="36" t="s">
        <v>577</v>
      </c>
      <c r="AJ2680" s="36" t="s">
        <v>1601</v>
      </c>
      <c r="AK2680" s="36" t="s">
        <v>1601</v>
      </c>
      <c r="AT2680" s="36" t="s">
        <v>2787</v>
      </c>
      <c r="AU2680" s="36" t="s">
        <v>2779</v>
      </c>
      <c r="AW2680" s="36" t="s">
        <v>160</v>
      </c>
      <c r="BK2680" s="36">
        <v>4530</v>
      </c>
      <c r="BL2680" s="36">
        <v>960</v>
      </c>
      <c r="BP2680" s="407"/>
      <c r="BQ2680" s="407"/>
      <c r="BU2680" s="407"/>
      <c r="BV2680" s="407"/>
      <c r="BZ2680" s="407"/>
      <c r="CA2680" s="407"/>
      <c r="CE2680" s="560"/>
      <c r="CF2680" s="560"/>
      <c r="CG2680" s="560"/>
      <c r="CH2680" s="560"/>
      <c r="JD2680" s="230"/>
    </row>
    <row r="2681" spans="1:264" s="126" customFormat="1" x14ac:dyDescent="0.25">
      <c r="A2681" s="126">
        <v>125</v>
      </c>
      <c r="B2681" s="478" t="s">
        <v>4349</v>
      </c>
      <c r="C2681" s="126" t="s">
        <v>2785</v>
      </c>
      <c r="D2681" s="126" t="s">
        <v>2784</v>
      </c>
      <c r="E2681" s="126">
        <v>1996</v>
      </c>
      <c r="F2681" s="126">
        <v>1992</v>
      </c>
      <c r="G2681" s="126" t="s">
        <v>2696</v>
      </c>
      <c r="H2681" s="126" t="s">
        <v>2830</v>
      </c>
      <c r="I2681" s="37" t="s">
        <v>2827</v>
      </c>
      <c r="J2681" s="126">
        <v>-13.98</v>
      </c>
      <c r="K2681" s="126">
        <v>33.64</v>
      </c>
      <c r="L2681" s="126">
        <v>1155</v>
      </c>
      <c r="R2681" s="478"/>
      <c r="S2681" s="478"/>
      <c r="T2681" s="478"/>
      <c r="U2681" s="478"/>
      <c r="V2681" s="478" t="s">
        <v>1377</v>
      </c>
      <c r="W2681" s="478" t="s">
        <v>1377</v>
      </c>
      <c r="X2681" s="478" t="s">
        <v>1377</v>
      </c>
      <c r="Y2681" s="478" t="s">
        <v>1377</v>
      </c>
      <c r="AA2681" s="479"/>
      <c r="AB2681" s="479"/>
      <c r="AH2681" s="126" t="s">
        <v>2786</v>
      </c>
      <c r="AI2681" s="126" t="s">
        <v>577</v>
      </c>
      <c r="AJ2681" s="126" t="s">
        <v>1601</v>
      </c>
      <c r="AK2681" s="126" t="s">
        <v>1601</v>
      </c>
      <c r="AT2681" s="126" t="s">
        <v>338</v>
      </c>
      <c r="AU2681" s="126" t="s">
        <v>2779</v>
      </c>
      <c r="AW2681" s="126" t="s">
        <v>160</v>
      </c>
      <c r="BK2681" s="126">
        <v>400</v>
      </c>
      <c r="BL2681" s="126">
        <v>2570</v>
      </c>
      <c r="BP2681" s="481"/>
      <c r="BQ2681" s="481"/>
      <c r="BU2681" s="481"/>
      <c r="BV2681" s="481"/>
      <c r="BZ2681" s="481"/>
      <c r="CA2681" s="481"/>
      <c r="CE2681" s="605"/>
      <c r="CF2681" s="605"/>
      <c r="CG2681" s="605"/>
      <c r="CH2681" s="605"/>
      <c r="JD2681" s="480"/>
    </row>
    <row r="2682" spans="1:264" s="126" customFormat="1" x14ac:dyDescent="0.25">
      <c r="A2682" s="126">
        <v>125</v>
      </c>
      <c r="B2682" s="478" t="s">
        <v>4350</v>
      </c>
      <c r="C2682" s="126" t="s">
        <v>2785</v>
      </c>
      <c r="D2682" s="126" t="s">
        <v>2784</v>
      </c>
      <c r="E2682" s="126">
        <v>1996</v>
      </c>
      <c r="F2682" s="126">
        <v>1992</v>
      </c>
      <c r="G2682" s="126" t="s">
        <v>2696</v>
      </c>
      <c r="H2682" s="126" t="s">
        <v>2830</v>
      </c>
      <c r="I2682" s="37" t="s">
        <v>2827</v>
      </c>
      <c r="J2682" s="126">
        <v>-13.98</v>
      </c>
      <c r="K2682" s="126">
        <v>33.64</v>
      </c>
      <c r="L2682" s="126">
        <v>1155</v>
      </c>
      <c r="R2682" s="478"/>
      <c r="S2682" s="478"/>
      <c r="T2682" s="478"/>
      <c r="U2682" s="478"/>
      <c r="V2682" s="478" t="s">
        <v>1377</v>
      </c>
      <c r="W2682" s="478" t="s">
        <v>1377</v>
      </c>
      <c r="X2682" s="478" t="s">
        <v>1377</v>
      </c>
      <c r="Y2682" s="478" t="s">
        <v>1377</v>
      </c>
      <c r="AA2682" s="479"/>
      <c r="AB2682" s="479"/>
      <c r="AH2682" s="126" t="s">
        <v>2786</v>
      </c>
      <c r="AI2682" s="126" t="s">
        <v>577</v>
      </c>
      <c r="AJ2682" s="126" t="s">
        <v>1601</v>
      </c>
      <c r="AK2682" s="126" t="s">
        <v>1601</v>
      </c>
      <c r="AT2682" s="126" t="s">
        <v>2787</v>
      </c>
      <c r="AU2682" s="126" t="s">
        <v>2779</v>
      </c>
      <c r="AW2682" s="126" t="s">
        <v>160</v>
      </c>
      <c r="BK2682" s="126">
        <v>1930</v>
      </c>
      <c r="BL2682" s="126">
        <v>2570</v>
      </c>
      <c r="BP2682" s="481"/>
      <c r="BQ2682" s="481"/>
      <c r="BU2682" s="481"/>
      <c r="BV2682" s="481"/>
      <c r="BZ2682" s="481"/>
      <c r="CA2682" s="481"/>
      <c r="CE2682" s="605"/>
      <c r="CF2682" s="605"/>
      <c r="CG2682" s="605"/>
      <c r="CH2682" s="605"/>
      <c r="JD2682" s="480"/>
    </row>
    <row r="2683" spans="1:264" s="90" customFormat="1" x14ac:dyDescent="0.25">
      <c r="A2683" s="90">
        <v>125</v>
      </c>
      <c r="B2683" s="91" t="s">
        <v>4349</v>
      </c>
      <c r="C2683" s="90" t="s">
        <v>2785</v>
      </c>
      <c r="D2683" s="90" t="s">
        <v>2784</v>
      </c>
      <c r="E2683" s="90">
        <v>1996</v>
      </c>
      <c r="F2683" s="90">
        <v>1990</v>
      </c>
      <c r="G2683" s="90" t="s">
        <v>2696</v>
      </c>
      <c r="H2683" s="90" t="s">
        <v>2830</v>
      </c>
      <c r="I2683" s="90" t="s">
        <v>2827</v>
      </c>
      <c r="J2683" s="90">
        <v>-13.98</v>
      </c>
      <c r="K2683" s="90">
        <v>33.64</v>
      </c>
      <c r="L2683" s="90">
        <v>1155</v>
      </c>
      <c r="R2683" s="91"/>
      <c r="S2683" s="91"/>
      <c r="T2683" s="91"/>
      <c r="U2683" s="91"/>
      <c r="V2683" s="91" t="s">
        <v>1377</v>
      </c>
      <c r="W2683" s="91" t="s">
        <v>1377</v>
      </c>
      <c r="X2683" s="91" t="s">
        <v>1377</v>
      </c>
      <c r="Y2683" s="91" t="s">
        <v>1377</v>
      </c>
      <c r="AA2683" s="348"/>
      <c r="AB2683" s="348"/>
      <c r="AH2683" s="90" t="s">
        <v>2788</v>
      </c>
      <c r="AI2683" s="90" t="s">
        <v>577</v>
      </c>
      <c r="AJ2683" s="90" t="s">
        <v>1601</v>
      </c>
      <c r="AK2683" s="90" t="s">
        <v>1601</v>
      </c>
      <c r="AT2683" s="90" t="s">
        <v>338</v>
      </c>
      <c r="AU2683" s="90" t="s">
        <v>2779</v>
      </c>
      <c r="AW2683" s="90" t="s">
        <v>160</v>
      </c>
      <c r="BK2683" s="90">
        <v>1110</v>
      </c>
      <c r="BL2683" s="90">
        <v>1300</v>
      </c>
      <c r="BP2683" s="423"/>
      <c r="BQ2683" s="423"/>
      <c r="BU2683" s="423"/>
      <c r="BV2683" s="423"/>
      <c r="BZ2683" s="423"/>
      <c r="CA2683" s="423"/>
      <c r="CE2683" s="576"/>
      <c r="CF2683" s="576"/>
      <c r="CG2683" s="576"/>
      <c r="CH2683" s="576"/>
      <c r="JD2683" s="502"/>
    </row>
    <row r="2684" spans="1:264" s="90" customFormat="1" x14ac:dyDescent="0.25">
      <c r="A2684" s="90">
        <v>125</v>
      </c>
      <c r="B2684" s="91" t="s">
        <v>4350</v>
      </c>
      <c r="C2684" s="90" t="s">
        <v>2785</v>
      </c>
      <c r="D2684" s="90" t="s">
        <v>2784</v>
      </c>
      <c r="E2684" s="90">
        <v>1996</v>
      </c>
      <c r="F2684" s="90">
        <v>1990</v>
      </c>
      <c r="G2684" s="90" t="s">
        <v>2696</v>
      </c>
      <c r="H2684" s="90" t="s">
        <v>2830</v>
      </c>
      <c r="I2684" s="90" t="s">
        <v>2827</v>
      </c>
      <c r="J2684" s="90">
        <v>-13.98</v>
      </c>
      <c r="K2684" s="90">
        <v>33.64</v>
      </c>
      <c r="L2684" s="90">
        <v>1155</v>
      </c>
      <c r="R2684" s="91"/>
      <c r="S2684" s="91"/>
      <c r="T2684" s="91"/>
      <c r="U2684" s="91"/>
      <c r="V2684" s="91" t="s">
        <v>1377</v>
      </c>
      <c r="W2684" s="91" t="s">
        <v>1377</v>
      </c>
      <c r="X2684" s="91" t="s">
        <v>1377</v>
      </c>
      <c r="Y2684" s="91" t="s">
        <v>1377</v>
      </c>
      <c r="AA2684" s="348"/>
      <c r="AB2684" s="348"/>
      <c r="AH2684" s="90" t="s">
        <v>2788</v>
      </c>
      <c r="AI2684" s="90" t="s">
        <v>577</v>
      </c>
      <c r="AJ2684" s="90" t="s">
        <v>1601</v>
      </c>
      <c r="AK2684" s="90" t="s">
        <v>1601</v>
      </c>
      <c r="AT2684" s="90" t="s">
        <v>2787</v>
      </c>
      <c r="AU2684" s="90" t="s">
        <v>2779</v>
      </c>
      <c r="AW2684" s="90" t="s">
        <v>160</v>
      </c>
      <c r="BK2684" s="90">
        <v>2080</v>
      </c>
      <c r="BL2684" s="90">
        <v>1300</v>
      </c>
      <c r="BP2684" s="423"/>
      <c r="BQ2684" s="423"/>
      <c r="BU2684" s="423"/>
      <c r="BV2684" s="423"/>
      <c r="BZ2684" s="423"/>
      <c r="CA2684" s="423"/>
      <c r="CE2684" s="576"/>
      <c r="CF2684" s="576"/>
      <c r="CG2684" s="576"/>
      <c r="CH2684" s="576"/>
      <c r="JD2684" s="502"/>
    </row>
    <row r="2685" spans="1:264" s="92" customFormat="1" x14ac:dyDescent="0.25">
      <c r="A2685" s="92">
        <v>125</v>
      </c>
      <c r="B2685" s="93" t="s">
        <v>4349</v>
      </c>
      <c r="C2685" s="92" t="s">
        <v>2785</v>
      </c>
      <c r="D2685" s="92" t="s">
        <v>2784</v>
      </c>
      <c r="E2685" s="92">
        <v>1996</v>
      </c>
      <c r="F2685" s="92">
        <v>1991</v>
      </c>
      <c r="G2685" s="92" t="s">
        <v>2696</v>
      </c>
      <c r="H2685" s="90" t="s">
        <v>2830</v>
      </c>
      <c r="I2685" s="90" t="s">
        <v>2827</v>
      </c>
      <c r="J2685" s="92">
        <v>-13.98</v>
      </c>
      <c r="K2685" s="92">
        <v>33.64</v>
      </c>
      <c r="L2685" s="92">
        <v>1155</v>
      </c>
      <c r="R2685" s="93"/>
      <c r="S2685" s="93"/>
      <c r="T2685" s="93"/>
      <c r="U2685" s="93"/>
      <c r="V2685" s="93" t="s">
        <v>1377</v>
      </c>
      <c r="W2685" s="93" t="s">
        <v>1377</v>
      </c>
      <c r="X2685" s="93" t="s">
        <v>1377</v>
      </c>
      <c r="Y2685" s="93" t="s">
        <v>1377</v>
      </c>
      <c r="AA2685" s="349"/>
      <c r="AB2685" s="349"/>
      <c r="AH2685" s="92" t="s">
        <v>2788</v>
      </c>
      <c r="AI2685" s="92" t="s">
        <v>577</v>
      </c>
      <c r="AJ2685" s="92" t="s">
        <v>1601</v>
      </c>
      <c r="AK2685" s="92" t="s">
        <v>1601</v>
      </c>
      <c r="AT2685" s="92" t="s">
        <v>338</v>
      </c>
      <c r="AU2685" s="92" t="s">
        <v>2779</v>
      </c>
      <c r="AW2685" s="92" t="s">
        <v>160</v>
      </c>
      <c r="BK2685" s="92">
        <v>820</v>
      </c>
      <c r="BL2685" s="92">
        <v>990</v>
      </c>
      <c r="BP2685" s="424"/>
      <c r="BQ2685" s="424"/>
      <c r="BU2685" s="424"/>
      <c r="BV2685" s="424"/>
      <c r="BZ2685" s="424"/>
      <c r="CA2685" s="424"/>
      <c r="CE2685" s="577"/>
      <c r="CF2685" s="577"/>
      <c r="CG2685" s="577"/>
      <c r="CH2685" s="577"/>
      <c r="JD2685" s="259"/>
    </row>
    <row r="2686" spans="1:264" s="92" customFormat="1" x14ac:dyDescent="0.25">
      <c r="A2686" s="92">
        <v>125</v>
      </c>
      <c r="B2686" s="93" t="s">
        <v>4350</v>
      </c>
      <c r="C2686" s="92" t="s">
        <v>2785</v>
      </c>
      <c r="D2686" s="92" t="s">
        <v>2784</v>
      </c>
      <c r="E2686" s="92">
        <v>1996</v>
      </c>
      <c r="F2686" s="92">
        <v>1991</v>
      </c>
      <c r="G2686" s="92" t="s">
        <v>2696</v>
      </c>
      <c r="H2686" s="90" t="s">
        <v>2830</v>
      </c>
      <c r="I2686" s="90" t="s">
        <v>2827</v>
      </c>
      <c r="J2686" s="92">
        <v>-13.98</v>
      </c>
      <c r="K2686" s="92">
        <v>33.64</v>
      </c>
      <c r="L2686" s="92">
        <v>1155</v>
      </c>
      <c r="R2686" s="93"/>
      <c r="S2686" s="93"/>
      <c r="T2686" s="93"/>
      <c r="U2686" s="93"/>
      <c r="V2686" s="93" t="s">
        <v>1377</v>
      </c>
      <c r="W2686" s="93" t="s">
        <v>1377</v>
      </c>
      <c r="X2686" s="93" t="s">
        <v>1377</v>
      </c>
      <c r="Y2686" s="93" t="s">
        <v>1377</v>
      </c>
      <c r="AA2686" s="349"/>
      <c r="AB2686" s="349"/>
      <c r="AH2686" s="92" t="s">
        <v>2788</v>
      </c>
      <c r="AI2686" s="92" t="s">
        <v>577</v>
      </c>
      <c r="AJ2686" s="92" t="s">
        <v>1601</v>
      </c>
      <c r="AK2686" s="92" t="s">
        <v>1601</v>
      </c>
      <c r="AT2686" s="92" t="s">
        <v>2787</v>
      </c>
      <c r="AU2686" s="92" t="s">
        <v>2779</v>
      </c>
      <c r="AW2686" s="92" t="s">
        <v>160</v>
      </c>
      <c r="BK2686" s="92">
        <v>4530</v>
      </c>
      <c r="BL2686" s="92">
        <v>990</v>
      </c>
      <c r="BP2686" s="424"/>
      <c r="BQ2686" s="424"/>
      <c r="BU2686" s="424"/>
      <c r="BV2686" s="424"/>
      <c r="BZ2686" s="424"/>
      <c r="CA2686" s="424"/>
      <c r="CE2686" s="577"/>
      <c r="CF2686" s="577"/>
      <c r="CG2686" s="577"/>
      <c r="CH2686" s="577"/>
      <c r="JD2686" s="259"/>
    </row>
    <row r="2687" spans="1:264" s="503" customFormat="1" x14ac:dyDescent="0.25">
      <c r="A2687" s="503">
        <v>125</v>
      </c>
      <c r="B2687" s="504" t="s">
        <v>4349</v>
      </c>
      <c r="C2687" s="503" t="s">
        <v>2785</v>
      </c>
      <c r="D2687" s="503" t="s">
        <v>2784</v>
      </c>
      <c r="E2687" s="503">
        <v>1996</v>
      </c>
      <c r="F2687" s="503">
        <v>1992</v>
      </c>
      <c r="G2687" s="503" t="s">
        <v>2696</v>
      </c>
      <c r="H2687" s="90" t="s">
        <v>2830</v>
      </c>
      <c r="I2687" s="90" t="s">
        <v>2827</v>
      </c>
      <c r="J2687" s="503">
        <v>-13.98</v>
      </c>
      <c r="K2687" s="503">
        <v>33.64</v>
      </c>
      <c r="L2687" s="503">
        <v>1155</v>
      </c>
      <c r="R2687" s="504"/>
      <c r="S2687" s="504"/>
      <c r="T2687" s="504"/>
      <c r="U2687" s="504"/>
      <c r="V2687" s="504" t="s">
        <v>1377</v>
      </c>
      <c r="W2687" s="504" t="s">
        <v>1377</v>
      </c>
      <c r="X2687" s="504" t="s">
        <v>1377</v>
      </c>
      <c r="Y2687" s="504" t="s">
        <v>1377</v>
      </c>
      <c r="AA2687" s="505"/>
      <c r="AB2687" s="505"/>
      <c r="AH2687" s="503" t="s">
        <v>2788</v>
      </c>
      <c r="AI2687" s="503" t="s">
        <v>577</v>
      </c>
      <c r="AJ2687" s="503" t="s">
        <v>1601</v>
      </c>
      <c r="AK2687" s="503" t="s">
        <v>1601</v>
      </c>
      <c r="AT2687" s="503" t="s">
        <v>338</v>
      </c>
      <c r="AU2687" s="503" t="s">
        <v>2779</v>
      </c>
      <c r="AW2687" s="503" t="s">
        <v>160</v>
      </c>
      <c r="BK2687" s="503">
        <v>400</v>
      </c>
      <c r="BL2687" s="503">
        <v>1180</v>
      </c>
      <c r="BP2687" s="506"/>
      <c r="BQ2687" s="506"/>
      <c r="BU2687" s="506"/>
      <c r="BV2687" s="506"/>
      <c r="BZ2687" s="506"/>
      <c r="CA2687" s="506"/>
      <c r="CE2687" s="606"/>
      <c r="CF2687" s="606"/>
      <c r="CG2687" s="606"/>
      <c r="CH2687" s="606"/>
      <c r="JD2687" s="507"/>
    </row>
    <row r="2688" spans="1:264" s="503" customFormat="1" x14ac:dyDescent="0.25">
      <c r="A2688" s="503">
        <v>125</v>
      </c>
      <c r="B2688" s="504" t="s">
        <v>4350</v>
      </c>
      <c r="C2688" s="503" t="s">
        <v>2785</v>
      </c>
      <c r="D2688" s="503" t="s">
        <v>2784</v>
      </c>
      <c r="E2688" s="503">
        <v>1996</v>
      </c>
      <c r="F2688" s="503">
        <v>1992</v>
      </c>
      <c r="G2688" s="503" t="s">
        <v>2696</v>
      </c>
      <c r="H2688" s="90" t="s">
        <v>2830</v>
      </c>
      <c r="I2688" s="90" t="s">
        <v>2827</v>
      </c>
      <c r="J2688" s="503">
        <v>-13.98</v>
      </c>
      <c r="K2688" s="503">
        <v>33.64</v>
      </c>
      <c r="L2688" s="503">
        <v>1155</v>
      </c>
      <c r="R2688" s="504"/>
      <c r="S2688" s="504"/>
      <c r="T2688" s="504"/>
      <c r="U2688" s="504"/>
      <c r="V2688" s="504" t="s">
        <v>1377</v>
      </c>
      <c r="W2688" s="504" t="s">
        <v>1377</v>
      </c>
      <c r="X2688" s="504" t="s">
        <v>1377</v>
      </c>
      <c r="Y2688" s="504" t="s">
        <v>1377</v>
      </c>
      <c r="AA2688" s="505"/>
      <c r="AB2688" s="505"/>
      <c r="AH2688" s="503" t="s">
        <v>2788</v>
      </c>
      <c r="AI2688" s="503" t="s">
        <v>577</v>
      </c>
      <c r="AJ2688" s="503" t="s">
        <v>1601</v>
      </c>
      <c r="AK2688" s="503" t="s">
        <v>1601</v>
      </c>
      <c r="AT2688" s="503" t="s">
        <v>2787</v>
      </c>
      <c r="AU2688" s="503" t="s">
        <v>2779</v>
      </c>
      <c r="AW2688" s="503" t="s">
        <v>160</v>
      </c>
      <c r="BK2688" s="503">
        <v>1930</v>
      </c>
      <c r="BL2688" s="503">
        <v>1180</v>
      </c>
      <c r="BP2688" s="506"/>
      <c r="BQ2688" s="506"/>
      <c r="BU2688" s="506"/>
      <c r="BV2688" s="506"/>
      <c r="BZ2688" s="506"/>
      <c r="CA2688" s="506"/>
      <c r="CE2688" s="606"/>
      <c r="CF2688" s="606"/>
      <c r="CG2688" s="606"/>
      <c r="CH2688" s="606"/>
      <c r="JD2688" s="507"/>
    </row>
    <row r="2689" spans="1:264" s="36" customFormat="1" x14ac:dyDescent="0.25">
      <c r="A2689" s="36">
        <v>125</v>
      </c>
      <c r="B2689" s="51" t="s">
        <v>4351</v>
      </c>
      <c r="C2689" s="36" t="s">
        <v>2785</v>
      </c>
      <c r="D2689" s="36" t="s">
        <v>2784</v>
      </c>
      <c r="E2689" s="36">
        <v>1996</v>
      </c>
      <c r="F2689" s="36">
        <v>1990</v>
      </c>
      <c r="G2689" s="36" t="s">
        <v>2696</v>
      </c>
      <c r="H2689" s="36" t="s">
        <v>2789</v>
      </c>
      <c r="I2689" s="36" t="s">
        <v>2831</v>
      </c>
      <c r="J2689" s="36">
        <v>3.85</v>
      </c>
      <c r="K2689" s="36">
        <v>11.5</v>
      </c>
      <c r="L2689" s="36">
        <v>719</v>
      </c>
      <c r="R2689" s="51"/>
      <c r="S2689" s="51"/>
      <c r="T2689" s="51"/>
      <c r="U2689" s="51"/>
      <c r="V2689" s="51" t="s">
        <v>1377</v>
      </c>
      <c r="W2689" s="51" t="s">
        <v>1377</v>
      </c>
      <c r="X2689" s="51" t="s">
        <v>1377</v>
      </c>
      <c r="Y2689" s="51" t="s">
        <v>1377</v>
      </c>
      <c r="AA2689" s="331"/>
      <c r="AB2689" s="331"/>
      <c r="AH2689" s="36" t="s">
        <v>3562</v>
      </c>
      <c r="AJ2689" s="36" t="s">
        <v>1601</v>
      </c>
      <c r="AK2689" s="36" t="s">
        <v>1601</v>
      </c>
      <c r="AW2689" s="36" t="s">
        <v>160</v>
      </c>
      <c r="BK2689" s="36">
        <v>1520</v>
      </c>
      <c r="BL2689" s="36">
        <v>2130</v>
      </c>
      <c r="BM2689" s="36">
        <v>380</v>
      </c>
      <c r="BN2689" s="36">
        <v>380</v>
      </c>
      <c r="BP2689" s="407"/>
      <c r="BQ2689" s="407"/>
      <c r="BU2689" s="407"/>
      <c r="BV2689" s="407"/>
      <c r="BZ2689" s="407"/>
      <c r="CA2689" s="407"/>
      <c r="CE2689" s="560"/>
      <c r="CF2689" s="560"/>
      <c r="CG2689" s="560"/>
      <c r="CH2689" s="560"/>
      <c r="JD2689" s="230"/>
    </row>
    <row r="2690" spans="1:264" s="36" customFormat="1" x14ac:dyDescent="0.25">
      <c r="A2690" s="36">
        <v>125</v>
      </c>
      <c r="B2690" s="51" t="s">
        <v>4351</v>
      </c>
      <c r="C2690" s="36" t="s">
        <v>2785</v>
      </c>
      <c r="D2690" s="36" t="s">
        <v>2784</v>
      </c>
      <c r="E2690" s="36">
        <v>1996</v>
      </c>
      <c r="F2690" s="36">
        <v>1991</v>
      </c>
      <c r="G2690" s="36" t="s">
        <v>2696</v>
      </c>
      <c r="H2690" s="36" t="s">
        <v>2789</v>
      </c>
      <c r="I2690" s="36" t="s">
        <v>2831</v>
      </c>
      <c r="J2690" s="36">
        <v>3.85</v>
      </c>
      <c r="K2690" s="36">
        <v>11.5</v>
      </c>
      <c r="L2690" s="36">
        <v>719</v>
      </c>
      <c r="R2690" s="51"/>
      <c r="S2690" s="51"/>
      <c r="T2690" s="51"/>
      <c r="U2690" s="51"/>
      <c r="V2690" s="51" t="s">
        <v>1377</v>
      </c>
      <c r="W2690" s="51" t="s">
        <v>1377</v>
      </c>
      <c r="X2690" s="51" t="s">
        <v>1377</v>
      </c>
      <c r="Y2690" s="51" t="s">
        <v>1377</v>
      </c>
      <c r="AA2690" s="331"/>
      <c r="AB2690" s="331"/>
      <c r="AH2690" s="36" t="s">
        <v>3562</v>
      </c>
      <c r="AJ2690" s="36" t="s">
        <v>1601</v>
      </c>
      <c r="AK2690" s="36" t="s">
        <v>1601</v>
      </c>
      <c r="AW2690" s="36" t="s">
        <v>160</v>
      </c>
      <c r="BK2690" s="36">
        <v>2980</v>
      </c>
      <c r="BL2690" s="36">
        <v>3700</v>
      </c>
      <c r="BM2690" s="36">
        <v>290</v>
      </c>
      <c r="BN2690" s="36">
        <v>290</v>
      </c>
      <c r="BP2690" s="407"/>
      <c r="BQ2690" s="407"/>
      <c r="BU2690" s="407"/>
      <c r="BV2690" s="407"/>
      <c r="BZ2690" s="407"/>
      <c r="CA2690" s="407"/>
      <c r="CE2690" s="560"/>
      <c r="CF2690" s="560"/>
      <c r="CG2690" s="560"/>
      <c r="CH2690" s="560"/>
      <c r="JD2690" s="230"/>
    </row>
    <row r="2691" spans="1:264" s="36" customFormat="1" x14ac:dyDescent="0.25">
      <c r="A2691" s="36">
        <v>125</v>
      </c>
      <c r="B2691" s="51" t="s">
        <v>4351</v>
      </c>
      <c r="C2691" s="36" t="s">
        <v>2785</v>
      </c>
      <c r="D2691" s="36" t="s">
        <v>2784</v>
      </c>
      <c r="E2691" s="36">
        <v>1996</v>
      </c>
      <c r="F2691" s="36">
        <v>1992</v>
      </c>
      <c r="G2691" s="36" t="s">
        <v>2696</v>
      </c>
      <c r="H2691" s="36" t="s">
        <v>2789</v>
      </c>
      <c r="I2691" s="36" t="s">
        <v>2831</v>
      </c>
      <c r="J2691" s="36">
        <v>3.85</v>
      </c>
      <c r="K2691" s="36">
        <v>11.5</v>
      </c>
      <c r="L2691" s="36">
        <v>719</v>
      </c>
      <c r="R2691" s="51"/>
      <c r="S2691" s="51"/>
      <c r="T2691" s="51"/>
      <c r="U2691" s="51"/>
      <c r="V2691" s="51" t="s">
        <v>1377</v>
      </c>
      <c r="W2691" s="51" t="s">
        <v>1377</v>
      </c>
      <c r="X2691" s="51" t="s">
        <v>1377</v>
      </c>
      <c r="Y2691" s="51" t="s">
        <v>1377</v>
      </c>
      <c r="AA2691" s="331"/>
      <c r="AB2691" s="331"/>
      <c r="AH2691" s="36" t="s">
        <v>3562</v>
      </c>
      <c r="AJ2691" s="36" t="s">
        <v>1601</v>
      </c>
      <c r="AK2691" s="36" t="s">
        <v>1601</v>
      </c>
      <c r="AW2691" s="36" t="s">
        <v>160</v>
      </c>
      <c r="BK2691" s="36">
        <v>3540</v>
      </c>
      <c r="BL2691" s="36">
        <v>4790</v>
      </c>
      <c r="BM2691" s="36">
        <v>350</v>
      </c>
      <c r="BN2691" s="36">
        <v>350</v>
      </c>
      <c r="BP2691" s="407"/>
      <c r="BQ2691" s="407"/>
      <c r="BU2691" s="407"/>
      <c r="BV2691" s="407"/>
      <c r="BZ2691" s="407"/>
      <c r="CA2691" s="407"/>
      <c r="CE2691" s="560"/>
      <c r="CF2691" s="560"/>
      <c r="CG2691" s="560"/>
      <c r="CH2691" s="560"/>
      <c r="JD2691" s="230"/>
    </row>
    <row r="2692" spans="1:264" s="36" customFormat="1" x14ac:dyDescent="0.25">
      <c r="A2692" s="36">
        <v>125</v>
      </c>
      <c r="B2692" s="51" t="s">
        <v>4351</v>
      </c>
      <c r="C2692" s="36" t="s">
        <v>2785</v>
      </c>
      <c r="D2692" s="36" t="s">
        <v>2784</v>
      </c>
      <c r="E2692" s="36">
        <v>1996</v>
      </c>
      <c r="F2692" s="36">
        <v>1993</v>
      </c>
      <c r="G2692" s="36" t="s">
        <v>2696</v>
      </c>
      <c r="H2692" s="36" t="s">
        <v>2789</v>
      </c>
      <c r="I2692" s="36" t="s">
        <v>2831</v>
      </c>
      <c r="J2692" s="36">
        <v>3.85</v>
      </c>
      <c r="K2692" s="36">
        <v>11.5</v>
      </c>
      <c r="L2692" s="36">
        <v>719</v>
      </c>
      <c r="R2692" s="51"/>
      <c r="S2692" s="51"/>
      <c r="T2692" s="51"/>
      <c r="U2692" s="51"/>
      <c r="V2692" s="51" t="s">
        <v>1377</v>
      </c>
      <c r="W2692" s="51" t="s">
        <v>1377</v>
      </c>
      <c r="X2692" s="51" t="s">
        <v>1377</v>
      </c>
      <c r="Y2692" s="51" t="s">
        <v>1377</v>
      </c>
      <c r="AA2692" s="331"/>
      <c r="AB2692" s="331"/>
      <c r="AH2692" s="36" t="s">
        <v>3562</v>
      </c>
      <c r="AJ2692" s="36" t="s">
        <v>1601</v>
      </c>
      <c r="AK2692" s="36" t="s">
        <v>1601</v>
      </c>
      <c r="AW2692" s="36" t="s">
        <v>160</v>
      </c>
      <c r="BK2692" s="36">
        <v>2540</v>
      </c>
      <c r="BL2692" s="36">
        <v>5090</v>
      </c>
      <c r="BM2692" s="36">
        <v>440</v>
      </c>
      <c r="BN2692" s="36">
        <v>440</v>
      </c>
      <c r="BP2692" s="407"/>
      <c r="BQ2692" s="407"/>
      <c r="BU2692" s="407"/>
      <c r="BV2692" s="407"/>
      <c r="BZ2692" s="407"/>
      <c r="CA2692" s="407"/>
      <c r="CE2692" s="560"/>
      <c r="CF2692" s="560"/>
      <c r="CG2692" s="560"/>
      <c r="CH2692" s="560"/>
      <c r="JD2692" s="230"/>
    </row>
    <row r="2693" spans="1:264" s="36" customFormat="1" x14ac:dyDescent="0.25">
      <c r="A2693" s="36">
        <v>125</v>
      </c>
      <c r="B2693" s="51" t="s">
        <v>4351</v>
      </c>
      <c r="C2693" s="36" t="s">
        <v>2785</v>
      </c>
      <c r="D2693" s="36" t="s">
        <v>2784</v>
      </c>
      <c r="E2693" s="36">
        <v>1996</v>
      </c>
      <c r="F2693" s="36">
        <v>1994</v>
      </c>
      <c r="G2693" s="36" t="s">
        <v>2696</v>
      </c>
      <c r="H2693" s="36" t="s">
        <v>2789</v>
      </c>
      <c r="I2693" s="36" t="s">
        <v>2831</v>
      </c>
      <c r="J2693" s="36">
        <v>3.85</v>
      </c>
      <c r="K2693" s="36">
        <v>11.5</v>
      </c>
      <c r="L2693" s="36">
        <v>719</v>
      </c>
      <c r="R2693" s="51"/>
      <c r="S2693" s="51"/>
      <c r="T2693" s="51"/>
      <c r="U2693" s="51"/>
      <c r="V2693" s="51" t="s">
        <v>1377</v>
      </c>
      <c r="W2693" s="51" t="s">
        <v>1377</v>
      </c>
      <c r="X2693" s="51" t="s">
        <v>1377</v>
      </c>
      <c r="Y2693" s="51" t="s">
        <v>1377</v>
      </c>
      <c r="AA2693" s="331"/>
      <c r="AB2693" s="331"/>
      <c r="AH2693" s="36" t="s">
        <v>3562</v>
      </c>
      <c r="AJ2693" s="36" t="s">
        <v>1601</v>
      </c>
      <c r="AK2693" s="36" t="s">
        <v>1601</v>
      </c>
      <c r="AW2693" s="36" t="s">
        <v>160</v>
      </c>
      <c r="BK2693" s="36">
        <v>2170</v>
      </c>
      <c r="BL2693" s="36">
        <v>4550</v>
      </c>
      <c r="BM2693" s="36">
        <v>140</v>
      </c>
      <c r="BN2693" s="36">
        <v>140</v>
      </c>
      <c r="BP2693" s="407"/>
      <c r="BQ2693" s="407"/>
      <c r="BU2693" s="407"/>
      <c r="BV2693" s="407"/>
      <c r="BZ2693" s="407"/>
      <c r="CA2693" s="407"/>
      <c r="CE2693" s="560"/>
      <c r="CF2693" s="560"/>
      <c r="CG2693" s="560"/>
      <c r="CH2693" s="560"/>
      <c r="JD2693" s="230"/>
    </row>
    <row r="2694" spans="1:264" s="22" customFormat="1" x14ac:dyDescent="0.25">
      <c r="A2694" s="22">
        <v>125</v>
      </c>
      <c r="B2694" s="45" t="s">
        <v>4352</v>
      </c>
      <c r="C2694" s="22" t="s">
        <v>2785</v>
      </c>
      <c r="D2694" s="22" t="s">
        <v>2784</v>
      </c>
      <c r="E2694" s="22">
        <v>1996</v>
      </c>
      <c r="F2694" s="22">
        <v>1992</v>
      </c>
      <c r="G2694" s="22" t="s">
        <v>2696</v>
      </c>
      <c r="H2694" s="22" t="s">
        <v>2790</v>
      </c>
      <c r="I2694" s="22" t="s">
        <v>2832</v>
      </c>
      <c r="J2694" s="22">
        <v>-5.9</v>
      </c>
      <c r="K2694" s="22">
        <v>-76.14</v>
      </c>
      <c r="L2694" s="22">
        <v>135.4</v>
      </c>
      <c r="O2694" s="22">
        <v>2200</v>
      </c>
      <c r="R2694" s="45" t="s">
        <v>2809</v>
      </c>
      <c r="S2694" s="45" t="s">
        <v>2810</v>
      </c>
      <c r="T2694" s="45"/>
      <c r="U2694" s="45"/>
      <c r="V2694" s="45" t="s">
        <v>1377</v>
      </c>
      <c r="W2694" s="45" t="s">
        <v>1377</v>
      </c>
      <c r="X2694" s="45" t="s">
        <v>1377</v>
      </c>
      <c r="Y2694" s="45" t="s">
        <v>1377</v>
      </c>
      <c r="AA2694" s="325"/>
      <c r="AB2694" s="325"/>
      <c r="AG2694" s="22" t="s">
        <v>2803</v>
      </c>
      <c r="AH2694" s="22" t="s">
        <v>2798</v>
      </c>
      <c r="AI2694" s="22" t="s">
        <v>577</v>
      </c>
      <c r="AJ2694" s="22" t="s">
        <v>1601</v>
      </c>
      <c r="AK2694" s="22" t="s">
        <v>1601</v>
      </c>
      <c r="AW2694" s="22" t="s">
        <v>160</v>
      </c>
      <c r="BP2694" s="399"/>
      <c r="BQ2694" s="399"/>
      <c r="BU2694" s="399"/>
      <c r="BV2694" s="399"/>
      <c r="BZ2694" s="399"/>
      <c r="CA2694" s="399"/>
      <c r="CE2694" s="552"/>
      <c r="CF2694" s="552"/>
      <c r="CG2694" s="552"/>
      <c r="CH2694" s="552"/>
      <c r="ER2694" s="22">
        <v>79</v>
      </c>
      <c r="ES2694" s="22">
        <v>6</v>
      </c>
      <c r="EV2694" s="22" t="s">
        <v>2811</v>
      </c>
      <c r="EX2694" s="22">
        <v>347</v>
      </c>
      <c r="EY2694" s="22">
        <v>60</v>
      </c>
      <c r="FA2694" s="22" t="s">
        <v>2812</v>
      </c>
      <c r="JD2694" s="276"/>
    </row>
    <row r="2695" spans="1:264" s="22" customFormat="1" x14ac:dyDescent="0.25">
      <c r="A2695" s="22">
        <v>125</v>
      </c>
      <c r="B2695" s="45" t="s">
        <v>4353</v>
      </c>
      <c r="C2695" s="22" t="s">
        <v>2785</v>
      </c>
      <c r="D2695" s="22" t="s">
        <v>2784</v>
      </c>
      <c r="E2695" s="22">
        <v>1996</v>
      </c>
      <c r="F2695" s="22">
        <v>1988</v>
      </c>
      <c r="G2695" s="22" t="s">
        <v>2696</v>
      </c>
      <c r="H2695" s="22" t="s">
        <v>2791</v>
      </c>
      <c r="I2695" s="22" t="s">
        <v>2833</v>
      </c>
      <c r="J2695" s="22">
        <v>-6.44</v>
      </c>
      <c r="K2695" s="22">
        <v>106.75</v>
      </c>
      <c r="L2695" s="22">
        <v>104.9</v>
      </c>
      <c r="O2695" s="22">
        <v>2044</v>
      </c>
      <c r="R2695" s="45" t="s">
        <v>1977</v>
      </c>
      <c r="S2695" s="45" t="s">
        <v>1977</v>
      </c>
      <c r="T2695" s="45"/>
      <c r="U2695" s="45"/>
      <c r="V2695" s="45" t="s">
        <v>1377</v>
      </c>
      <c r="W2695" s="45" t="s">
        <v>1377</v>
      </c>
      <c r="X2695" s="45" t="s">
        <v>1377</v>
      </c>
      <c r="Y2695" s="45" t="s">
        <v>1377</v>
      </c>
      <c r="AA2695" s="325"/>
      <c r="AB2695" s="325"/>
      <c r="AG2695" s="22" t="s">
        <v>2804</v>
      </c>
      <c r="AH2695" s="22" t="s">
        <v>2797</v>
      </c>
      <c r="AI2695" s="22" t="s">
        <v>577</v>
      </c>
      <c r="AJ2695" s="22" t="s">
        <v>1601</v>
      </c>
      <c r="AK2695" s="22" t="s">
        <v>1601</v>
      </c>
      <c r="AW2695" s="22" t="s">
        <v>160</v>
      </c>
      <c r="BP2695" s="399"/>
      <c r="BQ2695" s="399"/>
      <c r="BU2695" s="399"/>
      <c r="BV2695" s="399"/>
      <c r="BZ2695" s="399"/>
      <c r="CA2695" s="399"/>
      <c r="CE2695" s="552"/>
      <c r="CF2695" s="552"/>
      <c r="CG2695" s="552"/>
      <c r="CH2695" s="552"/>
      <c r="ER2695" s="22">
        <v>103</v>
      </c>
      <c r="ES2695" s="22">
        <v>11</v>
      </c>
      <c r="EV2695" s="22" t="s">
        <v>2811</v>
      </c>
      <c r="EX2695" s="22">
        <v>232</v>
      </c>
      <c r="EY2695" s="22">
        <v>56</v>
      </c>
      <c r="FA2695" s="22" t="s">
        <v>2812</v>
      </c>
      <c r="JD2695" s="276"/>
    </row>
    <row r="2696" spans="1:264" s="22" customFormat="1" x14ac:dyDescent="0.25">
      <c r="A2696" s="22">
        <v>125</v>
      </c>
      <c r="B2696" s="45" t="s">
        <v>4354</v>
      </c>
      <c r="C2696" s="22" t="s">
        <v>2785</v>
      </c>
      <c r="D2696" s="22" t="s">
        <v>2784</v>
      </c>
      <c r="E2696" s="22">
        <v>1996</v>
      </c>
      <c r="F2696" s="22">
        <v>1988</v>
      </c>
      <c r="G2696" s="22" t="s">
        <v>2696</v>
      </c>
      <c r="H2696" s="22" t="s">
        <v>2792</v>
      </c>
      <c r="I2696" s="22" t="s">
        <v>2834</v>
      </c>
      <c r="J2696" s="22">
        <v>14.17</v>
      </c>
      <c r="K2696" s="22">
        <v>121.17</v>
      </c>
      <c r="L2696" s="22">
        <v>238.2</v>
      </c>
      <c r="O2696" s="22">
        <v>2074</v>
      </c>
      <c r="R2696" s="45" t="s">
        <v>1977</v>
      </c>
      <c r="S2696" s="45" t="s">
        <v>1977</v>
      </c>
      <c r="T2696" s="45"/>
      <c r="U2696" s="45"/>
      <c r="V2696" s="45" t="s">
        <v>1377</v>
      </c>
      <c r="W2696" s="45" t="s">
        <v>1377</v>
      </c>
      <c r="X2696" s="45" t="s">
        <v>1377</v>
      </c>
      <c r="Y2696" s="45" t="s">
        <v>1377</v>
      </c>
      <c r="AA2696" s="325"/>
      <c r="AB2696" s="325"/>
      <c r="AG2696" s="22" t="s">
        <v>2805</v>
      </c>
      <c r="AH2696" s="22" t="s">
        <v>2799</v>
      </c>
      <c r="AI2696" s="22" t="s">
        <v>577</v>
      </c>
      <c r="AJ2696" s="22" t="s">
        <v>1601</v>
      </c>
      <c r="AK2696" s="22" t="s">
        <v>1601</v>
      </c>
      <c r="AW2696" s="22" t="s">
        <v>160</v>
      </c>
      <c r="BP2696" s="399"/>
      <c r="BQ2696" s="399"/>
      <c r="BU2696" s="399"/>
      <c r="BV2696" s="399"/>
      <c r="BZ2696" s="399"/>
      <c r="CA2696" s="399"/>
      <c r="CE2696" s="552"/>
      <c r="CF2696" s="552"/>
      <c r="CG2696" s="552"/>
      <c r="CH2696" s="552"/>
      <c r="ER2696" s="22">
        <v>127</v>
      </c>
      <c r="ES2696" s="22">
        <v>3</v>
      </c>
      <c r="EV2696" s="22" t="s">
        <v>2811</v>
      </c>
      <c r="EX2696" s="22">
        <v>347</v>
      </c>
      <c r="EY2696" s="22">
        <v>75</v>
      </c>
      <c r="FA2696" s="22" t="s">
        <v>2812</v>
      </c>
      <c r="JD2696" s="276"/>
    </row>
    <row r="2697" spans="1:264" s="22" customFormat="1" x14ac:dyDescent="0.25">
      <c r="A2697" s="22">
        <v>125</v>
      </c>
      <c r="B2697" s="45" t="s">
        <v>4355</v>
      </c>
      <c r="C2697" s="22" t="s">
        <v>2785</v>
      </c>
      <c r="D2697" s="22" t="s">
        <v>2784</v>
      </c>
      <c r="E2697" s="22">
        <v>1996</v>
      </c>
      <c r="F2697" s="22">
        <v>1987</v>
      </c>
      <c r="G2697" s="22" t="s">
        <v>2696</v>
      </c>
      <c r="H2697" s="22" t="s">
        <v>2793</v>
      </c>
      <c r="I2697" s="22" t="s">
        <v>2823</v>
      </c>
      <c r="J2697" s="22">
        <v>7.41</v>
      </c>
      <c r="K2697" s="22">
        <v>3.95</v>
      </c>
      <c r="L2697" s="22">
        <v>187</v>
      </c>
      <c r="O2697" s="22">
        <v>1358</v>
      </c>
      <c r="R2697" s="45" t="s">
        <v>1843</v>
      </c>
      <c r="S2697" s="45" t="s">
        <v>1843</v>
      </c>
      <c r="T2697" s="45"/>
      <c r="U2697" s="45"/>
      <c r="V2697" s="45" t="s">
        <v>1377</v>
      </c>
      <c r="W2697" s="45" t="s">
        <v>1377</v>
      </c>
      <c r="X2697" s="45" t="s">
        <v>1377</v>
      </c>
      <c r="Y2697" s="45" t="s">
        <v>1377</v>
      </c>
      <c r="AA2697" s="325"/>
      <c r="AB2697" s="325"/>
      <c r="AG2697" s="22" t="s">
        <v>2806</v>
      </c>
      <c r="AH2697" s="22" t="s">
        <v>2800</v>
      </c>
      <c r="AI2697" s="22" t="s">
        <v>577</v>
      </c>
      <c r="AJ2697" s="22" t="s">
        <v>1601</v>
      </c>
      <c r="AK2697" s="22" t="s">
        <v>1601</v>
      </c>
      <c r="AW2697" s="22" t="s">
        <v>160</v>
      </c>
      <c r="BP2697" s="399"/>
      <c r="BQ2697" s="399"/>
      <c r="BU2697" s="399"/>
      <c r="BV2697" s="399"/>
      <c r="BZ2697" s="399"/>
      <c r="CA2697" s="399"/>
      <c r="CE2697" s="552"/>
      <c r="CF2697" s="552"/>
      <c r="CG2697" s="552"/>
      <c r="CH2697" s="552"/>
      <c r="ER2697" s="22">
        <v>5</v>
      </c>
      <c r="ES2697" s="22">
        <v>1</v>
      </c>
      <c r="EV2697" s="22" t="s">
        <v>2811</v>
      </c>
      <c r="EX2697" s="22">
        <v>252</v>
      </c>
      <c r="EY2697" s="22">
        <v>72</v>
      </c>
      <c r="FA2697" s="22" t="s">
        <v>2812</v>
      </c>
      <c r="JD2697" s="276"/>
    </row>
    <row r="2698" spans="1:264" s="22" customFormat="1" x14ac:dyDescent="0.25">
      <c r="A2698" s="22">
        <v>125</v>
      </c>
      <c r="B2698" s="45" t="s">
        <v>4356</v>
      </c>
      <c r="C2698" s="22" t="s">
        <v>2785</v>
      </c>
      <c r="D2698" s="22" t="s">
        <v>2784</v>
      </c>
      <c r="E2698" s="22">
        <v>1996</v>
      </c>
      <c r="F2698" s="22">
        <v>1990</v>
      </c>
      <c r="G2698" s="22" t="s">
        <v>2696</v>
      </c>
      <c r="H2698" s="22" t="s">
        <v>2794</v>
      </c>
      <c r="I2698" s="22" t="s">
        <v>2835</v>
      </c>
      <c r="J2698" s="22">
        <v>-2.61</v>
      </c>
      <c r="K2698" s="22">
        <v>29.72</v>
      </c>
      <c r="L2698" s="22">
        <v>1743</v>
      </c>
      <c r="O2698" s="22">
        <v>1279</v>
      </c>
      <c r="R2698" s="45" t="s">
        <v>1858</v>
      </c>
      <c r="S2698" s="45" t="s">
        <v>1858</v>
      </c>
      <c r="T2698" s="45"/>
      <c r="U2698" s="45"/>
      <c r="V2698" s="45" t="s">
        <v>1377</v>
      </c>
      <c r="W2698" s="45" t="s">
        <v>1377</v>
      </c>
      <c r="X2698" s="45" t="s">
        <v>1377</v>
      </c>
      <c r="Y2698" s="45" t="s">
        <v>1377</v>
      </c>
      <c r="AA2698" s="325"/>
      <c r="AB2698" s="325"/>
      <c r="AG2698" s="22" t="s">
        <v>2804</v>
      </c>
      <c r="AH2698" s="22" t="s">
        <v>2801</v>
      </c>
      <c r="AI2698" s="22" t="s">
        <v>1583</v>
      </c>
      <c r="AJ2698" s="22" t="s">
        <v>1601</v>
      </c>
      <c r="AK2698" s="22" t="s">
        <v>1601</v>
      </c>
      <c r="AW2698" s="22" t="s">
        <v>160</v>
      </c>
      <c r="BP2698" s="399"/>
      <c r="BQ2698" s="399"/>
      <c r="BU2698" s="399"/>
      <c r="BV2698" s="399"/>
      <c r="BZ2698" s="399"/>
      <c r="CA2698" s="399"/>
      <c r="CE2698" s="552"/>
      <c r="CF2698" s="552"/>
      <c r="CG2698" s="552"/>
      <c r="CH2698" s="552"/>
      <c r="ER2698" s="22">
        <v>303</v>
      </c>
      <c r="ES2698" s="22">
        <v>7</v>
      </c>
      <c r="EV2698" s="22" t="s">
        <v>2811</v>
      </c>
      <c r="EX2698" s="22">
        <v>111</v>
      </c>
      <c r="EY2698" s="22">
        <f>(28+35)/2</f>
        <v>31.5</v>
      </c>
      <c r="FA2698" s="22" t="s">
        <v>2812</v>
      </c>
      <c r="JD2698" s="276"/>
    </row>
    <row r="2699" spans="1:264" s="22" customFormat="1" x14ac:dyDescent="0.25">
      <c r="A2699" s="22">
        <v>125</v>
      </c>
      <c r="B2699" s="45" t="s">
        <v>4357</v>
      </c>
      <c r="C2699" s="22" t="s">
        <v>2785</v>
      </c>
      <c r="D2699" s="22" t="s">
        <v>2784</v>
      </c>
      <c r="E2699" s="22">
        <v>1996</v>
      </c>
      <c r="F2699" s="22">
        <v>1992</v>
      </c>
      <c r="G2699" s="22" t="s">
        <v>2696</v>
      </c>
      <c r="H2699" s="22" t="s">
        <v>2795</v>
      </c>
      <c r="I2699" s="22" t="s">
        <v>2827</v>
      </c>
      <c r="J2699" s="22">
        <v>-14.86</v>
      </c>
      <c r="K2699" s="22">
        <v>34.229999999999997</v>
      </c>
      <c r="L2699" s="22">
        <v>1034.3</v>
      </c>
      <c r="O2699" s="22">
        <v>1125</v>
      </c>
      <c r="R2699" s="45" t="s">
        <v>1843</v>
      </c>
      <c r="S2699" s="45" t="s">
        <v>1843</v>
      </c>
      <c r="T2699" s="45"/>
      <c r="U2699" s="45"/>
      <c r="V2699" s="45" t="s">
        <v>1377</v>
      </c>
      <c r="W2699" s="45" t="s">
        <v>1377</v>
      </c>
      <c r="X2699" s="45" t="s">
        <v>1377</v>
      </c>
      <c r="Y2699" s="45" t="s">
        <v>1377</v>
      </c>
      <c r="AA2699" s="325"/>
      <c r="AB2699" s="325"/>
      <c r="AG2699" s="22" t="s">
        <v>2807</v>
      </c>
      <c r="AH2699" s="22" t="s">
        <v>2800</v>
      </c>
      <c r="AI2699" s="22" t="s">
        <v>577</v>
      </c>
      <c r="AJ2699" s="22" t="s">
        <v>1601</v>
      </c>
      <c r="AK2699" s="22" t="s">
        <v>1601</v>
      </c>
      <c r="AW2699" s="22" t="s">
        <v>160</v>
      </c>
      <c r="BP2699" s="399"/>
      <c r="BQ2699" s="399"/>
      <c r="BU2699" s="399"/>
      <c r="BV2699" s="399"/>
      <c r="BZ2699" s="399"/>
      <c r="CA2699" s="399"/>
      <c r="CE2699" s="552"/>
      <c r="CF2699" s="552"/>
      <c r="CG2699" s="552"/>
      <c r="CH2699" s="552"/>
      <c r="ER2699" s="22">
        <v>44</v>
      </c>
      <c r="ES2699" s="22">
        <v>2</v>
      </c>
      <c r="EV2699" s="22" t="s">
        <v>2811</v>
      </c>
      <c r="FA2699" s="22" t="s">
        <v>2812</v>
      </c>
      <c r="JD2699" s="276"/>
    </row>
    <row r="2700" spans="1:264" s="22" customFormat="1" x14ac:dyDescent="0.25">
      <c r="A2700" s="22">
        <v>125</v>
      </c>
      <c r="B2700" s="45" t="s">
        <v>4358</v>
      </c>
      <c r="C2700" s="22" t="s">
        <v>2785</v>
      </c>
      <c r="D2700" s="22" t="s">
        <v>2784</v>
      </c>
      <c r="E2700" s="22">
        <v>1996</v>
      </c>
      <c r="F2700" s="22">
        <v>1991</v>
      </c>
      <c r="G2700" s="22" t="s">
        <v>2696</v>
      </c>
      <c r="H2700" s="22" t="s">
        <v>2796</v>
      </c>
      <c r="I2700" s="22" t="s">
        <v>2836</v>
      </c>
      <c r="J2700" s="22">
        <v>-1.51</v>
      </c>
      <c r="K2700" s="22">
        <v>37.25</v>
      </c>
      <c r="L2700" s="22">
        <v>1611</v>
      </c>
      <c r="O2700" s="22">
        <v>750</v>
      </c>
      <c r="R2700" s="45" t="s">
        <v>1858</v>
      </c>
      <c r="S2700" s="45" t="s">
        <v>1858</v>
      </c>
      <c r="T2700" s="45"/>
      <c r="U2700" s="45"/>
      <c r="V2700" s="45" t="s">
        <v>1377</v>
      </c>
      <c r="W2700" s="45" t="s">
        <v>1377</v>
      </c>
      <c r="X2700" s="45" t="s">
        <v>1377</v>
      </c>
      <c r="Y2700" s="45" t="s">
        <v>1377</v>
      </c>
      <c r="AA2700" s="325"/>
      <c r="AB2700" s="325"/>
      <c r="AG2700" s="22" t="s">
        <v>2808</v>
      </c>
      <c r="AH2700" s="22" t="s">
        <v>2802</v>
      </c>
      <c r="AI2700" s="22" t="s">
        <v>1583</v>
      </c>
      <c r="AJ2700" s="22" t="s">
        <v>1601</v>
      </c>
      <c r="AK2700" s="22" t="s">
        <v>1601</v>
      </c>
      <c r="AW2700" s="22" t="s">
        <v>160</v>
      </c>
      <c r="BP2700" s="399"/>
      <c r="BQ2700" s="399"/>
      <c r="BU2700" s="399"/>
      <c r="BV2700" s="399"/>
      <c r="BZ2700" s="399"/>
      <c r="CA2700" s="399"/>
      <c r="CE2700" s="552"/>
      <c r="CF2700" s="552"/>
      <c r="CG2700" s="552"/>
      <c r="CH2700" s="552"/>
      <c r="ER2700" s="22">
        <v>19</v>
      </c>
      <c r="ES2700" s="22">
        <v>2</v>
      </c>
      <c r="EV2700" s="22" t="s">
        <v>2811</v>
      </c>
      <c r="EX2700" s="22">
        <v>21</v>
      </c>
      <c r="EY2700" s="22">
        <v>5</v>
      </c>
      <c r="FA2700" s="22" t="s">
        <v>2812</v>
      </c>
      <c r="JD2700" s="276"/>
    </row>
    <row r="2701" spans="1:264" s="24" customFormat="1" x14ac:dyDescent="0.25">
      <c r="A2701" s="24">
        <v>126</v>
      </c>
      <c r="B2701" s="42" t="s">
        <v>4359</v>
      </c>
      <c r="C2701" s="24" t="s">
        <v>2841</v>
      </c>
      <c r="D2701" s="24" t="s">
        <v>2842</v>
      </c>
      <c r="E2701" s="24">
        <v>1994</v>
      </c>
      <c r="F2701" s="24">
        <v>1986</v>
      </c>
      <c r="G2701" s="24" t="s">
        <v>2766</v>
      </c>
      <c r="H2701" s="24" t="s">
        <v>2843</v>
      </c>
      <c r="J2701" s="24">
        <f t="shared" ref="J2701:J2718" si="381">-14-17/60</f>
        <v>-14.283333333333333</v>
      </c>
      <c r="K2701" s="24">
        <f t="shared" ref="K2701:K2718" si="382">34+36/60</f>
        <v>34.6</v>
      </c>
      <c r="L2701" s="24">
        <v>1260</v>
      </c>
      <c r="P2701" s="24">
        <f t="shared" ref="P2701:P2718" si="383">(850+1400)/2</f>
        <v>1125</v>
      </c>
      <c r="R2701" s="42" t="s">
        <v>1728</v>
      </c>
      <c r="S2701" s="42" t="s">
        <v>1982</v>
      </c>
      <c r="T2701" s="42"/>
      <c r="U2701" s="42" t="s">
        <v>2845</v>
      </c>
      <c r="V2701" s="42"/>
      <c r="W2701" s="42"/>
      <c r="X2701" s="42"/>
      <c r="Y2701" s="42"/>
      <c r="AA2701" s="321"/>
      <c r="AB2701" s="321"/>
      <c r="AC2701" s="24" t="s">
        <v>240</v>
      </c>
      <c r="AG2701" s="24" t="s">
        <v>2844</v>
      </c>
      <c r="AH2701" s="24" t="s">
        <v>2846</v>
      </c>
      <c r="AI2701" s="24" t="s">
        <v>577</v>
      </c>
      <c r="AJ2701" s="24" t="s">
        <v>1601</v>
      </c>
      <c r="AK2701" s="24" t="s">
        <v>1601</v>
      </c>
      <c r="AW2701" s="24" t="s">
        <v>160</v>
      </c>
      <c r="AX2701" s="24">
        <v>4</v>
      </c>
      <c r="BK2701" s="24">
        <v>815</v>
      </c>
      <c r="BL2701" s="24">
        <v>2479</v>
      </c>
      <c r="BP2701" s="395"/>
      <c r="BQ2701" s="395"/>
      <c r="BU2701" s="395"/>
      <c r="BV2701" s="395"/>
      <c r="BZ2701" s="395"/>
      <c r="CA2701" s="395"/>
      <c r="CE2701" s="548"/>
      <c r="CF2701" s="548"/>
      <c r="CG2701" s="548"/>
      <c r="CH2701" s="548"/>
      <c r="ER2701" s="24">
        <v>78</v>
      </c>
      <c r="ES2701" s="24">
        <v>3</v>
      </c>
      <c r="EV2701" s="24" t="s">
        <v>2811</v>
      </c>
      <c r="JD2701" s="249"/>
    </row>
    <row r="2702" spans="1:264" s="24" customFormat="1" x14ac:dyDescent="0.25">
      <c r="A2702" s="24">
        <v>126</v>
      </c>
      <c r="B2702" s="42" t="s">
        <v>4359</v>
      </c>
      <c r="C2702" s="24" t="s">
        <v>2841</v>
      </c>
      <c r="D2702" s="24" t="s">
        <v>2842</v>
      </c>
      <c r="E2702" s="24">
        <v>1994</v>
      </c>
      <c r="F2702" s="24">
        <v>1987</v>
      </c>
      <c r="G2702" s="24" t="s">
        <v>2766</v>
      </c>
      <c r="H2702" s="24" t="s">
        <v>2843</v>
      </c>
      <c r="J2702" s="24">
        <f t="shared" si="381"/>
        <v>-14.283333333333333</v>
      </c>
      <c r="K2702" s="24">
        <f t="shared" si="382"/>
        <v>34.6</v>
      </c>
      <c r="L2702" s="24">
        <v>1260</v>
      </c>
      <c r="P2702" s="24">
        <f t="shared" si="383"/>
        <v>1125</v>
      </c>
      <c r="R2702" s="42" t="s">
        <v>1858</v>
      </c>
      <c r="S2702" s="42" t="s">
        <v>1982</v>
      </c>
      <c r="T2702" s="42"/>
      <c r="U2702" s="42" t="s">
        <v>2845</v>
      </c>
      <c r="V2702" s="42"/>
      <c r="W2702" s="42"/>
      <c r="X2702" s="42"/>
      <c r="Y2702" s="42"/>
      <c r="AA2702" s="321"/>
      <c r="AB2702" s="321"/>
      <c r="AC2702" s="24" t="s">
        <v>240</v>
      </c>
      <c r="AG2702" s="24" t="s">
        <v>2844</v>
      </c>
      <c r="AH2702" s="24" t="s">
        <v>2846</v>
      </c>
      <c r="AI2702" s="24" t="s">
        <v>577</v>
      </c>
      <c r="AJ2702" s="24" t="s">
        <v>1601</v>
      </c>
      <c r="AK2702" s="24" t="s">
        <v>1601</v>
      </c>
      <c r="AW2702" s="24" t="s">
        <v>160</v>
      </c>
      <c r="AX2702" s="24">
        <v>4</v>
      </c>
      <c r="BK2702" s="24">
        <v>455</v>
      </c>
      <c r="BL2702" s="24">
        <v>3818</v>
      </c>
      <c r="BP2702" s="395"/>
      <c r="BQ2702" s="395"/>
      <c r="BU2702" s="395"/>
      <c r="BV2702" s="395"/>
      <c r="BZ2702" s="395"/>
      <c r="CA2702" s="395"/>
      <c r="CE2702" s="548"/>
      <c r="CF2702" s="548"/>
      <c r="CG2702" s="548"/>
      <c r="CH2702" s="548"/>
      <c r="ER2702" s="24">
        <v>81.3</v>
      </c>
      <c r="ES2702" s="24">
        <v>1.6</v>
      </c>
      <c r="EV2702" s="24" t="s">
        <v>2811</v>
      </c>
      <c r="JD2702" s="249"/>
    </row>
    <row r="2703" spans="1:264" s="24" customFormat="1" x14ac:dyDescent="0.25">
      <c r="A2703" s="24">
        <v>126</v>
      </c>
      <c r="B2703" s="42" t="s">
        <v>4359</v>
      </c>
      <c r="C2703" s="24" t="s">
        <v>2841</v>
      </c>
      <c r="D2703" s="24" t="s">
        <v>2842</v>
      </c>
      <c r="E2703" s="24">
        <v>1994</v>
      </c>
      <c r="F2703" s="24">
        <v>1988</v>
      </c>
      <c r="G2703" s="24" t="s">
        <v>2766</v>
      </c>
      <c r="H2703" s="24" t="s">
        <v>2843</v>
      </c>
      <c r="J2703" s="24">
        <f t="shared" si="381"/>
        <v>-14.283333333333333</v>
      </c>
      <c r="K2703" s="24">
        <f t="shared" si="382"/>
        <v>34.6</v>
      </c>
      <c r="L2703" s="24">
        <v>1260</v>
      </c>
      <c r="P2703" s="24">
        <f t="shared" si="383"/>
        <v>1125</v>
      </c>
      <c r="R2703" s="42" t="s">
        <v>1722</v>
      </c>
      <c r="S2703" s="42" t="s">
        <v>1982</v>
      </c>
      <c r="T2703" s="42"/>
      <c r="U2703" s="42" t="s">
        <v>2845</v>
      </c>
      <c r="V2703" s="42"/>
      <c r="W2703" s="42"/>
      <c r="X2703" s="42"/>
      <c r="Y2703" s="42"/>
      <c r="AA2703" s="321"/>
      <c r="AB2703" s="321"/>
      <c r="AC2703" s="24" t="s">
        <v>240</v>
      </c>
      <c r="AG2703" s="24" t="s">
        <v>2844</v>
      </c>
      <c r="AH2703" s="24" t="s">
        <v>2846</v>
      </c>
      <c r="AI2703" s="24" t="s">
        <v>577</v>
      </c>
      <c r="AJ2703" s="24" t="s">
        <v>1601</v>
      </c>
      <c r="AK2703" s="24" t="s">
        <v>1601</v>
      </c>
      <c r="AW2703" s="24" t="s">
        <v>160</v>
      </c>
      <c r="AX2703" s="24">
        <v>4</v>
      </c>
      <c r="BP2703" s="395"/>
      <c r="BQ2703" s="395"/>
      <c r="BU2703" s="395"/>
      <c r="BV2703" s="395"/>
      <c r="BZ2703" s="395"/>
      <c r="CA2703" s="395"/>
      <c r="CE2703" s="548"/>
      <c r="CF2703" s="548"/>
      <c r="CG2703" s="548"/>
      <c r="CH2703" s="548"/>
      <c r="ER2703" s="24">
        <v>30.4</v>
      </c>
      <c r="ES2703" s="24">
        <v>0.8</v>
      </c>
      <c r="EV2703" s="24" t="s">
        <v>2811</v>
      </c>
      <c r="JD2703" s="249"/>
    </row>
    <row r="2704" spans="1:264" s="24" customFormat="1" x14ac:dyDescent="0.25">
      <c r="A2704" s="24">
        <v>126</v>
      </c>
      <c r="B2704" s="42" t="s">
        <v>4359</v>
      </c>
      <c r="C2704" s="24" t="s">
        <v>2841</v>
      </c>
      <c r="D2704" s="24" t="s">
        <v>2842</v>
      </c>
      <c r="E2704" s="24">
        <v>1994</v>
      </c>
      <c r="F2704" s="24">
        <v>1989</v>
      </c>
      <c r="G2704" s="24" t="s">
        <v>2766</v>
      </c>
      <c r="H2704" s="24" t="s">
        <v>2843</v>
      </c>
      <c r="J2704" s="24">
        <f t="shared" si="381"/>
        <v>-14.283333333333333</v>
      </c>
      <c r="K2704" s="24">
        <f t="shared" si="382"/>
        <v>34.6</v>
      </c>
      <c r="L2704" s="24">
        <v>1260</v>
      </c>
      <c r="P2704" s="24">
        <f t="shared" si="383"/>
        <v>1125</v>
      </c>
      <c r="R2704" s="42" t="s">
        <v>1843</v>
      </c>
      <c r="S2704" s="42" t="s">
        <v>1982</v>
      </c>
      <c r="T2704" s="42"/>
      <c r="U2704" s="42" t="s">
        <v>2845</v>
      </c>
      <c r="V2704" s="42"/>
      <c r="W2704" s="42"/>
      <c r="X2704" s="42"/>
      <c r="Y2704" s="42"/>
      <c r="AA2704" s="321"/>
      <c r="AB2704" s="321"/>
      <c r="AC2704" s="24" t="s">
        <v>240</v>
      </c>
      <c r="AG2704" s="24" t="s">
        <v>2844</v>
      </c>
      <c r="AH2704" s="24" t="s">
        <v>2846</v>
      </c>
      <c r="AI2704" s="24" t="s">
        <v>577</v>
      </c>
      <c r="AJ2704" s="24" t="s">
        <v>1601</v>
      </c>
      <c r="AK2704" s="24" t="s">
        <v>1601</v>
      </c>
      <c r="AW2704" s="24" t="s">
        <v>160</v>
      </c>
      <c r="AX2704" s="24">
        <v>4</v>
      </c>
      <c r="BK2704" s="24">
        <v>318</v>
      </c>
      <c r="BL2704" s="24">
        <v>4106</v>
      </c>
      <c r="BP2704" s="395"/>
      <c r="BQ2704" s="395"/>
      <c r="BU2704" s="395"/>
      <c r="BV2704" s="395"/>
      <c r="BZ2704" s="395"/>
      <c r="CA2704" s="395"/>
      <c r="CE2704" s="548"/>
      <c r="CF2704" s="548"/>
      <c r="CG2704" s="548"/>
      <c r="CH2704" s="548"/>
      <c r="ER2704" s="24">
        <v>23.2</v>
      </c>
      <c r="ES2704" s="24">
        <v>0.8</v>
      </c>
      <c r="EV2704" s="24" t="s">
        <v>2811</v>
      </c>
      <c r="JD2704" s="249"/>
    </row>
    <row r="2705" spans="1:264" s="24" customFormat="1" x14ac:dyDescent="0.25">
      <c r="A2705" s="24">
        <v>126</v>
      </c>
      <c r="B2705" s="42" t="s">
        <v>4359</v>
      </c>
      <c r="C2705" s="24" t="s">
        <v>2841</v>
      </c>
      <c r="D2705" s="24" t="s">
        <v>2842</v>
      </c>
      <c r="E2705" s="24">
        <v>1994</v>
      </c>
      <c r="F2705" s="24">
        <v>1990</v>
      </c>
      <c r="G2705" s="24" t="s">
        <v>2766</v>
      </c>
      <c r="H2705" s="24" t="s">
        <v>2843</v>
      </c>
      <c r="J2705" s="24">
        <f t="shared" si="381"/>
        <v>-14.283333333333333</v>
      </c>
      <c r="K2705" s="24">
        <f t="shared" si="382"/>
        <v>34.6</v>
      </c>
      <c r="L2705" s="24">
        <v>1260</v>
      </c>
      <c r="P2705" s="24">
        <f t="shared" si="383"/>
        <v>1125</v>
      </c>
      <c r="R2705" s="42" t="s">
        <v>1734</v>
      </c>
      <c r="S2705" s="42" t="s">
        <v>1982</v>
      </c>
      <c r="T2705" s="42"/>
      <c r="U2705" s="42" t="s">
        <v>2845</v>
      </c>
      <c r="V2705" s="42"/>
      <c r="W2705" s="42"/>
      <c r="X2705" s="42"/>
      <c r="Y2705" s="42"/>
      <c r="AA2705" s="321"/>
      <c r="AB2705" s="321"/>
      <c r="AC2705" s="24" t="s">
        <v>240</v>
      </c>
      <c r="AG2705" s="24" t="s">
        <v>2844</v>
      </c>
      <c r="AH2705" s="24" t="s">
        <v>2846</v>
      </c>
      <c r="AI2705" s="24" t="s">
        <v>577</v>
      </c>
      <c r="AJ2705" s="24" t="s">
        <v>1601</v>
      </c>
      <c r="AK2705" s="24" t="s">
        <v>1601</v>
      </c>
      <c r="AW2705" s="24" t="s">
        <v>160</v>
      </c>
      <c r="AX2705" s="24">
        <v>4</v>
      </c>
      <c r="BK2705" s="24">
        <v>309</v>
      </c>
      <c r="BL2705" s="24">
        <v>2143</v>
      </c>
      <c r="BP2705" s="395"/>
      <c r="BQ2705" s="395"/>
      <c r="BU2705" s="395"/>
      <c r="BV2705" s="395"/>
      <c r="BZ2705" s="395"/>
      <c r="CA2705" s="395"/>
      <c r="CE2705" s="548"/>
      <c r="CF2705" s="548"/>
      <c r="CG2705" s="548"/>
      <c r="CH2705" s="548"/>
      <c r="ER2705" s="24">
        <v>32</v>
      </c>
      <c r="ES2705" s="24">
        <v>1.7</v>
      </c>
      <c r="EV2705" s="24" t="s">
        <v>2811</v>
      </c>
      <c r="JD2705" s="249"/>
    </row>
    <row r="2706" spans="1:264" s="24" customFormat="1" x14ac:dyDescent="0.25">
      <c r="A2706" s="24">
        <v>126</v>
      </c>
      <c r="B2706" s="42" t="s">
        <v>4359</v>
      </c>
      <c r="C2706" s="24" t="s">
        <v>2841</v>
      </c>
      <c r="D2706" s="24" t="s">
        <v>2842</v>
      </c>
      <c r="E2706" s="24">
        <v>1994</v>
      </c>
      <c r="F2706" s="24">
        <v>1991</v>
      </c>
      <c r="G2706" s="24" t="s">
        <v>2766</v>
      </c>
      <c r="H2706" s="24" t="s">
        <v>2843</v>
      </c>
      <c r="J2706" s="24">
        <f t="shared" si="381"/>
        <v>-14.283333333333333</v>
      </c>
      <c r="K2706" s="24">
        <f t="shared" si="382"/>
        <v>34.6</v>
      </c>
      <c r="L2706" s="24">
        <v>1260</v>
      </c>
      <c r="P2706" s="24">
        <f t="shared" si="383"/>
        <v>1125</v>
      </c>
      <c r="R2706" s="42" t="s">
        <v>1982</v>
      </c>
      <c r="S2706" s="42" t="s">
        <v>1982</v>
      </c>
      <c r="T2706" s="42"/>
      <c r="U2706" s="42" t="s">
        <v>2845</v>
      </c>
      <c r="V2706" s="42"/>
      <c r="W2706" s="42"/>
      <c r="X2706" s="42"/>
      <c r="Y2706" s="42"/>
      <c r="AA2706" s="321"/>
      <c r="AB2706" s="321"/>
      <c r="AC2706" s="24" t="s">
        <v>240</v>
      </c>
      <c r="AG2706" s="24" t="s">
        <v>2844</v>
      </c>
      <c r="AH2706" s="24" t="s">
        <v>2846</v>
      </c>
      <c r="AI2706" s="24" t="s">
        <v>577</v>
      </c>
      <c r="AJ2706" s="24" t="s">
        <v>1601</v>
      </c>
      <c r="AK2706" s="24" t="s">
        <v>1601</v>
      </c>
      <c r="AW2706" s="24" t="s">
        <v>160</v>
      </c>
      <c r="AX2706" s="24">
        <v>4</v>
      </c>
      <c r="BK2706" s="24">
        <v>152</v>
      </c>
      <c r="BL2706" s="24">
        <v>2295</v>
      </c>
      <c r="BP2706" s="395"/>
      <c r="BQ2706" s="395"/>
      <c r="BU2706" s="395"/>
      <c r="BV2706" s="395"/>
      <c r="BZ2706" s="395"/>
      <c r="CA2706" s="395"/>
      <c r="CE2706" s="548"/>
      <c r="CF2706" s="548"/>
      <c r="CG2706" s="548"/>
      <c r="CH2706" s="548"/>
      <c r="ER2706" s="24">
        <v>21.6</v>
      </c>
      <c r="ES2706" s="24">
        <v>1.7</v>
      </c>
      <c r="EV2706" s="24" t="s">
        <v>2811</v>
      </c>
      <c r="JD2706" s="249"/>
    </row>
    <row r="2707" spans="1:264" s="32" customFormat="1" x14ac:dyDescent="0.25">
      <c r="A2707" s="32">
        <v>126</v>
      </c>
      <c r="B2707" s="44" t="s">
        <v>4359</v>
      </c>
      <c r="C2707" s="32" t="s">
        <v>2841</v>
      </c>
      <c r="D2707" s="32" t="s">
        <v>2842</v>
      </c>
      <c r="E2707" s="32">
        <v>1994</v>
      </c>
      <c r="F2707" s="32">
        <v>1986</v>
      </c>
      <c r="G2707" s="32" t="s">
        <v>2766</v>
      </c>
      <c r="H2707" s="32" t="s">
        <v>2843</v>
      </c>
      <c r="J2707" s="32">
        <f t="shared" si="381"/>
        <v>-14.283333333333333</v>
      </c>
      <c r="K2707" s="32">
        <f t="shared" si="382"/>
        <v>34.6</v>
      </c>
      <c r="L2707" s="32">
        <v>1260</v>
      </c>
      <c r="P2707" s="32">
        <f t="shared" si="383"/>
        <v>1125</v>
      </c>
      <c r="R2707" s="44" t="s">
        <v>1728</v>
      </c>
      <c r="S2707" s="44" t="s">
        <v>1982</v>
      </c>
      <c r="T2707" s="44"/>
      <c r="U2707" s="44" t="s">
        <v>2845</v>
      </c>
      <c r="V2707" s="44"/>
      <c r="W2707" s="44"/>
      <c r="X2707" s="44"/>
      <c r="Y2707" s="44"/>
      <c r="AA2707" s="323"/>
      <c r="AB2707" s="323"/>
      <c r="AC2707" s="32" t="s">
        <v>240</v>
      </c>
      <c r="AG2707" s="32" t="s">
        <v>2844</v>
      </c>
      <c r="AH2707" s="32" t="s">
        <v>2847</v>
      </c>
      <c r="AI2707" s="32" t="s">
        <v>577</v>
      </c>
      <c r="AJ2707" s="32" t="s">
        <v>1601</v>
      </c>
      <c r="AK2707" s="32" t="s">
        <v>1601</v>
      </c>
      <c r="AW2707" s="32" t="s">
        <v>160</v>
      </c>
      <c r="AX2707" s="32">
        <v>4</v>
      </c>
      <c r="BK2707" s="32">
        <v>815</v>
      </c>
      <c r="BL2707" s="32">
        <v>2033</v>
      </c>
      <c r="BP2707" s="397"/>
      <c r="BQ2707" s="397"/>
      <c r="BU2707" s="397"/>
      <c r="BV2707" s="397"/>
      <c r="BZ2707" s="397"/>
      <c r="CA2707" s="397"/>
      <c r="CE2707" s="550"/>
      <c r="CF2707" s="550"/>
      <c r="CG2707" s="550"/>
      <c r="CH2707" s="550"/>
      <c r="ER2707" s="32">
        <v>78</v>
      </c>
      <c r="ES2707" s="32">
        <v>3.1</v>
      </c>
      <c r="EV2707" s="32" t="s">
        <v>2811</v>
      </c>
      <c r="JD2707" s="243"/>
    </row>
    <row r="2708" spans="1:264" s="32" customFormat="1" x14ac:dyDescent="0.25">
      <c r="A2708" s="32">
        <v>126</v>
      </c>
      <c r="B2708" s="44" t="s">
        <v>4359</v>
      </c>
      <c r="C2708" s="32" t="s">
        <v>2841</v>
      </c>
      <c r="D2708" s="32" t="s">
        <v>2842</v>
      </c>
      <c r="E2708" s="32">
        <v>1994</v>
      </c>
      <c r="F2708" s="32">
        <v>1987</v>
      </c>
      <c r="G2708" s="32" t="s">
        <v>2766</v>
      </c>
      <c r="H2708" s="32" t="s">
        <v>2843</v>
      </c>
      <c r="J2708" s="32">
        <f t="shared" si="381"/>
        <v>-14.283333333333333</v>
      </c>
      <c r="K2708" s="32">
        <f t="shared" si="382"/>
        <v>34.6</v>
      </c>
      <c r="L2708" s="32">
        <v>1260</v>
      </c>
      <c r="P2708" s="32">
        <f t="shared" si="383"/>
        <v>1125</v>
      </c>
      <c r="R2708" s="44" t="s">
        <v>1858</v>
      </c>
      <c r="S2708" s="44" t="s">
        <v>1982</v>
      </c>
      <c r="T2708" s="44"/>
      <c r="U2708" s="44" t="s">
        <v>2845</v>
      </c>
      <c r="V2708" s="44"/>
      <c r="W2708" s="44"/>
      <c r="X2708" s="44"/>
      <c r="Y2708" s="44"/>
      <c r="AA2708" s="323"/>
      <c r="AB2708" s="323"/>
      <c r="AC2708" s="32" t="s">
        <v>240</v>
      </c>
      <c r="AG2708" s="32" t="s">
        <v>2844</v>
      </c>
      <c r="AH2708" s="32" t="s">
        <v>2847</v>
      </c>
      <c r="AI2708" s="32" t="s">
        <v>577</v>
      </c>
      <c r="AJ2708" s="32" t="s">
        <v>1601</v>
      </c>
      <c r="AK2708" s="32" t="s">
        <v>1601</v>
      </c>
      <c r="AW2708" s="32" t="s">
        <v>160</v>
      </c>
      <c r="AX2708" s="32">
        <v>4</v>
      </c>
      <c r="BK2708" s="32">
        <v>455</v>
      </c>
      <c r="BL2708" s="32">
        <v>1530</v>
      </c>
      <c r="BP2708" s="397"/>
      <c r="BQ2708" s="397"/>
      <c r="BU2708" s="397"/>
      <c r="BV2708" s="397"/>
      <c r="BZ2708" s="397"/>
      <c r="CA2708" s="397"/>
      <c r="CE2708" s="550"/>
      <c r="CF2708" s="550"/>
      <c r="CG2708" s="550"/>
      <c r="CH2708" s="550"/>
      <c r="ER2708" s="32">
        <v>81.3</v>
      </c>
      <c r="ES2708" s="32">
        <v>2.1</v>
      </c>
      <c r="EV2708" s="32" t="s">
        <v>2811</v>
      </c>
      <c r="JD2708" s="243"/>
    </row>
    <row r="2709" spans="1:264" s="32" customFormat="1" x14ac:dyDescent="0.25">
      <c r="A2709" s="32">
        <v>126</v>
      </c>
      <c r="B2709" s="44" t="s">
        <v>4359</v>
      </c>
      <c r="C2709" s="32" t="s">
        <v>2841</v>
      </c>
      <c r="D2709" s="32" t="s">
        <v>2842</v>
      </c>
      <c r="E2709" s="32">
        <v>1994</v>
      </c>
      <c r="F2709" s="32">
        <v>1988</v>
      </c>
      <c r="G2709" s="32" t="s">
        <v>2766</v>
      </c>
      <c r="H2709" s="32" t="s">
        <v>2843</v>
      </c>
      <c r="J2709" s="32">
        <f t="shared" si="381"/>
        <v>-14.283333333333333</v>
      </c>
      <c r="K2709" s="32">
        <f t="shared" si="382"/>
        <v>34.6</v>
      </c>
      <c r="L2709" s="32">
        <v>1260</v>
      </c>
      <c r="P2709" s="32">
        <f t="shared" si="383"/>
        <v>1125</v>
      </c>
      <c r="R2709" s="44" t="s">
        <v>1722</v>
      </c>
      <c r="S2709" s="44" t="s">
        <v>1982</v>
      </c>
      <c r="T2709" s="44"/>
      <c r="U2709" s="44" t="s">
        <v>2845</v>
      </c>
      <c r="V2709" s="44"/>
      <c r="W2709" s="44"/>
      <c r="X2709" s="44"/>
      <c r="Y2709" s="44"/>
      <c r="AA2709" s="323"/>
      <c r="AB2709" s="323"/>
      <c r="AC2709" s="32" t="s">
        <v>240</v>
      </c>
      <c r="AG2709" s="32" t="s">
        <v>2844</v>
      </c>
      <c r="AH2709" s="32" t="s">
        <v>2847</v>
      </c>
      <c r="AI2709" s="32" t="s">
        <v>577</v>
      </c>
      <c r="AJ2709" s="32" t="s">
        <v>1601</v>
      </c>
      <c r="AK2709" s="32" t="s">
        <v>1601</v>
      </c>
      <c r="AW2709" s="32" t="s">
        <v>160</v>
      </c>
      <c r="AX2709" s="32">
        <v>4</v>
      </c>
      <c r="BP2709" s="397"/>
      <c r="BQ2709" s="397"/>
      <c r="BU2709" s="397"/>
      <c r="BV2709" s="397"/>
      <c r="BZ2709" s="397"/>
      <c r="CA2709" s="397"/>
      <c r="CE2709" s="550"/>
      <c r="CF2709" s="550"/>
      <c r="CG2709" s="550"/>
      <c r="CH2709" s="550"/>
      <c r="ER2709" s="32">
        <v>30.4</v>
      </c>
      <c r="ES2709" s="32">
        <v>1.2</v>
      </c>
      <c r="EV2709" s="32" t="s">
        <v>2811</v>
      </c>
      <c r="JD2709" s="243"/>
    </row>
    <row r="2710" spans="1:264" s="32" customFormat="1" x14ac:dyDescent="0.25">
      <c r="A2710" s="32">
        <v>126</v>
      </c>
      <c r="B2710" s="44" t="s">
        <v>4359</v>
      </c>
      <c r="C2710" s="32" t="s">
        <v>2841</v>
      </c>
      <c r="D2710" s="32" t="s">
        <v>2842</v>
      </c>
      <c r="E2710" s="32">
        <v>1994</v>
      </c>
      <c r="F2710" s="32">
        <v>1989</v>
      </c>
      <c r="G2710" s="32" t="s">
        <v>2766</v>
      </c>
      <c r="H2710" s="32" t="s">
        <v>2843</v>
      </c>
      <c r="J2710" s="32">
        <f t="shared" si="381"/>
        <v>-14.283333333333333</v>
      </c>
      <c r="K2710" s="32">
        <f t="shared" si="382"/>
        <v>34.6</v>
      </c>
      <c r="L2710" s="32">
        <v>1260</v>
      </c>
      <c r="P2710" s="32">
        <f t="shared" si="383"/>
        <v>1125</v>
      </c>
      <c r="R2710" s="44" t="s">
        <v>1843</v>
      </c>
      <c r="S2710" s="44" t="s">
        <v>1982</v>
      </c>
      <c r="T2710" s="44"/>
      <c r="U2710" s="44" t="s">
        <v>2845</v>
      </c>
      <c r="V2710" s="44"/>
      <c r="W2710" s="44"/>
      <c r="X2710" s="44"/>
      <c r="Y2710" s="44"/>
      <c r="AA2710" s="323"/>
      <c r="AB2710" s="323"/>
      <c r="AC2710" s="32" t="s">
        <v>240</v>
      </c>
      <c r="AG2710" s="32" t="s">
        <v>2844</v>
      </c>
      <c r="AH2710" s="32" t="s">
        <v>2847</v>
      </c>
      <c r="AI2710" s="32" t="s">
        <v>577</v>
      </c>
      <c r="AJ2710" s="32" t="s">
        <v>1601</v>
      </c>
      <c r="AK2710" s="32" t="s">
        <v>1601</v>
      </c>
      <c r="AW2710" s="32" t="s">
        <v>160</v>
      </c>
      <c r="AX2710" s="32">
        <v>4</v>
      </c>
      <c r="BK2710" s="32">
        <v>318</v>
      </c>
      <c r="BL2710" s="32">
        <v>3652</v>
      </c>
      <c r="BP2710" s="397"/>
      <c r="BQ2710" s="397"/>
      <c r="BU2710" s="397"/>
      <c r="BV2710" s="397"/>
      <c r="BZ2710" s="397"/>
      <c r="CA2710" s="397"/>
      <c r="CE2710" s="550"/>
      <c r="CF2710" s="550"/>
      <c r="CG2710" s="550"/>
      <c r="CH2710" s="550"/>
      <c r="ER2710" s="32">
        <v>23.2</v>
      </c>
      <c r="ES2710" s="32">
        <v>3</v>
      </c>
      <c r="EV2710" s="32" t="s">
        <v>2811</v>
      </c>
      <c r="JD2710" s="243"/>
    </row>
    <row r="2711" spans="1:264" s="32" customFormat="1" x14ac:dyDescent="0.25">
      <c r="A2711" s="32">
        <v>126</v>
      </c>
      <c r="B2711" s="44" t="s">
        <v>4359</v>
      </c>
      <c r="C2711" s="32" t="s">
        <v>2841</v>
      </c>
      <c r="D2711" s="32" t="s">
        <v>2842</v>
      </c>
      <c r="E2711" s="32">
        <v>1994</v>
      </c>
      <c r="F2711" s="32">
        <v>1990</v>
      </c>
      <c r="G2711" s="32" t="s">
        <v>2766</v>
      </c>
      <c r="H2711" s="32" t="s">
        <v>2843</v>
      </c>
      <c r="J2711" s="32">
        <f t="shared" si="381"/>
        <v>-14.283333333333333</v>
      </c>
      <c r="K2711" s="32">
        <f t="shared" si="382"/>
        <v>34.6</v>
      </c>
      <c r="L2711" s="32">
        <v>1260</v>
      </c>
      <c r="P2711" s="32">
        <f t="shared" si="383"/>
        <v>1125</v>
      </c>
      <c r="R2711" s="44" t="s">
        <v>1734</v>
      </c>
      <c r="S2711" s="44" t="s">
        <v>1982</v>
      </c>
      <c r="T2711" s="44"/>
      <c r="U2711" s="44" t="s">
        <v>2845</v>
      </c>
      <c r="V2711" s="44"/>
      <c r="W2711" s="44"/>
      <c r="X2711" s="44"/>
      <c r="Y2711" s="44"/>
      <c r="AA2711" s="323"/>
      <c r="AB2711" s="323"/>
      <c r="AC2711" s="32" t="s">
        <v>240</v>
      </c>
      <c r="AG2711" s="32" t="s">
        <v>2844</v>
      </c>
      <c r="AH2711" s="32" t="s">
        <v>2847</v>
      </c>
      <c r="AI2711" s="32" t="s">
        <v>577</v>
      </c>
      <c r="AJ2711" s="32" t="s">
        <v>1601</v>
      </c>
      <c r="AK2711" s="32" t="s">
        <v>1601</v>
      </c>
      <c r="AW2711" s="32" t="s">
        <v>160</v>
      </c>
      <c r="AX2711" s="32">
        <v>4</v>
      </c>
      <c r="BK2711" s="32">
        <v>309</v>
      </c>
      <c r="BL2711" s="32">
        <v>1571</v>
      </c>
      <c r="BP2711" s="397"/>
      <c r="BQ2711" s="397"/>
      <c r="BU2711" s="397"/>
      <c r="BV2711" s="397"/>
      <c r="BZ2711" s="397"/>
      <c r="CA2711" s="397"/>
      <c r="CE2711" s="550"/>
      <c r="CF2711" s="550"/>
      <c r="CG2711" s="550"/>
      <c r="CH2711" s="550"/>
      <c r="ER2711" s="32">
        <v>32</v>
      </c>
      <c r="ES2711" s="32">
        <v>1.6</v>
      </c>
      <c r="EV2711" s="32" t="s">
        <v>2811</v>
      </c>
      <c r="JD2711" s="243"/>
    </row>
    <row r="2712" spans="1:264" s="32" customFormat="1" x14ac:dyDescent="0.25">
      <c r="A2712" s="32">
        <v>126</v>
      </c>
      <c r="B2712" s="44" t="s">
        <v>4359</v>
      </c>
      <c r="C2712" s="32" t="s">
        <v>2841</v>
      </c>
      <c r="D2712" s="32" t="s">
        <v>2842</v>
      </c>
      <c r="E2712" s="32">
        <v>1994</v>
      </c>
      <c r="F2712" s="32">
        <v>1991</v>
      </c>
      <c r="G2712" s="32" t="s">
        <v>2766</v>
      </c>
      <c r="H2712" s="32" t="s">
        <v>2843</v>
      </c>
      <c r="J2712" s="32">
        <f t="shared" si="381"/>
        <v>-14.283333333333333</v>
      </c>
      <c r="K2712" s="32">
        <f t="shared" si="382"/>
        <v>34.6</v>
      </c>
      <c r="L2712" s="32">
        <v>1260</v>
      </c>
      <c r="P2712" s="32">
        <f t="shared" si="383"/>
        <v>1125</v>
      </c>
      <c r="R2712" s="44" t="s">
        <v>1982</v>
      </c>
      <c r="S2712" s="44" t="s">
        <v>1982</v>
      </c>
      <c r="T2712" s="44"/>
      <c r="U2712" s="44" t="s">
        <v>2845</v>
      </c>
      <c r="V2712" s="44"/>
      <c r="W2712" s="44"/>
      <c r="X2712" s="44"/>
      <c r="Y2712" s="44"/>
      <c r="AA2712" s="323"/>
      <c r="AB2712" s="323"/>
      <c r="AC2712" s="32" t="s">
        <v>240</v>
      </c>
      <c r="AG2712" s="32" t="s">
        <v>2844</v>
      </c>
      <c r="AH2712" s="32" t="s">
        <v>2847</v>
      </c>
      <c r="AI2712" s="32" t="s">
        <v>577</v>
      </c>
      <c r="AJ2712" s="32" t="s">
        <v>1601</v>
      </c>
      <c r="AK2712" s="32" t="s">
        <v>1601</v>
      </c>
      <c r="AW2712" s="32" t="s">
        <v>160</v>
      </c>
      <c r="AX2712" s="32">
        <v>4</v>
      </c>
      <c r="BK2712" s="32">
        <v>152</v>
      </c>
      <c r="BL2712" s="32">
        <v>1369</v>
      </c>
      <c r="BP2712" s="397"/>
      <c r="BQ2712" s="397"/>
      <c r="BU2712" s="397"/>
      <c r="BV2712" s="397"/>
      <c r="BZ2712" s="397"/>
      <c r="CA2712" s="397"/>
      <c r="CE2712" s="550"/>
      <c r="CF2712" s="550"/>
      <c r="CG2712" s="550"/>
      <c r="CH2712" s="550"/>
      <c r="ER2712" s="32">
        <v>21.6</v>
      </c>
      <c r="ES2712" s="32">
        <v>1.3</v>
      </c>
      <c r="EV2712" s="32" t="s">
        <v>2811</v>
      </c>
      <c r="JD2712" s="243"/>
    </row>
    <row r="2713" spans="1:264" s="24" customFormat="1" x14ac:dyDescent="0.25">
      <c r="A2713" s="24">
        <v>126</v>
      </c>
      <c r="B2713" s="42" t="s">
        <v>4359</v>
      </c>
      <c r="C2713" s="24" t="s">
        <v>2841</v>
      </c>
      <c r="D2713" s="24" t="s">
        <v>2842</v>
      </c>
      <c r="E2713" s="24">
        <v>1994</v>
      </c>
      <c r="F2713" s="24">
        <v>1986</v>
      </c>
      <c r="G2713" s="24" t="s">
        <v>2766</v>
      </c>
      <c r="H2713" s="24" t="s">
        <v>2843</v>
      </c>
      <c r="J2713" s="24">
        <f t="shared" si="381"/>
        <v>-14.283333333333333</v>
      </c>
      <c r="K2713" s="24">
        <f t="shared" si="382"/>
        <v>34.6</v>
      </c>
      <c r="L2713" s="24">
        <v>1260</v>
      </c>
      <c r="P2713" s="24">
        <f t="shared" si="383"/>
        <v>1125</v>
      </c>
      <c r="R2713" s="42" t="s">
        <v>1728</v>
      </c>
      <c r="S2713" s="42" t="s">
        <v>1982</v>
      </c>
      <c r="T2713" s="42"/>
      <c r="U2713" s="42" t="s">
        <v>2845</v>
      </c>
      <c r="V2713" s="42"/>
      <c r="W2713" s="42"/>
      <c r="X2713" s="42"/>
      <c r="Y2713" s="42"/>
      <c r="AA2713" s="321"/>
      <c r="AB2713" s="321"/>
      <c r="AC2713" s="24" t="s">
        <v>240</v>
      </c>
      <c r="AG2713" s="24" t="s">
        <v>2844</v>
      </c>
      <c r="AH2713" s="24" t="s">
        <v>2848</v>
      </c>
      <c r="AI2713" s="24" t="s">
        <v>577</v>
      </c>
      <c r="AJ2713" s="24" t="s">
        <v>1601</v>
      </c>
      <c r="AK2713" s="24" t="s">
        <v>1601</v>
      </c>
      <c r="AW2713" s="24" t="s">
        <v>160</v>
      </c>
      <c r="AX2713" s="24">
        <v>4</v>
      </c>
      <c r="BK2713" s="24">
        <v>815</v>
      </c>
      <c r="BL2713" s="24">
        <v>1639</v>
      </c>
      <c r="BP2713" s="395"/>
      <c r="BQ2713" s="395"/>
      <c r="BU2713" s="395"/>
      <c r="BV2713" s="395"/>
      <c r="BZ2713" s="395"/>
      <c r="CA2713" s="395"/>
      <c r="CE2713" s="548"/>
      <c r="CF2713" s="548"/>
      <c r="CG2713" s="548"/>
      <c r="CH2713" s="548"/>
      <c r="ER2713" s="24">
        <v>78</v>
      </c>
      <c r="ES2713" s="24">
        <v>5.3</v>
      </c>
      <c r="EV2713" s="24" t="s">
        <v>2811</v>
      </c>
      <c r="JD2713" s="249"/>
    </row>
    <row r="2714" spans="1:264" s="24" customFormat="1" x14ac:dyDescent="0.25">
      <c r="A2714" s="24">
        <v>126</v>
      </c>
      <c r="B2714" s="42" t="s">
        <v>4359</v>
      </c>
      <c r="C2714" s="24" t="s">
        <v>2841</v>
      </c>
      <c r="D2714" s="24" t="s">
        <v>2842</v>
      </c>
      <c r="E2714" s="24">
        <v>1994</v>
      </c>
      <c r="F2714" s="24">
        <v>1987</v>
      </c>
      <c r="G2714" s="24" t="s">
        <v>2766</v>
      </c>
      <c r="H2714" s="24" t="s">
        <v>2843</v>
      </c>
      <c r="J2714" s="24">
        <f t="shared" si="381"/>
        <v>-14.283333333333333</v>
      </c>
      <c r="K2714" s="24">
        <f t="shared" si="382"/>
        <v>34.6</v>
      </c>
      <c r="L2714" s="24">
        <v>1260</v>
      </c>
      <c r="P2714" s="24">
        <f t="shared" si="383"/>
        <v>1125</v>
      </c>
      <c r="R2714" s="42" t="s">
        <v>1858</v>
      </c>
      <c r="S2714" s="42" t="s">
        <v>1982</v>
      </c>
      <c r="T2714" s="42"/>
      <c r="U2714" s="42" t="s">
        <v>2845</v>
      </c>
      <c r="V2714" s="42"/>
      <c r="W2714" s="42"/>
      <c r="X2714" s="42"/>
      <c r="Y2714" s="42"/>
      <c r="AA2714" s="321"/>
      <c r="AB2714" s="321"/>
      <c r="AC2714" s="24" t="s">
        <v>240</v>
      </c>
      <c r="AG2714" s="24" t="s">
        <v>2844</v>
      </c>
      <c r="AH2714" s="24" t="s">
        <v>2848</v>
      </c>
      <c r="AI2714" s="24" t="s">
        <v>577</v>
      </c>
      <c r="AJ2714" s="24" t="s">
        <v>1601</v>
      </c>
      <c r="AK2714" s="24" t="s">
        <v>1601</v>
      </c>
      <c r="AW2714" s="24" t="s">
        <v>160</v>
      </c>
      <c r="AX2714" s="24">
        <v>4</v>
      </c>
      <c r="BK2714" s="24">
        <v>455</v>
      </c>
      <c r="BL2714" s="24">
        <v>1936</v>
      </c>
      <c r="BP2714" s="395"/>
      <c r="BQ2714" s="395"/>
      <c r="BU2714" s="395"/>
      <c r="BV2714" s="395"/>
      <c r="BZ2714" s="395"/>
      <c r="CA2714" s="395"/>
      <c r="CE2714" s="548"/>
      <c r="CF2714" s="548"/>
      <c r="CG2714" s="548"/>
      <c r="CH2714" s="548"/>
      <c r="ER2714" s="24">
        <v>81.3</v>
      </c>
      <c r="ES2714" s="24">
        <v>2.4</v>
      </c>
      <c r="EV2714" s="24" t="s">
        <v>2811</v>
      </c>
      <c r="JD2714" s="249"/>
    </row>
    <row r="2715" spans="1:264" s="24" customFormat="1" x14ac:dyDescent="0.25">
      <c r="A2715" s="24">
        <v>126</v>
      </c>
      <c r="B2715" s="42" t="s">
        <v>4359</v>
      </c>
      <c r="C2715" s="24" t="s">
        <v>2841</v>
      </c>
      <c r="D2715" s="24" t="s">
        <v>2842</v>
      </c>
      <c r="E2715" s="24">
        <v>1994</v>
      </c>
      <c r="F2715" s="24">
        <v>1988</v>
      </c>
      <c r="G2715" s="24" t="s">
        <v>2766</v>
      </c>
      <c r="H2715" s="24" t="s">
        <v>2843</v>
      </c>
      <c r="J2715" s="24">
        <f t="shared" si="381"/>
        <v>-14.283333333333333</v>
      </c>
      <c r="K2715" s="24">
        <f t="shared" si="382"/>
        <v>34.6</v>
      </c>
      <c r="L2715" s="24">
        <v>1260</v>
      </c>
      <c r="P2715" s="24">
        <f t="shared" si="383"/>
        <v>1125</v>
      </c>
      <c r="R2715" s="42" t="s">
        <v>1722</v>
      </c>
      <c r="S2715" s="42" t="s">
        <v>1982</v>
      </c>
      <c r="T2715" s="42"/>
      <c r="U2715" s="42" t="s">
        <v>2845</v>
      </c>
      <c r="V2715" s="42"/>
      <c r="W2715" s="42"/>
      <c r="X2715" s="42"/>
      <c r="Y2715" s="42"/>
      <c r="AA2715" s="321"/>
      <c r="AB2715" s="321"/>
      <c r="AC2715" s="24" t="s">
        <v>240</v>
      </c>
      <c r="AG2715" s="24" t="s">
        <v>2844</v>
      </c>
      <c r="AH2715" s="24" t="s">
        <v>2848</v>
      </c>
      <c r="AI2715" s="24" t="s">
        <v>577</v>
      </c>
      <c r="AJ2715" s="24" t="s">
        <v>1601</v>
      </c>
      <c r="AK2715" s="24" t="s">
        <v>1601</v>
      </c>
      <c r="AW2715" s="24" t="s">
        <v>160</v>
      </c>
      <c r="AX2715" s="24">
        <v>4</v>
      </c>
      <c r="BP2715" s="395"/>
      <c r="BQ2715" s="395"/>
      <c r="BU2715" s="395"/>
      <c r="BV2715" s="395"/>
      <c r="BZ2715" s="395"/>
      <c r="CA2715" s="395"/>
      <c r="CE2715" s="548"/>
      <c r="CF2715" s="548"/>
      <c r="CG2715" s="548"/>
      <c r="CH2715" s="548"/>
      <c r="ER2715" s="24">
        <v>30.4</v>
      </c>
      <c r="ES2715" s="24">
        <v>1.3</v>
      </c>
      <c r="EV2715" s="24" t="s">
        <v>2811</v>
      </c>
      <c r="JD2715" s="249"/>
    </row>
    <row r="2716" spans="1:264" s="24" customFormat="1" x14ac:dyDescent="0.25">
      <c r="A2716" s="24">
        <v>126</v>
      </c>
      <c r="B2716" s="42" t="s">
        <v>4359</v>
      </c>
      <c r="C2716" s="24" t="s">
        <v>2841</v>
      </c>
      <c r="D2716" s="24" t="s">
        <v>2842</v>
      </c>
      <c r="E2716" s="24">
        <v>1994</v>
      </c>
      <c r="F2716" s="24">
        <v>1989</v>
      </c>
      <c r="G2716" s="24" t="s">
        <v>2766</v>
      </c>
      <c r="H2716" s="24" t="s">
        <v>2843</v>
      </c>
      <c r="J2716" s="24">
        <f t="shared" si="381"/>
        <v>-14.283333333333333</v>
      </c>
      <c r="K2716" s="24">
        <f t="shared" si="382"/>
        <v>34.6</v>
      </c>
      <c r="L2716" s="24">
        <v>1260</v>
      </c>
      <c r="P2716" s="24">
        <f t="shared" si="383"/>
        <v>1125</v>
      </c>
      <c r="R2716" s="42" t="s">
        <v>1843</v>
      </c>
      <c r="S2716" s="42" t="s">
        <v>1982</v>
      </c>
      <c r="T2716" s="42"/>
      <c r="U2716" s="42" t="s">
        <v>2845</v>
      </c>
      <c r="V2716" s="42"/>
      <c r="W2716" s="42"/>
      <c r="X2716" s="42"/>
      <c r="Y2716" s="42"/>
      <c r="AA2716" s="321"/>
      <c r="AB2716" s="321"/>
      <c r="AC2716" s="24" t="s">
        <v>240</v>
      </c>
      <c r="AG2716" s="24" t="s">
        <v>2844</v>
      </c>
      <c r="AH2716" s="24" t="s">
        <v>2848</v>
      </c>
      <c r="AI2716" s="24" t="s">
        <v>577</v>
      </c>
      <c r="AJ2716" s="24" t="s">
        <v>1601</v>
      </c>
      <c r="AK2716" s="24" t="s">
        <v>1601</v>
      </c>
      <c r="AW2716" s="24" t="s">
        <v>160</v>
      </c>
      <c r="AX2716" s="24">
        <v>4</v>
      </c>
      <c r="BK2716" s="24">
        <v>318</v>
      </c>
      <c r="BL2716" s="24">
        <v>2136</v>
      </c>
      <c r="BP2716" s="395"/>
      <c r="BQ2716" s="395"/>
      <c r="BU2716" s="395"/>
      <c r="BV2716" s="395"/>
      <c r="BZ2716" s="395"/>
      <c r="CA2716" s="395"/>
      <c r="CE2716" s="548"/>
      <c r="CF2716" s="548"/>
      <c r="CG2716" s="548"/>
      <c r="CH2716" s="548"/>
      <c r="ER2716" s="24">
        <v>23.2</v>
      </c>
      <c r="ES2716" s="24">
        <v>2</v>
      </c>
      <c r="EV2716" s="24" t="s">
        <v>2811</v>
      </c>
      <c r="JD2716" s="249"/>
    </row>
    <row r="2717" spans="1:264" s="24" customFormat="1" x14ac:dyDescent="0.25">
      <c r="A2717" s="24">
        <v>126</v>
      </c>
      <c r="B2717" s="42" t="s">
        <v>4359</v>
      </c>
      <c r="C2717" s="24" t="s">
        <v>2841</v>
      </c>
      <c r="D2717" s="24" t="s">
        <v>2842</v>
      </c>
      <c r="E2717" s="24">
        <v>1994</v>
      </c>
      <c r="F2717" s="24">
        <v>1990</v>
      </c>
      <c r="G2717" s="24" t="s">
        <v>2766</v>
      </c>
      <c r="H2717" s="24" t="s">
        <v>2843</v>
      </c>
      <c r="J2717" s="24">
        <f t="shared" si="381"/>
        <v>-14.283333333333333</v>
      </c>
      <c r="K2717" s="24">
        <f t="shared" si="382"/>
        <v>34.6</v>
      </c>
      <c r="L2717" s="24">
        <v>1260</v>
      </c>
      <c r="P2717" s="24">
        <f t="shared" si="383"/>
        <v>1125</v>
      </c>
      <c r="R2717" s="42" t="s">
        <v>1734</v>
      </c>
      <c r="S2717" s="42" t="s">
        <v>1982</v>
      </c>
      <c r="T2717" s="42"/>
      <c r="U2717" s="42" t="s">
        <v>2845</v>
      </c>
      <c r="V2717" s="42"/>
      <c r="W2717" s="42"/>
      <c r="X2717" s="42"/>
      <c r="Y2717" s="42"/>
      <c r="AA2717" s="321"/>
      <c r="AB2717" s="321"/>
      <c r="AC2717" s="24" t="s">
        <v>240</v>
      </c>
      <c r="AG2717" s="24" t="s">
        <v>2844</v>
      </c>
      <c r="AH2717" s="24" t="s">
        <v>2848</v>
      </c>
      <c r="AI2717" s="24" t="s">
        <v>577</v>
      </c>
      <c r="AJ2717" s="24" t="s">
        <v>1601</v>
      </c>
      <c r="AK2717" s="24" t="s">
        <v>1601</v>
      </c>
      <c r="AW2717" s="24" t="s">
        <v>160</v>
      </c>
      <c r="AX2717" s="24">
        <v>4</v>
      </c>
      <c r="BK2717" s="24">
        <v>309</v>
      </c>
      <c r="BL2717" s="24">
        <v>1558</v>
      </c>
      <c r="BP2717" s="395"/>
      <c r="BQ2717" s="395"/>
      <c r="BU2717" s="395"/>
      <c r="BV2717" s="395"/>
      <c r="BZ2717" s="395"/>
      <c r="CA2717" s="395"/>
      <c r="CE2717" s="548"/>
      <c r="CF2717" s="548"/>
      <c r="CG2717" s="548"/>
      <c r="CH2717" s="548"/>
      <c r="ER2717" s="24">
        <v>32</v>
      </c>
      <c r="ES2717" s="24">
        <v>2.2999999999999998</v>
      </c>
      <c r="EV2717" s="24" t="s">
        <v>2811</v>
      </c>
      <c r="JD2717" s="249"/>
    </row>
    <row r="2718" spans="1:264" s="24" customFormat="1" x14ac:dyDescent="0.25">
      <c r="A2718" s="24">
        <v>126</v>
      </c>
      <c r="B2718" s="42" t="s">
        <v>4359</v>
      </c>
      <c r="C2718" s="24" t="s">
        <v>2841</v>
      </c>
      <c r="D2718" s="24" t="s">
        <v>2842</v>
      </c>
      <c r="E2718" s="24">
        <v>1994</v>
      </c>
      <c r="F2718" s="24">
        <v>1991</v>
      </c>
      <c r="G2718" s="24" t="s">
        <v>2766</v>
      </c>
      <c r="H2718" s="24" t="s">
        <v>2843</v>
      </c>
      <c r="J2718" s="24">
        <f t="shared" si="381"/>
        <v>-14.283333333333333</v>
      </c>
      <c r="K2718" s="24">
        <f t="shared" si="382"/>
        <v>34.6</v>
      </c>
      <c r="L2718" s="24">
        <v>1260</v>
      </c>
      <c r="P2718" s="24">
        <f t="shared" si="383"/>
        <v>1125</v>
      </c>
      <c r="R2718" s="42" t="s">
        <v>1982</v>
      </c>
      <c r="S2718" s="42" t="s">
        <v>1982</v>
      </c>
      <c r="T2718" s="42"/>
      <c r="U2718" s="42" t="s">
        <v>2845</v>
      </c>
      <c r="V2718" s="42"/>
      <c r="W2718" s="42"/>
      <c r="X2718" s="42"/>
      <c r="Y2718" s="42"/>
      <c r="AA2718" s="321"/>
      <c r="AB2718" s="321"/>
      <c r="AC2718" s="24" t="s">
        <v>240</v>
      </c>
      <c r="AG2718" s="24" t="s">
        <v>2844</v>
      </c>
      <c r="AH2718" s="24" t="s">
        <v>2848</v>
      </c>
      <c r="AI2718" s="24" t="s">
        <v>577</v>
      </c>
      <c r="AJ2718" s="24" t="s">
        <v>1601</v>
      </c>
      <c r="AK2718" s="24" t="s">
        <v>1601</v>
      </c>
      <c r="AW2718" s="24" t="s">
        <v>160</v>
      </c>
      <c r="AX2718" s="24">
        <v>4</v>
      </c>
      <c r="BK2718" s="24">
        <v>152</v>
      </c>
      <c r="BL2718" s="24">
        <v>1832</v>
      </c>
      <c r="BP2718" s="395"/>
      <c r="BQ2718" s="395"/>
      <c r="BU2718" s="395"/>
      <c r="BV2718" s="395"/>
      <c r="BZ2718" s="395"/>
      <c r="CA2718" s="395"/>
      <c r="CE2718" s="548"/>
      <c r="CF2718" s="548"/>
      <c r="CG2718" s="548"/>
      <c r="CH2718" s="548"/>
      <c r="ER2718" s="24">
        <v>21.6</v>
      </c>
      <c r="ES2718" s="24">
        <v>1.6</v>
      </c>
      <c r="EV2718" s="24" t="s">
        <v>2811</v>
      </c>
      <c r="JD2718" s="249"/>
    </row>
    <row r="2719" spans="1:264" s="36" customFormat="1" x14ac:dyDescent="0.25">
      <c r="A2719" s="36">
        <v>127</v>
      </c>
      <c r="B2719" s="51" t="s">
        <v>4360</v>
      </c>
      <c r="C2719" s="36" t="s">
        <v>2849</v>
      </c>
      <c r="D2719" s="36" t="s">
        <v>2753</v>
      </c>
      <c r="E2719" s="36">
        <v>1996</v>
      </c>
      <c r="G2719" s="36" t="s">
        <v>2766</v>
      </c>
      <c r="H2719" s="36" t="s">
        <v>2850</v>
      </c>
      <c r="I2719" s="36" t="s">
        <v>2835</v>
      </c>
      <c r="J2719" s="36">
        <v>-2.5499999999999998</v>
      </c>
      <c r="K2719" s="36">
        <v>29.6</v>
      </c>
      <c r="L2719" s="36">
        <v>1924</v>
      </c>
      <c r="R2719" s="51"/>
      <c r="S2719" s="51" t="s">
        <v>1734</v>
      </c>
      <c r="T2719" s="51"/>
      <c r="U2719" s="51" t="s">
        <v>2851</v>
      </c>
      <c r="V2719" s="51" t="s">
        <v>1392</v>
      </c>
      <c r="W2719" s="51" t="s">
        <v>1719</v>
      </c>
      <c r="X2719" s="51" t="s">
        <v>1388</v>
      </c>
      <c r="Y2719" s="51" t="s">
        <v>1388</v>
      </c>
      <c r="AA2719" s="331"/>
      <c r="AB2719" s="331"/>
      <c r="AH2719" s="36" t="s">
        <v>2853</v>
      </c>
      <c r="AI2719" s="36" t="s">
        <v>577</v>
      </c>
      <c r="AJ2719" s="36" t="s">
        <v>1601</v>
      </c>
      <c r="AK2719" s="36" t="s">
        <v>1601</v>
      </c>
      <c r="AW2719" s="36" t="s">
        <v>160</v>
      </c>
      <c r="AY2719" s="36">
        <v>5</v>
      </c>
      <c r="BP2719" s="407"/>
      <c r="BQ2719" s="407"/>
      <c r="BU2719" s="407"/>
      <c r="BV2719" s="407"/>
      <c r="BZ2719" s="407"/>
      <c r="CA2719" s="407"/>
      <c r="CE2719" s="560"/>
      <c r="CF2719" s="560"/>
      <c r="CG2719" s="560"/>
      <c r="CH2719" s="560"/>
      <c r="FB2719" s="36">
        <f>AVERAGE(1.36,23.64,26.22)</f>
        <v>17.073333333333334</v>
      </c>
      <c r="FC2719" s="36">
        <f>AVERAGE(2.5,18.1,26.8)</f>
        <v>15.800000000000002</v>
      </c>
      <c r="FD2719" s="36">
        <f>26.4-23.6</f>
        <v>2.7999999999999972</v>
      </c>
      <c r="FE2719" s="36">
        <f>30.1-26.8</f>
        <v>3.3000000000000007</v>
      </c>
      <c r="FF2719" s="36" t="s">
        <v>569</v>
      </c>
      <c r="HJ2719" s="36">
        <f>AVERAGE(17.33,34.34,24.24,10.49)</f>
        <v>21.599999999999998</v>
      </c>
      <c r="HK2719" s="36">
        <f>AVERAGE(21.52,53.32,41.82,14.67)</f>
        <v>32.832499999999996</v>
      </c>
      <c r="HL2719" s="36">
        <f>AVERAGE(1,9.3,7,1)</f>
        <v>4.5750000000000002</v>
      </c>
      <c r="HM2719" s="36">
        <f>AVERAGE(1,9.3,7,1)</f>
        <v>4.5750000000000002</v>
      </c>
      <c r="HN2719" s="36" t="s">
        <v>2852</v>
      </c>
      <c r="JD2719" s="230"/>
    </row>
    <row r="2720" spans="1:264" s="36" customFormat="1" x14ac:dyDescent="0.25">
      <c r="A2720" s="36">
        <v>127</v>
      </c>
      <c r="B2720" s="51" t="s">
        <v>4361</v>
      </c>
      <c r="C2720" s="36" t="s">
        <v>2849</v>
      </c>
      <c r="D2720" s="36" t="s">
        <v>2753</v>
      </c>
      <c r="E2720" s="36">
        <v>1996</v>
      </c>
      <c r="G2720" s="36" t="s">
        <v>2766</v>
      </c>
      <c r="H2720" s="36" t="s">
        <v>2850</v>
      </c>
      <c r="I2720" s="36" t="s">
        <v>2835</v>
      </c>
      <c r="J2720" s="36">
        <v>-2.5499999999999998</v>
      </c>
      <c r="K2720" s="36">
        <v>29.6</v>
      </c>
      <c r="L2720" s="36">
        <v>1924</v>
      </c>
      <c r="R2720" s="51"/>
      <c r="S2720" s="51" t="s">
        <v>1734</v>
      </c>
      <c r="T2720" s="51"/>
      <c r="U2720" s="51" t="s">
        <v>2851</v>
      </c>
      <c r="V2720" s="51" t="s">
        <v>1392</v>
      </c>
      <c r="W2720" s="51" t="s">
        <v>1719</v>
      </c>
      <c r="X2720" s="51" t="s">
        <v>1388</v>
      </c>
      <c r="Y2720" s="51" t="s">
        <v>1388</v>
      </c>
      <c r="AA2720" s="331"/>
      <c r="AB2720" s="331"/>
      <c r="AH2720" s="36" t="s">
        <v>2854</v>
      </c>
      <c r="AI2720" s="36" t="s">
        <v>1581</v>
      </c>
      <c r="AJ2720" s="36" t="s">
        <v>1601</v>
      </c>
      <c r="AK2720" s="36" t="s">
        <v>1601</v>
      </c>
      <c r="AW2720" s="36" t="s">
        <v>160</v>
      </c>
      <c r="AY2720" s="36">
        <v>5</v>
      </c>
      <c r="BP2720" s="407"/>
      <c r="BQ2720" s="407"/>
      <c r="BU2720" s="407"/>
      <c r="BV2720" s="407"/>
      <c r="BZ2720" s="407"/>
      <c r="CA2720" s="407"/>
      <c r="CE2720" s="560"/>
      <c r="CF2720" s="560"/>
      <c r="CG2720" s="560"/>
      <c r="CH2720" s="560"/>
      <c r="FB2720" s="36">
        <f>AVERAGE(1.36,23.64,26.22)</f>
        <v>17.073333333333334</v>
      </c>
      <c r="FC2720" s="36">
        <f>AVERAGE(2.2,23.64,44.28)</f>
        <v>23.373333333333335</v>
      </c>
      <c r="FD2720" s="36">
        <f>26.4-23.6</f>
        <v>2.7999999999999972</v>
      </c>
      <c r="FE2720" s="36">
        <f>27.8-23.6</f>
        <v>4.1999999999999993</v>
      </c>
      <c r="FF2720" s="36" t="s">
        <v>569</v>
      </c>
      <c r="HJ2720" s="36">
        <f>AVERAGE(17.33,34.34,24.24,10.49)</f>
        <v>21.599999999999998</v>
      </c>
      <c r="HK2720" s="36">
        <f>AVERAGE(20.12,39.9,30.38,12.16)</f>
        <v>25.639999999999997</v>
      </c>
      <c r="HL2720" s="36">
        <f>AVERAGE(1,9.3,7,1)</f>
        <v>4.5750000000000002</v>
      </c>
      <c r="HM2720" s="36">
        <f>AVERAGE(1,9.3,7,1)</f>
        <v>4.5750000000000002</v>
      </c>
      <c r="HN2720" s="36" t="s">
        <v>2852</v>
      </c>
      <c r="JD2720" s="230"/>
    </row>
    <row r="2721" spans="1:264" s="24" customFormat="1" x14ac:dyDescent="0.25">
      <c r="A2721" s="24">
        <v>128</v>
      </c>
      <c r="B2721" s="42" t="s">
        <v>4362</v>
      </c>
      <c r="C2721" s="24" t="s">
        <v>2855</v>
      </c>
      <c r="D2721" s="24" t="s">
        <v>2856</v>
      </c>
      <c r="E2721" s="24">
        <v>2005</v>
      </c>
      <c r="F2721" s="24">
        <v>2000</v>
      </c>
      <c r="G2721" s="24" t="s">
        <v>2766</v>
      </c>
      <c r="H2721" s="24" t="s">
        <v>2860</v>
      </c>
      <c r="I2721" s="24" t="s">
        <v>2857</v>
      </c>
      <c r="J2721" s="24">
        <v>-0.22</v>
      </c>
      <c r="K2721" s="24">
        <v>33.57</v>
      </c>
      <c r="L2721" s="24">
        <v>1134</v>
      </c>
      <c r="P2721" s="24">
        <v>1345</v>
      </c>
      <c r="R2721" s="42" t="s">
        <v>1977</v>
      </c>
      <c r="S2721" s="42" t="s">
        <v>1847</v>
      </c>
      <c r="T2721" s="42"/>
      <c r="U2721" s="42" t="s">
        <v>2859</v>
      </c>
      <c r="V2721" s="42" t="s">
        <v>1379</v>
      </c>
      <c r="W2721" s="42" t="s">
        <v>1715</v>
      </c>
      <c r="X2721" s="42" t="s">
        <v>1379</v>
      </c>
      <c r="Y2721" s="42" t="s">
        <v>1379</v>
      </c>
      <c r="AA2721" s="321">
        <v>62</v>
      </c>
      <c r="AB2721" s="321">
        <v>29</v>
      </c>
      <c r="AC2721" s="24" t="s">
        <v>240</v>
      </c>
      <c r="AD2721" s="24">
        <v>5.2</v>
      </c>
      <c r="AE2721" s="24">
        <v>2.9</v>
      </c>
      <c r="AG2721" s="24" t="s">
        <v>2858</v>
      </c>
      <c r="AH2721" s="24" t="s">
        <v>2742</v>
      </c>
      <c r="AI2721" s="24" t="s">
        <v>577</v>
      </c>
      <c r="AJ2721" s="24" t="s">
        <v>1645</v>
      </c>
      <c r="AK2721" s="24" t="s">
        <v>132</v>
      </c>
      <c r="AW2721" s="24" t="s">
        <v>160</v>
      </c>
      <c r="AX2721" s="24">
        <v>2</v>
      </c>
      <c r="AZ2721" s="24" t="s">
        <v>141</v>
      </c>
      <c r="BB2721" s="24">
        <v>898</v>
      </c>
      <c r="BE2721" s="24" t="s">
        <v>2863</v>
      </c>
      <c r="BK2721" s="24">
        <v>3325</v>
      </c>
      <c r="BL2721" s="24">
        <v>3217</v>
      </c>
      <c r="BP2721" s="395"/>
      <c r="BQ2721" s="395"/>
      <c r="BU2721" s="395"/>
      <c r="BV2721" s="395"/>
      <c r="BZ2721" s="395"/>
      <c r="CA2721" s="395"/>
      <c r="CE2721" s="548"/>
      <c r="CF2721" s="548"/>
      <c r="CG2721" s="548"/>
      <c r="CH2721" s="548"/>
      <c r="JD2721" s="249"/>
    </row>
    <row r="2722" spans="1:264" s="24" customFormat="1" x14ac:dyDescent="0.25">
      <c r="A2722" s="24">
        <v>128</v>
      </c>
      <c r="B2722" s="42" t="s">
        <v>4362</v>
      </c>
      <c r="C2722" s="24" t="s">
        <v>2855</v>
      </c>
      <c r="D2722" s="24" t="s">
        <v>2856</v>
      </c>
      <c r="E2722" s="24">
        <v>2005</v>
      </c>
      <c r="F2722" s="24">
        <v>2000</v>
      </c>
      <c r="G2722" s="24" t="s">
        <v>2766</v>
      </c>
      <c r="H2722" s="24" t="s">
        <v>2860</v>
      </c>
      <c r="I2722" s="24" t="s">
        <v>2857</v>
      </c>
      <c r="J2722" s="24">
        <v>-0.22</v>
      </c>
      <c r="K2722" s="24">
        <v>33.57</v>
      </c>
      <c r="L2722" s="24">
        <v>1134</v>
      </c>
      <c r="P2722" s="24">
        <v>1345</v>
      </c>
      <c r="R2722" s="42" t="s">
        <v>1977</v>
      </c>
      <c r="S2722" s="42" t="s">
        <v>1847</v>
      </c>
      <c r="T2722" s="42"/>
      <c r="U2722" s="42" t="s">
        <v>2859</v>
      </c>
      <c r="V2722" s="42" t="s">
        <v>1379</v>
      </c>
      <c r="W2722" s="42" t="s">
        <v>1715</v>
      </c>
      <c r="X2722" s="42" t="s">
        <v>1379</v>
      </c>
      <c r="Y2722" s="42" t="s">
        <v>1379</v>
      </c>
      <c r="AA2722" s="321">
        <v>62</v>
      </c>
      <c r="AB2722" s="321">
        <v>29</v>
      </c>
      <c r="AC2722" s="24" t="s">
        <v>240</v>
      </c>
      <c r="AD2722" s="24">
        <v>5.2</v>
      </c>
      <c r="AE2722" s="24">
        <v>2.9</v>
      </c>
      <c r="AG2722" s="24" t="s">
        <v>2858</v>
      </c>
      <c r="AH2722" s="24" t="s">
        <v>2742</v>
      </c>
      <c r="AI2722" s="24" t="s">
        <v>577</v>
      </c>
      <c r="AJ2722" s="24" t="s">
        <v>1645</v>
      </c>
      <c r="AK2722" s="24" t="s">
        <v>132</v>
      </c>
      <c r="AW2722" s="24" t="s">
        <v>160</v>
      </c>
      <c r="AX2722" s="24">
        <v>2</v>
      </c>
      <c r="AZ2722" s="24" t="s">
        <v>141</v>
      </c>
      <c r="BB2722" s="24">
        <v>4274</v>
      </c>
      <c r="BE2722" s="24" t="s">
        <v>2864</v>
      </c>
      <c r="BK2722" s="24">
        <v>5023</v>
      </c>
      <c r="BL2722" s="24">
        <v>5730</v>
      </c>
      <c r="BP2722" s="395"/>
      <c r="BQ2722" s="395"/>
      <c r="BU2722" s="395"/>
      <c r="BV2722" s="395"/>
      <c r="BZ2722" s="395"/>
      <c r="CA2722" s="395"/>
      <c r="CE2722" s="548"/>
      <c r="CF2722" s="548"/>
      <c r="CG2722" s="548"/>
      <c r="CH2722" s="548"/>
      <c r="JD2722" s="249"/>
    </row>
    <row r="2723" spans="1:264" s="24" customFormat="1" x14ac:dyDescent="0.25">
      <c r="A2723" s="24">
        <v>128</v>
      </c>
      <c r="B2723" s="42" t="s">
        <v>4362</v>
      </c>
      <c r="C2723" s="24" t="s">
        <v>2855</v>
      </c>
      <c r="D2723" s="24" t="s">
        <v>2856</v>
      </c>
      <c r="E2723" s="24">
        <v>2005</v>
      </c>
      <c r="F2723" s="24">
        <v>2001</v>
      </c>
      <c r="G2723" s="24" t="s">
        <v>2766</v>
      </c>
      <c r="H2723" s="24" t="s">
        <v>2860</v>
      </c>
      <c r="I2723" s="24" t="s">
        <v>2857</v>
      </c>
      <c r="J2723" s="24">
        <v>-0.22</v>
      </c>
      <c r="K2723" s="24">
        <v>33.57</v>
      </c>
      <c r="L2723" s="24">
        <v>1134</v>
      </c>
      <c r="P2723" s="24">
        <v>1345</v>
      </c>
      <c r="R2723" s="42" t="s">
        <v>1847</v>
      </c>
      <c r="S2723" s="42" t="s">
        <v>1847</v>
      </c>
      <c r="T2723" s="42"/>
      <c r="U2723" s="42" t="s">
        <v>2859</v>
      </c>
      <c r="V2723" s="42" t="s">
        <v>1379</v>
      </c>
      <c r="W2723" s="42" t="s">
        <v>1715</v>
      </c>
      <c r="X2723" s="42" t="s">
        <v>1379</v>
      </c>
      <c r="Y2723" s="42" t="s">
        <v>1379</v>
      </c>
      <c r="AA2723" s="321">
        <v>62</v>
      </c>
      <c r="AB2723" s="321">
        <v>29</v>
      </c>
      <c r="AC2723" s="24" t="s">
        <v>240</v>
      </c>
      <c r="AD2723" s="24">
        <v>5.2</v>
      </c>
      <c r="AE2723" s="24">
        <v>2.9</v>
      </c>
      <c r="AG2723" s="24" t="s">
        <v>2858</v>
      </c>
      <c r="AH2723" s="24" t="s">
        <v>2742</v>
      </c>
      <c r="AI2723" s="24" t="s">
        <v>577</v>
      </c>
      <c r="AJ2723" s="24" t="s">
        <v>1645</v>
      </c>
      <c r="AK2723" s="24" t="s">
        <v>132</v>
      </c>
      <c r="AW2723" s="24" t="s">
        <v>160</v>
      </c>
      <c r="AX2723" s="24">
        <v>2</v>
      </c>
      <c r="AZ2723" s="24" t="s">
        <v>141</v>
      </c>
      <c r="BB2723" s="24">
        <v>1852</v>
      </c>
      <c r="BE2723" s="24" t="s">
        <v>2863</v>
      </c>
      <c r="BK2723" s="24">
        <v>4017</v>
      </c>
      <c r="BL2723" s="24">
        <v>3589</v>
      </c>
      <c r="BP2723" s="395"/>
      <c r="BQ2723" s="395"/>
      <c r="BU2723" s="395"/>
      <c r="BV2723" s="395"/>
      <c r="BZ2723" s="395"/>
      <c r="CA2723" s="395"/>
      <c r="CE2723" s="548"/>
      <c r="CF2723" s="548"/>
      <c r="CG2723" s="548"/>
      <c r="CH2723" s="548"/>
      <c r="JD2723" s="249"/>
    </row>
    <row r="2724" spans="1:264" s="24" customFormat="1" x14ac:dyDescent="0.25">
      <c r="A2724" s="24">
        <v>128</v>
      </c>
      <c r="B2724" s="42" t="s">
        <v>4362</v>
      </c>
      <c r="C2724" s="24" t="s">
        <v>2855</v>
      </c>
      <c r="D2724" s="24" t="s">
        <v>2856</v>
      </c>
      <c r="E2724" s="24">
        <v>2005</v>
      </c>
      <c r="F2724" s="24">
        <v>2001</v>
      </c>
      <c r="G2724" s="24" t="s">
        <v>2766</v>
      </c>
      <c r="H2724" s="24" t="s">
        <v>2860</v>
      </c>
      <c r="I2724" s="24" t="s">
        <v>2857</v>
      </c>
      <c r="J2724" s="24">
        <v>-0.22</v>
      </c>
      <c r="K2724" s="24">
        <v>33.57</v>
      </c>
      <c r="L2724" s="24">
        <v>1134</v>
      </c>
      <c r="P2724" s="24">
        <v>1345</v>
      </c>
      <c r="R2724" s="42" t="s">
        <v>1847</v>
      </c>
      <c r="S2724" s="42" t="s">
        <v>1847</v>
      </c>
      <c r="T2724" s="42"/>
      <c r="U2724" s="42" t="s">
        <v>2859</v>
      </c>
      <c r="V2724" s="42" t="s">
        <v>1379</v>
      </c>
      <c r="W2724" s="42" t="s">
        <v>1715</v>
      </c>
      <c r="X2724" s="42" t="s">
        <v>1379</v>
      </c>
      <c r="Y2724" s="42" t="s">
        <v>1379</v>
      </c>
      <c r="AA2724" s="321">
        <v>62</v>
      </c>
      <c r="AB2724" s="321">
        <v>29</v>
      </c>
      <c r="AC2724" s="24" t="s">
        <v>240</v>
      </c>
      <c r="AD2724" s="24">
        <v>5.2</v>
      </c>
      <c r="AE2724" s="24">
        <v>2.9</v>
      </c>
      <c r="AG2724" s="24" t="s">
        <v>2858</v>
      </c>
      <c r="AH2724" s="24" t="s">
        <v>2742</v>
      </c>
      <c r="AI2724" s="24" t="s">
        <v>577</v>
      </c>
      <c r="AJ2724" s="24" t="s">
        <v>1645</v>
      </c>
      <c r="AK2724" s="24" t="s">
        <v>132</v>
      </c>
      <c r="AW2724" s="24" t="s">
        <v>160</v>
      </c>
      <c r="AX2724" s="24">
        <v>2</v>
      </c>
      <c r="AZ2724" s="24" t="s">
        <v>141</v>
      </c>
      <c r="BE2724" s="24" t="s">
        <v>2864</v>
      </c>
      <c r="BK2724" s="24">
        <v>2838</v>
      </c>
      <c r="BL2724" s="24">
        <v>3022</v>
      </c>
      <c r="BP2724" s="395"/>
      <c r="BQ2724" s="395"/>
      <c r="BU2724" s="395"/>
      <c r="BV2724" s="395"/>
      <c r="BZ2724" s="395"/>
      <c r="CA2724" s="395"/>
      <c r="CE2724" s="548"/>
      <c r="CF2724" s="548"/>
      <c r="CG2724" s="548"/>
      <c r="CH2724" s="548"/>
      <c r="JD2724" s="249"/>
    </row>
    <row r="2725" spans="1:264" s="101" customFormat="1" x14ac:dyDescent="0.25">
      <c r="A2725" s="101">
        <v>128</v>
      </c>
      <c r="B2725" s="42" t="s">
        <v>4362</v>
      </c>
      <c r="C2725" s="101" t="s">
        <v>2855</v>
      </c>
      <c r="D2725" s="101" t="s">
        <v>2856</v>
      </c>
      <c r="E2725" s="101">
        <v>2005</v>
      </c>
      <c r="F2725" s="101">
        <v>2000</v>
      </c>
      <c r="G2725" s="101" t="s">
        <v>2766</v>
      </c>
      <c r="H2725" s="101" t="s">
        <v>2860</v>
      </c>
      <c r="I2725" s="101" t="s">
        <v>2857</v>
      </c>
      <c r="J2725" s="101">
        <v>-0.22</v>
      </c>
      <c r="K2725" s="101">
        <v>33.57</v>
      </c>
      <c r="L2725" s="101">
        <v>1134</v>
      </c>
      <c r="P2725" s="101">
        <v>1345</v>
      </c>
      <c r="R2725" s="102" t="s">
        <v>1977</v>
      </c>
      <c r="S2725" s="102" t="s">
        <v>1847</v>
      </c>
      <c r="T2725" s="102"/>
      <c r="U2725" s="102" t="s">
        <v>2859</v>
      </c>
      <c r="V2725" s="102" t="s">
        <v>1379</v>
      </c>
      <c r="W2725" s="102" t="s">
        <v>1715</v>
      </c>
      <c r="X2725" s="102" t="s">
        <v>1379</v>
      </c>
      <c r="Y2725" s="102" t="s">
        <v>1379</v>
      </c>
      <c r="AA2725" s="352">
        <v>62</v>
      </c>
      <c r="AB2725" s="352">
        <v>29</v>
      </c>
      <c r="AC2725" s="101" t="s">
        <v>240</v>
      </c>
      <c r="AD2725" s="101">
        <v>5.2</v>
      </c>
      <c r="AE2725" s="101">
        <v>2.9</v>
      </c>
      <c r="AG2725" s="101" t="s">
        <v>2858</v>
      </c>
      <c r="AH2725" s="101" t="s">
        <v>2744</v>
      </c>
      <c r="AI2725" s="101" t="s">
        <v>577</v>
      </c>
      <c r="AJ2725" s="101" t="s">
        <v>1645</v>
      </c>
      <c r="AK2725" s="101" t="s">
        <v>132</v>
      </c>
      <c r="AW2725" s="101" t="s">
        <v>160</v>
      </c>
      <c r="AX2725" s="101">
        <v>2</v>
      </c>
      <c r="AZ2725" s="101" t="s">
        <v>141</v>
      </c>
      <c r="BB2725" s="101">
        <v>383</v>
      </c>
      <c r="BE2725" s="101" t="s">
        <v>2863</v>
      </c>
      <c r="BK2725" s="101">
        <v>3325</v>
      </c>
      <c r="BL2725" s="101">
        <v>3326</v>
      </c>
      <c r="BP2725" s="427"/>
      <c r="BQ2725" s="427"/>
      <c r="BU2725" s="427"/>
      <c r="BV2725" s="427"/>
      <c r="BZ2725" s="427"/>
      <c r="CA2725" s="427"/>
      <c r="CE2725" s="580"/>
      <c r="CF2725" s="580"/>
      <c r="CG2725" s="580"/>
      <c r="CH2725" s="580"/>
      <c r="JD2725" s="177"/>
    </row>
    <row r="2726" spans="1:264" s="101" customFormat="1" x14ac:dyDescent="0.25">
      <c r="A2726" s="101">
        <v>128</v>
      </c>
      <c r="B2726" s="42" t="s">
        <v>4362</v>
      </c>
      <c r="C2726" s="101" t="s">
        <v>2855</v>
      </c>
      <c r="D2726" s="101" t="s">
        <v>2856</v>
      </c>
      <c r="E2726" s="101">
        <v>2005</v>
      </c>
      <c r="F2726" s="101">
        <v>2000</v>
      </c>
      <c r="G2726" s="101" t="s">
        <v>2766</v>
      </c>
      <c r="H2726" s="101" t="s">
        <v>2860</v>
      </c>
      <c r="I2726" s="101" t="s">
        <v>2857</v>
      </c>
      <c r="J2726" s="101">
        <v>-0.22</v>
      </c>
      <c r="K2726" s="101">
        <v>33.57</v>
      </c>
      <c r="L2726" s="101">
        <v>1134</v>
      </c>
      <c r="P2726" s="101">
        <v>1345</v>
      </c>
      <c r="R2726" s="102" t="s">
        <v>1977</v>
      </c>
      <c r="S2726" s="102" t="s">
        <v>1847</v>
      </c>
      <c r="T2726" s="102"/>
      <c r="U2726" s="102" t="s">
        <v>2859</v>
      </c>
      <c r="V2726" s="102" t="s">
        <v>1379</v>
      </c>
      <c r="W2726" s="102" t="s">
        <v>1715</v>
      </c>
      <c r="X2726" s="102" t="s">
        <v>1379</v>
      </c>
      <c r="Y2726" s="102" t="s">
        <v>1379</v>
      </c>
      <c r="AA2726" s="352">
        <v>62</v>
      </c>
      <c r="AB2726" s="352">
        <v>29</v>
      </c>
      <c r="AC2726" s="101" t="s">
        <v>240</v>
      </c>
      <c r="AD2726" s="101">
        <v>5.2</v>
      </c>
      <c r="AE2726" s="101">
        <v>2.9</v>
      </c>
      <c r="AG2726" s="101" t="s">
        <v>2858</v>
      </c>
      <c r="AH2726" s="101" t="s">
        <v>2744</v>
      </c>
      <c r="AI2726" s="101" t="s">
        <v>577</v>
      </c>
      <c r="AJ2726" s="101" t="s">
        <v>1645</v>
      </c>
      <c r="AK2726" s="101" t="s">
        <v>132</v>
      </c>
      <c r="AW2726" s="101" t="s">
        <v>160</v>
      </c>
      <c r="AX2726" s="101">
        <v>2</v>
      </c>
      <c r="AZ2726" s="101" t="s">
        <v>141</v>
      </c>
      <c r="BB2726" s="101">
        <v>1373</v>
      </c>
      <c r="BE2726" s="101" t="s">
        <v>2864</v>
      </c>
      <c r="BK2726" s="101">
        <v>5023</v>
      </c>
      <c r="BL2726" s="101">
        <v>5036</v>
      </c>
      <c r="BP2726" s="427"/>
      <c r="BQ2726" s="427"/>
      <c r="BU2726" s="427"/>
      <c r="BV2726" s="427"/>
      <c r="BZ2726" s="427"/>
      <c r="CA2726" s="427"/>
      <c r="CE2726" s="580"/>
      <c r="CF2726" s="580"/>
      <c r="CG2726" s="580"/>
      <c r="CH2726" s="580"/>
      <c r="JD2726" s="177"/>
    </row>
    <row r="2727" spans="1:264" s="101" customFormat="1" x14ac:dyDescent="0.25">
      <c r="A2727" s="101">
        <v>128</v>
      </c>
      <c r="B2727" s="42" t="s">
        <v>4362</v>
      </c>
      <c r="C2727" s="101" t="s">
        <v>2855</v>
      </c>
      <c r="D2727" s="101" t="s">
        <v>2856</v>
      </c>
      <c r="E2727" s="101">
        <v>2005</v>
      </c>
      <c r="F2727" s="101">
        <v>2001</v>
      </c>
      <c r="G2727" s="101" t="s">
        <v>2766</v>
      </c>
      <c r="H2727" s="101" t="s">
        <v>2860</v>
      </c>
      <c r="I2727" s="101" t="s">
        <v>2857</v>
      </c>
      <c r="J2727" s="101">
        <v>-0.22</v>
      </c>
      <c r="K2727" s="101">
        <v>33.57</v>
      </c>
      <c r="L2727" s="101">
        <v>1134</v>
      </c>
      <c r="P2727" s="101">
        <v>1345</v>
      </c>
      <c r="R2727" s="102" t="s">
        <v>1847</v>
      </c>
      <c r="S2727" s="102" t="s">
        <v>1847</v>
      </c>
      <c r="T2727" s="102"/>
      <c r="U2727" s="102" t="s">
        <v>2859</v>
      </c>
      <c r="V2727" s="102" t="s">
        <v>1379</v>
      </c>
      <c r="W2727" s="102" t="s">
        <v>1715</v>
      </c>
      <c r="X2727" s="102" t="s">
        <v>1379</v>
      </c>
      <c r="Y2727" s="102" t="s">
        <v>1379</v>
      </c>
      <c r="AA2727" s="352">
        <v>62</v>
      </c>
      <c r="AB2727" s="352">
        <v>29</v>
      </c>
      <c r="AC2727" s="101" t="s">
        <v>240</v>
      </c>
      <c r="AD2727" s="101">
        <v>5.2</v>
      </c>
      <c r="AE2727" s="101">
        <v>2.9</v>
      </c>
      <c r="AG2727" s="101" t="s">
        <v>2858</v>
      </c>
      <c r="AH2727" s="101" t="s">
        <v>2744</v>
      </c>
      <c r="AI2727" s="101" t="s">
        <v>577</v>
      </c>
      <c r="AJ2727" s="101" t="s">
        <v>1645</v>
      </c>
      <c r="AK2727" s="101" t="s">
        <v>132</v>
      </c>
      <c r="AW2727" s="101" t="s">
        <v>160</v>
      </c>
      <c r="AX2727" s="101">
        <v>2</v>
      </c>
      <c r="AZ2727" s="101" t="s">
        <v>141</v>
      </c>
      <c r="BB2727" s="101">
        <v>1115</v>
      </c>
      <c r="BE2727" s="101" t="s">
        <v>2863</v>
      </c>
      <c r="BK2727" s="101">
        <v>4017</v>
      </c>
      <c r="BL2727" s="101">
        <v>3920</v>
      </c>
      <c r="BP2727" s="427"/>
      <c r="BQ2727" s="427"/>
      <c r="BU2727" s="427"/>
      <c r="BV2727" s="427"/>
      <c r="BZ2727" s="427"/>
      <c r="CA2727" s="427"/>
      <c r="CE2727" s="580"/>
      <c r="CF2727" s="580"/>
      <c r="CG2727" s="580"/>
      <c r="CH2727" s="580"/>
      <c r="JD2727" s="177"/>
    </row>
    <row r="2728" spans="1:264" s="101" customFormat="1" x14ac:dyDescent="0.25">
      <c r="A2728" s="101">
        <v>128</v>
      </c>
      <c r="B2728" s="42" t="s">
        <v>4362</v>
      </c>
      <c r="C2728" s="101" t="s">
        <v>2855</v>
      </c>
      <c r="D2728" s="101" t="s">
        <v>2856</v>
      </c>
      <c r="E2728" s="101">
        <v>2005</v>
      </c>
      <c r="F2728" s="101">
        <v>2001</v>
      </c>
      <c r="G2728" s="101" t="s">
        <v>2766</v>
      </c>
      <c r="H2728" s="101" t="s">
        <v>2860</v>
      </c>
      <c r="I2728" s="101" t="s">
        <v>2857</v>
      </c>
      <c r="J2728" s="101">
        <v>-0.22</v>
      </c>
      <c r="K2728" s="101">
        <v>33.57</v>
      </c>
      <c r="L2728" s="101">
        <v>1134</v>
      </c>
      <c r="P2728" s="101">
        <v>1345</v>
      </c>
      <c r="R2728" s="102" t="s">
        <v>1847</v>
      </c>
      <c r="S2728" s="102" t="s">
        <v>1847</v>
      </c>
      <c r="T2728" s="102"/>
      <c r="U2728" s="102" t="s">
        <v>2859</v>
      </c>
      <c r="V2728" s="102" t="s">
        <v>1379</v>
      </c>
      <c r="W2728" s="102" t="s">
        <v>1715</v>
      </c>
      <c r="X2728" s="102" t="s">
        <v>1379</v>
      </c>
      <c r="Y2728" s="102" t="s">
        <v>1379</v>
      </c>
      <c r="AA2728" s="352">
        <v>62</v>
      </c>
      <c r="AB2728" s="352">
        <v>29</v>
      </c>
      <c r="AC2728" s="101" t="s">
        <v>240</v>
      </c>
      <c r="AD2728" s="101">
        <v>5.2</v>
      </c>
      <c r="AE2728" s="101">
        <v>2.9</v>
      </c>
      <c r="AG2728" s="101" t="s">
        <v>2858</v>
      </c>
      <c r="AH2728" s="101" t="s">
        <v>2744</v>
      </c>
      <c r="AI2728" s="101" t="s">
        <v>577</v>
      </c>
      <c r="AJ2728" s="101" t="s">
        <v>1645</v>
      </c>
      <c r="AK2728" s="101" t="s">
        <v>132</v>
      </c>
      <c r="AW2728" s="101" t="s">
        <v>160</v>
      </c>
      <c r="AX2728" s="101">
        <v>2</v>
      </c>
      <c r="AZ2728" s="101" t="s">
        <v>141</v>
      </c>
      <c r="BE2728" s="101" t="s">
        <v>2864</v>
      </c>
      <c r="BK2728" s="101">
        <v>2838</v>
      </c>
      <c r="BL2728" s="101">
        <v>2228</v>
      </c>
      <c r="BP2728" s="427"/>
      <c r="BQ2728" s="427"/>
      <c r="BU2728" s="427"/>
      <c r="BV2728" s="427"/>
      <c r="BZ2728" s="427"/>
      <c r="CA2728" s="427"/>
      <c r="CE2728" s="580"/>
      <c r="CF2728" s="580"/>
      <c r="CG2728" s="580"/>
      <c r="CH2728" s="580"/>
      <c r="JD2728" s="177"/>
    </row>
    <row r="2729" spans="1:264" s="24" customFormat="1" x14ac:dyDescent="0.25">
      <c r="A2729" s="24">
        <v>128</v>
      </c>
      <c r="B2729" s="42" t="s">
        <v>4362</v>
      </c>
      <c r="C2729" s="24" t="s">
        <v>2855</v>
      </c>
      <c r="D2729" s="24" t="s">
        <v>2856</v>
      </c>
      <c r="E2729" s="24">
        <v>2005</v>
      </c>
      <c r="F2729" s="24">
        <v>2000</v>
      </c>
      <c r="G2729" s="24" t="s">
        <v>2766</v>
      </c>
      <c r="H2729" s="24" t="s">
        <v>2860</v>
      </c>
      <c r="I2729" s="24" t="s">
        <v>2857</v>
      </c>
      <c r="J2729" s="24">
        <v>-0.22</v>
      </c>
      <c r="K2729" s="24">
        <v>33.57</v>
      </c>
      <c r="L2729" s="24">
        <v>1134</v>
      </c>
      <c r="P2729" s="24">
        <v>1345</v>
      </c>
      <c r="R2729" s="42" t="s">
        <v>1977</v>
      </c>
      <c r="S2729" s="42" t="s">
        <v>1847</v>
      </c>
      <c r="T2729" s="42"/>
      <c r="U2729" s="42" t="s">
        <v>2859</v>
      </c>
      <c r="V2729" s="42" t="s">
        <v>1379</v>
      </c>
      <c r="W2729" s="42" t="s">
        <v>1715</v>
      </c>
      <c r="X2729" s="42" t="s">
        <v>1379</v>
      </c>
      <c r="Y2729" s="42" t="s">
        <v>1379</v>
      </c>
      <c r="AA2729" s="321">
        <v>62</v>
      </c>
      <c r="AB2729" s="321">
        <v>29</v>
      </c>
      <c r="AC2729" s="24" t="s">
        <v>240</v>
      </c>
      <c r="AD2729" s="24">
        <v>5.2</v>
      </c>
      <c r="AE2729" s="24">
        <v>2.9</v>
      </c>
      <c r="AG2729" s="24" t="s">
        <v>2858</v>
      </c>
      <c r="AH2729" s="24" t="s">
        <v>2865</v>
      </c>
      <c r="AI2729" s="24" t="s">
        <v>577</v>
      </c>
      <c r="AJ2729" s="24" t="s">
        <v>1645</v>
      </c>
      <c r="AK2729" s="24" t="s">
        <v>132</v>
      </c>
      <c r="AW2729" s="24" t="s">
        <v>160</v>
      </c>
      <c r="AX2729" s="24">
        <v>2</v>
      </c>
      <c r="AZ2729" s="24" t="s">
        <v>141</v>
      </c>
      <c r="BB2729" s="24">
        <v>1031</v>
      </c>
      <c r="BE2729" s="24" t="s">
        <v>2863</v>
      </c>
      <c r="BK2729" s="24">
        <v>3325</v>
      </c>
      <c r="BL2729" s="24">
        <v>3342</v>
      </c>
      <c r="BP2729" s="395"/>
      <c r="BQ2729" s="395"/>
      <c r="BU2729" s="395"/>
      <c r="BV2729" s="395"/>
      <c r="BZ2729" s="395"/>
      <c r="CA2729" s="395"/>
      <c r="CE2729" s="548"/>
      <c r="CF2729" s="548"/>
      <c r="CG2729" s="548"/>
      <c r="CH2729" s="548"/>
      <c r="JD2729" s="249"/>
    </row>
    <row r="2730" spans="1:264" s="24" customFormat="1" x14ac:dyDescent="0.25">
      <c r="A2730" s="24">
        <v>128</v>
      </c>
      <c r="B2730" s="42" t="s">
        <v>4362</v>
      </c>
      <c r="C2730" s="24" t="s">
        <v>2855</v>
      </c>
      <c r="D2730" s="24" t="s">
        <v>2856</v>
      </c>
      <c r="E2730" s="24">
        <v>2005</v>
      </c>
      <c r="F2730" s="24">
        <v>2000</v>
      </c>
      <c r="G2730" s="24" t="s">
        <v>2766</v>
      </c>
      <c r="H2730" s="24" t="s">
        <v>2860</v>
      </c>
      <c r="I2730" s="24" t="s">
        <v>2857</v>
      </c>
      <c r="J2730" s="24">
        <v>-0.22</v>
      </c>
      <c r="K2730" s="24">
        <v>33.57</v>
      </c>
      <c r="L2730" s="24">
        <v>1134</v>
      </c>
      <c r="P2730" s="24">
        <v>1345</v>
      </c>
      <c r="R2730" s="42" t="s">
        <v>1977</v>
      </c>
      <c r="S2730" s="42" t="s">
        <v>1847</v>
      </c>
      <c r="T2730" s="42"/>
      <c r="U2730" s="42" t="s">
        <v>2859</v>
      </c>
      <c r="V2730" s="42" t="s">
        <v>1379</v>
      </c>
      <c r="W2730" s="42" t="s">
        <v>1715</v>
      </c>
      <c r="X2730" s="42" t="s">
        <v>1379</v>
      </c>
      <c r="Y2730" s="42" t="s">
        <v>1379</v>
      </c>
      <c r="AA2730" s="321">
        <v>62</v>
      </c>
      <c r="AB2730" s="321">
        <v>29</v>
      </c>
      <c r="AC2730" s="24" t="s">
        <v>240</v>
      </c>
      <c r="AD2730" s="24">
        <v>5.2</v>
      </c>
      <c r="AE2730" s="24">
        <v>2.9</v>
      </c>
      <c r="AG2730" s="24" t="s">
        <v>2858</v>
      </c>
      <c r="AH2730" s="24" t="s">
        <v>2865</v>
      </c>
      <c r="AI2730" s="24" t="s">
        <v>577</v>
      </c>
      <c r="AJ2730" s="24" t="s">
        <v>1645</v>
      </c>
      <c r="AK2730" s="24" t="s">
        <v>132</v>
      </c>
      <c r="AW2730" s="24" t="s">
        <v>160</v>
      </c>
      <c r="AX2730" s="24">
        <v>2</v>
      </c>
      <c r="AZ2730" s="24" t="s">
        <v>141</v>
      </c>
      <c r="BB2730" s="24">
        <v>4858</v>
      </c>
      <c r="BE2730" s="24" t="s">
        <v>2864</v>
      </c>
      <c r="BK2730" s="24">
        <v>5023</v>
      </c>
      <c r="BL2730" s="24">
        <v>5233</v>
      </c>
      <c r="BP2730" s="395"/>
      <c r="BQ2730" s="395"/>
      <c r="BU2730" s="395"/>
      <c r="BV2730" s="395"/>
      <c r="BZ2730" s="395"/>
      <c r="CA2730" s="395"/>
      <c r="CE2730" s="548"/>
      <c r="CF2730" s="548"/>
      <c r="CG2730" s="548"/>
      <c r="CH2730" s="548"/>
      <c r="JD2730" s="249"/>
    </row>
    <row r="2731" spans="1:264" s="24" customFormat="1" x14ac:dyDescent="0.25">
      <c r="A2731" s="24">
        <v>128</v>
      </c>
      <c r="B2731" s="42" t="s">
        <v>4362</v>
      </c>
      <c r="C2731" s="24" t="s">
        <v>2855</v>
      </c>
      <c r="D2731" s="24" t="s">
        <v>2856</v>
      </c>
      <c r="E2731" s="24">
        <v>2005</v>
      </c>
      <c r="F2731" s="24">
        <v>2001</v>
      </c>
      <c r="G2731" s="24" t="s">
        <v>2766</v>
      </c>
      <c r="H2731" s="24" t="s">
        <v>2860</v>
      </c>
      <c r="I2731" s="24" t="s">
        <v>2857</v>
      </c>
      <c r="J2731" s="24">
        <v>-0.22</v>
      </c>
      <c r="K2731" s="24">
        <v>33.57</v>
      </c>
      <c r="L2731" s="24">
        <v>1134</v>
      </c>
      <c r="P2731" s="24">
        <v>1345</v>
      </c>
      <c r="R2731" s="42" t="s">
        <v>1847</v>
      </c>
      <c r="S2731" s="42" t="s">
        <v>1847</v>
      </c>
      <c r="T2731" s="42"/>
      <c r="U2731" s="42" t="s">
        <v>2859</v>
      </c>
      <c r="V2731" s="42" t="s">
        <v>1379</v>
      </c>
      <c r="W2731" s="42" t="s">
        <v>1715</v>
      </c>
      <c r="X2731" s="42" t="s">
        <v>1379</v>
      </c>
      <c r="Y2731" s="42" t="s">
        <v>1379</v>
      </c>
      <c r="AA2731" s="321">
        <v>62</v>
      </c>
      <c r="AB2731" s="321">
        <v>29</v>
      </c>
      <c r="AC2731" s="24" t="s">
        <v>240</v>
      </c>
      <c r="AD2731" s="24">
        <v>5.2</v>
      </c>
      <c r="AE2731" s="24">
        <v>2.9</v>
      </c>
      <c r="AG2731" s="24" t="s">
        <v>2858</v>
      </c>
      <c r="AH2731" s="24" t="s">
        <v>2865</v>
      </c>
      <c r="AI2731" s="24" t="s">
        <v>577</v>
      </c>
      <c r="AJ2731" s="24" t="s">
        <v>1645</v>
      </c>
      <c r="AK2731" s="24" t="s">
        <v>132</v>
      </c>
      <c r="AW2731" s="24" t="s">
        <v>160</v>
      </c>
      <c r="AX2731" s="24">
        <v>2</v>
      </c>
      <c r="AZ2731" s="24" t="s">
        <v>141</v>
      </c>
      <c r="BB2731" s="24">
        <v>1376</v>
      </c>
      <c r="BE2731" s="24" t="s">
        <v>2863</v>
      </c>
      <c r="BK2731" s="24">
        <v>4017</v>
      </c>
      <c r="BL2731" s="24">
        <v>4244</v>
      </c>
      <c r="BP2731" s="395"/>
      <c r="BQ2731" s="395"/>
      <c r="BU2731" s="395"/>
      <c r="BV2731" s="395"/>
      <c r="BZ2731" s="395"/>
      <c r="CA2731" s="395"/>
      <c r="CE2731" s="548"/>
      <c r="CF2731" s="548"/>
      <c r="CG2731" s="548"/>
      <c r="CH2731" s="548"/>
      <c r="JD2731" s="249"/>
    </row>
    <row r="2732" spans="1:264" s="24" customFormat="1" x14ac:dyDescent="0.25">
      <c r="A2732" s="24">
        <v>128</v>
      </c>
      <c r="B2732" s="42" t="s">
        <v>4362</v>
      </c>
      <c r="C2732" s="24" t="s">
        <v>2855</v>
      </c>
      <c r="D2732" s="24" t="s">
        <v>2856</v>
      </c>
      <c r="E2732" s="24">
        <v>2005</v>
      </c>
      <c r="F2732" s="24">
        <v>2001</v>
      </c>
      <c r="G2732" s="24" t="s">
        <v>2766</v>
      </c>
      <c r="H2732" s="24" t="s">
        <v>2860</v>
      </c>
      <c r="I2732" s="24" t="s">
        <v>2857</v>
      </c>
      <c r="J2732" s="24">
        <v>-0.22</v>
      </c>
      <c r="K2732" s="24">
        <v>33.57</v>
      </c>
      <c r="L2732" s="24">
        <v>1134</v>
      </c>
      <c r="P2732" s="24">
        <v>1345</v>
      </c>
      <c r="R2732" s="42" t="s">
        <v>1847</v>
      </c>
      <c r="S2732" s="42" t="s">
        <v>1847</v>
      </c>
      <c r="T2732" s="42"/>
      <c r="U2732" s="42" t="s">
        <v>2859</v>
      </c>
      <c r="V2732" s="42" t="s">
        <v>1379</v>
      </c>
      <c r="W2732" s="42" t="s">
        <v>1715</v>
      </c>
      <c r="X2732" s="42" t="s">
        <v>1379</v>
      </c>
      <c r="Y2732" s="42" t="s">
        <v>1379</v>
      </c>
      <c r="AA2732" s="321">
        <v>62</v>
      </c>
      <c r="AB2732" s="321">
        <v>29</v>
      </c>
      <c r="AC2732" s="24" t="s">
        <v>240</v>
      </c>
      <c r="AD2732" s="24">
        <v>5.2</v>
      </c>
      <c r="AE2732" s="24">
        <v>2.9</v>
      </c>
      <c r="AG2732" s="24" t="s">
        <v>2858</v>
      </c>
      <c r="AH2732" s="24" t="s">
        <v>2865</v>
      </c>
      <c r="AI2732" s="24" t="s">
        <v>577</v>
      </c>
      <c r="AJ2732" s="24" t="s">
        <v>1645</v>
      </c>
      <c r="AK2732" s="24" t="s">
        <v>132</v>
      </c>
      <c r="AW2732" s="24" t="s">
        <v>160</v>
      </c>
      <c r="AX2732" s="24">
        <v>2</v>
      </c>
      <c r="AZ2732" s="24" t="s">
        <v>141</v>
      </c>
      <c r="BE2732" s="24" t="s">
        <v>2864</v>
      </c>
      <c r="BK2732" s="24">
        <v>2838</v>
      </c>
      <c r="BL2732" s="24">
        <v>2905</v>
      </c>
      <c r="BP2732" s="395"/>
      <c r="BQ2732" s="395"/>
      <c r="BU2732" s="395"/>
      <c r="BV2732" s="395"/>
      <c r="BZ2732" s="395"/>
      <c r="CA2732" s="395"/>
      <c r="CE2732" s="548"/>
      <c r="CF2732" s="548"/>
      <c r="CG2732" s="548"/>
      <c r="CH2732" s="548"/>
      <c r="JD2732" s="249"/>
    </row>
    <row r="2733" spans="1:264" s="101" customFormat="1" x14ac:dyDescent="0.25">
      <c r="A2733" s="101">
        <v>128</v>
      </c>
      <c r="B2733" s="42" t="s">
        <v>4362</v>
      </c>
      <c r="C2733" s="101" t="s">
        <v>2855</v>
      </c>
      <c r="D2733" s="101" t="s">
        <v>2856</v>
      </c>
      <c r="E2733" s="101">
        <v>2005</v>
      </c>
      <c r="F2733" s="101">
        <v>2000</v>
      </c>
      <c r="G2733" s="101" t="s">
        <v>2766</v>
      </c>
      <c r="H2733" s="101" t="s">
        <v>2860</v>
      </c>
      <c r="I2733" s="101" t="s">
        <v>2857</v>
      </c>
      <c r="J2733" s="101">
        <v>-0.22</v>
      </c>
      <c r="K2733" s="101">
        <v>33.57</v>
      </c>
      <c r="L2733" s="101">
        <v>1134</v>
      </c>
      <c r="P2733" s="101">
        <v>1345</v>
      </c>
      <c r="R2733" s="102" t="s">
        <v>1977</v>
      </c>
      <c r="S2733" s="102" t="s">
        <v>1847</v>
      </c>
      <c r="T2733" s="102"/>
      <c r="U2733" s="102" t="s">
        <v>2859</v>
      </c>
      <c r="V2733" s="102" t="s">
        <v>1379</v>
      </c>
      <c r="W2733" s="102" t="s">
        <v>1715</v>
      </c>
      <c r="X2733" s="102" t="s">
        <v>1379</v>
      </c>
      <c r="Y2733" s="102" t="s">
        <v>1379</v>
      </c>
      <c r="AA2733" s="352">
        <v>62</v>
      </c>
      <c r="AB2733" s="352">
        <v>29</v>
      </c>
      <c r="AC2733" s="101" t="s">
        <v>240</v>
      </c>
      <c r="AD2733" s="101">
        <v>5.2</v>
      </c>
      <c r="AE2733" s="101">
        <v>2.9</v>
      </c>
      <c r="AG2733" s="101" t="s">
        <v>2858</v>
      </c>
      <c r="AH2733" s="101" t="s">
        <v>2743</v>
      </c>
      <c r="AI2733" s="101" t="s">
        <v>577</v>
      </c>
      <c r="AJ2733" s="101" t="s">
        <v>1645</v>
      </c>
      <c r="AK2733" s="101" t="s">
        <v>132</v>
      </c>
      <c r="AW2733" s="101" t="s">
        <v>160</v>
      </c>
      <c r="AX2733" s="101">
        <v>2</v>
      </c>
      <c r="AZ2733" s="101" t="s">
        <v>141</v>
      </c>
      <c r="BB2733" s="101">
        <v>1092</v>
      </c>
      <c r="BE2733" s="101" t="s">
        <v>2863</v>
      </c>
      <c r="BK2733" s="101">
        <v>3325</v>
      </c>
      <c r="BL2733" s="101">
        <v>3755</v>
      </c>
      <c r="BP2733" s="427"/>
      <c r="BQ2733" s="427"/>
      <c r="BU2733" s="427"/>
      <c r="BV2733" s="427"/>
      <c r="BZ2733" s="427"/>
      <c r="CA2733" s="427"/>
      <c r="CE2733" s="580"/>
      <c r="CF2733" s="580"/>
      <c r="CG2733" s="580"/>
      <c r="CH2733" s="580"/>
      <c r="JD2733" s="177"/>
    </row>
    <row r="2734" spans="1:264" s="101" customFormat="1" x14ac:dyDescent="0.25">
      <c r="A2734" s="101">
        <v>128</v>
      </c>
      <c r="B2734" s="42" t="s">
        <v>4362</v>
      </c>
      <c r="C2734" s="101" t="s">
        <v>2855</v>
      </c>
      <c r="D2734" s="101" t="s">
        <v>2856</v>
      </c>
      <c r="E2734" s="101">
        <v>2005</v>
      </c>
      <c r="F2734" s="101">
        <v>2000</v>
      </c>
      <c r="G2734" s="101" t="s">
        <v>2766</v>
      </c>
      <c r="H2734" s="101" t="s">
        <v>2860</v>
      </c>
      <c r="I2734" s="101" t="s">
        <v>2857</v>
      </c>
      <c r="J2734" s="101">
        <v>-0.22</v>
      </c>
      <c r="K2734" s="101">
        <v>33.57</v>
      </c>
      <c r="L2734" s="101">
        <v>1134</v>
      </c>
      <c r="P2734" s="101">
        <v>1345</v>
      </c>
      <c r="R2734" s="102" t="s">
        <v>1977</v>
      </c>
      <c r="S2734" s="102" t="s">
        <v>1847</v>
      </c>
      <c r="T2734" s="102"/>
      <c r="U2734" s="102" t="s">
        <v>2859</v>
      </c>
      <c r="V2734" s="102" t="s">
        <v>1379</v>
      </c>
      <c r="W2734" s="102" t="s">
        <v>1715</v>
      </c>
      <c r="X2734" s="102" t="s">
        <v>1379</v>
      </c>
      <c r="Y2734" s="102" t="s">
        <v>1379</v>
      </c>
      <c r="AA2734" s="352">
        <v>62</v>
      </c>
      <c r="AB2734" s="352">
        <v>29</v>
      </c>
      <c r="AC2734" s="101" t="s">
        <v>240</v>
      </c>
      <c r="AD2734" s="101">
        <v>5.2</v>
      </c>
      <c r="AE2734" s="101">
        <v>2.9</v>
      </c>
      <c r="AG2734" s="101" t="s">
        <v>2858</v>
      </c>
      <c r="AH2734" s="101" t="s">
        <v>2743</v>
      </c>
      <c r="AI2734" s="101" t="s">
        <v>577</v>
      </c>
      <c r="AJ2734" s="101" t="s">
        <v>1645</v>
      </c>
      <c r="AK2734" s="101" t="s">
        <v>132</v>
      </c>
      <c r="AW2734" s="101" t="s">
        <v>160</v>
      </c>
      <c r="AX2734" s="101">
        <v>2</v>
      </c>
      <c r="AZ2734" s="101" t="s">
        <v>141</v>
      </c>
      <c r="BB2734" s="101">
        <v>464</v>
      </c>
      <c r="BE2734" s="101" t="s">
        <v>2864</v>
      </c>
      <c r="BK2734" s="101">
        <v>5023</v>
      </c>
      <c r="BL2734" s="101">
        <v>5465</v>
      </c>
      <c r="BP2734" s="427"/>
      <c r="BQ2734" s="427"/>
      <c r="BU2734" s="427"/>
      <c r="BV2734" s="427"/>
      <c r="BZ2734" s="427"/>
      <c r="CA2734" s="427"/>
      <c r="CE2734" s="580"/>
      <c r="CF2734" s="580"/>
      <c r="CG2734" s="580"/>
      <c r="CH2734" s="580"/>
      <c r="JD2734" s="177"/>
    </row>
    <row r="2735" spans="1:264" s="101" customFormat="1" x14ac:dyDescent="0.25">
      <c r="A2735" s="101">
        <v>128</v>
      </c>
      <c r="B2735" s="42" t="s">
        <v>4362</v>
      </c>
      <c r="C2735" s="101" t="s">
        <v>2855</v>
      </c>
      <c r="D2735" s="101" t="s">
        <v>2856</v>
      </c>
      <c r="E2735" s="101">
        <v>2005</v>
      </c>
      <c r="F2735" s="101">
        <v>2001</v>
      </c>
      <c r="G2735" s="101" t="s">
        <v>2766</v>
      </c>
      <c r="H2735" s="101" t="s">
        <v>2860</v>
      </c>
      <c r="I2735" s="101" t="s">
        <v>2857</v>
      </c>
      <c r="J2735" s="101">
        <v>-0.22</v>
      </c>
      <c r="K2735" s="101">
        <v>33.57</v>
      </c>
      <c r="L2735" s="101">
        <v>1134</v>
      </c>
      <c r="P2735" s="101">
        <v>1345</v>
      </c>
      <c r="R2735" s="102" t="s">
        <v>1847</v>
      </c>
      <c r="S2735" s="102" t="s">
        <v>1847</v>
      </c>
      <c r="T2735" s="102"/>
      <c r="U2735" s="102" t="s">
        <v>2859</v>
      </c>
      <c r="V2735" s="102" t="s">
        <v>1379</v>
      </c>
      <c r="W2735" s="102" t="s">
        <v>1715</v>
      </c>
      <c r="X2735" s="102" t="s">
        <v>1379</v>
      </c>
      <c r="Y2735" s="102" t="s">
        <v>1379</v>
      </c>
      <c r="AA2735" s="352">
        <v>62</v>
      </c>
      <c r="AB2735" s="352">
        <v>29</v>
      </c>
      <c r="AC2735" s="101" t="s">
        <v>240</v>
      </c>
      <c r="AD2735" s="101">
        <v>5.2</v>
      </c>
      <c r="AE2735" s="101">
        <v>2.9</v>
      </c>
      <c r="AG2735" s="101" t="s">
        <v>2858</v>
      </c>
      <c r="AH2735" s="101" t="s">
        <v>2743</v>
      </c>
      <c r="AI2735" s="101" t="s">
        <v>577</v>
      </c>
      <c r="AJ2735" s="101" t="s">
        <v>1645</v>
      </c>
      <c r="AK2735" s="101" t="s">
        <v>132</v>
      </c>
      <c r="AW2735" s="101" t="s">
        <v>160</v>
      </c>
      <c r="AX2735" s="101">
        <v>2</v>
      </c>
      <c r="AZ2735" s="101" t="s">
        <v>141</v>
      </c>
      <c r="BB2735" s="101">
        <v>141</v>
      </c>
      <c r="BE2735" s="101" t="s">
        <v>2863</v>
      </c>
      <c r="BK2735" s="101">
        <v>4017</v>
      </c>
      <c r="BL2735" s="101">
        <v>4007</v>
      </c>
      <c r="BP2735" s="427"/>
      <c r="BQ2735" s="427"/>
      <c r="BU2735" s="427"/>
      <c r="BV2735" s="427"/>
      <c r="BZ2735" s="427"/>
      <c r="CA2735" s="427"/>
      <c r="CE2735" s="580"/>
      <c r="CF2735" s="580"/>
      <c r="CG2735" s="580"/>
      <c r="CH2735" s="580"/>
      <c r="JD2735" s="177"/>
    </row>
    <row r="2736" spans="1:264" s="101" customFormat="1" x14ac:dyDescent="0.25">
      <c r="A2736" s="101">
        <v>128</v>
      </c>
      <c r="B2736" s="42" t="s">
        <v>4362</v>
      </c>
      <c r="C2736" s="101" t="s">
        <v>2855</v>
      </c>
      <c r="D2736" s="101" t="s">
        <v>2856</v>
      </c>
      <c r="E2736" s="101">
        <v>2005</v>
      </c>
      <c r="F2736" s="101">
        <v>2001</v>
      </c>
      <c r="G2736" s="101" t="s">
        <v>2766</v>
      </c>
      <c r="H2736" s="101" t="s">
        <v>2860</v>
      </c>
      <c r="I2736" s="101" t="s">
        <v>2857</v>
      </c>
      <c r="J2736" s="101">
        <v>-0.22</v>
      </c>
      <c r="K2736" s="101">
        <v>33.57</v>
      </c>
      <c r="L2736" s="101">
        <v>1134</v>
      </c>
      <c r="P2736" s="101">
        <v>1345</v>
      </c>
      <c r="R2736" s="102" t="s">
        <v>1847</v>
      </c>
      <c r="S2736" s="102" t="s">
        <v>1847</v>
      </c>
      <c r="T2736" s="102"/>
      <c r="U2736" s="102" t="s">
        <v>2859</v>
      </c>
      <c r="V2736" s="102" t="s">
        <v>1379</v>
      </c>
      <c r="W2736" s="102" t="s">
        <v>1715</v>
      </c>
      <c r="X2736" s="102" t="s">
        <v>1379</v>
      </c>
      <c r="Y2736" s="102" t="s">
        <v>1379</v>
      </c>
      <c r="AA2736" s="352">
        <v>62</v>
      </c>
      <c r="AB2736" s="352">
        <v>29</v>
      </c>
      <c r="AC2736" s="101" t="s">
        <v>240</v>
      </c>
      <c r="AD2736" s="101">
        <v>5.2</v>
      </c>
      <c r="AE2736" s="101">
        <v>2.9</v>
      </c>
      <c r="AG2736" s="101" t="s">
        <v>2858</v>
      </c>
      <c r="AH2736" s="101" t="s">
        <v>2743</v>
      </c>
      <c r="AI2736" s="101" t="s">
        <v>577</v>
      </c>
      <c r="AJ2736" s="101" t="s">
        <v>1645</v>
      </c>
      <c r="AK2736" s="101" t="s">
        <v>132</v>
      </c>
      <c r="AW2736" s="101" t="s">
        <v>160</v>
      </c>
      <c r="AX2736" s="101">
        <v>2</v>
      </c>
      <c r="AZ2736" s="101" t="s">
        <v>141</v>
      </c>
      <c r="BE2736" s="101" t="s">
        <v>2864</v>
      </c>
      <c r="BK2736" s="101">
        <v>2838</v>
      </c>
      <c r="BL2736" s="101">
        <v>2956</v>
      </c>
      <c r="BP2736" s="427"/>
      <c r="BQ2736" s="427"/>
      <c r="BU2736" s="427"/>
      <c r="BV2736" s="427"/>
      <c r="BZ2736" s="427"/>
      <c r="CA2736" s="427"/>
      <c r="CE2736" s="580"/>
      <c r="CF2736" s="580"/>
      <c r="CG2736" s="580"/>
      <c r="CH2736" s="580"/>
      <c r="JD2736" s="177"/>
    </row>
    <row r="2737" spans="1:264" s="32" customFormat="1" x14ac:dyDescent="0.25">
      <c r="A2737" s="32">
        <v>128</v>
      </c>
      <c r="B2737" s="44" t="s">
        <v>4363</v>
      </c>
      <c r="C2737" s="32" t="s">
        <v>2855</v>
      </c>
      <c r="D2737" s="32" t="s">
        <v>2856</v>
      </c>
      <c r="E2737" s="32">
        <v>2005</v>
      </c>
      <c r="F2737" s="32">
        <v>2000</v>
      </c>
      <c r="G2737" s="32" t="s">
        <v>2766</v>
      </c>
      <c r="H2737" s="32" t="s">
        <v>2861</v>
      </c>
      <c r="I2737" s="32" t="s">
        <v>2857</v>
      </c>
      <c r="J2737" s="32">
        <v>-1.58</v>
      </c>
      <c r="K2737" s="32">
        <v>30.07</v>
      </c>
      <c r="L2737" s="32">
        <v>1978</v>
      </c>
      <c r="P2737" s="32">
        <v>1345</v>
      </c>
      <c r="R2737" s="44" t="s">
        <v>1977</v>
      </c>
      <c r="S2737" s="44" t="s">
        <v>1847</v>
      </c>
      <c r="T2737" s="44"/>
      <c r="U2737" s="44" t="s">
        <v>2859</v>
      </c>
      <c r="V2737" s="44" t="s">
        <v>1379</v>
      </c>
      <c r="W2737" s="44" t="s">
        <v>1715</v>
      </c>
      <c r="X2737" s="44" t="s">
        <v>1379</v>
      </c>
      <c r="Y2737" s="44" t="s">
        <v>1379</v>
      </c>
      <c r="AA2737" s="323">
        <v>70</v>
      </c>
      <c r="AB2737" s="323">
        <v>21</v>
      </c>
      <c r="AC2737" s="32" t="s">
        <v>240</v>
      </c>
      <c r="AD2737" s="32">
        <v>5</v>
      </c>
      <c r="AE2737" s="32">
        <v>2.2999999999999998</v>
      </c>
      <c r="AG2737" s="32" t="s">
        <v>2858</v>
      </c>
      <c r="AH2737" s="32" t="s">
        <v>2742</v>
      </c>
      <c r="AI2737" s="32" t="s">
        <v>577</v>
      </c>
      <c r="AJ2737" s="32" t="s">
        <v>1645</v>
      </c>
      <c r="AK2737" s="32" t="s">
        <v>132</v>
      </c>
      <c r="AW2737" s="32" t="s">
        <v>160</v>
      </c>
      <c r="AX2737" s="32">
        <v>2</v>
      </c>
      <c r="AZ2737" s="32" t="s">
        <v>141</v>
      </c>
      <c r="BB2737" s="32">
        <v>368</v>
      </c>
      <c r="BE2737" s="32" t="s">
        <v>2863</v>
      </c>
      <c r="BK2737" s="32">
        <v>2141</v>
      </c>
      <c r="BL2737" s="32">
        <v>1922</v>
      </c>
      <c r="BP2737" s="397"/>
      <c r="BQ2737" s="397"/>
      <c r="BU2737" s="397"/>
      <c r="BV2737" s="397"/>
      <c r="BZ2737" s="397"/>
      <c r="CA2737" s="397"/>
      <c r="CE2737" s="550"/>
      <c r="CF2737" s="550"/>
      <c r="CG2737" s="550"/>
      <c r="CH2737" s="550"/>
      <c r="JD2737" s="243"/>
    </row>
    <row r="2738" spans="1:264" s="32" customFormat="1" x14ac:dyDescent="0.25">
      <c r="A2738" s="32">
        <v>128</v>
      </c>
      <c r="B2738" s="44" t="s">
        <v>4363</v>
      </c>
      <c r="C2738" s="32" t="s">
        <v>2855</v>
      </c>
      <c r="D2738" s="32" t="s">
        <v>2856</v>
      </c>
      <c r="E2738" s="32">
        <v>2005</v>
      </c>
      <c r="F2738" s="32">
        <v>2000</v>
      </c>
      <c r="G2738" s="32" t="s">
        <v>2766</v>
      </c>
      <c r="H2738" s="32" t="s">
        <v>2861</v>
      </c>
      <c r="I2738" s="32" t="s">
        <v>2857</v>
      </c>
      <c r="J2738" s="32">
        <v>-1.58</v>
      </c>
      <c r="K2738" s="32">
        <v>30.07</v>
      </c>
      <c r="L2738" s="32">
        <v>1978</v>
      </c>
      <c r="P2738" s="32">
        <v>1345</v>
      </c>
      <c r="R2738" s="44" t="s">
        <v>1977</v>
      </c>
      <c r="S2738" s="44" t="s">
        <v>1847</v>
      </c>
      <c r="T2738" s="44"/>
      <c r="U2738" s="44" t="s">
        <v>2859</v>
      </c>
      <c r="V2738" s="44" t="s">
        <v>1379</v>
      </c>
      <c r="W2738" s="44" t="s">
        <v>1715</v>
      </c>
      <c r="X2738" s="44" t="s">
        <v>1379</v>
      </c>
      <c r="Y2738" s="44" t="s">
        <v>1379</v>
      </c>
      <c r="AA2738" s="323">
        <v>70</v>
      </c>
      <c r="AB2738" s="323">
        <v>21</v>
      </c>
      <c r="AC2738" s="32" t="s">
        <v>240</v>
      </c>
      <c r="AD2738" s="32">
        <v>5</v>
      </c>
      <c r="AE2738" s="32">
        <v>2.2999999999999998</v>
      </c>
      <c r="AG2738" s="32" t="s">
        <v>2858</v>
      </c>
      <c r="AH2738" s="32" t="s">
        <v>2742</v>
      </c>
      <c r="AI2738" s="32" t="s">
        <v>577</v>
      </c>
      <c r="AJ2738" s="32" t="s">
        <v>1645</v>
      </c>
      <c r="AK2738" s="32" t="s">
        <v>132</v>
      </c>
      <c r="AW2738" s="32" t="s">
        <v>160</v>
      </c>
      <c r="AX2738" s="32">
        <v>2</v>
      </c>
      <c r="AZ2738" s="32" t="s">
        <v>141</v>
      </c>
      <c r="BB2738" s="32">
        <v>302</v>
      </c>
      <c r="BE2738" s="32" t="s">
        <v>2864</v>
      </c>
      <c r="BK2738" s="32">
        <v>2585</v>
      </c>
      <c r="BL2738" s="32">
        <v>1863</v>
      </c>
      <c r="BP2738" s="397"/>
      <c r="BQ2738" s="397"/>
      <c r="BU2738" s="397"/>
      <c r="BV2738" s="397"/>
      <c r="BZ2738" s="397"/>
      <c r="CA2738" s="397"/>
      <c r="CE2738" s="550"/>
      <c r="CF2738" s="550"/>
      <c r="CG2738" s="550"/>
      <c r="CH2738" s="550"/>
      <c r="JD2738" s="243"/>
    </row>
    <row r="2739" spans="1:264" s="32" customFormat="1" x14ac:dyDescent="0.25">
      <c r="A2739" s="32">
        <v>128</v>
      </c>
      <c r="B2739" s="44" t="s">
        <v>4363</v>
      </c>
      <c r="C2739" s="32" t="s">
        <v>2855</v>
      </c>
      <c r="D2739" s="32" t="s">
        <v>2856</v>
      </c>
      <c r="E2739" s="32">
        <v>2005</v>
      </c>
      <c r="F2739" s="32">
        <v>2001</v>
      </c>
      <c r="G2739" s="32" t="s">
        <v>2766</v>
      </c>
      <c r="H2739" s="32" t="s">
        <v>2861</v>
      </c>
      <c r="I2739" s="32" t="s">
        <v>2857</v>
      </c>
      <c r="J2739" s="32">
        <v>-1.58</v>
      </c>
      <c r="K2739" s="32">
        <v>30.07</v>
      </c>
      <c r="L2739" s="32">
        <v>1978</v>
      </c>
      <c r="P2739" s="32">
        <v>1345</v>
      </c>
      <c r="R2739" s="44" t="s">
        <v>1847</v>
      </c>
      <c r="S2739" s="44" t="s">
        <v>1847</v>
      </c>
      <c r="T2739" s="44"/>
      <c r="U2739" s="44" t="s">
        <v>2859</v>
      </c>
      <c r="V2739" s="44" t="s">
        <v>1379</v>
      </c>
      <c r="W2739" s="44" t="s">
        <v>1715</v>
      </c>
      <c r="X2739" s="44" t="s">
        <v>1379</v>
      </c>
      <c r="Y2739" s="44" t="s">
        <v>1379</v>
      </c>
      <c r="AA2739" s="323">
        <v>70</v>
      </c>
      <c r="AB2739" s="323">
        <v>21</v>
      </c>
      <c r="AC2739" s="32" t="s">
        <v>240</v>
      </c>
      <c r="AD2739" s="32">
        <v>5</v>
      </c>
      <c r="AE2739" s="32">
        <v>2.2999999999999998</v>
      </c>
      <c r="AG2739" s="32" t="s">
        <v>2858</v>
      </c>
      <c r="AH2739" s="32" t="s">
        <v>2742</v>
      </c>
      <c r="AI2739" s="32" t="s">
        <v>577</v>
      </c>
      <c r="AJ2739" s="32" t="s">
        <v>1645</v>
      </c>
      <c r="AK2739" s="32" t="s">
        <v>132</v>
      </c>
      <c r="AW2739" s="32" t="s">
        <v>160</v>
      </c>
      <c r="AX2739" s="32">
        <v>2</v>
      </c>
      <c r="AZ2739" s="32" t="s">
        <v>141</v>
      </c>
      <c r="BB2739" s="32">
        <v>1198</v>
      </c>
      <c r="BE2739" s="32" t="s">
        <v>2863</v>
      </c>
      <c r="BK2739" s="32">
        <v>1719</v>
      </c>
      <c r="BL2739" s="32">
        <v>2249</v>
      </c>
      <c r="BP2739" s="397"/>
      <c r="BQ2739" s="397"/>
      <c r="BU2739" s="397"/>
      <c r="BV2739" s="397"/>
      <c r="BZ2739" s="397"/>
      <c r="CA2739" s="397"/>
      <c r="CE2739" s="550"/>
      <c r="CF2739" s="550"/>
      <c r="CG2739" s="550"/>
      <c r="CH2739" s="550"/>
      <c r="JD2739" s="243"/>
    </row>
    <row r="2740" spans="1:264" s="32" customFormat="1" x14ac:dyDescent="0.25">
      <c r="A2740" s="32">
        <v>128</v>
      </c>
      <c r="B2740" s="44" t="s">
        <v>4363</v>
      </c>
      <c r="C2740" s="32" t="s">
        <v>2855</v>
      </c>
      <c r="D2740" s="32" t="s">
        <v>2856</v>
      </c>
      <c r="E2740" s="32">
        <v>2005</v>
      </c>
      <c r="F2740" s="32">
        <v>2001</v>
      </c>
      <c r="G2740" s="32" t="s">
        <v>2766</v>
      </c>
      <c r="H2740" s="32" t="s">
        <v>2861</v>
      </c>
      <c r="I2740" s="32" t="s">
        <v>2857</v>
      </c>
      <c r="J2740" s="32">
        <v>-1.58</v>
      </c>
      <c r="K2740" s="32">
        <v>30.07</v>
      </c>
      <c r="L2740" s="32">
        <v>1978</v>
      </c>
      <c r="P2740" s="32">
        <v>1345</v>
      </c>
      <c r="R2740" s="44" t="s">
        <v>1847</v>
      </c>
      <c r="S2740" s="44" t="s">
        <v>1847</v>
      </c>
      <c r="T2740" s="44"/>
      <c r="U2740" s="44" t="s">
        <v>2859</v>
      </c>
      <c r="V2740" s="44" t="s">
        <v>1379</v>
      </c>
      <c r="W2740" s="44" t="s">
        <v>1715</v>
      </c>
      <c r="X2740" s="44" t="s">
        <v>1379</v>
      </c>
      <c r="Y2740" s="44" t="s">
        <v>1379</v>
      </c>
      <c r="AA2740" s="323">
        <v>70</v>
      </c>
      <c r="AB2740" s="323">
        <v>21</v>
      </c>
      <c r="AC2740" s="32" t="s">
        <v>240</v>
      </c>
      <c r="AD2740" s="32">
        <v>5</v>
      </c>
      <c r="AE2740" s="32">
        <v>2.2999999999999998</v>
      </c>
      <c r="AG2740" s="32" t="s">
        <v>2858</v>
      </c>
      <c r="AH2740" s="32" t="s">
        <v>2742</v>
      </c>
      <c r="AI2740" s="32" t="s">
        <v>577</v>
      </c>
      <c r="AJ2740" s="32" t="s">
        <v>1645</v>
      </c>
      <c r="AK2740" s="32" t="s">
        <v>132</v>
      </c>
      <c r="AW2740" s="32" t="s">
        <v>160</v>
      </c>
      <c r="AX2740" s="32">
        <v>2</v>
      </c>
      <c r="AZ2740" s="32" t="s">
        <v>141</v>
      </c>
      <c r="BE2740" s="32" t="s">
        <v>2864</v>
      </c>
      <c r="BK2740" s="32">
        <v>1469</v>
      </c>
      <c r="BL2740" s="32">
        <v>1805</v>
      </c>
      <c r="BP2740" s="397"/>
      <c r="BQ2740" s="397"/>
      <c r="BU2740" s="397"/>
      <c r="BV2740" s="397"/>
      <c r="BZ2740" s="397"/>
      <c r="CA2740" s="397"/>
      <c r="CE2740" s="550"/>
      <c r="CF2740" s="550"/>
      <c r="CG2740" s="550"/>
      <c r="CH2740" s="550"/>
      <c r="JD2740" s="243"/>
    </row>
    <row r="2741" spans="1:264" s="105" customFormat="1" x14ac:dyDescent="0.25">
      <c r="A2741" s="105">
        <v>128</v>
      </c>
      <c r="B2741" s="44" t="s">
        <v>4363</v>
      </c>
      <c r="C2741" s="105" t="s">
        <v>2855</v>
      </c>
      <c r="D2741" s="105" t="s">
        <v>2856</v>
      </c>
      <c r="E2741" s="105">
        <v>2005</v>
      </c>
      <c r="F2741" s="105">
        <v>2000</v>
      </c>
      <c r="G2741" s="105" t="s">
        <v>2766</v>
      </c>
      <c r="H2741" s="105" t="s">
        <v>2861</v>
      </c>
      <c r="I2741" s="105" t="s">
        <v>2857</v>
      </c>
      <c r="J2741" s="105">
        <v>-1.58</v>
      </c>
      <c r="K2741" s="105">
        <v>30.07</v>
      </c>
      <c r="L2741" s="105">
        <v>1978</v>
      </c>
      <c r="P2741" s="105">
        <v>1345</v>
      </c>
      <c r="R2741" s="106" t="s">
        <v>1977</v>
      </c>
      <c r="S2741" s="106" t="s">
        <v>1847</v>
      </c>
      <c r="T2741" s="106"/>
      <c r="U2741" s="106" t="s">
        <v>2859</v>
      </c>
      <c r="V2741" s="106" t="s">
        <v>1379</v>
      </c>
      <c r="W2741" s="106" t="s">
        <v>1715</v>
      </c>
      <c r="X2741" s="106" t="s">
        <v>1379</v>
      </c>
      <c r="Y2741" s="106" t="s">
        <v>1379</v>
      </c>
      <c r="AA2741" s="354">
        <v>70</v>
      </c>
      <c r="AB2741" s="354">
        <v>21</v>
      </c>
      <c r="AC2741" s="105" t="s">
        <v>240</v>
      </c>
      <c r="AD2741" s="105">
        <v>5</v>
      </c>
      <c r="AE2741" s="105">
        <v>2.2999999999999998</v>
      </c>
      <c r="AG2741" s="105" t="s">
        <v>2858</v>
      </c>
      <c r="AH2741" s="105" t="s">
        <v>2744</v>
      </c>
      <c r="AI2741" s="105" t="s">
        <v>577</v>
      </c>
      <c r="AJ2741" s="105" t="s">
        <v>1645</v>
      </c>
      <c r="AK2741" s="105" t="s">
        <v>132</v>
      </c>
      <c r="AW2741" s="105" t="s">
        <v>160</v>
      </c>
      <c r="AX2741" s="105">
        <v>2</v>
      </c>
      <c r="AZ2741" s="105" t="s">
        <v>141</v>
      </c>
      <c r="BB2741" s="105">
        <v>400</v>
      </c>
      <c r="BE2741" s="105" t="s">
        <v>2863</v>
      </c>
      <c r="BK2741" s="105">
        <v>2141</v>
      </c>
      <c r="BL2741" s="105">
        <v>1631</v>
      </c>
      <c r="BP2741" s="429"/>
      <c r="BQ2741" s="429"/>
      <c r="BU2741" s="429"/>
      <c r="BV2741" s="429"/>
      <c r="BZ2741" s="429"/>
      <c r="CA2741" s="429"/>
      <c r="CE2741" s="582"/>
      <c r="CF2741" s="582"/>
      <c r="CG2741" s="582"/>
      <c r="CH2741" s="582"/>
      <c r="JD2741" s="499"/>
    </row>
    <row r="2742" spans="1:264" s="105" customFormat="1" x14ac:dyDescent="0.25">
      <c r="A2742" s="105">
        <v>128</v>
      </c>
      <c r="B2742" s="44" t="s">
        <v>4363</v>
      </c>
      <c r="C2742" s="105" t="s">
        <v>2855</v>
      </c>
      <c r="D2742" s="105" t="s">
        <v>2856</v>
      </c>
      <c r="E2742" s="105">
        <v>2005</v>
      </c>
      <c r="F2742" s="105">
        <v>2000</v>
      </c>
      <c r="G2742" s="105" t="s">
        <v>2766</v>
      </c>
      <c r="H2742" s="105" t="s">
        <v>2861</v>
      </c>
      <c r="I2742" s="105" t="s">
        <v>2857</v>
      </c>
      <c r="J2742" s="105">
        <v>-1.58</v>
      </c>
      <c r="K2742" s="105">
        <v>30.07</v>
      </c>
      <c r="L2742" s="105">
        <v>1978</v>
      </c>
      <c r="P2742" s="105">
        <v>1345</v>
      </c>
      <c r="R2742" s="106" t="s">
        <v>1977</v>
      </c>
      <c r="S2742" s="106" t="s">
        <v>1847</v>
      </c>
      <c r="T2742" s="106"/>
      <c r="U2742" s="106" t="s">
        <v>2859</v>
      </c>
      <c r="V2742" s="106" t="s">
        <v>1379</v>
      </c>
      <c r="W2742" s="106" t="s">
        <v>1715</v>
      </c>
      <c r="X2742" s="106" t="s">
        <v>1379</v>
      </c>
      <c r="Y2742" s="106" t="s">
        <v>1379</v>
      </c>
      <c r="AA2742" s="354">
        <v>70</v>
      </c>
      <c r="AB2742" s="354">
        <v>21</v>
      </c>
      <c r="AC2742" s="105" t="s">
        <v>240</v>
      </c>
      <c r="AD2742" s="105">
        <v>5</v>
      </c>
      <c r="AE2742" s="105">
        <v>2.2999999999999998</v>
      </c>
      <c r="AG2742" s="105" t="s">
        <v>2858</v>
      </c>
      <c r="AH2742" s="105" t="s">
        <v>2744</v>
      </c>
      <c r="AI2742" s="105" t="s">
        <v>577</v>
      </c>
      <c r="AJ2742" s="105" t="s">
        <v>1645</v>
      </c>
      <c r="AK2742" s="105" t="s">
        <v>132</v>
      </c>
      <c r="AW2742" s="105" t="s">
        <v>160</v>
      </c>
      <c r="AX2742" s="105">
        <v>2</v>
      </c>
      <c r="AZ2742" s="105" t="s">
        <v>141</v>
      </c>
      <c r="BB2742" s="105">
        <v>116</v>
      </c>
      <c r="BE2742" s="105" t="s">
        <v>2864</v>
      </c>
      <c r="BK2742" s="105">
        <v>2585</v>
      </c>
      <c r="BL2742" s="105">
        <v>2884</v>
      </c>
      <c r="BP2742" s="429"/>
      <c r="BQ2742" s="429"/>
      <c r="BU2742" s="429"/>
      <c r="BV2742" s="429"/>
      <c r="BZ2742" s="429"/>
      <c r="CA2742" s="429"/>
      <c r="CE2742" s="582"/>
      <c r="CF2742" s="582"/>
      <c r="CG2742" s="582"/>
      <c r="CH2742" s="582"/>
      <c r="JD2742" s="499"/>
    </row>
    <row r="2743" spans="1:264" s="105" customFormat="1" x14ac:dyDescent="0.25">
      <c r="A2743" s="105">
        <v>128</v>
      </c>
      <c r="B2743" s="44" t="s">
        <v>4363</v>
      </c>
      <c r="C2743" s="105" t="s">
        <v>2855</v>
      </c>
      <c r="D2743" s="105" t="s">
        <v>2856</v>
      </c>
      <c r="E2743" s="105">
        <v>2005</v>
      </c>
      <c r="F2743" s="105">
        <v>2001</v>
      </c>
      <c r="G2743" s="105" t="s">
        <v>2766</v>
      </c>
      <c r="H2743" s="105" t="s">
        <v>2861</v>
      </c>
      <c r="I2743" s="105" t="s">
        <v>2857</v>
      </c>
      <c r="J2743" s="105">
        <v>-1.58</v>
      </c>
      <c r="K2743" s="105">
        <v>30.07</v>
      </c>
      <c r="L2743" s="105">
        <v>1978</v>
      </c>
      <c r="P2743" s="105">
        <v>1345</v>
      </c>
      <c r="R2743" s="106" t="s">
        <v>1847</v>
      </c>
      <c r="S2743" s="106" t="s">
        <v>1847</v>
      </c>
      <c r="T2743" s="106"/>
      <c r="U2743" s="106" t="s">
        <v>2859</v>
      </c>
      <c r="V2743" s="106" t="s">
        <v>1379</v>
      </c>
      <c r="W2743" s="106" t="s">
        <v>1715</v>
      </c>
      <c r="X2743" s="106" t="s">
        <v>1379</v>
      </c>
      <c r="Y2743" s="106" t="s">
        <v>1379</v>
      </c>
      <c r="AA2743" s="354">
        <v>70</v>
      </c>
      <c r="AB2743" s="354">
        <v>21</v>
      </c>
      <c r="AC2743" s="105" t="s">
        <v>240</v>
      </c>
      <c r="AD2743" s="105">
        <v>5</v>
      </c>
      <c r="AE2743" s="105">
        <v>2.2999999999999998</v>
      </c>
      <c r="AG2743" s="105" t="s">
        <v>2858</v>
      </c>
      <c r="AH2743" s="105" t="s">
        <v>2744</v>
      </c>
      <c r="AI2743" s="105" t="s">
        <v>577</v>
      </c>
      <c r="AJ2743" s="105" t="s">
        <v>1645</v>
      </c>
      <c r="AK2743" s="105" t="s">
        <v>132</v>
      </c>
      <c r="AW2743" s="105" t="s">
        <v>160</v>
      </c>
      <c r="AX2743" s="105">
        <v>2</v>
      </c>
      <c r="AZ2743" s="105" t="s">
        <v>141</v>
      </c>
      <c r="BB2743" s="105">
        <v>590</v>
      </c>
      <c r="BE2743" s="105" t="s">
        <v>2863</v>
      </c>
      <c r="BK2743" s="105">
        <v>1719</v>
      </c>
      <c r="BL2743" s="105">
        <v>1755</v>
      </c>
      <c r="BP2743" s="429"/>
      <c r="BQ2743" s="429"/>
      <c r="BU2743" s="429"/>
      <c r="BV2743" s="429"/>
      <c r="BZ2743" s="429"/>
      <c r="CA2743" s="429"/>
      <c r="CE2743" s="582"/>
      <c r="CF2743" s="582"/>
      <c r="CG2743" s="582"/>
      <c r="CH2743" s="582"/>
      <c r="JD2743" s="499"/>
    </row>
    <row r="2744" spans="1:264" s="105" customFormat="1" x14ac:dyDescent="0.25">
      <c r="A2744" s="105">
        <v>128</v>
      </c>
      <c r="B2744" s="44" t="s">
        <v>4363</v>
      </c>
      <c r="C2744" s="105" t="s">
        <v>2855</v>
      </c>
      <c r="D2744" s="105" t="s">
        <v>2856</v>
      </c>
      <c r="E2744" s="105">
        <v>2005</v>
      </c>
      <c r="F2744" s="105">
        <v>2001</v>
      </c>
      <c r="G2744" s="105" t="s">
        <v>2766</v>
      </c>
      <c r="H2744" s="105" t="s">
        <v>2861</v>
      </c>
      <c r="I2744" s="105" t="s">
        <v>2857</v>
      </c>
      <c r="J2744" s="105">
        <v>-1.58</v>
      </c>
      <c r="K2744" s="105">
        <v>30.07</v>
      </c>
      <c r="L2744" s="105">
        <v>1978</v>
      </c>
      <c r="P2744" s="105">
        <v>1345</v>
      </c>
      <c r="R2744" s="106" t="s">
        <v>1847</v>
      </c>
      <c r="S2744" s="106" t="s">
        <v>1847</v>
      </c>
      <c r="T2744" s="106"/>
      <c r="U2744" s="106" t="s">
        <v>2859</v>
      </c>
      <c r="V2744" s="106" t="s">
        <v>1379</v>
      </c>
      <c r="W2744" s="106" t="s">
        <v>1715</v>
      </c>
      <c r="X2744" s="106" t="s">
        <v>1379</v>
      </c>
      <c r="Y2744" s="106" t="s">
        <v>1379</v>
      </c>
      <c r="AA2744" s="354">
        <v>70</v>
      </c>
      <c r="AB2744" s="354">
        <v>21</v>
      </c>
      <c r="AC2744" s="105" t="s">
        <v>240</v>
      </c>
      <c r="AD2744" s="105">
        <v>5</v>
      </c>
      <c r="AE2744" s="105">
        <v>2.2999999999999998</v>
      </c>
      <c r="AG2744" s="105" t="s">
        <v>2858</v>
      </c>
      <c r="AH2744" s="105" t="s">
        <v>2744</v>
      </c>
      <c r="AI2744" s="105" t="s">
        <v>577</v>
      </c>
      <c r="AJ2744" s="105" t="s">
        <v>1645</v>
      </c>
      <c r="AK2744" s="105" t="s">
        <v>132</v>
      </c>
      <c r="AW2744" s="105" t="s">
        <v>160</v>
      </c>
      <c r="AX2744" s="105">
        <v>2</v>
      </c>
      <c r="AZ2744" s="105" t="s">
        <v>141</v>
      </c>
      <c r="BE2744" s="105" t="s">
        <v>2864</v>
      </c>
      <c r="BK2744" s="105">
        <v>1469</v>
      </c>
      <c r="BL2744" s="105">
        <v>1881</v>
      </c>
      <c r="BP2744" s="429"/>
      <c r="BQ2744" s="429"/>
      <c r="BU2744" s="429"/>
      <c r="BV2744" s="429"/>
      <c r="BZ2744" s="429"/>
      <c r="CA2744" s="429"/>
      <c r="CE2744" s="582"/>
      <c r="CF2744" s="582"/>
      <c r="CG2744" s="582"/>
      <c r="CH2744" s="582"/>
      <c r="JD2744" s="499"/>
    </row>
    <row r="2745" spans="1:264" s="32" customFormat="1" x14ac:dyDescent="0.25">
      <c r="A2745" s="32">
        <v>128</v>
      </c>
      <c r="B2745" s="44" t="s">
        <v>4363</v>
      </c>
      <c r="C2745" s="32" t="s">
        <v>2855</v>
      </c>
      <c r="D2745" s="32" t="s">
        <v>2856</v>
      </c>
      <c r="E2745" s="32">
        <v>2005</v>
      </c>
      <c r="F2745" s="32">
        <v>2000</v>
      </c>
      <c r="G2745" s="32" t="s">
        <v>2766</v>
      </c>
      <c r="H2745" s="32" t="s">
        <v>2861</v>
      </c>
      <c r="I2745" s="32" t="s">
        <v>2857</v>
      </c>
      <c r="J2745" s="32">
        <v>-1.58</v>
      </c>
      <c r="K2745" s="32">
        <v>30.07</v>
      </c>
      <c r="L2745" s="32">
        <v>1978</v>
      </c>
      <c r="P2745" s="32">
        <v>1345</v>
      </c>
      <c r="R2745" s="44" t="s">
        <v>1977</v>
      </c>
      <c r="S2745" s="44" t="s">
        <v>1847</v>
      </c>
      <c r="T2745" s="44"/>
      <c r="U2745" s="44" t="s">
        <v>2859</v>
      </c>
      <c r="V2745" s="44" t="s">
        <v>1379</v>
      </c>
      <c r="W2745" s="44" t="s">
        <v>1715</v>
      </c>
      <c r="X2745" s="44" t="s">
        <v>1379</v>
      </c>
      <c r="Y2745" s="44" t="s">
        <v>1379</v>
      </c>
      <c r="AA2745" s="323">
        <v>70</v>
      </c>
      <c r="AB2745" s="323">
        <v>21</v>
      </c>
      <c r="AC2745" s="32" t="s">
        <v>240</v>
      </c>
      <c r="AD2745" s="32">
        <v>5</v>
      </c>
      <c r="AE2745" s="32">
        <v>2.2999999999999998</v>
      </c>
      <c r="AG2745" s="32" t="s">
        <v>2858</v>
      </c>
      <c r="AH2745" s="32" t="s">
        <v>2865</v>
      </c>
      <c r="AI2745" s="32" t="s">
        <v>577</v>
      </c>
      <c r="AJ2745" s="32" t="s">
        <v>1645</v>
      </c>
      <c r="AK2745" s="32" t="s">
        <v>132</v>
      </c>
      <c r="AW2745" s="32" t="s">
        <v>160</v>
      </c>
      <c r="AX2745" s="32">
        <v>2</v>
      </c>
      <c r="AZ2745" s="32" t="s">
        <v>141</v>
      </c>
      <c r="BB2745" s="32">
        <v>653</v>
      </c>
      <c r="BE2745" s="32" t="s">
        <v>2863</v>
      </c>
      <c r="BK2745" s="32">
        <v>2141</v>
      </c>
      <c r="BL2745" s="32">
        <v>2241</v>
      </c>
      <c r="BP2745" s="397"/>
      <c r="BQ2745" s="397"/>
      <c r="BU2745" s="397"/>
      <c r="BV2745" s="397"/>
      <c r="BZ2745" s="397"/>
      <c r="CA2745" s="397"/>
      <c r="CE2745" s="550"/>
      <c r="CF2745" s="550"/>
      <c r="CG2745" s="550"/>
      <c r="CH2745" s="550"/>
      <c r="JD2745" s="243"/>
    </row>
    <row r="2746" spans="1:264" s="32" customFormat="1" x14ac:dyDescent="0.25">
      <c r="A2746" s="32">
        <v>128</v>
      </c>
      <c r="B2746" s="44" t="s">
        <v>4363</v>
      </c>
      <c r="C2746" s="32" t="s">
        <v>2855</v>
      </c>
      <c r="D2746" s="32" t="s">
        <v>2856</v>
      </c>
      <c r="E2746" s="32">
        <v>2005</v>
      </c>
      <c r="F2746" s="32">
        <v>2000</v>
      </c>
      <c r="G2746" s="32" t="s">
        <v>2766</v>
      </c>
      <c r="H2746" s="32" t="s">
        <v>2861</v>
      </c>
      <c r="I2746" s="32" t="s">
        <v>2857</v>
      </c>
      <c r="J2746" s="32">
        <v>-1.58</v>
      </c>
      <c r="K2746" s="32">
        <v>30.07</v>
      </c>
      <c r="L2746" s="32">
        <v>1978</v>
      </c>
      <c r="P2746" s="32">
        <v>1345</v>
      </c>
      <c r="R2746" s="44" t="s">
        <v>1977</v>
      </c>
      <c r="S2746" s="44" t="s">
        <v>1847</v>
      </c>
      <c r="T2746" s="44"/>
      <c r="U2746" s="44" t="s">
        <v>2859</v>
      </c>
      <c r="V2746" s="44" t="s">
        <v>1379</v>
      </c>
      <c r="W2746" s="44" t="s">
        <v>1715</v>
      </c>
      <c r="X2746" s="44" t="s">
        <v>1379</v>
      </c>
      <c r="Y2746" s="44" t="s">
        <v>1379</v>
      </c>
      <c r="AA2746" s="323">
        <v>70</v>
      </c>
      <c r="AB2746" s="323">
        <v>21</v>
      </c>
      <c r="AC2746" s="32" t="s">
        <v>240</v>
      </c>
      <c r="AD2746" s="32">
        <v>5</v>
      </c>
      <c r="AE2746" s="32">
        <v>2.2999999999999998</v>
      </c>
      <c r="AG2746" s="32" t="s">
        <v>2858</v>
      </c>
      <c r="AH2746" s="32" t="s">
        <v>2865</v>
      </c>
      <c r="AI2746" s="32" t="s">
        <v>577</v>
      </c>
      <c r="AJ2746" s="32" t="s">
        <v>1645</v>
      </c>
      <c r="AK2746" s="32" t="s">
        <v>132</v>
      </c>
      <c r="AW2746" s="32" t="s">
        <v>160</v>
      </c>
      <c r="AX2746" s="32">
        <v>2</v>
      </c>
      <c r="AZ2746" s="32" t="s">
        <v>141</v>
      </c>
      <c r="BB2746" s="32">
        <v>494</v>
      </c>
      <c r="BE2746" s="32" t="s">
        <v>2864</v>
      </c>
      <c r="BK2746" s="32">
        <v>2585</v>
      </c>
      <c r="BL2746" s="32">
        <v>3324</v>
      </c>
      <c r="BP2746" s="397"/>
      <c r="BQ2746" s="397"/>
      <c r="BU2746" s="397"/>
      <c r="BV2746" s="397"/>
      <c r="BZ2746" s="397"/>
      <c r="CA2746" s="397"/>
      <c r="CE2746" s="550"/>
      <c r="CF2746" s="550"/>
      <c r="CG2746" s="550"/>
      <c r="CH2746" s="550"/>
      <c r="JD2746" s="243"/>
    </row>
    <row r="2747" spans="1:264" s="32" customFormat="1" x14ac:dyDescent="0.25">
      <c r="A2747" s="32">
        <v>128</v>
      </c>
      <c r="B2747" s="44" t="s">
        <v>4363</v>
      </c>
      <c r="C2747" s="32" t="s">
        <v>2855</v>
      </c>
      <c r="D2747" s="32" t="s">
        <v>2856</v>
      </c>
      <c r="E2747" s="32">
        <v>2005</v>
      </c>
      <c r="F2747" s="32">
        <v>2001</v>
      </c>
      <c r="G2747" s="32" t="s">
        <v>2766</v>
      </c>
      <c r="H2747" s="32" t="s">
        <v>2861</v>
      </c>
      <c r="I2747" s="32" t="s">
        <v>2857</v>
      </c>
      <c r="J2747" s="32">
        <v>-1.58</v>
      </c>
      <c r="K2747" s="32">
        <v>30.07</v>
      </c>
      <c r="L2747" s="32">
        <v>1978</v>
      </c>
      <c r="P2747" s="32">
        <v>1345</v>
      </c>
      <c r="R2747" s="44" t="s">
        <v>1847</v>
      </c>
      <c r="S2747" s="44" t="s">
        <v>1847</v>
      </c>
      <c r="T2747" s="44"/>
      <c r="U2747" s="44" t="s">
        <v>2859</v>
      </c>
      <c r="V2747" s="44" t="s">
        <v>1379</v>
      </c>
      <c r="W2747" s="44" t="s">
        <v>1715</v>
      </c>
      <c r="X2747" s="44" t="s">
        <v>1379</v>
      </c>
      <c r="Y2747" s="44" t="s">
        <v>1379</v>
      </c>
      <c r="AA2747" s="323">
        <v>70</v>
      </c>
      <c r="AB2747" s="323">
        <v>21</v>
      </c>
      <c r="AC2747" s="32" t="s">
        <v>240</v>
      </c>
      <c r="AD2747" s="32">
        <v>5</v>
      </c>
      <c r="AE2747" s="32">
        <v>2.2999999999999998</v>
      </c>
      <c r="AG2747" s="32" t="s">
        <v>2858</v>
      </c>
      <c r="AH2747" s="32" t="s">
        <v>2865</v>
      </c>
      <c r="AI2747" s="32" t="s">
        <v>577</v>
      </c>
      <c r="AJ2747" s="32" t="s">
        <v>1645</v>
      </c>
      <c r="AK2747" s="32" t="s">
        <v>132</v>
      </c>
      <c r="AW2747" s="32" t="s">
        <v>160</v>
      </c>
      <c r="AX2747" s="32">
        <v>2</v>
      </c>
      <c r="AZ2747" s="32" t="s">
        <v>141</v>
      </c>
      <c r="BB2747" s="32">
        <v>254</v>
      </c>
      <c r="BE2747" s="32" t="s">
        <v>2863</v>
      </c>
      <c r="BK2747" s="32">
        <v>1719</v>
      </c>
      <c r="BL2747" s="32">
        <v>2316</v>
      </c>
      <c r="BP2747" s="397"/>
      <c r="BQ2747" s="397"/>
      <c r="BU2747" s="397"/>
      <c r="BV2747" s="397"/>
      <c r="BZ2747" s="397"/>
      <c r="CA2747" s="397"/>
      <c r="CE2747" s="550"/>
      <c r="CF2747" s="550"/>
      <c r="CG2747" s="550"/>
      <c r="CH2747" s="550"/>
      <c r="JD2747" s="243"/>
    </row>
    <row r="2748" spans="1:264" s="32" customFormat="1" x14ac:dyDescent="0.25">
      <c r="A2748" s="32">
        <v>128</v>
      </c>
      <c r="B2748" s="44" t="s">
        <v>4363</v>
      </c>
      <c r="C2748" s="32" t="s">
        <v>2855</v>
      </c>
      <c r="D2748" s="32" t="s">
        <v>2856</v>
      </c>
      <c r="E2748" s="32">
        <v>2005</v>
      </c>
      <c r="F2748" s="32">
        <v>2001</v>
      </c>
      <c r="G2748" s="32" t="s">
        <v>2766</v>
      </c>
      <c r="H2748" s="32" t="s">
        <v>2861</v>
      </c>
      <c r="I2748" s="32" t="s">
        <v>2857</v>
      </c>
      <c r="J2748" s="32">
        <v>-1.58</v>
      </c>
      <c r="K2748" s="32">
        <v>30.07</v>
      </c>
      <c r="L2748" s="32">
        <v>1978</v>
      </c>
      <c r="P2748" s="32">
        <v>1345</v>
      </c>
      <c r="R2748" s="44" t="s">
        <v>1847</v>
      </c>
      <c r="S2748" s="44" t="s">
        <v>1847</v>
      </c>
      <c r="T2748" s="44"/>
      <c r="U2748" s="44" t="s">
        <v>2859</v>
      </c>
      <c r="V2748" s="44" t="s">
        <v>1379</v>
      </c>
      <c r="W2748" s="44" t="s">
        <v>1715</v>
      </c>
      <c r="X2748" s="44" t="s">
        <v>1379</v>
      </c>
      <c r="Y2748" s="44" t="s">
        <v>1379</v>
      </c>
      <c r="AA2748" s="323">
        <v>70</v>
      </c>
      <c r="AB2748" s="323">
        <v>21</v>
      </c>
      <c r="AC2748" s="32" t="s">
        <v>240</v>
      </c>
      <c r="AD2748" s="32">
        <v>5</v>
      </c>
      <c r="AE2748" s="32">
        <v>2.2999999999999998</v>
      </c>
      <c r="AG2748" s="32" t="s">
        <v>2858</v>
      </c>
      <c r="AH2748" s="32" t="s">
        <v>2865</v>
      </c>
      <c r="AI2748" s="32" t="s">
        <v>577</v>
      </c>
      <c r="AJ2748" s="32" t="s">
        <v>1645</v>
      </c>
      <c r="AK2748" s="32" t="s">
        <v>132</v>
      </c>
      <c r="AW2748" s="32" t="s">
        <v>160</v>
      </c>
      <c r="AX2748" s="32">
        <v>2</v>
      </c>
      <c r="AZ2748" s="32" t="s">
        <v>141</v>
      </c>
      <c r="BE2748" s="32" t="s">
        <v>2864</v>
      </c>
      <c r="BK2748" s="32">
        <v>1469</v>
      </c>
      <c r="BL2748" s="32">
        <v>2285</v>
      </c>
      <c r="BP2748" s="397"/>
      <c r="BQ2748" s="397"/>
      <c r="BU2748" s="397"/>
      <c r="BV2748" s="397"/>
      <c r="BZ2748" s="397"/>
      <c r="CA2748" s="397"/>
      <c r="CE2748" s="550"/>
      <c r="CF2748" s="550"/>
      <c r="CG2748" s="550"/>
      <c r="CH2748" s="550"/>
      <c r="JD2748" s="243"/>
    </row>
    <row r="2749" spans="1:264" s="105" customFormat="1" x14ac:dyDescent="0.25">
      <c r="A2749" s="105">
        <v>128</v>
      </c>
      <c r="B2749" s="44" t="s">
        <v>4363</v>
      </c>
      <c r="C2749" s="105" t="s">
        <v>2855</v>
      </c>
      <c r="D2749" s="105" t="s">
        <v>2856</v>
      </c>
      <c r="E2749" s="105">
        <v>2005</v>
      </c>
      <c r="F2749" s="105">
        <v>2000</v>
      </c>
      <c r="G2749" s="105" t="s">
        <v>2766</v>
      </c>
      <c r="H2749" s="105" t="s">
        <v>2861</v>
      </c>
      <c r="I2749" s="105" t="s">
        <v>2857</v>
      </c>
      <c r="J2749" s="105">
        <v>-1.58</v>
      </c>
      <c r="K2749" s="105">
        <v>30.07</v>
      </c>
      <c r="L2749" s="105">
        <v>1978</v>
      </c>
      <c r="P2749" s="105">
        <v>1345</v>
      </c>
      <c r="R2749" s="106" t="s">
        <v>1977</v>
      </c>
      <c r="S2749" s="106" t="s">
        <v>1847</v>
      </c>
      <c r="T2749" s="106"/>
      <c r="U2749" s="106" t="s">
        <v>2859</v>
      </c>
      <c r="V2749" s="106" t="s">
        <v>1379</v>
      </c>
      <c r="W2749" s="106" t="s">
        <v>1715</v>
      </c>
      <c r="X2749" s="106" t="s">
        <v>1379</v>
      </c>
      <c r="Y2749" s="106" t="s">
        <v>1379</v>
      </c>
      <c r="AA2749" s="354">
        <v>70</v>
      </c>
      <c r="AB2749" s="354">
        <v>21</v>
      </c>
      <c r="AC2749" s="105" t="s">
        <v>240</v>
      </c>
      <c r="AD2749" s="105">
        <v>5</v>
      </c>
      <c r="AE2749" s="105">
        <v>2.2999999999999998</v>
      </c>
      <c r="AG2749" s="105" t="s">
        <v>2858</v>
      </c>
      <c r="AH2749" s="105" t="s">
        <v>2743</v>
      </c>
      <c r="AI2749" s="105" t="s">
        <v>577</v>
      </c>
      <c r="AJ2749" s="105" t="s">
        <v>1645</v>
      </c>
      <c r="AK2749" s="105" t="s">
        <v>132</v>
      </c>
      <c r="AW2749" s="105" t="s">
        <v>160</v>
      </c>
      <c r="AX2749" s="105">
        <v>2</v>
      </c>
      <c r="AZ2749" s="105" t="s">
        <v>141</v>
      </c>
      <c r="BB2749" s="105">
        <v>206</v>
      </c>
      <c r="BE2749" s="105" t="s">
        <v>2863</v>
      </c>
      <c r="BK2749" s="105">
        <v>2141</v>
      </c>
      <c r="BL2749" s="105">
        <v>1937</v>
      </c>
      <c r="BP2749" s="429"/>
      <c r="BQ2749" s="429"/>
      <c r="BU2749" s="429"/>
      <c r="BV2749" s="429"/>
      <c r="BZ2749" s="429"/>
      <c r="CA2749" s="429"/>
      <c r="CE2749" s="582"/>
      <c r="CF2749" s="582"/>
      <c r="CG2749" s="582"/>
      <c r="CH2749" s="582"/>
      <c r="JD2749" s="499"/>
    </row>
    <row r="2750" spans="1:264" s="105" customFormat="1" x14ac:dyDescent="0.25">
      <c r="A2750" s="105">
        <v>128</v>
      </c>
      <c r="B2750" s="44" t="s">
        <v>4363</v>
      </c>
      <c r="C2750" s="105" t="s">
        <v>2855</v>
      </c>
      <c r="D2750" s="105" t="s">
        <v>2856</v>
      </c>
      <c r="E2750" s="105">
        <v>2005</v>
      </c>
      <c r="F2750" s="105">
        <v>2000</v>
      </c>
      <c r="G2750" s="105" t="s">
        <v>2766</v>
      </c>
      <c r="H2750" s="105" t="s">
        <v>2861</v>
      </c>
      <c r="I2750" s="105" t="s">
        <v>2857</v>
      </c>
      <c r="J2750" s="105">
        <v>-1.58</v>
      </c>
      <c r="K2750" s="105">
        <v>30.07</v>
      </c>
      <c r="L2750" s="105">
        <v>1978</v>
      </c>
      <c r="P2750" s="105">
        <v>1345</v>
      </c>
      <c r="R2750" s="106" t="s">
        <v>1977</v>
      </c>
      <c r="S2750" s="106" t="s">
        <v>1847</v>
      </c>
      <c r="T2750" s="106"/>
      <c r="U2750" s="106" t="s">
        <v>2859</v>
      </c>
      <c r="V2750" s="106" t="s">
        <v>1379</v>
      </c>
      <c r="W2750" s="106" t="s">
        <v>1715</v>
      </c>
      <c r="X2750" s="106" t="s">
        <v>1379</v>
      </c>
      <c r="Y2750" s="106" t="s">
        <v>1379</v>
      </c>
      <c r="AA2750" s="354">
        <v>70</v>
      </c>
      <c r="AB2750" s="354">
        <v>21</v>
      </c>
      <c r="AC2750" s="105" t="s">
        <v>240</v>
      </c>
      <c r="AD2750" s="105">
        <v>5</v>
      </c>
      <c r="AE2750" s="105">
        <v>2.2999999999999998</v>
      </c>
      <c r="AG2750" s="105" t="s">
        <v>2858</v>
      </c>
      <c r="AH2750" s="105" t="s">
        <v>2743</v>
      </c>
      <c r="AI2750" s="105" t="s">
        <v>577</v>
      </c>
      <c r="AJ2750" s="105" t="s">
        <v>1645</v>
      </c>
      <c r="AK2750" s="105" t="s">
        <v>132</v>
      </c>
      <c r="AW2750" s="105" t="s">
        <v>160</v>
      </c>
      <c r="AX2750" s="105">
        <v>2</v>
      </c>
      <c r="AZ2750" s="105" t="s">
        <v>141</v>
      </c>
      <c r="BB2750" s="105">
        <v>259</v>
      </c>
      <c r="BE2750" s="105" t="s">
        <v>2864</v>
      </c>
      <c r="BK2750" s="105">
        <v>2585</v>
      </c>
      <c r="BL2750" s="105">
        <v>2473</v>
      </c>
      <c r="BP2750" s="429"/>
      <c r="BQ2750" s="429"/>
      <c r="BU2750" s="429"/>
      <c r="BV2750" s="429"/>
      <c r="BZ2750" s="429"/>
      <c r="CA2750" s="429"/>
      <c r="CE2750" s="582"/>
      <c r="CF2750" s="582"/>
      <c r="CG2750" s="582"/>
      <c r="CH2750" s="582"/>
      <c r="JD2750" s="499"/>
    </row>
    <row r="2751" spans="1:264" s="105" customFormat="1" x14ac:dyDescent="0.25">
      <c r="A2751" s="105">
        <v>128</v>
      </c>
      <c r="B2751" s="44" t="s">
        <v>4363</v>
      </c>
      <c r="C2751" s="105" t="s">
        <v>2855</v>
      </c>
      <c r="D2751" s="105" t="s">
        <v>2856</v>
      </c>
      <c r="E2751" s="105">
        <v>2005</v>
      </c>
      <c r="F2751" s="105">
        <v>2001</v>
      </c>
      <c r="G2751" s="105" t="s">
        <v>2766</v>
      </c>
      <c r="H2751" s="105" t="s">
        <v>2861</v>
      </c>
      <c r="I2751" s="105" t="s">
        <v>2857</v>
      </c>
      <c r="J2751" s="105">
        <v>-1.58</v>
      </c>
      <c r="K2751" s="105">
        <v>30.07</v>
      </c>
      <c r="L2751" s="105">
        <v>1978</v>
      </c>
      <c r="P2751" s="105">
        <v>1345</v>
      </c>
      <c r="R2751" s="106" t="s">
        <v>1847</v>
      </c>
      <c r="S2751" s="106" t="s">
        <v>1847</v>
      </c>
      <c r="T2751" s="106"/>
      <c r="U2751" s="106" t="s">
        <v>2859</v>
      </c>
      <c r="V2751" s="106" t="s">
        <v>1379</v>
      </c>
      <c r="W2751" s="106" t="s">
        <v>1715</v>
      </c>
      <c r="X2751" s="106" t="s">
        <v>1379</v>
      </c>
      <c r="Y2751" s="106" t="s">
        <v>1379</v>
      </c>
      <c r="AA2751" s="354">
        <v>70</v>
      </c>
      <c r="AB2751" s="354">
        <v>21</v>
      </c>
      <c r="AC2751" s="105" t="s">
        <v>240</v>
      </c>
      <c r="AD2751" s="105">
        <v>5</v>
      </c>
      <c r="AE2751" s="105">
        <v>2.2999999999999998</v>
      </c>
      <c r="AG2751" s="105" t="s">
        <v>2858</v>
      </c>
      <c r="AH2751" s="105" t="s">
        <v>2743</v>
      </c>
      <c r="AI2751" s="105" t="s">
        <v>577</v>
      </c>
      <c r="AJ2751" s="105" t="s">
        <v>1645</v>
      </c>
      <c r="AK2751" s="105" t="s">
        <v>132</v>
      </c>
      <c r="AW2751" s="105" t="s">
        <v>160</v>
      </c>
      <c r="AX2751" s="105">
        <v>2</v>
      </c>
      <c r="AZ2751" s="105" t="s">
        <v>141</v>
      </c>
      <c r="BB2751" s="105">
        <v>416</v>
      </c>
      <c r="BE2751" s="105" t="s">
        <v>2863</v>
      </c>
      <c r="BK2751" s="105">
        <v>1719</v>
      </c>
      <c r="BL2751" s="105">
        <v>1601</v>
      </c>
      <c r="BP2751" s="429"/>
      <c r="BQ2751" s="429"/>
      <c r="BU2751" s="429"/>
      <c r="BV2751" s="429"/>
      <c r="BZ2751" s="429"/>
      <c r="CA2751" s="429"/>
      <c r="CE2751" s="582"/>
      <c r="CF2751" s="582"/>
      <c r="CG2751" s="582"/>
      <c r="CH2751" s="582"/>
      <c r="JD2751" s="499"/>
    </row>
    <row r="2752" spans="1:264" s="105" customFormat="1" x14ac:dyDescent="0.25">
      <c r="A2752" s="105">
        <v>128</v>
      </c>
      <c r="B2752" s="44" t="s">
        <v>4363</v>
      </c>
      <c r="C2752" s="105" t="s">
        <v>2855</v>
      </c>
      <c r="D2752" s="105" t="s">
        <v>2856</v>
      </c>
      <c r="E2752" s="105">
        <v>2005</v>
      </c>
      <c r="F2752" s="105">
        <v>2001</v>
      </c>
      <c r="G2752" s="105" t="s">
        <v>2766</v>
      </c>
      <c r="H2752" s="105" t="s">
        <v>2861</v>
      </c>
      <c r="I2752" s="105" t="s">
        <v>2857</v>
      </c>
      <c r="J2752" s="105">
        <v>-1.58</v>
      </c>
      <c r="K2752" s="105">
        <v>30.07</v>
      </c>
      <c r="L2752" s="105">
        <v>1978</v>
      </c>
      <c r="P2752" s="105">
        <v>1345</v>
      </c>
      <c r="R2752" s="106" t="s">
        <v>1847</v>
      </c>
      <c r="S2752" s="106" t="s">
        <v>1847</v>
      </c>
      <c r="T2752" s="106"/>
      <c r="U2752" s="106" t="s">
        <v>2859</v>
      </c>
      <c r="V2752" s="106" t="s">
        <v>1379</v>
      </c>
      <c r="W2752" s="106" t="s">
        <v>1715</v>
      </c>
      <c r="X2752" s="106" t="s">
        <v>1379</v>
      </c>
      <c r="Y2752" s="106" t="s">
        <v>1379</v>
      </c>
      <c r="AA2752" s="354">
        <v>70</v>
      </c>
      <c r="AB2752" s="354">
        <v>21</v>
      </c>
      <c r="AC2752" s="105" t="s">
        <v>240</v>
      </c>
      <c r="AD2752" s="105">
        <v>5</v>
      </c>
      <c r="AE2752" s="105">
        <v>2.2999999999999998</v>
      </c>
      <c r="AG2752" s="105" t="s">
        <v>2858</v>
      </c>
      <c r="AH2752" s="105" t="s">
        <v>2743</v>
      </c>
      <c r="AI2752" s="105" t="s">
        <v>577</v>
      </c>
      <c r="AJ2752" s="105" t="s">
        <v>1645</v>
      </c>
      <c r="AK2752" s="105" t="s">
        <v>132</v>
      </c>
      <c r="AW2752" s="105" t="s">
        <v>160</v>
      </c>
      <c r="AX2752" s="105">
        <v>2</v>
      </c>
      <c r="AZ2752" s="105" t="s">
        <v>141</v>
      </c>
      <c r="BE2752" s="105" t="s">
        <v>2864</v>
      </c>
      <c r="BK2752" s="105">
        <v>1469</v>
      </c>
      <c r="BL2752" s="105">
        <v>1259</v>
      </c>
      <c r="BP2752" s="429"/>
      <c r="BQ2752" s="429"/>
      <c r="BU2752" s="429"/>
      <c r="BV2752" s="429"/>
      <c r="BZ2752" s="429"/>
      <c r="CA2752" s="429"/>
      <c r="CE2752" s="582"/>
      <c r="CF2752" s="582"/>
      <c r="CG2752" s="582"/>
      <c r="CH2752" s="582"/>
      <c r="JD2752" s="499"/>
    </row>
    <row r="2753" spans="1:264" s="24" customFormat="1" x14ac:dyDescent="0.25">
      <c r="A2753" s="24">
        <v>128</v>
      </c>
      <c r="B2753" s="42" t="s">
        <v>4364</v>
      </c>
      <c r="C2753" s="24" t="s">
        <v>2855</v>
      </c>
      <c r="D2753" s="24" t="s">
        <v>2856</v>
      </c>
      <c r="E2753" s="24">
        <v>2005</v>
      </c>
      <c r="F2753" s="24">
        <v>2000</v>
      </c>
      <c r="G2753" s="24" t="s">
        <v>2766</v>
      </c>
      <c r="H2753" s="24" t="s">
        <v>2862</v>
      </c>
      <c r="I2753" s="24" t="s">
        <v>2857</v>
      </c>
      <c r="J2753" s="24">
        <v>-1.95</v>
      </c>
      <c r="K2753" s="24">
        <v>30.09</v>
      </c>
      <c r="L2753" s="24">
        <v>1165.3</v>
      </c>
      <c r="P2753" s="24">
        <v>1357</v>
      </c>
      <c r="R2753" s="42" t="s">
        <v>1977</v>
      </c>
      <c r="S2753" s="42" t="s">
        <v>1847</v>
      </c>
      <c r="T2753" s="42"/>
      <c r="U2753" s="42" t="s">
        <v>2859</v>
      </c>
      <c r="V2753" s="42" t="s">
        <v>1379</v>
      </c>
      <c r="W2753" s="42" t="s">
        <v>1715</v>
      </c>
      <c r="X2753" s="42" t="s">
        <v>1379</v>
      </c>
      <c r="Y2753" s="42" t="s">
        <v>1379</v>
      </c>
      <c r="AA2753" s="321">
        <v>67</v>
      </c>
      <c r="AB2753" s="321">
        <v>24</v>
      </c>
      <c r="AC2753" s="24" t="s">
        <v>240</v>
      </c>
      <c r="AD2753" s="24">
        <v>5.5</v>
      </c>
      <c r="AE2753" s="24">
        <v>2.6</v>
      </c>
      <c r="AG2753" s="24" t="s">
        <v>2858</v>
      </c>
      <c r="AH2753" s="24" t="s">
        <v>2742</v>
      </c>
      <c r="AI2753" s="24" t="s">
        <v>577</v>
      </c>
      <c r="AJ2753" s="24" t="s">
        <v>1645</v>
      </c>
      <c r="AK2753" s="24" t="s">
        <v>132</v>
      </c>
      <c r="AW2753" s="24" t="s">
        <v>160</v>
      </c>
      <c r="AX2753" s="24">
        <v>2</v>
      </c>
      <c r="AZ2753" s="24" t="s">
        <v>141</v>
      </c>
      <c r="BB2753" s="24">
        <v>2183</v>
      </c>
      <c r="BE2753" s="24" t="s">
        <v>2863</v>
      </c>
      <c r="BK2753" s="24">
        <v>1996</v>
      </c>
      <c r="BL2753" s="24">
        <v>1542</v>
      </c>
      <c r="BP2753" s="395"/>
      <c r="BQ2753" s="395"/>
      <c r="BU2753" s="395"/>
      <c r="BV2753" s="395"/>
      <c r="BZ2753" s="395"/>
      <c r="CA2753" s="395"/>
      <c r="CE2753" s="548"/>
      <c r="CF2753" s="548"/>
      <c r="CG2753" s="548"/>
      <c r="CH2753" s="548"/>
      <c r="JD2753" s="249"/>
    </row>
    <row r="2754" spans="1:264" s="24" customFormat="1" x14ac:dyDescent="0.25">
      <c r="A2754" s="24">
        <v>128</v>
      </c>
      <c r="B2754" s="42" t="s">
        <v>4364</v>
      </c>
      <c r="C2754" s="24" t="s">
        <v>2855</v>
      </c>
      <c r="D2754" s="24" t="s">
        <v>2856</v>
      </c>
      <c r="E2754" s="24">
        <v>2005</v>
      </c>
      <c r="F2754" s="24">
        <v>2000</v>
      </c>
      <c r="G2754" s="24" t="s">
        <v>2766</v>
      </c>
      <c r="H2754" s="24" t="s">
        <v>2862</v>
      </c>
      <c r="I2754" s="24" t="s">
        <v>2857</v>
      </c>
      <c r="J2754" s="24">
        <v>-1.95</v>
      </c>
      <c r="K2754" s="24">
        <v>30.09</v>
      </c>
      <c r="L2754" s="24">
        <v>1165.3</v>
      </c>
      <c r="P2754" s="24">
        <v>1357</v>
      </c>
      <c r="R2754" s="42" t="s">
        <v>1977</v>
      </c>
      <c r="S2754" s="42" t="s">
        <v>1847</v>
      </c>
      <c r="T2754" s="42"/>
      <c r="U2754" s="42" t="s">
        <v>2859</v>
      </c>
      <c r="V2754" s="42" t="s">
        <v>1379</v>
      </c>
      <c r="W2754" s="42" t="s">
        <v>1715</v>
      </c>
      <c r="X2754" s="42" t="s">
        <v>1379</v>
      </c>
      <c r="Y2754" s="42" t="s">
        <v>1379</v>
      </c>
      <c r="AA2754" s="321">
        <v>67</v>
      </c>
      <c r="AB2754" s="321">
        <v>24</v>
      </c>
      <c r="AC2754" s="24" t="s">
        <v>240</v>
      </c>
      <c r="AD2754" s="24">
        <v>5.5</v>
      </c>
      <c r="AE2754" s="24">
        <v>2.6</v>
      </c>
      <c r="AG2754" s="24" t="s">
        <v>2858</v>
      </c>
      <c r="AH2754" s="24" t="s">
        <v>2742</v>
      </c>
      <c r="AI2754" s="24" t="s">
        <v>577</v>
      </c>
      <c r="AJ2754" s="24" t="s">
        <v>1645</v>
      </c>
      <c r="AK2754" s="24" t="s">
        <v>132</v>
      </c>
      <c r="AW2754" s="24" t="s">
        <v>160</v>
      </c>
      <c r="AX2754" s="24">
        <v>2</v>
      </c>
      <c r="AZ2754" s="24" t="s">
        <v>141</v>
      </c>
      <c r="BB2754" s="24">
        <v>6029</v>
      </c>
      <c r="BE2754" s="24" t="s">
        <v>2864</v>
      </c>
      <c r="BK2754" s="24">
        <v>2201</v>
      </c>
      <c r="BL2754" s="24">
        <v>2498</v>
      </c>
      <c r="BP2754" s="395"/>
      <c r="BQ2754" s="395"/>
      <c r="BU2754" s="395"/>
      <c r="BV2754" s="395"/>
      <c r="BZ2754" s="395"/>
      <c r="CA2754" s="395"/>
      <c r="CE2754" s="548"/>
      <c r="CF2754" s="548"/>
      <c r="CG2754" s="548"/>
      <c r="CH2754" s="548"/>
      <c r="JD2754" s="249"/>
    </row>
    <row r="2755" spans="1:264" s="24" customFormat="1" x14ac:dyDescent="0.25">
      <c r="A2755" s="24">
        <v>128</v>
      </c>
      <c r="B2755" s="42" t="s">
        <v>4364</v>
      </c>
      <c r="C2755" s="24" t="s">
        <v>2855</v>
      </c>
      <c r="D2755" s="24" t="s">
        <v>2856</v>
      </c>
      <c r="E2755" s="24">
        <v>2005</v>
      </c>
      <c r="F2755" s="24">
        <v>2001</v>
      </c>
      <c r="G2755" s="24" t="s">
        <v>2766</v>
      </c>
      <c r="H2755" s="24" t="s">
        <v>2862</v>
      </c>
      <c r="I2755" s="24" t="s">
        <v>2857</v>
      </c>
      <c r="J2755" s="24">
        <v>-1.95</v>
      </c>
      <c r="K2755" s="24">
        <v>30.09</v>
      </c>
      <c r="L2755" s="24">
        <v>1165.3</v>
      </c>
      <c r="P2755" s="24">
        <v>1357</v>
      </c>
      <c r="R2755" s="42" t="s">
        <v>1847</v>
      </c>
      <c r="S2755" s="42" t="s">
        <v>1847</v>
      </c>
      <c r="T2755" s="42"/>
      <c r="U2755" s="42" t="s">
        <v>2859</v>
      </c>
      <c r="V2755" s="42" t="s">
        <v>1379</v>
      </c>
      <c r="W2755" s="42" t="s">
        <v>1715</v>
      </c>
      <c r="X2755" s="42" t="s">
        <v>1379</v>
      </c>
      <c r="Y2755" s="42" t="s">
        <v>1379</v>
      </c>
      <c r="AA2755" s="321">
        <v>67</v>
      </c>
      <c r="AB2755" s="321">
        <v>24</v>
      </c>
      <c r="AC2755" s="24" t="s">
        <v>240</v>
      </c>
      <c r="AD2755" s="24">
        <v>5.5</v>
      </c>
      <c r="AE2755" s="24">
        <v>2.6</v>
      </c>
      <c r="AG2755" s="24" t="s">
        <v>2858</v>
      </c>
      <c r="AH2755" s="24" t="s">
        <v>2742</v>
      </c>
      <c r="AI2755" s="24" t="s">
        <v>577</v>
      </c>
      <c r="AJ2755" s="24" t="s">
        <v>1645</v>
      </c>
      <c r="AK2755" s="24" t="s">
        <v>132</v>
      </c>
      <c r="AW2755" s="24" t="s">
        <v>160</v>
      </c>
      <c r="AX2755" s="24">
        <v>2</v>
      </c>
      <c r="AZ2755" s="24" t="s">
        <v>141</v>
      </c>
      <c r="BB2755" s="24">
        <v>1288</v>
      </c>
      <c r="BE2755" s="24" t="s">
        <v>2863</v>
      </c>
      <c r="BK2755" s="24">
        <v>2050</v>
      </c>
      <c r="BL2755" s="24">
        <v>2216</v>
      </c>
      <c r="BP2755" s="395"/>
      <c r="BQ2755" s="395"/>
      <c r="BU2755" s="395"/>
      <c r="BV2755" s="395"/>
      <c r="BZ2755" s="395"/>
      <c r="CA2755" s="395"/>
      <c r="CE2755" s="548"/>
      <c r="CF2755" s="548"/>
      <c r="CG2755" s="548"/>
      <c r="CH2755" s="548"/>
      <c r="JD2755" s="249"/>
    </row>
    <row r="2756" spans="1:264" s="24" customFormat="1" x14ac:dyDescent="0.25">
      <c r="A2756" s="24">
        <v>128</v>
      </c>
      <c r="B2756" s="42" t="s">
        <v>4364</v>
      </c>
      <c r="C2756" s="24" t="s">
        <v>2855</v>
      </c>
      <c r="D2756" s="24" t="s">
        <v>2856</v>
      </c>
      <c r="E2756" s="24">
        <v>2005</v>
      </c>
      <c r="F2756" s="24">
        <v>2001</v>
      </c>
      <c r="G2756" s="24" t="s">
        <v>2766</v>
      </c>
      <c r="H2756" s="24" t="s">
        <v>2862</v>
      </c>
      <c r="I2756" s="24" t="s">
        <v>2857</v>
      </c>
      <c r="J2756" s="24">
        <v>-1.95</v>
      </c>
      <c r="K2756" s="24">
        <v>30.09</v>
      </c>
      <c r="L2756" s="24">
        <v>1165.3</v>
      </c>
      <c r="P2756" s="24">
        <v>1357</v>
      </c>
      <c r="R2756" s="42" t="s">
        <v>1847</v>
      </c>
      <c r="S2756" s="42" t="s">
        <v>1847</v>
      </c>
      <c r="T2756" s="42"/>
      <c r="U2756" s="42" t="s">
        <v>2859</v>
      </c>
      <c r="V2756" s="42" t="s">
        <v>1379</v>
      </c>
      <c r="W2756" s="42" t="s">
        <v>1715</v>
      </c>
      <c r="X2756" s="42" t="s">
        <v>1379</v>
      </c>
      <c r="Y2756" s="42" t="s">
        <v>1379</v>
      </c>
      <c r="AA2756" s="321">
        <v>67</v>
      </c>
      <c r="AB2756" s="321">
        <v>24</v>
      </c>
      <c r="AC2756" s="24" t="s">
        <v>240</v>
      </c>
      <c r="AD2756" s="24">
        <v>5.5</v>
      </c>
      <c r="AE2756" s="24">
        <v>2.6</v>
      </c>
      <c r="AG2756" s="24" t="s">
        <v>2858</v>
      </c>
      <c r="AH2756" s="24" t="s">
        <v>2742</v>
      </c>
      <c r="AI2756" s="24" t="s">
        <v>577</v>
      </c>
      <c r="AJ2756" s="24" t="s">
        <v>1645</v>
      </c>
      <c r="AK2756" s="24" t="s">
        <v>132</v>
      </c>
      <c r="AW2756" s="24" t="s">
        <v>160</v>
      </c>
      <c r="AX2756" s="24">
        <v>2</v>
      </c>
      <c r="AZ2756" s="24" t="s">
        <v>141</v>
      </c>
      <c r="BE2756" s="24" t="s">
        <v>2864</v>
      </c>
      <c r="BK2756" s="24">
        <v>2257</v>
      </c>
      <c r="BL2756" s="24">
        <v>2549</v>
      </c>
      <c r="BP2756" s="395"/>
      <c r="BQ2756" s="395"/>
      <c r="BU2756" s="395"/>
      <c r="BV2756" s="395"/>
      <c r="BZ2756" s="395"/>
      <c r="CA2756" s="395"/>
      <c r="CE2756" s="548"/>
      <c r="CF2756" s="548"/>
      <c r="CG2756" s="548"/>
      <c r="CH2756" s="548"/>
      <c r="JD2756" s="249"/>
    </row>
    <row r="2757" spans="1:264" s="101" customFormat="1" x14ac:dyDescent="0.25">
      <c r="A2757" s="101">
        <v>128</v>
      </c>
      <c r="B2757" s="42" t="s">
        <v>4364</v>
      </c>
      <c r="C2757" s="101" t="s">
        <v>2855</v>
      </c>
      <c r="D2757" s="101" t="s">
        <v>2856</v>
      </c>
      <c r="E2757" s="101">
        <v>2005</v>
      </c>
      <c r="F2757" s="101">
        <v>2000</v>
      </c>
      <c r="G2757" s="101" t="s">
        <v>2766</v>
      </c>
      <c r="H2757" s="101" t="s">
        <v>2862</v>
      </c>
      <c r="I2757" s="101" t="s">
        <v>2857</v>
      </c>
      <c r="J2757" s="101">
        <v>-1.95</v>
      </c>
      <c r="K2757" s="101">
        <v>30.09</v>
      </c>
      <c r="L2757" s="101">
        <v>1165.3</v>
      </c>
      <c r="P2757" s="101">
        <v>1357</v>
      </c>
      <c r="R2757" s="102" t="s">
        <v>1977</v>
      </c>
      <c r="S2757" s="102" t="s">
        <v>1847</v>
      </c>
      <c r="T2757" s="102"/>
      <c r="U2757" s="102" t="s">
        <v>2859</v>
      </c>
      <c r="V2757" s="102" t="s">
        <v>1379</v>
      </c>
      <c r="W2757" s="102" t="s">
        <v>1715</v>
      </c>
      <c r="X2757" s="102" t="s">
        <v>1379</v>
      </c>
      <c r="Y2757" s="102" t="s">
        <v>1379</v>
      </c>
      <c r="AA2757" s="352">
        <v>67</v>
      </c>
      <c r="AB2757" s="352">
        <v>24</v>
      </c>
      <c r="AC2757" s="101" t="s">
        <v>240</v>
      </c>
      <c r="AD2757" s="101">
        <v>5.5</v>
      </c>
      <c r="AE2757" s="101">
        <v>2.6</v>
      </c>
      <c r="AG2757" s="101" t="s">
        <v>2858</v>
      </c>
      <c r="AH2757" s="101" t="s">
        <v>2744</v>
      </c>
      <c r="AI2757" s="101" t="s">
        <v>577</v>
      </c>
      <c r="AJ2757" s="101" t="s">
        <v>1645</v>
      </c>
      <c r="AK2757" s="101" t="s">
        <v>132</v>
      </c>
      <c r="AW2757" s="101" t="s">
        <v>160</v>
      </c>
      <c r="AX2757" s="101">
        <v>2</v>
      </c>
      <c r="AZ2757" s="101" t="s">
        <v>141</v>
      </c>
      <c r="BB2757" s="101">
        <v>1202</v>
      </c>
      <c r="BE2757" s="101" t="s">
        <v>2863</v>
      </c>
      <c r="BK2757" s="101">
        <v>1996</v>
      </c>
      <c r="BL2757" s="101">
        <v>1806</v>
      </c>
      <c r="BP2757" s="427"/>
      <c r="BQ2757" s="427"/>
      <c r="BU2757" s="427"/>
      <c r="BV2757" s="427"/>
      <c r="BZ2757" s="427"/>
      <c r="CA2757" s="427"/>
      <c r="CE2757" s="580"/>
      <c r="CF2757" s="580"/>
      <c r="CG2757" s="580"/>
      <c r="CH2757" s="580"/>
      <c r="JD2757" s="177"/>
    </row>
    <row r="2758" spans="1:264" s="101" customFormat="1" x14ac:dyDescent="0.25">
      <c r="A2758" s="101">
        <v>128</v>
      </c>
      <c r="B2758" s="42" t="s">
        <v>4364</v>
      </c>
      <c r="C2758" s="101" t="s">
        <v>2855</v>
      </c>
      <c r="D2758" s="101" t="s">
        <v>2856</v>
      </c>
      <c r="E2758" s="101">
        <v>2005</v>
      </c>
      <c r="F2758" s="101">
        <v>2000</v>
      </c>
      <c r="G2758" s="101" t="s">
        <v>2766</v>
      </c>
      <c r="H2758" s="101" t="s">
        <v>2862</v>
      </c>
      <c r="I2758" s="101" t="s">
        <v>2857</v>
      </c>
      <c r="J2758" s="101">
        <v>-1.95</v>
      </c>
      <c r="K2758" s="101">
        <v>30.09</v>
      </c>
      <c r="L2758" s="101">
        <v>1165.3</v>
      </c>
      <c r="P2758" s="101">
        <v>1357</v>
      </c>
      <c r="R2758" s="102" t="s">
        <v>1977</v>
      </c>
      <c r="S2758" s="102" t="s">
        <v>1847</v>
      </c>
      <c r="T2758" s="102"/>
      <c r="U2758" s="102" t="s">
        <v>2859</v>
      </c>
      <c r="V2758" s="102" t="s">
        <v>1379</v>
      </c>
      <c r="W2758" s="102" t="s">
        <v>1715</v>
      </c>
      <c r="X2758" s="102" t="s">
        <v>1379</v>
      </c>
      <c r="Y2758" s="102" t="s">
        <v>1379</v>
      </c>
      <c r="AA2758" s="352">
        <v>67</v>
      </c>
      <c r="AB2758" s="352">
        <v>24</v>
      </c>
      <c r="AC2758" s="101" t="s">
        <v>240</v>
      </c>
      <c r="AD2758" s="101">
        <v>5.5</v>
      </c>
      <c r="AE2758" s="101">
        <v>2.6</v>
      </c>
      <c r="AG2758" s="101" t="s">
        <v>2858</v>
      </c>
      <c r="AH2758" s="101" t="s">
        <v>2744</v>
      </c>
      <c r="AI2758" s="101" t="s">
        <v>577</v>
      </c>
      <c r="AJ2758" s="101" t="s">
        <v>1645</v>
      </c>
      <c r="AK2758" s="101" t="s">
        <v>132</v>
      </c>
      <c r="AW2758" s="101" t="s">
        <v>160</v>
      </c>
      <c r="AX2758" s="101">
        <v>2</v>
      </c>
      <c r="AZ2758" s="101" t="s">
        <v>141</v>
      </c>
      <c r="BB2758" s="101">
        <v>3027</v>
      </c>
      <c r="BE2758" s="101" t="s">
        <v>2864</v>
      </c>
      <c r="BK2758" s="101">
        <v>2201</v>
      </c>
      <c r="BL2758" s="101">
        <v>2531</v>
      </c>
      <c r="BP2758" s="427"/>
      <c r="BQ2758" s="427"/>
      <c r="BU2758" s="427"/>
      <c r="BV2758" s="427"/>
      <c r="BZ2758" s="427"/>
      <c r="CA2758" s="427"/>
      <c r="CE2758" s="580"/>
      <c r="CF2758" s="580"/>
      <c r="CG2758" s="580"/>
      <c r="CH2758" s="580"/>
      <c r="JD2758" s="177"/>
    </row>
    <row r="2759" spans="1:264" s="101" customFormat="1" x14ac:dyDescent="0.25">
      <c r="A2759" s="101">
        <v>128</v>
      </c>
      <c r="B2759" s="42" t="s">
        <v>4364</v>
      </c>
      <c r="C2759" s="101" t="s">
        <v>2855</v>
      </c>
      <c r="D2759" s="101" t="s">
        <v>2856</v>
      </c>
      <c r="E2759" s="101">
        <v>2005</v>
      </c>
      <c r="F2759" s="101">
        <v>2001</v>
      </c>
      <c r="G2759" s="101" t="s">
        <v>2766</v>
      </c>
      <c r="H2759" s="101" t="s">
        <v>2862</v>
      </c>
      <c r="I2759" s="101" t="s">
        <v>2857</v>
      </c>
      <c r="J2759" s="101">
        <v>-1.95</v>
      </c>
      <c r="K2759" s="101">
        <v>30.09</v>
      </c>
      <c r="L2759" s="101">
        <v>1165.3</v>
      </c>
      <c r="P2759" s="101">
        <v>1357</v>
      </c>
      <c r="R2759" s="102" t="s">
        <v>1847</v>
      </c>
      <c r="S2759" s="102" t="s">
        <v>1847</v>
      </c>
      <c r="T2759" s="102"/>
      <c r="U2759" s="102" t="s">
        <v>2859</v>
      </c>
      <c r="V2759" s="102" t="s">
        <v>1379</v>
      </c>
      <c r="W2759" s="102" t="s">
        <v>1715</v>
      </c>
      <c r="X2759" s="102" t="s">
        <v>1379</v>
      </c>
      <c r="Y2759" s="102" t="s">
        <v>1379</v>
      </c>
      <c r="AA2759" s="352">
        <v>67</v>
      </c>
      <c r="AB2759" s="352">
        <v>24</v>
      </c>
      <c r="AC2759" s="101" t="s">
        <v>240</v>
      </c>
      <c r="AD2759" s="101">
        <v>5.5</v>
      </c>
      <c r="AE2759" s="101">
        <v>2.6</v>
      </c>
      <c r="AG2759" s="101" t="s">
        <v>2858</v>
      </c>
      <c r="AH2759" s="101" t="s">
        <v>2744</v>
      </c>
      <c r="AI2759" s="101" t="s">
        <v>577</v>
      </c>
      <c r="AJ2759" s="101" t="s">
        <v>1645</v>
      </c>
      <c r="AK2759" s="101" t="s">
        <v>132</v>
      </c>
      <c r="AW2759" s="101" t="s">
        <v>160</v>
      </c>
      <c r="AX2759" s="101">
        <v>2</v>
      </c>
      <c r="AZ2759" s="101" t="s">
        <v>141</v>
      </c>
      <c r="BB2759" s="101">
        <v>1423</v>
      </c>
      <c r="BE2759" s="101" t="s">
        <v>2863</v>
      </c>
      <c r="BK2759" s="101">
        <v>2050</v>
      </c>
      <c r="BL2759" s="101">
        <v>2145</v>
      </c>
      <c r="BP2759" s="427"/>
      <c r="BQ2759" s="427"/>
      <c r="BU2759" s="427"/>
      <c r="BV2759" s="427"/>
      <c r="BZ2759" s="427"/>
      <c r="CA2759" s="427"/>
      <c r="CE2759" s="580"/>
      <c r="CF2759" s="580"/>
      <c r="CG2759" s="580"/>
      <c r="CH2759" s="580"/>
      <c r="JD2759" s="177"/>
    </row>
    <row r="2760" spans="1:264" s="101" customFormat="1" x14ac:dyDescent="0.25">
      <c r="A2760" s="101">
        <v>128</v>
      </c>
      <c r="B2760" s="42" t="s">
        <v>4364</v>
      </c>
      <c r="C2760" s="101" t="s">
        <v>2855</v>
      </c>
      <c r="D2760" s="101" t="s">
        <v>2856</v>
      </c>
      <c r="E2760" s="101">
        <v>2005</v>
      </c>
      <c r="F2760" s="101">
        <v>2001</v>
      </c>
      <c r="G2760" s="101" t="s">
        <v>2766</v>
      </c>
      <c r="H2760" s="101" t="s">
        <v>2862</v>
      </c>
      <c r="I2760" s="101" t="s">
        <v>2857</v>
      </c>
      <c r="J2760" s="101">
        <v>-1.95</v>
      </c>
      <c r="K2760" s="101">
        <v>30.09</v>
      </c>
      <c r="L2760" s="101">
        <v>1165.3</v>
      </c>
      <c r="P2760" s="101">
        <v>1357</v>
      </c>
      <c r="R2760" s="102" t="s">
        <v>1847</v>
      </c>
      <c r="S2760" s="102" t="s">
        <v>1847</v>
      </c>
      <c r="T2760" s="102"/>
      <c r="U2760" s="102" t="s">
        <v>2859</v>
      </c>
      <c r="V2760" s="102" t="s">
        <v>1379</v>
      </c>
      <c r="W2760" s="102" t="s">
        <v>1715</v>
      </c>
      <c r="X2760" s="102" t="s">
        <v>1379</v>
      </c>
      <c r="Y2760" s="102" t="s">
        <v>1379</v>
      </c>
      <c r="AA2760" s="352">
        <v>67</v>
      </c>
      <c r="AB2760" s="352">
        <v>24</v>
      </c>
      <c r="AC2760" s="101" t="s">
        <v>240</v>
      </c>
      <c r="AD2760" s="101">
        <v>5.5</v>
      </c>
      <c r="AE2760" s="101">
        <v>2.6</v>
      </c>
      <c r="AG2760" s="101" t="s">
        <v>2858</v>
      </c>
      <c r="AH2760" s="101" t="s">
        <v>2744</v>
      </c>
      <c r="AI2760" s="101" t="s">
        <v>577</v>
      </c>
      <c r="AJ2760" s="101" t="s">
        <v>1645</v>
      </c>
      <c r="AK2760" s="101" t="s">
        <v>132</v>
      </c>
      <c r="AW2760" s="101" t="s">
        <v>160</v>
      </c>
      <c r="AX2760" s="101">
        <v>2</v>
      </c>
      <c r="AZ2760" s="101" t="s">
        <v>141</v>
      </c>
      <c r="BE2760" s="101" t="s">
        <v>2864</v>
      </c>
      <c r="BK2760" s="101">
        <v>2257</v>
      </c>
      <c r="BL2760" s="101">
        <v>2338</v>
      </c>
      <c r="BP2760" s="427"/>
      <c r="BQ2760" s="427"/>
      <c r="BU2760" s="427"/>
      <c r="BV2760" s="427"/>
      <c r="BZ2760" s="427"/>
      <c r="CA2760" s="427"/>
      <c r="CE2760" s="580"/>
      <c r="CF2760" s="580"/>
      <c r="CG2760" s="580"/>
      <c r="CH2760" s="580"/>
      <c r="JD2760" s="177"/>
    </row>
    <row r="2761" spans="1:264" s="24" customFormat="1" x14ac:dyDescent="0.25">
      <c r="A2761" s="24">
        <v>128</v>
      </c>
      <c r="B2761" s="42" t="s">
        <v>4364</v>
      </c>
      <c r="C2761" s="24" t="s">
        <v>2855</v>
      </c>
      <c r="D2761" s="24" t="s">
        <v>2856</v>
      </c>
      <c r="E2761" s="24">
        <v>2005</v>
      </c>
      <c r="F2761" s="24">
        <v>2000</v>
      </c>
      <c r="G2761" s="24" t="s">
        <v>2766</v>
      </c>
      <c r="H2761" s="24" t="s">
        <v>2862</v>
      </c>
      <c r="I2761" s="24" t="s">
        <v>2857</v>
      </c>
      <c r="J2761" s="24">
        <v>-1.95</v>
      </c>
      <c r="K2761" s="24">
        <v>30.09</v>
      </c>
      <c r="L2761" s="24">
        <v>1165.3</v>
      </c>
      <c r="P2761" s="24">
        <v>1357</v>
      </c>
      <c r="R2761" s="42" t="s">
        <v>1977</v>
      </c>
      <c r="S2761" s="42" t="s">
        <v>1847</v>
      </c>
      <c r="T2761" s="42"/>
      <c r="U2761" s="42" t="s">
        <v>2859</v>
      </c>
      <c r="V2761" s="42" t="s">
        <v>1379</v>
      </c>
      <c r="W2761" s="42" t="s">
        <v>1715</v>
      </c>
      <c r="X2761" s="42" t="s">
        <v>1379</v>
      </c>
      <c r="Y2761" s="42" t="s">
        <v>1379</v>
      </c>
      <c r="AA2761" s="321">
        <v>67</v>
      </c>
      <c r="AB2761" s="321">
        <v>24</v>
      </c>
      <c r="AC2761" s="24" t="s">
        <v>240</v>
      </c>
      <c r="AD2761" s="24">
        <v>5.5</v>
      </c>
      <c r="AE2761" s="24">
        <v>2.6</v>
      </c>
      <c r="AG2761" s="24" t="s">
        <v>2858</v>
      </c>
      <c r="AH2761" s="24" t="s">
        <v>2865</v>
      </c>
      <c r="AI2761" s="24" t="s">
        <v>577</v>
      </c>
      <c r="AJ2761" s="24" t="s">
        <v>1645</v>
      </c>
      <c r="AK2761" s="24" t="s">
        <v>132</v>
      </c>
      <c r="AW2761" s="24" t="s">
        <v>160</v>
      </c>
      <c r="AX2761" s="24">
        <v>2</v>
      </c>
      <c r="AZ2761" s="24" t="s">
        <v>141</v>
      </c>
      <c r="BB2761" s="24">
        <v>3505</v>
      </c>
      <c r="BE2761" s="24" t="s">
        <v>2863</v>
      </c>
      <c r="BK2761" s="24">
        <v>1996</v>
      </c>
      <c r="BL2761" s="24">
        <v>1735</v>
      </c>
      <c r="BP2761" s="395"/>
      <c r="BQ2761" s="395"/>
      <c r="BU2761" s="395"/>
      <c r="BV2761" s="395"/>
      <c r="BZ2761" s="395"/>
      <c r="CA2761" s="395"/>
      <c r="CE2761" s="548"/>
      <c r="CF2761" s="548"/>
      <c r="CG2761" s="548"/>
      <c r="CH2761" s="548"/>
      <c r="JD2761" s="249"/>
    </row>
    <row r="2762" spans="1:264" s="24" customFormat="1" x14ac:dyDescent="0.25">
      <c r="A2762" s="24">
        <v>128</v>
      </c>
      <c r="B2762" s="42" t="s">
        <v>4364</v>
      </c>
      <c r="C2762" s="24" t="s">
        <v>2855</v>
      </c>
      <c r="D2762" s="24" t="s">
        <v>2856</v>
      </c>
      <c r="E2762" s="24">
        <v>2005</v>
      </c>
      <c r="F2762" s="24">
        <v>2000</v>
      </c>
      <c r="G2762" s="24" t="s">
        <v>2766</v>
      </c>
      <c r="H2762" s="24" t="s">
        <v>2862</v>
      </c>
      <c r="I2762" s="24" t="s">
        <v>2857</v>
      </c>
      <c r="J2762" s="24">
        <v>-1.95</v>
      </c>
      <c r="K2762" s="24">
        <v>30.09</v>
      </c>
      <c r="L2762" s="24">
        <v>1165.3</v>
      </c>
      <c r="P2762" s="24">
        <v>1357</v>
      </c>
      <c r="R2762" s="42" t="s">
        <v>1977</v>
      </c>
      <c r="S2762" s="42" t="s">
        <v>1847</v>
      </c>
      <c r="T2762" s="42"/>
      <c r="U2762" s="42" t="s">
        <v>2859</v>
      </c>
      <c r="V2762" s="42" t="s">
        <v>1379</v>
      </c>
      <c r="W2762" s="42" t="s">
        <v>1715</v>
      </c>
      <c r="X2762" s="42" t="s">
        <v>1379</v>
      </c>
      <c r="Y2762" s="42" t="s">
        <v>1379</v>
      </c>
      <c r="AA2762" s="321">
        <v>67</v>
      </c>
      <c r="AB2762" s="321">
        <v>24</v>
      </c>
      <c r="AC2762" s="24" t="s">
        <v>240</v>
      </c>
      <c r="AD2762" s="24">
        <v>5.5</v>
      </c>
      <c r="AE2762" s="24">
        <v>2.6</v>
      </c>
      <c r="AG2762" s="24" t="s">
        <v>2858</v>
      </c>
      <c r="AH2762" s="24" t="s">
        <v>2865</v>
      </c>
      <c r="AI2762" s="24" t="s">
        <v>577</v>
      </c>
      <c r="AJ2762" s="24" t="s">
        <v>1645</v>
      </c>
      <c r="AK2762" s="24" t="s">
        <v>132</v>
      </c>
      <c r="AW2762" s="24" t="s">
        <v>160</v>
      </c>
      <c r="AX2762" s="24">
        <v>2</v>
      </c>
      <c r="AZ2762" s="24" t="s">
        <v>141</v>
      </c>
      <c r="BB2762" s="24">
        <v>4306</v>
      </c>
      <c r="BE2762" s="24" t="s">
        <v>2864</v>
      </c>
      <c r="BK2762" s="24">
        <v>2201</v>
      </c>
      <c r="BL2762" s="24">
        <v>2411</v>
      </c>
      <c r="BP2762" s="395"/>
      <c r="BQ2762" s="395"/>
      <c r="BU2762" s="395"/>
      <c r="BV2762" s="395"/>
      <c r="BZ2762" s="395"/>
      <c r="CA2762" s="395"/>
      <c r="CE2762" s="548"/>
      <c r="CF2762" s="548"/>
      <c r="CG2762" s="548"/>
      <c r="CH2762" s="548"/>
      <c r="JD2762" s="249"/>
    </row>
    <row r="2763" spans="1:264" s="24" customFormat="1" x14ac:dyDescent="0.25">
      <c r="A2763" s="24">
        <v>128</v>
      </c>
      <c r="B2763" s="42" t="s">
        <v>4364</v>
      </c>
      <c r="C2763" s="24" t="s">
        <v>2855</v>
      </c>
      <c r="D2763" s="24" t="s">
        <v>2856</v>
      </c>
      <c r="E2763" s="24">
        <v>2005</v>
      </c>
      <c r="F2763" s="24">
        <v>2001</v>
      </c>
      <c r="G2763" s="24" t="s">
        <v>2766</v>
      </c>
      <c r="H2763" s="24" t="s">
        <v>2862</v>
      </c>
      <c r="I2763" s="24" t="s">
        <v>2857</v>
      </c>
      <c r="J2763" s="24">
        <v>-1.95</v>
      </c>
      <c r="K2763" s="24">
        <v>30.09</v>
      </c>
      <c r="L2763" s="24">
        <v>1165.3</v>
      </c>
      <c r="P2763" s="24">
        <v>1357</v>
      </c>
      <c r="R2763" s="42" t="s">
        <v>1847</v>
      </c>
      <c r="S2763" s="42" t="s">
        <v>1847</v>
      </c>
      <c r="T2763" s="42"/>
      <c r="U2763" s="42" t="s">
        <v>2859</v>
      </c>
      <c r="V2763" s="42" t="s">
        <v>1379</v>
      </c>
      <c r="W2763" s="42" t="s">
        <v>1715</v>
      </c>
      <c r="X2763" s="42" t="s">
        <v>1379</v>
      </c>
      <c r="Y2763" s="42" t="s">
        <v>1379</v>
      </c>
      <c r="AA2763" s="321">
        <v>67</v>
      </c>
      <c r="AB2763" s="321">
        <v>24</v>
      </c>
      <c r="AC2763" s="24" t="s">
        <v>240</v>
      </c>
      <c r="AD2763" s="24">
        <v>5.5</v>
      </c>
      <c r="AE2763" s="24">
        <v>2.6</v>
      </c>
      <c r="AG2763" s="24" t="s">
        <v>2858</v>
      </c>
      <c r="AH2763" s="24" t="s">
        <v>2865</v>
      </c>
      <c r="AI2763" s="24" t="s">
        <v>577</v>
      </c>
      <c r="AJ2763" s="24" t="s">
        <v>1645</v>
      </c>
      <c r="AK2763" s="24" t="s">
        <v>132</v>
      </c>
      <c r="AW2763" s="24" t="s">
        <v>160</v>
      </c>
      <c r="AX2763" s="24">
        <v>2</v>
      </c>
      <c r="AZ2763" s="24" t="s">
        <v>141</v>
      </c>
      <c r="BB2763" s="24">
        <v>751</v>
      </c>
      <c r="BE2763" s="24" t="s">
        <v>2863</v>
      </c>
      <c r="BK2763" s="24">
        <v>2050</v>
      </c>
      <c r="BL2763" s="24">
        <v>2814</v>
      </c>
      <c r="BP2763" s="395"/>
      <c r="BQ2763" s="395"/>
      <c r="BU2763" s="395"/>
      <c r="BV2763" s="395"/>
      <c r="BZ2763" s="395"/>
      <c r="CA2763" s="395"/>
      <c r="CE2763" s="548"/>
      <c r="CF2763" s="548"/>
      <c r="CG2763" s="548"/>
      <c r="CH2763" s="548"/>
      <c r="JD2763" s="249"/>
    </row>
    <row r="2764" spans="1:264" s="24" customFormat="1" x14ac:dyDescent="0.25">
      <c r="A2764" s="24">
        <v>128</v>
      </c>
      <c r="B2764" s="42" t="s">
        <v>4364</v>
      </c>
      <c r="C2764" s="24" t="s">
        <v>2855</v>
      </c>
      <c r="D2764" s="24" t="s">
        <v>2856</v>
      </c>
      <c r="E2764" s="24">
        <v>2005</v>
      </c>
      <c r="F2764" s="24">
        <v>2001</v>
      </c>
      <c r="G2764" s="24" t="s">
        <v>2766</v>
      </c>
      <c r="H2764" s="24" t="s">
        <v>2862</v>
      </c>
      <c r="I2764" s="24" t="s">
        <v>2857</v>
      </c>
      <c r="J2764" s="24">
        <v>-1.95</v>
      </c>
      <c r="K2764" s="24">
        <v>30.09</v>
      </c>
      <c r="L2764" s="24">
        <v>1165.3</v>
      </c>
      <c r="P2764" s="24">
        <v>1357</v>
      </c>
      <c r="R2764" s="42" t="s">
        <v>1847</v>
      </c>
      <c r="S2764" s="42" t="s">
        <v>1847</v>
      </c>
      <c r="T2764" s="42"/>
      <c r="U2764" s="42" t="s">
        <v>2859</v>
      </c>
      <c r="V2764" s="42" t="s">
        <v>1379</v>
      </c>
      <c r="W2764" s="42" t="s">
        <v>1715</v>
      </c>
      <c r="X2764" s="42" t="s">
        <v>1379</v>
      </c>
      <c r="Y2764" s="42" t="s">
        <v>1379</v>
      </c>
      <c r="AA2764" s="321">
        <v>67</v>
      </c>
      <c r="AB2764" s="321">
        <v>24</v>
      </c>
      <c r="AC2764" s="24" t="s">
        <v>240</v>
      </c>
      <c r="AD2764" s="24">
        <v>5.5</v>
      </c>
      <c r="AE2764" s="24">
        <v>2.6</v>
      </c>
      <c r="AG2764" s="24" t="s">
        <v>2858</v>
      </c>
      <c r="AH2764" s="24" t="s">
        <v>2865</v>
      </c>
      <c r="AI2764" s="24" t="s">
        <v>577</v>
      </c>
      <c r="AJ2764" s="24" t="s">
        <v>1645</v>
      </c>
      <c r="AK2764" s="24" t="s">
        <v>132</v>
      </c>
      <c r="AW2764" s="24" t="s">
        <v>160</v>
      </c>
      <c r="AX2764" s="24">
        <v>2</v>
      </c>
      <c r="AZ2764" s="24" t="s">
        <v>141</v>
      </c>
      <c r="BE2764" s="24" t="s">
        <v>2864</v>
      </c>
      <c r="BK2764" s="24">
        <v>2257</v>
      </c>
      <c r="BL2764" s="24">
        <v>2265</v>
      </c>
      <c r="BP2764" s="395"/>
      <c r="BQ2764" s="395"/>
      <c r="BU2764" s="395"/>
      <c r="BV2764" s="395"/>
      <c r="BZ2764" s="395"/>
      <c r="CA2764" s="395"/>
      <c r="CE2764" s="548"/>
      <c r="CF2764" s="548"/>
      <c r="CG2764" s="548"/>
      <c r="CH2764" s="548"/>
      <c r="JD2764" s="249"/>
    </row>
    <row r="2765" spans="1:264" s="101" customFormat="1" x14ac:dyDescent="0.25">
      <c r="A2765" s="101">
        <v>128</v>
      </c>
      <c r="B2765" s="102" t="s">
        <v>4364</v>
      </c>
      <c r="C2765" s="101" t="s">
        <v>2855</v>
      </c>
      <c r="D2765" s="101" t="s">
        <v>2856</v>
      </c>
      <c r="E2765" s="101">
        <v>2005</v>
      </c>
      <c r="F2765" s="101">
        <v>2000</v>
      </c>
      <c r="G2765" s="101" t="s">
        <v>2766</v>
      </c>
      <c r="H2765" s="101" t="s">
        <v>2862</v>
      </c>
      <c r="I2765" s="101" t="s">
        <v>2857</v>
      </c>
      <c r="J2765" s="101">
        <v>-1.95</v>
      </c>
      <c r="K2765" s="101">
        <v>30.09</v>
      </c>
      <c r="L2765" s="101">
        <v>1165.3</v>
      </c>
      <c r="P2765" s="101">
        <v>1357</v>
      </c>
      <c r="R2765" s="102" t="s">
        <v>1977</v>
      </c>
      <c r="S2765" s="102" t="s">
        <v>1847</v>
      </c>
      <c r="T2765" s="102"/>
      <c r="U2765" s="102" t="s">
        <v>2859</v>
      </c>
      <c r="V2765" s="102" t="s">
        <v>1379</v>
      </c>
      <c r="W2765" s="102" t="s">
        <v>1715</v>
      </c>
      <c r="X2765" s="102" t="s">
        <v>1379</v>
      </c>
      <c r="Y2765" s="102" t="s">
        <v>1379</v>
      </c>
      <c r="AA2765" s="352">
        <v>67</v>
      </c>
      <c r="AB2765" s="352">
        <v>24</v>
      </c>
      <c r="AC2765" s="101" t="s">
        <v>240</v>
      </c>
      <c r="AD2765" s="101">
        <v>5.5</v>
      </c>
      <c r="AE2765" s="101">
        <v>2.6</v>
      </c>
      <c r="AG2765" s="101" t="s">
        <v>2858</v>
      </c>
      <c r="AH2765" s="101" t="s">
        <v>2743</v>
      </c>
      <c r="AI2765" s="101" t="s">
        <v>577</v>
      </c>
      <c r="AJ2765" s="101" t="s">
        <v>1645</v>
      </c>
      <c r="AK2765" s="101" t="s">
        <v>132</v>
      </c>
      <c r="AW2765" s="101" t="s">
        <v>160</v>
      </c>
      <c r="AX2765" s="101">
        <v>2</v>
      </c>
      <c r="AZ2765" s="101" t="s">
        <v>141</v>
      </c>
      <c r="BB2765" s="101">
        <v>2169</v>
      </c>
      <c r="BE2765" s="101" t="s">
        <v>2863</v>
      </c>
      <c r="BK2765" s="101">
        <v>1996</v>
      </c>
      <c r="BL2765" s="101">
        <v>1075</v>
      </c>
      <c r="BP2765" s="427"/>
      <c r="BQ2765" s="427"/>
      <c r="BU2765" s="427"/>
      <c r="BV2765" s="427"/>
      <c r="BZ2765" s="427"/>
      <c r="CA2765" s="427"/>
      <c r="CE2765" s="580"/>
      <c r="CF2765" s="580"/>
      <c r="CG2765" s="580"/>
      <c r="CH2765" s="580"/>
      <c r="JD2765" s="177"/>
    </row>
    <row r="2766" spans="1:264" s="101" customFormat="1" x14ac:dyDescent="0.25">
      <c r="A2766" s="101">
        <v>128</v>
      </c>
      <c r="B2766" s="102" t="s">
        <v>4364</v>
      </c>
      <c r="C2766" s="101" t="s">
        <v>2855</v>
      </c>
      <c r="D2766" s="101" t="s">
        <v>2856</v>
      </c>
      <c r="E2766" s="101">
        <v>2005</v>
      </c>
      <c r="F2766" s="101">
        <v>2000</v>
      </c>
      <c r="G2766" s="101" t="s">
        <v>2766</v>
      </c>
      <c r="H2766" s="101" t="s">
        <v>2862</v>
      </c>
      <c r="I2766" s="101" t="s">
        <v>2857</v>
      </c>
      <c r="J2766" s="101">
        <v>-1.95</v>
      </c>
      <c r="K2766" s="101">
        <v>30.09</v>
      </c>
      <c r="L2766" s="101">
        <v>1165.3</v>
      </c>
      <c r="P2766" s="101">
        <v>1357</v>
      </c>
      <c r="R2766" s="102" t="s">
        <v>1977</v>
      </c>
      <c r="S2766" s="102" t="s">
        <v>1847</v>
      </c>
      <c r="T2766" s="102"/>
      <c r="U2766" s="102" t="s">
        <v>2859</v>
      </c>
      <c r="V2766" s="102" t="s">
        <v>1379</v>
      </c>
      <c r="W2766" s="102" t="s">
        <v>1715</v>
      </c>
      <c r="X2766" s="102" t="s">
        <v>1379</v>
      </c>
      <c r="Y2766" s="102" t="s">
        <v>1379</v>
      </c>
      <c r="AA2766" s="352">
        <v>67</v>
      </c>
      <c r="AB2766" s="352">
        <v>24</v>
      </c>
      <c r="AC2766" s="101" t="s">
        <v>240</v>
      </c>
      <c r="AD2766" s="101">
        <v>5.5</v>
      </c>
      <c r="AE2766" s="101">
        <v>2.6</v>
      </c>
      <c r="AG2766" s="101" t="s">
        <v>2858</v>
      </c>
      <c r="AH2766" s="101" t="s">
        <v>2743</v>
      </c>
      <c r="AI2766" s="101" t="s">
        <v>577</v>
      </c>
      <c r="AJ2766" s="101" t="s">
        <v>1645</v>
      </c>
      <c r="AK2766" s="101" t="s">
        <v>132</v>
      </c>
      <c r="AW2766" s="101" t="s">
        <v>160</v>
      </c>
      <c r="AX2766" s="101">
        <v>2</v>
      </c>
      <c r="AZ2766" s="101" t="s">
        <v>141</v>
      </c>
      <c r="BB2766" s="101">
        <v>1205</v>
      </c>
      <c r="BE2766" s="101" t="s">
        <v>2864</v>
      </c>
      <c r="BK2766" s="101">
        <v>2201</v>
      </c>
      <c r="BL2766" s="101">
        <v>2357</v>
      </c>
      <c r="BP2766" s="427"/>
      <c r="BQ2766" s="427"/>
      <c r="BU2766" s="427"/>
      <c r="BV2766" s="427"/>
      <c r="BZ2766" s="427"/>
      <c r="CA2766" s="427"/>
      <c r="CE2766" s="580"/>
      <c r="CF2766" s="580"/>
      <c r="CG2766" s="580"/>
      <c r="CH2766" s="580"/>
      <c r="JD2766" s="177"/>
    </row>
    <row r="2767" spans="1:264" s="101" customFormat="1" x14ac:dyDescent="0.25">
      <c r="A2767" s="101">
        <v>128</v>
      </c>
      <c r="B2767" s="102" t="s">
        <v>4364</v>
      </c>
      <c r="C2767" s="101" t="s">
        <v>2855</v>
      </c>
      <c r="D2767" s="101" t="s">
        <v>2856</v>
      </c>
      <c r="E2767" s="101">
        <v>2005</v>
      </c>
      <c r="F2767" s="101">
        <v>2001</v>
      </c>
      <c r="G2767" s="101" t="s">
        <v>2766</v>
      </c>
      <c r="H2767" s="101" t="s">
        <v>2862</v>
      </c>
      <c r="I2767" s="101" t="s">
        <v>2857</v>
      </c>
      <c r="J2767" s="101">
        <v>-1.95</v>
      </c>
      <c r="K2767" s="101">
        <v>30.09</v>
      </c>
      <c r="L2767" s="101">
        <v>1165.3</v>
      </c>
      <c r="P2767" s="101">
        <v>1357</v>
      </c>
      <c r="R2767" s="102" t="s">
        <v>1847</v>
      </c>
      <c r="S2767" s="102" t="s">
        <v>1847</v>
      </c>
      <c r="T2767" s="102"/>
      <c r="U2767" s="102" t="s">
        <v>2859</v>
      </c>
      <c r="V2767" s="102" t="s">
        <v>1379</v>
      </c>
      <c r="W2767" s="102" t="s">
        <v>1715</v>
      </c>
      <c r="X2767" s="102" t="s">
        <v>1379</v>
      </c>
      <c r="Y2767" s="102" t="s">
        <v>1379</v>
      </c>
      <c r="AA2767" s="352">
        <v>67</v>
      </c>
      <c r="AB2767" s="352">
        <v>24</v>
      </c>
      <c r="AC2767" s="101" t="s">
        <v>240</v>
      </c>
      <c r="AD2767" s="101">
        <v>5.5</v>
      </c>
      <c r="AE2767" s="101">
        <v>2.6</v>
      </c>
      <c r="AG2767" s="101" t="s">
        <v>2858</v>
      </c>
      <c r="AH2767" s="101" t="s">
        <v>2743</v>
      </c>
      <c r="AI2767" s="101" t="s">
        <v>577</v>
      </c>
      <c r="AJ2767" s="101" t="s">
        <v>1645</v>
      </c>
      <c r="AK2767" s="101" t="s">
        <v>132</v>
      </c>
      <c r="AW2767" s="101" t="s">
        <v>160</v>
      </c>
      <c r="AX2767" s="101">
        <v>2</v>
      </c>
      <c r="AZ2767" s="101" t="s">
        <v>141</v>
      </c>
      <c r="BB2767" s="101">
        <v>216</v>
      </c>
      <c r="BE2767" s="101" t="s">
        <v>2863</v>
      </c>
      <c r="BK2767" s="101">
        <v>2050</v>
      </c>
      <c r="BL2767" s="101">
        <v>2358</v>
      </c>
      <c r="BP2767" s="427"/>
      <c r="BQ2767" s="427"/>
      <c r="BU2767" s="427"/>
      <c r="BV2767" s="427"/>
      <c r="BZ2767" s="427"/>
      <c r="CA2767" s="427"/>
      <c r="CE2767" s="580"/>
      <c r="CF2767" s="580"/>
      <c r="CG2767" s="580"/>
      <c r="CH2767" s="580"/>
      <c r="JD2767" s="177"/>
    </row>
    <row r="2768" spans="1:264" s="101" customFormat="1" x14ac:dyDescent="0.25">
      <c r="A2768" s="101">
        <v>128</v>
      </c>
      <c r="B2768" s="102" t="s">
        <v>4364</v>
      </c>
      <c r="C2768" s="101" t="s">
        <v>2855</v>
      </c>
      <c r="D2768" s="101" t="s">
        <v>2856</v>
      </c>
      <c r="E2768" s="101">
        <v>2005</v>
      </c>
      <c r="F2768" s="101">
        <v>2001</v>
      </c>
      <c r="G2768" s="101" t="s">
        <v>2766</v>
      </c>
      <c r="H2768" s="101" t="s">
        <v>2862</v>
      </c>
      <c r="I2768" s="101" t="s">
        <v>2857</v>
      </c>
      <c r="J2768" s="101">
        <v>-1.95</v>
      </c>
      <c r="K2768" s="101">
        <v>30.09</v>
      </c>
      <c r="L2768" s="101">
        <v>1165.3</v>
      </c>
      <c r="P2768" s="101">
        <v>1357</v>
      </c>
      <c r="R2768" s="102" t="s">
        <v>1847</v>
      </c>
      <c r="S2768" s="102" t="s">
        <v>1847</v>
      </c>
      <c r="T2768" s="102"/>
      <c r="U2768" s="102" t="s">
        <v>2859</v>
      </c>
      <c r="V2768" s="102" t="s">
        <v>1379</v>
      </c>
      <c r="W2768" s="102" t="s">
        <v>1715</v>
      </c>
      <c r="X2768" s="102" t="s">
        <v>1379</v>
      </c>
      <c r="Y2768" s="102" t="s">
        <v>1379</v>
      </c>
      <c r="AA2768" s="352">
        <v>67</v>
      </c>
      <c r="AB2768" s="352">
        <v>24</v>
      </c>
      <c r="AC2768" s="101" t="s">
        <v>240</v>
      </c>
      <c r="AD2768" s="101">
        <v>5.5</v>
      </c>
      <c r="AE2768" s="101">
        <v>2.6</v>
      </c>
      <c r="AG2768" s="101" t="s">
        <v>2858</v>
      </c>
      <c r="AH2768" s="101" t="s">
        <v>2743</v>
      </c>
      <c r="AI2768" s="101" t="s">
        <v>577</v>
      </c>
      <c r="AJ2768" s="101" t="s">
        <v>1645</v>
      </c>
      <c r="AK2768" s="101" t="s">
        <v>132</v>
      </c>
      <c r="AW2768" s="101" t="s">
        <v>160</v>
      </c>
      <c r="AX2768" s="101">
        <v>2</v>
      </c>
      <c r="AZ2768" s="101" t="s">
        <v>141</v>
      </c>
      <c r="BE2768" s="101" t="s">
        <v>2864</v>
      </c>
      <c r="BK2768" s="101">
        <v>2257</v>
      </c>
      <c r="BL2768" s="101">
        <v>1778</v>
      </c>
      <c r="BP2768" s="427"/>
      <c r="BQ2768" s="427"/>
      <c r="BU2768" s="427"/>
      <c r="BV2768" s="427"/>
      <c r="BZ2768" s="427"/>
      <c r="CA2768" s="427"/>
      <c r="CE2768" s="580"/>
      <c r="CF2768" s="580"/>
      <c r="CG2768" s="580"/>
      <c r="CH2768" s="580"/>
      <c r="JD2768" s="177"/>
    </row>
    <row r="2769" spans="1:264" s="36" customFormat="1" x14ac:dyDescent="0.25">
      <c r="A2769" s="36">
        <v>129</v>
      </c>
      <c r="B2769" s="51" t="s">
        <v>4365</v>
      </c>
      <c r="C2769" s="36" t="s">
        <v>2866</v>
      </c>
      <c r="D2769" s="36" t="s">
        <v>525</v>
      </c>
      <c r="E2769" s="36">
        <v>1999</v>
      </c>
      <c r="F2769" s="36">
        <v>1997</v>
      </c>
      <c r="G2769" s="36" t="s">
        <v>2766</v>
      </c>
      <c r="H2769" s="36" t="s">
        <v>2867</v>
      </c>
      <c r="I2769" s="36" t="s">
        <v>2857</v>
      </c>
      <c r="J2769" s="36">
        <f t="shared" ref="J2769:J2782" si="384">26/60</f>
        <v>0.43333333333333335</v>
      </c>
      <c r="K2769" s="36">
        <f t="shared" ref="K2769:K2782" si="385">33+28/60</f>
        <v>33.466666666666669</v>
      </c>
      <c r="L2769" s="36">
        <v>1189</v>
      </c>
      <c r="P2769" s="36">
        <v>1350</v>
      </c>
      <c r="R2769" s="51" t="s">
        <v>1977</v>
      </c>
      <c r="S2769" s="51" t="s">
        <v>1847</v>
      </c>
      <c r="T2769" s="51"/>
      <c r="U2769" s="51" t="s">
        <v>2869</v>
      </c>
      <c r="V2769" s="51"/>
      <c r="W2769" s="51"/>
      <c r="X2769" s="51"/>
      <c r="Y2769" s="51"/>
      <c r="AA2769" s="331"/>
      <c r="AB2769" s="331"/>
      <c r="AC2769" s="36" t="s">
        <v>240</v>
      </c>
      <c r="AH2769" s="36" t="s">
        <v>2744</v>
      </c>
      <c r="AI2769" s="36" t="s">
        <v>577</v>
      </c>
      <c r="AJ2769" s="36" t="s">
        <v>132</v>
      </c>
      <c r="AK2769" s="36" t="s">
        <v>132</v>
      </c>
      <c r="AW2769" s="36" t="s">
        <v>119</v>
      </c>
      <c r="AX2769" s="36">
        <v>6</v>
      </c>
      <c r="AZ2769" s="36" t="s">
        <v>141</v>
      </c>
      <c r="BK2769" s="36">
        <f>4*1000</f>
        <v>4000</v>
      </c>
      <c r="BL2769" s="36">
        <f>2.8*1000</f>
        <v>2800</v>
      </c>
      <c r="BM2769" s="36">
        <v>580</v>
      </c>
      <c r="BN2769" s="36">
        <v>580</v>
      </c>
      <c r="BO2769" s="36" t="s">
        <v>2870</v>
      </c>
      <c r="BP2769" s="407"/>
      <c r="BQ2769" s="407"/>
      <c r="BU2769" s="407"/>
      <c r="BV2769" s="407"/>
      <c r="BZ2769" s="407"/>
      <c r="CA2769" s="407"/>
      <c r="CE2769" s="560"/>
      <c r="CF2769" s="560"/>
      <c r="CG2769" s="560"/>
      <c r="CH2769" s="560"/>
      <c r="JD2769" s="230"/>
    </row>
    <row r="2770" spans="1:264" s="36" customFormat="1" x14ac:dyDescent="0.25">
      <c r="A2770" s="36">
        <v>129</v>
      </c>
      <c r="B2770" s="51" t="s">
        <v>4366</v>
      </c>
      <c r="C2770" s="36" t="s">
        <v>2866</v>
      </c>
      <c r="D2770" s="36" t="s">
        <v>525</v>
      </c>
      <c r="E2770" s="36">
        <v>1999</v>
      </c>
      <c r="F2770" s="36">
        <v>1997</v>
      </c>
      <c r="G2770" s="36" t="s">
        <v>2766</v>
      </c>
      <c r="H2770" s="36" t="s">
        <v>2867</v>
      </c>
      <c r="I2770" s="36" t="s">
        <v>2857</v>
      </c>
      <c r="J2770" s="36">
        <f t="shared" si="384"/>
        <v>0.43333333333333335</v>
      </c>
      <c r="K2770" s="36">
        <f t="shared" si="385"/>
        <v>33.466666666666669</v>
      </c>
      <c r="L2770" s="36">
        <v>1189</v>
      </c>
      <c r="P2770" s="36">
        <v>1350</v>
      </c>
      <c r="R2770" s="51" t="s">
        <v>1977</v>
      </c>
      <c r="S2770" s="51" t="s">
        <v>1847</v>
      </c>
      <c r="T2770" s="51"/>
      <c r="U2770" s="51" t="s">
        <v>2869</v>
      </c>
      <c r="V2770" s="51"/>
      <c r="W2770" s="51"/>
      <c r="X2770" s="51"/>
      <c r="Y2770" s="51"/>
      <c r="AA2770" s="331"/>
      <c r="AB2770" s="331"/>
      <c r="AC2770" s="36" t="s">
        <v>240</v>
      </c>
      <c r="AH2770" s="36" t="s">
        <v>2744</v>
      </c>
      <c r="AI2770" s="36" t="s">
        <v>577</v>
      </c>
      <c r="AJ2770" s="36" t="s">
        <v>2868</v>
      </c>
      <c r="AK2770" s="36" t="s">
        <v>229</v>
      </c>
      <c r="AW2770" s="36" t="s">
        <v>119</v>
      </c>
      <c r="AX2770" s="36">
        <v>6</v>
      </c>
      <c r="AZ2770" s="36" t="s">
        <v>141</v>
      </c>
      <c r="BK2770" s="36">
        <v>560</v>
      </c>
      <c r="BL2770" s="36">
        <v>400</v>
      </c>
      <c r="BM2770" s="36">
        <v>110</v>
      </c>
      <c r="BN2770" s="36">
        <v>110</v>
      </c>
      <c r="BO2770" s="36" t="s">
        <v>2870</v>
      </c>
      <c r="BP2770" s="407"/>
      <c r="BQ2770" s="407"/>
      <c r="BU2770" s="407"/>
      <c r="BV2770" s="407"/>
      <c r="BZ2770" s="407"/>
      <c r="CA2770" s="407"/>
      <c r="CE2770" s="560"/>
      <c r="CF2770" s="560"/>
      <c r="CG2770" s="560"/>
      <c r="CH2770" s="560"/>
      <c r="JD2770" s="230"/>
    </row>
    <row r="2771" spans="1:264" s="36" customFormat="1" x14ac:dyDescent="0.25">
      <c r="A2771" s="36">
        <v>129</v>
      </c>
      <c r="B2771" s="51" t="s">
        <v>4365</v>
      </c>
      <c r="C2771" s="36" t="s">
        <v>2866</v>
      </c>
      <c r="D2771" s="36" t="s">
        <v>525</v>
      </c>
      <c r="E2771" s="36">
        <v>1999</v>
      </c>
      <c r="F2771" s="36">
        <v>1998</v>
      </c>
      <c r="G2771" s="36" t="s">
        <v>2766</v>
      </c>
      <c r="H2771" s="36" t="s">
        <v>2867</v>
      </c>
      <c r="I2771" s="36" t="s">
        <v>2857</v>
      </c>
      <c r="J2771" s="36">
        <f t="shared" si="384"/>
        <v>0.43333333333333335</v>
      </c>
      <c r="K2771" s="36">
        <f t="shared" si="385"/>
        <v>33.466666666666669</v>
      </c>
      <c r="L2771" s="36">
        <v>1189</v>
      </c>
      <c r="P2771" s="36">
        <v>1350</v>
      </c>
      <c r="R2771" s="51" t="s">
        <v>1847</v>
      </c>
      <c r="S2771" s="51" t="s">
        <v>1847</v>
      </c>
      <c r="T2771" s="51"/>
      <c r="U2771" s="51" t="s">
        <v>2869</v>
      </c>
      <c r="V2771" s="51"/>
      <c r="W2771" s="51"/>
      <c r="X2771" s="51"/>
      <c r="Y2771" s="51"/>
      <c r="AA2771" s="331"/>
      <c r="AB2771" s="331"/>
      <c r="AC2771" s="36" t="s">
        <v>240</v>
      </c>
      <c r="AH2771" s="36" t="s">
        <v>2744</v>
      </c>
      <c r="AI2771" s="36" t="s">
        <v>577</v>
      </c>
      <c r="AJ2771" s="36" t="s">
        <v>132</v>
      </c>
      <c r="AK2771" s="36" t="s">
        <v>132</v>
      </c>
      <c r="AW2771" s="36" t="s">
        <v>119</v>
      </c>
      <c r="AX2771" s="36">
        <v>6</v>
      </c>
      <c r="AZ2771" s="36" t="s">
        <v>141</v>
      </c>
      <c r="BK2771" s="36">
        <v>2600</v>
      </c>
      <c r="BL2771" s="36">
        <v>2100</v>
      </c>
      <c r="BO2771" s="36" t="s">
        <v>2870</v>
      </c>
      <c r="BP2771" s="407"/>
      <c r="BQ2771" s="407"/>
      <c r="BU2771" s="407"/>
      <c r="BV2771" s="407"/>
      <c r="BZ2771" s="407"/>
      <c r="CA2771" s="407"/>
      <c r="CE2771" s="560"/>
      <c r="CF2771" s="560"/>
      <c r="CG2771" s="560"/>
      <c r="CH2771" s="560"/>
      <c r="JD2771" s="230"/>
    </row>
    <row r="2772" spans="1:264" s="36" customFormat="1" x14ac:dyDescent="0.25">
      <c r="A2772" s="36">
        <v>129</v>
      </c>
      <c r="B2772" s="51" t="s">
        <v>4366</v>
      </c>
      <c r="C2772" s="36" t="s">
        <v>2866</v>
      </c>
      <c r="D2772" s="36" t="s">
        <v>525</v>
      </c>
      <c r="E2772" s="36">
        <v>1999</v>
      </c>
      <c r="F2772" s="36">
        <v>1998</v>
      </c>
      <c r="G2772" s="36" t="s">
        <v>2766</v>
      </c>
      <c r="H2772" s="36" t="s">
        <v>2867</v>
      </c>
      <c r="I2772" s="36" t="s">
        <v>2857</v>
      </c>
      <c r="J2772" s="36">
        <f t="shared" si="384"/>
        <v>0.43333333333333335</v>
      </c>
      <c r="K2772" s="36">
        <f t="shared" si="385"/>
        <v>33.466666666666669</v>
      </c>
      <c r="L2772" s="36">
        <v>1189</v>
      </c>
      <c r="P2772" s="36">
        <v>1350</v>
      </c>
      <c r="R2772" s="51" t="s">
        <v>1847</v>
      </c>
      <c r="S2772" s="51" t="s">
        <v>1847</v>
      </c>
      <c r="T2772" s="51"/>
      <c r="U2772" s="51" t="s">
        <v>2869</v>
      </c>
      <c r="V2772" s="51"/>
      <c r="W2772" s="51"/>
      <c r="X2772" s="51"/>
      <c r="Y2772" s="51"/>
      <c r="AA2772" s="331"/>
      <c r="AB2772" s="331"/>
      <c r="AC2772" s="36" t="s">
        <v>240</v>
      </c>
      <c r="AH2772" s="36" t="s">
        <v>2744</v>
      </c>
      <c r="AI2772" s="36" t="s">
        <v>577</v>
      </c>
      <c r="AJ2772" s="36" t="s">
        <v>2868</v>
      </c>
      <c r="AK2772" s="36" t="s">
        <v>229</v>
      </c>
      <c r="AW2772" s="36" t="s">
        <v>119</v>
      </c>
      <c r="AX2772" s="36">
        <v>6</v>
      </c>
      <c r="AZ2772" s="36" t="s">
        <v>141</v>
      </c>
      <c r="BK2772" s="36">
        <v>740</v>
      </c>
      <c r="BL2772" s="36">
        <v>660</v>
      </c>
      <c r="BO2772" s="36" t="s">
        <v>2870</v>
      </c>
      <c r="BP2772" s="407"/>
      <c r="BQ2772" s="407"/>
      <c r="BU2772" s="407"/>
      <c r="BV2772" s="407"/>
      <c r="BZ2772" s="407"/>
      <c r="CA2772" s="407"/>
      <c r="CE2772" s="560"/>
      <c r="CF2772" s="560"/>
      <c r="CG2772" s="560"/>
      <c r="CH2772" s="560"/>
      <c r="JD2772" s="230"/>
    </row>
    <row r="2773" spans="1:264" s="22" customFormat="1" x14ac:dyDescent="0.25">
      <c r="A2773" s="22">
        <v>129</v>
      </c>
      <c r="B2773" s="45" t="s">
        <v>4365</v>
      </c>
      <c r="C2773" s="22" t="s">
        <v>2866</v>
      </c>
      <c r="D2773" s="22" t="s">
        <v>525</v>
      </c>
      <c r="E2773" s="22">
        <v>1999</v>
      </c>
      <c r="F2773" s="22">
        <v>1997</v>
      </c>
      <c r="G2773" s="22" t="s">
        <v>2766</v>
      </c>
      <c r="H2773" s="22" t="s">
        <v>2867</v>
      </c>
      <c r="I2773" s="22" t="s">
        <v>2857</v>
      </c>
      <c r="J2773" s="22">
        <f t="shared" si="384"/>
        <v>0.43333333333333335</v>
      </c>
      <c r="K2773" s="22">
        <f t="shared" si="385"/>
        <v>33.466666666666669</v>
      </c>
      <c r="L2773" s="22">
        <v>1189</v>
      </c>
      <c r="P2773" s="22">
        <v>1350</v>
      </c>
      <c r="R2773" s="45" t="s">
        <v>1977</v>
      </c>
      <c r="S2773" s="45" t="s">
        <v>1847</v>
      </c>
      <c r="T2773" s="45"/>
      <c r="U2773" s="45" t="s">
        <v>2869</v>
      </c>
      <c r="V2773" s="45"/>
      <c r="W2773" s="45"/>
      <c r="X2773" s="45"/>
      <c r="Y2773" s="45"/>
      <c r="AA2773" s="325"/>
      <c r="AB2773" s="325"/>
      <c r="AC2773" s="22" t="s">
        <v>240</v>
      </c>
      <c r="AH2773" s="22" t="s">
        <v>2742</v>
      </c>
      <c r="AI2773" s="22" t="s">
        <v>577</v>
      </c>
      <c r="AJ2773" s="22" t="s">
        <v>132</v>
      </c>
      <c r="AK2773" s="22" t="s">
        <v>132</v>
      </c>
      <c r="AW2773" s="22" t="s">
        <v>119</v>
      </c>
      <c r="AX2773" s="22">
        <v>6</v>
      </c>
      <c r="AZ2773" s="22" t="s">
        <v>141</v>
      </c>
      <c r="BK2773" s="22">
        <v>3200</v>
      </c>
      <c r="BL2773" s="22">
        <v>2400</v>
      </c>
      <c r="BO2773" s="22" t="s">
        <v>2871</v>
      </c>
      <c r="BP2773" s="399"/>
      <c r="BQ2773" s="399"/>
      <c r="BU2773" s="399"/>
      <c r="BV2773" s="399"/>
      <c r="BZ2773" s="399"/>
      <c r="CA2773" s="399"/>
      <c r="CE2773" s="552"/>
      <c r="CF2773" s="552"/>
      <c r="CG2773" s="552"/>
      <c r="CH2773" s="552"/>
      <c r="FV2773" s="22">
        <v>3.43</v>
      </c>
      <c r="FW2773" s="22">
        <v>1.01</v>
      </c>
      <c r="FX2773" s="22">
        <f>0.91-0.15</f>
        <v>0.76</v>
      </c>
      <c r="FZ2773" s="22" t="s">
        <v>2872</v>
      </c>
      <c r="JD2773" s="276"/>
    </row>
    <row r="2774" spans="1:264" s="22" customFormat="1" x14ac:dyDescent="0.25">
      <c r="A2774" s="22">
        <v>129</v>
      </c>
      <c r="B2774" s="45" t="s">
        <v>4365</v>
      </c>
      <c r="C2774" s="22" t="s">
        <v>2866</v>
      </c>
      <c r="D2774" s="22" t="s">
        <v>525</v>
      </c>
      <c r="E2774" s="22">
        <v>1999</v>
      </c>
      <c r="F2774" s="22">
        <v>1997</v>
      </c>
      <c r="G2774" s="22" t="s">
        <v>2766</v>
      </c>
      <c r="H2774" s="22" t="s">
        <v>2867</v>
      </c>
      <c r="I2774" s="22" t="s">
        <v>2857</v>
      </c>
      <c r="J2774" s="22">
        <f t="shared" si="384"/>
        <v>0.43333333333333335</v>
      </c>
      <c r="K2774" s="22">
        <f t="shared" si="385"/>
        <v>33.466666666666669</v>
      </c>
      <c r="L2774" s="22">
        <v>1189</v>
      </c>
      <c r="P2774" s="22">
        <v>1350</v>
      </c>
      <c r="R2774" s="45" t="s">
        <v>1977</v>
      </c>
      <c r="S2774" s="45" t="s">
        <v>1847</v>
      </c>
      <c r="T2774" s="45"/>
      <c r="U2774" s="45" t="s">
        <v>2869</v>
      </c>
      <c r="V2774" s="45"/>
      <c r="W2774" s="45"/>
      <c r="X2774" s="45"/>
      <c r="Y2774" s="45"/>
      <c r="AA2774" s="325"/>
      <c r="AB2774" s="325"/>
      <c r="AC2774" s="22" t="s">
        <v>240</v>
      </c>
      <c r="AH2774" s="22" t="s">
        <v>2742</v>
      </c>
      <c r="AI2774" s="22" t="s">
        <v>577</v>
      </c>
      <c r="AJ2774" s="22" t="s">
        <v>132</v>
      </c>
      <c r="AK2774" s="22" t="s">
        <v>132</v>
      </c>
      <c r="AW2774" s="22" t="s">
        <v>119</v>
      </c>
      <c r="AX2774" s="22">
        <v>6</v>
      </c>
      <c r="AZ2774" s="22" t="s">
        <v>141</v>
      </c>
      <c r="BO2774" s="22" t="s">
        <v>2871</v>
      </c>
      <c r="BP2774" s="399"/>
      <c r="BQ2774" s="399"/>
      <c r="BU2774" s="399"/>
      <c r="BV2774" s="399"/>
      <c r="BZ2774" s="399"/>
      <c r="CA2774" s="399"/>
      <c r="CE2774" s="552"/>
      <c r="CF2774" s="552"/>
      <c r="CG2774" s="552"/>
      <c r="CH2774" s="552"/>
      <c r="FV2774" s="22">
        <v>3.52</v>
      </c>
      <c r="FW2774" s="22">
        <v>2.2599999999999998</v>
      </c>
      <c r="FX2774" s="22">
        <f>1.5-0.88</f>
        <v>0.62</v>
      </c>
      <c r="FZ2774" s="22" t="s">
        <v>2872</v>
      </c>
      <c r="JD2774" s="276"/>
    </row>
    <row r="2775" spans="1:264" s="22" customFormat="1" x14ac:dyDescent="0.25">
      <c r="A2775" s="22">
        <v>129</v>
      </c>
      <c r="B2775" s="45" t="s">
        <v>4365</v>
      </c>
      <c r="C2775" s="22" t="s">
        <v>2866</v>
      </c>
      <c r="D2775" s="22" t="s">
        <v>525</v>
      </c>
      <c r="E2775" s="22">
        <v>1999</v>
      </c>
      <c r="F2775" s="22">
        <v>1997</v>
      </c>
      <c r="G2775" s="22" t="s">
        <v>2766</v>
      </c>
      <c r="H2775" s="22" t="s">
        <v>2867</v>
      </c>
      <c r="I2775" s="22" t="s">
        <v>2857</v>
      </c>
      <c r="J2775" s="22">
        <f t="shared" si="384"/>
        <v>0.43333333333333335</v>
      </c>
      <c r="K2775" s="22">
        <f t="shared" si="385"/>
        <v>33.466666666666669</v>
      </c>
      <c r="L2775" s="22">
        <v>1189</v>
      </c>
      <c r="P2775" s="22">
        <v>1350</v>
      </c>
      <c r="R2775" s="45" t="s">
        <v>1977</v>
      </c>
      <c r="S2775" s="45" t="s">
        <v>1847</v>
      </c>
      <c r="T2775" s="45"/>
      <c r="U2775" s="45" t="s">
        <v>2869</v>
      </c>
      <c r="V2775" s="45"/>
      <c r="W2775" s="45"/>
      <c r="X2775" s="45"/>
      <c r="Y2775" s="45"/>
      <c r="AA2775" s="325"/>
      <c r="AB2775" s="325"/>
      <c r="AC2775" s="22" t="s">
        <v>240</v>
      </c>
      <c r="AH2775" s="22" t="s">
        <v>2742</v>
      </c>
      <c r="AI2775" s="22" t="s">
        <v>577</v>
      </c>
      <c r="AJ2775" s="22" t="s">
        <v>132</v>
      </c>
      <c r="AK2775" s="22" t="s">
        <v>132</v>
      </c>
      <c r="AW2775" s="22" t="s">
        <v>119</v>
      </c>
      <c r="AX2775" s="22">
        <v>6</v>
      </c>
      <c r="AZ2775" s="22" t="s">
        <v>141</v>
      </c>
      <c r="BK2775" s="22">
        <v>2300</v>
      </c>
      <c r="BL2775" s="22">
        <v>3700</v>
      </c>
      <c r="BO2775" s="22" t="s">
        <v>2871</v>
      </c>
      <c r="BP2775" s="399"/>
      <c r="BQ2775" s="399"/>
      <c r="BU2775" s="399"/>
      <c r="BV2775" s="399"/>
      <c r="BZ2775" s="399"/>
      <c r="CA2775" s="399"/>
      <c r="CE2775" s="552"/>
      <c r="CF2775" s="552"/>
      <c r="CG2775" s="552"/>
      <c r="CH2775" s="552"/>
      <c r="FV2775" s="22">
        <v>3.81</v>
      </c>
      <c r="FW2775" s="22">
        <v>2.39</v>
      </c>
      <c r="FX2775" s="22">
        <f>1.03-0.35</f>
        <v>0.68</v>
      </c>
      <c r="FZ2775" s="22" t="s">
        <v>2872</v>
      </c>
      <c r="JD2775" s="276"/>
    </row>
    <row r="2776" spans="1:264" s="22" customFormat="1" x14ac:dyDescent="0.25">
      <c r="A2776" s="22">
        <v>129</v>
      </c>
      <c r="B2776" s="45" t="s">
        <v>4365</v>
      </c>
      <c r="C2776" s="22" t="s">
        <v>2866</v>
      </c>
      <c r="D2776" s="22" t="s">
        <v>525</v>
      </c>
      <c r="E2776" s="22">
        <v>1999</v>
      </c>
      <c r="F2776" s="22">
        <v>1997</v>
      </c>
      <c r="G2776" s="22" t="s">
        <v>2766</v>
      </c>
      <c r="H2776" s="22" t="s">
        <v>2867</v>
      </c>
      <c r="I2776" s="22" t="s">
        <v>2857</v>
      </c>
      <c r="J2776" s="22">
        <f t="shared" si="384"/>
        <v>0.43333333333333335</v>
      </c>
      <c r="K2776" s="22">
        <f t="shared" si="385"/>
        <v>33.466666666666669</v>
      </c>
      <c r="L2776" s="22">
        <v>1189</v>
      </c>
      <c r="P2776" s="22">
        <v>1350</v>
      </c>
      <c r="R2776" s="45" t="s">
        <v>1977</v>
      </c>
      <c r="S2776" s="45" t="s">
        <v>1847</v>
      </c>
      <c r="T2776" s="45"/>
      <c r="U2776" s="45" t="s">
        <v>2869</v>
      </c>
      <c r="V2776" s="45"/>
      <c r="W2776" s="45"/>
      <c r="X2776" s="45"/>
      <c r="Y2776" s="45"/>
      <c r="AA2776" s="325"/>
      <c r="AB2776" s="325"/>
      <c r="AC2776" s="22" t="s">
        <v>240</v>
      </c>
      <c r="AH2776" s="22" t="s">
        <v>2742</v>
      </c>
      <c r="AI2776" s="22" t="s">
        <v>577</v>
      </c>
      <c r="AJ2776" s="22" t="s">
        <v>132</v>
      </c>
      <c r="AK2776" s="22" t="s">
        <v>132</v>
      </c>
      <c r="AW2776" s="22" t="s">
        <v>119</v>
      </c>
      <c r="AX2776" s="22">
        <v>6</v>
      </c>
      <c r="AZ2776" s="22" t="s">
        <v>141</v>
      </c>
      <c r="BK2776" s="22">
        <v>8100</v>
      </c>
      <c r="BL2776" s="22">
        <v>6100</v>
      </c>
      <c r="BO2776" s="22" t="s">
        <v>2871</v>
      </c>
      <c r="BP2776" s="399"/>
      <c r="BQ2776" s="399"/>
      <c r="BU2776" s="399"/>
      <c r="BV2776" s="399"/>
      <c r="BZ2776" s="399"/>
      <c r="CA2776" s="399"/>
      <c r="CE2776" s="552"/>
      <c r="CF2776" s="552"/>
      <c r="CG2776" s="552"/>
      <c r="CH2776" s="552"/>
      <c r="JD2776" s="276"/>
    </row>
    <row r="2777" spans="1:264" s="22" customFormat="1" x14ac:dyDescent="0.25">
      <c r="A2777" s="22">
        <v>129</v>
      </c>
      <c r="B2777" s="45" t="s">
        <v>4366</v>
      </c>
      <c r="C2777" s="22" t="s">
        <v>2866</v>
      </c>
      <c r="D2777" s="22" t="s">
        <v>525</v>
      </c>
      <c r="E2777" s="22">
        <v>1999</v>
      </c>
      <c r="F2777" s="22">
        <v>1997</v>
      </c>
      <c r="G2777" s="22" t="s">
        <v>2766</v>
      </c>
      <c r="H2777" s="22" t="s">
        <v>2867</v>
      </c>
      <c r="I2777" s="22" t="s">
        <v>2857</v>
      </c>
      <c r="J2777" s="22">
        <f t="shared" si="384"/>
        <v>0.43333333333333335</v>
      </c>
      <c r="K2777" s="22">
        <f t="shared" si="385"/>
        <v>33.466666666666669</v>
      </c>
      <c r="L2777" s="22">
        <v>1189</v>
      </c>
      <c r="P2777" s="22">
        <v>1350</v>
      </c>
      <c r="R2777" s="45" t="s">
        <v>1977</v>
      </c>
      <c r="S2777" s="45" t="s">
        <v>1847</v>
      </c>
      <c r="T2777" s="45"/>
      <c r="U2777" s="45" t="s">
        <v>2869</v>
      </c>
      <c r="V2777" s="45"/>
      <c r="W2777" s="45"/>
      <c r="X2777" s="45"/>
      <c r="Y2777" s="45"/>
      <c r="AA2777" s="325"/>
      <c r="AB2777" s="325"/>
      <c r="AC2777" s="22" t="s">
        <v>240</v>
      </c>
      <c r="AH2777" s="22" t="s">
        <v>2742</v>
      </c>
      <c r="AI2777" s="22" t="s">
        <v>577</v>
      </c>
      <c r="AJ2777" s="22" t="s">
        <v>2868</v>
      </c>
      <c r="AK2777" s="22" t="s">
        <v>229</v>
      </c>
      <c r="AW2777" s="22" t="s">
        <v>119</v>
      </c>
      <c r="AX2777" s="22">
        <v>6</v>
      </c>
      <c r="AZ2777" s="22" t="s">
        <v>141</v>
      </c>
      <c r="BK2777" s="22">
        <v>500</v>
      </c>
      <c r="BL2777" s="22">
        <v>800</v>
      </c>
      <c r="BO2777" s="22" t="s">
        <v>2871</v>
      </c>
      <c r="BP2777" s="399"/>
      <c r="BQ2777" s="399"/>
      <c r="BU2777" s="399"/>
      <c r="BV2777" s="399"/>
      <c r="BZ2777" s="399"/>
      <c r="CA2777" s="399"/>
      <c r="CE2777" s="552"/>
      <c r="CF2777" s="552"/>
      <c r="CG2777" s="552"/>
      <c r="CH2777" s="552"/>
      <c r="JD2777" s="276"/>
    </row>
    <row r="2778" spans="1:264" s="509" customFormat="1" x14ac:dyDescent="0.25">
      <c r="A2778" s="509">
        <v>129</v>
      </c>
      <c r="B2778" s="510" t="s">
        <v>4365</v>
      </c>
      <c r="C2778" s="509" t="s">
        <v>2866</v>
      </c>
      <c r="D2778" s="509" t="s">
        <v>525</v>
      </c>
      <c r="E2778" s="509">
        <v>1999</v>
      </c>
      <c r="F2778" s="509">
        <v>1997</v>
      </c>
      <c r="G2778" s="509" t="s">
        <v>2766</v>
      </c>
      <c r="H2778" s="509" t="s">
        <v>2867</v>
      </c>
      <c r="I2778" s="509" t="s">
        <v>2857</v>
      </c>
      <c r="J2778" s="509">
        <f t="shared" si="384"/>
        <v>0.43333333333333335</v>
      </c>
      <c r="K2778" s="509">
        <f t="shared" si="385"/>
        <v>33.466666666666669</v>
      </c>
      <c r="L2778" s="509">
        <v>1189</v>
      </c>
      <c r="P2778" s="509">
        <v>1350</v>
      </c>
      <c r="R2778" s="510" t="s">
        <v>1977</v>
      </c>
      <c r="S2778" s="510" t="s">
        <v>1847</v>
      </c>
      <c r="T2778" s="510"/>
      <c r="U2778" s="510" t="s">
        <v>2869</v>
      </c>
      <c r="V2778" s="510"/>
      <c r="W2778" s="510"/>
      <c r="X2778" s="510"/>
      <c r="Y2778" s="510"/>
      <c r="AA2778" s="511"/>
      <c r="AB2778" s="511"/>
      <c r="AC2778" s="509" t="s">
        <v>240</v>
      </c>
      <c r="AH2778" s="509" t="s">
        <v>2743</v>
      </c>
      <c r="AI2778" s="509" t="s">
        <v>577</v>
      </c>
      <c r="AJ2778" s="509" t="s">
        <v>132</v>
      </c>
      <c r="AK2778" s="509" t="s">
        <v>132</v>
      </c>
      <c r="AW2778" s="509" t="s">
        <v>119</v>
      </c>
      <c r="AX2778" s="509">
        <v>6</v>
      </c>
      <c r="AZ2778" s="509" t="s">
        <v>141</v>
      </c>
      <c r="BK2778" s="509">
        <v>3200</v>
      </c>
      <c r="BL2778" s="509">
        <v>1600</v>
      </c>
      <c r="BO2778" s="509" t="s">
        <v>2871</v>
      </c>
      <c r="BP2778" s="512"/>
      <c r="BQ2778" s="512"/>
      <c r="BU2778" s="512"/>
      <c r="BV2778" s="512"/>
      <c r="BZ2778" s="512"/>
      <c r="CA2778" s="512"/>
      <c r="CE2778" s="607"/>
      <c r="CF2778" s="607"/>
      <c r="CG2778" s="607"/>
      <c r="CH2778" s="607"/>
      <c r="FV2778" s="509">
        <v>4.3360000000000003</v>
      </c>
      <c r="FW2778" s="509">
        <v>0.97</v>
      </c>
      <c r="FX2778" s="509">
        <f>0.74-0.3</f>
        <v>0.44</v>
      </c>
      <c r="FZ2778" s="509" t="s">
        <v>2872</v>
      </c>
      <c r="JD2778" s="513"/>
    </row>
    <row r="2779" spans="1:264" s="509" customFormat="1" x14ac:dyDescent="0.25">
      <c r="A2779" s="509">
        <v>129</v>
      </c>
      <c r="B2779" s="510" t="s">
        <v>4365</v>
      </c>
      <c r="C2779" s="509" t="s">
        <v>2866</v>
      </c>
      <c r="D2779" s="509" t="s">
        <v>525</v>
      </c>
      <c r="E2779" s="509">
        <v>1999</v>
      </c>
      <c r="F2779" s="509">
        <v>1997</v>
      </c>
      <c r="G2779" s="509" t="s">
        <v>2766</v>
      </c>
      <c r="H2779" s="509" t="s">
        <v>2867</v>
      </c>
      <c r="I2779" s="509" t="s">
        <v>2857</v>
      </c>
      <c r="J2779" s="509">
        <f t="shared" si="384"/>
        <v>0.43333333333333335</v>
      </c>
      <c r="K2779" s="509">
        <f t="shared" si="385"/>
        <v>33.466666666666669</v>
      </c>
      <c r="L2779" s="509">
        <v>1189</v>
      </c>
      <c r="P2779" s="509">
        <v>1350</v>
      </c>
      <c r="R2779" s="510" t="s">
        <v>1977</v>
      </c>
      <c r="S2779" s="510" t="s">
        <v>1847</v>
      </c>
      <c r="T2779" s="510"/>
      <c r="U2779" s="510" t="s">
        <v>2869</v>
      </c>
      <c r="V2779" s="510"/>
      <c r="W2779" s="510"/>
      <c r="X2779" s="510"/>
      <c r="Y2779" s="510"/>
      <c r="AA2779" s="511"/>
      <c r="AB2779" s="511"/>
      <c r="AC2779" s="509" t="s">
        <v>240</v>
      </c>
      <c r="AH2779" s="509" t="s">
        <v>2743</v>
      </c>
      <c r="AI2779" s="509" t="s">
        <v>577</v>
      </c>
      <c r="AJ2779" s="509" t="s">
        <v>132</v>
      </c>
      <c r="AK2779" s="509" t="s">
        <v>132</v>
      </c>
      <c r="AW2779" s="509" t="s">
        <v>119</v>
      </c>
      <c r="AX2779" s="509">
        <v>6</v>
      </c>
      <c r="AZ2779" s="509" t="s">
        <v>141</v>
      </c>
      <c r="BO2779" s="509" t="s">
        <v>2871</v>
      </c>
      <c r="BP2779" s="512"/>
      <c r="BQ2779" s="512"/>
      <c r="BU2779" s="512"/>
      <c r="BV2779" s="512"/>
      <c r="BZ2779" s="512"/>
      <c r="CA2779" s="512"/>
      <c r="CE2779" s="607"/>
      <c r="CF2779" s="607"/>
      <c r="CG2779" s="607"/>
      <c r="CH2779" s="607"/>
      <c r="FV2779" s="509">
        <v>3.21</v>
      </c>
      <c r="FW2779" s="509">
        <v>2.17</v>
      </c>
      <c r="FX2779" s="509">
        <f>1.45-0.94</f>
        <v>0.51</v>
      </c>
      <c r="FZ2779" s="509" t="s">
        <v>2872</v>
      </c>
      <c r="JD2779" s="513"/>
    </row>
    <row r="2780" spans="1:264" s="509" customFormat="1" x14ac:dyDescent="0.25">
      <c r="A2780" s="509">
        <v>129</v>
      </c>
      <c r="B2780" s="510" t="s">
        <v>4365</v>
      </c>
      <c r="C2780" s="509" t="s">
        <v>2866</v>
      </c>
      <c r="D2780" s="509" t="s">
        <v>525</v>
      </c>
      <c r="E2780" s="509">
        <v>1999</v>
      </c>
      <c r="F2780" s="509">
        <v>1997</v>
      </c>
      <c r="G2780" s="509" t="s">
        <v>2766</v>
      </c>
      <c r="H2780" s="509" t="s">
        <v>2867</v>
      </c>
      <c r="I2780" s="509" t="s">
        <v>2857</v>
      </c>
      <c r="J2780" s="509">
        <f t="shared" si="384"/>
        <v>0.43333333333333335</v>
      </c>
      <c r="K2780" s="509">
        <f t="shared" si="385"/>
        <v>33.466666666666669</v>
      </c>
      <c r="L2780" s="509">
        <v>1189</v>
      </c>
      <c r="P2780" s="509">
        <v>1350</v>
      </c>
      <c r="R2780" s="510" t="s">
        <v>1977</v>
      </c>
      <c r="S2780" s="510" t="s">
        <v>1847</v>
      </c>
      <c r="T2780" s="510"/>
      <c r="U2780" s="510" t="s">
        <v>2869</v>
      </c>
      <c r="V2780" s="510"/>
      <c r="W2780" s="510"/>
      <c r="X2780" s="510"/>
      <c r="Y2780" s="510"/>
      <c r="AA2780" s="511"/>
      <c r="AB2780" s="511"/>
      <c r="AC2780" s="509" t="s">
        <v>240</v>
      </c>
      <c r="AH2780" s="509" t="s">
        <v>2743</v>
      </c>
      <c r="AI2780" s="509" t="s">
        <v>577</v>
      </c>
      <c r="AJ2780" s="509" t="s">
        <v>132</v>
      </c>
      <c r="AK2780" s="509" t="s">
        <v>132</v>
      </c>
      <c r="AW2780" s="509" t="s">
        <v>119</v>
      </c>
      <c r="AX2780" s="509">
        <v>6</v>
      </c>
      <c r="AZ2780" s="509" t="s">
        <v>141</v>
      </c>
      <c r="BK2780" s="509">
        <v>2300</v>
      </c>
      <c r="BL2780" s="509">
        <v>2700</v>
      </c>
      <c r="BO2780" s="509" t="s">
        <v>2871</v>
      </c>
      <c r="BP2780" s="512"/>
      <c r="BQ2780" s="512"/>
      <c r="BU2780" s="512"/>
      <c r="BV2780" s="512"/>
      <c r="BZ2780" s="512"/>
      <c r="CA2780" s="512"/>
      <c r="CE2780" s="607"/>
      <c r="CF2780" s="607"/>
      <c r="CG2780" s="607"/>
      <c r="CH2780" s="607"/>
      <c r="FV2780" s="509">
        <v>3.41</v>
      </c>
      <c r="FW2780" s="509">
        <v>2.61</v>
      </c>
      <c r="FX2780" s="509">
        <f>0.99-0.45</f>
        <v>0.54</v>
      </c>
      <c r="FZ2780" s="509" t="s">
        <v>2872</v>
      </c>
      <c r="JD2780" s="513"/>
    </row>
    <row r="2781" spans="1:264" s="509" customFormat="1" x14ac:dyDescent="0.25">
      <c r="A2781" s="509">
        <v>129</v>
      </c>
      <c r="B2781" s="510" t="s">
        <v>4365</v>
      </c>
      <c r="C2781" s="509" t="s">
        <v>2866</v>
      </c>
      <c r="D2781" s="509" t="s">
        <v>525</v>
      </c>
      <c r="E2781" s="509">
        <v>1999</v>
      </c>
      <c r="F2781" s="509">
        <v>1997</v>
      </c>
      <c r="G2781" s="509" t="s">
        <v>2766</v>
      </c>
      <c r="H2781" s="509" t="s">
        <v>2867</v>
      </c>
      <c r="I2781" s="509" t="s">
        <v>2857</v>
      </c>
      <c r="J2781" s="509">
        <f t="shared" si="384"/>
        <v>0.43333333333333335</v>
      </c>
      <c r="K2781" s="509">
        <f t="shared" si="385"/>
        <v>33.466666666666669</v>
      </c>
      <c r="L2781" s="509">
        <v>1189</v>
      </c>
      <c r="P2781" s="509">
        <v>1350</v>
      </c>
      <c r="R2781" s="510" t="s">
        <v>1977</v>
      </c>
      <c r="S2781" s="510" t="s">
        <v>1847</v>
      </c>
      <c r="T2781" s="510"/>
      <c r="U2781" s="510" t="s">
        <v>2869</v>
      </c>
      <c r="V2781" s="510"/>
      <c r="W2781" s="510"/>
      <c r="X2781" s="510"/>
      <c r="Y2781" s="510"/>
      <c r="AA2781" s="511"/>
      <c r="AB2781" s="511"/>
      <c r="AC2781" s="509" t="s">
        <v>240</v>
      </c>
      <c r="AH2781" s="509" t="s">
        <v>2743</v>
      </c>
      <c r="AI2781" s="509" t="s">
        <v>577</v>
      </c>
      <c r="AJ2781" s="509" t="s">
        <v>132</v>
      </c>
      <c r="AK2781" s="509" t="s">
        <v>132</v>
      </c>
      <c r="AW2781" s="509" t="s">
        <v>119</v>
      </c>
      <c r="AX2781" s="509">
        <v>6</v>
      </c>
      <c r="AZ2781" s="509" t="s">
        <v>141</v>
      </c>
      <c r="BK2781" s="509">
        <v>8100</v>
      </c>
      <c r="BL2781" s="509">
        <v>4300</v>
      </c>
      <c r="BO2781" s="509" t="s">
        <v>2871</v>
      </c>
      <c r="BP2781" s="512"/>
      <c r="BQ2781" s="512"/>
      <c r="BU2781" s="512"/>
      <c r="BV2781" s="512"/>
      <c r="BZ2781" s="512"/>
      <c r="CA2781" s="512"/>
      <c r="CE2781" s="607"/>
      <c r="CF2781" s="607"/>
      <c r="CG2781" s="607"/>
      <c r="CH2781" s="607"/>
      <c r="JD2781" s="513"/>
    </row>
    <row r="2782" spans="1:264" s="509" customFormat="1" x14ac:dyDescent="0.25">
      <c r="A2782" s="509">
        <v>129</v>
      </c>
      <c r="B2782" s="510" t="s">
        <v>4366</v>
      </c>
      <c r="C2782" s="509" t="s">
        <v>2866</v>
      </c>
      <c r="D2782" s="509" t="s">
        <v>525</v>
      </c>
      <c r="E2782" s="509">
        <v>1999</v>
      </c>
      <c r="F2782" s="509">
        <v>1997</v>
      </c>
      <c r="G2782" s="509" t="s">
        <v>2766</v>
      </c>
      <c r="H2782" s="509" t="s">
        <v>2867</v>
      </c>
      <c r="I2782" s="509" t="s">
        <v>2857</v>
      </c>
      <c r="J2782" s="509">
        <f t="shared" si="384"/>
        <v>0.43333333333333335</v>
      </c>
      <c r="K2782" s="509">
        <f t="shared" si="385"/>
        <v>33.466666666666669</v>
      </c>
      <c r="L2782" s="509">
        <v>1189</v>
      </c>
      <c r="P2782" s="509">
        <v>1350</v>
      </c>
      <c r="R2782" s="510" t="s">
        <v>1977</v>
      </c>
      <c r="S2782" s="510" t="s">
        <v>1847</v>
      </c>
      <c r="T2782" s="510"/>
      <c r="U2782" s="510" t="s">
        <v>2869</v>
      </c>
      <c r="V2782" s="510"/>
      <c r="W2782" s="510"/>
      <c r="X2782" s="510"/>
      <c r="Y2782" s="510"/>
      <c r="AA2782" s="511"/>
      <c r="AB2782" s="511"/>
      <c r="AC2782" s="509" t="s">
        <v>240</v>
      </c>
      <c r="AH2782" s="509" t="s">
        <v>2743</v>
      </c>
      <c r="AI2782" s="509" t="s">
        <v>577</v>
      </c>
      <c r="AJ2782" s="509" t="s">
        <v>2868</v>
      </c>
      <c r="AK2782" s="22" t="s">
        <v>229</v>
      </c>
      <c r="AW2782" s="509" t="s">
        <v>119</v>
      </c>
      <c r="AX2782" s="509">
        <v>6</v>
      </c>
      <c r="AZ2782" s="509" t="s">
        <v>141</v>
      </c>
      <c r="BK2782" s="509">
        <v>500</v>
      </c>
      <c r="BL2782" s="509">
        <v>880</v>
      </c>
      <c r="BO2782" s="509" t="s">
        <v>2871</v>
      </c>
      <c r="BP2782" s="512"/>
      <c r="BQ2782" s="512"/>
      <c r="BU2782" s="512"/>
      <c r="BV2782" s="512"/>
      <c r="BZ2782" s="512"/>
      <c r="CA2782" s="512"/>
      <c r="CE2782" s="607"/>
      <c r="CF2782" s="607"/>
      <c r="CG2782" s="607"/>
      <c r="CH2782" s="607"/>
      <c r="JD2782" s="513"/>
    </row>
    <row r="2783" spans="1:264" s="24" customFormat="1" x14ac:dyDescent="0.25">
      <c r="A2783" s="24">
        <v>130</v>
      </c>
      <c r="B2783" s="42" t="s">
        <v>4367</v>
      </c>
      <c r="C2783" s="24" t="s">
        <v>2866</v>
      </c>
      <c r="D2783" s="24" t="s">
        <v>525</v>
      </c>
      <c r="E2783" s="24">
        <v>1997</v>
      </c>
      <c r="F2783" s="24">
        <v>1993</v>
      </c>
      <c r="G2783" s="24" t="s">
        <v>2426</v>
      </c>
      <c r="H2783" s="24" t="s">
        <v>2873</v>
      </c>
      <c r="I2783" s="24" t="s">
        <v>2857</v>
      </c>
      <c r="J2783" s="24">
        <f t="shared" ref="J2783:J2826" si="386">24/60</f>
        <v>0.4</v>
      </c>
      <c r="K2783" s="24">
        <f t="shared" ref="K2783:K2826" si="387">32.5</f>
        <v>32.5</v>
      </c>
      <c r="L2783" s="24">
        <v>1200</v>
      </c>
      <c r="R2783" s="42" t="s">
        <v>1977</v>
      </c>
      <c r="S2783" s="42" t="s">
        <v>1858</v>
      </c>
      <c r="T2783" s="42"/>
      <c r="U2783" s="42" t="s">
        <v>2881</v>
      </c>
      <c r="V2783" s="42"/>
      <c r="W2783" s="42"/>
      <c r="X2783" s="42"/>
      <c r="Y2783" s="42" t="s">
        <v>1379</v>
      </c>
      <c r="AA2783" s="321">
        <v>50</v>
      </c>
      <c r="AB2783" s="321">
        <v>13</v>
      </c>
      <c r="AC2783" s="24" t="s">
        <v>2695</v>
      </c>
      <c r="AD2783" s="24">
        <v>5.2</v>
      </c>
      <c r="AE2783" s="24">
        <v>3</v>
      </c>
      <c r="AG2783" s="24" t="s">
        <v>2874</v>
      </c>
      <c r="AH2783" s="24" t="s">
        <v>2744</v>
      </c>
      <c r="AI2783" s="24" t="s">
        <v>577</v>
      </c>
      <c r="AJ2783" s="24" t="s">
        <v>1645</v>
      </c>
      <c r="AK2783" s="24" t="s">
        <v>132</v>
      </c>
      <c r="AW2783" s="24" t="s">
        <v>160</v>
      </c>
      <c r="BB2783" s="24">
        <v>1800</v>
      </c>
      <c r="BC2783" s="24">
        <v>27.5</v>
      </c>
      <c r="BE2783" s="24" t="s">
        <v>2875</v>
      </c>
      <c r="BK2783" s="24">
        <v>420</v>
      </c>
      <c r="BL2783" s="24">
        <v>210</v>
      </c>
      <c r="BO2783" s="24" t="s">
        <v>2877</v>
      </c>
      <c r="BP2783" s="395"/>
      <c r="BQ2783" s="395"/>
      <c r="BU2783" s="395"/>
      <c r="BV2783" s="395"/>
      <c r="BZ2783" s="395"/>
      <c r="CA2783" s="395"/>
      <c r="CE2783" s="548"/>
      <c r="CF2783" s="548"/>
      <c r="CG2783" s="548"/>
      <c r="CH2783" s="548"/>
      <c r="HJ2783" s="24">
        <v>9.34</v>
      </c>
      <c r="HK2783" s="24">
        <v>12.13</v>
      </c>
      <c r="HN2783" s="24" t="s">
        <v>2879</v>
      </c>
      <c r="JD2783" s="249"/>
    </row>
    <row r="2784" spans="1:264" s="24" customFormat="1" x14ac:dyDescent="0.25">
      <c r="A2784" s="24">
        <v>130</v>
      </c>
      <c r="B2784" s="42" t="s">
        <v>4367</v>
      </c>
      <c r="C2784" s="24" t="s">
        <v>2866</v>
      </c>
      <c r="D2784" s="24" t="s">
        <v>525</v>
      </c>
      <c r="E2784" s="24">
        <v>1997</v>
      </c>
      <c r="F2784" s="24">
        <v>1994</v>
      </c>
      <c r="G2784" s="24" t="s">
        <v>2426</v>
      </c>
      <c r="H2784" s="24" t="s">
        <v>2873</v>
      </c>
      <c r="I2784" s="24" t="s">
        <v>2857</v>
      </c>
      <c r="J2784" s="24">
        <f t="shared" si="386"/>
        <v>0.4</v>
      </c>
      <c r="K2784" s="24">
        <f t="shared" si="387"/>
        <v>32.5</v>
      </c>
      <c r="L2784" s="24">
        <v>1200</v>
      </c>
      <c r="R2784" s="42" t="s">
        <v>1847</v>
      </c>
      <c r="S2784" s="42" t="s">
        <v>1858</v>
      </c>
      <c r="T2784" s="42"/>
      <c r="U2784" s="42" t="s">
        <v>2881</v>
      </c>
      <c r="V2784" s="42"/>
      <c r="W2784" s="42"/>
      <c r="X2784" s="42"/>
      <c r="Y2784" s="42" t="s">
        <v>1379</v>
      </c>
      <c r="AA2784" s="321">
        <v>50</v>
      </c>
      <c r="AB2784" s="321">
        <v>13</v>
      </c>
      <c r="AC2784" s="24" t="s">
        <v>2695</v>
      </c>
      <c r="AD2784" s="24">
        <v>5.2</v>
      </c>
      <c r="AE2784" s="24">
        <v>3</v>
      </c>
      <c r="AG2784" s="24" t="s">
        <v>2874</v>
      </c>
      <c r="AH2784" s="24" t="s">
        <v>2744</v>
      </c>
      <c r="AI2784" s="24" t="s">
        <v>577</v>
      </c>
      <c r="AJ2784" s="24" t="s">
        <v>1645</v>
      </c>
      <c r="AK2784" s="24" t="s">
        <v>132</v>
      </c>
      <c r="AW2784" s="24" t="s">
        <v>160</v>
      </c>
      <c r="BB2784" s="24">
        <v>2930</v>
      </c>
      <c r="BC2784" s="24">
        <v>27.5</v>
      </c>
      <c r="BE2784" s="24" t="s">
        <v>2875</v>
      </c>
      <c r="BK2784" s="24">
        <v>2200</v>
      </c>
      <c r="BL2784" s="24">
        <v>1050</v>
      </c>
      <c r="BO2784" s="24" t="s">
        <v>2877</v>
      </c>
      <c r="BP2784" s="395"/>
      <c r="BQ2784" s="395"/>
      <c r="BU2784" s="395"/>
      <c r="BV2784" s="395"/>
      <c r="BZ2784" s="395"/>
      <c r="CA2784" s="395"/>
      <c r="CE2784" s="548"/>
      <c r="CF2784" s="548"/>
      <c r="CG2784" s="548"/>
      <c r="CH2784" s="548"/>
      <c r="HJ2784" s="24">
        <v>19.22</v>
      </c>
      <c r="HK2784" s="24">
        <v>36.61</v>
      </c>
      <c r="HN2784" s="24" t="s">
        <v>2879</v>
      </c>
      <c r="JD2784" s="249"/>
    </row>
    <row r="2785" spans="1:264" s="24" customFormat="1" x14ac:dyDescent="0.25">
      <c r="A2785" s="24">
        <v>130</v>
      </c>
      <c r="B2785" s="42" t="s">
        <v>4367</v>
      </c>
      <c r="C2785" s="24" t="s">
        <v>2866</v>
      </c>
      <c r="D2785" s="24" t="s">
        <v>525</v>
      </c>
      <c r="E2785" s="24">
        <v>1997</v>
      </c>
      <c r="F2785" s="24">
        <v>1995</v>
      </c>
      <c r="G2785" s="24" t="s">
        <v>2426</v>
      </c>
      <c r="H2785" s="24" t="s">
        <v>2873</v>
      </c>
      <c r="I2785" s="24" t="s">
        <v>2857</v>
      </c>
      <c r="J2785" s="24">
        <f t="shared" si="386"/>
        <v>0.4</v>
      </c>
      <c r="K2785" s="24">
        <f t="shared" si="387"/>
        <v>32.5</v>
      </c>
      <c r="L2785" s="24">
        <v>1200</v>
      </c>
      <c r="R2785" s="42" t="s">
        <v>1728</v>
      </c>
      <c r="S2785" s="42" t="s">
        <v>1858</v>
      </c>
      <c r="T2785" s="42"/>
      <c r="U2785" s="42" t="s">
        <v>2881</v>
      </c>
      <c r="V2785" s="42"/>
      <c r="W2785" s="42"/>
      <c r="X2785" s="42"/>
      <c r="Y2785" s="42" t="s">
        <v>1379</v>
      </c>
      <c r="AA2785" s="321">
        <v>50</v>
      </c>
      <c r="AB2785" s="321">
        <v>13</v>
      </c>
      <c r="AC2785" s="24" t="s">
        <v>2695</v>
      </c>
      <c r="AD2785" s="24">
        <v>5.2</v>
      </c>
      <c r="AE2785" s="24">
        <v>3</v>
      </c>
      <c r="AG2785" s="24" t="s">
        <v>2874</v>
      </c>
      <c r="AH2785" s="24" t="s">
        <v>2744</v>
      </c>
      <c r="AI2785" s="24" t="s">
        <v>577</v>
      </c>
      <c r="AJ2785" s="24" t="s">
        <v>1645</v>
      </c>
      <c r="AK2785" s="24" t="s">
        <v>132</v>
      </c>
      <c r="AW2785" s="24" t="s">
        <v>160</v>
      </c>
      <c r="BB2785" s="24">
        <v>4620</v>
      </c>
      <c r="BC2785" s="24">
        <v>27.5</v>
      </c>
      <c r="BE2785" s="24" t="s">
        <v>2875</v>
      </c>
      <c r="BK2785" s="24">
        <v>4600</v>
      </c>
      <c r="BL2785" s="24">
        <v>3040</v>
      </c>
      <c r="BO2785" s="24" t="s">
        <v>2877</v>
      </c>
      <c r="BP2785" s="395"/>
      <c r="BQ2785" s="395"/>
      <c r="BU2785" s="395"/>
      <c r="BV2785" s="395"/>
      <c r="BZ2785" s="395"/>
      <c r="CA2785" s="395"/>
      <c r="CE2785" s="548"/>
      <c r="CF2785" s="548"/>
      <c r="CG2785" s="548"/>
      <c r="CH2785" s="548"/>
      <c r="HJ2785" s="24">
        <v>11.91</v>
      </c>
      <c r="HK2785" s="24">
        <v>12.56</v>
      </c>
      <c r="HN2785" s="24" t="s">
        <v>2879</v>
      </c>
      <c r="JD2785" s="249"/>
    </row>
    <row r="2786" spans="1:264" s="101" customFormat="1" x14ac:dyDescent="0.25">
      <c r="A2786" s="101">
        <v>130</v>
      </c>
      <c r="B2786" s="42" t="s">
        <v>4367</v>
      </c>
      <c r="C2786" s="101" t="s">
        <v>2866</v>
      </c>
      <c r="D2786" s="101" t="s">
        <v>525</v>
      </c>
      <c r="E2786" s="101">
        <v>1997</v>
      </c>
      <c r="F2786" s="101">
        <v>1993</v>
      </c>
      <c r="G2786" s="101" t="s">
        <v>2426</v>
      </c>
      <c r="H2786" s="101" t="s">
        <v>2873</v>
      </c>
      <c r="I2786" s="101" t="s">
        <v>2857</v>
      </c>
      <c r="J2786" s="101">
        <f t="shared" si="386"/>
        <v>0.4</v>
      </c>
      <c r="K2786" s="101">
        <f t="shared" si="387"/>
        <v>32.5</v>
      </c>
      <c r="L2786" s="101">
        <v>1200</v>
      </c>
      <c r="R2786" s="102" t="s">
        <v>1977</v>
      </c>
      <c r="S2786" s="102" t="s">
        <v>1858</v>
      </c>
      <c r="T2786" s="102"/>
      <c r="U2786" s="102" t="s">
        <v>2881</v>
      </c>
      <c r="V2786" s="102"/>
      <c r="W2786" s="102"/>
      <c r="X2786" s="102"/>
      <c r="Y2786" s="102" t="s">
        <v>1379</v>
      </c>
      <c r="AA2786" s="352">
        <v>50</v>
      </c>
      <c r="AB2786" s="352">
        <v>13</v>
      </c>
      <c r="AC2786" s="101" t="s">
        <v>2695</v>
      </c>
      <c r="AD2786" s="101">
        <v>5.2</v>
      </c>
      <c r="AE2786" s="101">
        <v>3</v>
      </c>
      <c r="AG2786" s="101" t="s">
        <v>2874</v>
      </c>
      <c r="AH2786" s="101" t="s">
        <v>2744</v>
      </c>
      <c r="AI2786" s="101" t="s">
        <v>577</v>
      </c>
      <c r="AJ2786" s="101" t="s">
        <v>1645</v>
      </c>
      <c r="AK2786" s="24" t="s">
        <v>132</v>
      </c>
      <c r="AW2786" s="24" t="s">
        <v>160</v>
      </c>
      <c r="BB2786" s="101">
        <v>1990</v>
      </c>
      <c r="BC2786" s="101">
        <v>20.100000000000001</v>
      </c>
      <c r="BE2786" s="101" t="s">
        <v>2876</v>
      </c>
      <c r="BK2786" s="101">
        <v>420</v>
      </c>
      <c r="BL2786" s="101">
        <v>340</v>
      </c>
      <c r="BO2786" s="101" t="s">
        <v>2877</v>
      </c>
      <c r="BP2786" s="427"/>
      <c r="BQ2786" s="427"/>
      <c r="BU2786" s="427"/>
      <c r="BV2786" s="427"/>
      <c r="BZ2786" s="427"/>
      <c r="CA2786" s="427"/>
      <c r="CE2786" s="580"/>
      <c r="CF2786" s="580"/>
      <c r="CG2786" s="580"/>
      <c r="CH2786" s="580"/>
      <c r="HJ2786" s="101">
        <v>9.34</v>
      </c>
      <c r="HK2786" s="101">
        <v>12.13</v>
      </c>
      <c r="HN2786" s="101" t="s">
        <v>2879</v>
      </c>
      <c r="JD2786" s="177"/>
    </row>
    <row r="2787" spans="1:264" s="101" customFormat="1" x14ac:dyDescent="0.25">
      <c r="A2787" s="101">
        <v>130</v>
      </c>
      <c r="B2787" s="42" t="s">
        <v>4367</v>
      </c>
      <c r="C2787" s="101" t="s">
        <v>2866</v>
      </c>
      <c r="D2787" s="101" t="s">
        <v>525</v>
      </c>
      <c r="E2787" s="101">
        <v>1997</v>
      </c>
      <c r="F2787" s="101">
        <v>1994</v>
      </c>
      <c r="G2787" s="101" t="s">
        <v>2426</v>
      </c>
      <c r="H2787" s="101" t="s">
        <v>2873</v>
      </c>
      <c r="I2787" s="101" t="s">
        <v>2857</v>
      </c>
      <c r="J2787" s="101">
        <f t="shared" si="386"/>
        <v>0.4</v>
      </c>
      <c r="K2787" s="101">
        <f t="shared" si="387"/>
        <v>32.5</v>
      </c>
      <c r="L2787" s="101">
        <v>1200</v>
      </c>
      <c r="R2787" s="102" t="s">
        <v>1847</v>
      </c>
      <c r="S2787" s="102" t="s">
        <v>1858</v>
      </c>
      <c r="T2787" s="102"/>
      <c r="U2787" s="102" t="s">
        <v>2881</v>
      </c>
      <c r="V2787" s="102"/>
      <c r="W2787" s="102"/>
      <c r="X2787" s="102"/>
      <c r="Y2787" s="102" t="s">
        <v>1379</v>
      </c>
      <c r="AA2787" s="352">
        <v>50</v>
      </c>
      <c r="AB2787" s="352">
        <v>13</v>
      </c>
      <c r="AC2787" s="101" t="s">
        <v>2695</v>
      </c>
      <c r="AD2787" s="101">
        <v>5.2</v>
      </c>
      <c r="AE2787" s="101">
        <v>3</v>
      </c>
      <c r="AG2787" s="101" t="s">
        <v>2874</v>
      </c>
      <c r="AH2787" s="101" t="s">
        <v>2744</v>
      </c>
      <c r="AI2787" s="101" t="s">
        <v>577</v>
      </c>
      <c r="AJ2787" s="101" t="s">
        <v>1645</v>
      </c>
      <c r="AK2787" s="24" t="s">
        <v>132</v>
      </c>
      <c r="AW2787" s="24" t="s">
        <v>160</v>
      </c>
      <c r="BB2787" s="101">
        <v>1230</v>
      </c>
      <c r="BC2787" s="101">
        <v>20.100000000000001</v>
      </c>
      <c r="BE2787" s="101" t="s">
        <v>2876</v>
      </c>
      <c r="BK2787" s="101">
        <v>2200</v>
      </c>
      <c r="BL2787" s="101">
        <v>1840</v>
      </c>
      <c r="BO2787" s="101" t="s">
        <v>2877</v>
      </c>
      <c r="BP2787" s="427"/>
      <c r="BQ2787" s="427"/>
      <c r="BU2787" s="427"/>
      <c r="BV2787" s="427"/>
      <c r="BZ2787" s="427"/>
      <c r="CA2787" s="427"/>
      <c r="CE2787" s="580"/>
      <c r="CF2787" s="580"/>
      <c r="CG2787" s="580"/>
      <c r="CH2787" s="580"/>
      <c r="HJ2787" s="101">
        <v>19.22</v>
      </c>
      <c r="HK2787" s="101">
        <v>38.97</v>
      </c>
      <c r="HN2787" s="101" t="s">
        <v>2879</v>
      </c>
      <c r="JD2787" s="177"/>
    </row>
    <row r="2788" spans="1:264" s="101" customFormat="1" x14ac:dyDescent="0.25">
      <c r="A2788" s="101">
        <v>130</v>
      </c>
      <c r="B2788" s="42" t="s">
        <v>4367</v>
      </c>
      <c r="C2788" s="101" t="s">
        <v>2866</v>
      </c>
      <c r="D2788" s="101" t="s">
        <v>525</v>
      </c>
      <c r="E2788" s="101">
        <v>1997</v>
      </c>
      <c r="F2788" s="101">
        <v>1995</v>
      </c>
      <c r="G2788" s="101" t="s">
        <v>2426</v>
      </c>
      <c r="H2788" s="101" t="s">
        <v>2873</v>
      </c>
      <c r="I2788" s="101" t="s">
        <v>2857</v>
      </c>
      <c r="J2788" s="101">
        <f t="shared" si="386"/>
        <v>0.4</v>
      </c>
      <c r="K2788" s="101">
        <f t="shared" si="387"/>
        <v>32.5</v>
      </c>
      <c r="L2788" s="101">
        <v>1200</v>
      </c>
      <c r="R2788" s="102" t="s">
        <v>1728</v>
      </c>
      <c r="S2788" s="102" t="s">
        <v>1858</v>
      </c>
      <c r="T2788" s="102"/>
      <c r="U2788" s="102" t="s">
        <v>2881</v>
      </c>
      <c r="V2788" s="102"/>
      <c r="W2788" s="102"/>
      <c r="X2788" s="102"/>
      <c r="Y2788" s="102" t="s">
        <v>1379</v>
      </c>
      <c r="AA2788" s="352">
        <v>50</v>
      </c>
      <c r="AB2788" s="352">
        <v>13</v>
      </c>
      <c r="AC2788" s="101" t="s">
        <v>2695</v>
      </c>
      <c r="AD2788" s="101">
        <v>5.2</v>
      </c>
      <c r="AE2788" s="101">
        <v>3</v>
      </c>
      <c r="AG2788" s="101" t="s">
        <v>2874</v>
      </c>
      <c r="AH2788" s="101" t="s">
        <v>2744</v>
      </c>
      <c r="AI2788" s="101" t="s">
        <v>577</v>
      </c>
      <c r="AJ2788" s="101" t="s">
        <v>1645</v>
      </c>
      <c r="AK2788" s="24" t="s">
        <v>132</v>
      </c>
      <c r="AW2788" s="24" t="s">
        <v>160</v>
      </c>
      <c r="BB2788" s="101">
        <v>2300</v>
      </c>
      <c r="BC2788" s="101">
        <v>20.100000000000001</v>
      </c>
      <c r="BE2788" s="101" t="s">
        <v>2876</v>
      </c>
      <c r="BK2788" s="101">
        <v>4600</v>
      </c>
      <c r="BL2788" s="101">
        <v>3420</v>
      </c>
      <c r="BO2788" s="101" t="s">
        <v>2877</v>
      </c>
      <c r="BP2788" s="427"/>
      <c r="BQ2788" s="427"/>
      <c r="BU2788" s="427"/>
      <c r="BV2788" s="427"/>
      <c r="BZ2788" s="427"/>
      <c r="CA2788" s="427"/>
      <c r="CE2788" s="580"/>
      <c r="CF2788" s="580"/>
      <c r="CG2788" s="580"/>
      <c r="CH2788" s="580"/>
      <c r="HJ2788" s="101">
        <v>11.91</v>
      </c>
      <c r="HK2788" s="101">
        <v>12.56</v>
      </c>
      <c r="HN2788" s="101" t="s">
        <v>2879</v>
      </c>
      <c r="JD2788" s="177"/>
    </row>
    <row r="2789" spans="1:264" s="32" customFormat="1" x14ac:dyDescent="0.25">
      <c r="A2789" s="32">
        <v>130</v>
      </c>
      <c r="B2789" s="44" t="s">
        <v>4368</v>
      </c>
      <c r="C2789" s="32" t="s">
        <v>2866</v>
      </c>
      <c r="D2789" s="32" t="s">
        <v>525</v>
      </c>
      <c r="E2789" s="32">
        <v>1997</v>
      </c>
      <c r="F2789" s="32">
        <v>1993</v>
      </c>
      <c r="G2789" s="32" t="s">
        <v>2426</v>
      </c>
      <c r="H2789" s="32" t="s">
        <v>2873</v>
      </c>
      <c r="I2789" s="32" t="s">
        <v>2857</v>
      </c>
      <c r="J2789" s="32">
        <f t="shared" si="386"/>
        <v>0.4</v>
      </c>
      <c r="K2789" s="32">
        <f t="shared" si="387"/>
        <v>32.5</v>
      </c>
      <c r="L2789" s="32">
        <v>1200</v>
      </c>
      <c r="R2789" s="44" t="s">
        <v>1977</v>
      </c>
      <c r="S2789" s="44" t="s">
        <v>1858</v>
      </c>
      <c r="T2789" s="44"/>
      <c r="U2789" s="44" t="s">
        <v>2881</v>
      </c>
      <c r="V2789" s="44"/>
      <c r="W2789" s="44"/>
      <c r="X2789" s="44"/>
      <c r="Y2789" s="44" t="s">
        <v>1379</v>
      </c>
      <c r="AA2789" s="323">
        <v>50</v>
      </c>
      <c r="AB2789" s="323">
        <v>13</v>
      </c>
      <c r="AC2789" s="32" t="s">
        <v>2695</v>
      </c>
      <c r="AD2789" s="32">
        <v>5.2</v>
      </c>
      <c r="AE2789" s="32">
        <v>3</v>
      </c>
      <c r="AG2789" s="32" t="s">
        <v>2874</v>
      </c>
      <c r="AH2789" s="32" t="s">
        <v>2744</v>
      </c>
      <c r="AI2789" s="32" t="s">
        <v>577</v>
      </c>
      <c r="AJ2789" s="32" t="s">
        <v>2868</v>
      </c>
      <c r="AK2789" s="32" t="s">
        <v>229</v>
      </c>
      <c r="AW2789" s="32" t="s">
        <v>160</v>
      </c>
      <c r="BB2789" s="32">
        <v>3100</v>
      </c>
      <c r="BC2789" s="32">
        <v>26.9</v>
      </c>
      <c r="BE2789" s="32" t="s">
        <v>2875</v>
      </c>
      <c r="BK2789" s="32">
        <v>210</v>
      </c>
      <c r="BL2789" s="32">
        <v>150</v>
      </c>
      <c r="BO2789" s="32" t="s">
        <v>2877</v>
      </c>
      <c r="BP2789" s="397"/>
      <c r="BQ2789" s="397"/>
      <c r="BU2789" s="397"/>
      <c r="BV2789" s="397"/>
      <c r="BZ2789" s="397"/>
      <c r="CA2789" s="397"/>
      <c r="CE2789" s="550"/>
      <c r="CF2789" s="550"/>
      <c r="CG2789" s="550"/>
      <c r="CH2789" s="550"/>
      <c r="JD2789" s="243"/>
    </row>
    <row r="2790" spans="1:264" s="32" customFormat="1" x14ac:dyDescent="0.25">
      <c r="A2790" s="32">
        <v>130</v>
      </c>
      <c r="B2790" s="44" t="s">
        <v>4368</v>
      </c>
      <c r="C2790" s="32" t="s">
        <v>2866</v>
      </c>
      <c r="D2790" s="32" t="s">
        <v>525</v>
      </c>
      <c r="E2790" s="32">
        <v>1997</v>
      </c>
      <c r="F2790" s="32">
        <v>1994</v>
      </c>
      <c r="G2790" s="32" t="s">
        <v>2426</v>
      </c>
      <c r="H2790" s="32" t="s">
        <v>2873</v>
      </c>
      <c r="I2790" s="32" t="s">
        <v>2857</v>
      </c>
      <c r="J2790" s="32">
        <f t="shared" si="386"/>
        <v>0.4</v>
      </c>
      <c r="K2790" s="32">
        <f t="shared" si="387"/>
        <v>32.5</v>
      </c>
      <c r="L2790" s="32">
        <v>1200</v>
      </c>
      <c r="R2790" s="44" t="s">
        <v>1847</v>
      </c>
      <c r="S2790" s="44" t="s">
        <v>1858</v>
      </c>
      <c r="T2790" s="44"/>
      <c r="U2790" s="44" t="s">
        <v>2881</v>
      </c>
      <c r="V2790" s="44"/>
      <c r="W2790" s="44"/>
      <c r="X2790" s="44"/>
      <c r="Y2790" s="44" t="s">
        <v>1379</v>
      </c>
      <c r="AA2790" s="323">
        <v>50</v>
      </c>
      <c r="AB2790" s="323">
        <v>13</v>
      </c>
      <c r="AC2790" s="32" t="s">
        <v>2695</v>
      </c>
      <c r="AD2790" s="32">
        <v>5.2</v>
      </c>
      <c r="AE2790" s="32">
        <v>3</v>
      </c>
      <c r="AG2790" s="32" t="s">
        <v>2874</v>
      </c>
      <c r="AH2790" s="32" t="s">
        <v>2744</v>
      </c>
      <c r="AI2790" s="32" t="s">
        <v>577</v>
      </c>
      <c r="AJ2790" s="32" t="s">
        <v>2868</v>
      </c>
      <c r="AK2790" s="32" t="s">
        <v>229</v>
      </c>
      <c r="AW2790" s="32" t="s">
        <v>160</v>
      </c>
      <c r="BB2790" s="32">
        <v>6420</v>
      </c>
      <c r="BC2790" s="32">
        <v>26.9</v>
      </c>
      <c r="BE2790" s="32" t="s">
        <v>2875</v>
      </c>
      <c r="BK2790" s="32">
        <v>490</v>
      </c>
      <c r="BL2790" s="32">
        <v>240</v>
      </c>
      <c r="BO2790" s="32" t="s">
        <v>2877</v>
      </c>
      <c r="BP2790" s="397"/>
      <c r="BQ2790" s="397"/>
      <c r="BU2790" s="397"/>
      <c r="BV2790" s="397"/>
      <c r="BZ2790" s="397"/>
      <c r="CA2790" s="397"/>
      <c r="CE2790" s="550"/>
      <c r="CF2790" s="550"/>
      <c r="CG2790" s="550"/>
      <c r="CH2790" s="550"/>
      <c r="JD2790" s="243"/>
    </row>
    <row r="2791" spans="1:264" s="32" customFormat="1" x14ac:dyDescent="0.25">
      <c r="A2791" s="32">
        <v>130</v>
      </c>
      <c r="B2791" s="44" t="s">
        <v>4368</v>
      </c>
      <c r="C2791" s="32" t="s">
        <v>2866</v>
      </c>
      <c r="D2791" s="32" t="s">
        <v>525</v>
      </c>
      <c r="E2791" s="32">
        <v>1997</v>
      </c>
      <c r="F2791" s="32">
        <v>1995</v>
      </c>
      <c r="G2791" s="32" t="s">
        <v>2426</v>
      </c>
      <c r="H2791" s="32" t="s">
        <v>2873</v>
      </c>
      <c r="I2791" s="32" t="s">
        <v>2857</v>
      </c>
      <c r="J2791" s="32">
        <f t="shared" si="386"/>
        <v>0.4</v>
      </c>
      <c r="K2791" s="32">
        <f t="shared" si="387"/>
        <v>32.5</v>
      </c>
      <c r="L2791" s="32">
        <v>1200</v>
      </c>
      <c r="R2791" s="44" t="s">
        <v>1728</v>
      </c>
      <c r="S2791" s="44" t="s">
        <v>1858</v>
      </c>
      <c r="T2791" s="44"/>
      <c r="U2791" s="44" t="s">
        <v>2881</v>
      </c>
      <c r="V2791" s="44"/>
      <c r="W2791" s="44"/>
      <c r="X2791" s="44"/>
      <c r="Y2791" s="44" t="s">
        <v>1379</v>
      </c>
      <c r="AA2791" s="323">
        <v>50</v>
      </c>
      <c r="AB2791" s="323">
        <v>13</v>
      </c>
      <c r="AC2791" s="32" t="s">
        <v>2695</v>
      </c>
      <c r="AD2791" s="32">
        <v>5.2</v>
      </c>
      <c r="AE2791" s="32">
        <v>3</v>
      </c>
      <c r="AG2791" s="32" t="s">
        <v>2874</v>
      </c>
      <c r="AH2791" s="32" t="s">
        <v>2744</v>
      </c>
      <c r="AI2791" s="32" t="s">
        <v>577</v>
      </c>
      <c r="AJ2791" s="32" t="s">
        <v>2868</v>
      </c>
      <c r="AK2791" s="32" t="s">
        <v>229</v>
      </c>
      <c r="AW2791" s="32" t="s">
        <v>160</v>
      </c>
      <c r="BB2791" s="32">
        <v>9450</v>
      </c>
      <c r="BC2791" s="32">
        <v>26.9</v>
      </c>
      <c r="BE2791" s="32" t="s">
        <v>2875</v>
      </c>
      <c r="BK2791" s="32">
        <v>1080</v>
      </c>
      <c r="BL2791" s="32">
        <v>590</v>
      </c>
      <c r="BO2791" s="32" t="s">
        <v>2877</v>
      </c>
      <c r="BP2791" s="397"/>
      <c r="BQ2791" s="397"/>
      <c r="BU2791" s="397"/>
      <c r="BV2791" s="397"/>
      <c r="BZ2791" s="397"/>
      <c r="CA2791" s="397"/>
      <c r="CE2791" s="550"/>
      <c r="CF2791" s="550"/>
      <c r="CG2791" s="550"/>
      <c r="CH2791" s="550"/>
      <c r="JD2791" s="243"/>
    </row>
    <row r="2792" spans="1:264" s="105" customFormat="1" x14ac:dyDescent="0.25">
      <c r="A2792" s="105">
        <v>130</v>
      </c>
      <c r="B2792" s="44" t="s">
        <v>4368</v>
      </c>
      <c r="C2792" s="105" t="s">
        <v>2866</v>
      </c>
      <c r="D2792" s="105" t="s">
        <v>525</v>
      </c>
      <c r="E2792" s="105">
        <v>1997</v>
      </c>
      <c r="F2792" s="105">
        <v>1993</v>
      </c>
      <c r="G2792" s="105" t="s">
        <v>2426</v>
      </c>
      <c r="H2792" s="105" t="s">
        <v>2873</v>
      </c>
      <c r="I2792" s="105" t="s">
        <v>2857</v>
      </c>
      <c r="J2792" s="105">
        <f t="shared" si="386"/>
        <v>0.4</v>
      </c>
      <c r="K2792" s="105">
        <f t="shared" si="387"/>
        <v>32.5</v>
      </c>
      <c r="L2792" s="105">
        <v>1200</v>
      </c>
      <c r="R2792" s="106" t="s">
        <v>1977</v>
      </c>
      <c r="S2792" s="106" t="s">
        <v>1858</v>
      </c>
      <c r="T2792" s="106"/>
      <c r="U2792" s="106" t="s">
        <v>2881</v>
      </c>
      <c r="V2792" s="106"/>
      <c r="W2792" s="106"/>
      <c r="X2792" s="106"/>
      <c r="Y2792" s="106" t="s">
        <v>1379</v>
      </c>
      <c r="AA2792" s="354">
        <v>50</v>
      </c>
      <c r="AB2792" s="354">
        <v>13</v>
      </c>
      <c r="AC2792" s="105" t="s">
        <v>2695</v>
      </c>
      <c r="AD2792" s="105">
        <v>5.2</v>
      </c>
      <c r="AE2792" s="105">
        <v>3</v>
      </c>
      <c r="AG2792" s="105" t="s">
        <v>2874</v>
      </c>
      <c r="AH2792" s="105" t="s">
        <v>2744</v>
      </c>
      <c r="AI2792" s="105" t="s">
        <v>577</v>
      </c>
      <c r="AJ2792" s="32" t="s">
        <v>2868</v>
      </c>
      <c r="AK2792" s="32" t="s">
        <v>229</v>
      </c>
      <c r="AW2792" s="32" t="s">
        <v>160</v>
      </c>
      <c r="BB2792" s="105">
        <v>1930</v>
      </c>
      <c r="BC2792" s="105">
        <v>23</v>
      </c>
      <c r="BE2792" s="105" t="s">
        <v>2876</v>
      </c>
      <c r="BK2792" s="105">
        <v>210</v>
      </c>
      <c r="BL2792" s="105">
        <v>130</v>
      </c>
      <c r="BO2792" s="105" t="s">
        <v>2877</v>
      </c>
      <c r="BP2792" s="429"/>
      <c r="BQ2792" s="429"/>
      <c r="BU2792" s="429"/>
      <c r="BV2792" s="429"/>
      <c r="BZ2792" s="429"/>
      <c r="CA2792" s="429"/>
      <c r="CE2792" s="582"/>
      <c r="CF2792" s="582"/>
      <c r="CG2792" s="582"/>
      <c r="CH2792" s="582"/>
      <c r="JD2792" s="499"/>
    </row>
    <row r="2793" spans="1:264" s="105" customFormat="1" x14ac:dyDescent="0.25">
      <c r="A2793" s="105">
        <v>130</v>
      </c>
      <c r="B2793" s="44" t="s">
        <v>4368</v>
      </c>
      <c r="C2793" s="105" t="s">
        <v>2866</v>
      </c>
      <c r="D2793" s="105" t="s">
        <v>525</v>
      </c>
      <c r="E2793" s="105">
        <v>1997</v>
      </c>
      <c r="F2793" s="105">
        <v>1994</v>
      </c>
      <c r="G2793" s="105" t="s">
        <v>2426</v>
      </c>
      <c r="H2793" s="105" t="s">
        <v>2873</v>
      </c>
      <c r="I2793" s="105" t="s">
        <v>2857</v>
      </c>
      <c r="J2793" s="105">
        <f t="shared" si="386"/>
        <v>0.4</v>
      </c>
      <c r="K2793" s="105">
        <f t="shared" si="387"/>
        <v>32.5</v>
      </c>
      <c r="L2793" s="105">
        <v>1200</v>
      </c>
      <c r="R2793" s="106" t="s">
        <v>1847</v>
      </c>
      <c r="S2793" s="106" t="s">
        <v>1858</v>
      </c>
      <c r="T2793" s="106"/>
      <c r="U2793" s="106" t="s">
        <v>2881</v>
      </c>
      <c r="V2793" s="106"/>
      <c r="W2793" s="106"/>
      <c r="X2793" s="106"/>
      <c r="Y2793" s="106" t="s">
        <v>1379</v>
      </c>
      <c r="AA2793" s="354">
        <v>50</v>
      </c>
      <c r="AB2793" s="354">
        <v>13</v>
      </c>
      <c r="AC2793" s="105" t="s">
        <v>2695</v>
      </c>
      <c r="AD2793" s="105">
        <v>5.2</v>
      </c>
      <c r="AE2793" s="105">
        <v>3</v>
      </c>
      <c r="AG2793" s="105" t="s">
        <v>2874</v>
      </c>
      <c r="AH2793" s="105" t="s">
        <v>2744</v>
      </c>
      <c r="AI2793" s="105" t="s">
        <v>577</v>
      </c>
      <c r="AJ2793" s="32" t="s">
        <v>2868</v>
      </c>
      <c r="AK2793" s="32" t="s">
        <v>229</v>
      </c>
      <c r="AW2793" s="32" t="s">
        <v>160</v>
      </c>
      <c r="BB2793" s="105">
        <v>2160</v>
      </c>
      <c r="BC2793" s="105">
        <v>23</v>
      </c>
      <c r="BE2793" s="105" t="s">
        <v>2876</v>
      </c>
      <c r="BK2793" s="105">
        <v>490</v>
      </c>
      <c r="BL2793" s="105">
        <v>510</v>
      </c>
      <c r="BO2793" s="105" t="s">
        <v>2877</v>
      </c>
      <c r="BP2793" s="429"/>
      <c r="BQ2793" s="429"/>
      <c r="BU2793" s="429"/>
      <c r="BV2793" s="429"/>
      <c r="BZ2793" s="429"/>
      <c r="CA2793" s="429"/>
      <c r="CE2793" s="582"/>
      <c r="CF2793" s="582"/>
      <c r="CG2793" s="582"/>
      <c r="CH2793" s="582"/>
      <c r="JD2793" s="499"/>
    </row>
    <row r="2794" spans="1:264" s="105" customFormat="1" x14ac:dyDescent="0.25">
      <c r="A2794" s="105">
        <v>130</v>
      </c>
      <c r="B2794" s="44" t="s">
        <v>4368</v>
      </c>
      <c r="C2794" s="105" t="s">
        <v>2866</v>
      </c>
      <c r="D2794" s="105" t="s">
        <v>525</v>
      </c>
      <c r="E2794" s="105">
        <v>1997</v>
      </c>
      <c r="F2794" s="105">
        <v>1995</v>
      </c>
      <c r="G2794" s="105" t="s">
        <v>2426</v>
      </c>
      <c r="H2794" s="105" t="s">
        <v>2873</v>
      </c>
      <c r="I2794" s="105" t="s">
        <v>2857</v>
      </c>
      <c r="J2794" s="105">
        <f t="shared" si="386"/>
        <v>0.4</v>
      </c>
      <c r="K2794" s="105">
        <f t="shared" si="387"/>
        <v>32.5</v>
      </c>
      <c r="L2794" s="105">
        <v>1200</v>
      </c>
      <c r="R2794" s="106" t="s">
        <v>1728</v>
      </c>
      <c r="S2794" s="106" t="s">
        <v>1858</v>
      </c>
      <c r="T2794" s="106"/>
      <c r="U2794" s="106" t="s">
        <v>2881</v>
      </c>
      <c r="V2794" s="106"/>
      <c r="W2794" s="106"/>
      <c r="X2794" s="106"/>
      <c r="Y2794" s="106" t="s">
        <v>1379</v>
      </c>
      <c r="AA2794" s="354">
        <v>50</v>
      </c>
      <c r="AB2794" s="354">
        <v>13</v>
      </c>
      <c r="AC2794" s="105" t="s">
        <v>2695</v>
      </c>
      <c r="AD2794" s="105">
        <v>5.2</v>
      </c>
      <c r="AE2794" s="105">
        <v>3</v>
      </c>
      <c r="AG2794" s="105" t="s">
        <v>2874</v>
      </c>
      <c r="AH2794" s="105" t="s">
        <v>2744</v>
      </c>
      <c r="AI2794" s="105" t="s">
        <v>577</v>
      </c>
      <c r="AJ2794" s="32" t="s">
        <v>2868</v>
      </c>
      <c r="AK2794" s="32" t="s">
        <v>229</v>
      </c>
      <c r="AW2794" s="32" t="s">
        <v>160</v>
      </c>
      <c r="BB2794" s="105">
        <v>770</v>
      </c>
      <c r="BC2794" s="105">
        <v>23</v>
      </c>
      <c r="BE2794" s="105" t="s">
        <v>2876</v>
      </c>
      <c r="BK2794" s="105">
        <v>1080</v>
      </c>
      <c r="BL2794" s="105">
        <v>880</v>
      </c>
      <c r="BO2794" s="105" t="s">
        <v>2877</v>
      </c>
      <c r="BP2794" s="429"/>
      <c r="BQ2794" s="429"/>
      <c r="BU2794" s="429"/>
      <c r="BV2794" s="429"/>
      <c r="BZ2794" s="429"/>
      <c r="CA2794" s="429"/>
      <c r="CE2794" s="582"/>
      <c r="CF2794" s="582"/>
      <c r="CG2794" s="582"/>
      <c r="CH2794" s="582"/>
      <c r="JD2794" s="499"/>
    </row>
    <row r="2795" spans="1:264" s="24" customFormat="1" x14ac:dyDescent="0.25">
      <c r="A2795" s="24">
        <v>130</v>
      </c>
      <c r="B2795" s="42" t="s">
        <v>4367</v>
      </c>
      <c r="C2795" s="24" t="s">
        <v>2866</v>
      </c>
      <c r="D2795" s="24" t="s">
        <v>525</v>
      </c>
      <c r="E2795" s="24">
        <v>1997</v>
      </c>
      <c r="F2795" s="24">
        <v>1994</v>
      </c>
      <c r="G2795" s="24" t="s">
        <v>2426</v>
      </c>
      <c r="H2795" s="24" t="s">
        <v>2873</v>
      </c>
      <c r="I2795" s="24" t="s">
        <v>2857</v>
      </c>
      <c r="J2795" s="24">
        <f t="shared" si="386"/>
        <v>0.4</v>
      </c>
      <c r="K2795" s="24">
        <f t="shared" si="387"/>
        <v>32.5</v>
      </c>
      <c r="L2795" s="24">
        <v>1200</v>
      </c>
      <c r="R2795" s="42" t="s">
        <v>1977</v>
      </c>
      <c r="S2795" s="42" t="s">
        <v>1858</v>
      </c>
      <c r="T2795" s="42"/>
      <c r="U2795" s="42" t="s">
        <v>2881</v>
      </c>
      <c r="V2795" s="42"/>
      <c r="W2795" s="42"/>
      <c r="X2795" s="42"/>
      <c r="Y2795" s="42" t="s">
        <v>1379</v>
      </c>
      <c r="AA2795" s="321">
        <v>50</v>
      </c>
      <c r="AB2795" s="321">
        <v>13</v>
      </c>
      <c r="AC2795" s="24" t="s">
        <v>2695</v>
      </c>
      <c r="AD2795" s="24">
        <v>5.2</v>
      </c>
      <c r="AE2795" s="24">
        <v>3</v>
      </c>
      <c r="AG2795" s="24" t="s">
        <v>2874</v>
      </c>
      <c r="AH2795" s="24" t="s">
        <v>2744</v>
      </c>
      <c r="AI2795" s="24" t="s">
        <v>577</v>
      </c>
      <c r="AJ2795" s="24" t="s">
        <v>1645</v>
      </c>
      <c r="AK2795" s="24" t="s">
        <v>132</v>
      </c>
      <c r="AW2795" s="24" t="s">
        <v>160</v>
      </c>
      <c r="BE2795" s="24" t="s">
        <v>2875</v>
      </c>
      <c r="BK2795" s="24">
        <v>1880</v>
      </c>
      <c r="BL2795" s="24">
        <v>2580</v>
      </c>
      <c r="BO2795" s="24" t="s">
        <v>2878</v>
      </c>
      <c r="BP2795" s="395"/>
      <c r="BQ2795" s="395"/>
      <c r="BU2795" s="395"/>
      <c r="BV2795" s="395"/>
      <c r="BZ2795" s="395"/>
      <c r="CA2795" s="395"/>
      <c r="CE2795" s="548"/>
      <c r="CF2795" s="548"/>
      <c r="CG2795" s="548"/>
      <c r="CH2795" s="548"/>
      <c r="HJ2795" s="24">
        <v>24.59</v>
      </c>
      <c r="HK2795" s="24">
        <v>17.93</v>
      </c>
      <c r="HN2795" s="24" t="s">
        <v>2879</v>
      </c>
      <c r="JD2795" s="249"/>
    </row>
    <row r="2796" spans="1:264" s="24" customFormat="1" x14ac:dyDescent="0.25">
      <c r="A2796" s="24">
        <v>130</v>
      </c>
      <c r="B2796" s="42" t="s">
        <v>4367</v>
      </c>
      <c r="C2796" s="24" t="s">
        <v>2866</v>
      </c>
      <c r="D2796" s="24" t="s">
        <v>525</v>
      </c>
      <c r="E2796" s="24">
        <v>1997</v>
      </c>
      <c r="F2796" s="24">
        <v>1995</v>
      </c>
      <c r="G2796" s="24" t="s">
        <v>2426</v>
      </c>
      <c r="H2796" s="24" t="s">
        <v>2873</v>
      </c>
      <c r="I2796" s="24" t="s">
        <v>2857</v>
      </c>
      <c r="J2796" s="24">
        <f t="shared" si="386"/>
        <v>0.4</v>
      </c>
      <c r="K2796" s="24">
        <f t="shared" si="387"/>
        <v>32.5</v>
      </c>
      <c r="L2796" s="24">
        <v>1200</v>
      </c>
      <c r="R2796" s="42" t="s">
        <v>1847</v>
      </c>
      <c r="S2796" s="42" t="s">
        <v>1858</v>
      </c>
      <c r="T2796" s="42"/>
      <c r="U2796" s="42" t="s">
        <v>2881</v>
      </c>
      <c r="V2796" s="42"/>
      <c r="W2796" s="42"/>
      <c r="X2796" s="42"/>
      <c r="Y2796" s="42" t="s">
        <v>1379</v>
      </c>
      <c r="AA2796" s="321">
        <v>50</v>
      </c>
      <c r="AB2796" s="321">
        <v>13</v>
      </c>
      <c r="AC2796" s="24" t="s">
        <v>2695</v>
      </c>
      <c r="AD2796" s="24">
        <v>5.2</v>
      </c>
      <c r="AE2796" s="24">
        <v>3</v>
      </c>
      <c r="AG2796" s="24" t="s">
        <v>2874</v>
      </c>
      <c r="AH2796" s="24" t="s">
        <v>2744</v>
      </c>
      <c r="AI2796" s="24" t="s">
        <v>577</v>
      </c>
      <c r="AJ2796" s="24" t="s">
        <v>1645</v>
      </c>
      <c r="AK2796" s="24" t="s">
        <v>132</v>
      </c>
      <c r="AW2796" s="24" t="s">
        <v>160</v>
      </c>
      <c r="BE2796" s="24" t="s">
        <v>2875</v>
      </c>
      <c r="BK2796" s="24">
        <v>3930</v>
      </c>
      <c r="BL2796" s="24">
        <v>4540</v>
      </c>
      <c r="BO2796" s="24" t="s">
        <v>2878</v>
      </c>
      <c r="BP2796" s="395"/>
      <c r="BQ2796" s="395"/>
      <c r="BU2796" s="395"/>
      <c r="BV2796" s="395"/>
      <c r="BZ2796" s="395"/>
      <c r="CA2796" s="395"/>
      <c r="CE2796" s="548"/>
      <c r="CF2796" s="548"/>
      <c r="CG2796" s="548"/>
      <c r="CH2796" s="548"/>
      <c r="HJ2796" s="24">
        <v>36.4</v>
      </c>
      <c r="HK2796" s="24">
        <v>28.67</v>
      </c>
      <c r="HN2796" s="24" t="s">
        <v>2879</v>
      </c>
      <c r="JD2796" s="249"/>
    </row>
    <row r="2797" spans="1:264" s="24" customFormat="1" x14ac:dyDescent="0.25">
      <c r="A2797" s="24">
        <v>130</v>
      </c>
      <c r="B2797" s="42" t="s">
        <v>4367</v>
      </c>
      <c r="C2797" s="24" t="s">
        <v>2866</v>
      </c>
      <c r="D2797" s="24" t="s">
        <v>525</v>
      </c>
      <c r="E2797" s="24">
        <v>1997</v>
      </c>
      <c r="F2797" s="24">
        <v>1995</v>
      </c>
      <c r="G2797" s="24" t="s">
        <v>2426</v>
      </c>
      <c r="H2797" s="24" t="s">
        <v>2873</v>
      </c>
      <c r="I2797" s="24" t="s">
        <v>2857</v>
      </c>
      <c r="J2797" s="24">
        <f t="shared" si="386"/>
        <v>0.4</v>
      </c>
      <c r="K2797" s="24">
        <f t="shared" si="387"/>
        <v>32.5</v>
      </c>
      <c r="L2797" s="24">
        <v>1200</v>
      </c>
      <c r="R2797" s="42" t="s">
        <v>1728</v>
      </c>
      <c r="S2797" s="42" t="s">
        <v>1858</v>
      </c>
      <c r="T2797" s="42"/>
      <c r="U2797" s="42" t="s">
        <v>2881</v>
      </c>
      <c r="V2797" s="42"/>
      <c r="W2797" s="42"/>
      <c r="X2797" s="42"/>
      <c r="Y2797" s="42" t="s">
        <v>1379</v>
      </c>
      <c r="AA2797" s="321">
        <v>50</v>
      </c>
      <c r="AB2797" s="321">
        <v>13</v>
      </c>
      <c r="AC2797" s="24" t="s">
        <v>2695</v>
      </c>
      <c r="AD2797" s="24">
        <v>5.2</v>
      </c>
      <c r="AE2797" s="24">
        <v>3</v>
      </c>
      <c r="AG2797" s="24" t="s">
        <v>2874</v>
      </c>
      <c r="AH2797" s="24" t="s">
        <v>2744</v>
      </c>
      <c r="AI2797" s="24" t="s">
        <v>577</v>
      </c>
      <c r="AJ2797" s="24" t="s">
        <v>1645</v>
      </c>
      <c r="AK2797" s="24" t="s">
        <v>132</v>
      </c>
      <c r="AW2797" s="24" t="s">
        <v>160</v>
      </c>
      <c r="BE2797" s="24" t="s">
        <v>2875</v>
      </c>
      <c r="BK2797" s="24">
        <v>2700</v>
      </c>
      <c r="BL2797" s="24">
        <v>2990</v>
      </c>
      <c r="BO2797" s="24" t="s">
        <v>2878</v>
      </c>
      <c r="BP2797" s="395"/>
      <c r="BQ2797" s="395"/>
      <c r="BU2797" s="395"/>
      <c r="BV2797" s="395"/>
      <c r="BZ2797" s="395"/>
      <c r="CA2797" s="395"/>
      <c r="CE2797" s="548"/>
      <c r="CF2797" s="548"/>
      <c r="CG2797" s="548"/>
      <c r="CH2797" s="548"/>
      <c r="HJ2797" s="24">
        <v>15.57</v>
      </c>
      <c r="HK2797" s="24">
        <v>17.29</v>
      </c>
      <c r="HN2797" s="24" t="s">
        <v>2879</v>
      </c>
      <c r="JD2797" s="249"/>
    </row>
    <row r="2798" spans="1:264" s="101" customFormat="1" x14ac:dyDescent="0.25">
      <c r="A2798" s="101">
        <v>130</v>
      </c>
      <c r="B2798" s="102" t="s">
        <v>4367</v>
      </c>
      <c r="C2798" s="101" t="s">
        <v>2866</v>
      </c>
      <c r="D2798" s="101" t="s">
        <v>525</v>
      </c>
      <c r="E2798" s="101">
        <v>1997</v>
      </c>
      <c r="F2798" s="101">
        <v>1994</v>
      </c>
      <c r="G2798" s="101" t="s">
        <v>2426</v>
      </c>
      <c r="H2798" s="101" t="s">
        <v>2873</v>
      </c>
      <c r="I2798" s="101" t="s">
        <v>2857</v>
      </c>
      <c r="J2798" s="101">
        <f t="shared" si="386"/>
        <v>0.4</v>
      </c>
      <c r="K2798" s="101">
        <f t="shared" si="387"/>
        <v>32.5</v>
      </c>
      <c r="L2798" s="101">
        <v>1200</v>
      </c>
      <c r="R2798" s="102" t="s">
        <v>1977</v>
      </c>
      <c r="S2798" s="102" t="s">
        <v>1858</v>
      </c>
      <c r="T2798" s="102"/>
      <c r="U2798" s="102" t="s">
        <v>2881</v>
      </c>
      <c r="V2798" s="102"/>
      <c r="W2798" s="102"/>
      <c r="X2798" s="102"/>
      <c r="Y2798" s="102" t="s">
        <v>1379</v>
      </c>
      <c r="AA2798" s="352">
        <v>50</v>
      </c>
      <c r="AB2798" s="352">
        <v>13</v>
      </c>
      <c r="AC2798" s="101" t="s">
        <v>2695</v>
      </c>
      <c r="AD2798" s="101">
        <v>5.2</v>
      </c>
      <c r="AE2798" s="101">
        <v>3</v>
      </c>
      <c r="AG2798" s="101" t="s">
        <v>2874</v>
      </c>
      <c r="AH2798" s="101" t="s">
        <v>2744</v>
      </c>
      <c r="AI2798" s="101" t="s">
        <v>577</v>
      </c>
      <c r="AJ2798" s="24" t="s">
        <v>1645</v>
      </c>
      <c r="AK2798" s="24" t="s">
        <v>132</v>
      </c>
      <c r="AW2798" s="24" t="s">
        <v>160</v>
      </c>
      <c r="BE2798" s="101" t="s">
        <v>2876</v>
      </c>
      <c r="BK2798" s="101">
        <v>1880</v>
      </c>
      <c r="BL2798" s="101">
        <v>2423</v>
      </c>
      <c r="BO2798" s="101" t="s">
        <v>2878</v>
      </c>
      <c r="BP2798" s="427"/>
      <c r="BQ2798" s="427"/>
      <c r="BU2798" s="427"/>
      <c r="BV2798" s="427"/>
      <c r="BZ2798" s="427"/>
      <c r="CA2798" s="427"/>
      <c r="CE2798" s="580"/>
      <c r="CF2798" s="580"/>
      <c r="CG2798" s="580"/>
      <c r="CH2798" s="580"/>
      <c r="HJ2798" s="101">
        <v>24.59</v>
      </c>
      <c r="HK2798" s="101">
        <v>14.49</v>
      </c>
      <c r="HN2798" s="101" t="s">
        <v>2879</v>
      </c>
      <c r="JD2798" s="177"/>
    </row>
    <row r="2799" spans="1:264" s="101" customFormat="1" x14ac:dyDescent="0.25">
      <c r="A2799" s="101">
        <v>130</v>
      </c>
      <c r="B2799" s="102" t="s">
        <v>4367</v>
      </c>
      <c r="C2799" s="101" t="s">
        <v>2866</v>
      </c>
      <c r="D2799" s="101" t="s">
        <v>525</v>
      </c>
      <c r="E2799" s="101">
        <v>1997</v>
      </c>
      <c r="F2799" s="101">
        <v>1995</v>
      </c>
      <c r="G2799" s="101" t="s">
        <v>2426</v>
      </c>
      <c r="H2799" s="101" t="s">
        <v>2873</v>
      </c>
      <c r="I2799" s="101" t="s">
        <v>2857</v>
      </c>
      <c r="J2799" s="101">
        <f t="shared" si="386"/>
        <v>0.4</v>
      </c>
      <c r="K2799" s="101">
        <f t="shared" si="387"/>
        <v>32.5</v>
      </c>
      <c r="L2799" s="101">
        <v>1200</v>
      </c>
      <c r="R2799" s="102" t="s">
        <v>1847</v>
      </c>
      <c r="S2799" s="102" t="s">
        <v>1858</v>
      </c>
      <c r="T2799" s="102"/>
      <c r="U2799" s="102" t="s">
        <v>2881</v>
      </c>
      <c r="V2799" s="102"/>
      <c r="W2799" s="102"/>
      <c r="X2799" s="102"/>
      <c r="Y2799" s="102" t="s">
        <v>1379</v>
      </c>
      <c r="AA2799" s="352">
        <v>50</v>
      </c>
      <c r="AB2799" s="352">
        <v>13</v>
      </c>
      <c r="AC2799" s="101" t="s">
        <v>2695</v>
      </c>
      <c r="AD2799" s="101">
        <v>5.2</v>
      </c>
      <c r="AE2799" s="101">
        <v>3</v>
      </c>
      <c r="AG2799" s="101" t="s">
        <v>2874</v>
      </c>
      <c r="AH2799" s="101" t="s">
        <v>2744</v>
      </c>
      <c r="AI2799" s="101" t="s">
        <v>577</v>
      </c>
      <c r="AJ2799" s="24" t="s">
        <v>1645</v>
      </c>
      <c r="AK2799" s="24" t="s">
        <v>132</v>
      </c>
      <c r="AW2799" s="24" t="s">
        <v>160</v>
      </c>
      <c r="BE2799" s="101" t="s">
        <v>2876</v>
      </c>
      <c r="BK2799" s="101">
        <v>3930</v>
      </c>
      <c r="BL2799" s="101">
        <v>4430</v>
      </c>
      <c r="BO2799" s="101" t="s">
        <v>2878</v>
      </c>
      <c r="BP2799" s="427"/>
      <c r="BQ2799" s="427"/>
      <c r="BU2799" s="427"/>
      <c r="BV2799" s="427"/>
      <c r="BZ2799" s="427"/>
      <c r="CA2799" s="427"/>
      <c r="CE2799" s="580"/>
      <c r="CF2799" s="580"/>
      <c r="CG2799" s="580"/>
      <c r="CH2799" s="580"/>
      <c r="HJ2799" s="101">
        <v>36.4</v>
      </c>
      <c r="HK2799" s="101">
        <v>30.38</v>
      </c>
      <c r="HN2799" s="101" t="s">
        <v>2879</v>
      </c>
      <c r="JD2799" s="177"/>
    </row>
    <row r="2800" spans="1:264" s="101" customFormat="1" x14ac:dyDescent="0.25">
      <c r="A2800" s="101">
        <v>130</v>
      </c>
      <c r="B2800" s="102" t="s">
        <v>4367</v>
      </c>
      <c r="C2800" s="101" t="s">
        <v>2866</v>
      </c>
      <c r="D2800" s="101" t="s">
        <v>525</v>
      </c>
      <c r="E2800" s="101">
        <v>1997</v>
      </c>
      <c r="F2800" s="101">
        <v>1995</v>
      </c>
      <c r="G2800" s="101" t="s">
        <v>2426</v>
      </c>
      <c r="H2800" s="101" t="s">
        <v>2873</v>
      </c>
      <c r="I2800" s="101" t="s">
        <v>2857</v>
      </c>
      <c r="J2800" s="101">
        <f t="shared" si="386"/>
        <v>0.4</v>
      </c>
      <c r="K2800" s="101">
        <f t="shared" si="387"/>
        <v>32.5</v>
      </c>
      <c r="L2800" s="101">
        <v>1200</v>
      </c>
      <c r="R2800" s="102" t="s">
        <v>1728</v>
      </c>
      <c r="S2800" s="102" t="s">
        <v>1858</v>
      </c>
      <c r="T2800" s="102"/>
      <c r="U2800" s="102" t="s">
        <v>2881</v>
      </c>
      <c r="V2800" s="102"/>
      <c r="W2800" s="102"/>
      <c r="X2800" s="102"/>
      <c r="Y2800" s="102" t="s">
        <v>1379</v>
      </c>
      <c r="AA2800" s="352">
        <v>50</v>
      </c>
      <c r="AB2800" s="352">
        <v>13</v>
      </c>
      <c r="AC2800" s="101" t="s">
        <v>2695</v>
      </c>
      <c r="AD2800" s="101">
        <v>5.2</v>
      </c>
      <c r="AE2800" s="101">
        <v>3</v>
      </c>
      <c r="AG2800" s="101" t="s">
        <v>2874</v>
      </c>
      <c r="AH2800" s="101" t="s">
        <v>2744</v>
      </c>
      <c r="AI2800" s="101" t="s">
        <v>577</v>
      </c>
      <c r="AJ2800" s="24" t="s">
        <v>1645</v>
      </c>
      <c r="AK2800" s="24" t="s">
        <v>132</v>
      </c>
      <c r="AW2800" s="24" t="s">
        <v>160</v>
      </c>
      <c r="BE2800" s="101" t="s">
        <v>2876</v>
      </c>
      <c r="BK2800" s="101">
        <v>2700</v>
      </c>
      <c r="BL2800" s="101">
        <v>2560</v>
      </c>
      <c r="BO2800" s="101" t="s">
        <v>2878</v>
      </c>
      <c r="BP2800" s="427"/>
      <c r="BQ2800" s="427"/>
      <c r="BU2800" s="427"/>
      <c r="BV2800" s="427"/>
      <c r="BZ2800" s="427"/>
      <c r="CA2800" s="427"/>
      <c r="CE2800" s="580"/>
      <c r="CF2800" s="580"/>
      <c r="CG2800" s="580"/>
      <c r="CH2800" s="580"/>
      <c r="HJ2800" s="101">
        <v>15.57</v>
      </c>
      <c r="HK2800" s="101">
        <v>16</v>
      </c>
      <c r="HN2800" s="101" t="s">
        <v>2879</v>
      </c>
      <c r="JD2800" s="177"/>
    </row>
    <row r="2801" spans="1:264" s="32" customFormat="1" x14ac:dyDescent="0.25">
      <c r="A2801" s="32">
        <v>130</v>
      </c>
      <c r="B2801" s="44" t="s">
        <v>4368</v>
      </c>
      <c r="C2801" s="32" t="s">
        <v>2866</v>
      </c>
      <c r="D2801" s="32" t="s">
        <v>525</v>
      </c>
      <c r="E2801" s="32">
        <v>1997</v>
      </c>
      <c r="F2801" s="32">
        <v>1994</v>
      </c>
      <c r="G2801" s="32" t="s">
        <v>2426</v>
      </c>
      <c r="H2801" s="32" t="s">
        <v>2873</v>
      </c>
      <c r="I2801" s="32" t="s">
        <v>2857</v>
      </c>
      <c r="J2801" s="32">
        <f t="shared" si="386"/>
        <v>0.4</v>
      </c>
      <c r="K2801" s="32">
        <f t="shared" si="387"/>
        <v>32.5</v>
      </c>
      <c r="L2801" s="32">
        <v>1200</v>
      </c>
      <c r="R2801" s="44" t="s">
        <v>1977</v>
      </c>
      <c r="S2801" s="44" t="s">
        <v>1858</v>
      </c>
      <c r="T2801" s="44"/>
      <c r="U2801" s="44" t="s">
        <v>2881</v>
      </c>
      <c r="V2801" s="44"/>
      <c r="W2801" s="44"/>
      <c r="X2801" s="44"/>
      <c r="Y2801" s="44" t="s">
        <v>1379</v>
      </c>
      <c r="AA2801" s="323">
        <v>50</v>
      </c>
      <c r="AB2801" s="323">
        <v>13</v>
      </c>
      <c r="AC2801" s="32" t="s">
        <v>2695</v>
      </c>
      <c r="AD2801" s="32">
        <v>5.2</v>
      </c>
      <c r="AE2801" s="32">
        <v>3</v>
      </c>
      <c r="AG2801" s="32" t="s">
        <v>2874</v>
      </c>
      <c r="AH2801" s="32" t="s">
        <v>2744</v>
      </c>
      <c r="AI2801" s="32" t="s">
        <v>577</v>
      </c>
      <c r="AJ2801" s="32" t="s">
        <v>2868</v>
      </c>
      <c r="AK2801" s="32" t="s">
        <v>229</v>
      </c>
      <c r="AW2801" s="32" t="s">
        <v>160</v>
      </c>
      <c r="BE2801" s="32" t="s">
        <v>2875</v>
      </c>
      <c r="BK2801" s="32">
        <v>1680</v>
      </c>
      <c r="BL2801" s="32">
        <v>2880</v>
      </c>
      <c r="BO2801" s="32" t="s">
        <v>2878</v>
      </c>
      <c r="BP2801" s="397"/>
      <c r="BQ2801" s="397"/>
      <c r="BU2801" s="397"/>
      <c r="BV2801" s="397"/>
      <c r="BZ2801" s="397"/>
      <c r="CA2801" s="397"/>
      <c r="CE2801" s="550"/>
      <c r="CF2801" s="550"/>
      <c r="CG2801" s="550"/>
      <c r="CH2801" s="550"/>
      <c r="JD2801" s="243"/>
    </row>
    <row r="2802" spans="1:264" s="32" customFormat="1" x14ac:dyDescent="0.25">
      <c r="A2802" s="32">
        <v>130</v>
      </c>
      <c r="B2802" s="44" t="s">
        <v>4368</v>
      </c>
      <c r="C2802" s="32" t="s">
        <v>2866</v>
      </c>
      <c r="D2802" s="32" t="s">
        <v>525</v>
      </c>
      <c r="E2802" s="32">
        <v>1997</v>
      </c>
      <c r="F2802" s="32">
        <v>1995</v>
      </c>
      <c r="G2802" s="32" t="s">
        <v>2426</v>
      </c>
      <c r="H2802" s="32" t="s">
        <v>2873</v>
      </c>
      <c r="I2802" s="32" t="s">
        <v>2857</v>
      </c>
      <c r="J2802" s="32">
        <f t="shared" si="386"/>
        <v>0.4</v>
      </c>
      <c r="K2802" s="32">
        <f t="shared" si="387"/>
        <v>32.5</v>
      </c>
      <c r="L2802" s="32">
        <v>1200</v>
      </c>
      <c r="R2802" s="44" t="s">
        <v>1847</v>
      </c>
      <c r="S2802" s="44" t="s">
        <v>1858</v>
      </c>
      <c r="T2802" s="44"/>
      <c r="U2802" s="44" t="s">
        <v>2881</v>
      </c>
      <c r="V2802" s="44"/>
      <c r="W2802" s="44"/>
      <c r="X2802" s="44"/>
      <c r="Y2802" s="44" t="s">
        <v>1379</v>
      </c>
      <c r="AA2802" s="323">
        <v>50</v>
      </c>
      <c r="AB2802" s="323">
        <v>13</v>
      </c>
      <c r="AC2802" s="32" t="s">
        <v>2695</v>
      </c>
      <c r="AD2802" s="32">
        <v>5.2</v>
      </c>
      <c r="AE2802" s="32">
        <v>3</v>
      </c>
      <c r="AG2802" s="32" t="s">
        <v>2874</v>
      </c>
      <c r="AH2802" s="32" t="s">
        <v>2744</v>
      </c>
      <c r="AI2802" s="32" t="s">
        <v>577</v>
      </c>
      <c r="AJ2802" s="32" t="s">
        <v>2868</v>
      </c>
      <c r="AK2802" s="32" t="s">
        <v>229</v>
      </c>
      <c r="AW2802" s="32" t="s">
        <v>160</v>
      </c>
      <c r="BE2802" s="32" t="s">
        <v>2875</v>
      </c>
      <c r="BK2802" s="32">
        <v>3700</v>
      </c>
      <c r="BL2802" s="32">
        <v>5160</v>
      </c>
      <c r="BO2802" s="32" t="s">
        <v>2878</v>
      </c>
      <c r="BP2802" s="397"/>
      <c r="BQ2802" s="397"/>
      <c r="BU2802" s="397"/>
      <c r="BV2802" s="397"/>
      <c r="BZ2802" s="397"/>
      <c r="CA2802" s="397"/>
      <c r="CE2802" s="550"/>
      <c r="CF2802" s="550"/>
      <c r="CG2802" s="550"/>
      <c r="CH2802" s="550"/>
      <c r="JD2802" s="243"/>
    </row>
    <row r="2803" spans="1:264" s="32" customFormat="1" x14ac:dyDescent="0.25">
      <c r="A2803" s="32">
        <v>130</v>
      </c>
      <c r="B2803" s="44" t="s">
        <v>4368</v>
      </c>
      <c r="C2803" s="32" t="s">
        <v>2866</v>
      </c>
      <c r="D2803" s="32" t="s">
        <v>525</v>
      </c>
      <c r="E2803" s="32">
        <v>1997</v>
      </c>
      <c r="F2803" s="32">
        <v>1995</v>
      </c>
      <c r="G2803" s="32" t="s">
        <v>2426</v>
      </c>
      <c r="H2803" s="32" t="s">
        <v>2873</v>
      </c>
      <c r="I2803" s="32" t="s">
        <v>2857</v>
      </c>
      <c r="J2803" s="32">
        <f t="shared" si="386"/>
        <v>0.4</v>
      </c>
      <c r="K2803" s="32">
        <f t="shared" si="387"/>
        <v>32.5</v>
      </c>
      <c r="L2803" s="32">
        <v>1200</v>
      </c>
      <c r="R2803" s="44" t="s">
        <v>1728</v>
      </c>
      <c r="S2803" s="44" t="s">
        <v>1858</v>
      </c>
      <c r="T2803" s="44"/>
      <c r="U2803" s="44" t="s">
        <v>2881</v>
      </c>
      <c r="V2803" s="44"/>
      <c r="W2803" s="44"/>
      <c r="X2803" s="44"/>
      <c r="Y2803" s="44" t="s">
        <v>1379</v>
      </c>
      <c r="AA2803" s="323">
        <v>50</v>
      </c>
      <c r="AB2803" s="323">
        <v>13</v>
      </c>
      <c r="AC2803" s="32" t="s">
        <v>2695</v>
      </c>
      <c r="AD2803" s="32">
        <v>5.2</v>
      </c>
      <c r="AE2803" s="32">
        <v>3</v>
      </c>
      <c r="AG2803" s="32" t="s">
        <v>2874</v>
      </c>
      <c r="AH2803" s="32" t="s">
        <v>2744</v>
      </c>
      <c r="AI2803" s="32" t="s">
        <v>577</v>
      </c>
      <c r="AJ2803" s="32" t="s">
        <v>2868</v>
      </c>
      <c r="AK2803" s="32" t="s">
        <v>229</v>
      </c>
      <c r="AW2803" s="32" t="s">
        <v>160</v>
      </c>
      <c r="BE2803" s="32" t="s">
        <v>2875</v>
      </c>
      <c r="BK2803" s="32">
        <v>2450</v>
      </c>
      <c r="BL2803" s="32">
        <v>3890</v>
      </c>
      <c r="BO2803" s="32" t="s">
        <v>2878</v>
      </c>
      <c r="BP2803" s="397"/>
      <c r="BQ2803" s="397"/>
      <c r="BU2803" s="397"/>
      <c r="BV2803" s="397"/>
      <c r="BZ2803" s="397"/>
      <c r="CA2803" s="397"/>
      <c r="CE2803" s="550"/>
      <c r="CF2803" s="550"/>
      <c r="CG2803" s="550"/>
      <c r="CH2803" s="550"/>
      <c r="JD2803" s="243"/>
    </row>
    <row r="2804" spans="1:264" s="105" customFormat="1" x14ac:dyDescent="0.25">
      <c r="A2804" s="105">
        <v>130</v>
      </c>
      <c r="B2804" s="106" t="s">
        <v>4368</v>
      </c>
      <c r="C2804" s="105" t="s">
        <v>2866</v>
      </c>
      <c r="D2804" s="105" t="s">
        <v>525</v>
      </c>
      <c r="E2804" s="105">
        <v>1997</v>
      </c>
      <c r="F2804" s="105">
        <v>1994</v>
      </c>
      <c r="G2804" s="105" t="s">
        <v>2426</v>
      </c>
      <c r="H2804" s="105" t="s">
        <v>2873</v>
      </c>
      <c r="I2804" s="105" t="s">
        <v>2857</v>
      </c>
      <c r="J2804" s="105">
        <f t="shared" si="386"/>
        <v>0.4</v>
      </c>
      <c r="K2804" s="105">
        <f t="shared" si="387"/>
        <v>32.5</v>
      </c>
      <c r="L2804" s="105">
        <v>1200</v>
      </c>
      <c r="R2804" s="106" t="s">
        <v>1977</v>
      </c>
      <c r="S2804" s="106" t="s">
        <v>1858</v>
      </c>
      <c r="T2804" s="106"/>
      <c r="U2804" s="106" t="s">
        <v>2881</v>
      </c>
      <c r="V2804" s="106"/>
      <c r="W2804" s="106"/>
      <c r="X2804" s="106"/>
      <c r="Y2804" s="106" t="s">
        <v>1379</v>
      </c>
      <c r="AA2804" s="354">
        <v>50</v>
      </c>
      <c r="AB2804" s="354">
        <v>13</v>
      </c>
      <c r="AC2804" s="105" t="s">
        <v>2695</v>
      </c>
      <c r="AD2804" s="105">
        <v>5.2</v>
      </c>
      <c r="AE2804" s="105">
        <v>3</v>
      </c>
      <c r="AG2804" s="105" t="s">
        <v>2874</v>
      </c>
      <c r="AH2804" s="105" t="s">
        <v>2744</v>
      </c>
      <c r="AI2804" s="105" t="s">
        <v>577</v>
      </c>
      <c r="AJ2804" s="32" t="s">
        <v>2868</v>
      </c>
      <c r="AK2804" s="32" t="s">
        <v>229</v>
      </c>
      <c r="AW2804" s="32" t="s">
        <v>160</v>
      </c>
      <c r="BE2804" s="105" t="s">
        <v>2876</v>
      </c>
      <c r="BK2804" s="105">
        <v>1680</v>
      </c>
      <c r="BL2804" s="105">
        <v>2420</v>
      </c>
      <c r="BO2804" s="105" t="s">
        <v>2878</v>
      </c>
      <c r="BP2804" s="429"/>
      <c r="BQ2804" s="429"/>
      <c r="BU2804" s="429"/>
      <c r="BV2804" s="429"/>
      <c r="BZ2804" s="429"/>
      <c r="CA2804" s="429"/>
      <c r="CE2804" s="582"/>
      <c r="CF2804" s="582"/>
      <c r="CG2804" s="582"/>
      <c r="CH2804" s="582"/>
      <c r="JD2804" s="499"/>
    </row>
    <row r="2805" spans="1:264" s="105" customFormat="1" x14ac:dyDescent="0.25">
      <c r="A2805" s="105">
        <v>130</v>
      </c>
      <c r="B2805" s="106" t="s">
        <v>4368</v>
      </c>
      <c r="C2805" s="105" t="s">
        <v>2866</v>
      </c>
      <c r="D2805" s="105" t="s">
        <v>525</v>
      </c>
      <c r="E2805" s="105">
        <v>1997</v>
      </c>
      <c r="F2805" s="105">
        <v>1995</v>
      </c>
      <c r="G2805" s="105" t="s">
        <v>2426</v>
      </c>
      <c r="H2805" s="105" t="s">
        <v>2873</v>
      </c>
      <c r="I2805" s="105" t="s">
        <v>2857</v>
      </c>
      <c r="J2805" s="105">
        <f t="shared" si="386"/>
        <v>0.4</v>
      </c>
      <c r="K2805" s="105">
        <f t="shared" si="387"/>
        <v>32.5</v>
      </c>
      <c r="L2805" s="105">
        <v>1200</v>
      </c>
      <c r="R2805" s="106" t="s">
        <v>1847</v>
      </c>
      <c r="S2805" s="106" t="s">
        <v>1858</v>
      </c>
      <c r="T2805" s="106"/>
      <c r="U2805" s="106" t="s">
        <v>2881</v>
      </c>
      <c r="V2805" s="106"/>
      <c r="W2805" s="106"/>
      <c r="X2805" s="106"/>
      <c r="Y2805" s="106" t="s">
        <v>1379</v>
      </c>
      <c r="AA2805" s="354">
        <v>50</v>
      </c>
      <c r="AB2805" s="354">
        <v>13</v>
      </c>
      <c r="AC2805" s="105" t="s">
        <v>2695</v>
      </c>
      <c r="AD2805" s="105">
        <v>5.2</v>
      </c>
      <c r="AE2805" s="105">
        <v>3</v>
      </c>
      <c r="AG2805" s="105" t="s">
        <v>2874</v>
      </c>
      <c r="AH2805" s="105" t="s">
        <v>2744</v>
      </c>
      <c r="AI2805" s="105" t="s">
        <v>577</v>
      </c>
      <c r="AJ2805" s="32" t="s">
        <v>2868</v>
      </c>
      <c r="AK2805" s="32" t="s">
        <v>229</v>
      </c>
      <c r="AW2805" s="32" t="s">
        <v>160</v>
      </c>
      <c r="BE2805" s="105" t="s">
        <v>2876</v>
      </c>
      <c r="BK2805" s="105">
        <v>3700</v>
      </c>
      <c r="BL2805" s="105">
        <v>4930</v>
      </c>
      <c r="BO2805" s="105" t="s">
        <v>2878</v>
      </c>
      <c r="BP2805" s="429"/>
      <c r="BQ2805" s="429"/>
      <c r="BU2805" s="429"/>
      <c r="BV2805" s="429"/>
      <c r="BZ2805" s="429"/>
      <c r="CA2805" s="429"/>
      <c r="CE2805" s="582"/>
      <c r="CF2805" s="582"/>
      <c r="CG2805" s="582"/>
      <c r="CH2805" s="582"/>
      <c r="JD2805" s="499"/>
    </row>
    <row r="2806" spans="1:264" s="105" customFormat="1" x14ac:dyDescent="0.25">
      <c r="A2806" s="105">
        <v>130</v>
      </c>
      <c r="B2806" s="106" t="s">
        <v>4368</v>
      </c>
      <c r="C2806" s="105" t="s">
        <v>2866</v>
      </c>
      <c r="D2806" s="105" t="s">
        <v>525</v>
      </c>
      <c r="E2806" s="105">
        <v>1997</v>
      </c>
      <c r="F2806" s="105">
        <v>1995</v>
      </c>
      <c r="G2806" s="105" t="s">
        <v>2426</v>
      </c>
      <c r="H2806" s="105" t="s">
        <v>2873</v>
      </c>
      <c r="I2806" s="105" t="s">
        <v>2857</v>
      </c>
      <c r="J2806" s="105">
        <f t="shared" si="386"/>
        <v>0.4</v>
      </c>
      <c r="K2806" s="105">
        <f t="shared" si="387"/>
        <v>32.5</v>
      </c>
      <c r="L2806" s="105">
        <v>1200</v>
      </c>
      <c r="R2806" s="106" t="s">
        <v>1728</v>
      </c>
      <c r="S2806" s="106" t="s">
        <v>1858</v>
      </c>
      <c r="T2806" s="106"/>
      <c r="U2806" s="106" t="s">
        <v>2881</v>
      </c>
      <c r="V2806" s="106"/>
      <c r="W2806" s="106"/>
      <c r="X2806" s="106"/>
      <c r="Y2806" s="106" t="s">
        <v>1379</v>
      </c>
      <c r="AA2806" s="354">
        <v>50</v>
      </c>
      <c r="AB2806" s="354">
        <v>13</v>
      </c>
      <c r="AC2806" s="105" t="s">
        <v>2695</v>
      </c>
      <c r="AD2806" s="105">
        <v>5.2</v>
      </c>
      <c r="AE2806" s="105">
        <v>3</v>
      </c>
      <c r="AG2806" s="105" t="s">
        <v>2874</v>
      </c>
      <c r="AH2806" s="105" t="s">
        <v>2744</v>
      </c>
      <c r="AI2806" s="105" t="s">
        <v>577</v>
      </c>
      <c r="AJ2806" s="32" t="s">
        <v>2868</v>
      </c>
      <c r="AK2806" s="32" t="s">
        <v>229</v>
      </c>
      <c r="AW2806" s="32" t="s">
        <v>160</v>
      </c>
      <c r="BE2806" s="105" t="s">
        <v>2876</v>
      </c>
      <c r="BK2806" s="105">
        <v>2450</v>
      </c>
      <c r="BL2806" s="105">
        <v>3480</v>
      </c>
      <c r="BO2806" s="105" t="s">
        <v>2878</v>
      </c>
      <c r="BP2806" s="429"/>
      <c r="BQ2806" s="429"/>
      <c r="BU2806" s="429"/>
      <c r="BV2806" s="429"/>
      <c r="BZ2806" s="429"/>
      <c r="CA2806" s="429"/>
      <c r="CE2806" s="582"/>
      <c r="CF2806" s="582"/>
      <c r="CG2806" s="582"/>
      <c r="CH2806" s="582"/>
      <c r="JD2806" s="499"/>
    </row>
    <row r="2807" spans="1:264" s="24" customFormat="1" x14ac:dyDescent="0.25">
      <c r="A2807" s="24">
        <v>130</v>
      </c>
      <c r="B2807" s="42" t="s">
        <v>4367</v>
      </c>
      <c r="C2807" s="24" t="s">
        <v>2866</v>
      </c>
      <c r="D2807" s="24" t="s">
        <v>525</v>
      </c>
      <c r="E2807" s="24">
        <v>1997</v>
      </c>
      <c r="F2807" s="24">
        <v>1994</v>
      </c>
      <c r="G2807" s="24" t="s">
        <v>2426</v>
      </c>
      <c r="H2807" s="24" t="s">
        <v>2873</v>
      </c>
      <c r="I2807" s="24" t="s">
        <v>2857</v>
      </c>
      <c r="J2807" s="24">
        <f t="shared" si="386"/>
        <v>0.4</v>
      </c>
      <c r="K2807" s="24">
        <f t="shared" si="387"/>
        <v>32.5</v>
      </c>
      <c r="L2807" s="24">
        <v>1200</v>
      </c>
      <c r="R2807" s="42" t="s">
        <v>1977</v>
      </c>
      <c r="S2807" s="42" t="s">
        <v>1858</v>
      </c>
      <c r="T2807" s="42"/>
      <c r="U2807" s="42" t="s">
        <v>2881</v>
      </c>
      <c r="V2807" s="42"/>
      <c r="W2807" s="42"/>
      <c r="X2807" s="42"/>
      <c r="Y2807" s="42" t="s">
        <v>1379</v>
      </c>
      <c r="AA2807" s="321">
        <v>50</v>
      </c>
      <c r="AB2807" s="321">
        <v>13</v>
      </c>
      <c r="AC2807" s="24" t="s">
        <v>2695</v>
      </c>
      <c r="AD2807" s="24">
        <v>5.2</v>
      </c>
      <c r="AE2807" s="24">
        <v>3</v>
      </c>
      <c r="AG2807" s="24" t="s">
        <v>2874</v>
      </c>
      <c r="AH2807" s="24" t="s">
        <v>2744</v>
      </c>
      <c r="AI2807" s="24" t="s">
        <v>577</v>
      </c>
      <c r="AJ2807" s="24" t="s">
        <v>1645</v>
      </c>
      <c r="AK2807" s="24" t="s">
        <v>132</v>
      </c>
      <c r="AW2807" s="24" t="s">
        <v>160</v>
      </c>
      <c r="BE2807" s="24" t="s">
        <v>2875</v>
      </c>
      <c r="BK2807" s="24">
        <v>290</v>
      </c>
      <c r="BL2807" s="24">
        <v>410</v>
      </c>
      <c r="BO2807" s="24" t="s">
        <v>2880</v>
      </c>
      <c r="BP2807" s="395"/>
      <c r="BQ2807" s="395"/>
      <c r="BU2807" s="395"/>
      <c r="BV2807" s="395"/>
      <c r="BZ2807" s="395"/>
      <c r="CA2807" s="395"/>
      <c r="CE2807" s="548"/>
      <c r="CF2807" s="548"/>
      <c r="CG2807" s="548"/>
      <c r="CH2807" s="548"/>
      <c r="JD2807" s="249"/>
    </row>
    <row r="2808" spans="1:264" s="24" customFormat="1" x14ac:dyDescent="0.25">
      <c r="A2808" s="24">
        <v>130</v>
      </c>
      <c r="B2808" s="42" t="s">
        <v>4367</v>
      </c>
      <c r="C2808" s="24" t="s">
        <v>2866</v>
      </c>
      <c r="D2808" s="24" t="s">
        <v>525</v>
      </c>
      <c r="E2808" s="24">
        <v>1997</v>
      </c>
      <c r="F2808" s="24">
        <v>1995</v>
      </c>
      <c r="G2808" s="24" t="s">
        <v>2426</v>
      </c>
      <c r="H2808" s="24" t="s">
        <v>2873</v>
      </c>
      <c r="I2808" s="24" t="s">
        <v>2857</v>
      </c>
      <c r="J2808" s="24">
        <f t="shared" si="386"/>
        <v>0.4</v>
      </c>
      <c r="K2808" s="24">
        <f t="shared" si="387"/>
        <v>32.5</v>
      </c>
      <c r="L2808" s="24">
        <v>1200</v>
      </c>
      <c r="R2808" s="42" t="s">
        <v>1847</v>
      </c>
      <c r="S2808" s="42" t="s">
        <v>1858</v>
      </c>
      <c r="T2808" s="42"/>
      <c r="U2808" s="42" t="s">
        <v>2881</v>
      </c>
      <c r="V2808" s="42"/>
      <c r="W2808" s="42"/>
      <c r="X2808" s="42"/>
      <c r="Y2808" s="42" t="s">
        <v>1379</v>
      </c>
      <c r="AA2808" s="321">
        <v>50</v>
      </c>
      <c r="AB2808" s="321">
        <v>13</v>
      </c>
      <c r="AC2808" s="24" t="s">
        <v>2695</v>
      </c>
      <c r="AD2808" s="24">
        <v>5.2</v>
      </c>
      <c r="AE2808" s="24">
        <v>3</v>
      </c>
      <c r="AG2808" s="24" t="s">
        <v>2874</v>
      </c>
      <c r="AH2808" s="24" t="s">
        <v>2744</v>
      </c>
      <c r="AI2808" s="24" t="s">
        <v>577</v>
      </c>
      <c r="AJ2808" s="24" t="s">
        <v>1645</v>
      </c>
      <c r="AK2808" s="24" t="s">
        <v>132</v>
      </c>
      <c r="AW2808" s="24" t="s">
        <v>160</v>
      </c>
      <c r="BE2808" s="24" t="s">
        <v>2875</v>
      </c>
      <c r="BK2808" s="24">
        <v>480</v>
      </c>
      <c r="BL2808" s="24">
        <v>690</v>
      </c>
      <c r="BO2808" s="24" t="s">
        <v>2880</v>
      </c>
      <c r="BP2808" s="395"/>
      <c r="BQ2808" s="395"/>
      <c r="BU2808" s="395"/>
      <c r="BV2808" s="395"/>
      <c r="BZ2808" s="395"/>
      <c r="CA2808" s="395"/>
      <c r="CE2808" s="548"/>
      <c r="CF2808" s="548"/>
      <c r="CG2808" s="548"/>
      <c r="CH2808" s="548"/>
      <c r="JD2808" s="249"/>
    </row>
    <row r="2809" spans="1:264" s="24" customFormat="1" x14ac:dyDescent="0.25">
      <c r="A2809" s="24">
        <v>130</v>
      </c>
      <c r="B2809" s="42" t="s">
        <v>4367</v>
      </c>
      <c r="C2809" s="24" t="s">
        <v>2866</v>
      </c>
      <c r="D2809" s="24" t="s">
        <v>525</v>
      </c>
      <c r="E2809" s="24">
        <v>1997</v>
      </c>
      <c r="F2809" s="24">
        <v>1996</v>
      </c>
      <c r="G2809" s="24" t="s">
        <v>2426</v>
      </c>
      <c r="H2809" s="24" t="s">
        <v>2873</v>
      </c>
      <c r="I2809" s="24" t="s">
        <v>2857</v>
      </c>
      <c r="J2809" s="24">
        <f t="shared" si="386"/>
        <v>0.4</v>
      </c>
      <c r="K2809" s="24">
        <f t="shared" si="387"/>
        <v>32.5</v>
      </c>
      <c r="L2809" s="24">
        <v>1200</v>
      </c>
      <c r="R2809" s="42" t="s">
        <v>1728</v>
      </c>
      <c r="S2809" s="42" t="s">
        <v>1858</v>
      </c>
      <c r="T2809" s="42"/>
      <c r="U2809" s="42" t="s">
        <v>2881</v>
      </c>
      <c r="V2809" s="42"/>
      <c r="W2809" s="42"/>
      <c r="X2809" s="42"/>
      <c r="Y2809" s="42" t="s">
        <v>1379</v>
      </c>
      <c r="AA2809" s="321">
        <v>50</v>
      </c>
      <c r="AB2809" s="321">
        <v>13</v>
      </c>
      <c r="AC2809" s="24" t="s">
        <v>2695</v>
      </c>
      <c r="AD2809" s="24">
        <v>5.2</v>
      </c>
      <c r="AE2809" s="24">
        <v>3</v>
      </c>
      <c r="AG2809" s="24" t="s">
        <v>2874</v>
      </c>
      <c r="AH2809" s="24" t="s">
        <v>2744</v>
      </c>
      <c r="AI2809" s="24" t="s">
        <v>577</v>
      </c>
      <c r="AJ2809" s="24" t="s">
        <v>1645</v>
      </c>
      <c r="AK2809" s="24" t="s">
        <v>132</v>
      </c>
      <c r="AW2809" s="24" t="s">
        <v>160</v>
      </c>
      <c r="BE2809" s="24" t="s">
        <v>2875</v>
      </c>
      <c r="BK2809" s="24">
        <v>2590</v>
      </c>
      <c r="BL2809" s="24">
        <v>2410</v>
      </c>
      <c r="BO2809" s="24" t="s">
        <v>2880</v>
      </c>
      <c r="BP2809" s="395"/>
      <c r="BQ2809" s="395"/>
      <c r="BU2809" s="395"/>
      <c r="BV2809" s="395"/>
      <c r="BZ2809" s="395"/>
      <c r="CA2809" s="395"/>
      <c r="CE2809" s="548"/>
      <c r="CF2809" s="548"/>
      <c r="CG2809" s="548"/>
      <c r="CH2809" s="548"/>
      <c r="JD2809" s="249"/>
    </row>
    <row r="2810" spans="1:264" s="101" customFormat="1" x14ac:dyDescent="0.25">
      <c r="A2810" s="101">
        <v>130</v>
      </c>
      <c r="B2810" s="102" t="s">
        <v>4367</v>
      </c>
      <c r="C2810" s="101" t="s">
        <v>2866</v>
      </c>
      <c r="D2810" s="101" t="s">
        <v>525</v>
      </c>
      <c r="E2810" s="101">
        <v>1997</v>
      </c>
      <c r="F2810" s="101">
        <v>1994</v>
      </c>
      <c r="G2810" s="101" t="s">
        <v>2426</v>
      </c>
      <c r="H2810" s="101" t="s">
        <v>2873</v>
      </c>
      <c r="I2810" s="101" t="s">
        <v>2857</v>
      </c>
      <c r="J2810" s="101">
        <f t="shared" si="386"/>
        <v>0.4</v>
      </c>
      <c r="K2810" s="101">
        <f t="shared" si="387"/>
        <v>32.5</v>
      </c>
      <c r="L2810" s="101">
        <v>1200</v>
      </c>
      <c r="R2810" s="102" t="s">
        <v>1977</v>
      </c>
      <c r="S2810" s="102" t="s">
        <v>1858</v>
      </c>
      <c r="T2810" s="102"/>
      <c r="U2810" s="102" t="s">
        <v>2881</v>
      </c>
      <c r="V2810" s="102"/>
      <c r="W2810" s="102"/>
      <c r="X2810" s="102"/>
      <c r="Y2810" s="102" t="s">
        <v>1379</v>
      </c>
      <c r="AA2810" s="352">
        <v>50</v>
      </c>
      <c r="AB2810" s="352">
        <v>13</v>
      </c>
      <c r="AC2810" s="101" t="s">
        <v>2695</v>
      </c>
      <c r="AD2810" s="101">
        <v>5.2</v>
      </c>
      <c r="AE2810" s="101">
        <v>3</v>
      </c>
      <c r="AG2810" s="101" t="s">
        <v>2874</v>
      </c>
      <c r="AH2810" s="101" t="s">
        <v>2744</v>
      </c>
      <c r="AI2810" s="101" t="s">
        <v>577</v>
      </c>
      <c r="AJ2810" s="24" t="s">
        <v>1645</v>
      </c>
      <c r="AK2810" s="24" t="s">
        <v>132</v>
      </c>
      <c r="AW2810" s="24" t="s">
        <v>160</v>
      </c>
      <c r="BE2810" s="101" t="s">
        <v>2876</v>
      </c>
      <c r="BK2810" s="101">
        <v>290</v>
      </c>
      <c r="BL2810" s="101">
        <v>370</v>
      </c>
      <c r="BO2810" s="101" t="s">
        <v>2880</v>
      </c>
      <c r="BP2810" s="427"/>
      <c r="BQ2810" s="427"/>
      <c r="BU2810" s="427"/>
      <c r="BV2810" s="427"/>
      <c r="BZ2810" s="427"/>
      <c r="CA2810" s="427"/>
      <c r="CE2810" s="580"/>
      <c r="CF2810" s="580"/>
      <c r="CG2810" s="580"/>
      <c r="CH2810" s="580"/>
      <c r="JD2810" s="177"/>
    </row>
    <row r="2811" spans="1:264" s="101" customFormat="1" x14ac:dyDescent="0.25">
      <c r="A2811" s="101">
        <v>130</v>
      </c>
      <c r="B2811" s="102" t="s">
        <v>4367</v>
      </c>
      <c r="C2811" s="101" t="s">
        <v>2866</v>
      </c>
      <c r="D2811" s="101" t="s">
        <v>525</v>
      </c>
      <c r="E2811" s="101">
        <v>1997</v>
      </c>
      <c r="F2811" s="101">
        <v>1995</v>
      </c>
      <c r="G2811" s="101" t="s">
        <v>2426</v>
      </c>
      <c r="H2811" s="101" t="s">
        <v>2873</v>
      </c>
      <c r="I2811" s="101" t="s">
        <v>2857</v>
      </c>
      <c r="J2811" s="101">
        <f t="shared" si="386"/>
        <v>0.4</v>
      </c>
      <c r="K2811" s="101">
        <f t="shared" si="387"/>
        <v>32.5</v>
      </c>
      <c r="L2811" s="101">
        <v>1200</v>
      </c>
      <c r="R2811" s="102" t="s">
        <v>1847</v>
      </c>
      <c r="S2811" s="102" t="s">
        <v>1858</v>
      </c>
      <c r="T2811" s="102"/>
      <c r="U2811" s="102" t="s">
        <v>2881</v>
      </c>
      <c r="V2811" s="102"/>
      <c r="W2811" s="102"/>
      <c r="X2811" s="102"/>
      <c r="Y2811" s="102" t="s">
        <v>1379</v>
      </c>
      <c r="AA2811" s="352">
        <v>50</v>
      </c>
      <c r="AB2811" s="352">
        <v>13</v>
      </c>
      <c r="AC2811" s="101" t="s">
        <v>2695</v>
      </c>
      <c r="AD2811" s="101">
        <v>5.2</v>
      </c>
      <c r="AE2811" s="101">
        <v>3</v>
      </c>
      <c r="AG2811" s="101" t="s">
        <v>2874</v>
      </c>
      <c r="AH2811" s="101" t="s">
        <v>2744</v>
      </c>
      <c r="AI2811" s="101" t="s">
        <v>577</v>
      </c>
      <c r="AJ2811" s="24" t="s">
        <v>1645</v>
      </c>
      <c r="AK2811" s="24" t="s">
        <v>132</v>
      </c>
      <c r="AW2811" s="24" t="s">
        <v>160</v>
      </c>
      <c r="BE2811" s="101" t="s">
        <v>2876</v>
      </c>
      <c r="BK2811" s="101">
        <v>480</v>
      </c>
      <c r="BL2811" s="101">
        <v>580</v>
      </c>
      <c r="BO2811" s="101" t="s">
        <v>2880</v>
      </c>
      <c r="BP2811" s="427"/>
      <c r="BQ2811" s="427"/>
      <c r="BU2811" s="427"/>
      <c r="BV2811" s="427"/>
      <c r="BZ2811" s="427"/>
      <c r="CA2811" s="427"/>
      <c r="CE2811" s="580"/>
      <c r="CF2811" s="580"/>
      <c r="CG2811" s="580"/>
      <c r="CH2811" s="580"/>
      <c r="JD2811" s="177"/>
    </row>
    <row r="2812" spans="1:264" s="101" customFormat="1" x14ac:dyDescent="0.25">
      <c r="A2812" s="101">
        <v>130</v>
      </c>
      <c r="B2812" s="102" t="s">
        <v>4367</v>
      </c>
      <c r="C2812" s="101" t="s">
        <v>2866</v>
      </c>
      <c r="D2812" s="101" t="s">
        <v>525</v>
      </c>
      <c r="E2812" s="101">
        <v>1997</v>
      </c>
      <c r="F2812" s="101">
        <v>1996</v>
      </c>
      <c r="G2812" s="101" t="s">
        <v>2426</v>
      </c>
      <c r="H2812" s="101" t="s">
        <v>2873</v>
      </c>
      <c r="I2812" s="101" t="s">
        <v>2857</v>
      </c>
      <c r="J2812" s="101">
        <f t="shared" si="386"/>
        <v>0.4</v>
      </c>
      <c r="K2812" s="101">
        <f t="shared" si="387"/>
        <v>32.5</v>
      </c>
      <c r="L2812" s="101">
        <v>1200</v>
      </c>
      <c r="R2812" s="102" t="s">
        <v>1728</v>
      </c>
      <c r="S2812" s="102" t="s">
        <v>1858</v>
      </c>
      <c r="T2812" s="102"/>
      <c r="U2812" s="102" t="s">
        <v>2881</v>
      </c>
      <c r="V2812" s="102"/>
      <c r="W2812" s="102"/>
      <c r="X2812" s="102"/>
      <c r="Y2812" s="102" t="s">
        <v>1379</v>
      </c>
      <c r="AA2812" s="352">
        <v>50</v>
      </c>
      <c r="AB2812" s="352">
        <v>13</v>
      </c>
      <c r="AC2812" s="101" t="s">
        <v>2695</v>
      </c>
      <c r="AD2812" s="101">
        <v>5.2</v>
      </c>
      <c r="AE2812" s="101">
        <v>3</v>
      </c>
      <c r="AG2812" s="101" t="s">
        <v>2874</v>
      </c>
      <c r="AH2812" s="101" t="s">
        <v>2744</v>
      </c>
      <c r="AI2812" s="101" t="s">
        <v>577</v>
      </c>
      <c r="AJ2812" s="24" t="s">
        <v>1645</v>
      </c>
      <c r="AK2812" s="24" t="s">
        <v>132</v>
      </c>
      <c r="AW2812" s="24" t="s">
        <v>160</v>
      </c>
      <c r="BE2812" s="101" t="s">
        <v>2876</v>
      </c>
      <c r="BK2812" s="101">
        <v>2590</v>
      </c>
      <c r="BL2812" s="101">
        <v>2550</v>
      </c>
      <c r="BO2812" s="101" t="s">
        <v>2880</v>
      </c>
      <c r="BP2812" s="427"/>
      <c r="BQ2812" s="427"/>
      <c r="BU2812" s="427"/>
      <c r="BV2812" s="427"/>
      <c r="BZ2812" s="427"/>
      <c r="CA2812" s="427"/>
      <c r="CE2812" s="580"/>
      <c r="CF2812" s="580"/>
      <c r="CG2812" s="580"/>
      <c r="CH2812" s="580"/>
      <c r="JD2812" s="177"/>
    </row>
    <row r="2813" spans="1:264" s="32" customFormat="1" x14ac:dyDescent="0.25">
      <c r="A2813" s="32">
        <v>130</v>
      </c>
      <c r="B2813" s="44" t="s">
        <v>4368</v>
      </c>
      <c r="C2813" s="32" t="s">
        <v>2866</v>
      </c>
      <c r="D2813" s="32" t="s">
        <v>525</v>
      </c>
      <c r="E2813" s="32">
        <v>1997</v>
      </c>
      <c r="F2813" s="32">
        <v>1994</v>
      </c>
      <c r="G2813" s="32" t="s">
        <v>2426</v>
      </c>
      <c r="H2813" s="32" t="s">
        <v>2873</v>
      </c>
      <c r="I2813" s="32" t="s">
        <v>2857</v>
      </c>
      <c r="J2813" s="32">
        <f t="shared" si="386"/>
        <v>0.4</v>
      </c>
      <c r="K2813" s="32">
        <f t="shared" si="387"/>
        <v>32.5</v>
      </c>
      <c r="L2813" s="32">
        <v>1200</v>
      </c>
      <c r="R2813" s="44" t="s">
        <v>1847</v>
      </c>
      <c r="S2813" s="44" t="s">
        <v>1858</v>
      </c>
      <c r="T2813" s="44"/>
      <c r="U2813" s="44" t="s">
        <v>2881</v>
      </c>
      <c r="V2813" s="44"/>
      <c r="W2813" s="44"/>
      <c r="X2813" s="44"/>
      <c r="Y2813" s="44" t="s">
        <v>1379</v>
      </c>
      <c r="AA2813" s="323">
        <v>50</v>
      </c>
      <c r="AB2813" s="323">
        <v>13</v>
      </c>
      <c r="AC2813" s="32" t="s">
        <v>2695</v>
      </c>
      <c r="AD2813" s="32">
        <v>5.2</v>
      </c>
      <c r="AE2813" s="32">
        <v>3</v>
      </c>
      <c r="AG2813" s="32" t="s">
        <v>2874</v>
      </c>
      <c r="AH2813" s="32" t="s">
        <v>2744</v>
      </c>
      <c r="AI2813" s="32" t="s">
        <v>577</v>
      </c>
      <c r="AJ2813" s="32" t="s">
        <v>2868</v>
      </c>
      <c r="AK2813" s="32" t="s">
        <v>229</v>
      </c>
      <c r="AW2813" s="32" t="s">
        <v>160</v>
      </c>
      <c r="BE2813" s="32" t="s">
        <v>2875</v>
      </c>
      <c r="BK2813" s="32">
        <v>410</v>
      </c>
      <c r="BL2813" s="32">
        <v>460</v>
      </c>
      <c r="BO2813" s="32" t="s">
        <v>2880</v>
      </c>
      <c r="BP2813" s="397"/>
      <c r="BQ2813" s="397"/>
      <c r="BU2813" s="397"/>
      <c r="BV2813" s="397"/>
      <c r="BZ2813" s="397"/>
      <c r="CA2813" s="397"/>
      <c r="CE2813" s="550"/>
      <c r="CF2813" s="550"/>
      <c r="CG2813" s="550"/>
      <c r="CH2813" s="550"/>
      <c r="JD2813" s="243"/>
    </row>
    <row r="2814" spans="1:264" s="32" customFormat="1" x14ac:dyDescent="0.25">
      <c r="A2814" s="32">
        <v>130</v>
      </c>
      <c r="B2814" s="44" t="s">
        <v>4368</v>
      </c>
      <c r="C2814" s="32" t="s">
        <v>2866</v>
      </c>
      <c r="D2814" s="32" t="s">
        <v>525</v>
      </c>
      <c r="E2814" s="32">
        <v>1997</v>
      </c>
      <c r="F2814" s="32">
        <v>1995</v>
      </c>
      <c r="G2814" s="32" t="s">
        <v>2426</v>
      </c>
      <c r="H2814" s="32" t="s">
        <v>2873</v>
      </c>
      <c r="I2814" s="32" t="s">
        <v>2857</v>
      </c>
      <c r="J2814" s="32">
        <f t="shared" si="386"/>
        <v>0.4</v>
      </c>
      <c r="K2814" s="32">
        <f t="shared" si="387"/>
        <v>32.5</v>
      </c>
      <c r="L2814" s="32">
        <v>1200</v>
      </c>
      <c r="R2814" s="44" t="s">
        <v>1728</v>
      </c>
      <c r="S2814" s="44" t="s">
        <v>1858</v>
      </c>
      <c r="T2814" s="44"/>
      <c r="U2814" s="44" t="s">
        <v>2881</v>
      </c>
      <c r="V2814" s="44"/>
      <c r="W2814" s="44"/>
      <c r="X2814" s="44"/>
      <c r="Y2814" s="44" t="s">
        <v>1379</v>
      </c>
      <c r="AA2814" s="323">
        <v>50</v>
      </c>
      <c r="AB2814" s="323">
        <v>13</v>
      </c>
      <c r="AC2814" s="32" t="s">
        <v>2695</v>
      </c>
      <c r="AD2814" s="32">
        <v>5.2</v>
      </c>
      <c r="AE2814" s="32">
        <v>3</v>
      </c>
      <c r="AG2814" s="32" t="s">
        <v>2874</v>
      </c>
      <c r="AH2814" s="32" t="s">
        <v>2744</v>
      </c>
      <c r="AI2814" s="32" t="s">
        <v>577</v>
      </c>
      <c r="AJ2814" s="32" t="s">
        <v>2868</v>
      </c>
      <c r="AK2814" s="32" t="s">
        <v>229</v>
      </c>
      <c r="AW2814" s="32" t="s">
        <v>160</v>
      </c>
      <c r="BE2814" s="32" t="s">
        <v>2875</v>
      </c>
      <c r="BK2814" s="32">
        <v>660</v>
      </c>
      <c r="BL2814" s="32">
        <v>820</v>
      </c>
      <c r="BO2814" s="32" t="s">
        <v>2880</v>
      </c>
      <c r="BP2814" s="397"/>
      <c r="BQ2814" s="397"/>
      <c r="BU2814" s="397"/>
      <c r="BV2814" s="397"/>
      <c r="BZ2814" s="397"/>
      <c r="CA2814" s="397"/>
      <c r="CE2814" s="550"/>
      <c r="CF2814" s="550"/>
      <c r="CG2814" s="550"/>
      <c r="CH2814" s="550"/>
      <c r="JD2814" s="243"/>
    </row>
    <row r="2815" spans="1:264" s="32" customFormat="1" x14ac:dyDescent="0.25">
      <c r="A2815" s="32">
        <v>130</v>
      </c>
      <c r="B2815" s="44" t="s">
        <v>4368</v>
      </c>
      <c r="C2815" s="32" t="s">
        <v>2866</v>
      </c>
      <c r="D2815" s="32" t="s">
        <v>525</v>
      </c>
      <c r="E2815" s="32">
        <v>1997</v>
      </c>
      <c r="F2815" s="32">
        <v>1996</v>
      </c>
      <c r="G2815" s="32" t="s">
        <v>2426</v>
      </c>
      <c r="H2815" s="32" t="s">
        <v>2873</v>
      </c>
      <c r="I2815" s="32" t="s">
        <v>2857</v>
      </c>
      <c r="J2815" s="32">
        <f t="shared" si="386"/>
        <v>0.4</v>
      </c>
      <c r="K2815" s="32">
        <f t="shared" si="387"/>
        <v>32.5</v>
      </c>
      <c r="L2815" s="32">
        <v>1200</v>
      </c>
      <c r="R2815" s="44" t="s">
        <v>1858</v>
      </c>
      <c r="S2815" s="44" t="s">
        <v>1858</v>
      </c>
      <c r="T2815" s="44"/>
      <c r="U2815" s="44" t="s">
        <v>2881</v>
      </c>
      <c r="V2815" s="44"/>
      <c r="W2815" s="44"/>
      <c r="X2815" s="44"/>
      <c r="Y2815" s="44" t="s">
        <v>1379</v>
      </c>
      <c r="AA2815" s="323">
        <v>50</v>
      </c>
      <c r="AB2815" s="323">
        <v>13</v>
      </c>
      <c r="AC2815" s="32" t="s">
        <v>2695</v>
      </c>
      <c r="AD2815" s="32">
        <v>5.2</v>
      </c>
      <c r="AE2815" s="32">
        <v>3</v>
      </c>
      <c r="AG2815" s="32" t="s">
        <v>2874</v>
      </c>
      <c r="AH2815" s="32" t="s">
        <v>2744</v>
      </c>
      <c r="AI2815" s="32" t="s">
        <v>577</v>
      </c>
      <c r="AJ2815" s="32" t="s">
        <v>2868</v>
      </c>
      <c r="AK2815" s="32" t="s">
        <v>229</v>
      </c>
      <c r="AW2815" s="32" t="s">
        <v>160</v>
      </c>
      <c r="BE2815" s="32" t="s">
        <v>2875</v>
      </c>
      <c r="BK2815" s="32">
        <v>2020</v>
      </c>
      <c r="BL2815" s="32">
        <v>2660</v>
      </c>
      <c r="BO2815" s="32" t="s">
        <v>2880</v>
      </c>
      <c r="BP2815" s="397"/>
      <c r="BQ2815" s="397"/>
      <c r="BU2815" s="397"/>
      <c r="BV2815" s="397"/>
      <c r="BZ2815" s="397"/>
      <c r="CA2815" s="397"/>
      <c r="CE2815" s="550"/>
      <c r="CF2815" s="550"/>
      <c r="CG2815" s="550"/>
      <c r="CH2815" s="550"/>
      <c r="JD2815" s="243"/>
    </row>
    <row r="2816" spans="1:264" s="105" customFormat="1" x14ac:dyDescent="0.25">
      <c r="A2816" s="105">
        <v>130</v>
      </c>
      <c r="B2816" s="106" t="s">
        <v>4368</v>
      </c>
      <c r="C2816" s="105" t="s">
        <v>2866</v>
      </c>
      <c r="D2816" s="105" t="s">
        <v>525</v>
      </c>
      <c r="E2816" s="105">
        <v>1997</v>
      </c>
      <c r="F2816" s="105">
        <v>1994</v>
      </c>
      <c r="G2816" s="105" t="s">
        <v>2426</v>
      </c>
      <c r="H2816" s="105" t="s">
        <v>2873</v>
      </c>
      <c r="I2816" s="105" t="s">
        <v>2857</v>
      </c>
      <c r="J2816" s="105">
        <f t="shared" si="386"/>
        <v>0.4</v>
      </c>
      <c r="K2816" s="105">
        <f t="shared" si="387"/>
        <v>32.5</v>
      </c>
      <c r="L2816" s="105">
        <v>1200</v>
      </c>
      <c r="R2816" s="106" t="s">
        <v>1847</v>
      </c>
      <c r="S2816" s="106" t="s">
        <v>1858</v>
      </c>
      <c r="T2816" s="106"/>
      <c r="U2816" s="106" t="s">
        <v>2881</v>
      </c>
      <c r="V2816" s="106"/>
      <c r="W2816" s="106"/>
      <c r="X2816" s="106"/>
      <c r="Y2816" s="106" t="s">
        <v>1379</v>
      </c>
      <c r="AA2816" s="354">
        <v>50</v>
      </c>
      <c r="AB2816" s="354">
        <v>13</v>
      </c>
      <c r="AC2816" s="105" t="s">
        <v>2695</v>
      </c>
      <c r="AD2816" s="105">
        <v>5.2</v>
      </c>
      <c r="AE2816" s="105">
        <v>3</v>
      </c>
      <c r="AG2816" s="105" t="s">
        <v>2874</v>
      </c>
      <c r="AH2816" s="105" t="s">
        <v>2744</v>
      </c>
      <c r="AI2816" s="105" t="s">
        <v>577</v>
      </c>
      <c r="AJ2816" s="32" t="s">
        <v>2868</v>
      </c>
      <c r="AK2816" s="32" t="s">
        <v>229</v>
      </c>
      <c r="AW2816" s="32" t="s">
        <v>160</v>
      </c>
      <c r="BE2816" s="105" t="s">
        <v>2876</v>
      </c>
      <c r="BK2816" s="105">
        <v>410</v>
      </c>
      <c r="BL2816" s="105">
        <v>370</v>
      </c>
      <c r="BO2816" s="105" t="s">
        <v>2880</v>
      </c>
      <c r="BP2816" s="429"/>
      <c r="BQ2816" s="429"/>
      <c r="BU2816" s="429"/>
      <c r="BV2816" s="429"/>
      <c r="BZ2816" s="429"/>
      <c r="CA2816" s="429"/>
      <c r="CE2816" s="582"/>
      <c r="CF2816" s="582"/>
      <c r="CG2816" s="582"/>
      <c r="CH2816" s="582"/>
      <c r="JD2816" s="499"/>
    </row>
    <row r="2817" spans="1:264" s="105" customFormat="1" x14ac:dyDescent="0.25">
      <c r="A2817" s="105">
        <v>130</v>
      </c>
      <c r="B2817" s="106" t="s">
        <v>4368</v>
      </c>
      <c r="C2817" s="105" t="s">
        <v>2866</v>
      </c>
      <c r="D2817" s="105" t="s">
        <v>525</v>
      </c>
      <c r="E2817" s="105">
        <v>1997</v>
      </c>
      <c r="F2817" s="105">
        <v>1995</v>
      </c>
      <c r="G2817" s="105" t="s">
        <v>2426</v>
      </c>
      <c r="H2817" s="105" t="s">
        <v>2873</v>
      </c>
      <c r="I2817" s="105" t="s">
        <v>2857</v>
      </c>
      <c r="J2817" s="105">
        <f t="shared" si="386"/>
        <v>0.4</v>
      </c>
      <c r="K2817" s="105">
        <f t="shared" si="387"/>
        <v>32.5</v>
      </c>
      <c r="L2817" s="105">
        <v>1200</v>
      </c>
      <c r="R2817" s="106" t="s">
        <v>1728</v>
      </c>
      <c r="S2817" s="106" t="s">
        <v>1858</v>
      </c>
      <c r="T2817" s="106"/>
      <c r="U2817" s="106" t="s">
        <v>2881</v>
      </c>
      <c r="V2817" s="106"/>
      <c r="W2817" s="106"/>
      <c r="X2817" s="106"/>
      <c r="Y2817" s="106" t="s">
        <v>1379</v>
      </c>
      <c r="AA2817" s="354">
        <v>50</v>
      </c>
      <c r="AB2817" s="354">
        <v>13</v>
      </c>
      <c r="AC2817" s="105" t="s">
        <v>2695</v>
      </c>
      <c r="AD2817" s="105">
        <v>5.2</v>
      </c>
      <c r="AE2817" s="105">
        <v>3</v>
      </c>
      <c r="AG2817" s="105" t="s">
        <v>2874</v>
      </c>
      <c r="AH2817" s="105" t="s">
        <v>2744</v>
      </c>
      <c r="AI2817" s="105" t="s">
        <v>577</v>
      </c>
      <c r="AJ2817" s="32" t="s">
        <v>2868</v>
      </c>
      <c r="AK2817" s="32" t="s">
        <v>229</v>
      </c>
      <c r="AW2817" s="32" t="s">
        <v>160</v>
      </c>
      <c r="BE2817" s="105" t="s">
        <v>2876</v>
      </c>
      <c r="BK2817" s="105">
        <v>660</v>
      </c>
      <c r="BL2817" s="105">
        <v>740</v>
      </c>
      <c r="BO2817" s="105" t="s">
        <v>2880</v>
      </c>
      <c r="BP2817" s="429"/>
      <c r="BQ2817" s="429"/>
      <c r="BU2817" s="429"/>
      <c r="BV2817" s="429"/>
      <c r="BZ2817" s="429"/>
      <c r="CA2817" s="429"/>
      <c r="CE2817" s="582"/>
      <c r="CF2817" s="582"/>
      <c r="CG2817" s="582"/>
      <c r="CH2817" s="582"/>
      <c r="JD2817" s="499"/>
    </row>
    <row r="2818" spans="1:264" s="105" customFormat="1" x14ac:dyDescent="0.25">
      <c r="A2818" s="105">
        <v>130</v>
      </c>
      <c r="B2818" s="106" t="s">
        <v>4368</v>
      </c>
      <c r="C2818" s="105" t="s">
        <v>2866</v>
      </c>
      <c r="D2818" s="105" t="s">
        <v>525</v>
      </c>
      <c r="E2818" s="105">
        <v>1997</v>
      </c>
      <c r="F2818" s="105">
        <v>1996</v>
      </c>
      <c r="G2818" s="105" t="s">
        <v>2426</v>
      </c>
      <c r="H2818" s="105" t="s">
        <v>2873</v>
      </c>
      <c r="I2818" s="105" t="s">
        <v>2857</v>
      </c>
      <c r="J2818" s="105">
        <f t="shared" si="386"/>
        <v>0.4</v>
      </c>
      <c r="K2818" s="105">
        <f t="shared" si="387"/>
        <v>32.5</v>
      </c>
      <c r="L2818" s="105">
        <v>1200</v>
      </c>
      <c r="R2818" s="106" t="s">
        <v>1858</v>
      </c>
      <c r="S2818" s="106" t="s">
        <v>1858</v>
      </c>
      <c r="T2818" s="106"/>
      <c r="U2818" s="106" t="s">
        <v>2881</v>
      </c>
      <c r="V2818" s="106"/>
      <c r="W2818" s="106"/>
      <c r="X2818" s="106"/>
      <c r="Y2818" s="106" t="s">
        <v>1379</v>
      </c>
      <c r="AA2818" s="354">
        <v>50</v>
      </c>
      <c r="AB2818" s="354">
        <v>13</v>
      </c>
      <c r="AC2818" s="105" t="s">
        <v>2695</v>
      </c>
      <c r="AD2818" s="105">
        <v>5.2</v>
      </c>
      <c r="AE2818" s="105">
        <v>3</v>
      </c>
      <c r="AG2818" s="105" t="s">
        <v>2874</v>
      </c>
      <c r="AH2818" s="105" t="s">
        <v>2744</v>
      </c>
      <c r="AI2818" s="105" t="s">
        <v>577</v>
      </c>
      <c r="AJ2818" s="32" t="s">
        <v>2868</v>
      </c>
      <c r="AK2818" s="32" t="s">
        <v>229</v>
      </c>
      <c r="AW2818" s="32" t="s">
        <v>160</v>
      </c>
      <c r="BE2818" s="105" t="s">
        <v>2876</v>
      </c>
      <c r="BK2818" s="105">
        <v>2020</v>
      </c>
      <c r="BL2818" s="105">
        <v>2840</v>
      </c>
      <c r="BO2818" s="105" t="s">
        <v>2880</v>
      </c>
      <c r="BP2818" s="429"/>
      <c r="BQ2818" s="429"/>
      <c r="BU2818" s="429"/>
      <c r="BV2818" s="429"/>
      <c r="BZ2818" s="429"/>
      <c r="CA2818" s="429"/>
      <c r="CE2818" s="582"/>
      <c r="CF2818" s="582"/>
      <c r="CG2818" s="582"/>
      <c r="CH2818" s="582"/>
      <c r="JD2818" s="499"/>
    </row>
    <row r="2819" spans="1:264" s="101" customFormat="1" x14ac:dyDescent="0.25">
      <c r="A2819" s="101">
        <v>130</v>
      </c>
      <c r="B2819" s="102" t="s">
        <v>4369</v>
      </c>
      <c r="C2819" s="101" t="s">
        <v>2866</v>
      </c>
      <c r="D2819" s="101" t="s">
        <v>525</v>
      </c>
      <c r="E2819" s="101">
        <v>1997</v>
      </c>
      <c r="F2819" s="101">
        <v>1995</v>
      </c>
      <c r="G2819" s="101" t="s">
        <v>2426</v>
      </c>
      <c r="H2819" s="101" t="s">
        <v>2873</v>
      </c>
      <c r="I2819" s="101" t="s">
        <v>2857</v>
      </c>
      <c r="J2819" s="101">
        <f t="shared" si="386"/>
        <v>0.4</v>
      </c>
      <c r="K2819" s="101">
        <f t="shared" si="387"/>
        <v>32.5</v>
      </c>
      <c r="L2819" s="101">
        <v>1200</v>
      </c>
      <c r="R2819" s="102" t="s">
        <v>1728</v>
      </c>
      <c r="S2819" s="102" t="s">
        <v>1858</v>
      </c>
      <c r="T2819" s="102" t="s">
        <v>2884</v>
      </c>
      <c r="U2819" s="102" t="s">
        <v>2881</v>
      </c>
      <c r="V2819" s="102" t="s">
        <v>2886</v>
      </c>
      <c r="W2819" s="102"/>
      <c r="X2819" s="102"/>
      <c r="Y2819" s="102" t="s">
        <v>1379</v>
      </c>
      <c r="AA2819" s="352">
        <v>50</v>
      </c>
      <c r="AB2819" s="352">
        <v>13</v>
      </c>
      <c r="AC2819" s="101" t="s">
        <v>2695</v>
      </c>
      <c r="AD2819" s="101">
        <v>5.2</v>
      </c>
      <c r="AE2819" s="101">
        <v>3</v>
      </c>
      <c r="AG2819" s="101" t="s">
        <v>2874</v>
      </c>
      <c r="AH2819" s="101" t="s">
        <v>2744</v>
      </c>
      <c r="AI2819" s="101" t="s">
        <v>577</v>
      </c>
      <c r="AJ2819" s="24" t="s">
        <v>1645</v>
      </c>
      <c r="AK2819" s="24" t="s">
        <v>132</v>
      </c>
      <c r="AW2819" s="24" t="s">
        <v>160</v>
      </c>
      <c r="BE2819" s="101" t="s">
        <v>2882</v>
      </c>
      <c r="BP2819" s="427">
        <v>1.38</v>
      </c>
      <c r="BQ2819" s="427">
        <v>1.29</v>
      </c>
      <c r="BT2819" s="101" t="s">
        <v>2887</v>
      </c>
      <c r="BU2819" s="427"/>
      <c r="BV2819" s="427"/>
      <c r="BZ2819" s="427"/>
      <c r="CA2819" s="427"/>
      <c r="CE2819" s="580"/>
      <c r="CF2819" s="580"/>
      <c r="CG2819" s="580"/>
      <c r="CH2819" s="580"/>
      <c r="EH2819" s="101">
        <v>2.8</v>
      </c>
      <c r="EI2819" s="101">
        <v>4.2</v>
      </c>
      <c r="EL2819" s="101" t="s">
        <v>2888</v>
      </c>
      <c r="JD2819" s="177"/>
    </row>
    <row r="2820" spans="1:264" s="101" customFormat="1" x14ac:dyDescent="0.25">
      <c r="A2820" s="101">
        <v>130</v>
      </c>
      <c r="B2820" s="102" t="s">
        <v>4370</v>
      </c>
      <c r="C2820" s="101" t="s">
        <v>2866</v>
      </c>
      <c r="D2820" s="101" t="s">
        <v>525</v>
      </c>
      <c r="E2820" s="101">
        <v>1997</v>
      </c>
      <c r="F2820" s="101">
        <v>1995</v>
      </c>
      <c r="G2820" s="101" t="s">
        <v>2426</v>
      </c>
      <c r="H2820" s="101" t="s">
        <v>2873</v>
      </c>
      <c r="I2820" s="101" t="s">
        <v>2857</v>
      </c>
      <c r="J2820" s="101">
        <f t="shared" si="386"/>
        <v>0.4</v>
      </c>
      <c r="K2820" s="101">
        <f t="shared" si="387"/>
        <v>32.5</v>
      </c>
      <c r="L2820" s="101">
        <v>1200</v>
      </c>
      <c r="R2820" s="102" t="s">
        <v>1728</v>
      </c>
      <c r="S2820" s="102" t="s">
        <v>1858</v>
      </c>
      <c r="T2820" s="102" t="s">
        <v>2884</v>
      </c>
      <c r="U2820" s="102" t="s">
        <v>2881</v>
      </c>
      <c r="V2820" s="102" t="s">
        <v>2076</v>
      </c>
      <c r="W2820" s="102"/>
      <c r="X2820" s="102"/>
      <c r="Y2820" s="102" t="s">
        <v>1379</v>
      </c>
      <c r="AA2820" s="352">
        <v>50</v>
      </c>
      <c r="AB2820" s="352">
        <v>13</v>
      </c>
      <c r="AC2820" s="101" t="s">
        <v>2695</v>
      </c>
      <c r="AD2820" s="101">
        <v>5.2</v>
      </c>
      <c r="AE2820" s="101">
        <v>3</v>
      </c>
      <c r="AG2820" s="101" t="s">
        <v>2874</v>
      </c>
      <c r="AH2820" s="101" t="s">
        <v>2744</v>
      </c>
      <c r="AI2820" s="101" t="s">
        <v>577</v>
      </c>
      <c r="AJ2820" s="24" t="s">
        <v>1645</v>
      </c>
      <c r="AK2820" s="24" t="s">
        <v>132</v>
      </c>
      <c r="AW2820" s="24" t="s">
        <v>160</v>
      </c>
      <c r="BE2820" s="101" t="s">
        <v>2882</v>
      </c>
      <c r="BP2820" s="427">
        <v>1.48</v>
      </c>
      <c r="BQ2820" s="427">
        <v>1.46</v>
      </c>
      <c r="BT2820" s="101" t="s">
        <v>2887</v>
      </c>
      <c r="BU2820" s="427"/>
      <c r="BV2820" s="427"/>
      <c r="BZ2820" s="427"/>
      <c r="CA2820" s="427"/>
      <c r="CE2820" s="580"/>
      <c r="CF2820" s="580"/>
      <c r="CG2820" s="580"/>
      <c r="CH2820" s="580"/>
      <c r="JD2820" s="177"/>
    </row>
    <row r="2821" spans="1:264" s="101" customFormat="1" x14ac:dyDescent="0.25">
      <c r="A2821" s="101">
        <v>130</v>
      </c>
      <c r="B2821" s="102" t="s">
        <v>4371</v>
      </c>
      <c r="C2821" s="101" t="s">
        <v>2866</v>
      </c>
      <c r="D2821" s="101" t="s">
        <v>525</v>
      </c>
      <c r="E2821" s="101">
        <v>1997</v>
      </c>
      <c r="F2821" s="101">
        <v>1995</v>
      </c>
      <c r="G2821" s="101" t="s">
        <v>2426</v>
      </c>
      <c r="H2821" s="101" t="s">
        <v>2873</v>
      </c>
      <c r="I2821" s="101" t="s">
        <v>2857</v>
      </c>
      <c r="J2821" s="101">
        <f t="shared" si="386"/>
        <v>0.4</v>
      </c>
      <c r="K2821" s="101">
        <f t="shared" si="387"/>
        <v>32.5</v>
      </c>
      <c r="L2821" s="101">
        <v>1200</v>
      </c>
      <c r="R2821" s="102" t="s">
        <v>1728</v>
      </c>
      <c r="S2821" s="102" t="s">
        <v>1858</v>
      </c>
      <c r="T2821" s="102" t="s">
        <v>2885</v>
      </c>
      <c r="U2821" s="102" t="s">
        <v>2881</v>
      </c>
      <c r="V2821" s="102" t="s">
        <v>2886</v>
      </c>
      <c r="W2821" s="102"/>
      <c r="X2821" s="102"/>
      <c r="Y2821" s="102" t="s">
        <v>1379</v>
      </c>
      <c r="AA2821" s="352">
        <v>50</v>
      </c>
      <c r="AB2821" s="352">
        <v>13</v>
      </c>
      <c r="AC2821" s="101" t="s">
        <v>2695</v>
      </c>
      <c r="AD2821" s="101">
        <v>5.2</v>
      </c>
      <c r="AE2821" s="101">
        <v>3</v>
      </c>
      <c r="AG2821" s="101" t="s">
        <v>2874</v>
      </c>
      <c r="AH2821" s="101" t="s">
        <v>2744</v>
      </c>
      <c r="AI2821" s="101" t="s">
        <v>577</v>
      </c>
      <c r="AJ2821" s="24" t="s">
        <v>1645</v>
      </c>
      <c r="AK2821" s="24" t="s">
        <v>132</v>
      </c>
      <c r="AW2821" s="24" t="s">
        <v>160</v>
      </c>
      <c r="BE2821" s="101" t="s">
        <v>2882</v>
      </c>
      <c r="BP2821" s="427">
        <v>1.23</v>
      </c>
      <c r="BQ2821" s="427">
        <v>1.1200000000000001</v>
      </c>
      <c r="BT2821" s="101" t="s">
        <v>2887</v>
      </c>
      <c r="BU2821" s="427"/>
      <c r="BV2821" s="427"/>
      <c r="BZ2821" s="427"/>
      <c r="CA2821" s="427"/>
      <c r="CE2821" s="580"/>
      <c r="CF2821" s="580"/>
      <c r="CG2821" s="580"/>
      <c r="CH2821" s="580"/>
      <c r="JD2821" s="177"/>
    </row>
    <row r="2822" spans="1:264" s="101" customFormat="1" x14ac:dyDescent="0.25">
      <c r="A2822" s="101">
        <v>130</v>
      </c>
      <c r="B2822" s="102" t="s">
        <v>4372</v>
      </c>
      <c r="C2822" s="101" t="s">
        <v>2866</v>
      </c>
      <c r="D2822" s="101" t="s">
        <v>525</v>
      </c>
      <c r="E2822" s="101">
        <v>1997</v>
      </c>
      <c r="F2822" s="101">
        <v>1995</v>
      </c>
      <c r="G2822" s="101" t="s">
        <v>2426</v>
      </c>
      <c r="H2822" s="101" t="s">
        <v>2873</v>
      </c>
      <c r="I2822" s="101" t="s">
        <v>2857</v>
      </c>
      <c r="J2822" s="101">
        <f t="shared" si="386"/>
        <v>0.4</v>
      </c>
      <c r="K2822" s="101">
        <f t="shared" si="387"/>
        <v>32.5</v>
      </c>
      <c r="L2822" s="101">
        <v>1200</v>
      </c>
      <c r="R2822" s="102" t="s">
        <v>1728</v>
      </c>
      <c r="S2822" s="102" t="s">
        <v>1858</v>
      </c>
      <c r="T2822" s="102" t="s">
        <v>2885</v>
      </c>
      <c r="U2822" s="102" t="s">
        <v>2881</v>
      </c>
      <c r="V2822" s="102" t="s">
        <v>2076</v>
      </c>
      <c r="W2822" s="102"/>
      <c r="X2822" s="102"/>
      <c r="Y2822" s="102" t="s">
        <v>1379</v>
      </c>
      <c r="AA2822" s="352">
        <v>50</v>
      </c>
      <c r="AB2822" s="352">
        <v>13</v>
      </c>
      <c r="AC2822" s="101" t="s">
        <v>2695</v>
      </c>
      <c r="AD2822" s="101">
        <v>5.2</v>
      </c>
      <c r="AE2822" s="101">
        <v>3</v>
      </c>
      <c r="AG2822" s="101" t="s">
        <v>2874</v>
      </c>
      <c r="AH2822" s="101" t="s">
        <v>2744</v>
      </c>
      <c r="AI2822" s="101" t="s">
        <v>577</v>
      </c>
      <c r="AJ2822" s="24" t="s">
        <v>1645</v>
      </c>
      <c r="AK2822" s="24" t="s">
        <v>132</v>
      </c>
      <c r="AW2822" s="24" t="s">
        <v>160</v>
      </c>
      <c r="BE2822" s="101" t="s">
        <v>2882</v>
      </c>
      <c r="BP2822" s="427">
        <v>1.41</v>
      </c>
      <c r="BQ2822" s="427">
        <v>1.34</v>
      </c>
      <c r="BT2822" s="101" t="s">
        <v>2887</v>
      </c>
      <c r="BU2822" s="427"/>
      <c r="BV2822" s="427"/>
      <c r="BZ2822" s="427"/>
      <c r="CA2822" s="427"/>
      <c r="CE2822" s="580"/>
      <c r="CF2822" s="580"/>
      <c r="CG2822" s="580"/>
      <c r="CH2822" s="580"/>
      <c r="JD2822" s="177"/>
    </row>
    <row r="2823" spans="1:264" s="24" customFormat="1" x14ac:dyDescent="0.25">
      <c r="A2823" s="24">
        <v>130</v>
      </c>
      <c r="B2823" s="42" t="s">
        <v>4369</v>
      </c>
      <c r="C2823" s="24" t="s">
        <v>2866</v>
      </c>
      <c r="D2823" s="24" t="s">
        <v>525</v>
      </c>
      <c r="E2823" s="24">
        <v>1997</v>
      </c>
      <c r="F2823" s="24">
        <v>1995</v>
      </c>
      <c r="G2823" s="24" t="s">
        <v>2426</v>
      </c>
      <c r="H2823" s="24" t="s">
        <v>2873</v>
      </c>
      <c r="I2823" s="24" t="s">
        <v>2857</v>
      </c>
      <c r="J2823" s="24">
        <f t="shared" si="386"/>
        <v>0.4</v>
      </c>
      <c r="K2823" s="24">
        <f t="shared" si="387"/>
        <v>32.5</v>
      </c>
      <c r="L2823" s="24">
        <v>1200</v>
      </c>
      <c r="R2823" s="42" t="s">
        <v>1728</v>
      </c>
      <c r="S2823" s="42" t="s">
        <v>1858</v>
      </c>
      <c r="T2823" s="42" t="s">
        <v>2884</v>
      </c>
      <c r="U2823" s="42" t="s">
        <v>2881</v>
      </c>
      <c r="V2823" s="42" t="s">
        <v>2886</v>
      </c>
      <c r="W2823" s="42"/>
      <c r="X2823" s="42"/>
      <c r="Y2823" s="42" t="s">
        <v>1379</v>
      </c>
      <c r="AA2823" s="321">
        <v>50</v>
      </c>
      <c r="AB2823" s="321">
        <v>13</v>
      </c>
      <c r="AC2823" s="24" t="s">
        <v>2695</v>
      </c>
      <c r="AD2823" s="24">
        <v>5.2</v>
      </c>
      <c r="AE2823" s="24">
        <v>3</v>
      </c>
      <c r="AG2823" s="24" t="s">
        <v>2874</v>
      </c>
      <c r="AH2823" s="24" t="s">
        <v>2744</v>
      </c>
      <c r="AI2823" s="24" t="s">
        <v>577</v>
      </c>
      <c r="AJ2823" s="24" t="s">
        <v>1645</v>
      </c>
      <c r="AK2823" s="24" t="s">
        <v>132</v>
      </c>
      <c r="AW2823" s="24" t="s">
        <v>160</v>
      </c>
      <c r="BE2823" s="24" t="s">
        <v>2883</v>
      </c>
      <c r="BP2823" s="395">
        <v>1.38</v>
      </c>
      <c r="BQ2823" s="395">
        <v>1.26</v>
      </c>
      <c r="BT2823" s="24" t="s">
        <v>2887</v>
      </c>
      <c r="BU2823" s="395"/>
      <c r="BV2823" s="395"/>
      <c r="BZ2823" s="395"/>
      <c r="CA2823" s="395"/>
      <c r="CE2823" s="548"/>
      <c r="CF2823" s="548"/>
      <c r="CG2823" s="548"/>
      <c r="CH2823" s="548"/>
      <c r="EH2823" s="24">
        <v>2.8</v>
      </c>
      <c r="EI2823" s="24">
        <v>4.2</v>
      </c>
      <c r="EL2823" s="24" t="s">
        <v>2888</v>
      </c>
      <c r="JD2823" s="249"/>
    </row>
    <row r="2824" spans="1:264" s="24" customFormat="1" x14ac:dyDescent="0.25">
      <c r="A2824" s="24">
        <v>130</v>
      </c>
      <c r="B2824" s="42" t="s">
        <v>4370</v>
      </c>
      <c r="C2824" s="24" t="s">
        <v>2866</v>
      </c>
      <c r="D2824" s="24" t="s">
        <v>525</v>
      </c>
      <c r="E2824" s="24">
        <v>1997</v>
      </c>
      <c r="F2824" s="24">
        <v>1995</v>
      </c>
      <c r="G2824" s="24" t="s">
        <v>2426</v>
      </c>
      <c r="H2824" s="24" t="s">
        <v>2873</v>
      </c>
      <c r="I2824" s="24" t="s">
        <v>2857</v>
      </c>
      <c r="J2824" s="24">
        <f t="shared" si="386"/>
        <v>0.4</v>
      </c>
      <c r="K2824" s="24">
        <f t="shared" si="387"/>
        <v>32.5</v>
      </c>
      <c r="L2824" s="24">
        <v>1200</v>
      </c>
      <c r="R2824" s="42" t="s">
        <v>1728</v>
      </c>
      <c r="S2824" s="42" t="s">
        <v>1858</v>
      </c>
      <c r="T2824" s="42" t="s">
        <v>2884</v>
      </c>
      <c r="U2824" s="42" t="s">
        <v>2881</v>
      </c>
      <c r="V2824" s="42" t="s">
        <v>2076</v>
      </c>
      <c r="W2824" s="42"/>
      <c r="X2824" s="42"/>
      <c r="Y2824" s="42" t="s">
        <v>1379</v>
      </c>
      <c r="AA2824" s="321">
        <v>50</v>
      </c>
      <c r="AB2824" s="321">
        <v>13</v>
      </c>
      <c r="AC2824" s="24" t="s">
        <v>2695</v>
      </c>
      <c r="AD2824" s="24">
        <v>5.2</v>
      </c>
      <c r="AE2824" s="24">
        <v>3</v>
      </c>
      <c r="AG2824" s="24" t="s">
        <v>2874</v>
      </c>
      <c r="AH2824" s="24" t="s">
        <v>2744</v>
      </c>
      <c r="AI2824" s="24" t="s">
        <v>577</v>
      </c>
      <c r="AJ2824" s="24" t="s">
        <v>1645</v>
      </c>
      <c r="AK2824" s="24" t="s">
        <v>132</v>
      </c>
      <c r="AW2824" s="24" t="s">
        <v>160</v>
      </c>
      <c r="BE2824" s="24" t="s">
        <v>2883</v>
      </c>
      <c r="BP2824" s="395">
        <v>1.48</v>
      </c>
      <c r="BQ2824" s="395">
        <v>1.37</v>
      </c>
      <c r="BT2824" s="24" t="s">
        <v>2887</v>
      </c>
      <c r="BU2824" s="395"/>
      <c r="BV2824" s="395"/>
      <c r="BZ2824" s="395"/>
      <c r="CA2824" s="395"/>
      <c r="CE2824" s="548"/>
      <c r="CF2824" s="548"/>
      <c r="CG2824" s="548"/>
      <c r="CH2824" s="548"/>
      <c r="JD2824" s="249"/>
    </row>
    <row r="2825" spans="1:264" s="24" customFormat="1" x14ac:dyDescent="0.25">
      <c r="A2825" s="24">
        <v>130</v>
      </c>
      <c r="B2825" s="42" t="s">
        <v>4371</v>
      </c>
      <c r="C2825" s="24" t="s">
        <v>2866</v>
      </c>
      <c r="D2825" s="24" t="s">
        <v>525</v>
      </c>
      <c r="E2825" s="24">
        <v>1997</v>
      </c>
      <c r="F2825" s="24">
        <v>1995</v>
      </c>
      <c r="G2825" s="24" t="s">
        <v>2426</v>
      </c>
      <c r="H2825" s="24" t="s">
        <v>2873</v>
      </c>
      <c r="I2825" s="24" t="s">
        <v>2857</v>
      </c>
      <c r="J2825" s="24">
        <f t="shared" si="386"/>
        <v>0.4</v>
      </c>
      <c r="K2825" s="24">
        <f t="shared" si="387"/>
        <v>32.5</v>
      </c>
      <c r="L2825" s="24">
        <v>1200</v>
      </c>
      <c r="R2825" s="42" t="s">
        <v>1728</v>
      </c>
      <c r="S2825" s="42" t="s">
        <v>1858</v>
      </c>
      <c r="T2825" s="42" t="s">
        <v>2885</v>
      </c>
      <c r="U2825" s="42" t="s">
        <v>2881</v>
      </c>
      <c r="V2825" s="42" t="s">
        <v>2886</v>
      </c>
      <c r="W2825" s="42"/>
      <c r="X2825" s="42"/>
      <c r="Y2825" s="42" t="s">
        <v>1379</v>
      </c>
      <c r="AA2825" s="321">
        <v>50</v>
      </c>
      <c r="AB2825" s="321">
        <v>13</v>
      </c>
      <c r="AC2825" s="24" t="s">
        <v>2695</v>
      </c>
      <c r="AD2825" s="24">
        <v>5.2</v>
      </c>
      <c r="AE2825" s="24">
        <v>3</v>
      </c>
      <c r="AG2825" s="24" t="s">
        <v>2874</v>
      </c>
      <c r="AH2825" s="24" t="s">
        <v>2744</v>
      </c>
      <c r="AI2825" s="24" t="s">
        <v>577</v>
      </c>
      <c r="AJ2825" s="24" t="s">
        <v>1645</v>
      </c>
      <c r="AK2825" s="24" t="s">
        <v>132</v>
      </c>
      <c r="AW2825" s="24" t="s">
        <v>160</v>
      </c>
      <c r="BE2825" s="24" t="s">
        <v>2883</v>
      </c>
      <c r="BP2825" s="395">
        <v>1.23</v>
      </c>
      <c r="BQ2825" s="395">
        <v>1.1499999999999999</v>
      </c>
      <c r="BT2825" s="24" t="s">
        <v>2887</v>
      </c>
      <c r="BU2825" s="395"/>
      <c r="BV2825" s="395"/>
      <c r="BZ2825" s="395"/>
      <c r="CA2825" s="395"/>
      <c r="CE2825" s="548"/>
      <c r="CF2825" s="548"/>
      <c r="CG2825" s="548"/>
      <c r="CH2825" s="548"/>
      <c r="JD2825" s="249"/>
    </row>
    <row r="2826" spans="1:264" s="24" customFormat="1" x14ac:dyDescent="0.25">
      <c r="A2826" s="24">
        <v>130</v>
      </c>
      <c r="B2826" s="42" t="s">
        <v>4372</v>
      </c>
      <c r="C2826" s="24" t="s">
        <v>2866</v>
      </c>
      <c r="D2826" s="24" t="s">
        <v>525</v>
      </c>
      <c r="E2826" s="24">
        <v>1997</v>
      </c>
      <c r="F2826" s="24">
        <v>1995</v>
      </c>
      <c r="G2826" s="24" t="s">
        <v>2426</v>
      </c>
      <c r="H2826" s="24" t="s">
        <v>2873</v>
      </c>
      <c r="I2826" s="24" t="s">
        <v>2857</v>
      </c>
      <c r="J2826" s="24">
        <f t="shared" si="386"/>
        <v>0.4</v>
      </c>
      <c r="K2826" s="24">
        <f t="shared" si="387"/>
        <v>32.5</v>
      </c>
      <c r="L2826" s="24">
        <v>1200</v>
      </c>
      <c r="R2826" s="42" t="s">
        <v>1728</v>
      </c>
      <c r="S2826" s="42" t="s">
        <v>1858</v>
      </c>
      <c r="T2826" s="42" t="s">
        <v>2885</v>
      </c>
      <c r="U2826" s="42" t="s">
        <v>2881</v>
      </c>
      <c r="V2826" s="42" t="s">
        <v>2076</v>
      </c>
      <c r="W2826" s="42"/>
      <c r="X2826" s="42"/>
      <c r="Y2826" s="42" t="s">
        <v>1379</v>
      </c>
      <c r="AA2826" s="321">
        <v>50</v>
      </c>
      <c r="AB2826" s="321">
        <v>13</v>
      </c>
      <c r="AC2826" s="24" t="s">
        <v>2695</v>
      </c>
      <c r="AD2826" s="24">
        <v>5.2</v>
      </c>
      <c r="AE2826" s="24">
        <v>3</v>
      </c>
      <c r="AG2826" s="24" t="s">
        <v>2874</v>
      </c>
      <c r="AH2826" s="24" t="s">
        <v>2744</v>
      </c>
      <c r="AI2826" s="24" t="s">
        <v>577</v>
      </c>
      <c r="AJ2826" s="24" t="s">
        <v>1645</v>
      </c>
      <c r="AK2826" s="24" t="s">
        <v>132</v>
      </c>
      <c r="AW2826" s="24" t="s">
        <v>160</v>
      </c>
      <c r="BE2826" s="24" t="s">
        <v>2883</v>
      </c>
      <c r="BP2826" s="395">
        <v>1.41</v>
      </c>
      <c r="BQ2826" s="395">
        <v>1.35</v>
      </c>
      <c r="BT2826" s="24" t="s">
        <v>2887</v>
      </c>
      <c r="BU2826" s="395"/>
      <c r="BV2826" s="395"/>
      <c r="BZ2826" s="395"/>
      <c r="CA2826" s="395"/>
      <c r="CE2826" s="548"/>
      <c r="CF2826" s="548"/>
      <c r="CG2826" s="548"/>
      <c r="CH2826" s="548"/>
      <c r="JD2826" s="249"/>
    </row>
    <row r="2827" spans="1:264" s="36" customFormat="1" x14ac:dyDescent="0.25">
      <c r="A2827" s="36">
        <v>131</v>
      </c>
      <c r="B2827" s="51" t="s">
        <v>4373</v>
      </c>
      <c r="C2827" s="36" t="s">
        <v>2889</v>
      </c>
      <c r="D2827" s="36" t="s">
        <v>2890</v>
      </c>
      <c r="E2827" s="36">
        <v>2004</v>
      </c>
      <c r="F2827" s="36">
        <v>1999</v>
      </c>
      <c r="G2827" s="36" t="s">
        <v>2738</v>
      </c>
      <c r="H2827" s="36" t="s">
        <v>2891</v>
      </c>
      <c r="I2827" s="36" t="s">
        <v>2892</v>
      </c>
      <c r="J2827" s="36">
        <f t="shared" ref="J2827:J2844" si="388">6+28/60</f>
        <v>6.4666666666666668</v>
      </c>
      <c r="K2827" s="36">
        <f t="shared" ref="K2827:K2844" si="389">1+38/60</f>
        <v>1.6333333333333333</v>
      </c>
      <c r="L2827" s="36">
        <v>72</v>
      </c>
      <c r="O2827" s="36">
        <v>968</v>
      </c>
      <c r="R2827" s="51" t="s">
        <v>1977</v>
      </c>
      <c r="S2827" s="51" t="s">
        <v>1847</v>
      </c>
      <c r="T2827" s="51"/>
      <c r="U2827" s="51" t="s">
        <v>2903</v>
      </c>
      <c r="V2827" s="51" t="s">
        <v>1389</v>
      </c>
      <c r="W2827" s="51" t="s">
        <v>1720</v>
      </c>
      <c r="X2827" s="51" t="s">
        <v>1389</v>
      </c>
      <c r="Y2827" s="51" t="s">
        <v>1389</v>
      </c>
      <c r="AA2827" s="331">
        <v>90</v>
      </c>
      <c r="AB2827" s="331">
        <v>1</v>
      </c>
      <c r="AC2827" s="36" t="s">
        <v>202</v>
      </c>
      <c r="AD2827" s="36">
        <v>5.7</v>
      </c>
      <c r="AG2827" s="36" t="s">
        <v>2893</v>
      </c>
      <c r="AH2827" s="36" t="s">
        <v>2742</v>
      </c>
      <c r="AI2827" s="36" t="s">
        <v>577</v>
      </c>
      <c r="AJ2827" s="36" t="s">
        <v>1645</v>
      </c>
      <c r="AK2827" s="36" t="s">
        <v>132</v>
      </c>
      <c r="AT2827" s="36" t="s">
        <v>2894</v>
      </c>
      <c r="AU2827" s="36" t="s">
        <v>2894</v>
      </c>
      <c r="AW2827" s="36" t="s">
        <v>160</v>
      </c>
      <c r="AX2827" s="36">
        <v>4</v>
      </c>
      <c r="AY2827" s="36">
        <v>6</v>
      </c>
      <c r="AZ2827" s="36" t="s">
        <v>141</v>
      </c>
      <c r="BK2827" s="36">
        <v>367</v>
      </c>
      <c r="BL2827" s="36">
        <v>580</v>
      </c>
      <c r="BP2827" s="407"/>
      <c r="BQ2827" s="407"/>
      <c r="BU2827" s="407"/>
      <c r="BV2827" s="407"/>
      <c r="BZ2827" s="407"/>
      <c r="CA2827" s="407"/>
      <c r="CE2827" s="560"/>
      <c r="CF2827" s="560"/>
      <c r="CG2827" s="560"/>
      <c r="CH2827" s="560"/>
      <c r="JB2827" s="36" t="s">
        <v>2904</v>
      </c>
      <c r="JD2827" s="230"/>
    </row>
    <row r="2828" spans="1:264" s="36" customFormat="1" x14ac:dyDescent="0.25">
      <c r="A2828" s="36">
        <v>131</v>
      </c>
      <c r="B2828" s="51" t="s">
        <v>4373</v>
      </c>
      <c r="C2828" s="36" t="s">
        <v>2889</v>
      </c>
      <c r="D2828" s="36" t="s">
        <v>2890</v>
      </c>
      <c r="E2828" s="36">
        <v>2004</v>
      </c>
      <c r="F2828" s="36">
        <v>1999</v>
      </c>
      <c r="G2828" s="36" t="s">
        <v>2738</v>
      </c>
      <c r="H2828" s="36" t="s">
        <v>2891</v>
      </c>
      <c r="I2828" s="36" t="s">
        <v>2892</v>
      </c>
      <c r="J2828" s="36">
        <f t="shared" si="388"/>
        <v>6.4666666666666668</v>
      </c>
      <c r="K2828" s="36">
        <f t="shared" si="389"/>
        <v>1.6333333333333333</v>
      </c>
      <c r="L2828" s="36">
        <v>72</v>
      </c>
      <c r="O2828" s="36">
        <v>968</v>
      </c>
      <c r="R2828" s="51" t="s">
        <v>1977</v>
      </c>
      <c r="S2828" s="51" t="s">
        <v>1847</v>
      </c>
      <c r="T2828" s="51"/>
      <c r="U2828" s="51" t="s">
        <v>2903</v>
      </c>
      <c r="V2828" s="51" t="s">
        <v>1389</v>
      </c>
      <c r="W2828" s="51" t="s">
        <v>1720</v>
      </c>
      <c r="X2828" s="51" t="s">
        <v>1389</v>
      </c>
      <c r="Y2828" s="51" t="s">
        <v>1389</v>
      </c>
      <c r="AA2828" s="331">
        <v>90</v>
      </c>
      <c r="AB2828" s="331">
        <v>1</v>
      </c>
      <c r="AC2828" s="36" t="s">
        <v>202</v>
      </c>
      <c r="AD2828" s="36">
        <v>5.7</v>
      </c>
      <c r="AG2828" s="36" t="s">
        <v>2893</v>
      </c>
      <c r="AH2828" s="36" t="s">
        <v>2742</v>
      </c>
      <c r="AI2828" s="36" t="s">
        <v>577</v>
      </c>
      <c r="AJ2828" s="36" t="s">
        <v>1645</v>
      </c>
      <c r="AK2828" s="36" t="s">
        <v>132</v>
      </c>
      <c r="AT2828" s="36" t="s">
        <v>2896</v>
      </c>
      <c r="AU2828" s="36" t="s">
        <v>2896</v>
      </c>
      <c r="AW2828" s="36" t="s">
        <v>160</v>
      </c>
      <c r="AX2828" s="36">
        <v>4</v>
      </c>
      <c r="AY2828" s="36">
        <v>6</v>
      </c>
      <c r="AZ2828" s="36" t="s">
        <v>141</v>
      </c>
      <c r="BK2828" s="36">
        <v>1156</v>
      </c>
      <c r="BL2828" s="36">
        <v>1472</v>
      </c>
      <c r="BP2828" s="407"/>
      <c r="BQ2828" s="407"/>
      <c r="BU2828" s="407"/>
      <c r="BV2828" s="407"/>
      <c r="BZ2828" s="407"/>
      <c r="CA2828" s="407"/>
      <c r="CE2828" s="560"/>
      <c r="CF2828" s="560"/>
      <c r="CG2828" s="560"/>
      <c r="CH2828" s="560"/>
      <c r="JB2828" s="36" t="s">
        <v>2904</v>
      </c>
      <c r="JD2828" s="230"/>
    </row>
    <row r="2829" spans="1:264" s="36" customFormat="1" x14ac:dyDescent="0.25">
      <c r="A2829" s="36">
        <v>131</v>
      </c>
      <c r="B2829" s="51" t="s">
        <v>4373</v>
      </c>
      <c r="C2829" s="36" t="s">
        <v>2889</v>
      </c>
      <c r="D2829" s="36" t="s">
        <v>2890</v>
      </c>
      <c r="E2829" s="36">
        <v>2004</v>
      </c>
      <c r="F2829" s="36">
        <v>1999</v>
      </c>
      <c r="G2829" s="36" t="s">
        <v>2738</v>
      </c>
      <c r="H2829" s="36" t="s">
        <v>2891</v>
      </c>
      <c r="I2829" s="36" t="s">
        <v>2892</v>
      </c>
      <c r="J2829" s="36">
        <f t="shared" si="388"/>
        <v>6.4666666666666668</v>
      </c>
      <c r="K2829" s="36">
        <f t="shared" si="389"/>
        <v>1.6333333333333333</v>
      </c>
      <c r="L2829" s="36">
        <v>72</v>
      </c>
      <c r="O2829" s="36">
        <v>968</v>
      </c>
      <c r="R2829" s="51" t="s">
        <v>1977</v>
      </c>
      <c r="S2829" s="51" t="s">
        <v>1847</v>
      </c>
      <c r="T2829" s="51"/>
      <c r="U2829" s="51" t="s">
        <v>2903</v>
      </c>
      <c r="V2829" s="51" t="s">
        <v>1389</v>
      </c>
      <c r="W2829" s="51" t="s">
        <v>1720</v>
      </c>
      <c r="X2829" s="51" t="s">
        <v>1389</v>
      </c>
      <c r="Y2829" s="51" t="s">
        <v>1389</v>
      </c>
      <c r="AA2829" s="331">
        <v>90</v>
      </c>
      <c r="AB2829" s="331">
        <v>1</v>
      </c>
      <c r="AC2829" s="36" t="s">
        <v>202</v>
      </c>
      <c r="AD2829" s="36">
        <v>5.7</v>
      </c>
      <c r="AG2829" s="36" t="s">
        <v>2893</v>
      </c>
      <c r="AH2829" s="36" t="s">
        <v>2742</v>
      </c>
      <c r="AI2829" s="36" t="s">
        <v>577</v>
      </c>
      <c r="AJ2829" s="36" t="s">
        <v>1645</v>
      </c>
      <c r="AK2829" s="36" t="s">
        <v>132</v>
      </c>
      <c r="AT2829" s="36" t="s">
        <v>2897</v>
      </c>
      <c r="AU2829" s="36" t="s">
        <v>2897</v>
      </c>
      <c r="AW2829" s="36" t="s">
        <v>160</v>
      </c>
      <c r="AX2829" s="36">
        <v>4</v>
      </c>
      <c r="AY2829" s="36">
        <v>6</v>
      </c>
      <c r="AZ2829" s="36" t="s">
        <v>141</v>
      </c>
      <c r="BK2829" s="36">
        <v>1528</v>
      </c>
      <c r="BL2829" s="36">
        <v>1583</v>
      </c>
      <c r="BP2829" s="407"/>
      <c r="BQ2829" s="407"/>
      <c r="BU2829" s="407"/>
      <c r="BV2829" s="407"/>
      <c r="BZ2829" s="407"/>
      <c r="CA2829" s="407"/>
      <c r="CE2829" s="560"/>
      <c r="CF2829" s="560"/>
      <c r="CG2829" s="560"/>
      <c r="CH2829" s="560"/>
      <c r="JB2829" s="36" t="s">
        <v>2904</v>
      </c>
      <c r="JD2829" s="230"/>
    </row>
    <row r="2830" spans="1:264" s="97" customFormat="1" x14ac:dyDescent="0.25">
      <c r="A2830" s="97">
        <v>131</v>
      </c>
      <c r="B2830" s="51" t="s">
        <v>4373</v>
      </c>
      <c r="C2830" s="97" t="s">
        <v>2889</v>
      </c>
      <c r="D2830" s="97" t="s">
        <v>2890</v>
      </c>
      <c r="E2830" s="97">
        <v>2004</v>
      </c>
      <c r="F2830" s="97">
        <v>1999</v>
      </c>
      <c r="G2830" s="97" t="s">
        <v>2738</v>
      </c>
      <c r="H2830" s="97" t="s">
        <v>2891</v>
      </c>
      <c r="I2830" s="97" t="s">
        <v>2892</v>
      </c>
      <c r="J2830" s="97">
        <f t="shared" si="388"/>
        <v>6.4666666666666668</v>
      </c>
      <c r="K2830" s="97">
        <f t="shared" si="389"/>
        <v>1.6333333333333333</v>
      </c>
      <c r="L2830" s="97">
        <v>72</v>
      </c>
      <c r="O2830" s="97">
        <v>968</v>
      </c>
      <c r="R2830" s="98" t="s">
        <v>1977</v>
      </c>
      <c r="S2830" s="98" t="s">
        <v>1847</v>
      </c>
      <c r="T2830" s="98"/>
      <c r="U2830" s="98" t="s">
        <v>2903</v>
      </c>
      <c r="V2830" s="98" t="s">
        <v>1389</v>
      </c>
      <c r="W2830" s="98" t="s">
        <v>1720</v>
      </c>
      <c r="X2830" s="98" t="s">
        <v>1389</v>
      </c>
      <c r="Y2830" s="98" t="s">
        <v>1389</v>
      </c>
      <c r="AA2830" s="350">
        <v>90</v>
      </c>
      <c r="AB2830" s="350">
        <v>1</v>
      </c>
      <c r="AC2830" s="97" t="s">
        <v>202</v>
      </c>
      <c r="AD2830" s="97">
        <v>5.7</v>
      </c>
      <c r="AG2830" s="97" t="s">
        <v>2893</v>
      </c>
      <c r="AH2830" s="97" t="s">
        <v>2742</v>
      </c>
      <c r="AI2830" s="97" t="s">
        <v>577</v>
      </c>
      <c r="AJ2830" s="97" t="s">
        <v>1645</v>
      </c>
      <c r="AK2830" s="97" t="s">
        <v>132</v>
      </c>
      <c r="AT2830" s="97" t="s">
        <v>2895</v>
      </c>
      <c r="AU2830" s="97" t="s">
        <v>2895</v>
      </c>
      <c r="AW2830" s="97" t="s">
        <v>160</v>
      </c>
      <c r="AX2830" s="97">
        <v>4</v>
      </c>
      <c r="AY2830" s="97">
        <v>6</v>
      </c>
      <c r="AZ2830" s="97" t="s">
        <v>141</v>
      </c>
      <c r="BK2830" s="97">
        <v>711</v>
      </c>
      <c r="BL2830" s="97">
        <v>497</v>
      </c>
      <c r="BP2830" s="425"/>
      <c r="BQ2830" s="425"/>
      <c r="BU2830" s="425"/>
      <c r="BV2830" s="425"/>
      <c r="BZ2830" s="425"/>
      <c r="CA2830" s="425"/>
      <c r="CE2830" s="578"/>
      <c r="CF2830" s="578"/>
      <c r="CG2830" s="578"/>
      <c r="CH2830" s="578"/>
      <c r="JB2830" s="36" t="s">
        <v>2904</v>
      </c>
      <c r="JD2830" s="514"/>
    </row>
    <row r="2831" spans="1:264" s="97" customFormat="1" x14ac:dyDescent="0.25">
      <c r="A2831" s="97">
        <v>131</v>
      </c>
      <c r="B2831" s="51" t="s">
        <v>4373</v>
      </c>
      <c r="C2831" s="97" t="s">
        <v>2889</v>
      </c>
      <c r="D2831" s="97" t="s">
        <v>2890</v>
      </c>
      <c r="E2831" s="97">
        <v>2004</v>
      </c>
      <c r="F2831" s="97">
        <v>1999</v>
      </c>
      <c r="G2831" s="97" t="s">
        <v>2738</v>
      </c>
      <c r="H2831" s="97" t="s">
        <v>2891</v>
      </c>
      <c r="I2831" s="97" t="s">
        <v>2892</v>
      </c>
      <c r="J2831" s="97">
        <f t="shared" si="388"/>
        <v>6.4666666666666668</v>
      </c>
      <c r="K2831" s="97">
        <f t="shared" si="389"/>
        <v>1.6333333333333333</v>
      </c>
      <c r="L2831" s="97">
        <v>72</v>
      </c>
      <c r="O2831" s="97">
        <v>968</v>
      </c>
      <c r="R2831" s="98" t="s">
        <v>1977</v>
      </c>
      <c r="S2831" s="98" t="s">
        <v>1847</v>
      </c>
      <c r="T2831" s="98"/>
      <c r="U2831" s="98" t="s">
        <v>2903</v>
      </c>
      <c r="V2831" s="98" t="s">
        <v>1389</v>
      </c>
      <c r="W2831" s="98" t="s">
        <v>1720</v>
      </c>
      <c r="X2831" s="98" t="s">
        <v>1389</v>
      </c>
      <c r="Y2831" s="98" t="s">
        <v>1389</v>
      </c>
      <c r="AA2831" s="350">
        <v>90</v>
      </c>
      <c r="AB2831" s="350">
        <v>1</v>
      </c>
      <c r="AC2831" s="97" t="s">
        <v>202</v>
      </c>
      <c r="AD2831" s="97">
        <v>5.7</v>
      </c>
      <c r="AG2831" s="97" t="s">
        <v>2893</v>
      </c>
      <c r="AH2831" s="97" t="s">
        <v>2742</v>
      </c>
      <c r="AI2831" s="97" t="s">
        <v>577</v>
      </c>
      <c r="AJ2831" s="97" t="s">
        <v>1645</v>
      </c>
      <c r="AK2831" s="97" t="s">
        <v>132</v>
      </c>
      <c r="AT2831" s="97" t="s">
        <v>2898</v>
      </c>
      <c r="AU2831" s="97" t="s">
        <v>2898</v>
      </c>
      <c r="AW2831" s="97" t="s">
        <v>160</v>
      </c>
      <c r="AX2831" s="97">
        <v>4</v>
      </c>
      <c r="AY2831" s="97">
        <v>6</v>
      </c>
      <c r="AZ2831" s="97" t="s">
        <v>141</v>
      </c>
      <c r="BK2831" s="97">
        <v>1537</v>
      </c>
      <c r="BL2831" s="97">
        <v>1871</v>
      </c>
      <c r="BP2831" s="425"/>
      <c r="BQ2831" s="425"/>
      <c r="BU2831" s="425"/>
      <c r="BV2831" s="425"/>
      <c r="BZ2831" s="425"/>
      <c r="CA2831" s="425"/>
      <c r="CE2831" s="578"/>
      <c r="CF2831" s="578"/>
      <c r="CG2831" s="578"/>
      <c r="CH2831" s="578"/>
      <c r="JB2831" s="36" t="s">
        <v>2904</v>
      </c>
      <c r="JD2831" s="514"/>
    </row>
    <row r="2832" spans="1:264" s="97" customFormat="1" x14ac:dyDescent="0.25">
      <c r="A2832" s="97">
        <v>131</v>
      </c>
      <c r="B2832" s="51" t="s">
        <v>4373</v>
      </c>
      <c r="C2832" s="97" t="s">
        <v>2889</v>
      </c>
      <c r="D2832" s="97" t="s">
        <v>2890</v>
      </c>
      <c r="E2832" s="97">
        <v>2004</v>
      </c>
      <c r="F2832" s="97">
        <v>1999</v>
      </c>
      <c r="G2832" s="97" t="s">
        <v>2738</v>
      </c>
      <c r="H2832" s="97" t="s">
        <v>2891</v>
      </c>
      <c r="I2832" s="97" t="s">
        <v>2892</v>
      </c>
      <c r="J2832" s="97">
        <f t="shared" si="388"/>
        <v>6.4666666666666668</v>
      </c>
      <c r="K2832" s="97">
        <f t="shared" si="389"/>
        <v>1.6333333333333333</v>
      </c>
      <c r="L2832" s="97">
        <v>72</v>
      </c>
      <c r="O2832" s="97">
        <v>968</v>
      </c>
      <c r="R2832" s="98" t="s">
        <v>1977</v>
      </c>
      <c r="S2832" s="98" t="s">
        <v>1847</v>
      </c>
      <c r="T2832" s="98"/>
      <c r="U2832" s="98" t="s">
        <v>2903</v>
      </c>
      <c r="V2832" s="98" t="s">
        <v>1389</v>
      </c>
      <c r="W2832" s="98" t="s">
        <v>1720</v>
      </c>
      <c r="X2832" s="98" t="s">
        <v>1389</v>
      </c>
      <c r="Y2832" s="98" t="s">
        <v>1389</v>
      </c>
      <c r="AA2832" s="350">
        <v>90</v>
      </c>
      <c r="AB2832" s="350">
        <v>1</v>
      </c>
      <c r="AC2832" s="97" t="s">
        <v>202</v>
      </c>
      <c r="AD2832" s="97">
        <v>5.7</v>
      </c>
      <c r="AG2832" s="97" t="s">
        <v>2893</v>
      </c>
      <c r="AH2832" s="97" t="s">
        <v>2742</v>
      </c>
      <c r="AI2832" s="97" t="s">
        <v>577</v>
      </c>
      <c r="AJ2832" s="97" t="s">
        <v>1645</v>
      </c>
      <c r="AK2832" s="97" t="s">
        <v>132</v>
      </c>
      <c r="AT2832" s="97" t="s">
        <v>2899</v>
      </c>
      <c r="AU2832" s="97" t="s">
        <v>2899</v>
      </c>
      <c r="AW2832" s="97" t="s">
        <v>160</v>
      </c>
      <c r="AX2832" s="97">
        <v>4</v>
      </c>
      <c r="AY2832" s="97">
        <v>6</v>
      </c>
      <c r="AZ2832" s="97" t="s">
        <v>141</v>
      </c>
      <c r="BK2832" s="97">
        <v>2076</v>
      </c>
      <c r="BL2832" s="97">
        <v>2215</v>
      </c>
      <c r="BP2832" s="425"/>
      <c r="BQ2832" s="425"/>
      <c r="BU2832" s="425"/>
      <c r="BV2832" s="425"/>
      <c r="BZ2832" s="425"/>
      <c r="CA2832" s="425"/>
      <c r="CE2832" s="578"/>
      <c r="CF2832" s="578"/>
      <c r="CG2832" s="578"/>
      <c r="CH2832" s="578"/>
      <c r="JB2832" s="36" t="s">
        <v>2904</v>
      </c>
      <c r="JD2832" s="514"/>
    </row>
    <row r="2833" spans="1:264" s="36" customFormat="1" x14ac:dyDescent="0.25">
      <c r="A2833" s="36">
        <v>131</v>
      </c>
      <c r="B2833" s="51" t="s">
        <v>4373</v>
      </c>
      <c r="C2833" s="36" t="s">
        <v>2889</v>
      </c>
      <c r="D2833" s="36" t="s">
        <v>2890</v>
      </c>
      <c r="E2833" s="36">
        <v>2004</v>
      </c>
      <c r="F2833" s="36">
        <v>1999</v>
      </c>
      <c r="G2833" s="36" t="s">
        <v>2738</v>
      </c>
      <c r="H2833" s="36" t="s">
        <v>2891</v>
      </c>
      <c r="I2833" s="36" t="s">
        <v>2892</v>
      </c>
      <c r="J2833" s="36">
        <f t="shared" si="388"/>
        <v>6.4666666666666668</v>
      </c>
      <c r="K2833" s="36">
        <f t="shared" si="389"/>
        <v>1.6333333333333333</v>
      </c>
      <c r="L2833" s="36">
        <v>72</v>
      </c>
      <c r="O2833" s="36">
        <v>968</v>
      </c>
      <c r="R2833" s="51" t="s">
        <v>1977</v>
      </c>
      <c r="S2833" s="51" t="s">
        <v>1847</v>
      </c>
      <c r="T2833" s="51"/>
      <c r="U2833" s="51" t="s">
        <v>2903</v>
      </c>
      <c r="V2833" s="51" t="s">
        <v>1389</v>
      </c>
      <c r="W2833" s="51" t="s">
        <v>1720</v>
      </c>
      <c r="X2833" s="51" t="s">
        <v>1389</v>
      </c>
      <c r="Y2833" s="51" t="s">
        <v>1389</v>
      </c>
      <c r="AA2833" s="331">
        <v>90</v>
      </c>
      <c r="AB2833" s="331">
        <v>1</v>
      </c>
      <c r="AC2833" s="36" t="s">
        <v>202</v>
      </c>
      <c r="AD2833" s="36">
        <v>5.7</v>
      </c>
      <c r="AG2833" s="36" t="s">
        <v>2893</v>
      </c>
      <c r="AH2833" s="36" t="s">
        <v>2742</v>
      </c>
      <c r="AI2833" s="36" t="s">
        <v>577</v>
      </c>
      <c r="AJ2833" s="36" t="s">
        <v>1645</v>
      </c>
      <c r="AK2833" s="36" t="s">
        <v>132</v>
      </c>
      <c r="AT2833" s="36" t="s">
        <v>2900</v>
      </c>
      <c r="AU2833" s="36" t="s">
        <v>2900</v>
      </c>
      <c r="AW2833" s="36" t="s">
        <v>160</v>
      </c>
      <c r="AX2833" s="36">
        <v>4</v>
      </c>
      <c r="AY2833" s="36">
        <v>6</v>
      </c>
      <c r="AZ2833" s="36" t="s">
        <v>141</v>
      </c>
      <c r="BK2833" s="36">
        <v>488</v>
      </c>
      <c r="BL2833" s="36">
        <v>580</v>
      </c>
      <c r="BP2833" s="407"/>
      <c r="BQ2833" s="407"/>
      <c r="BU2833" s="407"/>
      <c r="BV2833" s="407"/>
      <c r="BZ2833" s="407"/>
      <c r="CA2833" s="407"/>
      <c r="CE2833" s="560"/>
      <c r="CF2833" s="560"/>
      <c r="CG2833" s="560"/>
      <c r="CH2833" s="560"/>
      <c r="JB2833" s="36" t="s">
        <v>2904</v>
      </c>
      <c r="JD2833" s="230"/>
    </row>
    <row r="2834" spans="1:264" s="36" customFormat="1" x14ac:dyDescent="0.25">
      <c r="A2834" s="36">
        <v>131</v>
      </c>
      <c r="B2834" s="51" t="s">
        <v>4373</v>
      </c>
      <c r="C2834" s="36" t="s">
        <v>2889</v>
      </c>
      <c r="D2834" s="36" t="s">
        <v>2890</v>
      </c>
      <c r="E2834" s="36">
        <v>2004</v>
      </c>
      <c r="F2834" s="36">
        <v>1999</v>
      </c>
      <c r="G2834" s="36" t="s">
        <v>2738</v>
      </c>
      <c r="H2834" s="36" t="s">
        <v>2891</v>
      </c>
      <c r="I2834" s="36" t="s">
        <v>2892</v>
      </c>
      <c r="J2834" s="36">
        <f t="shared" si="388"/>
        <v>6.4666666666666668</v>
      </c>
      <c r="K2834" s="36">
        <f t="shared" si="389"/>
        <v>1.6333333333333333</v>
      </c>
      <c r="L2834" s="36">
        <v>72</v>
      </c>
      <c r="O2834" s="36">
        <v>968</v>
      </c>
      <c r="R2834" s="51" t="s">
        <v>1977</v>
      </c>
      <c r="S2834" s="51" t="s">
        <v>1847</v>
      </c>
      <c r="T2834" s="51"/>
      <c r="U2834" s="51" t="s">
        <v>2903</v>
      </c>
      <c r="V2834" s="51" t="s">
        <v>1389</v>
      </c>
      <c r="W2834" s="51" t="s">
        <v>1720</v>
      </c>
      <c r="X2834" s="51" t="s">
        <v>1389</v>
      </c>
      <c r="Y2834" s="51" t="s">
        <v>1389</v>
      </c>
      <c r="AA2834" s="331">
        <v>90</v>
      </c>
      <c r="AB2834" s="331">
        <v>1</v>
      </c>
      <c r="AC2834" s="36" t="s">
        <v>202</v>
      </c>
      <c r="AD2834" s="36">
        <v>5.7</v>
      </c>
      <c r="AG2834" s="36" t="s">
        <v>2893</v>
      </c>
      <c r="AH2834" s="36" t="s">
        <v>2742</v>
      </c>
      <c r="AI2834" s="36" t="s">
        <v>577</v>
      </c>
      <c r="AJ2834" s="36" t="s">
        <v>1645</v>
      </c>
      <c r="AK2834" s="36" t="s">
        <v>132</v>
      </c>
      <c r="AT2834" s="36" t="s">
        <v>2901</v>
      </c>
      <c r="AU2834" s="36" t="s">
        <v>2901</v>
      </c>
      <c r="AW2834" s="36" t="s">
        <v>160</v>
      </c>
      <c r="AX2834" s="36">
        <v>4</v>
      </c>
      <c r="AY2834" s="36">
        <v>6</v>
      </c>
      <c r="AZ2834" s="36" t="s">
        <v>141</v>
      </c>
      <c r="BK2834" s="36">
        <v>1323</v>
      </c>
      <c r="BL2834" s="36">
        <v>1723</v>
      </c>
      <c r="BP2834" s="407"/>
      <c r="BQ2834" s="407"/>
      <c r="BU2834" s="407"/>
      <c r="BV2834" s="407"/>
      <c r="BZ2834" s="407"/>
      <c r="CA2834" s="407"/>
      <c r="CE2834" s="560"/>
      <c r="CF2834" s="560"/>
      <c r="CG2834" s="560"/>
      <c r="CH2834" s="560"/>
      <c r="JB2834" s="36" t="s">
        <v>2904</v>
      </c>
      <c r="JD2834" s="230"/>
    </row>
    <row r="2835" spans="1:264" s="36" customFormat="1" x14ac:dyDescent="0.25">
      <c r="A2835" s="36">
        <v>131</v>
      </c>
      <c r="B2835" s="51" t="s">
        <v>4373</v>
      </c>
      <c r="C2835" s="36" t="s">
        <v>2889</v>
      </c>
      <c r="D2835" s="36" t="s">
        <v>2890</v>
      </c>
      <c r="E2835" s="36">
        <v>2004</v>
      </c>
      <c r="F2835" s="36">
        <v>1999</v>
      </c>
      <c r="G2835" s="36" t="s">
        <v>2738</v>
      </c>
      <c r="H2835" s="36" t="s">
        <v>2891</v>
      </c>
      <c r="I2835" s="36" t="s">
        <v>2892</v>
      </c>
      <c r="J2835" s="36">
        <f t="shared" si="388"/>
        <v>6.4666666666666668</v>
      </c>
      <c r="K2835" s="36">
        <f t="shared" si="389"/>
        <v>1.6333333333333333</v>
      </c>
      <c r="L2835" s="36">
        <v>72</v>
      </c>
      <c r="O2835" s="36">
        <v>968</v>
      </c>
      <c r="R2835" s="51" t="s">
        <v>1977</v>
      </c>
      <c r="S2835" s="51" t="s">
        <v>1847</v>
      </c>
      <c r="T2835" s="51"/>
      <c r="U2835" s="51" t="s">
        <v>2903</v>
      </c>
      <c r="V2835" s="51" t="s">
        <v>1389</v>
      </c>
      <c r="W2835" s="51" t="s">
        <v>1720</v>
      </c>
      <c r="X2835" s="51" t="s">
        <v>1389</v>
      </c>
      <c r="Y2835" s="51" t="s">
        <v>1389</v>
      </c>
      <c r="AA2835" s="331">
        <v>90</v>
      </c>
      <c r="AB2835" s="331">
        <v>1</v>
      </c>
      <c r="AC2835" s="36" t="s">
        <v>202</v>
      </c>
      <c r="AD2835" s="36">
        <v>5.7</v>
      </c>
      <c r="AG2835" s="36" t="s">
        <v>2893</v>
      </c>
      <c r="AH2835" s="36" t="s">
        <v>2742</v>
      </c>
      <c r="AI2835" s="36" t="s">
        <v>577</v>
      </c>
      <c r="AJ2835" s="36" t="s">
        <v>1645</v>
      </c>
      <c r="AK2835" s="36" t="s">
        <v>132</v>
      </c>
      <c r="AT2835" s="36" t="s">
        <v>2902</v>
      </c>
      <c r="AU2835" s="36" t="s">
        <v>2902</v>
      </c>
      <c r="AW2835" s="36" t="s">
        <v>160</v>
      </c>
      <c r="AX2835" s="36">
        <v>4</v>
      </c>
      <c r="AY2835" s="36">
        <v>6</v>
      </c>
      <c r="AZ2835" s="36" t="s">
        <v>141</v>
      </c>
      <c r="BK2835" s="36">
        <v>1667</v>
      </c>
      <c r="BL2835" s="36">
        <v>1992</v>
      </c>
      <c r="BP2835" s="407"/>
      <c r="BQ2835" s="407"/>
      <c r="BU2835" s="407"/>
      <c r="BV2835" s="407"/>
      <c r="BZ2835" s="407"/>
      <c r="CA2835" s="407"/>
      <c r="CE2835" s="560"/>
      <c r="CF2835" s="560"/>
      <c r="CG2835" s="560"/>
      <c r="CH2835" s="560"/>
      <c r="JB2835" s="36" t="s">
        <v>2904</v>
      </c>
      <c r="JD2835" s="230"/>
    </row>
    <row r="2836" spans="1:264" s="126" customFormat="1" x14ac:dyDescent="0.25">
      <c r="A2836" s="126">
        <v>131</v>
      </c>
      <c r="B2836" s="478" t="s">
        <v>4373</v>
      </c>
      <c r="C2836" s="126" t="s">
        <v>2889</v>
      </c>
      <c r="D2836" s="126" t="s">
        <v>2890</v>
      </c>
      <c r="E2836" s="126">
        <v>2004</v>
      </c>
      <c r="F2836" s="126">
        <v>2000</v>
      </c>
      <c r="G2836" s="126" t="s">
        <v>2738</v>
      </c>
      <c r="H2836" s="126" t="s">
        <v>2891</v>
      </c>
      <c r="I2836" s="126" t="s">
        <v>2892</v>
      </c>
      <c r="J2836" s="126">
        <f t="shared" si="388"/>
        <v>6.4666666666666668</v>
      </c>
      <c r="K2836" s="126">
        <f t="shared" si="389"/>
        <v>1.6333333333333333</v>
      </c>
      <c r="L2836" s="126">
        <v>72</v>
      </c>
      <c r="O2836" s="126">
        <v>968</v>
      </c>
      <c r="R2836" s="478" t="s">
        <v>1847</v>
      </c>
      <c r="S2836" s="478" t="s">
        <v>1847</v>
      </c>
      <c r="T2836" s="478"/>
      <c r="U2836" s="478" t="s">
        <v>2903</v>
      </c>
      <c r="V2836" s="478" t="s">
        <v>1389</v>
      </c>
      <c r="W2836" s="478" t="s">
        <v>1720</v>
      </c>
      <c r="X2836" s="478" t="s">
        <v>1389</v>
      </c>
      <c r="Y2836" s="478" t="s">
        <v>1389</v>
      </c>
      <c r="AA2836" s="479">
        <v>90</v>
      </c>
      <c r="AB2836" s="479">
        <v>1</v>
      </c>
      <c r="AC2836" s="126" t="s">
        <v>202</v>
      </c>
      <c r="AD2836" s="126">
        <v>5.7</v>
      </c>
      <c r="AG2836" s="126" t="s">
        <v>2893</v>
      </c>
      <c r="AH2836" s="126" t="s">
        <v>2742</v>
      </c>
      <c r="AI2836" s="126" t="s">
        <v>577</v>
      </c>
      <c r="AJ2836" s="126" t="s">
        <v>1645</v>
      </c>
      <c r="AK2836" s="126" t="s">
        <v>132</v>
      </c>
      <c r="AT2836" s="126" t="s">
        <v>2894</v>
      </c>
      <c r="AU2836" s="126" t="s">
        <v>2894</v>
      </c>
      <c r="AW2836" s="126" t="s">
        <v>160</v>
      </c>
      <c r="AX2836" s="126">
        <v>4</v>
      </c>
      <c r="AY2836" s="126">
        <v>6</v>
      </c>
      <c r="AZ2836" s="126" t="s">
        <v>141</v>
      </c>
      <c r="BK2836" s="126">
        <v>1325</v>
      </c>
      <c r="BL2836" s="126">
        <v>2263</v>
      </c>
      <c r="BP2836" s="481"/>
      <c r="BQ2836" s="481"/>
      <c r="BU2836" s="481"/>
      <c r="BV2836" s="481"/>
      <c r="BZ2836" s="481"/>
      <c r="CA2836" s="481"/>
      <c r="CE2836" s="605"/>
      <c r="CF2836" s="605"/>
      <c r="CG2836" s="605"/>
      <c r="CH2836" s="605"/>
      <c r="JB2836" s="126" t="s">
        <v>2904</v>
      </c>
      <c r="JD2836" s="480"/>
    </row>
    <row r="2837" spans="1:264" s="126" customFormat="1" x14ac:dyDescent="0.25">
      <c r="A2837" s="126">
        <v>131</v>
      </c>
      <c r="B2837" s="478" t="s">
        <v>4373</v>
      </c>
      <c r="C2837" s="126" t="s">
        <v>2889</v>
      </c>
      <c r="D2837" s="126" t="s">
        <v>2890</v>
      </c>
      <c r="E2837" s="126">
        <v>2004</v>
      </c>
      <c r="F2837" s="126">
        <v>2000</v>
      </c>
      <c r="G2837" s="126" t="s">
        <v>2738</v>
      </c>
      <c r="H2837" s="126" t="s">
        <v>2891</v>
      </c>
      <c r="I2837" s="126" t="s">
        <v>2892</v>
      </c>
      <c r="J2837" s="126">
        <f t="shared" si="388"/>
        <v>6.4666666666666668</v>
      </c>
      <c r="K2837" s="126">
        <f t="shared" si="389"/>
        <v>1.6333333333333333</v>
      </c>
      <c r="L2837" s="126">
        <v>72</v>
      </c>
      <c r="O2837" s="126">
        <v>968</v>
      </c>
      <c r="R2837" s="478" t="s">
        <v>1847</v>
      </c>
      <c r="S2837" s="478" t="s">
        <v>1847</v>
      </c>
      <c r="T2837" s="478"/>
      <c r="U2837" s="478" t="s">
        <v>2903</v>
      </c>
      <c r="V2837" s="478" t="s">
        <v>1389</v>
      </c>
      <c r="W2837" s="478" t="s">
        <v>1720</v>
      </c>
      <c r="X2837" s="478" t="s">
        <v>1389</v>
      </c>
      <c r="Y2837" s="478" t="s">
        <v>1389</v>
      </c>
      <c r="AA2837" s="479">
        <v>90</v>
      </c>
      <c r="AB2837" s="479">
        <v>1</v>
      </c>
      <c r="AC2837" s="126" t="s">
        <v>202</v>
      </c>
      <c r="AD2837" s="126">
        <v>5.7</v>
      </c>
      <c r="AG2837" s="126" t="s">
        <v>2893</v>
      </c>
      <c r="AH2837" s="126" t="s">
        <v>2742</v>
      </c>
      <c r="AI2837" s="126" t="s">
        <v>577</v>
      </c>
      <c r="AJ2837" s="126" t="s">
        <v>1645</v>
      </c>
      <c r="AK2837" s="126" t="s">
        <v>132</v>
      </c>
      <c r="AT2837" s="126" t="s">
        <v>2896</v>
      </c>
      <c r="AU2837" s="126" t="s">
        <v>2896</v>
      </c>
      <c r="AW2837" s="126" t="s">
        <v>160</v>
      </c>
      <c r="AX2837" s="126">
        <v>4</v>
      </c>
      <c r="AY2837" s="126">
        <v>6</v>
      </c>
      <c r="AZ2837" s="126" t="s">
        <v>141</v>
      </c>
      <c r="BK2837" s="126">
        <v>2186</v>
      </c>
      <c r="BL2837" s="126">
        <v>2918</v>
      </c>
      <c r="BP2837" s="481"/>
      <c r="BQ2837" s="481"/>
      <c r="BU2837" s="481"/>
      <c r="BV2837" s="481"/>
      <c r="BZ2837" s="481"/>
      <c r="CA2837" s="481"/>
      <c r="CE2837" s="605"/>
      <c r="CF2837" s="605"/>
      <c r="CG2837" s="605"/>
      <c r="CH2837" s="605"/>
      <c r="JB2837" s="126" t="s">
        <v>2904</v>
      </c>
      <c r="JD2837" s="480"/>
    </row>
    <row r="2838" spans="1:264" s="126" customFormat="1" x14ac:dyDescent="0.25">
      <c r="A2838" s="126">
        <v>131</v>
      </c>
      <c r="B2838" s="478" t="s">
        <v>4373</v>
      </c>
      <c r="C2838" s="126" t="s">
        <v>2889</v>
      </c>
      <c r="D2838" s="126" t="s">
        <v>2890</v>
      </c>
      <c r="E2838" s="126">
        <v>2004</v>
      </c>
      <c r="F2838" s="126">
        <v>2000</v>
      </c>
      <c r="G2838" s="126" t="s">
        <v>2738</v>
      </c>
      <c r="H2838" s="126" t="s">
        <v>2891</v>
      </c>
      <c r="I2838" s="126" t="s">
        <v>2892</v>
      </c>
      <c r="J2838" s="126">
        <f t="shared" si="388"/>
        <v>6.4666666666666668</v>
      </c>
      <c r="K2838" s="126">
        <f t="shared" si="389"/>
        <v>1.6333333333333333</v>
      </c>
      <c r="L2838" s="126">
        <v>72</v>
      </c>
      <c r="O2838" s="126">
        <v>968</v>
      </c>
      <c r="R2838" s="478" t="s">
        <v>1847</v>
      </c>
      <c r="S2838" s="478" t="s">
        <v>1847</v>
      </c>
      <c r="T2838" s="478"/>
      <c r="U2838" s="478" t="s">
        <v>2903</v>
      </c>
      <c r="V2838" s="478" t="s">
        <v>1389</v>
      </c>
      <c r="W2838" s="478" t="s">
        <v>1720</v>
      </c>
      <c r="X2838" s="478" t="s">
        <v>1389</v>
      </c>
      <c r="Y2838" s="478" t="s">
        <v>1389</v>
      </c>
      <c r="AA2838" s="479">
        <v>90</v>
      </c>
      <c r="AB2838" s="479">
        <v>1</v>
      </c>
      <c r="AC2838" s="126" t="s">
        <v>202</v>
      </c>
      <c r="AD2838" s="126">
        <v>5.7</v>
      </c>
      <c r="AG2838" s="126" t="s">
        <v>2893</v>
      </c>
      <c r="AH2838" s="126" t="s">
        <v>2742</v>
      </c>
      <c r="AI2838" s="126" t="s">
        <v>577</v>
      </c>
      <c r="AJ2838" s="126" t="s">
        <v>1645</v>
      </c>
      <c r="AK2838" s="126" t="s">
        <v>132</v>
      </c>
      <c r="AT2838" s="126" t="s">
        <v>2897</v>
      </c>
      <c r="AU2838" s="126" t="s">
        <v>2897</v>
      </c>
      <c r="AW2838" s="126" t="s">
        <v>160</v>
      </c>
      <c r="AX2838" s="126">
        <v>4</v>
      </c>
      <c r="AY2838" s="126">
        <v>6</v>
      </c>
      <c r="AZ2838" s="126" t="s">
        <v>141</v>
      </c>
      <c r="BK2838" s="126">
        <v>2513</v>
      </c>
      <c r="BL2838" s="126">
        <v>2878</v>
      </c>
      <c r="BP2838" s="481"/>
      <c r="BQ2838" s="481"/>
      <c r="BU2838" s="481"/>
      <c r="BV2838" s="481"/>
      <c r="BZ2838" s="481"/>
      <c r="CA2838" s="481"/>
      <c r="CE2838" s="605"/>
      <c r="CF2838" s="605"/>
      <c r="CG2838" s="605"/>
      <c r="CH2838" s="605"/>
      <c r="JB2838" s="126" t="s">
        <v>2904</v>
      </c>
      <c r="JD2838" s="480"/>
    </row>
    <row r="2839" spans="1:264" s="99" customFormat="1" x14ac:dyDescent="0.25">
      <c r="A2839" s="99">
        <v>131</v>
      </c>
      <c r="B2839" s="478" t="s">
        <v>4373</v>
      </c>
      <c r="C2839" s="99" t="s">
        <v>2889</v>
      </c>
      <c r="D2839" s="99" t="s">
        <v>2890</v>
      </c>
      <c r="E2839" s="99">
        <v>2004</v>
      </c>
      <c r="F2839" s="99">
        <v>2000</v>
      </c>
      <c r="G2839" s="99" t="s">
        <v>2738</v>
      </c>
      <c r="H2839" s="99" t="s">
        <v>2891</v>
      </c>
      <c r="I2839" s="99" t="s">
        <v>2892</v>
      </c>
      <c r="J2839" s="99">
        <f t="shared" si="388"/>
        <v>6.4666666666666668</v>
      </c>
      <c r="K2839" s="99">
        <f t="shared" si="389"/>
        <v>1.6333333333333333</v>
      </c>
      <c r="L2839" s="99">
        <v>72</v>
      </c>
      <c r="O2839" s="99">
        <v>968</v>
      </c>
      <c r="R2839" s="100" t="s">
        <v>1847</v>
      </c>
      <c r="S2839" s="100" t="s">
        <v>1847</v>
      </c>
      <c r="T2839" s="100"/>
      <c r="U2839" s="100" t="s">
        <v>2903</v>
      </c>
      <c r="V2839" s="100" t="s">
        <v>1389</v>
      </c>
      <c r="W2839" s="100" t="s">
        <v>1720</v>
      </c>
      <c r="X2839" s="100" t="s">
        <v>1389</v>
      </c>
      <c r="Y2839" s="100" t="s">
        <v>1389</v>
      </c>
      <c r="AA2839" s="351">
        <v>90</v>
      </c>
      <c r="AB2839" s="351">
        <v>1</v>
      </c>
      <c r="AC2839" s="99" t="s">
        <v>202</v>
      </c>
      <c r="AD2839" s="99">
        <v>5.7</v>
      </c>
      <c r="AG2839" s="99" t="s">
        <v>2893</v>
      </c>
      <c r="AH2839" s="99" t="s">
        <v>2742</v>
      </c>
      <c r="AI2839" s="99" t="s">
        <v>577</v>
      </c>
      <c r="AJ2839" s="99" t="s">
        <v>1645</v>
      </c>
      <c r="AK2839" s="99" t="s">
        <v>132</v>
      </c>
      <c r="AT2839" s="99" t="s">
        <v>2895</v>
      </c>
      <c r="AU2839" s="99" t="s">
        <v>2895</v>
      </c>
      <c r="AW2839" s="99" t="s">
        <v>160</v>
      </c>
      <c r="AX2839" s="99">
        <v>4</v>
      </c>
      <c r="AY2839" s="99">
        <v>6</v>
      </c>
      <c r="AZ2839" s="99" t="s">
        <v>141</v>
      </c>
      <c r="BK2839" s="99">
        <v>1647</v>
      </c>
      <c r="BL2839" s="99">
        <v>2219</v>
      </c>
      <c r="BP2839" s="426"/>
      <c r="BQ2839" s="426"/>
      <c r="BU2839" s="426"/>
      <c r="BV2839" s="426"/>
      <c r="BZ2839" s="426"/>
      <c r="CA2839" s="426"/>
      <c r="CE2839" s="579"/>
      <c r="CF2839" s="579"/>
      <c r="CG2839" s="579"/>
      <c r="CH2839" s="579"/>
      <c r="JB2839" s="99" t="s">
        <v>2904</v>
      </c>
      <c r="JD2839" s="508"/>
    </row>
    <row r="2840" spans="1:264" s="99" customFormat="1" x14ac:dyDescent="0.25">
      <c r="A2840" s="99">
        <v>131</v>
      </c>
      <c r="B2840" s="478" t="s">
        <v>4373</v>
      </c>
      <c r="C2840" s="99" t="s">
        <v>2889</v>
      </c>
      <c r="D2840" s="99" t="s">
        <v>2890</v>
      </c>
      <c r="E2840" s="99">
        <v>2004</v>
      </c>
      <c r="F2840" s="99">
        <v>2000</v>
      </c>
      <c r="G2840" s="99" t="s">
        <v>2738</v>
      </c>
      <c r="H2840" s="99" t="s">
        <v>2891</v>
      </c>
      <c r="I2840" s="99" t="s">
        <v>2892</v>
      </c>
      <c r="J2840" s="99">
        <f t="shared" si="388"/>
        <v>6.4666666666666668</v>
      </c>
      <c r="K2840" s="99">
        <f t="shared" si="389"/>
        <v>1.6333333333333333</v>
      </c>
      <c r="L2840" s="99">
        <v>72</v>
      </c>
      <c r="O2840" s="99">
        <v>968</v>
      </c>
      <c r="R2840" s="100" t="s">
        <v>1847</v>
      </c>
      <c r="S2840" s="100" t="s">
        <v>1847</v>
      </c>
      <c r="T2840" s="100"/>
      <c r="U2840" s="100" t="s">
        <v>2903</v>
      </c>
      <c r="V2840" s="100" t="s">
        <v>1389</v>
      </c>
      <c r="W2840" s="100" t="s">
        <v>1720</v>
      </c>
      <c r="X2840" s="100" t="s">
        <v>1389</v>
      </c>
      <c r="Y2840" s="100" t="s">
        <v>1389</v>
      </c>
      <c r="AA2840" s="351">
        <v>90</v>
      </c>
      <c r="AB2840" s="351">
        <v>1</v>
      </c>
      <c r="AC2840" s="99" t="s">
        <v>202</v>
      </c>
      <c r="AD2840" s="99">
        <v>5.7</v>
      </c>
      <c r="AG2840" s="99" t="s">
        <v>2893</v>
      </c>
      <c r="AH2840" s="99" t="s">
        <v>2742</v>
      </c>
      <c r="AI2840" s="99" t="s">
        <v>577</v>
      </c>
      <c r="AJ2840" s="99" t="s">
        <v>1645</v>
      </c>
      <c r="AK2840" s="99" t="s">
        <v>132</v>
      </c>
      <c r="AT2840" s="99" t="s">
        <v>2898</v>
      </c>
      <c r="AU2840" s="99" t="s">
        <v>2898</v>
      </c>
      <c r="AW2840" s="99" t="s">
        <v>160</v>
      </c>
      <c r="AX2840" s="99">
        <v>4</v>
      </c>
      <c r="AY2840" s="99">
        <v>6</v>
      </c>
      <c r="AZ2840" s="99" t="s">
        <v>141</v>
      </c>
      <c r="BK2840" s="99">
        <v>2639</v>
      </c>
      <c r="BL2840" s="99">
        <v>2789</v>
      </c>
      <c r="BP2840" s="426"/>
      <c r="BQ2840" s="426"/>
      <c r="BU2840" s="426"/>
      <c r="BV2840" s="426"/>
      <c r="BZ2840" s="426"/>
      <c r="CA2840" s="426"/>
      <c r="CE2840" s="579"/>
      <c r="CF2840" s="579"/>
      <c r="CG2840" s="579"/>
      <c r="CH2840" s="579"/>
      <c r="JB2840" s="99" t="s">
        <v>2904</v>
      </c>
      <c r="JD2840" s="508"/>
    </row>
    <row r="2841" spans="1:264" s="99" customFormat="1" x14ac:dyDescent="0.25">
      <c r="A2841" s="99">
        <v>131</v>
      </c>
      <c r="B2841" s="478" t="s">
        <v>4373</v>
      </c>
      <c r="C2841" s="99" t="s">
        <v>2889</v>
      </c>
      <c r="D2841" s="99" t="s">
        <v>2890</v>
      </c>
      <c r="E2841" s="99">
        <v>2004</v>
      </c>
      <c r="F2841" s="99">
        <v>2000</v>
      </c>
      <c r="G2841" s="99" t="s">
        <v>2738</v>
      </c>
      <c r="H2841" s="99" t="s">
        <v>2891</v>
      </c>
      <c r="I2841" s="99" t="s">
        <v>2892</v>
      </c>
      <c r="J2841" s="99">
        <f t="shared" si="388"/>
        <v>6.4666666666666668</v>
      </c>
      <c r="K2841" s="99">
        <f t="shared" si="389"/>
        <v>1.6333333333333333</v>
      </c>
      <c r="L2841" s="99">
        <v>72</v>
      </c>
      <c r="O2841" s="99">
        <v>968</v>
      </c>
      <c r="R2841" s="100" t="s">
        <v>1847</v>
      </c>
      <c r="S2841" s="100" t="s">
        <v>1847</v>
      </c>
      <c r="T2841" s="100"/>
      <c r="U2841" s="100" t="s">
        <v>2903</v>
      </c>
      <c r="V2841" s="100" t="s">
        <v>1389</v>
      </c>
      <c r="W2841" s="100" t="s">
        <v>1720</v>
      </c>
      <c r="X2841" s="100" t="s">
        <v>1389</v>
      </c>
      <c r="Y2841" s="100" t="s">
        <v>1389</v>
      </c>
      <c r="AA2841" s="351">
        <v>90</v>
      </c>
      <c r="AB2841" s="351">
        <v>1</v>
      </c>
      <c r="AC2841" s="99" t="s">
        <v>202</v>
      </c>
      <c r="AD2841" s="99">
        <v>5.7</v>
      </c>
      <c r="AG2841" s="99" t="s">
        <v>2893</v>
      </c>
      <c r="AH2841" s="99" t="s">
        <v>2742</v>
      </c>
      <c r="AI2841" s="99" t="s">
        <v>577</v>
      </c>
      <c r="AJ2841" s="99" t="s">
        <v>1645</v>
      </c>
      <c r="AK2841" s="99" t="s">
        <v>132</v>
      </c>
      <c r="AT2841" s="99" t="s">
        <v>2899</v>
      </c>
      <c r="AU2841" s="99" t="s">
        <v>2899</v>
      </c>
      <c r="AW2841" s="99" t="s">
        <v>160</v>
      </c>
      <c r="AX2841" s="99">
        <v>4</v>
      </c>
      <c r="AY2841" s="99">
        <v>6</v>
      </c>
      <c r="AZ2841" s="99" t="s">
        <v>141</v>
      </c>
      <c r="BK2841" s="99">
        <v>2853</v>
      </c>
      <c r="BL2841" s="99">
        <v>2937</v>
      </c>
      <c r="BP2841" s="426"/>
      <c r="BQ2841" s="426"/>
      <c r="BU2841" s="426"/>
      <c r="BV2841" s="426"/>
      <c r="BZ2841" s="426"/>
      <c r="CA2841" s="426"/>
      <c r="CE2841" s="579"/>
      <c r="CF2841" s="579"/>
      <c r="CG2841" s="579"/>
      <c r="CH2841" s="579"/>
      <c r="JB2841" s="99" t="s">
        <v>2904</v>
      </c>
      <c r="JD2841" s="508"/>
    </row>
    <row r="2842" spans="1:264" s="126" customFormat="1" x14ac:dyDescent="0.25">
      <c r="A2842" s="126">
        <v>131</v>
      </c>
      <c r="B2842" s="478" t="s">
        <v>4373</v>
      </c>
      <c r="C2842" s="126" t="s">
        <v>2889</v>
      </c>
      <c r="D2842" s="126" t="s">
        <v>2890</v>
      </c>
      <c r="E2842" s="126">
        <v>2004</v>
      </c>
      <c r="F2842" s="126">
        <v>2000</v>
      </c>
      <c r="G2842" s="126" t="s">
        <v>2738</v>
      </c>
      <c r="H2842" s="126" t="s">
        <v>2891</v>
      </c>
      <c r="I2842" s="126" t="s">
        <v>2892</v>
      </c>
      <c r="J2842" s="126">
        <f t="shared" si="388"/>
        <v>6.4666666666666668</v>
      </c>
      <c r="K2842" s="126">
        <f t="shared" si="389"/>
        <v>1.6333333333333333</v>
      </c>
      <c r="L2842" s="126">
        <v>72</v>
      </c>
      <c r="O2842" s="126">
        <v>968</v>
      </c>
      <c r="R2842" s="478" t="s">
        <v>1847</v>
      </c>
      <c r="S2842" s="478" t="s">
        <v>1847</v>
      </c>
      <c r="T2842" s="478"/>
      <c r="U2842" s="478" t="s">
        <v>2903</v>
      </c>
      <c r="V2842" s="478" t="s">
        <v>1389</v>
      </c>
      <c r="W2842" s="478" t="s">
        <v>1720</v>
      </c>
      <c r="X2842" s="478" t="s">
        <v>1389</v>
      </c>
      <c r="Y2842" s="478" t="s">
        <v>1389</v>
      </c>
      <c r="AA2842" s="479">
        <v>90</v>
      </c>
      <c r="AB2842" s="479">
        <v>1</v>
      </c>
      <c r="AC2842" s="126" t="s">
        <v>202</v>
      </c>
      <c r="AD2842" s="126">
        <v>5.7</v>
      </c>
      <c r="AG2842" s="126" t="s">
        <v>2893</v>
      </c>
      <c r="AH2842" s="126" t="s">
        <v>2742</v>
      </c>
      <c r="AI2842" s="126" t="s">
        <v>577</v>
      </c>
      <c r="AJ2842" s="126" t="s">
        <v>1645</v>
      </c>
      <c r="AK2842" s="126" t="s">
        <v>132</v>
      </c>
      <c r="AT2842" s="126" t="s">
        <v>2900</v>
      </c>
      <c r="AU2842" s="126" t="s">
        <v>2900</v>
      </c>
      <c r="AW2842" s="126" t="s">
        <v>160</v>
      </c>
      <c r="AX2842" s="126">
        <v>4</v>
      </c>
      <c r="AY2842" s="126">
        <v>6</v>
      </c>
      <c r="AZ2842" s="126" t="s">
        <v>141</v>
      </c>
      <c r="BK2842" s="126">
        <v>1434</v>
      </c>
      <c r="BL2842" s="126">
        <v>2081</v>
      </c>
      <c r="BP2842" s="481"/>
      <c r="BQ2842" s="481"/>
      <c r="BU2842" s="481"/>
      <c r="BV2842" s="481"/>
      <c r="BZ2842" s="481"/>
      <c r="CA2842" s="481"/>
      <c r="CE2842" s="605"/>
      <c r="CF2842" s="605"/>
      <c r="CG2842" s="605"/>
      <c r="CH2842" s="605"/>
      <c r="JB2842" s="126" t="s">
        <v>2904</v>
      </c>
      <c r="JD2842" s="480"/>
    </row>
    <row r="2843" spans="1:264" s="126" customFormat="1" x14ac:dyDescent="0.25">
      <c r="A2843" s="126">
        <v>131</v>
      </c>
      <c r="B2843" s="478" t="s">
        <v>4373</v>
      </c>
      <c r="C2843" s="126" t="s">
        <v>2889</v>
      </c>
      <c r="D2843" s="126" t="s">
        <v>2890</v>
      </c>
      <c r="E2843" s="126">
        <v>2004</v>
      </c>
      <c r="F2843" s="126">
        <v>2000</v>
      </c>
      <c r="G2843" s="126" t="s">
        <v>2738</v>
      </c>
      <c r="H2843" s="126" t="s">
        <v>2891</v>
      </c>
      <c r="I2843" s="126" t="s">
        <v>2892</v>
      </c>
      <c r="J2843" s="126">
        <f t="shared" si="388"/>
        <v>6.4666666666666668</v>
      </c>
      <c r="K2843" s="126">
        <f t="shared" si="389"/>
        <v>1.6333333333333333</v>
      </c>
      <c r="L2843" s="126">
        <v>72</v>
      </c>
      <c r="O2843" s="126">
        <v>968</v>
      </c>
      <c r="R2843" s="478" t="s">
        <v>1847</v>
      </c>
      <c r="S2843" s="478" t="s">
        <v>1847</v>
      </c>
      <c r="T2843" s="478"/>
      <c r="U2843" s="478" t="s">
        <v>2903</v>
      </c>
      <c r="V2843" s="478" t="s">
        <v>1389</v>
      </c>
      <c r="W2843" s="478" t="s">
        <v>1720</v>
      </c>
      <c r="X2843" s="478" t="s">
        <v>1389</v>
      </c>
      <c r="Y2843" s="478" t="s">
        <v>1389</v>
      </c>
      <c r="AA2843" s="479">
        <v>90</v>
      </c>
      <c r="AB2843" s="479">
        <v>1</v>
      </c>
      <c r="AC2843" s="126" t="s">
        <v>202</v>
      </c>
      <c r="AD2843" s="126">
        <v>5.7</v>
      </c>
      <c r="AG2843" s="126" t="s">
        <v>2893</v>
      </c>
      <c r="AH2843" s="126" t="s">
        <v>2742</v>
      </c>
      <c r="AI2843" s="126" t="s">
        <v>577</v>
      </c>
      <c r="AJ2843" s="126" t="s">
        <v>1645</v>
      </c>
      <c r="AK2843" s="126" t="s">
        <v>132</v>
      </c>
      <c r="AT2843" s="126" t="s">
        <v>2901</v>
      </c>
      <c r="AU2843" s="126" t="s">
        <v>2901</v>
      </c>
      <c r="AW2843" s="126" t="s">
        <v>160</v>
      </c>
      <c r="AX2843" s="126">
        <v>4</v>
      </c>
      <c r="AY2843" s="126">
        <v>6</v>
      </c>
      <c r="AZ2843" s="126" t="s">
        <v>141</v>
      </c>
      <c r="BK2843" s="126">
        <v>2220</v>
      </c>
      <c r="BL2843" s="126">
        <v>2830</v>
      </c>
      <c r="BP2843" s="481"/>
      <c r="BQ2843" s="481"/>
      <c r="BU2843" s="481"/>
      <c r="BV2843" s="481"/>
      <c r="BZ2843" s="481"/>
      <c r="CA2843" s="481"/>
      <c r="CE2843" s="605"/>
      <c r="CF2843" s="605"/>
      <c r="CG2843" s="605"/>
      <c r="CH2843" s="605"/>
      <c r="JB2843" s="126" t="s">
        <v>2904</v>
      </c>
      <c r="JD2843" s="480"/>
    </row>
    <row r="2844" spans="1:264" s="126" customFormat="1" x14ac:dyDescent="0.25">
      <c r="A2844" s="126">
        <v>131</v>
      </c>
      <c r="B2844" s="478" t="s">
        <v>4373</v>
      </c>
      <c r="C2844" s="126" t="s">
        <v>2889</v>
      </c>
      <c r="D2844" s="126" t="s">
        <v>2890</v>
      </c>
      <c r="E2844" s="126">
        <v>2004</v>
      </c>
      <c r="F2844" s="126">
        <v>2000</v>
      </c>
      <c r="G2844" s="126" t="s">
        <v>2738</v>
      </c>
      <c r="H2844" s="126" t="s">
        <v>2891</v>
      </c>
      <c r="I2844" s="126" t="s">
        <v>2892</v>
      </c>
      <c r="J2844" s="126">
        <f t="shared" si="388"/>
        <v>6.4666666666666668</v>
      </c>
      <c r="K2844" s="126">
        <f t="shared" si="389"/>
        <v>1.6333333333333333</v>
      </c>
      <c r="L2844" s="126">
        <v>72</v>
      </c>
      <c r="O2844" s="126">
        <v>968</v>
      </c>
      <c r="R2844" s="478" t="s">
        <v>1847</v>
      </c>
      <c r="S2844" s="478" t="s">
        <v>1847</v>
      </c>
      <c r="T2844" s="478"/>
      <c r="U2844" s="478" t="s">
        <v>2903</v>
      </c>
      <c r="V2844" s="478" t="s">
        <v>1389</v>
      </c>
      <c r="W2844" s="478" t="s">
        <v>1720</v>
      </c>
      <c r="X2844" s="478" t="s">
        <v>1389</v>
      </c>
      <c r="Y2844" s="478" t="s">
        <v>1389</v>
      </c>
      <c r="AA2844" s="479">
        <v>90</v>
      </c>
      <c r="AB2844" s="479">
        <v>1</v>
      </c>
      <c r="AC2844" s="126" t="s">
        <v>202</v>
      </c>
      <c r="AD2844" s="126">
        <v>5.7</v>
      </c>
      <c r="AG2844" s="126" t="s">
        <v>2893</v>
      </c>
      <c r="AH2844" s="126" t="s">
        <v>2742</v>
      </c>
      <c r="AI2844" s="126" t="s">
        <v>577</v>
      </c>
      <c r="AJ2844" s="126" t="s">
        <v>1645</v>
      </c>
      <c r="AK2844" s="126" t="s">
        <v>132</v>
      </c>
      <c r="AT2844" s="126" t="s">
        <v>2902</v>
      </c>
      <c r="AU2844" s="126" t="s">
        <v>2902</v>
      </c>
      <c r="AW2844" s="126" t="s">
        <v>160</v>
      </c>
      <c r="AX2844" s="126">
        <v>4</v>
      </c>
      <c r="AY2844" s="126">
        <v>6</v>
      </c>
      <c r="AZ2844" s="126" t="s">
        <v>141</v>
      </c>
      <c r="BK2844" s="126">
        <v>2678</v>
      </c>
      <c r="BL2844" s="126">
        <v>2875</v>
      </c>
      <c r="BP2844" s="481"/>
      <c r="BQ2844" s="481"/>
      <c r="BU2844" s="481"/>
      <c r="BV2844" s="481"/>
      <c r="BZ2844" s="481"/>
      <c r="CA2844" s="481"/>
      <c r="CE2844" s="605"/>
      <c r="CF2844" s="605"/>
      <c r="CG2844" s="605"/>
      <c r="CH2844" s="605"/>
      <c r="JB2844" s="126" t="s">
        <v>2904</v>
      </c>
      <c r="JD2844" s="480"/>
    </row>
    <row r="2845" spans="1:264" s="24" customFormat="1" x14ac:dyDescent="0.25">
      <c r="A2845" s="24">
        <v>132</v>
      </c>
      <c r="B2845" s="42" t="s">
        <v>4374</v>
      </c>
      <c r="C2845" s="24" t="s">
        <v>2906</v>
      </c>
      <c r="D2845" s="24" t="s">
        <v>2905</v>
      </c>
      <c r="E2845" s="24">
        <v>2004</v>
      </c>
      <c r="F2845" s="24">
        <v>1999</v>
      </c>
      <c r="G2845" s="24" t="s">
        <v>2696</v>
      </c>
      <c r="H2845" s="24" t="s">
        <v>2907</v>
      </c>
      <c r="I2845" s="24" t="s">
        <v>2823</v>
      </c>
      <c r="J2845" s="24">
        <f t="shared" ref="J2845:J2854" si="390">10+24/60</f>
        <v>10.4</v>
      </c>
      <c r="K2845" s="24">
        <f t="shared" ref="K2845:K2854" si="391">7+42/60</f>
        <v>7.7</v>
      </c>
      <c r="L2845" s="24">
        <v>656</v>
      </c>
      <c r="O2845" s="24">
        <v>1054</v>
      </c>
      <c r="P2845" s="24">
        <v>1350</v>
      </c>
      <c r="R2845" s="42" t="s">
        <v>1977</v>
      </c>
      <c r="S2845" s="42" t="s">
        <v>1728</v>
      </c>
      <c r="T2845" s="42"/>
      <c r="U2845" s="42" t="s">
        <v>1965</v>
      </c>
      <c r="V2845" s="42" t="s">
        <v>1379</v>
      </c>
      <c r="W2845" s="42" t="s">
        <v>1715</v>
      </c>
      <c r="X2845" s="42" t="s">
        <v>1379</v>
      </c>
      <c r="Y2845" s="42" t="s">
        <v>1379</v>
      </c>
      <c r="AA2845" s="321"/>
      <c r="AB2845" s="321"/>
      <c r="AC2845" s="24" t="s">
        <v>240</v>
      </c>
      <c r="AD2845" s="24">
        <v>5.84</v>
      </c>
      <c r="AE2845" s="24">
        <v>0.56999999999999995</v>
      </c>
      <c r="AH2845" s="24" t="s">
        <v>158</v>
      </c>
      <c r="AI2845" s="24" t="s">
        <v>577</v>
      </c>
      <c r="AJ2845" s="24" t="s">
        <v>1645</v>
      </c>
      <c r="AK2845" s="24" t="s">
        <v>132</v>
      </c>
      <c r="AW2845" s="24" t="s">
        <v>119</v>
      </c>
      <c r="AX2845" s="24">
        <v>5</v>
      </c>
      <c r="AZ2845" s="24" t="s">
        <v>141</v>
      </c>
      <c r="BB2845" s="24">
        <v>900</v>
      </c>
      <c r="BK2845" s="24">
        <v>140</v>
      </c>
      <c r="BL2845" s="24">
        <v>90</v>
      </c>
      <c r="BP2845" s="395"/>
      <c r="BQ2845" s="395"/>
      <c r="BU2845" s="395"/>
      <c r="BV2845" s="395"/>
      <c r="BZ2845" s="395"/>
      <c r="CA2845" s="395"/>
      <c r="CE2845" s="548"/>
      <c r="CF2845" s="548"/>
      <c r="CG2845" s="548"/>
      <c r="CH2845" s="548"/>
      <c r="JD2845" s="249"/>
    </row>
    <row r="2846" spans="1:264" s="24" customFormat="1" x14ac:dyDescent="0.25">
      <c r="A2846" s="24">
        <v>132</v>
      </c>
      <c r="B2846" s="42" t="s">
        <v>4374</v>
      </c>
      <c r="C2846" s="24" t="s">
        <v>2906</v>
      </c>
      <c r="D2846" s="24" t="s">
        <v>2905</v>
      </c>
      <c r="E2846" s="24">
        <v>2004</v>
      </c>
      <c r="F2846" s="24">
        <v>1999</v>
      </c>
      <c r="G2846" s="24" t="s">
        <v>2696</v>
      </c>
      <c r="H2846" s="24" t="s">
        <v>2907</v>
      </c>
      <c r="I2846" s="24" t="s">
        <v>2823</v>
      </c>
      <c r="J2846" s="24">
        <f t="shared" si="390"/>
        <v>10.4</v>
      </c>
      <c r="K2846" s="24">
        <f t="shared" si="391"/>
        <v>7.7</v>
      </c>
      <c r="L2846" s="24">
        <v>656</v>
      </c>
      <c r="O2846" s="24">
        <v>1054</v>
      </c>
      <c r="P2846" s="24">
        <v>1350</v>
      </c>
      <c r="R2846" s="42" t="s">
        <v>1977</v>
      </c>
      <c r="S2846" s="42" t="s">
        <v>1728</v>
      </c>
      <c r="T2846" s="42"/>
      <c r="U2846" s="42" t="s">
        <v>1965</v>
      </c>
      <c r="V2846" s="42" t="s">
        <v>1379</v>
      </c>
      <c r="W2846" s="42" t="s">
        <v>1715</v>
      </c>
      <c r="X2846" s="42" t="s">
        <v>1379</v>
      </c>
      <c r="Y2846" s="42" t="s">
        <v>1379</v>
      </c>
      <c r="AA2846" s="321"/>
      <c r="AB2846" s="321"/>
      <c r="AC2846" s="24" t="s">
        <v>240</v>
      </c>
      <c r="AD2846" s="24">
        <v>5.84</v>
      </c>
      <c r="AE2846" s="24">
        <v>0.56999999999999995</v>
      </c>
      <c r="AH2846" s="24" t="s">
        <v>2326</v>
      </c>
      <c r="AI2846" s="24" t="s">
        <v>577</v>
      </c>
      <c r="AJ2846" s="24" t="s">
        <v>1645</v>
      </c>
      <c r="AK2846" s="24" t="s">
        <v>132</v>
      </c>
      <c r="AW2846" s="24" t="s">
        <v>119</v>
      </c>
      <c r="AX2846" s="24">
        <v>5</v>
      </c>
      <c r="AZ2846" s="24" t="s">
        <v>141</v>
      </c>
      <c r="BB2846" s="24">
        <v>730</v>
      </c>
      <c r="BK2846" s="24">
        <v>140</v>
      </c>
      <c r="BL2846" s="24">
        <v>350</v>
      </c>
      <c r="BP2846" s="395"/>
      <c r="BQ2846" s="395"/>
      <c r="BU2846" s="395"/>
      <c r="BV2846" s="395"/>
      <c r="BZ2846" s="395"/>
      <c r="CA2846" s="395"/>
      <c r="CE2846" s="548"/>
      <c r="CF2846" s="548"/>
      <c r="CG2846" s="548"/>
      <c r="CH2846" s="548"/>
      <c r="JD2846" s="249"/>
    </row>
    <row r="2847" spans="1:264" s="24" customFormat="1" x14ac:dyDescent="0.25">
      <c r="A2847" s="24">
        <v>132</v>
      </c>
      <c r="B2847" s="42" t="s">
        <v>4374</v>
      </c>
      <c r="C2847" s="24" t="s">
        <v>2906</v>
      </c>
      <c r="D2847" s="24" t="s">
        <v>2905</v>
      </c>
      <c r="E2847" s="24">
        <v>2004</v>
      </c>
      <c r="F2847" s="24">
        <v>1999</v>
      </c>
      <c r="G2847" s="24" t="s">
        <v>2696</v>
      </c>
      <c r="H2847" s="24" t="s">
        <v>2907</v>
      </c>
      <c r="I2847" s="24" t="s">
        <v>2823</v>
      </c>
      <c r="J2847" s="24">
        <f t="shared" si="390"/>
        <v>10.4</v>
      </c>
      <c r="K2847" s="24">
        <f t="shared" si="391"/>
        <v>7.7</v>
      </c>
      <c r="L2847" s="24">
        <v>656</v>
      </c>
      <c r="O2847" s="24">
        <v>1054</v>
      </c>
      <c r="P2847" s="24">
        <v>1350</v>
      </c>
      <c r="R2847" s="42" t="s">
        <v>1977</v>
      </c>
      <c r="S2847" s="42" t="s">
        <v>1728</v>
      </c>
      <c r="T2847" s="42"/>
      <c r="U2847" s="42" t="s">
        <v>1965</v>
      </c>
      <c r="V2847" s="42" t="s">
        <v>1379</v>
      </c>
      <c r="W2847" s="42" t="s">
        <v>1715</v>
      </c>
      <c r="X2847" s="42" t="s">
        <v>1379</v>
      </c>
      <c r="Y2847" s="42" t="s">
        <v>1379</v>
      </c>
      <c r="AA2847" s="321"/>
      <c r="AB2847" s="321"/>
      <c r="AC2847" s="24" t="s">
        <v>240</v>
      </c>
      <c r="AD2847" s="24">
        <v>5.84</v>
      </c>
      <c r="AE2847" s="24">
        <v>0.56999999999999995</v>
      </c>
      <c r="AH2847" s="24" t="s">
        <v>2908</v>
      </c>
      <c r="AI2847" s="24" t="s">
        <v>577</v>
      </c>
      <c r="AJ2847" s="24" t="s">
        <v>1645</v>
      </c>
      <c r="AK2847" s="24" t="s">
        <v>132</v>
      </c>
      <c r="AW2847" s="24" t="s">
        <v>119</v>
      </c>
      <c r="AX2847" s="24">
        <v>5</v>
      </c>
      <c r="AZ2847" s="24" t="s">
        <v>141</v>
      </c>
      <c r="BB2847" s="24">
        <v>980</v>
      </c>
      <c r="BK2847" s="24">
        <v>140</v>
      </c>
      <c r="BL2847" s="24">
        <v>530</v>
      </c>
      <c r="BP2847" s="395"/>
      <c r="BQ2847" s="395"/>
      <c r="BU2847" s="395"/>
      <c r="BV2847" s="395"/>
      <c r="BZ2847" s="395"/>
      <c r="CA2847" s="395"/>
      <c r="CE2847" s="548"/>
      <c r="CF2847" s="548"/>
      <c r="CG2847" s="548"/>
      <c r="CH2847" s="548"/>
      <c r="JD2847" s="249"/>
    </row>
    <row r="2848" spans="1:264" s="24" customFormat="1" x14ac:dyDescent="0.25">
      <c r="A2848" s="24">
        <v>132</v>
      </c>
      <c r="B2848" s="42" t="s">
        <v>4374</v>
      </c>
      <c r="C2848" s="24" t="s">
        <v>2906</v>
      </c>
      <c r="D2848" s="24" t="s">
        <v>2905</v>
      </c>
      <c r="E2848" s="24">
        <v>2004</v>
      </c>
      <c r="F2848" s="24">
        <v>1999</v>
      </c>
      <c r="G2848" s="24" t="s">
        <v>2696</v>
      </c>
      <c r="H2848" s="24" t="s">
        <v>2907</v>
      </c>
      <c r="I2848" s="24" t="s">
        <v>2823</v>
      </c>
      <c r="J2848" s="24">
        <f t="shared" si="390"/>
        <v>10.4</v>
      </c>
      <c r="K2848" s="24">
        <f t="shared" si="391"/>
        <v>7.7</v>
      </c>
      <c r="L2848" s="24">
        <v>656</v>
      </c>
      <c r="O2848" s="24">
        <v>1054</v>
      </c>
      <c r="P2848" s="24">
        <v>1350</v>
      </c>
      <c r="R2848" s="42" t="s">
        <v>1977</v>
      </c>
      <c r="S2848" s="42" t="s">
        <v>1728</v>
      </c>
      <c r="T2848" s="42"/>
      <c r="U2848" s="42" t="s">
        <v>1965</v>
      </c>
      <c r="V2848" s="42" t="s">
        <v>1379</v>
      </c>
      <c r="W2848" s="42" t="s">
        <v>1715</v>
      </c>
      <c r="X2848" s="42" t="s">
        <v>1379</v>
      </c>
      <c r="Y2848" s="42" t="s">
        <v>1379</v>
      </c>
      <c r="AA2848" s="321"/>
      <c r="AB2848" s="321"/>
      <c r="AC2848" s="24" t="s">
        <v>240</v>
      </c>
      <c r="AD2848" s="24">
        <v>5.84</v>
      </c>
      <c r="AE2848" s="24">
        <v>0.56999999999999995</v>
      </c>
      <c r="AH2848" s="24" t="s">
        <v>2742</v>
      </c>
      <c r="AI2848" s="24" t="s">
        <v>577</v>
      </c>
      <c r="AJ2848" s="24" t="s">
        <v>1645</v>
      </c>
      <c r="AK2848" s="24" t="s">
        <v>132</v>
      </c>
      <c r="AW2848" s="24" t="s">
        <v>119</v>
      </c>
      <c r="AX2848" s="24">
        <v>5</v>
      </c>
      <c r="AZ2848" s="24" t="s">
        <v>141</v>
      </c>
      <c r="BK2848" s="24">
        <v>140</v>
      </c>
      <c r="BL2848" s="24">
        <v>450</v>
      </c>
      <c r="BP2848" s="395"/>
      <c r="BQ2848" s="395"/>
      <c r="BU2848" s="395"/>
      <c r="BV2848" s="395"/>
      <c r="BZ2848" s="395"/>
      <c r="CA2848" s="395"/>
      <c r="CE2848" s="548"/>
      <c r="CF2848" s="548"/>
      <c r="CG2848" s="548"/>
      <c r="CH2848" s="548"/>
      <c r="JD2848" s="249"/>
    </row>
    <row r="2849" spans="1:264" s="32" customFormat="1" x14ac:dyDescent="0.25">
      <c r="A2849" s="32">
        <v>132</v>
      </c>
      <c r="B2849" s="44" t="s">
        <v>4374</v>
      </c>
      <c r="C2849" s="32" t="s">
        <v>2906</v>
      </c>
      <c r="D2849" s="32" t="s">
        <v>2905</v>
      </c>
      <c r="E2849" s="32">
        <v>2004</v>
      </c>
      <c r="F2849" s="32">
        <v>2000</v>
      </c>
      <c r="G2849" s="32" t="s">
        <v>2696</v>
      </c>
      <c r="H2849" s="32" t="s">
        <v>2907</v>
      </c>
      <c r="I2849" s="32" t="s">
        <v>2823</v>
      </c>
      <c r="J2849" s="32">
        <f t="shared" si="390"/>
        <v>10.4</v>
      </c>
      <c r="K2849" s="32">
        <f t="shared" si="391"/>
        <v>7.7</v>
      </c>
      <c r="L2849" s="32">
        <v>656</v>
      </c>
      <c r="O2849" s="32">
        <v>1647</v>
      </c>
      <c r="P2849" s="32">
        <v>1350</v>
      </c>
      <c r="R2849" s="44" t="s">
        <v>1847</v>
      </c>
      <c r="S2849" s="44" t="s">
        <v>1728</v>
      </c>
      <c r="T2849" s="44"/>
      <c r="U2849" s="44" t="s">
        <v>1965</v>
      </c>
      <c r="V2849" s="44" t="s">
        <v>1379</v>
      </c>
      <c r="W2849" s="44" t="s">
        <v>1715</v>
      </c>
      <c r="X2849" s="44" t="s">
        <v>1379</v>
      </c>
      <c r="Y2849" s="44" t="s">
        <v>1379</v>
      </c>
      <c r="AA2849" s="323"/>
      <c r="AB2849" s="323"/>
      <c r="AC2849" s="32" t="s">
        <v>240</v>
      </c>
      <c r="AD2849" s="32">
        <v>5.84</v>
      </c>
      <c r="AE2849" s="32">
        <v>0.56999999999999995</v>
      </c>
      <c r="AH2849" s="32" t="s">
        <v>2326</v>
      </c>
      <c r="AI2849" s="32" t="s">
        <v>577</v>
      </c>
      <c r="AJ2849" s="32" t="s">
        <v>1645</v>
      </c>
      <c r="AK2849" s="32" t="s">
        <v>132</v>
      </c>
      <c r="AW2849" s="32" t="s">
        <v>119</v>
      </c>
      <c r="AX2849" s="32">
        <v>5</v>
      </c>
      <c r="AZ2849" s="32" t="s">
        <v>141</v>
      </c>
      <c r="BB2849" s="32">
        <v>860</v>
      </c>
      <c r="BK2849" s="32">
        <v>20</v>
      </c>
      <c r="BL2849" s="32">
        <v>300</v>
      </c>
      <c r="BP2849" s="397"/>
      <c r="BQ2849" s="397"/>
      <c r="BU2849" s="397"/>
      <c r="BV2849" s="397"/>
      <c r="BZ2849" s="397"/>
      <c r="CA2849" s="397"/>
      <c r="CE2849" s="550"/>
      <c r="CF2849" s="550"/>
      <c r="CG2849" s="550"/>
      <c r="CH2849" s="550"/>
      <c r="JD2849" s="243"/>
    </row>
    <row r="2850" spans="1:264" s="32" customFormat="1" x14ac:dyDescent="0.25">
      <c r="A2850" s="32">
        <v>132</v>
      </c>
      <c r="B2850" s="44" t="s">
        <v>4374</v>
      </c>
      <c r="C2850" s="32" t="s">
        <v>2906</v>
      </c>
      <c r="D2850" s="32" t="s">
        <v>2905</v>
      </c>
      <c r="E2850" s="32">
        <v>2004</v>
      </c>
      <c r="F2850" s="32">
        <v>2000</v>
      </c>
      <c r="G2850" s="32" t="s">
        <v>2696</v>
      </c>
      <c r="H2850" s="32" t="s">
        <v>2907</v>
      </c>
      <c r="I2850" s="32" t="s">
        <v>2823</v>
      </c>
      <c r="J2850" s="32">
        <f t="shared" si="390"/>
        <v>10.4</v>
      </c>
      <c r="K2850" s="32">
        <f t="shared" si="391"/>
        <v>7.7</v>
      </c>
      <c r="L2850" s="32">
        <v>656</v>
      </c>
      <c r="O2850" s="32">
        <v>1647</v>
      </c>
      <c r="P2850" s="32">
        <v>1350</v>
      </c>
      <c r="R2850" s="44" t="s">
        <v>1847</v>
      </c>
      <c r="S2850" s="44" t="s">
        <v>1728</v>
      </c>
      <c r="T2850" s="44"/>
      <c r="U2850" s="44" t="s">
        <v>1965</v>
      </c>
      <c r="V2850" s="44" t="s">
        <v>1379</v>
      </c>
      <c r="W2850" s="44" t="s">
        <v>1715</v>
      </c>
      <c r="X2850" s="44" t="s">
        <v>1379</v>
      </c>
      <c r="Y2850" s="44" t="s">
        <v>1379</v>
      </c>
      <c r="AA2850" s="323"/>
      <c r="AB2850" s="323"/>
      <c r="AC2850" s="32" t="s">
        <v>240</v>
      </c>
      <c r="AD2850" s="32">
        <v>5.84</v>
      </c>
      <c r="AE2850" s="32">
        <v>0.56999999999999995</v>
      </c>
      <c r="AH2850" s="32" t="s">
        <v>2908</v>
      </c>
      <c r="AI2850" s="32" t="s">
        <v>577</v>
      </c>
      <c r="AJ2850" s="32" t="s">
        <v>1645</v>
      </c>
      <c r="AK2850" s="32" t="s">
        <v>132</v>
      </c>
      <c r="AW2850" s="32" t="s">
        <v>119</v>
      </c>
      <c r="AX2850" s="32">
        <v>5</v>
      </c>
      <c r="AZ2850" s="32" t="s">
        <v>141</v>
      </c>
      <c r="BB2850" s="32">
        <v>880</v>
      </c>
      <c r="BK2850" s="32">
        <v>20</v>
      </c>
      <c r="BL2850" s="32">
        <v>90</v>
      </c>
      <c r="BP2850" s="397"/>
      <c r="BQ2850" s="397"/>
      <c r="BU2850" s="397"/>
      <c r="BV2850" s="397"/>
      <c r="BZ2850" s="397"/>
      <c r="CA2850" s="397"/>
      <c r="CE2850" s="550"/>
      <c r="CF2850" s="550"/>
      <c r="CG2850" s="550"/>
      <c r="CH2850" s="550"/>
      <c r="JD2850" s="243"/>
    </row>
    <row r="2851" spans="1:264" s="32" customFormat="1" x14ac:dyDescent="0.25">
      <c r="A2851" s="32">
        <v>132</v>
      </c>
      <c r="B2851" s="44" t="s">
        <v>4374</v>
      </c>
      <c r="C2851" s="32" t="s">
        <v>2906</v>
      </c>
      <c r="D2851" s="32" t="s">
        <v>2905</v>
      </c>
      <c r="E2851" s="32">
        <v>2004</v>
      </c>
      <c r="F2851" s="32">
        <v>2000</v>
      </c>
      <c r="G2851" s="32" t="s">
        <v>2696</v>
      </c>
      <c r="H2851" s="32" t="s">
        <v>2907</v>
      </c>
      <c r="I2851" s="32" t="s">
        <v>2823</v>
      </c>
      <c r="J2851" s="32">
        <f t="shared" si="390"/>
        <v>10.4</v>
      </c>
      <c r="K2851" s="32">
        <f t="shared" si="391"/>
        <v>7.7</v>
      </c>
      <c r="L2851" s="32">
        <v>656</v>
      </c>
      <c r="O2851" s="32">
        <v>1647</v>
      </c>
      <c r="P2851" s="32">
        <v>1350</v>
      </c>
      <c r="R2851" s="44" t="s">
        <v>1847</v>
      </c>
      <c r="S2851" s="44" t="s">
        <v>1728</v>
      </c>
      <c r="T2851" s="44"/>
      <c r="U2851" s="44" t="s">
        <v>1965</v>
      </c>
      <c r="V2851" s="44" t="s">
        <v>1379</v>
      </c>
      <c r="W2851" s="44" t="s">
        <v>1715</v>
      </c>
      <c r="X2851" s="44" t="s">
        <v>1379</v>
      </c>
      <c r="Y2851" s="44" t="s">
        <v>1379</v>
      </c>
      <c r="AA2851" s="323"/>
      <c r="AB2851" s="323"/>
      <c r="AC2851" s="32" t="s">
        <v>240</v>
      </c>
      <c r="AD2851" s="32">
        <v>5.84</v>
      </c>
      <c r="AE2851" s="32">
        <v>0.56999999999999995</v>
      </c>
      <c r="AH2851" s="32" t="s">
        <v>2742</v>
      </c>
      <c r="AI2851" s="32" t="s">
        <v>577</v>
      </c>
      <c r="AJ2851" s="32" t="s">
        <v>1645</v>
      </c>
      <c r="AK2851" s="32" t="s">
        <v>132</v>
      </c>
      <c r="AW2851" s="32" t="s">
        <v>119</v>
      </c>
      <c r="AX2851" s="32">
        <v>5</v>
      </c>
      <c r="AZ2851" s="32" t="s">
        <v>141</v>
      </c>
      <c r="BK2851" s="32">
        <v>20</v>
      </c>
      <c r="BL2851" s="32">
        <v>30</v>
      </c>
      <c r="BP2851" s="397"/>
      <c r="BQ2851" s="397"/>
      <c r="BU2851" s="397"/>
      <c r="BV2851" s="397"/>
      <c r="BZ2851" s="397"/>
      <c r="CA2851" s="397"/>
      <c r="CE2851" s="550"/>
      <c r="CF2851" s="550"/>
      <c r="CG2851" s="550"/>
      <c r="CH2851" s="550"/>
      <c r="JD2851" s="243"/>
    </row>
    <row r="2852" spans="1:264" s="24" customFormat="1" x14ac:dyDescent="0.25">
      <c r="A2852" s="24">
        <v>132</v>
      </c>
      <c r="B2852" s="42" t="s">
        <v>4374</v>
      </c>
      <c r="C2852" s="24" t="s">
        <v>2906</v>
      </c>
      <c r="D2852" s="24" t="s">
        <v>2905</v>
      </c>
      <c r="E2852" s="24">
        <v>2004</v>
      </c>
      <c r="F2852" s="24">
        <v>2001</v>
      </c>
      <c r="G2852" s="24" t="s">
        <v>2696</v>
      </c>
      <c r="H2852" s="24" t="s">
        <v>2907</v>
      </c>
      <c r="I2852" s="24" t="s">
        <v>2823</v>
      </c>
      <c r="J2852" s="24">
        <f t="shared" si="390"/>
        <v>10.4</v>
      </c>
      <c r="K2852" s="24">
        <f t="shared" si="391"/>
        <v>7.7</v>
      </c>
      <c r="L2852" s="24">
        <v>656</v>
      </c>
      <c r="O2852" s="24">
        <v>1443</v>
      </c>
      <c r="P2852" s="24">
        <v>1350</v>
      </c>
      <c r="R2852" s="42" t="s">
        <v>1728</v>
      </c>
      <c r="S2852" s="42" t="s">
        <v>1728</v>
      </c>
      <c r="T2852" s="42"/>
      <c r="U2852" s="42" t="s">
        <v>1965</v>
      </c>
      <c r="V2852" s="42" t="s">
        <v>1379</v>
      </c>
      <c r="W2852" s="42" t="s">
        <v>1715</v>
      </c>
      <c r="X2852" s="42" t="s">
        <v>1379</v>
      </c>
      <c r="Y2852" s="42" t="s">
        <v>1379</v>
      </c>
      <c r="AA2852" s="321"/>
      <c r="AB2852" s="321"/>
      <c r="AC2852" s="24" t="s">
        <v>240</v>
      </c>
      <c r="AD2852" s="24">
        <v>5.84</v>
      </c>
      <c r="AE2852" s="24">
        <v>0.56999999999999995</v>
      </c>
      <c r="AH2852" s="24" t="s">
        <v>2326</v>
      </c>
      <c r="AI2852" s="24" t="s">
        <v>577</v>
      </c>
      <c r="AJ2852" s="24" t="s">
        <v>1645</v>
      </c>
      <c r="AK2852" s="24" t="s">
        <v>132</v>
      </c>
      <c r="AW2852" s="24" t="s">
        <v>119</v>
      </c>
      <c r="AX2852" s="24">
        <v>5</v>
      </c>
      <c r="AZ2852" s="24" t="s">
        <v>141</v>
      </c>
      <c r="BB2852" s="24">
        <v>670</v>
      </c>
      <c r="BK2852" s="24">
        <v>190</v>
      </c>
      <c r="BL2852" s="24">
        <v>300</v>
      </c>
      <c r="BP2852" s="395"/>
      <c r="BQ2852" s="395"/>
      <c r="BU2852" s="395"/>
      <c r="BV2852" s="395"/>
      <c r="BZ2852" s="395"/>
      <c r="CA2852" s="395"/>
      <c r="CE2852" s="548"/>
      <c r="CF2852" s="548"/>
      <c r="CG2852" s="548"/>
      <c r="CH2852" s="548"/>
      <c r="JD2852" s="249"/>
    </row>
    <row r="2853" spans="1:264" s="24" customFormat="1" x14ac:dyDescent="0.25">
      <c r="A2853" s="24">
        <v>132</v>
      </c>
      <c r="B2853" s="42" t="s">
        <v>4374</v>
      </c>
      <c r="C2853" s="24" t="s">
        <v>2906</v>
      </c>
      <c r="D2853" s="24" t="s">
        <v>2905</v>
      </c>
      <c r="E2853" s="24">
        <v>2004</v>
      </c>
      <c r="F2853" s="24">
        <v>2001</v>
      </c>
      <c r="G2853" s="24" t="s">
        <v>2696</v>
      </c>
      <c r="H2853" s="24" t="s">
        <v>2907</v>
      </c>
      <c r="I2853" s="24" t="s">
        <v>2823</v>
      </c>
      <c r="J2853" s="24">
        <f t="shared" si="390"/>
        <v>10.4</v>
      </c>
      <c r="K2853" s="24">
        <f t="shared" si="391"/>
        <v>7.7</v>
      </c>
      <c r="L2853" s="24">
        <v>656</v>
      </c>
      <c r="O2853" s="24">
        <v>1443</v>
      </c>
      <c r="P2853" s="24">
        <v>1350</v>
      </c>
      <c r="R2853" s="42" t="s">
        <v>1728</v>
      </c>
      <c r="S2853" s="42" t="s">
        <v>1728</v>
      </c>
      <c r="T2853" s="42"/>
      <c r="U2853" s="42" t="s">
        <v>1965</v>
      </c>
      <c r="V2853" s="42" t="s">
        <v>1379</v>
      </c>
      <c r="W2853" s="42" t="s">
        <v>1715</v>
      </c>
      <c r="X2853" s="42" t="s">
        <v>1379</v>
      </c>
      <c r="Y2853" s="42" t="s">
        <v>1379</v>
      </c>
      <c r="AA2853" s="321"/>
      <c r="AB2853" s="321"/>
      <c r="AC2853" s="24" t="s">
        <v>240</v>
      </c>
      <c r="AD2853" s="24">
        <v>5.84</v>
      </c>
      <c r="AE2853" s="24">
        <v>0.56999999999999995</v>
      </c>
      <c r="AH2853" s="24" t="s">
        <v>2908</v>
      </c>
      <c r="AI2853" s="24" t="s">
        <v>577</v>
      </c>
      <c r="AJ2853" s="24" t="s">
        <v>1645</v>
      </c>
      <c r="AK2853" s="24" t="s">
        <v>132</v>
      </c>
      <c r="AW2853" s="24" t="s">
        <v>119</v>
      </c>
      <c r="AX2853" s="24">
        <v>5</v>
      </c>
      <c r="AZ2853" s="24" t="s">
        <v>141</v>
      </c>
      <c r="BB2853" s="24">
        <v>950</v>
      </c>
      <c r="BK2853" s="24">
        <v>190</v>
      </c>
      <c r="BL2853" s="24">
        <v>560</v>
      </c>
      <c r="BP2853" s="395"/>
      <c r="BQ2853" s="395"/>
      <c r="BU2853" s="395"/>
      <c r="BV2853" s="395"/>
      <c r="BZ2853" s="395"/>
      <c r="CA2853" s="395"/>
      <c r="CE2853" s="548"/>
      <c r="CF2853" s="548"/>
      <c r="CG2853" s="548"/>
      <c r="CH2853" s="548"/>
      <c r="JD2853" s="249"/>
    </row>
    <row r="2854" spans="1:264" s="24" customFormat="1" x14ac:dyDescent="0.25">
      <c r="A2854" s="24">
        <v>132</v>
      </c>
      <c r="B2854" s="42" t="s">
        <v>4374</v>
      </c>
      <c r="C2854" s="24" t="s">
        <v>2906</v>
      </c>
      <c r="D2854" s="24" t="s">
        <v>2905</v>
      </c>
      <c r="E2854" s="24">
        <v>2004</v>
      </c>
      <c r="F2854" s="24">
        <v>2001</v>
      </c>
      <c r="G2854" s="24" t="s">
        <v>2696</v>
      </c>
      <c r="H2854" s="24" t="s">
        <v>2907</v>
      </c>
      <c r="I2854" s="24" t="s">
        <v>2823</v>
      </c>
      <c r="J2854" s="24">
        <f t="shared" si="390"/>
        <v>10.4</v>
      </c>
      <c r="K2854" s="24">
        <f t="shared" si="391"/>
        <v>7.7</v>
      </c>
      <c r="L2854" s="24">
        <v>656</v>
      </c>
      <c r="O2854" s="24">
        <v>1443</v>
      </c>
      <c r="P2854" s="24">
        <v>1350</v>
      </c>
      <c r="R2854" s="42" t="s">
        <v>1728</v>
      </c>
      <c r="S2854" s="42" t="s">
        <v>1728</v>
      </c>
      <c r="T2854" s="42"/>
      <c r="U2854" s="42" t="s">
        <v>1965</v>
      </c>
      <c r="V2854" s="42" t="s">
        <v>1379</v>
      </c>
      <c r="W2854" s="42" t="s">
        <v>1715</v>
      </c>
      <c r="X2854" s="42" t="s">
        <v>1379</v>
      </c>
      <c r="Y2854" s="42" t="s">
        <v>1379</v>
      </c>
      <c r="AA2854" s="321"/>
      <c r="AB2854" s="321"/>
      <c r="AC2854" s="24" t="s">
        <v>240</v>
      </c>
      <c r="AD2854" s="24">
        <v>5.84</v>
      </c>
      <c r="AE2854" s="24">
        <v>0.56999999999999995</v>
      </c>
      <c r="AH2854" s="24" t="s">
        <v>2742</v>
      </c>
      <c r="AI2854" s="24" t="s">
        <v>577</v>
      </c>
      <c r="AJ2854" s="24" t="s">
        <v>1645</v>
      </c>
      <c r="AK2854" s="24" t="s">
        <v>132</v>
      </c>
      <c r="AW2854" s="24" t="s">
        <v>119</v>
      </c>
      <c r="AX2854" s="24">
        <v>5</v>
      </c>
      <c r="AZ2854" s="24" t="s">
        <v>141</v>
      </c>
      <c r="BK2854" s="24">
        <v>190</v>
      </c>
      <c r="BL2854" s="24">
        <v>280</v>
      </c>
      <c r="BP2854" s="395"/>
      <c r="BQ2854" s="395"/>
      <c r="BU2854" s="395"/>
      <c r="BV2854" s="395"/>
      <c r="BZ2854" s="395"/>
      <c r="CA2854" s="395"/>
      <c r="CE2854" s="548"/>
      <c r="CF2854" s="548"/>
      <c r="CG2854" s="548"/>
      <c r="CH2854" s="548"/>
      <c r="JD2854" s="249"/>
    </row>
    <row r="2855" spans="1:264" s="22" customFormat="1" x14ac:dyDescent="0.25">
      <c r="A2855" s="22">
        <v>133</v>
      </c>
      <c r="B2855" s="45" t="s">
        <v>3251</v>
      </c>
      <c r="C2855" s="22" t="s">
        <v>2909</v>
      </c>
      <c r="D2855" s="22" t="s">
        <v>2910</v>
      </c>
      <c r="E2855" s="22">
        <v>2005</v>
      </c>
      <c r="F2855" s="45" t="s">
        <v>1976</v>
      </c>
      <c r="G2855" s="22" t="s">
        <v>2911</v>
      </c>
      <c r="H2855" s="22" t="s">
        <v>2912</v>
      </c>
      <c r="I2855" s="22" t="s">
        <v>2836</v>
      </c>
      <c r="J2855" s="22">
        <v>0.01</v>
      </c>
      <c r="K2855" s="22">
        <f t="shared" ref="K2855:K2863" si="392">34+34/60</f>
        <v>34.56666666666667</v>
      </c>
      <c r="L2855" s="22">
        <v>1420</v>
      </c>
      <c r="P2855" s="22">
        <v>1800</v>
      </c>
      <c r="R2855" s="45" t="s">
        <v>1977</v>
      </c>
      <c r="S2855" s="45" t="s">
        <v>1977</v>
      </c>
      <c r="T2855" s="45"/>
      <c r="U2855" s="45" t="s">
        <v>1976</v>
      </c>
      <c r="V2855" s="45" t="s">
        <v>1382</v>
      </c>
      <c r="W2855" s="45" t="s">
        <v>1717</v>
      </c>
      <c r="X2855" s="45" t="s">
        <v>1382</v>
      </c>
      <c r="Y2855" s="45" t="s">
        <v>1382</v>
      </c>
      <c r="AA2855" s="325">
        <v>27</v>
      </c>
      <c r="AB2855" s="325">
        <v>26</v>
      </c>
      <c r="AC2855" s="22" t="s">
        <v>796</v>
      </c>
      <c r="AD2855" s="22">
        <v>5.4</v>
      </c>
      <c r="AE2855" s="22">
        <v>0.161</v>
      </c>
      <c r="AH2855" s="22" t="s">
        <v>2915</v>
      </c>
      <c r="AI2855" s="22" t="s">
        <v>577</v>
      </c>
      <c r="AJ2855" s="22" t="s">
        <v>1645</v>
      </c>
      <c r="AK2855" s="22" t="s">
        <v>132</v>
      </c>
      <c r="AW2855" s="22" t="s">
        <v>2780</v>
      </c>
      <c r="AX2855" s="22">
        <v>4</v>
      </c>
      <c r="AZ2855" s="22" t="s">
        <v>141</v>
      </c>
      <c r="BB2855" s="22">
        <f>-1270+1760</f>
        <v>490</v>
      </c>
      <c r="BD2855" s="22">
        <f>BB2855/20</f>
        <v>24.5</v>
      </c>
      <c r="BF2855" s="22">
        <v>1890</v>
      </c>
      <c r="BG2855" s="22">
        <v>1050</v>
      </c>
      <c r="BK2855" s="22">
        <v>1600</v>
      </c>
      <c r="BL2855" s="22">
        <v>570</v>
      </c>
      <c r="BP2855" s="399"/>
      <c r="BQ2855" s="399"/>
      <c r="BU2855" s="399"/>
      <c r="BV2855" s="399"/>
      <c r="BZ2855" s="399"/>
      <c r="CA2855" s="399"/>
      <c r="CE2855" s="552"/>
      <c r="CF2855" s="552"/>
      <c r="CG2855" s="552"/>
      <c r="CH2855" s="552"/>
      <c r="CJ2855" s="22">
        <f>AVERAGE(27,20,21)</f>
        <v>22.666666666666668</v>
      </c>
      <c r="CK2855" s="22">
        <f>AVERAGE(33,21,18)</f>
        <v>24</v>
      </c>
      <c r="CN2855" s="22" t="s">
        <v>2925</v>
      </c>
      <c r="FV2855" s="22">
        <v>86</v>
      </c>
      <c r="FW2855" s="22">
        <v>76</v>
      </c>
      <c r="FZ2855" s="22" t="s">
        <v>2924</v>
      </c>
      <c r="JD2855" s="276"/>
    </row>
    <row r="2856" spans="1:264" s="22" customFormat="1" x14ac:dyDescent="0.25">
      <c r="A2856" s="22">
        <v>133</v>
      </c>
      <c r="B2856" s="45" t="s">
        <v>3251</v>
      </c>
      <c r="C2856" s="22" t="s">
        <v>2909</v>
      </c>
      <c r="D2856" s="22" t="s">
        <v>2910</v>
      </c>
      <c r="E2856" s="22">
        <v>2005</v>
      </c>
      <c r="F2856" s="45" t="s">
        <v>1976</v>
      </c>
      <c r="G2856" s="22" t="s">
        <v>2911</v>
      </c>
      <c r="H2856" s="22" t="s">
        <v>2912</v>
      </c>
      <c r="I2856" s="22" t="s">
        <v>2836</v>
      </c>
      <c r="J2856" s="22">
        <v>0.01</v>
      </c>
      <c r="K2856" s="22">
        <f t="shared" si="392"/>
        <v>34.56666666666667</v>
      </c>
      <c r="L2856" s="22">
        <v>1420</v>
      </c>
      <c r="P2856" s="22">
        <v>1800</v>
      </c>
      <c r="R2856" s="45" t="s">
        <v>1977</v>
      </c>
      <c r="S2856" s="45" t="s">
        <v>1977</v>
      </c>
      <c r="T2856" s="45"/>
      <c r="U2856" s="45" t="s">
        <v>1976</v>
      </c>
      <c r="V2856" s="45" t="s">
        <v>1382</v>
      </c>
      <c r="W2856" s="45" t="s">
        <v>1717</v>
      </c>
      <c r="X2856" s="45" t="s">
        <v>1382</v>
      </c>
      <c r="Y2856" s="45" t="s">
        <v>1382</v>
      </c>
      <c r="AA2856" s="325">
        <v>27</v>
      </c>
      <c r="AB2856" s="325">
        <v>26</v>
      </c>
      <c r="AC2856" s="22" t="s">
        <v>796</v>
      </c>
      <c r="AD2856" s="22">
        <v>5.4</v>
      </c>
      <c r="AE2856" s="22">
        <v>0.161</v>
      </c>
      <c r="AH2856" s="22" t="s">
        <v>2914</v>
      </c>
      <c r="AI2856" s="22" t="s">
        <v>577</v>
      </c>
      <c r="AJ2856" s="22" t="s">
        <v>1645</v>
      </c>
      <c r="AK2856" s="22" t="s">
        <v>132</v>
      </c>
      <c r="AW2856" s="22" t="s">
        <v>2780</v>
      </c>
      <c r="AX2856" s="22">
        <v>4</v>
      </c>
      <c r="AZ2856" s="22" t="s">
        <v>141</v>
      </c>
      <c r="BB2856" s="22">
        <f>1170+340</f>
        <v>1510</v>
      </c>
      <c r="BD2856" s="22">
        <f>BB2856/53</f>
        <v>28.490566037735849</v>
      </c>
      <c r="BF2856" s="22">
        <v>1890</v>
      </c>
      <c r="BG2856" s="22">
        <v>2280</v>
      </c>
      <c r="BK2856" s="22">
        <v>1600</v>
      </c>
      <c r="BL2856" s="22">
        <v>2400</v>
      </c>
      <c r="BP2856" s="399"/>
      <c r="BQ2856" s="399"/>
      <c r="BU2856" s="399"/>
      <c r="BV2856" s="399"/>
      <c r="BZ2856" s="399"/>
      <c r="CA2856" s="399"/>
      <c r="CE2856" s="552"/>
      <c r="CF2856" s="552"/>
      <c r="CG2856" s="552"/>
      <c r="CH2856" s="552"/>
      <c r="CJ2856" s="22">
        <f t="shared" ref="CJ2856:CJ2863" si="393">AVERAGE(27,20,21)</f>
        <v>22.666666666666668</v>
      </c>
      <c r="CK2856" s="22">
        <f>AVERAGE(35,27,17)</f>
        <v>26.333333333333332</v>
      </c>
      <c r="CN2856" s="22" t="s">
        <v>2925</v>
      </c>
      <c r="FV2856" s="22">
        <v>86</v>
      </c>
      <c r="FW2856" s="22">
        <v>31</v>
      </c>
      <c r="FZ2856" s="22" t="s">
        <v>2924</v>
      </c>
      <c r="JD2856" s="276"/>
    </row>
    <row r="2857" spans="1:264" s="22" customFormat="1" x14ac:dyDescent="0.25">
      <c r="A2857" s="22">
        <v>133</v>
      </c>
      <c r="B2857" s="45" t="s">
        <v>3252</v>
      </c>
      <c r="C2857" s="22" t="s">
        <v>2909</v>
      </c>
      <c r="D2857" s="22" t="s">
        <v>2910</v>
      </c>
      <c r="E2857" s="22">
        <v>2005</v>
      </c>
      <c r="F2857" s="45" t="s">
        <v>1976</v>
      </c>
      <c r="G2857" s="22" t="s">
        <v>2911</v>
      </c>
      <c r="H2857" s="22" t="s">
        <v>2912</v>
      </c>
      <c r="I2857" s="22" t="s">
        <v>2836</v>
      </c>
      <c r="J2857" s="22">
        <v>0.01</v>
      </c>
      <c r="K2857" s="22">
        <f t="shared" si="392"/>
        <v>34.56666666666667</v>
      </c>
      <c r="L2857" s="22">
        <v>1420</v>
      </c>
      <c r="P2857" s="22">
        <v>1800</v>
      </c>
      <c r="R2857" s="45" t="s">
        <v>1977</v>
      </c>
      <c r="S2857" s="45" t="s">
        <v>1977</v>
      </c>
      <c r="T2857" s="45"/>
      <c r="U2857" s="45" t="s">
        <v>1976</v>
      </c>
      <c r="V2857" s="45" t="s">
        <v>1382</v>
      </c>
      <c r="W2857" s="45" t="s">
        <v>1717</v>
      </c>
      <c r="X2857" s="45" t="s">
        <v>1382</v>
      </c>
      <c r="Y2857" s="45" t="s">
        <v>1382</v>
      </c>
      <c r="AA2857" s="325">
        <v>27</v>
      </c>
      <c r="AB2857" s="325">
        <v>26</v>
      </c>
      <c r="AC2857" s="22" t="s">
        <v>796</v>
      </c>
      <c r="AD2857" s="22">
        <v>5.4</v>
      </c>
      <c r="AE2857" s="22">
        <v>0.161</v>
      </c>
      <c r="AH2857" s="22" t="s">
        <v>2916</v>
      </c>
      <c r="AI2857" s="22" t="s">
        <v>2923</v>
      </c>
      <c r="AJ2857" s="22" t="s">
        <v>1645</v>
      </c>
      <c r="AK2857" s="22" t="s">
        <v>132</v>
      </c>
      <c r="AW2857" s="22" t="s">
        <v>2780</v>
      </c>
      <c r="AX2857" s="22">
        <v>4</v>
      </c>
      <c r="AZ2857" s="22" t="s">
        <v>141</v>
      </c>
      <c r="BB2857" s="22">
        <f>2300+1170</f>
        <v>3470</v>
      </c>
      <c r="BD2857" s="22">
        <f>BB2857/85</f>
        <v>40.823529411764703</v>
      </c>
      <c r="BF2857" s="22">
        <v>1890</v>
      </c>
      <c r="BG2857" s="22">
        <v>3790</v>
      </c>
      <c r="BK2857" s="22">
        <v>1600</v>
      </c>
      <c r="BL2857" s="22">
        <v>4190</v>
      </c>
      <c r="BP2857" s="399"/>
      <c r="BQ2857" s="399"/>
      <c r="BU2857" s="399"/>
      <c r="BV2857" s="399"/>
      <c r="BZ2857" s="399"/>
      <c r="CA2857" s="399"/>
      <c r="CE2857" s="552"/>
      <c r="CF2857" s="552"/>
      <c r="CG2857" s="552"/>
      <c r="CH2857" s="552"/>
      <c r="CJ2857" s="22">
        <f t="shared" si="393"/>
        <v>22.666666666666668</v>
      </c>
      <c r="CK2857" s="22">
        <f>AVERAGE(41,25,20)</f>
        <v>28.666666666666668</v>
      </c>
      <c r="CN2857" s="22" t="s">
        <v>2925</v>
      </c>
      <c r="FV2857" s="22">
        <v>86</v>
      </c>
      <c r="FW2857" s="22">
        <v>64</v>
      </c>
      <c r="FZ2857" s="22" t="s">
        <v>2924</v>
      </c>
      <c r="JD2857" s="276"/>
    </row>
    <row r="2858" spans="1:264" s="22" customFormat="1" x14ac:dyDescent="0.25">
      <c r="A2858" s="22">
        <v>133</v>
      </c>
      <c r="B2858" s="45" t="s">
        <v>3251</v>
      </c>
      <c r="C2858" s="22" t="s">
        <v>2909</v>
      </c>
      <c r="D2858" s="22" t="s">
        <v>2910</v>
      </c>
      <c r="E2858" s="22">
        <v>2005</v>
      </c>
      <c r="F2858" s="45" t="s">
        <v>1976</v>
      </c>
      <c r="G2858" s="22" t="s">
        <v>2911</v>
      </c>
      <c r="H2858" s="22" t="s">
        <v>2912</v>
      </c>
      <c r="I2858" s="22" t="s">
        <v>2836</v>
      </c>
      <c r="J2858" s="22">
        <v>0.01</v>
      </c>
      <c r="K2858" s="22">
        <f t="shared" si="392"/>
        <v>34.56666666666667</v>
      </c>
      <c r="L2858" s="22">
        <v>1420</v>
      </c>
      <c r="P2858" s="22">
        <v>1800</v>
      </c>
      <c r="R2858" s="45" t="s">
        <v>1977</v>
      </c>
      <c r="S2858" s="45" t="s">
        <v>1977</v>
      </c>
      <c r="T2858" s="45"/>
      <c r="U2858" s="45" t="s">
        <v>1976</v>
      </c>
      <c r="V2858" s="45" t="s">
        <v>1382</v>
      </c>
      <c r="W2858" s="45" t="s">
        <v>1717</v>
      </c>
      <c r="X2858" s="45" t="s">
        <v>1382</v>
      </c>
      <c r="Y2858" s="45" t="s">
        <v>1382</v>
      </c>
      <c r="AA2858" s="325">
        <v>27</v>
      </c>
      <c r="AB2858" s="325">
        <v>26</v>
      </c>
      <c r="AC2858" s="22" t="s">
        <v>796</v>
      </c>
      <c r="AD2858" s="22">
        <v>5.4</v>
      </c>
      <c r="AE2858" s="22">
        <v>0.161</v>
      </c>
      <c r="AH2858" s="22" t="s">
        <v>2917</v>
      </c>
      <c r="AI2858" s="22" t="s">
        <v>577</v>
      </c>
      <c r="AJ2858" s="22" t="s">
        <v>1645</v>
      </c>
      <c r="AK2858" s="22" t="s">
        <v>132</v>
      </c>
      <c r="AW2858" s="22" t="s">
        <v>2780</v>
      </c>
      <c r="AX2858" s="22">
        <v>4</v>
      </c>
      <c r="AZ2858" s="22" t="s">
        <v>141</v>
      </c>
      <c r="BB2858" s="22">
        <f>1690+1060</f>
        <v>2750</v>
      </c>
      <c r="BD2858" s="22">
        <f>BB2858/74</f>
        <v>37.162162162162161</v>
      </c>
      <c r="BF2858" s="22">
        <v>1890</v>
      </c>
      <c r="BG2858" s="22">
        <v>3350</v>
      </c>
      <c r="BK2858" s="22">
        <v>1600</v>
      </c>
      <c r="BL2858" s="22">
        <v>1830</v>
      </c>
      <c r="BP2858" s="399"/>
      <c r="BQ2858" s="399"/>
      <c r="BU2858" s="399"/>
      <c r="BV2858" s="399"/>
      <c r="BZ2858" s="399"/>
      <c r="CA2858" s="399"/>
      <c r="CE2858" s="552"/>
      <c r="CF2858" s="552"/>
      <c r="CG2858" s="552"/>
      <c r="CH2858" s="552"/>
      <c r="CJ2858" s="22">
        <f t="shared" si="393"/>
        <v>22.666666666666668</v>
      </c>
      <c r="CK2858" s="22">
        <f>AVERAGE(31,21,17)</f>
        <v>23</v>
      </c>
      <c r="CN2858" s="22" t="s">
        <v>2925</v>
      </c>
      <c r="FV2858" s="22">
        <v>86</v>
      </c>
      <c r="FW2858" s="22">
        <v>56</v>
      </c>
      <c r="FZ2858" s="22" t="s">
        <v>2924</v>
      </c>
      <c r="JD2858" s="276"/>
    </row>
    <row r="2859" spans="1:264" s="22" customFormat="1" x14ac:dyDescent="0.25">
      <c r="A2859" s="22">
        <v>133</v>
      </c>
      <c r="B2859" s="45" t="s">
        <v>3251</v>
      </c>
      <c r="C2859" s="22" t="s">
        <v>2909</v>
      </c>
      <c r="D2859" s="22" t="s">
        <v>2910</v>
      </c>
      <c r="E2859" s="22">
        <v>2005</v>
      </c>
      <c r="F2859" s="45" t="s">
        <v>1976</v>
      </c>
      <c r="G2859" s="22" t="s">
        <v>2911</v>
      </c>
      <c r="H2859" s="22" t="s">
        <v>2912</v>
      </c>
      <c r="I2859" s="22" t="s">
        <v>2836</v>
      </c>
      <c r="J2859" s="22">
        <v>0.01</v>
      </c>
      <c r="K2859" s="22">
        <f t="shared" si="392"/>
        <v>34.56666666666667</v>
      </c>
      <c r="L2859" s="22">
        <v>1420</v>
      </c>
      <c r="P2859" s="22">
        <v>1800</v>
      </c>
      <c r="R2859" s="45" t="s">
        <v>1977</v>
      </c>
      <c r="S2859" s="45" t="s">
        <v>1977</v>
      </c>
      <c r="T2859" s="45"/>
      <c r="U2859" s="45" t="s">
        <v>1976</v>
      </c>
      <c r="V2859" s="45" t="s">
        <v>1382</v>
      </c>
      <c r="W2859" s="45" t="s">
        <v>1717</v>
      </c>
      <c r="X2859" s="45" t="s">
        <v>1382</v>
      </c>
      <c r="Y2859" s="45" t="s">
        <v>1382</v>
      </c>
      <c r="AA2859" s="325">
        <v>27</v>
      </c>
      <c r="AB2859" s="325">
        <v>26</v>
      </c>
      <c r="AC2859" s="22" t="s">
        <v>796</v>
      </c>
      <c r="AD2859" s="22">
        <v>5.4</v>
      </c>
      <c r="AE2859" s="22">
        <v>0.161</v>
      </c>
      <c r="AH2859" s="22" t="s">
        <v>2918</v>
      </c>
      <c r="AI2859" s="22" t="s">
        <v>577</v>
      </c>
      <c r="AJ2859" s="22" t="s">
        <v>1645</v>
      </c>
      <c r="AK2859" s="22" t="s">
        <v>132</v>
      </c>
      <c r="AW2859" s="22" t="s">
        <v>2780</v>
      </c>
      <c r="AX2859" s="22">
        <v>4</v>
      </c>
      <c r="AZ2859" s="22" t="s">
        <v>141</v>
      </c>
      <c r="BB2859" s="22">
        <f>2350+530</f>
        <v>2880</v>
      </c>
      <c r="BD2859" s="22">
        <f>BB2859/101</f>
        <v>28.514851485148515</v>
      </c>
      <c r="BF2859" s="22">
        <v>1890</v>
      </c>
      <c r="BG2859" s="22">
        <v>3360</v>
      </c>
      <c r="BK2859" s="22">
        <v>1600</v>
      </c>
      <c r="BL2859" s="22">
        <v>3880</v>
      </c>
      <c r="BP2859" s="399"/>
      <c r="BQ2859" s="399"/>
      <c r="BU2859" s="399"/>
      <c r="BV2859" s="399"/>
      <c r="BZ2859" s="399"/>
      <c r="CA2859" s="399"/>
      <c r="CE2859" s="552"/>
      <c r="CF2859" s="552"/>
      <c r="CG2859" s="552"/>
      <c r="CH2859" s="552"/>
      <c r="CJ2859" s="22">
        <f t="shared" si="393"/>
        <v>22.666666666666668</v>
      </c>
      <c r="CK2859" s="22">
        <f>AVERAGE(41,39,25)</f>
        <v>35</v>
      </c>
      <c r="CN2859" s="22" t="s">
        <v>2925</v>
      </c>
      <c r="FV2859" s="22">
        <v>86</v>
      </c>
      <c r="FW2859" s="22">
        <v>33</v>
      </c>
      <c r="FZ2859" s="22" t="s">
        <v>2924</v>
      </c>
      <c r="JD2859" s="276"/>
    </row>
    <row r="2860" spans="1:264" s="22" customFormat="1" x14ac:dyDescent="0.25">
      <c r="A2860" s="22">
        <v>133</v>
      </c>
      <c r="B2860" s="45" t="s">
        <v>3251</v>
      </c>
      <c r="C2860" s="22" t="s">
        <v>2909</v>
      </c>
      <c r="D2860" s="22" t="s">
        <v>2910</v>
      </c>
      <c r="E2860" s="22">
        <v>2005</v>
      </c>
      <c r="F2860" s="45" t="s">
        <v>1976</v>
      </c>
      <c r="G2860" s="22" t="s">
        <v>2911</v>
      </c>
      <c r="H2860" s="22" t="s">
        <v>2912</v>
      </c>
      <c r="I2860" s="22" t="s">
        <v>2836</v>
      </c>
      <c r="J2860" s="22">
        <v>0.01</v>
      </c>
      <c r="K2860" s="22">
        <f t="shared" si="392"/>
        <v>34.56666666666667</v>
      </c>
      <c r="L2860" s="22">
        <v>1420</v>
      </c>
      <c r="P2860" s="22">
        <v>1800</v>
      </c>
      <c r="R2860" s="45" t="s">
        <v>1977</v>
      </c>
      <c r="S2860" s="45" t="s">
        <v>1977</v>
      </c>
      <c r="T2860" s="45"/>
      <c r="U2860" s="45" t="s">
        <v>1976</v>
      </c>
      <c r="V2860" s="45" t="s">
        <v>1382</v>
      </c>
      <c r="W2860" s="45" t="s">
        <v>1717</v>
      </c>
      <c r="X2860" s="45" t="s">
        <v>1382</v>
      </c>
      <c r="Y2860" s="45" t="s">
        <v>1382</v>
      </c>
      <c r="AA2860" s="325">
        <v>27</v>
      </c>
      <c r="AB2860" s="325">
        <v>26</v>
      </c>
      <c r="AC2860" s="22" t="s">
        <v>796</v>
      </c>
      <c r="AD2860" s="22">
        <v>5.4</v>
      </c>
      <c r="AE2860" s="22">
        <v>0.161</v>
      </c>
      <c r="AH2860" s="22" t="s">
        <v>2919</v>
      </c>
      <c r="AI2860" s="22" t="s">
        <v>577</v>
      </c>
      <c r="AJ2860" s="22" t="s">
        <v>1645</v>
      </c>
      <c r="AK2860" s="22" t="s">
        <v>132</v>
      </c>
      <c r="AW2860" s="22" t="s">
        <v>2780</v>
      </c>
      <c r="AX2860" s="22">
        <v>4</v>
      </c>
      <c r="AZ2860" s="22" t="s">
        <v>141</v>
      </c>
      <c r="BB2860" s="22">
        <f>1990+400</f>
        <v>2390</v>
      </c>
      <c r="BD2860" s="22">
        <f>BB2860/47</f>
        <v>50.851063829787236</v>
      </c>
      <c r="BF2860" s="22">
        <v>1890</v>
      </c>
      <c r="BG2860" s="22">
        <v>3320</v>
      </c>
      <c r="BK2860" s="22">
        <v>1600</v>
      </c>
      <c r="BL2860" s="22">
        <v>3050</v>
      </c>
      <c r="BP2860" s="399"/>
      <c r="BQ2860" s="399"/>
      <c r="BU2860" s="399"/>
      <c r="BV2860" s="399"/>
      <c r="BZ2860" s="399"/>
      <c r="CA2860" s="399"/>
      <c r="CE2860" s="552"/>
      <c r="CF2860" s="552"/>
      <c r="CG2860" s="552"/>
      <c r="CH2860" s="552"/>
      <c r="CJ2860" s="22">
        <f t="shared" si="393"/>
        <v>22.666666666666668</v>
      </c>
      <c r="CK2860" s="22">
        <f>AVERAGE(38,22,23)</f>
        <v>27.666666666666668</v>
      </c>
      <c r="CN2860" s="22" t="s">
        <v>2925</v>
      </c>
      <c r="FV2860" s="22">
        <v>86</v>
      </c>
      <c r="FW2860" s="22">
        <v>36</v>
      </c>
      <c r="FZ2860" s="22" t="s">
        <v>2924</v>
      </c>
      <c r="JD2860" s="276"/>
    </row>
    <row r="2861" spans="1:264" s="22" customFormat="1" x14ac:dyDescent="0.25">
      <c r="A2861" s="22">
        <v>133</v>
      </c>
      <c r="B2861" s="45" t="s">
        <v>3251</v>
      </c>
      <c r="C2861" s="22" t="s">
        <v>2909</v>
      </c>
      <c r="D2861" s="22" t="s">
        <v>2910</v>
      </c>
      <c r="E2861" s="22">
        <v>2005</v>
      </c>
      <c r="F2861" s="45" t="s">
        <v>1976</v>
      </c>
      <c r="G2861" s="22" t="s">
        <v>2911</v>
      </c>
      <c r="H2861" s="22" t="s">
        <v>2912</v>
      </c>
      <c r="I2861" s="22" t="s">
        <v>2836</v>
      </c>
      <c r="J2861" s="22">
        <v>0.01</v>
      </c>
      <c r="K2861" s="22">
        <f t="shared" si="392"/>
        <v>34.56666666666667</v>
      </c>
      <c r="L2861" s="22">
        <v>1420</v>
      </c>
      <c r="P2861" s="22">
        <v>1800</v>
      </c>
      <c r="R2861" s="45" t="s">
        <v>1977</v>
      </c>
      <c r="S2861" s="45" t="s">
        <v>1977</v>
      </c>
      <c r="T2861" s="45"/>
      <c r="U2861" s="45" t="s">
        <v>1976</v>
      </c>
      <c r="V2861" s="45" t="s">
        <v>1382</v>
      </c>
      <c r="W2861" s="45" t="s">
        <v>1717</v>
      </c>
      <c r="X2861" s="45" t="s">
        <v>1382</v>
      </c>
      <c r="Y2861" s="45" t="s">
        <v>1382</v>
      </c>
      <c r="AA2861" s="325">
        <v>27</v>
      </c>
      <c r="AB2861" s="325">
        <v>26</v>
      </c>
      <c r="AC2861" s="22" t="s">
        <v>796</v>
      </c>
      <c r="AD2861" s="22">
        <v>5.4</v>
      </c>
      <c r="AE2861" s="22">
        <v>0.161</v>
      </c>
      <c r="AH2861" s="22" t="s">
        <v>2920</v>
      </c>
      <c r="AI2861" s="22" t="s">
        <v>577</v>
      </c>
      <c r="AJ2861" s="22" t="s">
        <v>1645</v>
      </c>
      <c r="AK2861" s="22" t="s">
        <v>132</v>
      </c>
      <c r="AW2861" s="22" t="s">
        <v>2780</v>
      </c>
      <c r="AX2861" s="22">
        <v>4</v>
      </c>
      <c r="AZ2861" s="22" t="s">
        <v>141</v>
      </c>
      <c r="BB2861" s="22">
        <f>1330+590</f>
        <v>1920</v>
      </c>
      <c r="BD2861" s="22">
        <f>BB2861/47</f>
        <v>40.851063829787236</v>
      </c>
      <c r="BF2861" s="22">
        <v>1890</v>
      </c>
      <c r="BG2861" s="22">
        <v>3400</v>
      </c>
      <c r="BK2861" s="22">
        <v>1600</v>
      </c>
      <c r="BL2861" s="22">
        <v>2950</v>
      </c>
      <c r="BP2861" s="399"/>
      <c r="BQ2861" s="399"/>
      <c r="BU2861" s="399"/>
      <c r="BV2861" s="399"/>
      <c r="BZ2861" s="399"/>
      <c r="CA2861" s="399"/>
      <c r="CE2861" s="552"/>
      <c r="CF2861" s="552"/>
      <c r="CG2861" s="552"/>
      <c r="CH2861" s="552"/>
      <c r="CJ2861" s="22">
        <f t="shared" si="393"/>
        <v>22.666666666666668</v>
      </c>
      <c r="CK2861" s="22">
        <f>AVERAGE(34,24,18)</f>
        <v>25.333333333333332</v>
      </c>
      <c r="CN2861" s="22" t="s">
        <v>2925</v>
      </c>
      <c r="FV2861" s="22">
        <v>86</v>
      </c>
      <c r="FW2861" s="22">
        <v>39</v>
      </c>
      <c r="FZ2861" s="22" t="s">
        <v>2924</v>
      </c>
      <c r="JD2861" s="276"/>
    </row>
    <row r="2862" spans="1:264" s="22" customFormat="1" x14ac:dyDescent="0.25">
      <c r="A2862" s="22">
        <v>133</v>
      </c>
      <c r="B2862" s="45" t="s">
        <v>3251</v>
      </c>
      <c r="C2862" s="22" t="s">
        <v>2909</v>
      </c>
      <c r="D2862" s="22" t="s">
        <v>2910</v>
      </c>
      <c r="E2862" s="22">
        <v>2005</v>
      </c>
      <c r="F2862" s="45" t="s">
        <v>1976</v>
      </c>
      <c r="G2862" s="22" t="s">
        <v>2911</v>
      </c>
      <c r="H2862" s="22" t="s">
        <v>2912</v>
      </c>
      <c r="I2862" s="22" t="s">
        <v>2836</v>
      </c>
      <c r="J2862" s="22">
        <v>0.01</v>
      </c>
      <c r="K2862" s="22">
        <f t="shared" si="392"/>
        <v>34.56666666666667</v>
      </c>
      <c r="L2862" s="22">
        <v>1420</v>
      </c>
      <c r="P2862" s="22">
        <v>1800</v>
      </c>
      <c r="R2862" s="45" t="s">
        <v>1977</v>
      </c>
      <c r="S2862" s="45" t="s">
        <v>1977</v>
      </c>
      <c r="T2862" s="45"/>
      <c r="U2862" s="45" t="s">
        <v>1976</v>
      </c>
      <c r="V2862" s="45" t="s">
        <v>1382</v>
      </c>
      <c r="W2862" s="45" t="s">
        <v>1717</v>
      </c>
      <c r="X2862" s="45" t="s">
        <v>1382</v>
      </c>
      <c r="Y2862" s="45" t="s">
        <v>1382</v>
      </c>
      <c r="AA2862" s="325">
        <v>27</v>
      </c>
      <c r="AB2862" s="325">
        <v>26</v>
      </c>
      <c r="AC2862" s="22" t="s">
        <v>796</v>
      </c>
      <c r="AD2862" s="22">
        <v>5.4</v>
      </c>
      <c r="AE2862" s="22">
        <v>0.161</v>
      </c>
      <c r="AH2862" s="22" t="s">
        <v>2921</v>
      </c>
      <c r="AI2862" s="22" t="s">
        <v>577</v>
      </c>
      <c r="AJ2862" s="22" t="s">
        <v>1645</v>
      </c>
      <c r="AK2862" s="22" t="s">
        <v>132</v>
      </c>
      <c r="AW2862" s="22" t="s">
        <v>2780</v>
      </c>
      <c r="AX2862" s="22">
        <v>4</v>
      </c>
      <c r="AZ2862" s="22" t="s">
        <v>141</v>
      </c>
      <c r="BB2862" s="22">
        <f>4090+790</f>
        <v>4880</v>
      </c>
      <c r="BD2862" s="22">
        <f>BB2862/103</f>
        <v>47.378640776699029</v>
      </c>
      <c r="BF2862" s="22">
        <v>1890</v>
      </c>
      <c r="BG2862" s="22">
        <v>3300</v>
      </c>
      <c r="BK2862" s="22">
        <v>1600</v>
      </c>
      <c r="BL2862" s="22">
        <v>3790</v>
      </c>
      <c r="BP2862" s="399"/>
      <c r="BQ2862" s="399"/>
      <c r="BU2862" s="399"/>
      <c r="BV2862" s="399"/>
      <c r="BZ2862" s="399"/>
      <c r="CA2862" s="399"/>
      <c r="CE2862" s="552"/>
      <c r="CF2862" s="552"/>
      <c r="CG2862" s="552"/>
      <c r="CH2862" s="552"/>
      <c r="CJ2862" s="22">
        <f t="shared" si="393"/>
        <v>22.666666666666668</v>
      </c>
      <c r="CK2862" s="22">
        <f>AVERAGE(51,46,33)</f>
        <v>43.333333333333336</v>
      </c>
      <c r="CN2862" s="22" t="s">
        <v>2925</v>
      </c>
      <c r="FV2862" s="22">
        <v>86</v>
      </c>
      <c r="FW2862" s="22">
        <v>35</v>
      </c>
      <c r="FZ2862" s="22" t="s">
        <v>2924</v>
      </c>
      <c r="JD2862" s="276"/>
    </row>
    <row r="2863" spans="1:264" s="22" customFormat="1" x14ac:dyDescent="0.25">
      <c r="A2863" s="22">
        <v>133</v>
      </c>
      <c r="B2863" s="45" t="s">
        <v>3251</v>
      </c>
      <c r="C2863" s="22" t="s">
        <v>2909</v>
      </c>
      <c r="D2863" s="22" t="s">
        <v>2910</v>
      </c>
      <c r="E2863" s="22">
        <v>2005</v>
      </c>
      <c r="F2863" s="45" t="s">
        <v>1976</v>
      </c>
      <c r="G2863" s="22" t="s">
        <v>2911</v>
      </c>
      <c r="H2863" s="22" t="s">
        <v>2912</v>
      </c>
      <c r="I2863" s="22" t="s">
        <v>2836</v>
      </c>
      <c r="J2863" s="22">
        <v>0.01</v>
      </c>
      <c r="K2863" s="22">
        <f t="shared" si="392"/>
        <v>34.56666666666667</v>
      </c>
      <c r="L2863" s="22">
        <v>1420</v>
      </c>
      <c r="P2863" s="22">
        <v>1800</v>
      </c>
      <c r="R2863" s="45" t="s">
        <v>1977</v>
      </c>
      <c r="S2863" s="45" t="s">
        <v>1977</v>
      </c>
      <c r="T2863" s="45"/>
      <c r="U2863" s="45" t="s">
        <v>1976</v>
      </c>
      <c r="V2863" s="45" t="s">
        <v>1382</v>
      </c>
      <c r="W2863" s="45" t="s">
        <v>1717</v>
      </c>
      <c r="X2863" s="45" t="s">
        <v>1382</v>
      </c>
      <c r="Y2863" s="45" t="s">
        <v>1382</v>
      </c>
      <c r="AA2863" s="325">
        <v>27</v>
      </c>
      <c r="AB2863" s="325">
        <v>26</v>
      </c>
      <c r="AC2863" s="22" t="s">
        <v>796</v>
      </c>
      <c r="AD2863" s="22">
        <v>5.4</v>
      </c>
      <c r="AE2863" s="22">
        <v>0.161</v>
      </c>
      <c r="AH2863" s="22" t="s">
        <v>2922</v>
      </c>
      <c r="AI2863" s="22" t="s">
        <v>577</v>
      </c>
      <c r="AJ2863" s="22" t="s">
        <v>1645</v>
      </c>
      <c r="AK2863" s="22" t="s">
        <v>132</v>
      </c>
      <c r="AW2863" s="22" t="s">
        <v>2780</v>
      </c>
      <c r="AX2863" s="22">
        <v>4</v>
      </c>
      <c r="AZ2863" s="22" t="s">
        <v>141</v>
      </c>
      <c r="BB2863" s="22">
        <f>2130+740</f>
        <v>2870</v>
      </c>
      <c r="BD2863" s="22">
        <f>BB2863/63</f>
        <v>45.555555555555557</v>
      </c>
      <c r="BF2863" s="22">
        <v>1890</v>
      </c>
      <c r="BG2863" s="22">
        <v>4440</v>
      </c>
      <c r="BK2863" s="22">
        <v>1600</v>
      </c>
      <c r="BL2863" s="22">
        <v>3550</v>
      </c>
      <c r="BP2863" s="399"/>
      <c r="BQ2863" s="399"/>
      <c r="BU2863" s="399"/>
      <c r="BV2863" s="399"/>
      <c r="BZ2863" s="399"/>
      <c r="CA2863" s="399"/>
      <c r="CE2863" s="552"/>
      <c r="CF2863" s="552"/>
      <c r="CG2863" s="552"/>
      <c r="CH2863" s="552"/>
      <c r="CJ2863" s="22">
        <f t="shared" si="393"/>
        <v>22.666666666666668</v>
      </c>
      <c r="CK2863" s="22">
        <f>AVERAGE(38,30,22)</f>
        <v>30</v>
      </c>
      <c r="CN2863" s="22" t="s">
        <v>2925</v>
      </c>
      <c r="FV2863" s="22">
        <v>86</v>
      </c>
      <c r="FW2863" s="22">
        <v>12</v>
      </c>
      <c r="FZ2863" s="22" t="s">
        <v>2924</v>
      </c>
      <c r="JD2863" s="276"/>
    </row>
    <row r="2864" spans="1:264" s="126" customFormat="1" x14ac:dyDescent="0.25">
      <c r="A2864" s="126">
        <v>133</v>
      </c>
      <c r="B2864" s="478" t="s">
        <v>3252</v>
      </c>
      <c r="C2864" s="126" t="s">
        <v>2909</v>
      </c>
      <c r="D2864" s="126" t="s">
        <v>2910</v>
      </c>
      <c r="E2864" s="126">
        <v>2005</v>
      </c>
      <c r="F2864" s="478" t="s">
        <v>2927</v>
      </c>
      <c r="G2864" s="126" t="s">
        <v>2911</v>
      </c>
      <c r="H2864" s="126" t="s">
        <v>2913</v>
      </c>
      <c r="I2864" s="126" t="s">
        <v>2836</v>
      </c>
      <c r="J2864" s="126">
        <v>0.28999999999999998</v>
      </c>
      <c r="K2864" s="126">
        <f t="shared" ref="K2864:K2872" si="394">34+44/60</f>
        <v>34.733333333333334</v>
      </c>
      <c r="L2864" s="126">
        <v>1420</v>
      </c>
      <c r="P2864" s="126">
        <v>1800</v>
      </c>
      <c r="R2864" s="478" t="s">
        <v>1977</v>
      </c>
      <c r="S2864" s="478" t="s">
        <v>1977</v>
      </c>
      <c r="T2864" s="478"/>
      <c r="U2864" s="478" t="s">
        <v>2927</v>
      </c>
      <c r="V2864" s="478" t="s">
        <v>1382</v>
      </c>
      <c r="W2864" s="478" t="s">
        <v>1717</v>
      </c>
      <c r="X2864" s="478" t="s">
        <v>1382</v>
      </c>
      <c r="Y2864" s="478" t="s">
        <v>1382</v>
      </c>
      <c r="AA2864" s="479">
        <v>58</v>
      </c>
      <c r="AB2864" s="479">
        <v>26</v>
      </c>
      <c r="AC2864" s="126" t="s">
        <v>518</v>
      </c>
      <c r="AD2864" s="126">
        <v>5.4</v>
      </c>
      <c r="AE2864" s="126">
        <v>0.14000000000000001</v>
      </c>
      <c r="AH2864" s="126" t="s">
        <v>2921</v>
      </c>
      <c r="AI2864" s="126" t="s">
        <v>577</v>
      </c>
      <c r="AJ2864" s="126" t="s">
        <v>1645</v>
      </c>
      <c r="AK2864" s="126" t="s">
        <v>132</v>
      </c>
      <c r="AW2864" s="126" t="s">
        <v>2780</v>
      </c>
      <c r="AX2864" s="126">
        <v>4</v>
      </c>
      <c r="AZ2864" s="126" t="s">
        <v>141</v>
      </c>
      <c r="BB2864" s="126">
        <v>2860</v>
      </c>
      <c r="BD2864" s="126">
        <f>BB2864/76</f>
        <v>37.631578947368418</v>
      </c>
      <c r="BE2864" s="126" t="s">
        <v>2930</v>
      </c>
      <c r="BF2864" s="126">
        <v>2520</v>
      </c>
      <c r="BG2864" s="126">
        <v>1260</v>
      </c>
      <c r="BK2864" s="126">
        <v>1380</v>
      </c>
      <c r="BL2864" s="126">
        <v>710</v>
      </c>
      <c r="BP2864" s="481"/>
      <c r="BQ2864" s="481"/>
      <c r="BU2864" s="481"/>
      <c r="BV2864" s="481"/>
      <c r="BZ2864" s="481"/>
      <c r="CA2864" s="481"/>
      <c r="CE2864" s="605"/>
      <c r="CF2864" s="605"/>
      <c r="CG2864" s="605"/>
      <c r="CH2864" s="605"/>
      <c r="CJ2864" s="126">
        <f>AVERAGE(14,38,44,49)</f>
        <v>36.25</v>
      </c>
      <c r="CK2864" s="126">
        <f>AVERAGE(43,45,56,71)</f>
        <v>53.75</v>
      </c>
      <c r="CN2864" s="126" t="s">
        <v>2928</v>
      </c>
      <c r="FV2864" s="126">
        <v>157</v>
      </c>
      <c r="FW2864" s="126">
        <v>144</v>
      </c>
      <c r="FZ2864" s="126" t="s">
        <v>2924</v>
      </c>
      <c r="JD2864" s="480"/>
    </row>
    <row r="2865" spans="1:264" s="126" customFormat="1" x14ac:dyDescent="0.25">
      <c r="A2865" s="126">
        <v>133</v>
      </c>
      <c r="B2865" s="478" t="s">
        <v>3252</v>
      </c>
      <c r="C2865" s="126" t="s">
        <v>2909</v>
      </c>
      <c r="D2865" s="126" t="s">
        <v>2910</v>
      </c>
      <c r="E2865" s="126">
        <v>2005</v>
      </c>
      <c r="F2865" s="478" t="s">
        <v>2927</v>
      </c>
      <c r="G2865" s="126" t="s">
        <v>2911</v>
      </c>
      <c r="H2865" s="126" t="s">
        <v>2913</v>
      </c>
      <c r="I2865" s="126" t="s">
        <v>2836</v>
      </c>
      <c r="J2865" s="126">
        <v>0.28999999999999998</v>
      </c>
      <c r="K2865" s="126">
        <f t="shared" si="394"/>
        <v>34.733333333333334</v>
      </c>
      <c r="L2865" s="126">
        <v>1420</v>
      </c>
      <c r="P2865" s="126">
        <v>1800</v>
      </c>
      <c r="R2865" s="478" t="s">
        <v>1977</v>
      </c>
      <c r="S2865" s="478" t="s">
        <v>1977</v>
      </c>
      <c r="T2865" s="478"/>
      <c r="U2865" s="478" t="s">
        <v>2927</v>
      </c>
      <c r="V2865" s="478" t="s">
        <v>1382</v>
      </c>
      <c r="W2865" s="478" t="s">
        <v>1717</v>
      </c>
      <c r="X2865" s="478" t="s">
        <v>1382</v>
      </c>
      <c r="Y2865" s="478" t="s">
        <v>1382</v>
      </c>
      <c r="AA2865" s="479">
        <v>58</v>
      </c>
      <c r="AB2865" s="479">
        <v>26</v>
      </c>
      <c r="AC2865" s="126" t="s">
        <v>518</v>
      </c>
      <c r="AD2865" s="126">
        <v>5.4</v>
      </c>
      <c r="AE2865" s="126">
        <v>0.14000000000000001</v>
      </c>
      <c r="AH2865" s="126" t="s">
        <v>2921</v>
      </c>
      <c r="AI2865" s="126" t="s">
        <v>577</v>
      </c>
      <c r="AJ2865" s="126" t="s">
        <v>1645</v>
      </c>
      <c r="AK2865" s="126" t="s">
        <v>132</v>
      </c>
      <c r="AW2865" s="126" t="s">
        <v>2780</v>
      </c>
      <c r="AX2865" s="126">
        <v>4</v>
      </c>
      <c r="AZ2865" s="126" t="s">
        <v>141</v>
      </c>
      <c r="BB2865" s="126">
        <v>2860</v>
      </c>
      <c r="BD2865" s="126">
        <f t="shared" ref="BD2865:BD2866" si="395">BB2865/76</f>
        <v>37.631578947368418</v>
      </c>
      <c r="BE2865" s="126" t="s">
        <v>2929</v>
      </c>
      <c r="BF2865" s="126">
        <v>2520</v>
      </c>
      <c r="BG2865" s="126">
        <v>2590</v>
      </c>
      <c r="BK2865" s="126">
        <v>1380</v>
      </c>
      <c r="BL2865" s="126">
        <v>1100</v>
      </c>
      <c r="BP2865" s="481"/>
      <c r="BQ2865" s="481"/>
      <c r="BU2865" s="481"/>
      <c r="BV2865" s="481"/>
      <c r="BZ2865" s="481"/>
      <c r="CA2865" s="481"/>
      <c r="CE2865" s="605"/>
      <c r="CF2865" s="605"/>
      <c r="CG2865" s="605"/>
      <c r="CH2865" s="605"/>
      <c r="CJ2865" s="126">
        <f t="shared" ref="CJ2865:CJ2872" si="396">AVERAGE(14,38,44,49)</f>
        <v>36.25</v>
      </c>
      <c r="CK2865" s="126">
        <f>AVERAGE(20,31,46,49)</f>
        <v>36.5</v>
      </c>
      <c r="CN2865" s="126" t="s">
        <v>2928</v>
      </c>
      <c r="FV2865" s="126">
        <v>157</v>
      </c>
      <c r="FW2865" s="126">
        <v>162</v>
      </c>
      <c r="FZ2865" s="126" t="s">
        <v>2924</v>
      </c>
      <c r="JD2865" s="480"/>
    </row>
    <row r="2866" spans="1:264" s="126" customFormat="1" x14ac:dyDescent="0.25">
      <c r="A2866" s="126">
        <v>133</v>
      </c>
      <c r="B2866" s="478" t="s">
        <v>3252</v>
      </c>
      <c r="C2866" s="126" t="s">
        <v>2909</v>
      </c>
      <c r="D2866" s="126" t="s">
        <v>2910</v>
      </c>
      <c r="E2866" s="126">
        <v>2005</v>
      </c>
      <c r="F2866" s="478" t="s">
        <v>2927</v>
      </c>
      <c r="G2866" s="126" t="s">
        <v>2911</v>
      </c>
      <c r="H2866" s="126" t="s">
        <v>2913</v>
      </c>
      <c r="I2866" s="126" t="s">
        <v>2836</v>
      </c>
      <c r="J2866" s="126">
        <v>0.28999999999999998</v>
      </c>
      <c r="K2866" s="126">
        <f t="shared" si="394"/>
        <v>34.733333333333334</v>
      </c>
      <c r="L2866" s="126">
        <v>1420</v>
      </c>
      <c r="P2866" s="126">
        <v>1800</v>
      </c>
      <c r="R2866" s="478" t="s">
        <v>1977</v>
      </c>
      <c r="S2866" s="478" t="s">
        <v>1977</v>
      </c>
      <c r="T2866" s="478"/>
      <c r="U2866" s="478" t="s">
        <v>2927</v>
      </c>
      <c r="V2866" s="478" t="s">
        <v>1382</v>
      </c>
      <c r="W2866" s="478" t="s">
        <v>1717</v>
      </c>
      <c r="X2866" s="478" t="s">
        <v>1382</v>
      </c>
      <c r="Y2866" s="478" t="s">
        <v>1382</v>
      </c>
      <c r="AA2866" s="479">
        <v>58</v>
      </c>
      <c r="AB2866" s="479">
        <v>26</v>
      </c>
      <c r="AC2866" s="126" t="s">
        <v>518</v>
      </c>
      <c r="AD2866" s="126">
        <v>5.4</v>
      </c>
      <c r="AE2866" s="126">
        <v>0.14000000000000001</v>
      </c>
      <c r="AH2866" s="126" t="s">
        <v>2921</v>
      </c>
      <c r="AI2866" s="126" t="s">
        <v>577</v>
      </c>
      <c r="AJ2866" s="126" t="s">
        <v>1645</v>
      </c>
      <c r="AK2866" s="126" t="s">
        <v>132</v>
      </c>
      <c r="AW2866" s="126" t="s">
        <v>2780</v>
      </c>
      <c r="AX2866" s="126">
        <v>4</v>
      </c>
      <c r="AZ2866" s="126" t="s">
        <v>141</v>
      </c>
      <c r="BB2866" s="126">
        <v>2860</v>
      </c>
      <c r="BD2866" s="126">
        <f t="shared" si="395"/>
        <v>37.631578947368418</v>
      </c>
      <c r="BE2866" s="126" t="s">
        <v>2931</v>
      </c>
      <c r="BF2866" s="126">
        <v>2520</v>
      </c>
      <c r="BG2866" s="126">
        <v>3040</v>
      </c>
      <c r="BK2866" s="126">
        <v>1380</v>
      </c>
      <c r="BL2866" s="126">
        <v>1240</v>
      </c>
      <c r="BP2866" s="481"/>
      <c r="BQ2866" s="481"/>
      <c r="BU2866" s="481"/>
      <c r="BV2866" s="481"/>
      <c r="BZ2866" s="481"/>
      <c r="CA2866" s="481"/>
      <c r="CE2866" s="605"/>
      <c r="CF2866" s="605"/>
      <c r="CG2866" s="605"/>
      <c r="CH2866" s="605"/>
      <c r="CJ2866" s="126">
        <f t="shared" si="396"/>
        <v>36.25</v>
      </c>
      <c r="CK2866" s="126">
        <f>AVERAGE(18,32,54,61)</f>
        <v>41.25</v>
      </c>
      <c r="CN2866" s="126" t="s">
        <v>2928</v>
      </c>
      <c r="FV2866" s="126">
        <v>157</v>
      </c>
      <c r="FW2866" s="126">
        <v>105</v>
      </c>
      <c r="FZ2866" s="126" t="s">
        <v>2924</v>
      </c>
      <c r="JD2866" s="480"/>
    </row>
    <row r="2867" spans="1:264" s="126" customFormat="1" x14ac:dyDescent="0.25">
      <c r="A2867" s="126">
        <v>133</v>
      </c>
      <c r="B2867" s="478" t="s">
        <v>3252</v>
      </c>
      <c r="C2867" s="126" t="s">
        <v>2909</v>
      </c>
      <c r="D2867" s="126" t="s">
        <v>2910</v>
      </c>
      <c r="E2867" s="126">
        <v>2005</v>
      </c>
      <c r="F2867" s="478" t="s">
        <v>2927</v>
      </c>
      <c r="G2867" s="126" t="s">
        <v>2911</v>
      </c>
      <c r="H2867" s="126" t="s">
        <v>2913</v>
      </c>
      <c r="I2867" s="126" t="s">
        <v>2836</v>
      </c>
      <c r="J2867" s="126">
        <v>0.28999999999999998</v>
      </c>
      <c r="K2867" s="126">
        <f t="shared" si="394"/>
        <v>34.733333333333334</v>
      </c>
      <c r="L2867" s="126">
        <v>1420</v>
      </c>
      <c r="P2867" s="126">
        <v>1800</v>
      </c>
      <c r="R2867" s="478" t="s">
        <v>1977</v>
      </c>
      <c r="S2867" s="478" t="s">
        <v>1977</v>
      </c>
      <c r="T2867" s="478"/>
      <c r="U2867" s="478" t="s">
        <v>2927</v>
      </c>
      <c r="V2867" s="478" t="s">
        <v>1382</v>
      </c>
      <c r="W2867" s="478" t="s">
        <v>1717</v>
      </c>
      <c r="X2867" s="478" t="s">
        <v>1382</v>
      </c>
      <c r="Y2867" s="478" t="s">
        <v>1382</v>
      </c>
      <c r="AA2867" s="479">
        <v>58</v>
      </c>
      <c r="AB2867" s="479">
        <v>26</v>
      </c>
      <c r="AC2867" s="126" t="s">
        <v>518</v>
      </c>
      <c r="AD2867" s="126">
        <v>5.4</v>
      </c>
      <c r="AE2867" s="126">
        <v>0.14000000000000001</v>
      </c>
      <c r="AH2867" s="126" t="s">
        <v>2926</v>
      </c>
      <c r="AI2867" s="126" t="s">
        <v>577</v>
      </c>
      <c r="AJ2867" s="126" t="s">
        <v>1645</v>
      </c>
      <c r="AK2867" s="126" t="s">
        <v>132</v>
      </c>
      <c r="AW2867" s="126" t="s">
        <v>2780</v>
      </c>
      <c r="AX2867" s="126">
        <v>4</v>
      </c>
      <c r="AZ2867" s="126" t="s">
        <v>141</v>
      </c>
      <c r="BB2867" s="126">
        <v>1840</v>
      </c>
      <c r="BD2867" s="126">
        <f>BB2867/66</f>
        <v>27.878787878787879</v>
      </c>
      <c r="BE2867" s="126" t="s">
        <v>2930</v>
      </c>
      <c r="BF2867" s="126">
        <v>2520</v>
      </c>
      <c r="BG2867" s="126">
        <v>1330</v>
      </c>
      <c r="BK2867" s="126">
        <v>1380</v>
      </c>
      <c r="BL2867" s="126">
        <v>460</v>
      </c>
      <c r="BP2867" s="481"/>
      <c r="BQ2867" s="481"/>
      <c r="BU2867" s="481"/>
      <c r="BV2867" s="481"/>
      <c r="BZ2867" s="481"/>
      <c r="CA2867" s="481"/>
      <c r="CE2867" s="605"/>
      <c r="CF2867" s="605"/>
      <c r="CG2867" s="605"/>
      <c r="CH2867" s="605"/>
      <c r="CJ2867" s="126">
        <f t="shared" si="396"/>
        <v>36.25</v>
      </c>
      <c r="CK2867" s="126">
        <f>AVERAGE(38,43,57,60)</f>
        <v>49.5</v>
      </c>
      <c r="CN2867" s="126" t="s">
        <v>2928</v>
      </c>
      <c r="FV2867" s="126">
        <v>157</v>
      </c>
      <c r="FW2867" s="126">
        <v>166</v>
      </c>
      <c r="FZ2867" s="126" t="s">
        <v>2924</v>
      </c>
      <c r="JD2867" s="480"/>
    </row>
    <row r="2868" spans="1:264" s="126" customFormat="1" x14ac:dyDescent="0.25">
      <c r="A2868" s="126">
        <v>133</v>
      </c>
      <c r="B2868" s="478" t="s">
        <v>3252</v>
      </c>
      <c r="C2868" s="126" t="s">
        <v>2909</v>
      </c>
      <c r="D2868" s="126" t="s">
        <v>2910</v>
      </c>
      <c r="E2868" s="126">
        <v>2005</v>
      </c>
      <c r="F2868" s="478" t="s">
        <v>2927</v>
      </c>
      <c r="G2868" s="126" t="s">
        <v>2911</v>
      </c>
      <c r="H2868" s="126" t="s">
        <v>2913</v>
      </c>
      <c r="I2868" s="126" t="s">
        <v>2836</v>
      </c>
      <c r="J2868" s="126">
        <v>0.28999999999999998</v>
      </c>
      <c r="K2868" s="126">
        <f t="shared" si="394"/>
        <v>34.733333333333334</v>
      </c>
      <c r="L2868" s="126">
        <v>1420</v>
      </c>
      <c r="P2868" s="126">
        <v>1800</v>
      </c>
      <c r="R2868" s="478" t="s">
        <v>1977</v>
      </c>
      <c r="S2868" s="478" t="s">
        <v>1977</v>
      </c>
      <c r="T2868" s="478"/>
      <c r="U2868" s="478" t="s">
        <v>2927</v>
      </c>
      <c r="V2868" s="478" t="s">
        <v>1382</v>
      </c>
      <c r="W2868" s="478" t="s">
        <v>1717</v>
      </c>
      <c r="X2868" s="478" t="s">
        <v>1382</v>
      </c>
      <c r="Y2868" s="478" t="s">
        <v>1382</v>
      </c>
      <c r="AA2868" s="479">
        <v>58</v>
      </c>
      <c r="AB2868" s="479">
        <v>26</v>
      </c>
      <c r="AC2868" s="126" t="s">
        <v>518</v>
      </c>
      <c r="AD2868" s="126">
        <v>5.4</v>
      </c>
      <c r="AE2868" s="126">
        <v>0.14000000000000001</v>
      </c>
      <c r="AH2868" s="126" t="s">
        <v>2926</v>
      </c>
      <c r="AI2868" s="126" t="s">
        <v>577</v>
      </c>
      <c r="AJ2868" s="126" t="s">
        <v>1645</v>
      </c>
      <c r="AK2868" s="126" t="s">
        <v>132</v>
      </c>
      <c r="AW2868" s="126" t="s">
        <v>2780</v>
      </c>
      <c r="AX2868" s="126">
        <v>4</v>
      </c>
      <c r="AZ2868" s="126" t="s">
        <v>141</v>
      </c>
      <c r="BB2868" s="126">
        <v>1840</v>
      </c>
      <c r="BD2868" s="126">
        <f t="shared" ref="BD2868:BD2869" si="397">BB2868/66</f>
        <v>27.878787878787879</v>
      </c>
      <c r="BE2868" s="126" t="s">
        <v>2929</v>
      </c>
      <c r="BF2868" s="126">
        <v>2520</v>
      </c>
      <c r="BG2868" s="126">
        <v>3170</v>
      </c>
      <c r="BK2868" s="126">
        <v>1380</v>
      </c>
      <c r="BL2868" s="126">
        <v>1530</v>
      </c>
      <c r="BP2868" s="481"/>
      <c r="BQ2868" s="481"/>
      <c r="BU2868" s="481"/>
      <c r="BV2868" s="481"/>
      <c r="BZ2868" s="481"/>
      <c r="CA2868" s="481"/>
      <c r="CE2868" s="605"/>
      <c r="CF2868" s="605"/>
      <c r="CG2868" s="605"/>
      <c r="CH2868" s="605"/>
      <c r="CJ2868" s="126">
        <f t="shared" si="396"/>
        <v>36.25</v>
      </c>
      <c r="CK2868" s="126">
        <f>AVERAGE(32,36,48,39)</f>
        <v>38.75</v>
      </c>
      <c r="CN2868" s="126" t="s">
        <v>2928</v>
      </c>
      <c r="FV2868" s="126">
        <v>157</v>
      </c>
      <c r="FW2868" s="126">
        <v>82</v>
      </c>
      <c r="FZ2868" s="126" t="s">
        <v>2924</v>
      </c>
      <c r="JD2868" s="480"/>
    </row>
    <row r="2869" spans="1:264" s="126" customFormat="1" x14ac:dyDescent="0.25">
      <c r="A2869" s="126">
        <v>133</v>
      </c>
      <c r="B2869" s="478" t="s">
        <v>3252</v>
      </c>
      <c r="C2869" s="126" t="s">
        <v>2909</v>
      </c>
      <c r="D2869" s="126" t="s">
        <v>2910</v>
      </c>
      <c r="E2869" s="126">
        <v>2005</v>
      </c>
      <c r="F2869" s="478" t="s">
        <v>2927</v>
      </c>
      <c r="G2869" s="126" t="s">
        <v>2911</v>
      </c>
      <c r="H2869" s="126" t="s">
        <v>2913</v>
      </c>
      <c r="I2869" s="126" t="s">
        <v>2836</v>
      </c>
      <c r="J2869" s="126">
        <v>0.28999999999999998</v>
      </c>
      <c r="K2869" s="126">
        <f t="shared" si="394"/>
        <v>34.733333333333334</v>
      </c>
      <c r="L2869" s="126">
        <v>1420</v>
      </c>
      <c r="P2869" s="126">
        <v>1800</v>
      </c>
      <c r="R2869" s="478" t="s">
        <v>1977</v>
      </c>
      <c r="S2869" s="478" t="s">
        <v>1977</v>
      </c>
      <c r="T2869" s="478"/>
      <c r="U2869" s="478" t="s">
        <v>2927</v>
      </c>
      <c r="V2869" s="478" t="s">
        <v>1382</v>
      </c>
      <c r="W2869" s="478" t="s">
        <v>1717</v>
      </c>
      <c r="X2869" s="478" t="s">
        <v>1382</v>
      </c>
      <c r="Y2869" s="478" t="s">
        <v>1382</v>
      </c>
      <c r="AA2869" s="479">
        <v>58</v>
      </c>
      <c r="AB2869" s="479">
        <v>26</v>
      </c>
      <c r="AC2869" s="126" t="s">
        <v>518</v>
      </c>
      <c r="AD2869" s="126">
        <v>5.4</v>
      </c>
      <c r="AE2869" s="126">
        <v>0.14000000000000001</v>
      </c>
      <c r="AH2869" s="126" t="s">
        <v>2926</v>
      </c>
      <c r="AI2869" s="126" t="s">
        <v>577</v>
      </c>
      <c r="AJ2869" s="126" t="s">
        <v>1645</v>
      </c>
      <c r="AK2869" s="126" t="s">
        <v>132</v>
      </c>
      <c r="AW2869" s="126" t="s">
        <v>2780</v>
      </c>
      <c r="AX2869" s="126">
        <v>4</v>
      </c>
      <c r="AZ2869" s="126" t="s">
        <v>141</v>
      </c>
      <c r="BB2869" s="126">
        <v>1840</v>
      </c>
      <c r="BD2869" s="126">
        <f t="shared" si="397"/>
        <v>27.878787878787879</v>
      </c>
      <c r="BE2869" s="126" t="s">
        <v>2931</v>
      </c>
      <c r="BF2869" s="126">
        <v>2520</v>
      </c>
      <c r="BG2869" s="126">
        <v>3500</v>
      </c>
      <c r="BK2869" s="126">
        <v>1380</v>
      </c>
      <c r="BL2869" s="126">
        <v>2350</v>
      </c>
      <c r="BP2869" s="481"/>
      <c r="BQ2869" s="481"/>
      <c r="BU2869" s="481"/>
      <c r="BV2869" s="481"/>
      <c r="BZ2869" s="481"/>
      <c r="CA2869" s="481"/>
      <c r="CE2869" s="605"/>
      <c r="CF2869" s="605"/>
      <c r="CG2869" s="605"/>
      <c r="CH2869" s="605"/>
      <c r="CJ2869" s="126">
        <f t="shared" si="396"/>
        <v>36.25</v>
      </c>
      <c r="CK2869" s="126">
        <f>AVERAGE(29,39,51,47)</f>
        <v>41.5</v>
      </c>
      <c r="CN2869" s="126" t="s">
        <v>2928</v>
      </c>
      <c r="FV2869" s="126">
        <v>157</v>
      </c>
      <c r="FW2869" s="126">
        <v>104</v>
      </c>
      <c r="FZ2869" s="126" t="s">
        <v>2924</v>
      </c>
      <c r="JD2869" s="480"/>
    </row>
    <row r="2870" spans="1:264" s="126" customFormat="1" x14ac:dyDescent="0.25">
      <c r="A2870" s="126">
        <v>133</v>
      </c>
      <c r="B2870" s="478" t="s">
        <v>3252</v>
      </c>
      <c r="C2870" s="126" t="s">
        <v>2909</v>
      </c>
      <c r="D2870" s="126" t="s">
        <v>2910</v>
      </c>
      <c r="E2870" s="126">
        <v>2005</v>
      </c>
      <c r="F2870" s="478" t="s">
        <v>2927</v>
      </c>
      <c r="G2870" s="126" t="s">
        <v>2911</v>
      </c>
      <c r="H2870" s="126" t="s">
        <v>2913</v>
      </c>
      <c r="I2870" s="126" t="s">
        <v>2836</v>
      </c>
      <c r="J2870" s="126">
        <v>0.28999999999999998</v>
      </c>
      <c r="K2870" s="126">
        <f t="shared" si="394"/>
        <v>34.733333333333334</v>
      </c>
      <c r="L2870" s="126">
        <v>1420</v>
      </c>
      <c r="P2870" s="126">
        <v>1800</v>
      </c>
      <c r="R2870" s="478" t="s">
        <v>1977</v>
      </c>
      <c r="S2870" s="478" t="s">
        <v>1977</v>
      </c>
      <c r="T2870" s="478"/>
      <c r="U2870" s="478" t="s">
        <v>2927</v>
      </c>
      <c r="V2870" s="478" t="s">
        <v>1382</v>
      </c>
      <c r="W2870" s="478" t="s">
        <v>1717</v>
      </c>
      <c r="X2870" s="478" t="s">
        <v>1382</v>
      </c>
      <c r="Y2870" s="478" t="s">
        <v>1382</v>
      </c>
      <c r="AA2870" s="479">
        <v>58</v>
      </c>
      <c r="AB2870" s="479">
        <v>26</v>
      </c>
      <c r="AC2870" s="126" t="s">
        <v>518</v>
      </c>
      <c r="AD2870" s="126">
        <v>5.4</v>
      </c>
      <c r="AE2870" s="126">
        <v>0.14000000000000001</v>
      </c>
      <c r="AH2870" s="126" t="s">
        <v>2918</v>
      </c>
      <c r="AI2870" s="126" t="s">
        <v>577</v>
      </c>
      <c r="AJ2870" s="126" t="s">
        <v>1645</v>
      </c>
      <c r="AK2870" s="126" t="s">
        <v>132</v>
      </c>
      <c r="AW2870" s="126" t="s">
        <v>2780</v>
      </c>
      <c r="AX2870" s="126">
        <v>4</v>
      </c>
      <c r="AZ2870" s="126" t="s">
        <v>141</v>
      </c>
      <c r="BB2870" s="126">
        <v>2510</v>
      </c>
      <c r="BD2870" s="126">
        <f>BB2870/61</f>
        <v>41.147540983606561</v>
      </c>
      <c r="BE2870" s="126" t="s">
        <v>2930</v>
      </c>
      <c r="BF2870" s="126">
        <v>2520</v>
      </c>
      <c r="BG2870" s="126">
        <v>2790</v>
      </c>
      <c r="BK2870" s="126">
        <v>1380</v>
      </c>
      <c r="BL2870" s="126">
        <v>970</v>
      </c>
      <c r="BP2870" s="481"/>
      <c r="BQ2870" s="481"/>
      <c r="BU2870" s="481"/>
      <c r="BV2870" s="481"/>
      <c r="BZ2870" s="481"/>
      <c r="CA2870" s="481"/>
      <c r="CE2870" s="605"/>
      <c r="CF2870" s="605"/>
      <c r="CG2870" s="605"/>
      <c r="CH2870" s="605"/>
      <c r="CJ2870" s="126">
        <f t="shared" si="396"/>
        <v>36.25</v>
      </c>
      <c r="CK2870" s="126">
        <f>AVERAGE(28,36,50,79)</f>
        <v>48.25</v>
      </c>
      <c r="CN2870" s="126" t="s">
        <v>2928</v>
      </c>
      <c r="FV2870" s="126">
        <v>157</v>
      </c>
      <c r="FW2870" s="126">
        <v>133</v>
      </c>
      <c r="FZ2870" s="126" t="s">
        <v>2924</v>
      </c>
      <c r="JD2870" s="480"/>
    </row>
    <row r="2871" spans="1:264" s="126" customFormat="1" x14ac:dyDescent="0.25">
      <c r="A2871" s="126">
        <v>133</v>
      </c>
      <c r="B2871" s="478" t="s">
        <v>3252</v>
      </c>
      <c r="C2871" s="126" t="s">
        <v>2909</v>
      </c>
      <c r="D2871" s="126" t="s">
        <v>2910</v>
      </c>
      <c r="E2871" s="126">
        <v>2005</v>
      </c>
      <c r="F2871" s="478" t="s">
        <v>2927</v>
      </c>
      <c r="G2871" s="126" t="s">
        <v>2911</v>
      </c>
      <c r="H2871" s="126" t="s">
        <v>2913</v>
      </c>
      <c r="I2871" s="126" t="s">
        <v>2836</v>
      </c>
      <c r="J2871" s="126">
        <v>0.28999999999999998</v>
      </c>
      <c r="K2871" s="126">
        <f t="shared" si="394"/>
        <v>34.733333333333334</v>
      </c>
      <c r="L2871" s="126">
        <v>1420</v>
      </c>
      <c r="P2871" s="126">
        <v>1800</v>
      </c>
      <c r="R2871" s="478" t="s">
        <v>1977</v>
      </c>
      <c r="S2871" s="478" t="s">
        <v>1977</v>
      </c>
      <c r="T2871" s="478"/>
      <c r="U2871" s="478" t="s">
        <v>2927</v>
      </c>
      <c r="V2871" s="478" t="s">
        <v>1382</v>
      </c>
      <c r="W2871" s="478" t="s">
        <v>1717</v>
      </c>
      <c r="X2871" s="478" t="s">
        <v>1382</v>
      </c>
      <c r="Y2871" s="478" t="s">
        <v>1382</v>
      </c>
      <c r="AA2871" s="479">
        <v>58</v>
      </c>
      <c r="AB2871" s="479">
        <v>26</v>
      </c>
      <c r="AC2871" s="126" t="s">
        <v>518</v>
      </c>
      <c r="AD2871" s="126">
        <v>5.4</v>
      </c>
      <c r="AE2871" s="126">
        <v>0.14000000000000001</v>
      </c>
      <c r="AH2871" s="126" t="s">
        <v>2918</v>
      </c>
      <c r="AI2871" s="126" t="s">
        <v>577</v>
      </c>
      <c r="AJ2871" s="126" t="s">
        <v>1645</v>
      </c>
      <c r="AK2871" s="126" t="s">
        <v>132</v>
      </c>
      <c r="AW2871" s="126" t="s">
        <v>2780</v>
      </c>
      <c r="AX2871" s="126">
        <v>4</v>
      </c>
      <c r="AZ2871" s="126" t="s">
        <v>141</v>
      </c>
      <c r="BB2871" s="126">
        <v>2510</v>
      </c>
      <c r="BD2871" s="126">
        <f t="shared" ref="BD2871:BD2872" si="398">BB2871/61</f>
        <v>41.147540983606561</v>
      </c>
      <c r="BE2871" s="126" t="s">
        <v>2929</v>
      </c>
      <c r="BF2871" s="126">
        <v>2520</v>
      </c>
      <c r="BG2871" s="126">
        <v>2960</v>
      </c>
      <c r="BK2871" s="126">
        <v>1380</v>
      </c>
      <c r="BL2871" s="126">
        <v>1810</v>
      </c>
      <c r="BP2871" s="481"/>
      <c r="BQ2871" s="481"/>
      <c r="BU2871" s="481"/>
      <c r="BV2871" s="481"/>
      <c r="BZ2871" s="481"/>
      <c r="CA2871" s="481"/>
      <c r="CE2871" s="605"/>
      <c r="CF2871" s="605"/>
      <c r="CG2871" s="605"/>
      <c r="CH2871" s="605"/>
      <c r="CJ2871" s="126">
        <f t="shared" si="396"/>
        <v>36.25</v>
      </c>
      <c r="CK2871" s="126">
        <f>AVERAGE(25,27,41,59)</f>
        <v>38</v>
      </c>
      <c r="CN2871" s="126" t="s">
        <v>2928</v>
      </c>
      <c r="FV2871" s="126">
        <v>157</v>
      </c>
      <c r="FW2871" s="126">
        <v>117</v>
      </c>
      <c r="FZ2871" s="126" t="s">
        <v>2924</v>
      </c>
      <c r="JD2871" s="480"/>
    </row>
    <row r="2872" spans="1:264" s="126" customFormat="1" x14ac:dyDescent="0.25">
      <c r="A2872" s="126">
        <v>133</v>
      </c>
      <c r="B2872" s="478" t="s">
        <v>3252</v>
      </c>
      <c r="C2872" s="126" t="s">
        <v>2909</v>
      </c>
      <c r="D2872" s="126" t="s">
        <v>2910</v>
      </c>
      <c r="E2872" s="126">
        <v>2005</v>
      </c>
      <c r="F2872" s="478" t="s">
        <v>2927</v>
      </c>
      <c r="G2872" s="126" t="s">
        <v>2911</v>
      </c>
      <c r="H2872" s="126" t="s">
        <v>2913</v>
      </c>
      <c r="I2872" s="126" t="s">
        <v>2836</v>
      </c>
      <c r="J2872" s="126">
        <v>0.28999999999999998</v>
      </c>
      <c r="K2872" s="126">
        <f t="shared" si="394"/>
        <v>34.733333333333334</v>
      </c>
      <c r="L2872" s="126">
        <v>1420</v>
      </c>
      <c r="P2872" s="126">
        <v>1800</v>
      </c>
      <c r="R2872" s="478" t="s">
        <v>1977</v>
      </c>
      <c r="S2872" s="478" t="s">
        <v>1977</v>
      </c>
      <c r="T2872" s="478"/>
      <c r="U2872" s="478" t="s">
        <v>2927</v>
      </c>
      <c r="V2872" s="478" t="s">
        <v>1382</v>
      </c>
      <c r="W2872" s="478" t="s">
        <v>1717</v>
      </c>
      <c r="X2872" s="478" t="s">
        <v>1382</v>
      </c>
      <c r="Y2872" s="478" t="s">
        <v>1382</v>
      </c>
      <c r="AA2872" s="479">
        <v>58</v>
      </c>
      <c r="AB2872" s="479">
        <v>26</v>
      </c>
      <c r="AC2872" s="126" t="s">
        <v>518</v>
      </c>
      <c r="AD2872" s="126">
        <v>5.4</v>
      </c>
      <c r="AE2872" s="126">
        <v>0.14000000000000001</v>
      </c>
      <c r="AH2872" s="126" t="s">
        <v>2918</v>
      </c>
      <c r="AI2872" s="126" t="s">
        <v>577</v>
      </c>
      <c r="AJ2872" s="126" t="s">
        <v>1645</v>
      </c>
      <c r="AK2872" s="126" t="s">
        <v>132</v>
      </c>
      <c r="AW2872" s="126" t="s">
        <v>2780</v>
      </c>
      <c r="AX2872" s="126">
        <v>4</v>
      </c>
      <c r="AZ2872" s="126" t="s">
        <v>141</v>
      </c>
      <c r="BB2872" s="126">
        <v>2510</v>
      </c>
      <c r="BD2872" s="126">
        <f t="shared" si="398"/>
        <v>41.147540983606561</v>
      </c>
      <c r="BE2872" s="126" t="s">
        <v>2931</v>
      </c>
      <c r="BF2872" s="126">
        <v>2520</v>
      </c>
      <c r="BG2872" s="126">
        <v>3900</v>
      </c>
      <c r="BK2872" s="126">
        <v>1380</v>
      </c>
      <c r="BL2872" s="126">
        <v>1820</v>
      </c>
      <c r="BP2872" s="481"/>
      <c r="BQ2872" s="481"/>
      <c r="BU2872" s="481"/>
      <c r="BV2872" s="481"/>
      <c r="BZ2872" s="481"/>
      <c r="CA2872" s="481"/>
      <c r="CE2872" s="605"/>
      <c r="CF2872" s="605"/>
      <c r="CG2872" s="605"/>
      <c r="CH2872" s="605"/>
      <c r="CJ2872" s="126">
        <f t="shared" si="396"/>
        <v>36.25</v>
      </c>
      <c r="CK2872" s="126">
        <f>AVERAGE(25,53,42,48)</f>
        <v>42</v>
      </c>
      <c r="CN2872" s="126" t="s">
        <v>2928</v>
      </c>
      <c r="FV2872" s="126">
        <v>157</v>
      </c>
      <c r="FW2872" s="126">
        <v>131</v>
      </c>
      <c r="FZ2872" s="126" t="s">
        <v>2924</v>
      </c>
      <c r="JD2872" s="480"/>
    </row>
    <row r="2873" spans="1:264" s="24" customFormat="1" x14ac:dyDescent="0.25">
      <c r="A2873" s="24">
        <v>134</v>
      </c>
      <c r="B2873" s="42" t="s">
        <v>4375</v>
      </c>
      <c r="C2873" s="24" t="s">
        <v>2932</v>
      </c>
      <c r="D2873" s="24" t="s">
        <v>417</v>
      </c>
      <c r="E2873" s="24">
        <v>1991</v>
      </c>
      <c r="F2873" s="24">
        <v>1988</v>
      </c>
      <c r="G2873" s="24" t="s">
        <v>2933</v>
      </c>
      <c r="H2873" s="24" t="s">
        <v>2934</v>
      </c>
      <c r="I2873" s="24" t="s">
        <v>2823</v>
      </c>
      <c r="J2873" s="24">
        <f>4+51/60</f>
        <v>4.8499999999999996</v>
      </c>
      <c r="K2873" s="24">
        <f>7+3/60</f>
        <v>7.05</v>
      </c>
      <c r="L2873" s="24">
        <v>21.6</v>
      </c>
      <c r="P2873" s="24">
        <v>2400</v>
      </c>
      <c r="R2873" s="42" t="s">
        <v>1728</v>
      </c>
      <c r="S2873" s="42" t="s">
        <v>1728</v>
      </c>
      <c r="T2873" s="42"/>
      <c r="U2873" s="42" t="s">
        <v>2935</v>
      </c>
      <c r="V2873" s="42" t="s">
        <v>1394</v>
      </c>
      <c r="W2873" s="42" t="s">
        <v>1722</v>
      </c>
      <c r="X2873" s="42" t="s">
        <v>1394</v>
      </c>
      <c r="Y2873" s="42" t="s">
        <v>1394</v>
      </c>
      <c r="AA2873" s="321"/>
      <c r="AB2873" s="321"/>
      <c r="AC2873" s="24" t="s">
        <v>139</v>
      </c>
      <c r="AD2873" s="24">
        <v>4.8</v>
      </c>
      <c r="AE2873" s="24">
        <v>1.84</v>
      </c>
      <c r="AG2873" s="24" t="s">
        <v>2936</v>
      </c>
      <c r="AH2873" s="24" t="s">
        <v>2938</v>
      </c>
      <c r="AI2873" s="24" t="s">
        <v>577</v>
      </c>
      <c r="AJ2873" s="24" t="s">
        <v>1645</v>
      </c>
      <c r="AK2873" s="24" t="s">
        <v>132</v>
      </c>
      <c r="AW2873" s="24" t="s">
        <v>2937</v>
      </c>
      <c r="BF2873" s="24">
        <v>1719</v>
      </c>
      <c r="BG2873" s="24">
        <v>1698</v>
      </c>
      <c r="BJ2873" s="24" t="s">
        <v>2941</v>
      </c>
      <c r="BK2873" s="24">
        <v>1217</v>
      </c>
      <c r="BL2873" s="24">
        <v>1071</v>
      </c>
      <c r="BM2873" s="24">
        <v>279</v>
      </c>
      <c r="BN2873" s="24">
        <v>279</v>
      </c>
      <c r="BO2873" s="24" t="s">
        <v>2942</v>
      </c>
      <c r="BP2873" s="395"/>
      <c r="BQ2873" s="395"/>
      <c r="BU2873" s="395">
        <v>1.84</v>
      </c>
      <c r="BV2873" s="395">
        <v>2.21</v>
      </c>
      <c r="BW2873" s="24">
        <v>0.23</v>
      </c>
      <c r="BX2873" s="24">
        <v>0.23</v>
      </c>
      <c r="BY2873" s="24" t="s">
        <v>992</v>
      </c>
      <c r="BZ2873" s="395"/>
      <c r="CA2873" s="395"/>
      <c r="CD2873" s="24" t="s">
        <v>3120</v>
      </c>
      <c r="CE2873" s="548">
        <v>1.84</v>
      </c>
      <c r="CF2873" s="548">
        <v>2.21</v>
      </c>
      <c r="CG2873" s="548">
        <v>0.23</v>
      </c>
      <c r="CH2873" s="548">
        <v>0.23</v>
      </c>
      <c r="CI2873" s="24" t="s">
        <v>4546</v>
      </c>
      <c r="CJ2873" s="24">
        <v>0.16</v>
      </c>
      <c r="CK2873" s="24">
        <v>0.19</v>
      </c>
      <c r="CN2873" s="24" t="s">
        <v>2940</v>
      </c>
      <c r="CT2873" s="24">
        <v>0.23</v>
      </c>
      <c r="CU2873" s="24">
        <v>0.17</v>
      </c>
      <c r="CY2873" s="24">
        <v>4.8</v>
      </c>
      <c r="CZ2873" s="24">
        <v>4.5999999999999996</v>
      </c>
      <c r="DC2873" s="24">
        <f>0.83+0.28+0.23</f>
        <v>1.3399999999999999</v>
      </c>
      <c r="DD2873" s="24">
        <f>0.68+0.2+0.17</f>
        <v>1.05</v>
      </c>
      <c r="DE2873" s="24">
        <v>5.5E-2</v>
      </c>
      <c r="DF2873" s="24">
        <v>5.5E-2</v>
      </c>
      <c r="JD2873" s="249"/>
    </row>
    <row r="2874" spans="1:264" s="24" customFormat="1" x14ac:dyDescent="0.25">
      <c r="A2874" s="24">
        <v>134</v>
      </c>
      <c r="B2874" s="42" t="s">
        <v>4375</v>
      </c>
      <c r="C2874" s="24" t="s">
        <v>2932</v>
      </c>
      <c r="D2874" s="24" t="s">
        <v>417</v>
      </c>
      <c r="E2874" s="24">
        <v>1991</v>
      </c>
      <c r="F2874" s="24">
        <v>1988</v>
      </c>
      <c r="G2874" s="24" t="s">
        <v>2933</v>
      </c>
      <c r="H2874" s="24" t="s">
        <v>2934</v>
      </c>
      <c r="I2874" s="24" t="s">
        <v>2823</v>
      </c>
      <c r="J2874" s="24">
        <f>4+51/60</f>
        <v>4.8499999999999996</v>
      </c>
      <c r="K2874" s="24">
        <f>7+3/60</f>
        <v>7.05</v>
      </c>
      <c r="L2874" s="24">
        <v>21.6</v>
      </c>
      <c r="P2874" s="24">
        <v>2400</v>
      </c>
      <c r="R2874" s="42" t="s">
        <v>1728</v>
      </c>
      <c r="S2874" s="42" t="s">
        <v>1728</v>
      </c>
      <c r="T2874" s="42"/>
      <c r="U2874" s="42" t="s">
        <v>2935</v>
      </c>
      <c r="V2874" s="42" t="s">
        <v>1394</v>
      </c>
      <c r="W2874" s="42" t="s">
        <v>1722</v>
      </c>
      <c r="X2874" s="42" t="s">
        <v>1394</v>
      </c>
      <c r="Y2874" s="42" t="s">
        <v>1394</v>
      </c>
      <c r="AA2874" s="321"/>
      <c r="AB2874" s="321"/>
      <c r="AC2874" s="24" t="s">
        <v>139</v>
      </c>
      <c r="AD2874" s="24">
        <v>4.8</v>
      </c>
      <c r="AE2874" s="24">
        <v>1.84</v>
      </c>
      <c r="AG2874" s="24" t="s">
        <v>2936</v>
      </c>
      <c r="AH2874" s="24" t="s">
        <v>2939</v>
      </c>
      <c r="AI2874" s="24" t="s">
        <v>577</v>
      </c>
      <c r="AJ2874" s="24" t="s">
        <v>1645</v>
      </c>
      <c r="AK2874" s="24" t="s">
        <v>132</v>
      </c>
      <c r="AW2874" s="24" t="s">
        <v>2937</v>
      </c>
      <c r="BF2874" s="24">
        <v>1719</v>
      </c>
      <c r="BG2874" s="24">
        <v>2665</v>
      </c>
      <c r="BJ2874" s="24" t="s">
        <v>2941</v>
      </c>
      <c r="BK2874" s="24">
        <v>1217</v>
      </c>
      <c r="BL2874" s="24">
        <v>2953</v>
      </c>
      <c r="BM2874" s="24">
        <v>279</v>
      </c>
      <c r="BN2874" s="24">
        <v>279</v>
      </c>
      <c r="BO2874" s="24" t="s">
        <v>2942</v>
      </c>
      <c r="BP2874" s="395"/>
      <c r="BQ2874" s="395"/>
      <c r="BU2874" s="395">
        <v>1.84</v>
      </c>
      <c r="BV2874" s="395">
        <v>2.0699999999999998</v>
      </c>
      <c r="BW2874" s="24">
        <v>0.23</v>
      </c>
      <c r="BX2874" s="24">
        <v>0.23</v>
      </c>
      <c r="BY2874" s="24" t="s">
        <v>992</v>
      </c>
      <c r="BZ2874" s="395"/>
      <c r="CA2874" s="395"/>
      <c r="CD2874" s="24" t="s">
        <v>3120</v>
      </c>
      <c r="CE2874" s="548">
        <v>1.84</v>
      </c>
      <c r="CF2874" s="548">
        <v>2.0699999999999998</v>
      </c>
      <c r="CG2874" s="548">
        <v>0.23</v>
      </c>
      <c r="CH2874" s="548">
        <v>0.23</v>
      </c>
      <c r="CI2874" s="24" t="s">
        <v>4546</v>
      </c>
      <c r="CJ2874" s="24">
        <v>0.16</v>
      </c>
      <c r="CK2874" s="24">
        <v>0.18</v>
      </c>
      <c r="CN2874" s="24" t="s">
        <v>2940</v>
      </c>
      <c r="CT2874" s="24">
        <v>0.23</v>
      </c>
      <c r="CU2874" s="24">
        <v>0.18</v>
      </c>
      <c r="CY2874" s="24">
        <v>4.8</v>
      </c>
      <c r="CZ2874" s="24">
        <v>4.5999999999999996</v>
      </c>
      <c r="DC2874" s="24">
        <f>0.83+0.28+0.23</f>
        <v>1.3399999999999999</v>
      </c>
      <c r="DD2874" s="24">
        <f>0.8+0.23+0.18</f>
        <v>1.21</v>
      </c>
      <c r="DE2874" s="24">
        <v>5.5E-2</v>
      </c>
      <c r="DF2874" s="24">
        <v>5.5E-2</v>
      </c>
      <c r="JD2874" s="249"/>
    </row>
    <row r="2875" spans="1:264" s="136" customFormat="1" x14ac:dyDescent="0.25">
      <c r="A2875" s="136">
        <v>134</v>
      </c>
      <c r="B2875" s="137" t="s">
        <v>4376</v>
      </c>
      <c r="C2875" s="136" t="s">
        <v>2932</v>
      </c>
      <c r="D2875" s="136" t="s">
        <v>417</v>
      </c>
      <c r="E2875" s="136">
        <v>1991</v>
      </c>
      <c r="F2875" s="136">
        <v>1988</v>
      </c>
      <c r="G2875" s="136" t="s">
        <v>2933</v>
      </c>
      <c r="H2875" s="136" t="s">
        <v>2934</v>
      </c>
      <c r="I2875" s="136" t="s">
        <v>2823</v>
      </c>
      <c r="J2875" s="136">
        <f>4+51/60</f>
        <v>4.8499999999999996</v>
      </c>
      <c r="K2875" s="136">
        <f>7+3/60</f>
        <v>7.05</v>
      </c>
      <c r="L2875" s="136">
        <v>21.6</v>
      </c>
      <c r="P2875" s="136">
        <v>2400</v>
      </c>
      <c r="R2875" s="137" t="s">
        <v>1728</v>
      </c>
      <c r="S2875" s="137" t="s">
        <v>1728</v>
      </c>
      <c r="T2875" s="137"/>
      <c r="U2875" s="137" t="s">
        <v>2935</v>
      </c>
      <c r="V2875" s="137" t="s">
        <v>1412</v>
      </c>
      <c r="W2875" s="137" t="s">
        <v>1719</v>
      </c>
      <c r="X2875" s="137" t="s">
        <v>1412</v>
      </c>
      <c r="Y2875" s="137" t="s">
        <v>1394</v>
      </c>
      <c r="AA2875" s="357"/>
      <c r="AB2875" s="357"/>
      <c r="AC2875" s="136" t="s">
        <v>139</v>
      </c>
      <c r="AD2875" s="136">
        <v>4.4000000000000004</v>
      </c>
      <c r="AE2875" s="136">
        <v>1</v>
      </c>
      <c r="AG2875" s="136" t="s">
        <v>2936</v>
      </c>
      <c r="AH2875" s="136" t="s">
        <v>2938</v>
      </c>
      <c r="AI2875" s="24" t="s">
        <v>577</v>
      </c>
      <c r="AJ2875" s="24" t="s">
        <v>1645</v>
      </c>
      <c r="AK2875" s="24" t="s">
        <v>132</v>
      </c>
      <c r="AW2875" s="24" t="s">
        <v>2937</v>
      </c>
      <c r="BF2875" s="136">
        <v>1547</v>
      </c>
      <c r="BG2875" s="136">
        <v>1532</v>
      </c>
      <c r="BH2875" s="24"/>
      <c r="BI2875" s="24"/>
      <c r="BJ2875" s="24" t="s">
        <v>2941</v>
      </c>
      <c r="BK2875" s="136">
        <v>693</v>
      </c>
      <c r="BL2875" s="136">
        <v>835</v>
      </c>
      <c r="BO2875" s="136" t="s">
        <v>2943</v>
      </c>
      <c r="BP2875" s="432"/>
      <c r="BQ2875" s="432"/>
      <c r="BU2875" s="432">
        <v>1.1000000000000001</v>
      </c>
      <c r="BV2875" s="432">
        <v>1.2</v>
      </c>
      <c r="BY2875" s="24" t="s">
        <v>992</v>
      </c>
      <c r="BZ2875" s="432"/>
      <c r="CA2875" s="432"/>
      <c r="CD2875" s="24" t="s">
        <v>3120</v>
      </c>
      <c r="CE2875" s="585">
        <v>1.1000000000000001</v>
      </c>
      <c r="CF2875" s="585">
        <v>1.2</v>
      </c>
      <c r="CG2875" s="585"/>
      <c r="CH2875" s="585"/>
      <c r="CI2875" s="24" t="s">
        <v>4546</v>
      </c>
      <c r="CJ2875" s="136">
        <v>0.12</v>
      </c>
      <c r="CK2875" s="136">
        <v>0.19</v>
      </c>
      <c r="CN2875" s="24" t="s">
        <v>2940</v>
      </c>
      <c r="CT2875" s="136">
        <v>0.11</v>
      </c>
      <c r="CU2875" s="136">
        <v>0.09</v>
      </c>
      <c r="CY2875" s="136">
        <v>4.4000000000000004</v>
      </c>
      <c r="CZ2875" s="136">
        <v>4.3</v>
      </c>
      <c r="DC2875" s="136">
        <f>0.35+0.1+0.11</f>
        <v>0.55999999999999994</v>
      </c>
      <c r="DD2875" s="136">
        <f>0.34+0.1+0.09</f>
        <v>0.53</v>
      </c>
      <c r="DE2875" s="136">
        <v>0.1</v>
      </c>
      <c r="DF2875" s="136">
        <v>0.1</v>
      </c>
      <c r="JD2875" s="500"/>
    </row>
    <row r="2876" spans="1:264" s="136" customFormat="1" x14ac:dyDescent="0.25">
      <c r="A2876" s="136">
        <v>134</v>
      </c>
      <c r="B2876" s="137" t="s">
        <v>4376</v>
      </c>
      <c r="C2876" s="136" t="s">
        <v>2932</v>
      </c>
      <c r="D2876" s="136" t="s">
        <v>417</v>
      </c>
      <c r="E2876" s="136">
        <v>1991</v>
      </c>
      <c r="F2876" s="136">
        <v>1988</v>
      </c>
      <c r="G2876" s="136" t="s">
        <v>2933</v>
      </c>
      <c r="H2876" s="136" t="s">
        <v>2934</v>
      </c>
      <c r="I2876" s="136" t="s">
        <v>2823</v>
      </c>
      <c r="J2876" s="136">
        <f>4+51/60</f>
        <v>4.8499999999999996</v>
      </c>
      <c r="K2876" s="136">
        <f>7+3/60</f>
        <v>7.05</v>
      </c>
      <c r="L2876" s="136">
        <v>21.6</v>
      </c>
      <c r="P2876" s="136">
        <v>2400</v>
      </c>
      <c r="R2876" s="137" t="s">
        <v>1728</v>
      </c>
      <c r="S2876" s="137" t="s">
        <v>1728</v>
      </c>
      <c r="T2876" s="137"/>
      <c r="U2876" s="137" t="s">
        <v>2935</v>
      </c>
      <c r="V2876" s="137" t="s">
        <v>1412</v>
      </c>
      <c r="W2876" s="137" t="s">
        <v>1719</v>
      </c>
      <c r="X2876" s="137" t="s">
        <v>1412</v>
      </c>
      <c r="Y2876" s="137" t="s">
        <v>1394</v>
      </c>
      <c r="AA2876" s="357"/>
      <c r="AB2876" s="357"/>
      <c r="AC2876" s="136" t="s">
        <v>139</v>
      </c>
      <c r="AD2876" s="136">
        <v>4.4000000000000004</v>
      </c>
      <c r="AE2876" s="136">
        <v>1</v>
      </c>
      <c r="AG2876" s="136" t="s">
        <v>2936</v>
      </c>
      <c r="AH2876" s="136" t="s">
        <v>2939</v>
      </c>
      <c r="AI2876" s="24" t="s">
        <v>577</v>
      </c>
      <c r="AJ2876" s="24" t="s">
        <v>1645</v>
      </c>
      <c r="AK2876" s="24" t="s">
        <v>132</v>
      </c>
      <c r="AW2876" s="24" t="s">
        <v>2937</v>
      </c>
      <c r="BF2876" s="136">
        <v>1547</v>
      </c>
      <c r="BG2876" s="136">
        <v>2467</v>
      </c>
      <c r="BH2876" s="24"/>
      <c r="BI2876" s="24"/>
      <c r="BJ2876" s="24" t="s">
        <v>2941</v>
      </c>
      <c r="BK2876" s="136">
        <v>693</v>
      </c>
      <c r="BL2876" s="136">
        <v>1966</v>
      </c>
      <c r="BO2876" s="136" t="s">
        <v>2943</v>
      </c>
      <c r="BP2876" s="432"/>
      <c r="BQ2876" s="432"/>
      <c r="BU2876" s="432">
        <v>1.1000000000000001</v>
      </c>
      <c r="BV2876" s="432">
        <v>1.1200000000000001</v>
      </c>
      <c r="BY2876" s="24" t="s">
        <v>992</v>
      </c>
      <c r="BZ2876" s="432"/>
      <c r="CA2876" s="432"/>
      <c r="CD2876" s="24" t="s">
        <v>3120</v>
      </c>
      <c r="CE2876" s="585">
        <v>1.1000000000000001</v>
      </c>
      <c r="CF2876" s="585">
        <v>1.1200000000000001</v>
      </c>
      <c r="CG2876" s="585"/>
      <c r="CH2876" s="585"/>
      <c r="CI2876" s="24" t="s">
        <v>4546</v>
      </c>
      <c r="CJ2876" s="136">
        <v>0.12</v>
      </c>
      <c r="CK2876" s="136">
        <v>0.11</v>
      </c>
      <c r="CN2876" s="24" t="s">
        <v>2940</v>
      </c>
      <c r="CT2876" s="136">
        <v>0.11</v>
      </c>
      <c r="CU2876" s="136">
        <v>0.1</v>
      </c>
      <c r="CY2876" s="136">
        <v>4.4000000000000004</v>
      </c>
      <c r="CZ2876" s="136">
        <v>4.3</v>
      </c>
      <c r="DC2876" s="136">
        <f>0.35+0.1+0.11</f>
        <v>0.55999999999999994</v>
      </c>
      <c r="DD2876" s="136">
        <f>0.32+0.1+0.1</f>
        <v>0.52</v>
      </c>
      <c r="DE2876" s="136">
        <v>0.1</v>
      </c>
      <c r="DF2876" s="136">
        <v>0.1</v>
      </c>
      <c r="JD2876" s="500"/>
    </row>
    <row r="2877" spans="1:264" s="126" customFormat="1" x14ac:dyDescent="0.25">
      <c r="A2877" s="126">
        <v>135</v>
      </c>
      <c r="B2877" s="478" t="s">
        <v>4377</v>
      </c>
      <c r="C2877" s="126" t="s">
        <v>2944</v>
      </c>
      <c r="D2877" s="126" t="s">
        <v>2945</v>
      </c>
      <c r="E2877" s="126">
        <v>2006</v>
      </c>
      <c r="F2877" s="126">
        <v>2003</v>
      </c>
      <c r="G2877" s="126" t="s">
        <v>2738</v>
      </c>
      <c r="H2877" s="126" t="s">
        <v>2947</v>
      </c>
      <c r="I2877" s="126" t="s">
        <v>2827</v>
      </c>
      <c r="J2877" s="126">
        <f t="shared" ref="J2877:J2894" si="399">-15-18.5/60</f>
        <v>-15.308333333333334</v>
      </c>
      <c r="K2877" s="126">
        <f t="shared" ref="K2877:K2894" si="400">35+23.5/60</f>
        <v>35.391666666666666</v>
      </c>
      <c r="L2877" s="126">
        <v>853</v>
      </c>
      <c r="R2877" s="478" t="s">
        <v>1728</v>
      </c>
      <c r="S2877" s="478" t="s">
        <v>1858</v>
      </c>
      <c r="T2877" s="478"/>
      <c r="U2877" s="478" t="s">
        <v>2946</v>
      </c>
      <c r="V2877" s="478" t="s">
        <v>1379</v>
      </c>
      <c r="W2877" s="478" t="s">
        <v>1715</v>
      </c>
      <c r="X2877" s="478" t="s">
        <v>1379</v>
      </c>
      <c r="Y2877" s="478" t="s">
        <v>1379</v>
      </c>
      <c r="AA2877" s="479"/>
      <c r="AB2877" s="479"/>
      <c r="AC2877" s="126" t="s">
        <v>240</v>
      </c>
      <c r="AD2877" s="126">
        <v>5.94</v>
      </c>
      <c r="AE2877" s="126">
        <v>0.90200000000000002</v>
      </c>
      <c r="AG2877" s="126" t="s">
        <v>2948</v>
      </c>
      <c r="AH2877" s="126" t="s">
        <v>2697</v>
      </c>
      <c r="AI2877" s="126" t="s">
        <v>577</v>
      </c>
      <c r="AJ2877" s="126" t="s">
        <v>1645</v>
      </c>
      <c r="AK2877" s="126" t="s">
        <v>132</v>
      </c>
      <c r="AW2877" s="126" t="s">
        <v>160</v>
      </c>
      <c r="AX2877" s="126">
        <v>3</v>
      </c>
      <c r="AY2877" s="126">
        <v>4</v>
      </c>
      <c r="BB2877" s="126">
        <v>959</v>
      </c>
      <c r="BE2877" s="126" t="s">
        <v>2949</v>
      </c>
      <c r="BK2877" s="126">
        <v>871</v>
      </c>
      <c r="BL2877" s="126">
        <v>1052</v>
      </c>
      <c r="BM2877" s="126">
        <f>8119-7806</f>
        <v>313</v>
      </c>
      <c r="BN2877" s="126">
        <f>8119-7806</f>
        <v>313</v>
      </c>
      <c r="BP2877" s="481"/>
      <c r="BQ2877" s="481"/>
      <c r="BU2877" s="481"/>
      <c r="BV2877" s="481"/>
      <c r="BZ2877" s="481"/>
      <c r="CA2877" s="481"/>
      <c r="CE2877" s="605"/>
      <c r="CF2877" s="605"/>
      <c r="CG2877" s="605"/>
      <c r="CH2877" s="605"/>
      <c r="CJ2877" s="126">
        <v>15.71</v>
      </c>
      <c r="CK2877" s="126">
        <v>13.14</v>
      </c>
      <c r="CL2877" s="126">
        <f>27.57-24.46</f>
        <v>3.1099999999999994</v>
      </c>
      <c r="CM2877" s="126">
        <f>27.57-24.46</f>
        <v>3.1099999999999994</v>
      </c>
      <c r="CN2877" s="126" t="s">
        <v>2952</v>
      </c>
      <c r="JD2877" s="480"/>
    </row>
    <row r="2878" spans="1:264" s="126" customFormat="1" x14ac:dyDescent="0.25">
      <c r="A2878" s="126">
        <v>135</v>
      </c>
      <c r="B2878" s="478" t="s">
        <v>4377</v>
      </c>
      <c r="C2878" s="126" t="s">
        <v>2944</v>
      </c>
      <c r="D2878" s="126" t="s">
        <v>2945</v>
      </c>
      <c r="E2878" s="126">
        <v>2006</v>
      </c>
      <c r="F2878" s="126">
        <v>2003</v>
      </c>
      <c r="G2878" s="126" t="s">
        <v>2738</v>
      </c>
      <c r="H2878" s="126" t="s">
        <v>2947</v>
      </c>
      <c r="I2878" s="126" t="s">
        <v>2827</v>
      </c>
      <c r="J2878" s="126">
        <f t="shared" si="399"/>
        <v>-15.308333333333334</v>
      </c>
      <c r="K2878" s="126">
        <f t="shared" si="400"/>
        <v>35.391666666666666</v>
      </c>
      <c r="L2878" s="126">
        <v>853</v>
      </c>
      <c r="R2878" s="478" t="s">
        <v>1728</v>
      </c>
      <c r="S2878" s="478" t="s">
        <v>1858</v>
      </c>
      <c r="T2878" s="478"/>
      <c r="U2878" s="478" t="s">
        <v>2946</v>
      </c>
      <c r="V2878" s="478" t="s">
        <v>1379</v>
      </c>
      <c r="W2878" s="478" t="s">
        <v>1715</v>
      </c>
      <c r="X2878" s="478" t="s">
        <v>1379</v>
      </c>
      <c r="Y2878" s="478" t="s">
        <v>1379</v>
      </c>
      <c r="AA2878" s="479"/>
      <c r="AB2878" s="479"/>
      <c r="AC2878" s="126" t="s">
        <v>240</v>
      </c>
      <c r="AD2878" s="126">
        <v>5.94</v>
      </c>
      <c r="AE2878" s="126">
        <v>0.90200000000000002</v>
      </c>
      <c r="AG2878" s="126" t="s">
        <v>2948</v>
      </c>
      <c r="AH2878" s="126" t="s">
        <v>2770</v>
      </c>
      <c r="AI2878" s="126" t="s">
        <v>577</v>
      </c>
      <c r="AJ2878" s="126" t="s">
        <v>1645</v>
      </c>
      <c r="AK2878" s="126" t="s">
        <v>132</v>
      </c>
      <c r="AW2878" s="126" t="s">
        <v>160</v>
      </c>
      <c r="AX2878" s="126">
        <v>3</v>
      </c>
      <c r="AY2878" s="126">
        <v>4</v>
      </c>
      <c r="BB2878" s="126">
        <v>1004</v>
      </c>
      <c r="BE2878" s="126" t="s">
        <v>2949</v>
      </c>
      <c r="BK2878" s="126">
        <v>871</v>
      </c>
      <c r="BL2878" s="126">
        <v>1634</v>
      </c>
      <c r="BM2878" s="126">
        <f t="shared" ref="BM2878:BN2879" si="401">8119-7806</f>
        <v>313</v>
      </c>
      <c r="BN2878" s="126">
        <f t="shared" si="401"/>
        <v>313</v>
      </c>
      <c r="BP2878" s="481"/>
      <c r="BQ2878" s="481"/>
      <c r="BU2878" s="481"/>
      <c r="BV2878" s="481"/>
      <c r="BZ2878" s="481"/>
      <c r="CA2878" s="481"/>
      <c r="CE2878" s="605"/>
      <c r="CF2878" s="605"/>
      <c r="CG2878" s="605"/>
      <c r="CH2878" s="605"/>
      <c r="CJ2878" s="126">
        <v>15.71</v>
      </c>
      <c r="CK2878" s="126">
        <v>21.28</v>
      </c>
      <c r="CL2878" s="126">
        <f t="shared" ref="CL2878:CM2879" si="402">27.57-24.46</f>
        <v>3.1099999999999994</v>
      </c>
      <c r="CM2878" s="126">
        <f t="shared" si="402"/>
        <v>3.1099999999999994</v>
      </c>
      <c r="CN2878" s="126" t="s">
        <v>2952</v>
      </c>
      <c r="JD2878" s="480"/>
    </row>
    <row r="2879" spans="1:264" s="126" customFormat="1" x14ac:dyDescent="0.25">
      <c r="A2879" s="126">
        <v>135</v>
      </c>
      <c r="B2879" s="478" t="s">
        <v>4377</v>
      </c>
      <c r="C2879" s="126" t="s">
        <v>2944</v>
      </c>
      <c r="D2879" s="126" t="s">
        <v>2945</v>
      </c>
      <c r="E2879" s="126">
        <v>2006</v>
      </c>
      <c r="F2879" s="126">
        <v>2003</v>
      </c>
      <c r="G2879" s="126" t="s">
        <v>2738</v>
      </c>
      <c r="H2879" s="126" t="s">
        <v>2947</v>
      </c>
      <c r="I2879" s="126" t="s">
        <v>2827</v>
      </c>
      <c r="J2879" s="126">
        <f t="shared" si="399"/>
        <v>-15.308333333333334</v>
      </c>
      <c r="K2879" s="126">
        <f t="shared" si="400"/>
        <v>35.391666666666666</v>
      </c>
      <c r="L2879" s="126">
        <v>853</v>
      </c>
      <c r="R2879" s="478" t="s">
        <v>1728</v>
      </c>
      <c r="S2879" s="478" t="s">
        <v>1858</v>
      </c>
      <c r="T2879" s="478"/>
      <c r="U2879" s="478" t="s">
        <v>2946</v>
      </c>
      <c r="V2879" s="478" t="s">
        <v>1379</v>
      </c>
      <c r="W2879" s="478" t="s">
        <v>1715</v>
      </c>
      <c r="X2879" s="478" t="s">
        <v>1379</v>
      </c>
      <c r="Y2879" s="478" t="s">
        <v>1379</v>
      </c>
      <c r="AA2879" s="479"/>
      <c r="AB2879" s="479"/>
      <c r="AC2879" s="126" t="s">
        <v>240</v>
      </c>
      <c r="AD2879" s="126">
        <v>5.94</v>
      </c>
      <c r="AE2879" s="126">
        <v>0.90200000000000002</v>
      </c>
      <c r="AG2879" s="126" t="s">
        <v>2948</v>
      </c>
      <c r="AH2879" s="126" t="s">
        <v>2853</v>
      </c>
      <c r="AI2879" s="126" t="s">
        <v>577</v>
      </c>
      <c r="AJ2879" s="126" t="s">
        <v>1645</v>
      </c>
      <c r="AK2879" s="126" t="s">
        <v>132</v>
      </c>
      <c r="AW2879" s="126" t="s">
        <v>160</v>
      </c>
      <c r="AX2879" s="126">
        <v>3</v>
      </c>
      <c r="AY2879" s="126">
        <v>4</v>
      </c>
      <c r="BB2879" s="126">
        <v>1835</v>
      </c>
      <c r="BE2879" s="126" t="s">
        <v>2949</v>
      </c>
      <c r="BK2879" s="126">
        <v>871</v>
      </c>
      <c r="BL2879" s="126">
        <v>1322</v>
      </c>
      <c r="BM2879" s="126">
        <f t="shared" si="401"/>
        <v>313</v>
      </c>
      <c r="BN2879" s="126">
        <f t="shared" si="401"/>
        <v>313</v>
      </c>
      <c r="BP2879" s="481"/>
      <c r="BQ2879" s="481"/>
      <c r="BU2879" s="481"/>
      <c r="BV2879" s="481"/>
      <c r="BZ2879" s="481"/>
      <c r="CA2879" s="481"/>
      <c r="CE2879" s="605"/>
      <c r="CF2879" s="605"/>
      <c r="CG2879" s="605"/>
      <c r="CH2879" s="605"/>
      <c r="CJ2879" s="126">
        <v>15.71</v>
      </c>
      <c r="CK2879" s="126">
        <v>16.420000000000002</v>
      </c>
      <c r="CL2879" s="126">
        <f t="shared" si="402"/>
        <v>3.1099999999999994</v>
      </c>
      <c r="CM2879" s="126">
        <f t="shared" si="402"/>
        <v>3.1099999999999994</v>
      </c>
      <c r="CN2879" s="126" t="s">
        <v>2952</v>
      </c>
      <c r="JD2879" s="480"/>
    </row>
    <row r="2880" spans="1:264" s="36" customFormat="1" x14ac:dyDescent="0.25">
      <c r="A2880" s="36">
        <v>135</v>
      </c>
      <c r="B2880" s="51" t="s">
        <v>4377</v>
      </c>
      <c r="C2880" s="36" t="s">
        <v>2944</v>
      </c>
      <c r="D2880" s="36" t="s">
        <v>2945</v>
      </c>
      <c r="E2880" s="36">
        <v>2006</v>
      </c>
      <c r="F2880" s="36">
        <v>2003</v>
      </c>
      <c r="G2880" s="36" t="s">
        <v>2738</v>
      </c>
      <c r="H2880" s="36" t="s">
        <v>2947</v>
      </c>
      <c r="I2880" s="36" t="s">
        <v>2827</v>
      </c>
      <c r="J2880" s="36">
        <f t="shared" si="399"/>
        <v>-15.308333333333334</v>
      </c>
      <c r="K2880" s="36">
        <f t="shared" si="400"/>
        <v>35.391666666666666</v>
      </c>
      <c r="L2880" s="36">
        <v>853</v>
      </c>
      <c r="R2880" s="51" t="s">
        <v>1728</v>
      </c>
      <c r="S2880" s="51" t="s">
        <v>1858</v>
      </c>
      <c r="T2880" s="51"/>
      <c r="U2880" s="51" t="s">
        <v>2946</v>
      </c>
      <c r="V2880" s="51" t="s">
        <v>1379</v>
      </c>
      <c r="W2880" s="51" t="s">
        <v>1715</v>
      </c>
      <c r="X2880" s="51" t="s">
        <v>1379</v>
      </c>
      <c r="Y2880" s="51" t="s">
        <v>1379</v>
      </c>
      <c r="AA2880" s="331"/>
      <c r="AB2880" s="331"/>
      <c r="AC2880" s="36" t="s">
        <v>240</v>
      </c>
      <c r="AD2880" s="36">
        <v>6.04</v>
      </c>
      <c r="AE2880" s="36">
        <v>0.58499999999999996</v>
      </c>
      <c r="AG2880" s="36" t="s">
        <v>2948</v>
      </c>
      <c r="AH2880" s="36" t="s">
        <v>2697</v>
      </c>
      <c r="AI2880" s="36" t="s">
        <v>577</v>
      </c>
      <c r="AJ2880" s="36" t="s">
        <v>1645</v>
      </c>
      <c r="AK2880" s="36" t="s">
        <v>132</v>
      </c>
      <c r="AW2880" s="36" t="s">
        <v>160</v>
      </c>
      <c r="AX2880" s="36">
        <v>3</v>
      </c>
      <c r="AY2880" s="36">
        <v>4</v>
      </c>
      <c r="BB2880" s="36">
        <v>2086</v>
      </c>
      <c r="BE2880" s="36" t="s">
        <v>2950</v>
      </c>
      <c r="BK2880" s="36">
        <v>831</v>
      </c>
      <c r="BL2880" s="36">
        <v>2014</v>
      </c>
      <c r="BM2880" s="36">
        <v>338</v>
      </c>
      <c r="BN2880" s="36">
        <v>338</v>
      </c>
      <c r="BP2880" s="407"/>
      <c r="BQ2880" s="407"/>
      <c r="BU2880" s="407"/>
      <c r="BV2880" s="407"/>
      <c r="BZ2880" s="407"/>
      <c r="CA2880" s="407"/>
      <c r="CE2880" s="560"/>
      <c r="CF2880" s="560"/>
      <c r="CG2880" s="560"/>
      <c r="CH2880" s="560"/>
      <c r="CJ2880" s="36">
        <v>13.5</v>
      </c>
      <c r="CK2880" s="36">
        <v>18.45</v>
      </c>
      <c r="CL2880" s="36">
        <f>27.56-24.38</f>
        <v>3.1799999999999997</v>
      </c>
      <c r="CM2880" s="36">
        <f>27.56-24.38</f>
        <v>3.1799999999999997</v>
      </c>
      <c r="CN2880" s="36" t="s">
        <v>2952</v>
      </c>
      <c r="JD2880" s="230"/>
    </row>
    <row r="2881" spans="1:264" s="36" customFormat="1" x14ac:dyDescent="0.25">
      <c r="A2881" s="36">
        <v>135</v>
      </c>
      <c r="B2881" s="51" t="s">
        <v>4377</v>
      </c>
      <c r="C2881" s="36" t="s">
        <v>2944</v>
      </c>
      <c r="D2881" s="36" t="s">
        <v>2945</v>
      </c>
      <c r="E2881" s="36">
        <v>2006</v>
      </c>
      <c r="F2881" s="36">
        <v>2003</v>
      </c>
      <c r="G2881" s="36" t="s">
        <v>2738</v>
      </c>
      <c r="H2881" s="36" t="s">
        <v>2947</v>
      </c>
      <c r="I2881" s="36" t="s">
        <v>2827</v>
      </c>
      <c r="J2881" s="36">
        <f t="shared" si="399"/>
        <v>-15.308333333333334</v>
      </c>
      <c r="K2881" s="36">
        <f t="shared" si="400"/>
        <v>35.391666666666666</v>
      </c>
      <c r="L2881" s="36">
        <v>853</v>
      </c>
      <c r="R2881" s="51" t="s">
        <v>1728</v>
      </c>
      <c r="S2881" s="51" t="s">
        <v>1858</v>
      </c>
      <c r="T2881" s="51"/>
      <c r="U2881" s="51" t="s">
        <v>2946</v>
      </c>
      <c r="V2881" s="51" t="s">
        <v>1379</v>
      </c>
      <c r="W2881" s="51" t="s">
        <v>1715</v>
      </c>
      <c r="X2881" s="51" t="s">
        <v>1379</v>
      </c>
      <c r="Y2881" s="51" t="s">
        <v>1379</v>
      </c>
      <c r="AA2881" s="331"/>
      <c r="AB2881" s="331"/>
      <c r="AC2881" s="36" t="s">
        <v>240</v>
      </c>
      <c r="AD2881" s="36">
        <v>6.04</v>
      </c>
      <c r="AE2881" s="36">
        <v>0.58499999999999996</v>
      </c>
      <c r="AG2881" s="36" t="s">
        <v>2948</v>
      </c>
      <c r="AH2881" s="36" t="s">
        <v>2770</v>
      </c>
      <c r="AI2881" s="36" t="s">
        <v>577</v>
      </c>
      <c r="AJ2881" s="36" t="s">
        <v>1645</v>
      </c>
      <c r="AK2881" s="36" t="s">
        <v>132</v>
      </c>
      <c r="AW2881" s="36" t="s">
        <v>160</v>
      </c>
      <c r="AX2881" s="36">
        <v>3</v>
      </c>
      <c r="AY2881" s="36">
        <v>4</v>
      </c>
      <c r="BB2881" s="36">
        <v>976</v>
      </c>
      <c r="BE2881" s="36" t="s">
        <v>2950</v>
      </c>
      <c r="BK2881" s="36">
        <v>831</v>
      </c>
      <c r="BL2881" s="36">
        <v>1319</v>
      </c>
      <c r="BM2881" s="36">
        <v>338</v>
      </c>
      <c r="BN2881" s="36">
        <v>338</v>
      </c>
      <c r="BP2881" s="407"/>
      <c r="BQ2881" s="407"/>
      <c r="BU2881" s="407"/>
      <c r="BV2881" s="407"/>
      <c r="BZ2881" s="407"/>
      <c r="CA2881" s="407"/>
      <c r="CE2881" s="560"/>
      <c r="CF2881" s="560"/>
      <c r="CG2881" s="560"/>
      <c r="CH2881" s="560"/>
      <c r="CJ2881" s="36">
        <v>13.5</v>
      </c>
      <c r="CK2881" s="36">
        <v>15.71</v>
      </c>
      <c r="CL2881" s="36">
        <f t="shared" ref="CL2881:CM2882" si="403">27.56-24.38</f>
        <v>3.1799999999999997</v>
      </c>
      <c r="CM2881" s="36">
        <f t="shared" si="403"/>
        <v>3.1799999999999997</v>
      </c>
      <c r="CN2881" s="36" t="s">
        <v>2952</v>
      </c>
      <c r="JD2881" s="230"/>
    </row>
    <row r="2882" spans="1:264" s="36" customFormat="1" x14ac:dyDescent="0.25">
      <c r="A2882" s="36">
        <v>135</v>
      </c>
      <c r="B2882" s="51" t="s">
        <v>4377</v>
      </c>
      <c r="C2882" s="36" t="s">
        <v>2944</v>
      </c>
      <c r="D2882" s="36" t="s">
        <v>2945</v>
      </c>
      <c r="E2882" s="36">
        <v>2006</v>
      </c>
      <c r="F2882" s="36">
        <v>2003</v>
      </c>
      <c r="G2882" s="36" t="s">
        <v>2738</v>
      </c>
      <c r="H2882" s="36" t="s">
        <v>2947</v>
      </c>
      <c r="I2882" s="36" t="s">
        <v>2827</v>
      </c>
      <c r="J2882" s="36">
        <f t="shared" si="399"/>
        <v>-15.308333333333334</v>
      </c>
      <c r="K2882" s="36">
        <f t="shared" si="400"/>
        <v>35.391666666666666</v>
      </c>
      <c r="L2882" s="36">
        <v>853</v>
      </c>
      <c r="R2882" s="51" t="s">
        <v>1728</v>
      </c>
      <c r="S2882" s="51" t="s">
        <v>1858</v>
      </c>
      <c r="T2882" s="51"/>
      <c r="U2882" s="51" t="s">
        <v>2946</v>
      </c>
      <c r="V2882" s="51" t="s">
        <v>1379</v>
      </c>
      <c r="W2882" s="51" t="s">
        <v>1715</v>
      </c>
      <c r="X2882" s="51" t="s">
        <v>1379</v>
      </c>
      <c r="Y2882" s="51" t="s">
        <v>1379</v>
      </c>
      <c r="AA2882" s="331"/>
      <c r="AB2882" s="331"/>
      <c r="AC2882" s="36" t="s">
        <v>240</v>
      </c>
      <c r="AD2882" s="36">
        <v>6.04</v>
      </c>
      <c r="AE2882" s="36">
        <v>0.58499999999999996</v>
      </c>
      <c r="AG2882" s="36" t="s">
        <v>2948</v>
      </c>
      <c r="AH2882" s="36" t="s">
        <v>2853</v>
      </c>
      <c r="AI2882" s="36" t="s">
        <v>577</v>
      </c>
      <c r="AJ2882" s="36" t="s">
        <v>1645</v>
      </c>
      <c r="AK2882" s="36" t="s">
        <v>132</v>
      </c>
      <c r="AW2882" s="36" t="s">
        <v>160</v>
      </c>
      <c r="AX2882" s="36">
        <v>3</v>
      </c>
      <c r="AY2882" s="36">
        <v>4</v>
      </c>
      <c r="BB2882" s="36">
        <v>1154</v>
      </c>
      <c r="BE2882" s="36" t="s">
        <v>2950</v>
      </c>
      <c r="BK2882" s="36">
        <v>831</v>
      </c>
      <c r="BL2882" s="36">
        <v>1350</v>
      </c>
      <c r="BM2882" s="36">
        <v>338</v>
      </c>
      <c r="BN2882" s="36">
        <v>338</v>
      </c>
      <c r="BP2882" s="407"/>
      <c r="BQ2882" s="407"/>
      <c r="BU2882" s="407"/>
      <c r="BV2882" s="407"/>
      <c r="BZ2882" s="407"/>
      <c r="CA2882" s="407"/>
      <c r="CE2882" s="560"/>
      <c r="CF2882" s="560"/>
      <c r="CG2882" s="560"/>
      <c r="CH2882" s="560"/>
      <c r="CJ2882" s="36">
        <v>13.5</v>
      </c>
      <c r="CK2882" s="36">
        <v>16.5</v>
      </c>
      <c r="CL2882" s="36">
        <f t="shared" si="403"/>
        <v>3.1799999999999997</v>
      </c>
      <c r="CM2882" s="36">
        <f t="shared" si="403"/>
        <v>3.1799999999999997</v>
      </c>
      <c r="CN2882" s="36" t="s">
        <v>2952</v>
      </c>
      <c r="JD2882" s="230"/>
    </row>
    <row r="2883" spans="1:264" s="126" customFormat="1" x14ac:dyDescent="0.25">
      <c r="A2883" s="126">
        <v>135</v>
      </c>
      <c r="B2883" s="478" t="s">
        <v>4377</v>
      </c>
      <c r="C2883" s="126" t="s">
        <v>2944</v>
      </c>
      <c r="D2883" s="126" t="s">
        <v>2945</v>
      </c>
      <c r="E2883" s="126">
        <v>2006</v>
      </c>
      <c r="F2883" s="126">
        <v>2003</v>
      </c>
      <c r="G2883" s="126" t="s">
        <v>2738</v>
      </c>
      <c r="H2883" s="126" t="s">
        <v>2947</v>
      </c>
      <c r="I2883" s="126" t="s">
        <v>2827</v>
      </c>
      <c r="J2883" s="126">
        <f t="shared" si="399"/>
        <v>-15.308333333333334</v>
      </c>
      <c r="K2883" s="126">
        <f t="shared" si="400"/>
        <v>35.391666666666666</v>
      </c>
      <c r="L2883" s="126">
        <v>853</v>
      </c>
      <c r="R2883" s="478" t="s">
        <v>1728</v>
      </c>
      <c r="S2883" s="478" t="s">
        <v>1858</v>
      </c>
      <c r="T2883" s="478"/>
      <c r="U2883" s="478" t="s">
        <v>2946</v>
      </c>
      <c r="V2883" s="478" t="s">
        <v>1379</v>
      </c>
      <c r="W2883" s="478" t="s">
        <v>1715</v>
      </c>
      <c r="X2883" s="478" t="s">
        <v>1379</v>
      </c>
      <c r="Y2883" s="478" t="s">
        <v>1379</v>
      </c>
      <c r="AA2883" s="479"/>
      <c r="AB2883" s="479"/>
      <c r="AC2883" s="126" t="s">
        <v>240</v>
      </c>
      <c r="AD2883" s="126">
        <v>6.15</v>
      </c>
      <c r="AE2883" s="126">
        <v>0.69399999999999995</v>
      </c>
      <c r="AG2883" s="126" t="s">
        <v>2948</v>
      </c>
      <c r="AH2883" s="126" t="s">
        <v>2697</v>
      </c>
      <c r="AI2883" s="126" t="s">
        <v>577</v>
      </c>
      <c r="AJ2883" s="126" t="s">
        <v>1645</v>
      </c>
      <c r="AK2883" s="126" t="s">
        <v>132</v>
      </c>
      <c r="AW2883" s="126" t="s">
        <v>160</v>
      </c>
      <c r="AX2883" s="126">
        <v>3</v>
      </c>
      <c r="AY2883" s="126">
        <v>4</v>
      </c>
      <c r="BB2883" s="126">
        <v>1697</v>
      </c>
      <c r="BE2883" s="126" t="s">
        <v>2951</v>
      </c>
      <c r="BK2883" s="126">
        <v>702</v>
      </c>
      <c r="BL2883" s="126">
        <v>1450</v>
      </c>
      <c r="BM2883" s="126">
        <f>8069-7869</f>
        <v>200</v>
      </c>
      <c r="BN2883" s="126">
        <f>8069-7869</f>
        <v>200</v>
      </c>
      <c r="BP2883" s="481"/>
      <c r="BQ2883" s="481"/>
      <c r="BU2883" s="481"/>
      <c r="BV2883" s="481"/>
      <c r="BZ2883" s="481"/>
      <c r="CA2883" s="481"/>
      <c r="CE2883" s="605"/>
      <c r="CF2883" s="605"/>
      <c r="CG2883" s="605"/>
      <c r="CH2883" s="605"/>
      <c r="CJ2883" s="126">
        <v>8.01</v>
      </c>
      <c r="CK2883" s="126">
        <v>17.48</v>
      </c>
      <c r="CL2883" s="126">
        <f>27.3-24.73</f>
        <v>2.5700000000000003</v>
      </c>
      <c r="CM2883" s="126">
        <f>27.3-24.73</f>
        <v>2.5700000000000003</v>
      </c>
      <c r="CN2883" s="126" t="s">
        <v>2952</v>
      </c>
      <c r="JD2883" s="480"/>
    </row>
    <row r="2884" spans="1:264" s="126" customFormat="1" x14ac:dyDescent="0.25">
      <c r="A2884" s="126">
        <v>135</v>
      </c>
      <c r="B2884" s="478" t="s">
        <v>4377</v>
      </c>
      <c r="C2884" s="126" t="s">
        <v>2944</v>
      </c>
      <c r="D2884" s="126" t="s">
        <v>2945</v>
      </c>
      <c r="E2884" s="126">
        <v>2006</v>
      </c>
      <c r="F2884" s="126">
        <v>2003</v>
      </c>
      <c r="G2884" s="126" t="s">
        <v>2738</v>
      </c>
      <c r="H2884" s="126" t="s">
        <v>2947</v>
      </c>
      <c r="I2884" s="126" t="s">
        <v>2827</v>
      </c>
      <c r="J2884" s="126">
        <f t="shared" si="399"/>
        <v>-15.308333333333334</v>
      </c>
      <c r="K2884" s="126">
        <f t="shared" si="400"/>
        <v>35.391666666666666</v>
      </c>
      <c r="L2884" s="126">
        <v>853</v>
      </c>
      <c r="R2884" s="478" t="s">
        <v>1728</v>
      </c>
      <c r="S2884" s="478" t="s">
        <v>1858</v>
      </c>
      <c r="T2884" s="478"/>
      <c r="U2884" s="478" t="s">
        <v>2946</v>
      </c>
      <c r="V2884" s="478" t="s">
        <v>1379</v>
      </c>
      <c r="W2884" s="478" t="s">
        <v>1715</v>
      </c>
      <c r="X2884" s="478" t="s">
        <v>1379</v>
      </c>
      <c r="Y2884" s="478" t="s">
        <v>1379</v>
      </c>
      <c r="AA2884" s="479"/>
      <c r="AB2884" s="479"/>
      <c r="AC2884" s="126" t="s">
        <v>240</v>
      </c>
      <c r="AD2884" s="126">
        <v>6.15</v>
      </c>
      <c r="AE2884" s="126">
        <v>0.69399999999999995</v>
      </c>
      <c r="AG2884" s="126" t="s">
        <v>2948</v>
      </c>
      <c r="AH2884" s="126" t="s">
        <v>2770</v>
      </c>
      <c r="AI2884" s="126" t="s">
        <v>577</v>
      </c>
      <c r="AJ2884" s="126" t="s">
        <v>1645</v>
      </c>
      <c r="AK2884" s="126" t="s">
        <v>132</v>
      </c>
      <c r="AW2884" s="126" t="s">
        <v>160</v>
      </c>
      <c r="AX2884" s="126">
        <v>3</v>
      </c>
      <c r="AY2884" s="126">
        <v>4</v>
      </c>
      <c r="BB2884" s="126">
        <v>372</v>
      </c>
      <c r="BE2884" s="126" t="s">
        <v>2951</v>
      </c>
      <c r="BK2884" s="126">
        <v>702</v>
      </c>
      <c r="BL2884" s="126">
        <v>1035</v>
      </c>
      <c r="BM2884" s="126">
        <f t="shared" ref="BM2884:BN2885" si="404">8069-7869</f>
        <v>200</v>
      </c>
      <c r="BN2884" s="126">
        <f t="shared" si="404"/>
        <v>200</v>
      </c>
      <c r="BP2884" s="481"/>
      <c r="BQ2884" s="481"/>
      <c r="BU2884" s="481"/>
      <c r="BV2884" s="481"/>
      <c r="BZ2884" s="481"/>
      <c r="CA2884" s="481"/>
      <c r="CE2884" s="605"/>
      <c r="CF2884" s="605"/>
      <c r="CG2884" s="605"/>
      <c r="CH2884" s="605"/>
      <c r="CJ2884" s="126">
        <v>8.01</v>
      </c>
      <c r="CK2884" s="126">
        <v>11.64</v>
      </c>
      <c r="CL2884" s="126">
        <f t="shared" ref="CL2884:CM2885" si="405">27.3-24.73</f>
        <v>2.5700000000000003</v>
      </c>
      <c r="CM2884" s="126">
        <f t="shared" si="405"/>
        <v>2.5700000000000003</v>
      </c>
      <c r="CN2884" s="126" t="s">
        <v>2952</v>
      </c>
      <c r="JD2884" s="480"/>
    </row>
    <row r="2885" spans="1:264" s="126" customFormat="1" x14ac:dyDescent="0.25">
      <c r="A2885" s="126">
        <v>135</v>
      </c>
      <c r="B2885" s="478" t="s">
        <v>4377</v>
      </c>
      <c r="C2885" s="126" t="s">
        <v>2944</v>
      </c>
      <c r="D2885" s="126" t="s">
        <v>2945</v>
      </c>
      <c r="E2885" s="126">
        <v>2006</v>
      </c>
      <c r="F2885" s="126">
        <v>2003</v>
      </c>
      <c r="G2885" s="126" t="s">
        <v>2738</v>
      </c>
      <c r="H2885" s="126" t="s">
        <v>2947</v>
      </c>
      <c r="I2885" s="126" t="s">
        <v>2827</v>
      </c>
      <c r="J2885" s="126">
        <f t="shared" si="399"/>
        <v>-15.308333333333334</v>
      </c>
      <c r="K2885" s="126">
        <f t="shared" si="400"/>
        <v>35.391666666666666</v>
      </c>
      <c r="L2885" s="126">
        <v>853</v>
      </c>
      <c r="R2885" s="478" t="s">
        <v>1728</v>
      </c>
      <c r="S2885" s="478" t="s">
        <v>1858</v>
      </c>
      <c r="T2885" s="478"/>
      <c r="U2885" s="478" t="s">
        <v>2946</v>
      </c>
      <c r="V2885" s="478" t="s">
        <v>1379</v>
      </c>
      <c r="W2885" s="478" t="s">
        <v>1715</v>
      </c>
      <c r="X2885" s="478" t="s">
        <v>1379</v>
      </c>
      <c r="Y2885" s="478" t="s">
        <v>1379</v>
      </c>
      <c r="AA2885" s="479"/>
      <c r="AB2885" s="479"/>
      <c r="AC2885" s="126" t="s">
        <v>240</v>
      </c>
      <c r="AD2885" s="126">
        <v>6.15</v>
      </c>
      <c r="AE2885" s="126">
        <v>0.69399999999999995</v>
      </c>
      <c r="AG2885" s="126" t="s">
        <v>2948</v>
      </c>
      <c r="AH2885" s="126" t="s">
        <v>2853</v>
      </c>
      <c r="AI2885" s="126" t="s">
        <v>577</v>
      </c>
      <c r="AJ2885" s="126" t="s">
        <v>1645</v>
      </c>
      <c r="AK2885" s="126" t="s">
        <v>132</v>
      </c>
      <c r="AW2885" s="126" t="s">
        <v>160</v>
      </c>
      <c r="AX2885" s="126">
        <v>3</v>
      </c>
      <c r="AY2885" s="126">
        <v>4</v>
      </c>
      <c r="BB2885" s="126">
        <v>562</v>
      </c>
      <c r="BE2885" s="126" t="s">
        <v>2951</v>
      </c>
      <c r="BK2885" s="126">
        <v>702</v>
      </c>
      <c r="BL2885" s="126">
        <v>1304</v>
      </c>
      <c r="BM2885" s="126">
        <f t="shared" si="404"/>
        <v>200</v>
      </c>
      <c r="BN2885" s="126">
        <f t="shared" si="404"/>
        <v>200</v>
      </c>
      <c r="BP2885" s="481"/>
      <c r="BQ2885" s="481"/>
      <c r="BU2885" s="481"/>
      <c r="BV2885" s="481"/>
      <c r="BZ2885" s="481"/>
      <c r="CA2885" s="481"/>
      <c r="CE2885" s="605"/>
      <c r="CF2885" s="605"/>
      <c r="CG2885" s="605"/>
      <c r="CH2885" s="605"/>
      <c r="CJ2885" s="126">
        <v>8.01</v>
      </c>
      <c r="CK2885" s="126">
        <v>14.12</v>
      </c>
      <c r="CL2885" s="126">
        <f t="shared" si="405"/>
        <v>2.5700000000000003</v>
      </c>
      <c r="CM2885" s="126">
        <f t="shared" si="405"/>
        <v>2.5700000000000003</v>
      </c>
      <c r="CN2885" s="126" t="s">
        <v>2952</v>
      </c>
      <c r="JD2885" s="480"/>
    </row>
    <row r="2886" spans="1:264" s="99" customFormat="1" x14ac:dyDescent="0.25">
      <c r="A2886" s="99">
        <v>135</v>
      </c>
      <c r="B2886" s="100" t="s">
        <v>4377</v>
      </c>
      <c r="C2886" s="99" t="s">
        <v>2944</v>
      </c>
      <c r="D2886" s="99" t="s">
        <v>2945</v>
      </c>
      <c r="E2886" s="99">
        <v>2006</v>
      </c>
      <c r="F2886" s="99">
        <v>2004</v>
      </c>
      <c r="G2886" s="99" t="s">
        <v>2738</v>
      </c>
      <c r="H2886" s="99" t="s">
        <v>2947</v>
      </c>
      <c r="I2886" s="99" t="s">
        <v>2827</v>
      </c>
      <c r="J2886" s="99">
        <f t="shared" si="399"/>
        <v>-15.308333333333334</v>
      </c>
      <c r="K2886" s="99">
        <f t="shared" si="400"/>
        <v>35.391666666666666</v>
      </c>
      <c r="L2886" s="99">
        <v>853</v>
      </c>
      <c r="R2886" s="100" t="s">
        <v>1728</v>
      </c>
      <c r="S2886" s="100" t="s">
        <v>1858</v>
      </c>
      <c r="T2886" s="100"/>
      <c r="U2886" s="100" t="s">
        <v>2946</v>
      </c>
      <c r="V2886" s="100" t="s">
        <v>1379</v>
      </c>
      <c r="W2886" s="100" t="s">
        <v>1715</v>
      </c>
      <c r="X2886" s="100" t="s">
        <v>1379</v>
      </c>
      <c r="Y2886" s="100" t="s">
        <v>1379</v>
      </c>
      <c r="AA2886" s="351"/>
      <c r="AB2886" s="351"/>
      <c r="AC2886" s="99" t="s">
        <v>240</v>
      </c>
      <c r="AD2886" s="99">
        <v>5.94</v>
      </c>
      <c r="AE2886" s="99">
        <v>0.90200000000000002</v>
      </c>
      <c r="AG2886" s="99" t="s">
        <v>2948</v>
      </c>
      <c r="AH2886" s="99" t="s">
        <v>2697</v>
      </c>
      <c r="AI2886" s="99" t="s">
        <v>577</v>
      </c>
      <c r="AJ2886" s="99" t="s">
        <v>1645</v>
      </c>
      <c r="AK2886" s="99" t="s">
        <v>132</v>
      </c>
      <c r="AW2886" s="99" t="s">
        <v>160</v>
      </c>
      <c r="AX2886" s="99">
        <v>3</v>
      </c>
      <c r="AY2886" s="99">
        <v>4</v>
      </c>
      <c r="BB2886" s="99">
        <v>959</v>
      </c>
      <c r="BE2886" s="99" t="s">
        <v>2949</v>
      </c>
      <c r="BK2886" s="99">
        <v>631</v>
      </c>
      <c r="BL2886" s="99">
        <v>1719</v>
      </c>
      <c r="BM2886" s="99">
        <v>199</v>
      </c>
      <c r="BN2886" s="99">
        <v>199</v>
      </c>
      <c r="BP2886" s="426"/>
      <c r="BQ2886" s="426"/>
      <c r="BU2886" s="426"/>
      <c r="BV2886" s="426"/>
      <c r="BZ2886" s="426"/>
      <c r="CA2886" s="426"/>
      <c r="CE2886" s="579"/>
      <c r="CF2886" s="579"/>
      <c r="CG2886" s="579"/>
      <c r="CH2886" s="579"/>
      <c r="CJ2886" s="99">
        <v>11.25</v>
      </c>
      <c r="CK2886" s="99">
        <v>17.98</v>
      </c>
      <c r="CL2886" s="99">
        <f>50.48-39.9</f>
        <v>10.579999999999998</v>
      </c>
      <c r="CM2886" s="99">
        <f>50.48-39.9</f>
        <v>10.579999999999998</v>
      </c>
      <c r="CN2886" s="126" t="s">
        <v>2952</v>
      </c>
      <c r="JD2886" s="508"/>
    </row>
    <row r="2887" spans="1:264" s="99" customFormat="1" x14ac:dyDescent="0.25">
      <c r="A2887" s="99">
        <v>135</v>
      </c>
      <c r="B2887" s="100" t="s">
        <v>4377</v>
      </c>
      <c r="C2887" s="99" t="s">
        <v>2944</v>
      </c>
      <c r="D2887" s="99" t="s">
        <v>2945</v>
      </c>
      <c r="E2887" s="99">
        <v>2006</v>
      </c>
      <c r="F2887" s="99">
        <v>2004</v>
      </c>
      <c r="G2887" s="99" t="s">
        <v>2738</v>
      </c>
      <c r="H2887" s="99" t="s">
        <v>2947</v>
      </c>
      <c r="I2887" s="99" t="s">
        <v>2827</v>
      </c>
      <c r="J2887" s="99">
        <f t="shared" si="399"/>
        <v>-15.308333333333334</v>
      </c>
      <c r="K2887" s="99">
        <f t="shared" si="400"/>
        <v>35.391666666666666</v>
      </c>
      <c r="L2887" s="99">
        <v>853</v>
      </c>
      <c r="R2887" s="100" t="s">
        <v>1728</v>
      </c>
      <c r="S2887" s="100" t="s">
        <v>1858</v>
      </c>
      <c r="T2887" s="100"/>
      <c r="U2887" s="100" t="s">
        <v>2946</v>
      </c>
      <c r="V2887" s="100" t="s">
        <v>1379</v>
      </c>
      <c r="W2887" s="100" t="s">
        <v>1715</v>
      </c>
      <c r="X2887" s="100" t="s">
        <v>1379</v>
      </c>
      <c r="Y2887" s="100" t="s">
        <v>1379</v>
      </c>
      <c r="AA2887" s="351"/>
      <c r="AB2887" s="351"/>
      <c r="AC2887" s="99" t="s">
        <v>240</v>
      </c>
      <c r="AD2887" s="99">
        <v>5.94</v>
      </c>
      <c r="AE2887" s="99">
        <v>0.90200000000000002</v>
      </c>
      <c r="AG2887" s="99" t="s">
        <v>2948</v>
      </c>
      <c r="AH2887" s="99" t="s">
        <v>2770</v>
      </c>
      <c r="AI2887" s="99" t="s">
        <v>577</v>
      </c>
      <c r="AJ2887" s="99" t="s">
        <v>1645</v>
      </c>
      <c r="AK2887" s="99" t="s">
        <v>132</v>
      </c>
      <c r="AW2887" s="99" t="s">
        <v>160</v>
      </c>
      <c r="AX2887" s="99">
        <v>3</v>
      </c>
      <c r="AY2887" s="99">
        <v>4</v>
      </c>
      <c r="BB2887" s="99">
        <v>1004</v>
      </c>
      <c r="BE2887" s="99" t="s">
        <v>2949</v>
      </c>
      <c r="BK2887" s="99">
        <v>631</v>
      </c>
      <c r="BL2887" s="99">
        <v>956</v>
      </c>
      <c r="BM2887" s="99">
        <v>199</v>
      </c>
      <c r="BN2887" s="99">
        <v>199</v>
      </c>
      <c r="BP2887" s="426"/>
      <c r="BQ2887" s="426"/>
      <c r="BU2887" s="426"/>
      <c r="BV2887" s="426"/>
      <c r="BZ2887" s="426"/>
      <c r="CA2887" s="426"/>
      <c r="CE2887" s="579"/>
      <c r="CF2887" s="579"/>
      <c r="CG2887" s="579"/>
      <c r="CH2887" s="579"/>
      <c r="CJ2887" s="99">
        <v>11.25</v>
      </c>
      <c r="CK2887" s="99">
        <v>36.06</v>
      </c>
      <c r="CL2887" s="99">
        <f t="shared" ref="CL2887:CM2888" si="406">50.48-39.9</f>
        <v>10.579999999999998</v>
      </c>
      <c r="CM2887" s="99">
        <f t="shared" si="406"/>
        <v>10.579999999999998</v>
      </c>
      <c r="CN2887" s="126" t="s">
        <v>2952</v>
      </c>
      <c r="JD2887" s="508"/>
    </row>
    <row r="2888" spans="1:264" s="99" customFormat="1" x14ac:dyDescent="0.25">
      <c r="A2888" s="99">
        <v>135</v>
      </c>
      <c r="B2888" s="100" t="s">
        <v>4377</v>
      </c>
      <c r="C2888" s="99" t="s">
        <v>2944</v>
      </c>
      <c r="D2888" s="99" t="s">
        <v>2945</v>
      </c>
      <c r="E2888" s="99">
        <v>2006</v>
      </c>
      <c r="F2888" s="99">
        <v>2004</v>
      </c>
      <c r="G2888" s="99" t="s">
        <v>2738</v>
      </c>
      <c r="H2888" s="99" t="s">
        <v>2947</v>
      </c>
      <c r="I2888" s="99" t="s">
        <v>2827</v>
      </c>
      <c r="J2888" s="99">
        <f t="shared" si="399"/>
        <v>-15.308333333333334</v>
      </c>
      <c r="K2888" s="99">
        <f t="shared" si="400"/>
        <v>35.391666666666666</v>
      </c>
      <c r="L2888" s="99">
        <v>853</v>
      </c>
      <c r="R2888" s="100" t="s">
        <v>1728</v>
      </c>
      <c r="S2888" s="100" t="s">
        <v>1858</v>
      </c>
      <c r="T2888" s="100"/>
      <c r="U2888" s="100" t="s">
        <v>2946</v>
      </c>
      <c r="V2888" s="100" t="s">
        <v>1379</v>
      </c>
      <c r="W2888" s="100" t="s">
        <v>1715</v>
      </c>
      <c r="X2888" s="100" t="s">
        <v>1379</v>
      </c>
      <c r="Y2888" s="100" t="s">
        <v>1379</v>
      </c>
      <c r="AA2888" s="351"/>
      <c r="AB2888" s="351"/>
      <c r="AC2888" s="99" t="s">
        <v>240</v>
      </c>
      <c r="AD2888" s="99">
        <v>5.94</v>
      </c>
      <c r="AE2888" s="99">
        <v>0.90200000000000002</v>
      </c>
      <c r="AG2888" s="99" t="s">
        <v>2948</v>
      </c>
      <c r="AH2888" s="99" t="s">
        <v>2853</v>
      </c>
      <c r="AI2888" s="99" t="s">
        <v>577</v>
      </c>
      <c r="AJ2888" s="99" t="s">
        <v>1645</v>
      </c>
      <c r="AK2888" s="99" t="s">
        <v>132</v>
      </c>
      <c r="AW2888" s="99" t="s">
        <v>160</v>
      </c>
      <c r="AX2888" s="99">
        <v>3</v>
      </c>
      <c r="AY2888" s="99">
        <v>4</v>
      </c>
      <c r="BB2888" s="99">
        <v>1835</v>
      </c>
      <c r="BE2888" s="99" t="s">
        <v>2949</v>
      </c>
      <c r="BK2888" s="99">
        <v>631</v>
      </c>
      <c r="BL2888" s="99">
        <v>1331</v>
      </c>
      <c r="BM2888" s="99">
        <v>199</v>
      </c>
      <c r="BN2888" s="99">
        <v>199</v>
      </c>
      <c r="BP2888" s="426"/>
      <c r="BQ2888" s="426"/>
      <c r="BU2888" s="426"/>
      <c r="BV2888" s="426"/>
      <c r="BZ2888" s="426"/>
      <c r="CA2888" s="426"/>
      <c r="CE2888" s="579"/>
      <c r="CF2888" s="579"/>
      <c r="CG2888" s="579"/>
      <c r="CH2888" s="579"/>
      <c r="CJ2888" s="99">
        <v>11.25</v>
      </c>
      <c r="CK2888" s="99">
        <v>24.9</v>
      </c>
      <c r="CL2888" s="99">
        <f t="shared" si="406"/>
        <v>10.579999999999998</v>
      </c>
      <c r="CM2888" s="99">
        <f t="shared" si="406"/>
        <v>10.579999999999998</v>
      </c>
      <c r="CN2888" s="126" t="s">
        <v>2952</v>
      </c>
      <c r="JD2888" s="508"/>
    </row>
    <row r="2889" spans="1:264" s="97" customFormat="1" x14ac:dyDescent="0.25">
      <c r="A2889" s="97">
        <v>135</v>
      </c>
      <c r="B2889" s="98" t="s">
        <v>4377</v>
      </c>
      <c r="C2889" s="97" t="s">
        <v>2944</v>
      </c>
      <c r="D2889" s="97" t="s">
        <v>2945</v>
      </c>
      <c r="E2889" s="97">
        <v>2006</v>
      </c>
      <c r="F2889" s="97">
        <v>2004</v>
      </c>
      <c r="G2889" s="97" t="s">
        <v>2738</v>
      </c>
      <c r="H2889" s="97" t="s">
        <v>2947</v>
      </c>
      <c r="I2889" s="97" t="s">
        <v>2827</v>
      </c>
      <c r="J2889" s="97">
        <f t="shared" si="399"/>
        <v>-15.308333333333334</v>
      </c>
      <c r="K2889" s="97">
        <f t="shared" si="400"/>
        <v>35.391666666666666</v>
      </c>
      <c r="L2889" s="97">
        <v>853</v>
      </c>
      <c r="R2889" s="98" t="s">
        <v>1728</v>
      </c>
      <c r="S2889" s="98" t="s">
        <v>1858</v>
      </c>
      <c r="T2889" s="98"/>
      <c r="U2889" s="98" t="s">
        <v>2946</v>
      </c>
      <c r="V2889" s="98" t="s">
        <v>1379</v>
      </c>
      <c r="W2889" s="98" t="s">
        <v>1715</v>
      </c>
      <c r="X2889" s="98" t="s">
        <v>1379</v>
      </c>
      <c r="Y2889" s="98" t="s">
        <v>1379</v>
      </c>
      <c r="AA2889" s="350"/>
      <c r="AB2889" s="350"/>
      <c r="AC2889" s="97" t="s">
        <v>240</v>
      </c>
      <c r="AD2889" s="97">
        <v>6.04</v>
      </c>
      <c r="AE2889" s="97">
        <v>0.58499999999999996</v>
      </c>
      <c r="AG2889" s="97" t="s">
        <v>2948</v>
      </c>
      <c r="AH2889" s="97" t="s">
        <v>2697</v>
      </c>
      <c r="AI2889" s="97" t="s">
        <v>577</v>
      </c>
      <c r="AJ2889" s="97" t="s">
        <v>1645</v>
      </c>
      <c r="AK2889" s="97" t="s">
        <v>132</v>
      </c>
      <c r="AW2889" s="97" t="s">
        <v>160</v>
      </c>
      <c r="AX2889" s="97">
        <v>3</v>
      </c>
      <c r="AY2889" s="97">
        <v>4</v>
      </c>
      <c r="BB2889" s="97">
        <v>2086</v>
      </c>
      <c r="BE2889" s="97" t="s">
        <v>2950</v>
      </c>
      <c r="BK2889" s="97">
        <v>681</v>
      </c>
      <c r="BL2889" s="97">
        <v>1131</v>
      </c>
      <c r="BM2889" s="97">
        <v>338</v>
      </c>
      <c r="BN2889" s="97">
        <v>338</v>
      </c>
      <c r="BP2889" s="425"/>
      <c r="BQ2889" s="425"/>
      <c r="BU2889" s="425"/>
      <c r="BV2889" s="425"/>
      <c r="BZ2889" s="425"/>
      <c r="CA2889" s="425"/>
      <c r="CE2889" s="578"/>
      <c r="CF2889" s="578"/>
      <c r="CG2889" s="578"/>
      <c r="CH2889" s="578"/>
      <c r="CJ2889" s="97">
        <v>11.06</v>
      </c>
      <c r="CK2889" s="97">
        <v>23.94</v>
      </c>
      <c r="CL2889" s="97">
        <f>47.98-42.02</f>
        <v>5.9599999999999937</v>
      </c>
      <c r="CM2889" s="97">
        <f>47.98-42.02</f>
        <v>5.9599999999999937</v>
      </c>
      <c r="CN2889" s="97" t="s">
        <v>2952</v>
      </c>
      <c r="JD2889" s="514"/>
    </row>
    <row r="2890" spans="1:264" s="97" customFormat="1" x14ac:dyDescent="0.25">
      <c r="A2890" s="97">
        <v>135</v>
      </c>
      <c r="B2890" s="98" t="s">
        <v>4377</v>
      </c>
      <c r="C2890" s="97" t="s">
        <v>2944</v>
      </c>
      <c r="D2890" s="97" t="s">
        <v>2945</v>
      </c>
      <c r="E2890" s="97">
        <v>2006</v>
      </c>
      <c r="F2890" s="97">
        <v>2004</v>
      </c>
      <c r="G2890" s="97" t="s">
        <v>2738</v>
      </c>
      <c r="H2890" s="97" t="s">
        <v>2947</v>
      </c>
      <c r="I2890" s="97" t="s">
        <v>2827</v>
      </c>
      <c r="J2890" s="97">
        <f t="shared" si="399"/>
        <v>-15.308333333333334</v>
      </c>
      <c r="K2890" s="97">
        <f t="shared" si="400"/>
        <v>35.391666666666666</v>
      </c>
      <c r="L2890" s="97">
        <v>853</v>
      </c>
      <c r="R2890" s="98" t="s">
        <v>1728</v>
      </c>
      <c r="S2890" s="98" t="s">
        <v>1858</v>
      </c>
      <c r="T2890" s="98"/>
      <c r="U2890" s="98" t="s">
        <v>2946</v>
      </c>
      <c r="V2890" s="98" t="s">
        <v>1379</v>
      </c>
      <c r="W2890" s="98" t="s">
        <v>1715</v>
      </c>
      <c r="X2890" s="98" t="s">
        <v>1379</v>
      </c>
      <c r="Y2890" s="98" t="s">
        <v>1379</v>
      </c>
      <c r="AA2890" s="350"/>
      <c r="AB2890" s="350"/>
      <c r="AC2890" s="97" t="s">
        <v>240</v>
      </c>
      <c r="AD2890" s="97">
        <v>6.04</v>
      </c>
      <c r="AE2890" s="97">
        <v>0.58499999999999996</v>
      </c>
      <c r="AG2890" s="97" t="s">
        <v>2948</v>
      </c>
      <c r="AH2890" s="97" t="s">
        <v>2770</v>
      </c>
      <c r="AI2890" s="97" t="s">
        <v>577</v>
      </c>
      <c r="AJ2890" s="97" t="s">
        <v>1645</v>
      </c>
      <c r="AK2890" s="97" t="s">
        <v>132</v>
      </c>
      <c r="AW2890" s="97" t="s">
        <v>160</v>
      </c>
      <c r="AX2890" s="97">
        <v>3</v>
      </c>
      <c r="AY2890" s="97">
        <v>4</v>
      </c>
      <c r="BB2890" s="97">
        <v>976</v>
      </c>
      <c r="BE2890" s="97" t="s">
        <v>2950</v>
      </c>
      <c r="BK2890" s="97">
        <v>681</v>
      </c>
      <c r="BL2890" s="97">
        <v>844</v>
      </c>
      <c r="BM2890" s="97">
        <v>338</v>
      </c>
      <c r="BN2890" s="97">
        <v>338</v>
      </c>
      <c r="BP2890" s="425"/>
      <c r="BQ2890" s="425"/>
      <c r="BU2890" s="425"/>
      <c r="BV2890" s="425"/>
      <c r="BZ2890" s="425"/>
      <c r="CA2890" s="425"/>
      <c r="CE2890" s="578"/>
      <c r="CF2890" s="578"/>
      <c r="CG2890" s="578"/>
      <c r="CH2890" s="578"/>
      <c r="CJ2890" s="97">
        <v>11.06</v>
      </c>
      <c r="CK2890" s="97">
        <v>20.48</v>
      </c>
      <c r="CL2890" s="97">
        <f t="shared" ref="CL2890:CM2891" si="407">47.98-42.02</f>
        <v>5.9599999999999937</v>
      </c>
      <c r="CM2890" s="97">
        <f t="shared" si="407"/>
        <v>5.9599999999999937</v>
      </c>
      <c r="CN2890" s="97" t="s">
        <v>2952</v>
      </c>
      <c r="JD2890" s="514"/>
    </row>
    <row r="2891" spans="1:264" s="97" customFormat="1" x14ac:dyDescent="0.25">
      <c r="A2891" s="97">
        <v>135</v>
      </c>
      <c r="B2891" s="98" t="s">
        <v>4377</v>
      </c>
      <c r="C2891" s="97" t="s">
        <v>2944</v>
      </c>
      <c r="D2891" s="97" t="s">
        <v>2945</v>
      </c>
      <c r="E2891" s="97">
        <v>2006</v>
      </c>
      <c r="F2891" s="97">
        <v>2004</v>
      </c>
      <c r="G2891" s="97" t="s">
        <v>2738</v>
      </c>
      <c r="H2891" s="97" t="s">
        <v>2947</v>
      </c>
      <c r="I2891" s="97" t="s">
        <v>2827</v>
      </c>
      <c r="J2891" s="97">
        <f t="shared" si="399"/>
        <v>-15.308333333333334</v>
      </c>
      <c r="K2891" s="97">
        <f t="shared" si="400"/>
        <v>35.391666666666666</v>
      </c>
      <c r="L2891" s="97">
        <v>853</v>
      </c>
      <c r="R2891" s="98" t="s">
        <v>1728</v>
      </c>
      <c r="S2891" s="98" t="s">
        <v>1858</v>
      </c>
      <c r="T2891" s="98"/>
      <c r="U2891" s="98" t="s">
        <v>2946</v>
      </c>
      <c r="V2891" s="98" t="s">
        <v>1379</v>
      </c>
      <c r="W2891" s="98" t="s">
        <v>1715</v>
      </c>
      <c r="X2891" s="98" t="s">
        <v>1379</v>
      </c>
      <c r="Y2891" s="98" t="s">
        <v>1379</v>
      </c>
      <c r="AA2891" s="350"/>
      <c r="AB2891" s="350"/>
      <c r="AC2891" s="97" t="s">
        <v>240</v>
      </c>
      <c r="AD2891" s="97">
        <v>6.04</v>
      </c>
      <c r="AE2891" s="97">
        <v>0.58499999999999996</v>
      </c>
      <c r="AG2891" s="97" t="s">
        <v>2948</v>
      </c>
      <c r="AH2891" s="97" t="s">
        <v>2853</v>
      </c>
      <c r="AI2891" s="97" t="s">
        <v>577</v>
      </c>
      <c r="AJ2891" s="97" t="s">
        <v>1645</v>
      </c>
      <c r="AK2891" s="97" t="s">
        <v>132</v>
      </c>
      <c r="AW2891" s="97" t="s">
        <v>160</v>
      </c>
      <c r="AX2891" s="97">
        <v>3</v>
      </c>
      <c r="AY2891" s="97">
        <v>4</v>
      </c>
      <c r="BB2891" s="97">
        <v>1154</v>
      </c>
      <c r="BE2891" s="97" t="s">
        <v>2950</v>
      </c>
      <c r="BK2891" s="97">
        <v>681</v>
      </c>
      <c r="BL2891" s="97">
        <v>1131</v>
      </c>
      <c r="BM2891" s="97">
        <v>338</v>
      </c>
      <c r="BN2891" s="97">
        <v>338</v>
      </c>
      <c r="BP2891" s="425"/>
      <c r="BQ2891" s="425"/>
      <c r="BU2891" s="425"/>
      <c r="BV2891" s="425"/>
      <c r="BZ2891" s="425"/>
      <c r="CA2891" s="425"/>
      <c r="CE2891" s="578"/>
      <c r="CF2891" s="578"/>
      <c r="CG2891" s="578"/>
      <c r="CH2891" s="578"/>
      <c r="CJ2891" s="97">
        <v>11.06</v>
      </c>
      <c r="CK2891" s="97">
        <v>13.37</v>
      </c>
      <c r="CL2891" s="97">
        <f t="shared" si="407"/>
        <v>5.9599999999999937</v>
      </c>
      <c r="CM2891" s="97">
        <f t="shared" si="407"/>
        <v>5.9599999999999937</v>
      </c>
      <c r="CN2891" s="97" t="s">
        <v>2952</v>
      </c>
      <c r="JD2891" s="514"/>
    </row>
    <row r="2892" spans="1:264" s="99" customFormat="1" x14ac:dyDescent="0.25">
      <c r="A2892" s="99">
        <v>135</v>
      </c>
      <c r="B2892" s="100" t="s">
        <v>4377</v>
      </c>
      <c r="C2892" s="99" t="s">
        <v>2944</v>
      </c>
      <c r="D2892" s="99" t="s">
        <v>2945</v>
      </c>
      <c r="E2892" s="99">
        <v>2006</v>
      </c>
      <c r="F2892" s="99">
        <v>2004</v>
      </c>
      <c r="G2892" s="99" t="s">
        <v>2738</v>
      </c>
      <c r="H2892" s="99" t="s">
        <v>2947</v>
      </c>
      <c r="I2892" s="99" t="s">
        <v>2827</v>
      </c>
      <c r="J2892" s="99">
        <f t="shared" si="399"/>
        <v>-15.308333333333334</v>
      </c>
      <c r="K2892" s="99">
        <f t="shared" si="400"/>
        <v>35.391666666666666</v>
      </c>
      <c r="L2892" s="99">
        <v>853</v>
      </c>
      <c r="R2892" s="100" t="s">
        <v>1728</v>
      </c>
      <c r="S2892" s="100" t="s">
        <v>1858</v>
      </c>
      <c r="T2892" s="100"/>
      <c r="U2892" s="100" t="s">
        <v>2946</v>
      </c>
      <c r="V2892" s="100" t="s">
        <v>1379</v>
      </c>
      <c r="W2892" s="100" t="s">
        <v>1715</v>
      </c>
      <c r="X2892" s="100" t="s">
        <v>1379</v>
      </c>
      <c r="Y2892" s="100" t="s">
        <v>1379</v>
      </c>
      <c r="AA2892" s="351"/>
      <c r="AB2892" s="351"/>
      <c r="AC2892" s="99" t="s">
        <v>240</v>
      </c>
      <c r="AD2892" s="99">
        <v>6.15</v>
      </c>
      <c r="AE2892" s="99">
        <v>0.69399999999999995</v>
      </c>
      <c r="AG2892" s="99" t="s">
        <v>2948</v>
      </c>
      <c r="AH2892" s="99" t="s">
        <v>2697</v>
      </c>
      <c r="AI2892" s="99" t="s">
        <v>577</v>
      </c>
      <c r="AJ2892" s="99" t="s">
        <v>1645</v>
      </c>
      <c r="AK2892" s="99" t="s">
        <v>132</v>
      </c>
      <c r="AW2892" s="99" t="s">
        <v>160</v>
      </c>
      <c r="AX2892" s="99">
        <v>3</v>
      </c>
      <c r="AY2892" s="99">
        <v>4</v>
      </c>
      <c r="BB2892" s="99">
        <v>1697</v>
      </c>
      <c r="BE2892" s="99" t="s">
        <v>2951</v>
      </c>
      <c r="BK2892" s="99">
        <v>406</v>
      </c>
      <c r="BL2892" s="99">
        <v>731</v>
      </c>
      <c r="BM2892" s="99">
        <f>2994-2844</f>
        <v>150</v>
      </c>
      <c r="BN2892" s="99">
        <f>2994-2844</f>
        <v>150</v>
      </c>
      <c r="BP2892" s="426"/>
      <c r="BQ2892" s="426"/>
      <c r="BU2892" s="426"/>
      <c r="BV2892" s="426"/>
      <c r="BZ2892" s="426"/>
      <c r="CA2892" s="426"/>
      <c r="CE2892" s="579"/>
      <c r="CF2892" s="579"/>
      <c r="CG2892" s="579"/>
      <c r="CH2892" s="579"/>
      <c r="CJ2892" s="99">
        <v>7.6</v>
      </c>
      <c r="CK2892" s="99">
        <v>14.71</v>
      </c>
      <c r="CL2892" s="99">
        <f>46.63-43.55</f>
        <v>3.0800000000000054</v>
      </c>
      <c r="CM2892" s="99">
        <f>46.63-43.55</f>
        <v>3.0800000000000054</v>
      </c>
      <c r="CN2892" s="99" t="s">
        <v>2952</v>
      </c>
      <c r="JD2892" s="508"/>
    </row>
    <row r="2893" spans="1:264" s="99" customFormat="1" x14ac:dyDescent="0.25">
      <c r="A2893" s="99">
        <v>135</v>
      </c>
      <c r="B2893" s="100" t="s">
        <v>4377</v>
      </c>
      <c r="C2893" s="99" t="s">
        <v>2944</v>
      </c>
      <c r="D2893" s="99" t="s">
        <v>2945</v>
      </c>
      <c r="E2893" s="99">
        <v>2006</v>
      </c>
      <c r="F2893" s="99">
        <v>2004</v>
      </c>
      <c r="G2893" s="99" t="s">
        <v>2738</v>
      </c>
      <c r="H2893" s="99" t="s">
        <v>2947</v>
      </c>
      <c r="I2893" s="99" t="s">
        <v>2827</v>
      </c>
      <c r="J2893" s="99">
        <f t="shared" si="399"/>
        <v>-15.308333333333334</v>
      </c>
      <c r="K2893" s="99">
        <f t="shared" si="400"/>
        <v>35.391666666666666</v>
      </c>
      <c r="L2893" s="99">
        <v>853</v>
      </c>
      <c r="R2893" s="100" t="s">
        <v>1728</v>
      </c>
      <c r="S2893" s="100" t="s">
        <v>1858</v>
      </c>
      <c r="T2893" s="100"/>
      <c r="U2893" s="100" t="s">
        <v>2946</v>
      </c>
      <c r="V2893" s="100" t="s">
        <v>1379</v>
      </c>
      <c r="W2893" s="100" t="s">
        <v>1715</v>
      </c>
      <c r="X2893" s="100" t="s">
        <v>1379</v>
      </c>
      <c r="Y2893" s="100" t="s">
        <v>1379</v>
      </c>
      <c r="AA2893" s="351"/>
      <c r="AB2893" s="351"/>
      <c r="AC2893" s="99" t="s">
        <v>240</v>
      </c>
      <c r="AD2893" s="99">
        <v>6.15</v>
      </c>
      <c r="AE2893" s="99">
        <v>0.69399999999999995</v>
      </c>
      <c r="AG2893" s="99" t="s">
        <v>2948</v>
      </c>
      <c r="AH2893" s="99" t="s">
        <v>2770</v>
      </c>
      <c r="AI2893" s="99" t="s">
        <v>577</v>
      </c>
      <c r="AJ2893" s="99" t="s">
        <v>1645</v>
      </c>
      <c r="AK2893" s="99" t="s">
        <v>132</v>
      </c>
      <c r="AW2893" s="99" t="s">
        <v>160</v>
      </c>
      <c r="AX2893" s="99">
        <v>3</v>
      </c>
      <c r="AY2893" s="99">
        <v>4</v>
      </c>
      <c r="BB2893" s="99">
        <v>372</v>
      </c>
      <c r="BE2893" s="99" t="s">
        <v>2951</v>
      </c>
      <c r="BK2893" s="99">
        <v>406</v>
      </c>
      <c r="BL2893" s="99">
        <v>544</v>
      </c>
      <c r="BM2893" s="99">
        <f t="shared" ref="BM2893:BN2894" si="408">2994-2844</f>
        <v>150</v>
      </c>
      <c r="BN2893" s="99">
        <f t="shared" si="408"/>
        <v>150</v>
      </c>
      <c r="BP2893" s="426"/>
      <c r="BQ2893" s="426"/>
      <c r="BU2893" s="426"/>
      <c r="BV2893" s="426"/>
      <c r="BZ2893" s="426"/>
      <c r="CA2893" s="426"/>
      <c r="CE2893" s="579"/>
      <c r="CF2893" s="579"/>
      <c r="CG2893" s="579"/>
      <c r="CH2893" s="579"/>
      <c r="CJ2893" s="99">
        <v>7.6</v>
      </c>
      <c r="CK2893" s="99">
        <v>11.63</v>
      </c>
      <c r="CL2893" s="99">
        <f t="shared" ref="CL2893:CM2894" si="409">46.63-43.55</f>
        <v>3.0800000000000054</v>
      </c>
      <c r="CM2893" s="99">
        <f t="shared" si="409"/>
        <v>3.0800000000000054</v>
      </c>
      <c r="CN2893" s="99" t="s">
        <v>2952</v>
      </c>
      <c r="JD2893" s="508"/>
    </row>
    <row r="2894" spans="1:264" s="99" customFormat="1" x14ac:dyDescent="0.25">
      <c r="A2894" s="99">
        <v>135</v>
      </c>
      <c r="B2894" s="100" t="s">
        <v>4377</v>
      </c>
      <c r="C2894" s="99" t="s">
        <v>2944</v>
      </c>
      <c r="D2894" s="99" t="s">
        <v>2945</v>
      </c>
      <c r="E2894" s="99">
        <v>2006</v>
      </c>
      <c r="F2894" s="99">
        <v>2004</v>
      </c>
      <c r="G2894" s="99" t="s">
        <v>2738</v>
      </c>
      <c r="H2894" s="99" t="s">
        <v>2947</v>
      </c>
      <c r="I2894" s="99" t="s">
        <v>2827</v>
      </c>
      <c r="J2894" s="99">
        <f t="shared" si="399"/>
        <v>-15.308333333333334</v>
      </c>
      <c r="K2894" s="99">
        <f t="shared" si="400"/>
        <v>35.391666666666666</v>
      </c>
      <c r="L2894" s="99">
        <v>853</v>
      </c>
      <c r="R2894" s="100" t="s">
        <v>1728</v>
      </c>
      <c r="S2894" s="100" t="s">
        <v>1858</v>
      </c>
      <c r="T2894" s="100"/>
      <c r="U2894" s="100" t="s">
        <v>2946</v>
      </c>
      <c r="V2894" s="100" t="s">
        <v>1379</v>
      </c>
      <c r="W2894" s="100" t="s">
        <v>1715</v>
      </c>
      <c r="X2894" s="100" t="s">
        <v>1379</v>
      </c>
      <c r="Y2894" s="100" t="s">
        <v>1379</v>
      </c>
      <c r="AA2894" s="351"/>
      <c r="AB2894" s="351"/>
      <c r="AC2894" s="99" t="s">
        <v>240</v>
      </c>
      <c r="AD2894" s="99">
        <v>6.15</v>
      </c>
      <c r="AE2894" s="99">
        <v>0.69399999999999995</v>
      </c>
      <c r="AG2894" s="99" t="s">
        <v>2948</v>
      </c>
      <c r="AH2894" s="99" t="s">
        <v>2853</v>
      </c>
      <c r="AI2894" s="99" t="s">
        <v>577</v>
      </c>
      <c r="AJ2894" s="99" t="s">
        <v>1645</v>
      </c>
      <c r="AK2894" s="99" t="s">
        <v>132</v>
      </c>
      <c r="AW2894" s="99" t="s">
        <v>160</v>
      </c>
      <c r="AX2894" s="99">
        <v>3</v>
      </c>
      <c r="AY2894" s="99">
        <v>4</v>
      </c>
      <c r="BB2894" s="99">
        <v>562</v>
      </c>
      <c r="BE2894" s="99" t="s">
        <v>2951</v>
      </c>
      <c r="BK2894" s="99">
        <v>406</v>
      </c>
      <c r="BL2894" s="99">
        <v>606</v>
      </c>
      <c r="BM2894" s="99">
        <f t="shared" si="408"/>
        <v>150</v>
      </c>
      <c r="BN2894" s="99">
        <f t="shared" si="408"/>
        <v>150</v>
      </c>
      <c r="BP2894" s="426"/>
      <c r="BQ2894" s="426"/>
      <c r="BU2894" s="426"/>
      <c r="BV2894" s="426"/>
      <c r="BZ2894" s="426"/>
      <c r="CA2894" s="426"/>
      <c r="CE2894" s="579"/>
      <c r="CF2894" s="579"/>
      <c r="CG2894" s="579"/>
      <c r="CH2894" s="579"/>
      <c r="CJ2894" s="99">
        <v>7.6</v>
      </c>
      <c r="CK2894" s="99">
        <v>12.4</v>
      </c>
      <c r="CL2894" s="99">
        <f t="shared" si="409"/>
        <v>3.0800000000000054</v>
      </c>
      <c r="CM2894" s="99">
        <f t="shared" si="409"/>
        <v>3.0800000000000054</v>
      </c>
      <c r="CN2894" s="99" t="s">
        <v>2952</v>
      </c>
      <c r="JD2894" s="508"/>
    </row>
    <row r="2895" spans="1:264" s="24" customFormat="1" x14ac:dyDescent="0.25">
      <c r="A2895" s="24">
        <v>136</v>
      </c>
      <c r="B2895" s="42" t="s">
        <v>4378</v>
      </c>
      <c r="C2895" s="24" t="s">
        <v>2954</v>
      </c>
      <c r="D2895" s="24" t="s">
        <v>2953</v>
      </c>
      <c r="E2895" s="24">
        <v>2003</v>
      </c>
      <c r="F2895" s="24">
        <v>1993</v>
      </c>
      <c r="G2895" s="24" t="s">
        <v>2738</v>
      </c>
      <c r="H2895" s="24" t="s">
        <v>2956</v>
      </c>
      <c r="I2895" s="24" t="s">
        <v>2823</v>
      </c>
      <c r="J2895" s="24">
        <f t="shared" ref="J2895:J2900" si="410">4+45/60</f>
        <v>4.75</v>
      </c>
      <c r="K2895" s="24">
        <f t="shared" ref="K2895:K2900" si="411">7+18/60</f>
        <v>7.3</v>
      </c>
      <c r="L2895" s="24">
        <v>19.600000000000001</v>
      </c>
      <c r="P2895" s="24">
        <v>2400</v>
      </c>
      <c r="R2895" s="42" t="s">
        <v>1977</v>
      </c>
      <c r="S2895" s="42" t="s">
        <v>1847</v>
      </c>
      <c r="T2895" s="42"/>
      <c r="U2895" s="42" t="s">
        <v>2962</v>
      </c>
      <c r="V2895" s="42" t="s">
        <v>1394</v>
      </c>
      <c r="W2895" s="42" t="s">
        <v>1722</v>
      </c>
      <c r="X2895" s="42" t="s">
        <v>1394</v>
      </c>
      <c r="Y2895" s="42" t="s">
        <v>1389</v>
      </c>
      <c r="AA2895" s="321"/>
      <c r="AB2895" s="321"/>
      <c r="AD2895" s="24">
        <v>4.5</v>
      </c>
      <c r="AE2895" s="24">
        <v>1.1299999999999999</v>
      </c>
      <c r="AH2895" s="24" t="s">
        <v>2853</v>
      </c>
      <c r="AI2895" s="24" t="s">
        <v>577</v>
      </c>
      <c r="AJ2895" s="24" t="s">
        <v>1645</v>
      </c>
      <c r="AK2895" s="24" t="s">
        <v>132</v>
      </c>
      <c r="AW2895" s="24" t="s">
        <v>2780</v>
      </c>
      <c r="AZ2895" s="24" t="s">
        <v>2955</v>
      </c>
      <c r="BK2895" s="24">
        <v>10204</v>
      </c>
      <c r="BL2895" s="24">
        <v>7015</v>
      </c>
      <c r="BM2895" s="24">
        <v>3720</v>
      </c>
      <c r="BN2895" s="24">
        <v>3720</v>
      </c>
      <c r="BO2895" s="24" t="s">
        <v>2963</v>
      </c>
      <c r="BP2895" s="395"/>
      <c r="BQ2895" s="395"/>
      <c r="BU2895" s="395">
        <v>1.3</v>
      </c>
      <c r="BV2895" s="395">
        <v>1.23</v>
      </c>
      <c r="BW2895" s="24">
        <v>0.11</v>
      </c>
      <c r="BX2895" s="24">
        <v>0.11</v>
      </c>
      <c r="BY2895" s="24" t="s">
        <v>2958</v>
      </c>
      <c r="BZ2895" s="395"/>
      <c r="CA2895" s="395"/>
      <c r="CD2895" s="24" t="s">
        <v>3120</v>
      </c>
      <c r="CE2895" s="548">
        <v>1.3</v>
      </c>
      <c r="CF2895" s="548">
        <v>1.23</v>
      </c>
      <c r="CG2895" s="548">
        <v>0.11</v>
      </c>
      <c r="CH2895" s="548">
        <v>0.11</v>
      </c>
      <c r="CI2895" s="24" t="s">
        <v>4546</v>
      </c>
      <c r="CJ2895" s="24">
        <v>0.1</v>
      </c>
      <c r="CK2895" s="24">
        <v>0.10299999999999999</v>
      </c>
      <c r="CL2895" s="24">
        <v>1.0999999999999999E-2</v>
      </c>
      <c r="CM2895" s="24">
        <v>1.0999999999999999E-2</v>
      </c>
      <c r="CN2895" s="24" t="s">
        <v>2957</v>
      </c>
      <c r="CO2895" s="24">
        <v>45.93</v>
      </c>
      <c r="CP2895" s="24">
        <v>41.23</v>
      </c>
      <c r="CQ2895" s="24">
        <v>16</v>
      </c>
      <c r="CR2895" s="24">
        <v>16</v>
      </c>
      <c r="CS2895" s="24" t="s">
        <v>2959</v>
      </c>
      <c r="CT2895" s="24">
        <v>7.0000000000000007E-2</v>
      </c>
      <c r="CU2895" s="24">
        <v>0.09</v>
      </c>
      <c r="CV2895" s="24">
        <v>0.01</v>
      </c>
      <c r="CW2895" s="24">
        <v>0.01</v>
      </c>
      <c r="CX2895" s="24" t="s">
        <v>2960</v>
      </c>
      <c r="CY2895" s="24">
        <v>4.9000000000000004</v>
      </c>
      <c r="CZ2895" s="24">
        <v>4.7</v>
      </c>
      <c r="DA2895" s="24">
        <v>0.14000000000000001</v>
      </c>
      <c r="DB2895" s="24">
        <v>0.14000000000000001</v>
      </c>
      <c r="DD2895" s="24">
        <v>2.23</v>
      </c>
      <c r="DE2895" s="24">
        <v>2.27</v>
      </c>
      <c r="DF2895" s="24">
        <v>0.15</v>
      </c>
      <c r="DG2895" s="24">
        <v>0.15</v>
      </c>
      <c r="DH2895" s="24" t="s">
        <v>2961</v>
      </c>
      <c r="DN2895" s="24">
        <v>45.78</v>
      </c>
      <c r="DO2895" s="24">
        <v>58.6</v>
      </c>
      <c r="DP2895" s="24">
        <v>10.01</v>
      </c>
      <c r="DQ2895" s="24">
        <v>10.01</v>
      </c>
      <c r="DR2895" s="24" t="s">
        <v>164</v>
      </c>
      <c r="FV2895" s="24">
        <v>5274</v>
      </c>
      <c r="FW2895" s="24">
        <v>1863</v>
      </c>
      <c r="FZ2895" s="24" t="s">
        <v>2965</v>
      </c>
      <c r="JD2895" s="249"/>
    </row>
    <row r="2896" spans="1:264" s="24" customFormat="1" x14ac:dyDescent="0.25">
      <c r="A2896" s="24">
        <v>136</v>
      </c>
      <c r="B2896" s="42" t="s">
        <v>4379</v>
      </c>
      <c r="C2896" s="24" t="s">
        <v>2954</v>
      </c>
      <c r="D2896" s="24" t="s">
        <v>2953</v>
      </c>
      <c r="E2896" s="24">
        <v>2003</v>
      </c>
      <c r="F2896" s="24">
        <v>1993</v>
      </c>
      <c r="G2896" s="24" t="s">
        <v>2738</v>
      </c>
      <c r="H2896" s="24" t="s">
        <v>2956</v>
      </c>
      <c r="I2896" s="24" t="s">
        <v>2823</v>
      </c>
      <c r="J2896" s="24">
        <f t="shared" si="410"/>
        <v>4.75</v>
      </c>
      <c r="K2896" s="24">
        <f t="shared" si="411"/>
        <v>7.3</v>
      </c>
      <c r="L2896" s="24">
        <v>19.600000000000001</v>
      </c>
      <c r="P2896" s="24">
        <v>2400</v>
      </c>
      <c r="R2896" s="42" t="s">
        <v>1977</v>
      </c>
      <c r="S2896" s="42" t="s">
        <v>1847</v>
      </c>
      <c r="T2896" s="42"/>
      <c r="U2896" s="42" t="s">
        <v>2962</v>
      </c>
      <c r="V2896" s="42" t="s">
        <v>1412</v>
      </c>
      <c r="W2896" s="42" t="s">
        <v>1719</v>
      </c>
      <c r="X2896" s="42" t="s">
        <v>1394</v>
      </c>
      <c r="Y2896" s="42" t="s">
        <v>1389</v>
      </c>
      <c r="AA2896" s="321"/>
      <c r="AB2896" s="321"/>
      <c r="AD2896" s="24">
        <v>4.5</v>
      </c>
      <c r="AE2896" s="24">
        <v>1.1299999999999999</v>
      </c>
      <c r="AH2896" s="24" t="s">
        <v>2853</v>
      </c>
      <c r="AI2896" s="24" t="s">
        <v>577</v>
      </c>
      <c r="AJ2896" s="24" t="s">
        <v>1645</v>
      </c>
      <c r="AK2896" s="24" t="s">
        <v>132</v>
      </c>
      <c r="AW2896" s="24" t="s">
        <v>2780</v>
      </c>
      <c r="AZ2896" s="24" t="s">
        <v>2955</v>
      </c>
      <c r="BK2896" s="24">
        <v>236</v>
      </c>
      <c r="BL2896" s="24">
        <v>186</v>
      </c>
      <c r="BM2896" s="24">
        <v>260</v>
      </c>
      <c r="BN2896" s="24">
        <v>260</v>
      </c>
      <c r="BO2896" s="24" t="s">
        <v>2964</v>
      </c>
      <c r="BP2896" s="395"/>
      <c r="BQ2896" s="395"/>
      <c r="BU2896" s="395">
        <v>0.85</v>
      </c>
      <c r="BV2896" s="395">
        <v>0.98</v>
      </c>
      <c r="BW2896" s="24">
        <v>0.08</v>
      </c>
      <c r="BX2896" s="24">
        <v>0.08</v>
      </c>
      <c r="BY2896" s="24" t="s">
        <v>2958</v>
      </c>
      <c r="BZ2896" s="395"/>
      <c r="CA2896" s="395"/>
      <c r="CD2896" s="24" t="s">
        <v>3120</v>
      </c>
      <c r="CE2896" s="548">
        <v>0.85</v>
      </c>
      <c r="CF2896" s="548">
        <v>0.98</v>
      </c>
      <c r="CG2896" s="548">
        <v>0.08</v>
      </c>
      <c r="CH2896" s="548">
        <v>0.08</v>
      </c>
      <c r="CI2896" s="24" t="s">
        <v>4546</v>
      </c>
      <c r="CJ2896" s="24">
        <v>7.6999999999999999E-2</v>
      </c>
      <c r="CK2896" s="24">
        <v>7.9000000000000001E-2</v>
      </c>
      <c r="CL2896" s="24">
        <v>3.0000000000000001E-3</v>
      </c>
      <c r="CM2896" s="24">
        <v>3.0000000000000001E-3</v>
      </c>
      <c r="CN2896" s="24" t="s">
        <v>2957</v>
      </c>
      <c r="CO2896" s="24">
        <v>35.5</v>
      </c>
      <c r="CP2896" s="24">
        <v>70.5</v>
      </c>
      <c r="CQ2896" s="24">
        <v>16.579999999999998</v>
      </c>
      <c r="CR2896" s="24">
        <v>16.579999999999998</v>
      </c>
      <c r="CS2896" s="24" t="s">
        <v>2959</v>
      </c>
      <c r="CT2896" s="24">
        <v>0.06</v>
      </c>
      <c r="CU2896" s="24">
        <v>0.06</v>
      </c>
      <c r="CV2896" s="24">
        <v>0.01</v>
      </c>
      <c r="CW2896" s="24">
        <v>0.01</v>
      </c>
      <c r="CX2896" s="24" t="s">
        <v>2960</v>
      </c>
      <c r="CY2896" s="24">
        <v>4.9000000000000004</v>
      </c>
      <c r="CZ2896" s="24">
        <v>4.5999999999999996</v>
      </c>
      <c r="DA2896" s="24">
        <v>0.11</v>
      </c>
      <c r="DB2896" s="24">
        <v>0.11</v>
      </c>
      <c r="DD2896" s="24">
        <v>2.27</v>
      </c>
      <c r="DE2896" s="24">
        <v>1.9630000000000001</v>
      </c>
      <c r="DF2896" s="24">
        <v>0.2</v>
      </c>
      <c r="DG2896" s="24">
        <v>0.2</v>
      </c>
      <c r="DH2896" s="24" t="s">
        <v>2961</v>
      </c>
      <c r="DN2896" s="24">
        <v>39.36</v>
      </c>
      <c r="DO2896" s="24">
        <v>3.07</v>
      </c>
      <c r="DP2896" s="24">
        <v>6.86</v>
      </c>
      <c r="DQ2896" s="24">
        <v>6.86</v>
      </c>
      <c r="DR2896" s="24" t="s">
        <v>164</v>
      </c>
      <c r="JD2896" s="249"/>
    </row>
    <row r="2897" spans="1:264" s="24" customFormat="1" x14ac:dyDescent="0.25">
      <c r="A2897" s="24">
        <v>136</v>
      </c>
      <c r="B2897" s="42" t="s">
        <v>4380</v>
      </c>
      <c r="C2897" s="24" t="s">
        <v>2954</v>
      </c>
      <c r="D2897" s="24" t="s">
        <v>2953</v>
      </c>
      <c r="E2897" s="24">
        <v>2003</v>
      </c>
      <c r="F2897" s="24">
        <v>1993</v>
      </c>
      <c r="G2897" s="24" t="s">
        <v>2738</v>
      </c>
      <c r="H2897" s="24" t="s">
        <v>2956</v>
      </c>
      <c r="I2897" s="24" t="s">
        <v>2823</v>
      </c>
      <c r="J2897" s="24">
        <f t="shared" si="410"/>
        <v>4.75</v>
      </c>
      <c r="K2897" s="24">
        <f t="shared" si="411"/>
        <v>7.3</v>
      </c>
      <c r="L2897" s="24">
        <v>19.600000000000001</v>
      </c>
      <c r="P2897" s="24">
        <v>2400</v>
      </c>
      <c r="R2897" s="42" t="s">
        <v>1977</v>
      </c>
      <c r="S2897" s="42" t="s">
        <v>1847</v>
      </c>
      <c r="T2897" s="42"/>
      <c r="U2897" s="42" t="s">
        <v>2962</v>
      </c>
      <c r="V2897" s="42" t="s">
        <v>1390</v>
      </c>
      <c r="W2897" s="42" t="s">
        <v>1717</v>
      </c>
      <c r="X2897" s="42" t="s">
        <v>1394</v>
      </c>
      <c r="Y2897" s="42" t="s">
        <v>1389</v>
      </c>
      <c r="AA2897" s="321"/>
      <c r="AB2897" s="321"/>
      <c r="AD2897" s="24">
        <v>4.5</v>
      </c>
      <c r="AE2897" s="24">
        <v>1.04</v>
      </c>
      <c r="AH2897" s="24" t="s">
        <v>2853</v>
      </c>
      <c r="AI2897" s="24" t="s">
        <v>577</v>
      </c>
      <c r="AJ2897" s="24" t="s">
        <v>1645</v>
      </c>
      <c r="AK2897" s="24" t="s">
        <v>132</v>
      </c>
      <c r="AW2897" s="24" t="s">
        <v>2780</v>
      </c>
      <c r="AZ2897" s="24" t="s">
        <v>2955</v>
      </c>
      <c r="BP2897" s="395"/>
      <c r="BQ2897" s="395"/>
      <c r="BU2897" s="395">
        <v>0.85</v>
      </c>
      <c r="BV2897" s="395">
        <v>0.85</v>
      </c>
      <c r="BW2897" s="24">
        <v>0.17</v>
      </c>
      <c r="BX2897" s="24">
        <v>0.17</v>
      </c>
      <c r="BY2897" s="24" t="s">
        <v>2958</v>
      </c>
      <c r="BZ2897" s="395"/>
      <c r="CA2897" s="395"/>
      <c r="CD2897" s="24" t="s">
        <v>3120</v>
      </c>
      <c r="CE2897" s="548">
        <v>0.85</v>
      </c>
      <c r="CF2897" s="548">
        <v>0.85</v>
      </c>
      <c r="CG2897" s="548">
        <v>0.17</v>
      </c>
      <c r="CH2897" s="548">
        <v>0.17</v>
      </c>
      <c r="CI2897" s="24" t="s">
        <v>4546</v>
      </c>
      <c r="CJ2897" s="24">
        <v>5.8000000000000003E-2</v>
      </c>
      <c r="CK2897" s="24">
        <v>6.3E-2</v>
      </c>
      <c r="CL2897" s="24">
        <v>3.0000000000000001E-3</v>
      </c>
      <c r="CM2897" s="24">
        <v>3.0000000000000001E-3</v>
      </c>
      <c r="CN2897" s="24" t="s">
        <v>2957</v>
      </c>
      <c r="CO2897" s="24">
        <v>19.100000000000001</v>
      </c>
      <c r="CP2897" s="24">
        <v>38.979999999999997</v>
      </c>
      <c r="CQ2897" s="24">
        <v>9.69</v>
      </c>
      <c r="CR2897" s="24">
        <v>9.69</v>
      </c>
      <c r="CS2897" s="24" t="s">
        <v>2959</v>
      </c>
      <c r="CT2897" s="24">
        <v>8.3000000000000004E-2</v>
      </c>
      <c r="CU2897" s="24">
        <v>6.3E-2</v>
      </c>
      <c r="CV2897" s="24">
        <v>0.02</v>
      </c>
      <c r="CW2897" s="24">
        <v>0.02</v>
      </c>
      <c r="CX2897" s="24" t="s">
        <v>2960</v>
      </c>
      <c r="CY2897" s="24">
        <v>5</v>
      </c>
      <c r="CZ2897" s="24">
        <v>4.8</v>
      </c>
      <c r="DA2897" s="24">
        <v>7.0000000000000007E-2</v>
      </c>
      <c r="DB2897" s="24">
        <v>7.0000000000000007E-2</v>
      </c>
      <c r="DD2897" s="24">
        <v>2.27</v>
      </c>
      <c r="DE2897" s="24">
        <v>1.64</v>
      </c>
      <c r="DF2897" s="24">
        <v>0.28000000000000003</v>
      </c>
      <c r="DG2897" s="24">
        <v>0.28000000000000003</v>
      </c>
      <c r="DH2897" s="24" t="s">
        <v>2961</v>
      </c>
      <c r="DN2897" s="24">
        <v>47.13</v>
      </c>
      <c r="DO2897" s="24">
        <v>32.44</v>
      </c>
      <c r="DP2897" s="24">
        <v>8.01</v>
      </c>
      <c r="DQ2897" s="24">
        <v>8.01</v>
      </c>
      <c r="DR2897" s="24" t="s">
        <v>164</v>
      </c>
      <c r="JD2897" s="249"/>
    </row>
    <row r="2898" spans="1:264" s="32" customFormat="1" x14ac:dyDescent="0.25">
      <c r="A2898" s="32">
        <v>136</v>
      </c>
      <c r="B2898" s="44" t="s">
        <v>4378</v>
      </c>
      <c r="C2898" s="32" t="s">
        <v>2954</v>
      </c>
      <c r="D2898" s="32" t="s">
        <v>2953</v>
      </c>
      <c r="E2898" s="32">
        <v>2003</v>
      </c>
      <c r="F2898" s="32">
        <v>1994</v>
      </c>
      <c r="G2898" s="32" t="s">
        <v>2738</v>
      </c>
      <c r="H2898" s="32" t="s">
        <v>2956</v>
      </c>
      <c r="I2898" s="32" t="s">
        <v>2823</v>
      </c>
      <c r="J2898" s="32">
        <f t="shared" si="410"/>
        <v>4.75</v>
      </c>
      <c r="K2898" s="32">
        <f t="shared" si="411"/>
        <v>7.3</v>
      </c>
      <c r="L2898" s="32">
        <v>19.600000000000001</v>
      </c>
      <c r="P2898" s="32">
        <v>2400</v>
      </c>
      <c r="R2898" s="44" t="s">
        <v>1847</v>
      </c>
      <c r="S2898" s="44" t="s">
        <v>1847</v>
      </c>
      <c r="T2898" s="44"/>
      <c r="U2898" s="44" t="s">
        <v>2962</v>
      </c>
      <c r="V2898" s="44" t="s">
        <v>1394</v>
      </c>
      <c r="W2898" s="44" t="s">
        <v>1722</v>
      </c>
      <c r="X2898" s="44" t="s">
        <v>1394</v>
      </c>
      <c r="Y2898" s="44" t="s">
        <v>1389</v>
      </c>
      <c r="AA2898" s="323"/>
      <c r="AB2898" s="323"/>
      <c r="AD2898" s="32">
        <v>4.5</v>
      </c>
      <c r="AE2898" s="32">
        <v>1.1299999999999999</v>
      </c>
      <c r="AH2898" s="32" t="s">
        <v>2853</v>
      </c>
      <c r="AI2898" s="32" t="s">
        <v>577</v>
      </c>
      <c r="AJ2898" s="32" t="s">
        <v>1645</v>
      </c>
      <c r="AK2898" s="32" t="s">
        <v>132</v>
      </c>
      <c r="AW2898" s="32" t="s">
        <v>2780</v>
      </c>
      <c r="AZ2898" s="32" t="s">
        <v>2955</v>
      </c>
      <c r="BK2898" s="32">
        <v>13189</v>
      </c>
      <c r="BL2898" s="32">
        <v>18495</v>
      </c>
      <c r="BM2898" s="32">
        <v>3720</v>
      </c>
      <c r="BN2898" s="32">
        <v>3720</v>
      </c>
      <c r="BO2898" s="32" t="s">
        <v>2963</v>
      </c>
      <c r="BP2898" s="397"/>
      <c r="BQ2898" s="397"/>
      <c r="BU2898" s="397">
        <v>1.28</v>
      </c>
      <c r="BV2898" s="397">
        <v>1.36</v>
      </c>
      <c r="BW2898" s="32">
        <v>0.08</v>
      </c>
      <c r="BX2898" s="32">
        <v>0.08</v>
      </c>
      <c r="BY2898" s="32" t="s">
        <v>2958</v>
      </c>
      <c r="BZ2898" s="397"/>
      <c r="CA2898" s="397"/>
      <c r="CD2898" s="32" t="s">
        <v>3120</v>
      </c>
      <c r="CE2898" s="550">
        <v>1.28</v>
      </c>
      <c r="CF2898" s="550">
        <v>1.36</v>
      </c>
      <c r="CG2898" s="550">
        <v>0.08</v>
      </c>
      <c r="CH2898" s="550">
        <v>0.08</v>
      </c>
      <c r="CI2898" s="32" t="s">
        <v>4546</v>
      </c>
      <c r="CJ2898" s="32">
        <v>0.10100000000000001</v>
      </c>
      <c r="CK2898" s="32">
        <v>0.113</v>
      </c>
      <c r="CL2898" s="32">
        <v>6.0000000000000001E-3</v>
      </c>
      <c r="CM2898" s="32">
        <v>6.0000000000000001E-3</v>
      </c>
      <c r="CN2898" s="32" t="s">
        <v>2957</v>
      </c>
      <c r="CO2898" s="32">
        <v>31.5</v>
      </c>
      <c r="CP2898" s="32">
        <v>31.4</v>
      </c>
      <c r="CQ2898" s="32">
        <v>12.99</v>
      </c>
      <c r="CR2898" s="32">
        <v>12.99</v>
      </c>
      <c r="CS2898" s="32" t="s">
        <v>2959</v>
      </c>
      <c r="CT2898" s="32">
        <v>0.1</v>
      </c>
      <c r="CU2898" s="32">
        <v>0.1</v>
      </c>
      <c r="CX2898" s="32" t="s">
        <v>2960</v>
      </c>
      <c r="CY2898" s="32">
        <v>4.2</v>
      </c>
      <c r="CZ2898" s="32">
        <v>3.8</v>
      </c>
      <c r="DA2898" s="32">
        <v>0.14000000000000001</v>
      </c>
      <c r="DB2898" s="32">
        <v>0.14000000000000001</v>
      </c>
      <c r="DD2898" s="32">
        <v>2.6</v>
      </c>
      <c r="DE2898" s="32">
        <v>2.5</v>
      </c>
      <c r="DF2898" s="32">
        <v>0.24</v>
      </c>
      <c r="DG2898" s="32">
        <v>0.24</v>
      </c>
      <c r="DH2898" s="32" t="s">
        <v>2961</v>
      </c>
      <c r="DN2898" s="32">
        <v>63.5</v>
      </c>
      <c r="DO2898" s="32">
        <v>59.1</v>
      </c>
      <c r="DP2898" s="32">
        <v>11.69</v>
      </c>
      <c r="DQ2898" s="32">
        <v>11.69</v>
      </c>
      <c r="DR2898" s="32" t="s">
        <v>164</v>
      </c>
      <c r="FV2898" s="32">
        <v>6768</v>
      </c>
      <c r="FW2898" s="32">
        <v>2032</v>
      </c>
      <c r="FZ2898" s="32" t="s">
        <v>2965</v>
      </c>
      <c r="JD2898" s="243"/>
    </row>
    <row r="2899" spans="1:264" s="32" customFormat="1" x14ac:dyDescent="0.25">
      <c r="A2899" s="32">
        <v>136</v>
      </c>
      <c r="B2899" s="44" t="s">
        <v>4379</v>
      </c>
      <c r="C2899" s="32" t="s">
        <v>2954</v>
      </c>
      <c r="D2899" s="32" t="s">
        <v>2953</v>
      </c>
      <c r="E2899" s="32">
        <v>2003</v>
      </c>
      <c r="F2899" s="32">
        <v>1994</v>
      </c>
      <c r="G2899" s="32" t="s">
        <v>2738</v>
      </c>
      <c r="H2899" s="32" t="s">
        <v>2956</v>
      </c>
      <c r="I2899" s="32" t="s">
        <v>2823</v>
      </c>
      <c r="J2899" s="32">
        <f t="shared" si="410"/>
        <v>4.75</v>
      </c>
      <c r="K2899" s="32">
        <f t="shared" si="411"/>
        <v>7.3</v>
      </c>
      <c r="L2899" s="32">
        <v>19.600000000000001</v>
      </c>
      <c r="P2899" s="32">
        <v>2400</v>
      </c>
      <c r="R2899" s="44" t="s">
        <v>1847</v>
      </c>
      <c r="S2899" s="44" t="s">
        <v>1847</v>
      </c>
      <c r="T2899" s="44"/>
      <c r="U2899" s="44" t="s">
        <v>2962</v>
      </c>
      <c r="V2899" s="44" t="s">
        <v>1412</v>
      </c>
      <c r="W2899" s="44" t="s">
        <v>1719</v>
      </c>
      <c r="X2899" s="44" t="s">
        <v>1394</v>
      </c>
      <c r="Y2899" s="44" t="s">
        <v>1389</v>
      </c>
      <c r="AA2899" s="323"/>
      <c r="AB2899" s="323"/>
      <c r="AD2899" s="32">
        <v>4.5</v>
      </c>
      <c r="AE2899" s="32">
        <v>1.1299999999999999</v>
      </c>
      <c r="AH2899" s="32" t="s">
        <v>2853</v>
      </c>
      <c r="AI2899" s="32" t="s">
        <v>577</v>
      </c>
      <c r="AJ2899" s="32" t="s">
        <v>1645</v>
      </c>
      <c r="AK2899" s="32" t="s">
        <v>132</v>
      </c>
      <c r="AW2899" s="32" t="s">
        <v>2780</v>
      </c>
      <c r="AZ2899" s="32" t="s">
        <v>2955</v>
      </c>
      <c r="BK2899" s="32">
        <v>3114</v>
      </c>
      <c r="BL2899" s="32">
        <v>3958</v>
      </c>
      <c r="BM2899" s="32">
        <v>260</v>
      </c>
      <c r="BN2899" s="32">
        <v>260</v>
      </c>
      <c r="BO2899" s="32" t="s">
        <v>2964</v>
      </c>
      <c r="BP2899" s="397"/>
      <c r="BQ2899" s="397"/>
      <c r="BU2899" s="397">
        <v>0.93</v>
      </c>
      <c r="BV2899" s="397">
        <v>0.97</v>
      </c>
      <c r="BW2899" s="32">
        <v>0.08</v>
      </c>
      <c r="BX2899" s="32">
        <v>0.08</v>
      </c>
      <c r="BY2899" s="32" t="s">
        <v>2958</v>
      </c>
      <c r="BZ2899" s="397"/>
      <c r="CA2899" s="397"/>
      <c r="CD2899" s="32" t="s">
        <v>3120</v>
      </c>
      <c r="CE2899" s="550">
        <v>0.93</v>
      </c>
      <c r="CF2899" s="550">
        <v>0.97</v>
      </c>
      <c r="CG2899" s="550">
        <v>0.08</v>
      </c>
      <c r="CH2899" s="550">
        <v>0.08</v>
      </c>
      <c r="CI2899" s="32" t="s">
        <v>4546</v>
      </c>
      <c r="CJ2899" s="32">
        <v>8.4000000000000005E-2</v>
      </c>
      <c r="CK2899" s="32">
        <v>8.6999999999999994E-2</v>
      </c>
      <c r="CL2899" s="32">
        <v>4.0000000000000001E-3</v>
      </c>
      <c r="CM2899" s="32">
        <v>4.0000000000000001E-3</v>
      </c>
      <c r="CN2899" s="32" t="s">
        <v>2957</v>
      </c>
      <c r="CO2899" s="32">
        <v>38.43</v>
      </c>
      <c r="CP2899" s="32">
        <v>26.88</v>
      </c>
      <c r="CQ2899" s="32">
        <v>7.05</v>
      </c>
      <c r="CR2899" s="32">
        <v>7.05</v>
      </c>
      <c r="CS2899" s="32" t="s">
        <v>2959</v>
      </c>
      <c r="CT2899" s="32">
        <v>0.05</v>
      </c>
      <c r="CU2899" s="32">
        <v>0.04</v>
      </c>
      <c r="CV2899" s="32">
        <v>0.01</v>
      </c>
      <c r="CW2899" s="32">
        <v>0.01</v>
      </c>
      <c r="CX2899" s="32" t="s">
        <v>2960</v>
      </c>
      <c r="CY2899" s="32">
        <v>4.0999999999999996</v>
      </c>
      <c r="CZ2899" s="32">
        <v>4</v>
      </c>
      <c r="DA2899" s="32">
        <v>0.1</v>
      </c>
      <c r="DB2899" s="32">
        <v>0.1</v>
      </c>
      <c r="DD2899" s="32">
        <v>2.58</v>
      </c>
      <c r="DE2899" s="32">
        <v>2.76</v>
      </c>
      <c r="DF2899" s="32">
        <v>0.19</v>
      </c>
      <c r="DG2899" s="32">
        <v>0.19</v>
      </c>
      <c r="DH2899" s="32" t="s">
        <v>2961</v>
      </c>
      <c r="DN2899" s="32">
        <v>29.31</v>
      </c>
      <c r="DO2899" s="32">
        <v>30.58</v>
      </c>
      <c r="DP2899" s="32">
        <v>4.5199999999999996</v>
      </c>
      <c r="DQ2899" s="32">
        <v>4.5199999999999996</v>
      </c>
      <c r="DR2899" s="32" t="s">
        <v>164</v>
      </c>
      <c r="JD2899" s="243"/>
    </row>
    <row r="2900" spans="1:264" s="32" customFormat="1" x14ac:dyDescent="0.25">
      <c r="A2900" s="32">
        <v>136</v>
      </c>
      <c r="B2900" s="44" t="s">
        <v>4380</v>
      </c>
      <c r="C2900" s="32" t="s">
        <v>2954</v>
      </c>
      <c r="D2900" s="32" t="s">
        <v>2953</v>
      </c>
      <c r="E2900" s="32">
        <v>2003</v>
      </c>
      <c r="F2900" s="32">
        <v>1994</v>
      </c>
      <c r="G2900" s="32" t="s">
        <v>2738</v>
      </c>
      <c r="H2900" s="32" t="s">
        <v>2956</v>
      </c>
      <c r="I2900" s="32" t="s">
        <v>2823</v>
      </c>
      <c r="J2900" s="32">
        <f t="shared" si="410"/>
        <v>4.75</v>
      </c>
      <c r="K2900" s="32">
        <f t="shared" si="411"/>
        <v>7.3</v>
      </c>
      <c r="L2900" s="32">
        <v>19.600000000000001</v>
      </c>
      <c r="P2900" s="32">
        <v>2400</v>
      </c>
      <c r="R2900" s="44" t="s">
        <v>1847</v>
      </c>
      <c r="S2900" s="44" t="s">
        <v>1847</v>
      </c>
      <c r="T2900" s="44"/>
      <c r="U2900" s="44" t="s">
        <v>2962</v>
      </c>
      <c r="V2900" s="44" t="s">
        <v>1390</v>
      </c>
      <c r="W2900" s="44" t="s">
        <v>1717</v>
      </c>
      <c r="X2900" s="44" t="s">
        <v>1394</v>
      </c>
      <c r="Y2900" s="44" t="s">
        <v>1389</v>
      </c>
      <c r="AA2900" s="323"/>
      <c r="AB2900" s="323"/>
      <c r="AD2900" s="32">
        <v>4.5</v>
      </c>
      <c r="AE2900" s="32">
        <v>1.04</v>
      </c>
      <c r="AH2900" s="32" t="s">
        <v>2853</v>
      </c>
      <c r="AI2900" s="32" t="s">
        <v>577</v>
      </c>
      <c r="AJ2900" s="32" t="s">
        <v>1645</v>
      </c>
      <c r="AK2900" s="32" t="s">
        <v>132</v>
      </c>
      <c r="AW2900" s="32" t="s">
        <v>2780</v>
      </c>
      <c r="AZ2900" s="32" t="s">
        <v>2955</v>
      </c>
      <c r="BP2900" s="397"/>
      <c r="BQ2900" s="397"/>
      <c r="BU2900" s="397">
        <v>0.75</v>
      </c>
      <c r="BV2900" s="397">
        <v>0.73</v>
      </c>
      <c r="BW2900" s="32">
        <v>7.0000000000000007E-2</v>
      </c>
      <c r="BX2900" s="32">
        <v>7.0000000000000007E-2</v>
      </c>
      <c r="BY2900" s="32" t="s">
        <v>2958</v>
      </c>
      <c r="BZ2900" s="397"/>
      <c r="CA2900" s="397"/>
      <c r="CD2900" s="32" t="s">
        <v>3120</v>
      </c>
      <c r="CE2900" s="550">
        <v>0.75</v>
      </c>
      <c r="CF2900" s="550">
        <v>0.73</v>
      </c>
      <c r="CG2900" s="550">
        <v>7.0000000000000007E-2</v>
      </c>
      <c r="CH2900" s="550">
        <v>7.0000000000000007E-2</v>
      </c>
      <c r="CI2900" s="32" t="s">
        <v>4546</v>
      </c>
      <c r="CJ2900" s="32">
        <v>6.6000000000000003E-2</v>
      </c>
      <c r="CK2900" s="32">
        <v>6.4000000000000001E-2</v>
      </c>
      <c r="CL2900" s="32">
        <v>4.0000000000000001E-3</v>
      </c>
      <c r="CM2900" s="32">
        <v>4.0000000000000001E-3</v>
      </c>
      <c r="CN2900" s="32" t="s">
        <v>2957</v>
      </c>
      <c r="CO2900" s="32">
        <v>20.399999999999999</v>
      </c>
      <c r="CP2900" s="32">
        <v>15.65</v>
      </c>
      <c r="CQ2900" s="32">
        <v>5.52</v>
      </c>
      <c r="CR2900" s="32">
        <v>5.52</v>
      </c>
      <c r="CS2900" s="32" t="s">
        <v>2959</v>
      </c>
      <c r="CT2900" s="32">
        <v>0.05</v>
      </c>
      <c r="CU2900" s="32">
        <v>0.03</v>
      </c>
      <c r="CV2900" s="32">
        <v>0.01</v>
      </c>
      <c r="CW2900" s="32">
        <v>0.01</v>
      </c>
      <c r="CX2900" s="32" t="s">
        <v>2960</v>
      </c>
      <c r="CY2900" s="32">
        <v>4.5999999999999996</v>
      </c>
      <c r="CZ2900" s="32">
        <v>4.0999999999999996</v>
      </c>
      <c r="DA2900" s="32">
        <v>0.25</v>
      </c>
      <c r="DB2900" s="32">
        <v>0.25</v>
      </c>
      <c r="DD2900" s="32">
        <v>2.82</v>
      </c>
      <c r="DE2900" s="32">
        <v>2.63</v>
      </c>
      <c r="DF2900" s="32">
        <v>0.28999999999999998</v>
      </c>
      <c r="DG2900" s="32">
        <v>0.28999999999999998</v>
      </c>
      <c r="DH2900" s="32" t="s">
        <v>2961</v>
      </c>
      <c r="DN2900" s="32">
        <v>31.19</v>
      </c>
      <c r="DO2900" s="32">
        <v>29.6</v>
      </c>
      <c r="DP2900" s="32">
        <v>29.6</v>
      </c>
      <c r="DQ2900" s="32">
        <v>29.6</v>
      </c>
      <c r="DR2900" s="32" t="s">
        <v>164</v>
      </c>
      <c r="JD2900" s="243"/>
    </row>
    <row r="2901" spans="1:264" s="22" customFormat="1" x14ac:dyDescent="0.25">
      <c r="A2901" s="22">
        <v>137</v>
      </c>
      <c r="B2901" s="45" t="s">
        <v>4381</v>
      </c>
      <c r="C2901" s="22" t="s">
        <v>2966</v>
      </c>
      <c r="D2901" s="22" t="s">
        <v>2967</v>
      </c>
      <c r="E2901" s="22">
        <v>1998</v>
      </c>
      <c r="F2901" s="22">
        <v>1993</v>
      </c>
      <c r="G2901" s="22" t="s">
        <v>2766</v>
      </c>
      <c r="H2901" s="22" t="s">
        <v>2970</v>
      </c>
      <c r="I2901" s="22" t="s">
        <v>2823</v>
      </c>
      <c r="J2901" s="22">
        <v>7.5</v>
      </c>
      <c r="K2901" s="22">
        <f t="shared" ref="K2901:K2906" si="412">3+54/60</f>
        <v>3.9</v>
      </c>
      <c r="L2901" s="22">
        <v>214.6</v>
      </c>
      <c r="P2901" s="22">
        <v>1360</v>
      </c>
      <c r="R2901" s="45" t="s">
        <v>1977</v>
      </c>
      <c r="S2901" s="45" t="s">
        <v>1847</v>
      </c>
      <c r="T2901" s="45"/>
      <c r="U2901" s="45" t="s">
        <v>2962</v>
      </c>
      <c r="V2901" s="45" t="s">
        <v>1388</v>
      </c>
      <c r="W2901" s="45" t="s">
        <v>1719</v>
      </c>
      <c r="X2901" s="45" t="s">
        <v>1388</v>
      </c>
      <c r="Y2901" s="45" t="s">
        <v>1389</v>
      </c>
      <c r="AA2901" s="325"/>
      <c r="AB2901" s="325"/>
      <c r="AC2901" s="22" t="s">
        <v>240</v>
      </c>
      <c r="AD2901" s="22">
        <v>6.2</v>
      </c>
      <c r="AG2901" s="22" t="s">
        <v>2971</v>
      </c>
      <c r="AH2901" s="22" t="s">
        <v>2973</v>
      </c>
      <c r="AI2901" s="22" t="s">
        <v>1129</v>
      </c>
      <c r="AJ2901" s="22" t="s">
        <v>1645</v>
      </c>
      <c r="AK2901" s="22" t="s">
        <v>132</v>
      </c>
      <c r="AX2901" s="22">
        <v>3</v>
      </c>
      <c r="AZ2901" s="22" t="s">
        <v>141</v>
      </c>
      <c r="BB2901" s="22">
        <v>3830</v>
      </c>
      <c r="BC2901" s="22">
        <f>BB2901/160.49</f>
        <v>23.864415228363136</v>
      </c>
      <c r="BK2901" s="22">
        <v>3.03</v>
      </c>
      <c r="BL2901" s="22">
        <v>3.63</v>
      </c>
      <c r="BO2901" s="22" t="s">
        <v>2975</v>
      </c>
      <c r="BP2901" s="399"/>
      <c r="BQ2901" s="399"/>
      <c r="BU2901" s="399">
        <v>1.01</v>
      </c>
      <c r="BV2901" s="399">
        <v>1.49</v>
      </c>
      <c r="BZ2901" s="399"/>
      <c r="CA2901" s="399"/>
      <c r="CD2901" s="22" t="s">
        <v>3120</v>
      </c>
      <c r="CE2901" s="552">
        <v>1.01</v>
      </c>
      <c r="CF2901" s="552">
        <v>1.49</v>
      </c>
      <c r="CG2901" s="552"/>
      <c r="CH2901" s="552"/>
      <c r="CI2901" s="22" t="s">
        <v>4546</v>
      </c>
      <c r="CJ2901" s="22">
        <v>7.0000000000000007E-2</v>
      </c>
      <c r="CK2901" s="22">
        <v>0.15</v>
      </c>
      <c r="CN2901" s="22" t="s">
        <v>2957</v>
      </c>
      <c r="CO2901" s="22">
        <v>30.61</v>
      </c>
      <c r="CP2901" s="22">
        <v>95.5</v>
      </c>
      <c r="CS2901" s="22" t="s">
        <v>2959</v>
      </c>
      <c r="CT2901" s="22">
        <v>0.48</v>
      </c>
      <c r="CU2901" s="22">
        <v>0.61</v>
      </c>
      <c r="CX2901" s="22" t="s">
        <v>2960</v>
      </c>
      <c r="CY2901" s="22">
        <v>6.4</v>
      </c>
      <c r="CZ2901" s="22">
        <v>6.5</v>
      </c>
      <c r="DD2901" s="22">
        <f>5.81+0.85+0.48</f>
        <v>7.1399999999999988</v>
      </c>
      <c r="DE2901" s="22">
        <f>7.7+0.61+0.61</f>
        <v>8.92</v>
      </c>
      <c r="DH2901" s="22" t="s">
        <v>2974</v>
      </c>
      <c r="JD2901" s="276"/>
    </row>
    <row r="2902" spans="1:264" s="22" customFormat="1" x14ac:dyDescent="0.25">
      <c r="A2902" s="22">
        <v>137</v>
      </c>
      <c r="B2902" s="45" t="s">
        <v>4382</v>
      </c>
      <c r="C2902" s="22" t="s">
        <v>2966</v>
      </c>
      <c r="D2902" s="22" t="s">
        <v>2967</v>
      </c>
      <c r="E2902" s="22">
        <v>1998</v>
      </c>
      <c r="F2902" s="22">
        <v>1993</v>
      </c>
      <c r="G2902" s="22" t="s">
        <v>2766</v>
      </c>
      <c r="H2902" s="22" t="s">
        <v>2970</v>
      </c>
      <c r="I2902" s="22" t="s">
        <v>2823</v>
      </c>
      <c r="J2902" s="22">
        <v>7.5</v>
      </c>
      <c r="K2902" s="22">
        <f t="shared" si="412"/>
        <v>3.9</v>
      </c>
      <c r="L2902" s="22">
        <v>214.6</v>
      </c>
      <c r="P2902" s="22">
        <v>1360</v>
      </c>
      <c r="R2902" s="45" t="s">
        <v>1977</v>
      </c>
      <c r="S2902" s="45" t="s">
        <v>1847</v>
      </c>
      <c r="T2902" s="45"/>
      <c r="U2902" s="45" t="s">
        <v>2962</v>
      </c>
      <c r="V2902" s="45" t="s">
        <v>1388</v>
      </c>
      <c r="W2902" s="45" t="s">
        <v>1719</v>
      </c>
      <c r="X2902" s="45" t="s">
        <v>1388</v>
      </c>
      <c r="Y2902" s="45" t="s">
        <v>1389</v>
      </c>
      <c r="AA2902" s="325"/>
      <c r="AB2902" s="325"/>
      <c r="AC2902" s="22" t="s">
        <v>240</v>
      </c>
      <c r="AD2902" s="22">
        <v>6.2</v>
      </c>
      <c r="AG2902" s="22" t="s">
        <v>2971</v>
      </c>
      <c r="AH2902" s="22" t="s">
        <v>2972</v>
      </c>
      <c r="AI2902" s="22" t="s">
        <v>577</v>
      </c>
      <c r="AJ2902" s="22" t="s">
        <v>1645</v>
      </c>
      <c r="AK2902" s="22" t="s">
        <v>132</v>
      </c>
      <c r="AX2902" s="22">
        <v>3</v>
      </c>
      <c r="AZ2902" s="22" t="s">
        <v>141</v>
      </c>
      <c r="BB2902" s="22">
        <v>5020</v>
      </c>
      <c r="BC2902" s="22">
        <f>BB2902/183</f>
        <v>27.431693989071039</v>
      </c>
      <c r="BK2902" s="22">
        <v>3.03</v>
      </c>
      <c r="BL2902" s="22">
        <v>3.46</v>
      </c>
      <c r="BO2902" s="22" t="s">
        <v>2975</v>
      </c>
      <c r="BP2902" s="399"/>
      <c r="BQ2902" s="399"/>
      <c r="BU2902" s="399">
        <v>1.01</v>
      </c>
      <c r="BV2902" s="399">
        <v>1.4</v>
      </c>
      <c r="BZ2902" s="399"/>
      <c r="CA2902" s="399"/>
      <c r="CD2902" s="22" t="s">
        <v>3120</v>
      </c>
      <c r="CE2902" s="552">
        <v>1.01</v>
      </c>
      <c r="CF2902" s="552">
        <v>1.4</v>
      </c>
      <c r="CG2902" s="552"/>
      <c r="CH2902" s="552"/>
      <c r="CI2902" s="22" t="s">
        <v>4546</v>
      </c>
      <c r="CJ2902" s="22">
        <v>7.0000000000000007E-2</v>
      </c>
      <c r="CK2902" s="22">
        <v>0.15</v>
      </c>
      <c r="CN2902" s="22" t="s">
        <v>2957</v>
      </c>
      <c r="CO2902" s="22">
        <v>30.61</v>
      </c>
      <c r="CP2902" s="22">
        <v>84.96</v>
      </c>
      <c r="CS2902" s="22" t="s">
        <v>2959</v>
      </c>
      <c r="CT2902" s="22">
        <v>0.48</v>
      </c>
      <c r="CU2902" s="22">
        <v>0.8</v>
      </c>
      <c r="CX2902" s="22" t="s">
        <v>2960</v>
      </c>
      <c r="CY2902" s="22">
        <v>6.4</v>
      </c>
      <c r="CZ2902" s="22">
        <v>6.6</v>
      </c>
      <c r="DD2902" s="22">
        <f>5.81+0.85+0.48</f>
        <v>7.1399999999999988</v>
      </c>
      <c r="DE2902" s="22">
        <f>7.91+1.25+0.8</f>
        <v>9.9600000000000009</v>
      </c>
      <c r="DH2902" s="22" t="s">
        <v>2974</v>
      </c>
      <c r="JD2902" s="276"/>
    </row>
    <row r="2903" spans="1:264" s="36" customFormat="1" x14ac:dyDescent="0.25">
      <c r="A2903" s="36">
        <v>137</v>
      </c>
      <c r="B2903" s="51" t="s">
        <v>4383</v>
      </c>
      <c r="C2903" s="36" t="s">
        <v>2966</v>
      </c>
      <c r="D2903" s="36" t="s">
        <v>2967</v>
      </c>
      <c r="E2903" s="36">
        <v>1998</v>
      </c>
      <c r="F2903" s="36">
        <v>1993</v>
      </c>
      <c r="G2903" s="36" t="s">
        <v>2766</v>
      </c>
      <c r="H2903" s="36" t="s">
        <v>2970</v>
      </c>
      <c r="I2903" s="36" t="s">
        <v>2823</v>
      </c>
      <c r="J2903" s="36">
        <v>7.5</v>
      </c>
      <c r="K2903" s="36">
        <f t="shared" si="412"/>
        <v>3.9</v>
      </c>
      <c r="L2903" s="36">
        <v>214.6</v>
      </c>
      <c r="P2903" s="36">
        <v>1360</v>
      </c>
      <c r="R2903" s="51" t="s">
        <v>1977</v>
      </c>
      <c r="S2903" s="51" t="s">
        <v>1847</v>
      </c>
      <c r="T2903" s="51"/>
      <c r="U2903" s="51" t="s">
        <v>2962</v>
      </c>
      <c r="V2903" s="51" t="s">
        <v>1392</v>
      </c>
      <c r="W2903" s="51" t="s">
        <v>1719</v>
      </c>
      <c r="X2903" s="51" t="s">
        <v>1388</v>
      </c>
      <c r="Y2903" s="51" t="s">
        <v>1389</v>
      </c>
      <c r="AA2903" s="331"/>
      <c r="AB2903" s="331"/>
      <c r="AC2903" s="36" t="s">
        <v>240</v>
      </c>
      <c r="AD2903" s="36">
        <v>6.2</v>
      </c>
      <c r="AG2903" s="36" t="s">
        <v>2971</v>
      </c>
      <c r="AH2903" s="36" t="s">
        <v>2973</v>
      </c>
      <c r="AI2903" s="36" t="s">
        <v>1129</v>
      </c>
      <c r="AJ2903" s="36" t="s">
        <v>1645</v>
      </c>
      <c r="AK2903" s="36" t="s">
        <v>132</v>
      </c>
      <c r="AX2903" s="36">
        <v>3</v>
      </c>
      <c r="AZ2903" s="36" t="s">
        <v>141</v>
      </c>
      <c r="BB2903" s="36">
        <v>3830</v>
      </c>
      <c r="BC2903" s="36">
        <v>23.864415228363136</v>
      </c>
      <c r="BP2903" s="407"/>
      <c r="BQ2903" s="407"/>
      <c r="BU2903" s="407">
        <v>0.82</v>
      </c>
      <c r="BV2903" s="407">
        <v>0.96</v>
      </c>
      <c r="BZ2903" s="407"/>
      <c r="CA2903" s="407"/>
      <c r="CD2903" s="36" t="s">
        <v>3120</v>
      </c>
      <c r="CE2903" s="560">
        <v>0.82</v>
      </c>
      <c r="CF2903" s="560">
        <v>0.96</v>
      </c>
      <c r="CG2903" s="560"/>
      <c r="CH2903" s="560"/>
      <c r="CI2903" s="36" t="s">
        <v>4546</v>
      </c>
      <c r="CJ2903" s="36">
        <v>0.05</v>
      </c>
      <c r="CK2903" s="36">
        <v>0.13</v>
      </c>
      <c r="CN2903" s="36" t="s">
        <v>2957</v>
      </c>
      <c r="CO2903" s="36">
        <v>28.12</v>
      </c>
      <c r="CP2903" s="36">
        <v>77.05</v>
      </c>
      <c r="CS2903" s="36" t="s">
        <v>2959</v>
      </c>
      <c r="CT2903" s="36">
        <v>0.66</v>
      </c>
      <c r="CU2903" s="36">
        <v>0.51</v>
      </c>
      <c r="CX2903" s="36" t="s">
        <v>2960</v>
      </c>
      <c r="CY2903" s="36">
        <v>5.3</v>
      </c>
      <c r="CZ2903" s="36">
        <v>5.8</v>
      </c>
      <c r="DD2903" s="36">
        <f>5.7+0.91+0.66</f>
        <v>7.2700000000000005</v>
      </c>
      <c r="DE2903" s="36">
        <f>5.5+0.52+0.51</f>
        <v>6.5299999999999994</v>
      </c>
      <c r="DH2903" s="36" t="s">
        <v>2974</v>
      </c>
      <c r="JD2903" s="230"/>
    </row>
    <row r="2904" spans="1:264" s="36" customFormat="1" x14ac:dyDescent="0.25">
      <c r="A2904" s="36">
        <v>137</v>
      </c>
      <c r="B2904" s="51" t="s">
        <v>4384</v>
      </c>
      <c r="C2904" s="36" t="s">
        <v>2966</v>
      </c>
      <c r="D2904" s="36" t="s">
        <v>2967</v>
      </c>
      <c r="E2904" s="36">
        <v>1998</v>
      </c>
      <c r="F2904" s="36">
        <v>1993</v>
      </c>
      <c r="G2904" s="36" t="s">
        <v>2766</v>
      </c>
      <c r="H2904" s="36" t="s">
        <v>2970</v>
      </c>
      <c r="I2904" s="36" t="s">
        <v>2823</v>
      </c>
      <c r="J2904" s="36">
        <v>7.5</v>
      </c>
      <c r="K2904" s="36">
        <f t="shared" si="412"/>
        <v>3.9</v>
      </c>
      <c r="L2904" s="36">
        <v>214.6</v>
      </c>
      <c r="P2904" s="36">
        <v>1360</v>
      </c>
      <c r="R2904" s="51" t="s">
        <v>1977</v>
      </c>
      <c r="S2904" s="51" t="s">
        <v>1847</v>
      </c>
      <c r="T2904" s="51"/>
      <c r="U2904" s="51" t="s">
        <v>2962</v>
      </c>
      <c r="V2904" s="51" t="s">
        <v>1392</v>
      </c>
      <c r="W2904" s="51" t="s">
        <v>1719</v>
      </c>
      <c r="X2904" s="51" t="s">
        <v>1388</v>
      </c>
      <c r="Y2904" s="51" t="s">
        <v>1389</v>
      </c>
      <c r="AA2904" s="331"/>
      <c r="AB2904" s="331"/>
      <c r="AC2904" s="36" t="s">
        <v>240</v>
      </c>
      <c r="AD2904" s="36">
        <v>6.2</v>
      </c>
      <c r="AG2904" s="36" t="s">
        <v>2971</v>
      </c>
      <c r="AH2904" s="36" t="s">
        <v>2972</v>
      </c>
      <c r="AI2904" s="36" t="s">
        <v>577</v>
      </c>
      <c r="AJ2904" s="36" t="s">
        <v>1645</v>
      </c>
      <c r="AK2904" s="36" t="s">
        <v>132</v>
      </c>
      <c r="AX2904" s="36">
        <v>3</v>
      </c>
      <c r="AZ2904" s="36" t="s">
        <v>141</v>
      </c>
      <c r="BB2904" s="36">
        <v>5020</v>
      </c>
      <c r="BC2904" s="36">
        <v>27.431693989071039</v>
      </c>
      <c r="BP2904" s="407"/>
      <c r="BQ2904" s="407"/>
      <c r="BU2904" s="407">
        <v>0.82</v>
      </c>
      <c r="BV2904" s="407">
        <v>0.91</v>
      </c>
      <c r="BZ2904" s="407"/>
      <c r="CA2904" s="407"/>
      <c r="CD2904" s="36" t="s">
        <v>3120</v>
      </c>
      <c r="CE2904" s="560">
        <v>0.82</v>
      </c>
      <c r="CF2904" s="560">
        <v>0.91</v>
      </c>
      <c r="CG2904" s="560"/>
      <c r="CH2904" s="560"/>
      <c r="CI2904" s="36" t="s">
        <v>4546</v>
      </c>
      <c r="CJ2904" s="36">
        <v>0.05</v>
      </c>
      <c r="CK2904" s="36">
        <v>0.12</v>
      </c>
      <c r="CN2904" s="36" t="s">
        <v>2957</v>
      </c>
      <c r="CO2904" s="36">
        <v>28.12</v>
      </c>
      <c r="CP2904" s="36">
        <v>46.16</v>
      </c>
      <c r="CS2904" s="36" t="s">
        <v>2959</v>
      </c>
      <c r="CT2904" s="36">
        <v>0.66</v>
      </c>
      <c r="CU2904" s="36">
        <v>0.82</v>
      </c>
      <c r="CX2904" s="36" t="s">
        <v>2960</v>
      </c>
      <c r="CY2904" s="36">
        <v>5.3</v>
      </c>
      <c r="CZ2904" s="36">
        <v>6</v>
      </c>
      <c r="DD2904" s="36">
        <f>5.7+0.91+0.66</f>
        <v>7.2700000000000005</v>
      </c>
      <c r="DE2904" s="36">
        <f>6.3+1+0.82</f>
        <v>8.1199999999999992</v>
      </c>
      <c r="DH2904" s="36" t="s">
        <v>2974</v>
      </c>
      <c r="JD2904" s="230"/>
    </row>
    <row r="2905" spans="1:264" s="22" customFormat="1" x14ac:dyDescent="0.25">
      <c r="A2905" s="22">
        <v>137</v>
      </c>
      <c r="B2905" s="45" t="s">
        <v>4385</v>
      </c>
      <c r="C2905" s="22" t="s">
        <v>2966</v>
      </c>
      <c r="D2905" s="22" t="s">
        <v>2967</v>
      </c>
      <c r="E2905" s="22">
        <v>1998</v>
      </c>
      <c r="F2905" s="22">
        <v>1993</v>
      </c>
      <c r="G2905" s="22" t="s">
        <v>2766</v>
      </c>
      <c r="H2905" s="22" t="s">
        <v>2970</v>
      </c>
      <c r="I2905" s="22" t="s">
        <v>2823</v>
      </c>
      <c r="J2905" s="22">
        <v>7.5</v>
      </c>
      <c r="K2905" s="22">
        <f t="shared" si="412"/>
        <v>3.9</v>
      </c>
      <c r="L2905" s="22">
        <v>214.6</v>
      </c>
      <c r="P2905" s="22">
        <v>1360</v>
      </c>
      <c r="R2905" s="45" t="s">
        <v>1977</v>
      </c>
      <c r="S2905" s="45" t="s">
        <v>1847</v>
      </c>
      <c r="T2905" s="45"/>
      <c r="U2905" s="45" t="s">
        <v>2962</v>
      </c>
      <c r="V2905" s="45" t="s">
        <v>1393</v>
      </c>
      <c r="W2905" s="45" t="s">
        <v>1719</v>
      </c>
      <c r="X2905" s="45" t="s">
        <v>1388</v>
      </c>
      <c r="Y2905" s="45" t="s">
        <v>1389</v>
      </c>
      <c r="AA2905" s="325"/>
      <c r="AB2905" s="325"/>
      <c r="AC2905" s="22" t="s">
        <v>240</v>
      </c>
      <c r="AD2905" s="22">
        <v>6.2</v>
      </c>
      <c r="AG2905" s="22" t="s">
        <v>2971</v>
      </c>
      <c r="AH2905" s="22" t="s">
        <v>2973</v>
      </c>
      <c r="AI2905" s="22" t="s">
        <v>1129</v>
      </c>
      <c r="AJ2905" s="22" t="s">
        <v>1645</v>
      </c>
      <c r="AK2905" s="22" t="s">
        <v>132</v>
      </c>
      <c r="AX2905" s="22">
        <v>3</v>
      </c>
      <c r="AZ2905" s="22" t="s">
        <v>141</v>
      </c>
      <c r="BB2905" s="22">
        <v>3830</v>
      </c>
      <c r="BC2905" s="22">
        <f>BB2905/160.49</f>
        <v>23.864415228363136</v>
      </c>
      <c r="BP2905" s="399"/>
      <c r="BQ2905" s="399"/>
      <c r="BU2905" s="399">
        <v>0.65</v>
      </c>
      <c r="BV2905" s="399">
        <v>0.77</v>
      </c>
      <c r="BZ2905" s="399"/>
      <c r="CA2905" s="399"/>
      <c r="CD2905" s="22" t="s">
        <v>3120</v>
      </c>
      <c r="CE2905" s="552">
        <v>0.65</v>
      </c>
      <c r="CF2905" s="552">
        <v>0.77</v>
      </c>
      <c r="CG2905" s="552"/>
      <c r="CH2905" s="552"/>
      <c r="CI2905" s="22" t="s">
        <v>4546</v>
      </c>
      <c r="CJ2905" s="22">
        <v>0.06</v>
      </c>
      <c r="CK2905" s="22">
        <v>0.1</v>
      </c>
      <c r="CN2905" s="22" t="s">
        <v>2957</v>
      </c>
      <c r="CO2905" s="22">
        <v>15.06</v>
      </c>
      <c r="CP2905" s="22">
        <v>45.01</v>
      </c>
      <c r="CS2905" s="22" t="s">
        <v>2959</v>
      </c>
      <c r="CT2905" s="22">
        <v>0.17</v>
      </c>
      <c r="CU2905" s="22">
        <v>0.42</v>
      </c>
      <c r="CX2905" s="22" t="s">
        <v>2960</v>
      </c>
      <c r="CY2905" s="22">
        <v>5.4</v>
      </c>
      <c r="CZ2905" s="22">
        <v>5.4</v>
      </c>
      <c r="DD2905" s="22">
        <f>5.62+0.26+0.17</f>
        <v>6.05</v>
      </c>
      <c r="DE2905" s="22">
        <f>4.73+0.41+0.42</f>
        <v>5.5600000000000005</v>
      </c>
      <c r="DH2905" s="22" t="s">
        <v>2974</v>
      </c>
      <c r="JD2905" s="276"/>
    </row>
    <row r="2906" spans="1:264" s="22" customFormat="1" x14ac:dyDescent="0.25">
      <c r="A2906" s="22">
        <v>137</v>
      </c>
      <c r="B2906" s="45" t="s">
        <v>4386</v>
      </c>
      <c r="C2906" s="22" t="s">
        <v>2966</v>
      </c>
      <c r="D2906" s="22" t="s">
        <v>2967</v>
      </c>
      <c r="E2906" s="22">
        <v>1998</v>
      </c>
      <c r="F2906" s="22">
        <v>1993</v>
      </c>
      <c r="G2906" s="22" t="s">
        <v>2766</v>
      </c>
      <c r="H2906" s="22" t="s">
        <v>2970</v>
      </c>
      <c r="I2906" s="22" t="s">
        <v>2823</v>
      </c>
      <c r="J2906" s="22">
        <v>7.5</v>
      </c>
      <c r="K2906" s="22">
        <f t="shared" si="412"/>
        <v>3.9</v>
      </c>
      <c r="L2906" s="22">
        <v>214.6</v>
      </c>
      <c r="P2906" s="22">
        <v>1360</v>
      </c>
      <c r="R2906" s="45" t="s">
        <v>1977</v>
      </c>
      <c r="S2906" s="45" t="s">
        <v>1847</v>
      </c>
      <c r="T2906" s="45"/>
      <c r="U2906" s="45" t="s">
        <v>2962</v>
      </c>
      <c r="V2906" s="45" t="s">
        <v>1393</v>
      </c>
      <c r="W2906" s="45" t="s">
        <v>1719</v>
      </c>
      <c r="X2906" s="45" t="s">
        <v>1388</v>
      </c>
      <c r="Y2906" s="45" t="s">
        <v>1389</v>
      </c>
      <c r="AA2906" s="325"/>
      <c r="AB2906" s="325"/>
      <c r="AC2906" s="22" t="s">
        <v>240</v>
      </c>
      <c r="AD2906" s="22">
        <v>6.2</v>
      </c>
      <c r="AG2906" s="22" t="s">
        <v>2971</v>
      </c>
      <c r="AH2906" s="22" t="s">
        <v>2972</v>
      </c>
      <c r="AI2906" s="22" t="s">
        <v>577</v>
      </c>
      <c r="AJ2906" s="22" t="s">
        <v>1645</v>
      </c>
      <c r="AK2906" s="22" t="s">
        <v>132</v>
      </c>
      <c r="AX2906" s="22">
        <v>3</v>
      </c>
      <c r="AZ2906" s="22" t="s">
        <v>141</v>
      </c>
      <c r="BB2906" s="22">
        <v>5020</v>
      </c>
      <c r="BC2906" s="22">
        <f>BB2906/183</f>
        <v>27.431693989071039</v>
      </c>
      <c r="BP2906" s="399"/>
      <c r="BQ2906" s="399"/>
      <c r="BU2906" s="399">
        <v>0.65</v>
      </c>
      <c r="BV2906" s="399">
        <v>0.93</v>
      </c>
      <c r="BZ2906" s="399"/>
      <c r="CA2906" s="399"/>
      <c r="CD2906" s="22" t="s">
        <v>3120</v>
      </c>
      <c r="CE2906" s="552">
        <v>0.65</v>
      </c>
      <c r="CF2906" s="552">
        <v>0.93</v>
      </c>
      <c r="CG2906" s="552"/>
      <c r="CH2906" s="552"/>
      <c r="CI2906" s="22" t="s">
        <v>4546</v>
      </c>
      <c r="CJ2906" s="22">
        <v>0.06</v>
      </c>
      <c r="CK2906" s="22">
        <v>0.11</v>
      </c>
      <c r="CN2906" s="22" t="s">
        <v>2957</v>
      </c>
      <c r="CO2906" s="22">
        <v>15.06</v>
      </c>
      <c r="CP2906" s="22">
        <v>26.6</v>
      </c>
      <c r="CS2906" s="22" t="s">
        <v>2959</v>
      </c>
      <c r="CT2906" s="22">
        <v>0.17</v>
      </c>
      <c r="CU2906" s="22">
        <v>0.43</v>
      </c>
      <c r="CX2906" s="22" t="s">
        <v>2960</v>
      </c>
      <c r="CY2906" s="22">
        <v>5.4</v>
      </c>
      <c r="CZ2906" s="22">
        <v>5.5</v>
      </c>
      <c r="DD2906" s="22">
        <f>5.62+0.26+0.17</f>
        <v>6.05</v>
      </c>
      <c r="DE2906" s="22">
        <f>6.1+0.44+0.43</f>
        <v>6.97</v>
      </c>
      <c r="DH2906" s="22" t="s">
        <v>2974</v>
      </c>
      <c r="JD2906" s="276"/>
    </row>
    <row r="2907" spans="1:264" s="92" customFormat="1" x14ac:dyDescent="0.25">
      <c r="A2907" s="92">
        <v>137</v>
      </c>
      <c r="B2907" s="93" t="s">
        <v>4381</v>
      </c>
      <c r="C2907" s="92" t="s">
        <v>2966</v>
      </c>
      <c r="D2907" s="92" t="s">
        <v>2967</v>
      </c>
      <c r="E2907" s="92">
        <v>1998</v>
      </c>
      <c r="F2907" s="92">
        <v>1993</v>
      </c>
      <c r="G2907" s="92" t="s">
        <v>2766</v>
      </c>
      <c r="H2907" s="92" t="s">
        <v>2968</v>
      </c>
      <c r="I2907" s="92" t="s">
        <v>2831</v>
      </c>
      <c r="J2907" s="92">
        <v>3.5</v>
      </c>
      <c r="K2907" s="92">
        <f t="shared" ref="K2907:K2912" si="413">11+42/60</f>
        <v>11.7</v>
      </c>
      <c r="L2907" s="92">
        <v>649.79999999999995</v>
      </c>
      <c r="P2907" s="92">
        <v>1522</v>
      </c>
      <c r="R2907" s="93" t="s">
        <v>1977</v>
      </c>
      <c r="S2907" s="93" t="s">
        <v>1847</v>
      </c>
      <c r="T2907" s="93"/>
      <c r="U2907" s="93" t="s">
        <v>2962</v>
      </c>
      <c r="V2907" s="93" t="s">
        <v>1388</v>
      </c>
      <c r="W2907" s="93" t="s">
        <v>1719</v>
      </c>
      <c r="X2907" s="93" t="s">
        <v>1388</v>
      </c>
      <c r="Y2907" s="93" t="s">
        <v>1389</v>
      </c>
      <c r="AA2907" s="349"/>
      <c r="AB2907" s="349"/>
      <c r="AC2907" s="92" t="s">
        <v>240</v>
      </c>
      <c r="AD2907" s="92">
        <v>5</v>
      </c>
      <c r="AG2907" s="92" t="s">
        <v>2969</v>
      </c>
      <c r="AH2907" s="92" t="s">
        <v>2973</v>
      </c>
      <c r="AI2907" s="92" t="s">
        <v>1129</v>
      </c>
      <c r="AJ2907" s="92" t="s">
        <v>1645</v>
      </c>
      <c r="AK2907" s="92" t="s">
        <v>132</v>
      </c>
      <c r="AX2907" s="92">
        <v>3</v>
      </c>
      <c r="AZ2907" s="92" t="s">
        <v>141</v>
      </c>
      <c r="BB2907" s="92">
        <v>4370</v>
      </c>
      <c r="BC2907" s="92">
        <f>BB2907/272.19</f>
        <v>16.054961607700502</v>
      </c>
      <c r="BK2907" s="92">
        <v>1.91</v>
      </c>
      <c r="BL2907" s="92">
        <v>3.01</v>
      </c>
      <c r="BO2907" s="92" t="s">
        <v>2975</v>
      </c>
      <c r="BP2907" s="424"/>
      <c r="BQ2907" s="424"/>
      <c r="BU2907" s="424">
        <v>1.1599999999999999</v>
      </c>
      <c r="BV2907" s="424">
        <v>2.0699999999999998</v>
      </c>
      <c r="BZ2907" s="424"/>
      <c r="CA2907" s="424"/>
      <c r="CD2907" s="92" t="s">
        <v>3120</v>
      </c>
      <c r="CE2907" s="577">
        <v>1.1599999999999999</v>
      </c>
      <c r="CF2907" s="577">
        <v>2.0699999999999998</v>
      </c>
      <c r="CG2907" s="577"/>
      <c r="CH2907" s="577"/>
      <c r="CI2907" s="92" t="s">
        <v>4546</v>
      </c>
      <c r="CJ2907" s="92">
        <v>0.09</v>
      </c>
      <c r="CK2907" s="92">
        <v>0.21</v>
      </c>
      <c r="CN2907" s="92" t="s">
        <v>2957</v>
      </c>
      <c r="CO2907" s="92">
        <v>3.1</v>
      </c>
      <c r="CP2907" s="92">
        <v>3.55</v>
      </c>
      <c r="CS2907" s="92" t="s">
        <v>2959</v>
      </c>
      <c r="CT2907" s="92">
        <v>0.11</v>
      </c>
      <c r="CU2907" s="92">
        <v>0.21</v>
      </c>
      <c r="CX2907" s="92" t="s">
        <v>2960</v>
      </c>
      <c r="CY2907" s="92">
        <v>5.0999999999999996</v>
      </c>
      <c r="CZ2907" s="92">
        <v>5.5</v>
      </c>
      <c r="DD2907" s="92">
        <f>3.2+3.2+0.11</f>
        <v>6.5100000000000007</v>
      </c>
      <c r="DE2907" s="92">
        <f>3.55+5.75+0.21</f>
        <v>9.5100000000000016</v>
      </c>
      <c r="DH2907" s="92" t="s">
        <v>2974</v>
      </c>
      <c r="JD2907" s="259"/>
    </row>
    <row r="2908" spans="1:264" s="92" customFormat="1" x14ac:dyDescent="0.25">
      <c r="A2908" s="92">
        <v>137</v>
      </c>
      <c r="B2908" s="93" t="s">
        <v>4382</v>
      </c>
      <c r="C2908" s="92" t="s">
        <v>2966</v>
      </c>
      <c r="D2908" s="92" t="s">
        <v>2967</v>
      </c>
      <c r="E2908" s="92">
        <v>1998</v>
      </c>
      <c r="F2908" s="92">
        <v>1993</v>
      </c>
      <c r="G2908" s="92" t="s">
        <v>2766</v>
      </c>
      <c r="H2908" s="92" t="s">
        <v>2968</v>
      </c>
      <c r="I2908" s="92" t="s">
        <v>2831</v>
      </c>
      <c r="J2908" s="92">
        <v>3.5</v>
      </c>
      <c r="K2908" s="92">
        <f t="shared" si="413"/>
        <v>11.7</v>
      </c>
      <c r="L2908" s="92">
        <v>649.79999999999995</v>
      </c>
      <c r="P2908" s="92">
        <v>1522</v>
      </c>
      <c r="R2908" s="93" t="s">
        <v>1977</v>
      </c>
      <c r="S2908" s="93" t="s">
        <v>1847</v>
      </c>
      <c r="T2908" s="93"/>
      <c r="U2908" s="93" t="s">
        <v>2962</v>
      </c>
      <c r="V2908" s="93" t="s">
        <v>1388</v>
      </c>
      <c r="W2908" s="93" t="s">
        <v>1719</v>
      </c>
      <c r="X2908" s="93" t="s">
        <v>1388</v>
      </c>
      <c r="Y2908" s="93" t="s">
        <v>1389</v>
      </c>
      <c r="AA2908" s="349"/>
      <c r="AB2908" s="349"/>
      <c r="AC2908" s="92" t="s">
        <v>240</v>
      </c>
      <c r="AD2908" s="92">
        <v>5</v>
      </c>
      <c r="AG2908" s="92" t="s">
        <v>2969</v>
      </c>
      <c r="AH2908" s="92" t="s">
        <v>2972</v>
      </c>
      <c r="AI2908" s="92" t="s">
        <v>577</v>
      </c>
      <c r="AJ2908" s="92" t="s">
        <v>1645</v>
      </c>
      <c r="AK2908" s="92" t="s">
        <v>132</v>
      </c>
      <c r="AX2908" s="92">
        <v>3</v>
      </c>
      <c r="AZ2908" s="92" t="s">
        <v>141</v>
      </c>
      <c r="BK2908" s="92">
        <v>1.91</v>
      </c>
      <c r="BL2908" s="92">
        <v>3</v>
      </c>
      <c r="BO2908" s="92" t="s">
        <v>2975</v>
      </c>
      <c r="BP2908" s="424"/>
      <c r="BQ2908" s="424"/>
      <c r="BU2908" s="424">
        <v>1.1599999999999999</v>
      </c>
      <c r="BV2908" s="424">
        <v>1.49</v>
      </c>
      <c r="BZ2908" s="424"/>
      <c r="CA2908" s="424"/>
      <c r="CD2908" s="92" t="s">
        <v>3120</v>
      </c>
      <c r="CE2908" s="577">
        <v>1.1599999999999999</v>
      </c>
      <c r="CF2908" s="577">
        <v>1.49</v>
      </c>
      <c r="CG2908" s="577"/>
      <c r="CH2908" s="577"/>
      <c r="CI2908" s="92" t="s">
        <v>4546</v>
      </c>
      <c r="CJ2908" s="92">
        <v>0.09</v>
      </c>
      <c r="CK2908" s="92">
        <v>0.16</v>
      </c>
      <c r="CN2908" s="92" t="s">
        <v>2957</v>
      </c>
      <c r="CO2908" s="92">
        <v>3.1</v>
      </c>
      <c r="CP2908" s="92">
        <v>3.5</v>
      </c>
      <c r="CS2908" s="92" t="s">
        <v>2959</v>
      </c>
      <c r="CT2908" s="92">
        <v>0.11</v>
      </c>
      <c r="CU2908" s="92">
        <v>0.65</v>
      </c>
      <c r="CX2908" s="92" t="s">
        <v>2960</v>
      </c>
      <c r="CY2908" s="92">
        <v>5.0999999999999996</v>
      </c>
      <c r="CZ2908" s="92">
        <v>5.5</v>
      </c>
      <c r="DD2908" s="92">
        <f>3.2+3.2+0.11</f>
        <v>6.5100000000000007</v>
      </c>
      <c r="DE2908" s="92">
        <f>3.5+5.25+0.63</f>
        <v>9.3800000000000008</v>
      </c>
      <c r="DH2908" s="92" t="s">
        <v>2974</v>
      </c>
      <c r="JD2908" s="259"/>
    </row>
    <row r="2909" spans="1:264" s="284" customFormat="1" x14ac:dyDescent="0.25">
      <c r="A2909" s="284">
        <v>137</v>
      </c>
      <c r="B2909" s="515" t="s">
        <v>4383</v>
      </c>
      <c r="C2909" s="284" t="s">
        <v>2966</v>
      </c>
      <c r="D2909" s="284" t="s">
        <v>2967</v>
      </c>
      <c r="E2909" s="284">
        <v>1998</v>
      </c>
      <c r="F2909" s="284">
        <v>1993</v>
      </c>
      <c r="G2909" s="284" t="s">
        <v>2766</v>
      </c>
      <c r="H2909" s="284" t="s">
        <v>2968</v>
      </c>
      <c r="I2909" s="284" t="s">
        <v>2831</v>
      </c>
      <c r="J2909" s="284">
        <v>3.5</v>
      </c>
      <c r="K2909" s="284">
        <f t="shared" si="413"/>
        <v>11.7</v>
      </c>
      <c r="L2909" s="284">
        <v>649.79999999999995</v>
      </c>
      <c r="P2909" s="284">
        <v>1522</v>
      </c>
      <c r="R2909" s="515" t="s">
        <v>1977</v>
      </c>
      <c r="S2909" s="515" t="s">
        <v>1847</v>
      </c>
      <c r="T2909" s="515"/>
      <c r="U2909" s="515" t="s">
        <v>2962</v>
      </c>
      <c r="V2909" s="515" t="s">
        <v>1392</v>
      </c>
      <c r="W2909" s="515" t="s">
        <v>1719</v>
      </c>
      <c r="X2909" s="515" t="s">
        <v>1388</v>
      </c>
      <c r="Y2909" s="515" t="s">
        <v>1389</v>
      </c>
      <c r="AA2909" s="516"/>
      <c r="AB2909" s="516"/>
      <c r="AC2909" s="284" t="s">
        <v>240</v>
      </c>
      <c r="AD2909" s="284">
        <v>5</v>
      </c>
      <c r="AG2909" s="284" t="s">
        <v>2969</v>
      </c>
      <c r="AH2909" s="284" t="s">
        <v>2973</v>
      </c>
      <c r="AI2909" s="284" t="s">
        <v>1129</v>
      </c>
      <c r="AJ2909" s="284" t="s">
        <v>1645</v>
      </c>
      <c r="AK2909" s="284" t="s">
        <v>132</v>
      </c>
      <c r="AX2909" s="284">
        <v>3</v>
      </c>
      <c r="AZ2909" s="284" t="s">
        <v>141</v>
      </c>
      <c r="BB2909" s="284">
        <v>4370</v>
      </c>
      <c r="BC2909" s="284">
        <v>16.054961607700502</v>
      </c>
      <c r="BP2909" s="452"/>
      <c r="BQ2909" s="452"/>
      <c r="BU2909" s="452">
        <v>0.72</v>
      </c>
      <c r="BV2909" s="452">
        <v>1.1499999999999999</v>
      </c>
      <c r="BZ2909" s="452"/>
      <c r="CA2909" s="452"/>
      <c r="CD2909" s="284" t="s">
        <v>3120</v>
      </c>
      <c r="CE2909" s="590">
        <v>0.72</v>
      </c>
      <c r="CF2909" s="590">
        <v>1.1499999999999999</v>
      </c>
      <c r="CG2909" s="590"/>
      <c r="CH2909" s="590"/>
      <c r="CI2909" s="284" t="s">
        <v>4546</v>
      </c>
      <c r="CJ2909" s="284">
        <v>7.0000000000000007E-2</v>
      </c>
      <c r="CK2909" s="284">
        <v>0.13</v>
      </c>
      <c r="CN2909" s="284" t="s">
        <v>2957</v>
      </c>
      <c r="CO2909" s="284">
        <v>0.12</v>
      </c>
      <c r="CP2909" s="284">
        <v>1.1399999999999999</v>
      </c>
      <c r="CS2909" s="284" t="s">
        <v>2959</v>
      </c>
      <c r="CT2909" s="284">
        <v>0.11</v>
      </c>
      <c r="CU2909" s="284">
        <v>0.16</v>
      </c>
      <c r="CX2909" s="284" t="s">
        <v>2960</v>
      </c>
      <c r="CY2909" s="284">
        <v>4.9000000000000004</v>
      </c>
      <c r="CZ2909" s="284">
        <v>5.2</v>
      </c>
      <c r="DD2909" s="284">
        <f>2.9+0.14+0.11</f>
        <v>3.15</v>
      </c>
      <c r="DE2909" s="284">
        <f>5.08+0.21+0.16</f>
        <v>5.45</v>
      </c>
      <c r="DH2909" s="284" t="s">
        <v>2974</v>
      </c>
      <c r="JD2909" s="285"/>
    </row>
    <row r="2910" spans="1:264" s="284" customFormat="1" x14ac:dyDescent="0.25">
      <c r="A2910" s="284">
        <v>137</v>
      </c>
      <c r="B2910" s="515" t="s">
        <v>4384</v>
      </c>
      <c r="C2910" s="284" t="s">
        <v>2966</v>
      </c>
      <c r="D2910" s="284" t="s">
        <v>2967</v>
      </c>
      <c r="E2910" s="284">
        <v>1998</v>
      </c>
      <c r="F2910" s="284">
        <v>1993</v>
      </c>
      <c r="G2910" s="284" t="s">
        <v>2766</v>
      </c>
      <c r="H2910" s="284" t="s">
        <v>2968</v>
      </c>
      <c r="I2910" s="284" t="s">
        <v>2831</v>
      </c>
      <c r="J2910" s="284">
        <v>3.5</v>
      </c>
      <c r="K2910" s="284">
        <f t="shared" si="413"/>
        <v>11.7</v>
      </c>
      <c r="L2910" s="284">
        <v>649.79999999999995</v>
      </c>
      <c r="P2910" s="284">
        <v>1522</v>
      </c>
      <c r="R2910" s="515" t="s">
        <v>1977</v>
      </c>
      <c r="S2910" s="515" t="s">
        <v>1847</v>
      </c>
      <c r="T2910" s="515"/>
      <c r="U2910" s="515" t="s">
        <v>2962</v>
      </c>
      <c r="V2910" s="515" t="s">
        <v>1392</v>
      </c>
      <c r="W2910" s="515" t="s">
        <v>1719</v>
      </c>
      <c r="X2910" s="515" t="s">
        <v>1388</v>
      </c>
      <c r="Y2910" s="515" t="s">
        <v>1389</v>
      </c>
      <c r="AA2910" s="516"/>
      <c r="AB2910" s="516"/>
      <c r="AC2910" s="284" t="s">
        <v>240</v>
      </c>
      <c r="AD2910" s="284">
        <v>5</v>
      </c>
      <c r="AG2910" s="284" t="s">
        <v>2969</v>
      </c>
      <c r="AH2910" s="284" t="s">
        <v>2972</v>
      </c>
      <c r="AI2910" s="284" t="s">
        <v>577</v>
      </c>
      <c r="AJ2910" s="284" t="s">
        <v>1645</v>
      </c>
      <c r="AK2910" s="284" t="s">
        <v>132</v>
      </c>
      <c r="AX2910" s="284">
        <v>3</v>
      </c>
      <c r="AZ2910" s="284" t="s">
        <v>141</v>
      </c>
      <c r="BP2910" s="452"/>
      <c r="BQ2910" s="452"/>
      <c r="BU2910" s="452">
        <v>0.72</v>
      </c>
      <c r="BV2910" s="452">
        <v>0.77</v>
      </c>
      <c r="BZ2910" s="452"/>
      <c r="CA2910" s="452"/>
      <c r="CD2910" s="284" t="s">
        <v>3120</v>
      </c>
      <c r="CE2910" s="590">
        <v>0.72</v>
      </c>
      <c r="CF2910" s="590">
        <v>0.77</v>
      </c>
      <c r="CG2910" s="590"/>
      <c r="CH2910" s="590"/>
      <c r="CI2910" s="284" t="s">
        <v>4546</v>
      </c>
      <c r="CJ2910" s="284">
        <v>7.0000000000000007E-2</v>
      </c>
      <c r="CK2910" s="284">
        <v>0.14000000000000001</v>
      </c>
      <c r="CN2910" s="284" t="s">
        <v>2957</v>
      </c>
      <c r="CO2910" s="284">
        <v>0.12</v>
      </c>
      <c r="CP2910" s="284">
        <v>1.52</v>
      </c>
      <c r="CS2910" s="284" t="s">
        <v>2959</v>
      </c>
      <c r="CT2910" s="284">
        <v>0.11</v>
      </c>
      <c r="CU2910" s="284">
        <v>0.52</v>
      </c>
      <c r="CX2910" s="284" t="s">
        <v>2960</v>
      </c>
      <c r="CY2910" s="284">
        <v>4.9000000000000004</v>
      </c>
      <c r="CZ2910" s="284">
        <v>4.0999999999999996</v>
      </c>
      <c r="DD2910" s="284">
        <f>2.9+0.14+0.11</f>
        <v>3.15</v>
      </c>
      <c r="DE2910" s="284">
        <f>3.3+0.16+0.52</f>
        <v>3.98</v>
      </c>
      <c r="DH2910" s="284" t="s">
        <v>2974</v>
      </c>
      <c r="JD2910" s="285"/>
    </row>
    <row r="2911" spans="1:264" s="92" customFormat="1" x14ac:dyDescent="0.25">
      <c r="A2911" s="92">
        <v>137</v>
      </c>
      <c r="B2911" s="93" t="s">
        <v>4385</v>
      </c>
      <c r="C2911" s="92" t="s">
        <v>2966</v>
      </c>
      <c r="D2911" s="92" t="s">
        <v>2967</v>
      </c>
      <c r="E2911" s="92">
        <v>1998</v>
      </c>
      <c r="F2911" s="92">
        <v>1993</v>
      </c>
      <c r="G2911" s="92" t="s">
        <v>2766</v>
      </c>
      <c r="H2911" s="92" t="s">
        <v>2968</v>
      </c>
      <c r="I2911" s="92" t="s">
        <v>2831</v>
      </c>
      <c r="J2911" s="92">
        <v>3.5</v>
      </c>
      <c r="K2911" s="92">
        <f t="shared" si="413"/>
        <v>11.7</v>
      </c>
      <c r="L2911" s="92">
        <v>649.79999999999995</v>
      </c>
      <c r="P2911" s="92">
        <v>1522</v>
      </c>
      <c r="R2911" s="93" t="s">
        <v>1977</v>
      </c>
      <c r="S2911" s="93" t="s">
        <v>1847</v>
      </c>
      <c r="T2911" s="93"/>
      <c r="U2911" s="93" t="s">
        <v>2962</v>
      </c>
      <c r="V2911" s="93" t="s">
        <v>1393</v>
      </c>
      <c r="W2911" s="93" t="s">
        <v>1719</v>
      </c>
      <c r="X2911" s="93" t="s">
        <v>1388</v>
      </c>
      <c r="Y2911" s="93" t="s">
        <v>1389</v>
      </c>
      <c r="AA2911" s="349"/>
      <c r="AB2911" s="349"/>
      <c r="AC2911" s="92" t="s">
        <v>240</v>
      </c>
      <c r="AD2911" s="92">
        <v>5</v>
      </c>
      <c r="AG2911" s="92" t="s">
        <v>2969</v>
      </c>
      <c r="AH2911" s="92" t="s">
        <v>2973</v>
      </c>
      <c r="AI2911" s="92" t="s">
        <v>1129</v>
      </c>
      <c r="AJ2911" s="92" t="s">
        <v>1645</v>
      </c>
      <c r="AK2911" s="92" t="s">
        <v>132</v>
      </c>
      <c r="AX2911" s="92">
        <v>3</v>
      </c>
      <c r="AZ2911" s="92" t="s">
        <v>141</v>
      </c>
      <c r="BB2911" s="92">
        <v>4370</v>
      </c>
      <c r="BC2911" s="92">
        <f>BB2911/272.19</f>
        <v>16.054961607700502</v>
      </c>
      <c r="BP2911" s="424"/>
      <c r="BQ2911" s="424"/>
      <c r="BU2911" s="424">
        <v>0.55000000000000004</v>
      </c>
      <c r="BV2911" s="424">
        <v>0.61</v>
      </c>
      <c r="BZ2911" s="424"/>
      <c r="CA2911" s="424"/>
      <c r="CD2911" s="92" t="s">
        <v>3120</v>
      </c>
      <c r="CE2911" s="577">
        <v>0.55000000000000004</v>
      </c>
      <c r="CF2911" s="577">
        <v>0.61</v>
      </c>
      <c r="CG2911" s="577"/>
      <c r="CH2911" s="577"/>
      <c r="CI2911" s="92" t="s">
        <v>4546</v>
      </c>
      <c r="CJ2911" s="92">
        <v>0.09</v>
      </c>
      <c r="CK2911" s="92">
        <v>0.12</v>
      </c>
      <c r="CN2911" s="92" t="s">
        <v>2957</v>
      </c>
      <c r="CO2911" s="92">
        <v>1.1000000000000001</v>
      </c>
      <c r="CP2911" s="92">
        <v>1.2</v>
      </c>
      <c r="CS2911" s="92" t="s">
        <v>2959</v>
      </c>
      <c r="CT2911" s="92">
        <v>0.12</v>
      </c>
      <c r="CU2911" s="92">
        <v>0.12</v>
      </c>
      <c r="CX2911" s="92" t="s">
        <v>2960</v>
      </c>
      <c r="CY2911" s="92">
        <v>4.8</v>
      </c>
      <c r="CZ2911" s="92">
        <v>4.9000000000000004</v>
      </c>
      <c r="DD2911" s="92">
        <f>2.12+0.17+0.12</f>
        <v>2.41</v>
      </c>
      <c r="DE2911" s="92">
        <f>3.73+0.16+0.12</f>
        <v>4.01</v>
      </c>
      <c r="DH2911" s="92" t="s">
        <v>2974</v>
      </c>
      <c r="JD2911" s="259"/>
    </row>
    <row r="2912" spans="1:264" s="92" customFormat="1" x14ac:dyDescent="0.25">
      <c r="A2912" s="92">
        <v>137</v>
      </c>
      <c r="B2912" s="93" t="s">
        <v>4386</v>
      </c>
      <c r="C2912" s="92" t="s">
        <v>2966</v>
      </c>
      <c r="D2912" s="92" t="s">
        <v>2967</v>
      </c>
      <c r="E2912" s="92">
        <v>1998</v>
      </c>
      <c r="F2912" s="92">
        <v>1993</v>
      </c>
      <c r="G2912" s="92" t="s">
        <v>2766</v>
      </c>
      <c r="H2912" s="92" t="s">
        <v>2968</v>
      </c>
      <c r="I2912" s="92" t="s">
        <v>2831</v>
      </c>
      <c r="J2912" s="92">
        <v>3.5</v>
      </c>
      <c r="K2912" s="92">
        <f t="shared" si="413"/>
        <v>11.7</v>
      </c>
      <c r="L2912" s="92">
        <v>649.79999999999995</v>
      </c>
      <c r="P2912" s="92">
        <v>1522</v>
      </c>
      <c r="R2912" s="93" t="s">
        <v>1977</v>
      </c>
      <c r="S2912" s="93" t="s">
        <v>1847</v>
      </c>
      <c r="T2912" s="93"/>
      <c r="U2912" s="93" t="s">
        <v>2962</v>
      </c>
      <c r="V2912" s="93" t="s">
        <v>1393</v>
      </c>
      <c r="W2912" s="93" t="s">
        <v>1719</v>
      </c>
      <c r="X2912" s="93" t="s">
        <v>1388</v>
      </c>
      <c r="Y2912" s="93" t="s">
        <v>1389</v>
      </c>
      <c r="AA2912" s="349"/>
      <c r="AB2912" s="349"/>
      <c r="AC2912" s="92" t="s">
        <v>240</v>
      </c>
      <c r="AD2912" s="92">
        <v>5</v>
      </c>
      <c r="AG2912" s="92" t="s">
        <v>2969</v>
      </c>
      <c r="AH2912" s="92" t="s">
        <v>2972</v>
      </c>
      <c r="AI2912" s="92" t="s">
        <v>577</v>
      </c>
      <c r="AJ2912" s="92" t="s">
        <v>1645</v>
      </c>
      <c r="AK2912" s="92" t="s">
        <v>132</v>
      </c>
      <c r="AX2912" s="92">
        <v>3</v>
      </c>
      <c r="AZ2912" s="92" t="s">
        <v>141</v>
      </c>
      <c r="BP2912" s="424"/>
      <c r="BQ2912" s="424"/>
      <c r="BU2912" s="424">
        <v>0.55000000000000004</v>
      </c>
      <c r="BV2912" s="424">
        <v>0.57999999999999996</v>
      </c>
      <c r="BZ2912" s="424"/>
      <c r="CA2912" s="424"/>
      <c r="CD2912" s="92" t="s">
        <v>3120</v>
      </c>
      <c r="CE2912" s="577">
        <v>0.55000000000000004</v>
      </c>
      <c r="CF2912" s="577">
        <v>0.57999999999999996</v>
      </c>
      <c r="CG2912" s="577"/>
      <c r="CH2912" s="577"/>
      <c r="CI2912" s="92" t="s">
        <v>4546</v>
      </c>
      <c r="CJ2912" s="92">
        <v>0.09</v>
      </c>
      <c r="CK2912" s="92">
        <v>0.09</v>
      </c>
      <c r="CN2912" s="92" t="s">
        <v>2957</v>
      </c>
      <c r="CO2912" s="92">
        <v>1.1000000000000001</v>
      </c>
      <c r="CP2912" s="92">
        <v>0.7</v>
      </c>
      <c r="CS2912" s="92" t="s">
        <v>2959</v>
      </c>
      <c r="CT2912" s="92">
        <v>0.12</v>
      </c>
      <c r="CU2912" s="92">
        <v>0.27</v>
      </c>
      <c r="CX2912" s="92" t="s">
        <v>2960</v>
      </c>
      <c r="CY2912" s="92">
        <v>4.8</v>
      </c>
      <c r="CZ2912" s="92">
        <v>4.9000000000000004</v>
      </c>
      <c r="DD2912" s="92">
        <f>2.12+0.17+0.12</f>
        <v>2.41</v>
      </c>
      <c r="DE2912" s="92">
        <f>2.19+0.18+0.27</f>
        <v>2.64</v>
      </c>
      <c r="DH2912" s="92" t="s">
        <v>2974</v>
      </c>
      <c r="JD2912" s="259"/>
    </row>
    <row r="2913" spans="1:264" s="24" customFormat="1" x14ac:dyDescent="0.25">
      <c r="A2913" s="24">
        <v>138</v>
      </c>
      <c r="B2913" s="42" t="s">
        <v>4387</v>
      </c>
      <c r="C2913" s="24" t="s">
        <v>2976</v>
      </c>
      <c r="D2913" s="24" t="s">
        <v>2977</v>
      </c>
      <c r="E2913" s="24">
        <v>1997</v>
      </c>
      <c r="F2913" s="24">
        <v>1994</v>
      </c>
      <c r="G2913" s="24" t="s">
        <v>2978</v>
      </c>
      <c r="H2913" s="24" t="s">
        <v>2980</v>
      </c>
      <c r="I2913" s="24" t="s">
        <v>2836</v>
      </c>
      <c r="J2913" s="24">
        <v>-0.02</v>
      </c>
      <c r="K2913" s="24">
        <v>37.909999999999997</v>
      </c>
      <c r="L2913" s="24">
        <v>883</v>
      </c>
      <c r="O2913" s="24">
        <v>1754</v>
      </c>
      <c r="R2913" s="42" t="s">
        <v>1977</v>
      </c>
      <c r="S2913" s="42" t="s">
        <v>1977</v>
      </c>
      <c r="T2913" s="42"/>
      <c r="U2913" s="42" t="s">
        <v>2985</v>
      </c>
      <c r="V2913" s="42"/>
      <c r="W2913" s="42"/>
      <c r="X2913" s="42"/>
      <c r="Y2913" s="42"/>
      <c r="AA2913" s="321">
        <v>40</v>
      </c>
      <c r="AB2913" s="321">
        <f>100-40-38</f>
        <v>22</v>
      </c>
      <c r="AC2913" s="24" t="s">
        <v>796</v>
      </c>
      <c r="AD2913" s="24">
        <v>5.0999999999999996</v>
      </c>
      <c r="AE2913" s="24">
        <v>1.4</v>
      </c>
      <c r="AG2913" s="24" t="s">
        <v>2979</v>
      </c>
      <c r="AH2913" s="24" t="s">
        <v>2982</v>
      </c>
      <c r="AI2913" s="24" t="s">
        <v>577</v>
      </c>
      <c r="AJ2913" s="24" t="s">
        <v>1645</v>
      </c>
      <c r="AK2913" s="24" t="s">
        <v>132</v>
      </c>
      <c r="AT2913" s="24" t="s">
        <v>2983</v>
      </c>
      <c r="AU2913" s="24" t="s">
        <v>2984</v>
      </c>
      <c r="AV2913" s="24" t="s">
        <v>502</v>
      </c>
      <c r="AW2913" s="24" t="s">
        <v>160</v>
      </c>
      <c r="AX2913" s="24">
        <v>4</v>
      </c>
      <c r="AZ2913" s="24" t="s">
        <v>141</v>
      </c>
      <c r="BK2913" s="24">
        <v>400</v>
      </c>
      <c r="BL2913" s="24">
        <v>1500</v>
      </c>
      <c r="BP2913" s="395"/>
      <c r="BQ2913" s="395"/>
      <c r="BU2913" s="395"/>
      <c r="BV2913" s="395"/>
      <c r="BZ2913" s="395"/>
      <c r="CA2913" s="395"/>
      <c r="CE2913" s="548"/>
      <c r="CF2913" s="548"/>
      <c r="CG2913" s="548"/>
      <c r="CH2913" s="548"/>
      <c r="JD2913" s="249"/>
    </row>
    <row r="2914" spans="1:264" s="24" customFormat="1" x14ac:dyDescent="0.25">
      <c r="A2914" s="24">
        <v>138</v>
      </c>
      <c r="B2914" s="42" t="s">
        <v>4388</v>
      </c>
      <c r="C2914" s="24" t="s">
        <v>2976</v>
      </c>
      <c r="D2914" s="24" t="s">
        <v>2977</v>
      </c>
      <c r="E2914" s="24">
        <v>1997</v>
      </c>
      <c r="F2914" s="24">
        <v>1994</v>
      </c>
      <c r="G2914" s="24" t="s">
        <v>2978</v>
      </c>
      <c r="H2914" s="24" t="s">
        <v>2981</v>
      </c>
      <c r="I2914" s="24" t="s">
        <v>2836</v>
      </c>
      <c r="J2914" s="24">
        <v>-0.03</v>
      </c>
      <c r="K2914" s="24">
        <v>37.9</v>
      </c>
      <c r="L2914" s="24">
        <v>883</v>
      </c>
      <c r="O2914" s="24">
        <v>1754</v>
      </c>
      <c r="R2914" s="42" t="s">
        <v>1977</v>
      </c>
      <c r="S2914" s="42" t="s">
        <v>1977</v>
      </c>
      <c r="T2914" s="42"/>
      <c r="U2914" s="42" t="s">
        <v>2985</v>
      </c>
      <c r="V2914" s="42"/>
      <c r="W2914" s="42"/>
      <c r="X2914" s="42"/>
      <c r="Y2914" s="42"/>
      <c r="AA2914" s="321">
        <v>42</v>
      </c>
      <c r="AB2914" s="321">
        <f>100-42-28</f>
        <v>30</v>
      </c>
      <c r="AC2914" s="24" t="s">
        <v>672</v>
      </c>
      <c r="AD2914" s="24">
        <v>5</v>
      </c>
      <c r="AE2914" s="24">
        <v>1.56</v>
      </c>
      <c r="AG2914" s="24" t="s">
        <v>2979</v>
      </c>
      <c r="AH2914" s="24" t="s">
        <v>2982</v>
      </c>
      <c r="AI2914" s="24" t="s">
        <v>577</v>
      </c>
      <c r="AJ2914" s="24" t="s">
        <v>1645</v>
      </c>
      <c r="AK2914" s="24" t="s">
        <v>132</v>
      </c>
      <c r="AT2914" s="24" t="s">
        <v>2983</v>
      </c>
      <c r="AU2914" s="24" t="s">
        <v>2984</v>
      </c>
      <c r="AV2914" s="24" t="s">
        <v>502</v>
      </c>
      <c r="AW2914" s="24" t="s">
        <v>160</v>
      </c>
      <c r="AX2914" s="24">
        <v>4</v>
      </c>
      <c r="AZ2914" s="24" t="s">
        <v>141</v>
      </c>
      <c r="BK2914" s="24">
        <v>300</v>
      </c>
      <c r="BL2914" s="24">
        <v>200</v>
      </c>
      <c r="BP2914" s="395"/>
      <c r="BQ2914" s="395"/>
      <c r="BU2914" s="395"/>
      <c r="BV2914" s="395"/>
      <c r="BZ2914" s="395"/>
      <c r="CA2914" s="395"/>
      <c r="CE2914" s="548"/>
      <c r="CF2914" s="548"/>
      <c r="CG2914" s="548"/>
      <c r="CH2914" s="548"/>
      <c r="JD2914" s="249"/>
    </row>
    <row r="2915" spans="1:264" s="36" customFormat="1" x14ac:dyDescent="0.25">
      <c r="A2915" s="36">
        <v>139</v>
      </c>
      <c r="B2915" s="51" t="s">
        <v>3253</v>
      </c>
      <c r="C2915" s="36" t="s">
        <v>2976</v>
      </c>
      <c r="D2915" s="36" t="s">
        <v>2977</v>
      </c>
      <c r="E2915" s="36">
        <v>1998</v>
      </c>
      <c r="F2915" s="36">
        <v>1993</v>
      </c>
      <c r="G2915" s="36" t="s">
        <v>2978</v>
      </c>
      <c r="H2915" s="36" t="s">
        <v>2986</v>
      </c>
      <c r="I2915" s="36" t="s">
        <v>2836</v>
      </c>
      <c r="J2915" s="36">
        <f>6/60</f>
        <v>0.1</v>
      </c>
      <c r="K2915" s="36">
        <f>34+34/60</f>
        <v>34.56666666666667</v>
      </c>
      <c r="L2915" s="36">
        <v>1420</v>
      </c>
      <c r="O2915" s="36">
        <v>1800</v>
      </c>
      <c r="R2915" s="51" t="s">
        <v>1977</v>
      </c>
      <c r="S2915" s="51" t="s">
        <v>1858</v>
      </c>
      <c r="T2915" s="51"/>
      <c r="U2915" s="51" t="s">
        <v>2881</v>
      </c>
      <c r="V2915" s="51"/>
      <c r="W2915" s="51"/>
      <c r="X2915" s="51"/>
      <c r="Y2915" s="51"/>
      <c r="AA2915" s="331">
        <v>46</v>
      </c>
      <c r="AB2915" s="331">
        <f>100-46-26</f>
        <v>28</v>
      </c>
      <c r="AC2915" s="36" t="s">
        <v>672</v>
      </c>
      <c r="AD2915" s="36">
        <v>5.0999999999999996</v>
      </c>
      <c r="AE2915" s="36">
        <v>1.5</v>
      </c>
      <c r="AG2915" s="36" t="s">
        <v>2988</v>
      </c>
      <c r="AH2915" s="36" t="s">
        <v>2770</v>
      </c>
      <c r="AI2915" s="36" t="s">
        <v>1581</v>
      </c>
      <c r="AJ2915" s="36" t="s">
        <v>1645</v>
      </c>
      <c r="AK2915" s="36" t="s">
        <v>132</v>
      </c>
      <c r="AT2915" s="36" t="s">
        <v>2983</v>
      </c>
      <c r="AU2915" s="36" t="s">
        <v>2984</v>
      </c>
      <c r="AV2915" s="36" t="s">
        <v>502</v>
      </c>
      <c r="AW2915" s="36" t="s">
        <v>160</v>
      </c>
      <c r="AX2915" s="36">
        <v>4</v>
      </c>
      <c r="AZ2915" s="36" t="s">
        <v>141</v>
      </c>
      <c r="BE2915" s="36" t="s">
        <v>2990</v>
      </c>
      <c r="BK2915" s="36">
        <v>830.15</v>
      </c>
      <c r="BL2915" s="36">
        <v>892.26</v>
      </c>
      <c r="BP2915" s="407"/>
      <c r="BQ2915" s="407"/>
      <c r="BU2915" s="407"/>
      <c r="BV2915" s="407"/>
      <c r="BZ2915" s="407"/>
      <c r="CA2915" s="407"/>
      <c r="CE2915" s="560"/>
      <c r="CF2915" s="560"/>
      <c r="CG2915" s="560"/>
      <c r="CH2915" s="560"/>
      <c r="JD2915" s="230"/>
    </row>
    <row r="2916" spans="1:264" s="36" customFormat="1" x14ac:dyDescent="0.25">
      <c r="A2916" s="36">
        <v>139</v>
      </c>
      <c r="B2916" s="51" t="s">
        <v>3253</v>
      </c>
      <c r="C2916" s="36" t="s">
        <v>2976</v>
      </c>
      <c r="D2916" s="36" t="s">
        <v>2977</v>
      </c>
      <c r="E2916" s="36">
        <v>1998</v>
      </c>
      <c r="F2916" s="36">
        <v>1995</v>
      </c>
      <c r="G2916" s="36" t="s">
        <v>2978</v>
      </c>
      <c r="H2916" s="36" t="s">
        <v>2986</v>
      </c>
      <c r="I2916" s="36" t="s">
        <v>2836</v>
      </c>
      <c r="J2916" s="36">
        <f>6/60</f>
        <v>0.1</v>
      </c>
      <c r="K2916" s="36">
        <f>34+34/60</f>
        <v>34.56666666666667</v>
      </c>
      <c r="L2916" s="36">
        <v>1420</v>
      </c>
      <c r="O2916" s="36">
        <v>1800</v>
      </c>
      <c r="R2916" s="51" t="s">
        <v>1728</v>
      </c>
      <c r="S2916" s="51" t="s">
        <v>1858</v>
      </c>
      <c r="T2916" s="51"/>
      <c r="U2916" s="51" t="s">
        <v>2881</v>
      </c>
      <c r="V2916" s="51"/>
      <c r="W2916" s="51"/>
      <c r="X2916" s="51"/>
      <c r="Y2916" s="51"/>
      <c r="AA2916" s="331">
        <v>46</v>
      </c>
      <c r="AB2916" s="331">
        <f>100-46-26</f>
        <v>28</v>
      </c>
      <c r="AC2916" s="36" t="s">
        <v>672</v>
      </c>
      <c r="AD2916" s="36">
        <v>5.0999999999999996</v>
      </c>
      <c r="AE2916" s="36">
        <v>1.5</v>
      </c>
      <c r="AG2916" s="36" t="s">
        <v>2988</v>
      </c>
      <c r="AH2916" s="36" t="s">
        <v>2770</v>
      </c>
      <c r="AI2916" s="36" t="s">
        <v>1581</v>
      </c>
      <c r="AJ2916" s="36" t="s">
        <v>1645</v>
      </c>
      <c r="AK2916" s="36" t="s">
        <v>132</v>
      </c>
      <c r="AT2916" s="36" t="s">
        <v>2983</v>
      </c>
      <c r="AU2916" s="36" t="s">
        <v>2984</v>
      </c>
      <c r="AV2916" s="36" t="s">
        <v>502</v>
      </c>
      <c r="AW2916" s="36" t="s">
        <v>160</v>
      </c>
      <c r="AX2916" s="36">
        <v>4</v>
      </c>
      <c r="AZ2916" s="36" t="s">
        <v>141</v>
      </c>
      <c r="BE2916" s="36" t="s">
        <v>2990</v>
      </c>
      <c r="BK2916" s="36">
        <v>3526</v>
      </c>
      <c r="BL2916" s="36">
        <v>4407</v>
      </c>
      <c r="BP2916" s="407"/>
      <c r="BQ2916" s="407"/>
      <c r="BU2916" s="407"/>
      <c r="BV2916" s="407"/>
      <c r="BZ2916" s="407"/>
      <c r="CA2916" s="407"/>
      <c r="CE2916" s="560"/>
      <c r="CF2916" s="560"/>
      <c r="CG2916" s="560"/>
      <c r="CH2916" s="560"/>
      <c r="JD2916" s="230"/>
    </row>
    <row r="2917" spans="1:264" s="36" customFormat="1" x14ac:dyDescent="0.25">
      <c r="A2917" s="36">
        <v>139</v>
      </c>
      <c r="B2917" s="51" t="s">
        <v>3253</v>
      </c>
      <c r="C2917" s="36" t="s">
        <v>2976</v>
      </c>
      <c r="D2917" s="36" t="s">
        <v>2977</v>
      </c>
      <c r="E2917" s="36">
        <v>1998</v>
      </c>
      <c r="F2917" s="36">
        <v>1995</v>
      </c>
      <c r="G2917" s="36" t="s">
        <v>2978</v>
      </c>
      <c r="H2917" s="36" t="s">
        <v>2986</v>
      </c>
      <c r="I2917" s="36" t="s">
        <v>2836</v>
      </c>
      <c r="J2917" s="36">
        <f>6/60</f>
        <v>0.1</v>
      </c>
      <c r="K2917" s="36">
        <f>34+34/60</f>
        <v>34.56666666666667</v>
      </c>
      <c r="L2917" s="36">
        <v>1420</v>
      </c>
      <c r="O2917" s="36">
        <v>1800</v>
      </c>
      <c r="R2917" s="51" t="s">
        <v>1728</v>
      </c>
      <c r="S2917" s="51" t="s">
        <v>1858</v>
      </c>
      <c r="T2917" s="51"/>
      <c r="U2917" s="51" t="s">
        <v>2881</v>
      </c>
      <c r="V2917" s="51"/>
      <c r="W2917" s="51"/>
      <c r="X2917" s="51"/>
      <c r="Y2917" s="51"/>
      <c r="AA2917" s="331">
        <v>46</v>
      </c>
      <c r="AB2917" s="331">
        <f>100-46-26</f>
        <v>28</v>
      </c>
      <c r="AC2917" s="36" t="s">
        <v>672</v>
      </c>
      <c r="AD2917" s="36">
        <v>5.0999999999999996</v>
      </c>
      <c r="AE2917" s="36">
        <v>1.5</v>
      </c>
      <c r="AG2917" s="36" t="s">
        <v>2988</v>
      </c>
      <c r="AH2917" s="36" t="s">
        <v>2770</v>
      </c>
      <c r="AI2917" s="36" t="s">
        <v>1581</v>
      </c>
      <c r="AJ2917" s="36" t="s">
        <v>1645</v>
      </c>
      <c r="AK2917" s="36" t="s">
        <v>132</v>
      </c>
      <c r="AT2917" s="36" t="s">
        <v>2983</v>
      </c>
      <c r="AU2917" s="36" t="s">
        <v>2984</v>
      </c>
      <c r="AV2917" s="36" t="s">
        <v>502</v>
      </c>
      <c r="AW2917" s="36" t="s">
        <v>160</v>
      </c>
      <c r="AX2917" s="36">
        <v>4</v>
      </c>
      <c r="AZ2917" s="36" t="s">
        <v>141</v>
      </c>
      <c r="BE2917" s="36" t="s">
        <v>2991</v>
      </c>
      <c r="BK2917" s="36">
        <v>1165</v>
      </c>
      <c r="BL2917" s="36">
        <v>1026</v>
      </c>
      <c r="BP2917" s="407"/>
      <c r="BQ2917" s="407"/>
      <c r="BU2917" s="407"/>
      <c r="BV2917" s="407"/>
      <c r="BZ2917" s="407"/>
      <c r="CA2917" s="407"/>
      <c r="CE2917" s="560"/>
      <c r="CF2917" s="560"/>
      <c r="CG2917" s="560"/>
      <c r="CH2917" s="560"/>
      <c r="JD2917" s="230"/>
    </row>
    <row r="2918" spans="1:264" s="36" customFormat="1" x14ac:dyDescent="0.25">
      <c r="A2918" s="36">
        <v>139</v>
      </c>
      <c r="B2918" s="51" t="s">
        <v>3253</v>
      </c>
      <c r="C2918" s="36" t="s">
        <v>2976</v>
      </c>
      <c r="D2918" s="36" t="s">
        <v>2977</v>
      </c>
      <c r="E2918" s="36">
        <v>1998</v>
      </c>
      <c r="F2918" s="36">
        <v>1996</v>
      </c>
      <c r="G2918" s="36" t="s">
        <v>2978</v>
      </c>
      <c r="H2918" s="36" t="s">
        <v>2986</v>
      </c>
      <c r="I2918" s="36" t="s">
        <v>2836</v>
      </c>
      <c r="J2918" s="36">
        <f>6/60</f>
        <v>0.1</v>
      </c>
      <c r="K2918" s="36">
        <f>34+34/60</f>
        <v>34.56666666666667</v>
      </c>
      <c r="L2918" s="36">
        <v>1420</v>
      </c>
      <c r="O2918" s="36">
        <v>1800</v>
      </c>
      <c r="R2918" s="51" t="s">
        <v>1858</v>
      </c>
      <c r="S2918" s="51" t="s">
        <v>1858</v>
      </c>
      <c r="T2918" s="51"/>
      <c r="U2918" s="51" t="s">
        <v>2881</v>
      </c>
      <c r="V2918" s="51"/>
      <c r="W2918" s="51"/>
      <c r="X2918" s="51"/>
      <c r="Y2918" s="51"/>
      <c r="AA2918" s="331">
        <v>46</v>
      </c>
      <c r="AB2918" s="331">
        <f>100-46-26</f>
        <v>28</v>
      </c>
      <c r="AC2918" s="36" t="s">
        <v>672</v>
      </c>
      <c r="AD2918" s="36">
        <v>5.0999999999999996</v>
      </c>
      <c r="AE2918" s="36">
        <v>1.5</v>
      </c>
      <c r="AG2918" s="36" t="s">
        <v>2988</v>
      </c>
      <c r="AH2918" s="36" t="s">
        <v>2770</v>
      </c>
      <c r="AI2918" s="36" t="s">
        <v>1581</v>
      </c>
      <c r="AJ2918" s="36" t="s">
        <v>1645</v>
      </c>
      <c r="AK2918" s="36" t="s">
        <v>132</v>
      </c>
      <c r="AT2918" s="36" t="s">
        <v>2983</v>
      </c>
      <c r="AU2918" s="36" t="s">
        <v>2984</v>
      </c>
      <c r="AV2918" s="36" t="s">
        <v>502</v>
      </c>
      <c r="AW2918" s="36" t="s">
        <v>160</v>
      </c>
      <c r="AX2918" s="36">
        <v>4</v>
      </c>
      <c r="AZ2918" s="36" t="s">
        <v>141</v>
      </c>
      <c r="BE2918" s="36" t="s">
        <v>2990</v>
      </c>
      <c r="BK2918" s="36">
        <v>1275</v>
      </c>
      <c r="BL2918" s="36">
        <v>1829</v>
      </c>
      <c r="BP2918" s="407"/>
      <c r="BQ2918" s="407"/>
      <c r="BU2918" s="407"/>
      <c r="BV2918" s="407"/>
      <c r="BZ2918" s="407"/>
      <c r="CA2918" s="407"/>
      <c r="CE2918" s="560"/>
      <c r="CF2918" s="560"/>
      <c r="CG2918" s="560"/>
      <c r="CH2918" s="560"/>
      <c r="JD2918" s="230"/>
    </row>
    <row r="2919" spans="1:264" s="22" customFormat="1" x14ac:dyDescent="0.25">
      <c r="A2919" s="22">
        <v>139</v>
      </c>
      <c r="B2919" s="45" t="s">
        <v>4389</v>
      </c>
      <c r="C2919" s="22" t="s">
        <v>2976</v>
      </c>
      <c r="D2919" s="22" t="s">
        <v>2977</v>
      </c>
      <c r="E2919" s="22">
        <v>1998</v>
      </c>
      <c r="F2919" s="22">
        <v>1995</v>
      </c>
      <c r="G2919" s="22" t="s">
        <v>2978</v>
      </c>
      <c r="H2919" s="22" t="s">
        <v>2987</v>
      </c>
      <c r="I2919" s="22" t="s">
        <v>2836</v>
      </c>
      <c r="J2919" s="22">
        <f>-1-31/60</f>
        <v>-1.5166666666666666</v>
      </c>
      <c r="K2919" s="22">
        <f>37+19/60</f>
        <v>37.31666666666667</v>
      </c>
      <c r="L2919" s="22">
        <v>1920</v>
      </c>
      <c r="O2919" s="22">
        <v>900</v>
      </c>
      <c r="R2919" s="45" t="s">
        <v>1728</v>
      </c>
      <c r="S2919" s="45" t="s">
        <v>1858</v>
      </c>
      <c r="T2919" s="45"/>
      <c r="U2919" s="45" t="s">
        <v>2881</v>
      </c>
      <c r="V2919" s="45"/>
      <c r="W2919" s="45"/>
      <c r="X2919" s="45"/>
      <c r="Y2919" s="45"/>
      <c r="AA2919" s="325">
        <v>56</v>
      </c>
      <c r="AB2919" s="325">
        <f>100-56-29</f>
        <v>15</v>
      </c>
      <c r="AC2919" s="22" t="s">
        <v>518</v>
      </c>
      <c r="AD2919" s="22">
        <v>5.7</v>
      </c>
      <c r="AE2919" s="22">
        <v>0.8</v>
      </c>
      <c r="AG2919" s="22" t="s">
        <v>2989</v>
      </c>
      <c r="AH2919" s="22" t="s">
        <v>2770</v>
      </c>
      <c r="AI2919" s="22" t="s">
        <v>1581</v>
      </c>
      <c r="AJ2919" s="22" t="s">
        <v>1645</v>
      </c>
      <c r="AK2919" s="22" t="s">
        <v>132</v>
      </c>
      <c r="AT2919" s="22" t="s">
        <v>2983</v>
      </c>
      <c r="AU2919" s="22" t="s">
        <v>2984</v>
      </c>
      <c r="AV2919" s="22" t="s">
        <v>502</v>
      </c>
      <c r="AW2919" s="22" t="s">
        <v>160</v>
      </c>
      <c r="AX2919" s="22">
        <v>4</v>
      </c>
      <c r="AZ2919" s="22" t="s">
        <v>141</v>
      </c>
      <c r="BE2919" s="22" t="s">
        <v>2991</v>
      </c>
      <c r="BK2919" s="22">
        <v>1400</v>
      </c>
      <c r="BL2919" s="22">
        <v>1353</v>
      </c>
      <c r="BP2919" s="399"/>
      <c r="BQ2919" s="399"/>
      <c r="BU2919" s="399"/>
      <c r="BV2919" s="399"/>
      <c r="BZ2919" s="399"/>
      <c r="CA2919" s="399"/>
      <c r="CE2919" s="552"/>
      <c r="CF2919" s="552"/>
      <c r="CG2919" s="552"/>
      <c r="CH2919" s="552"/>
      <c r="JD2919" s="276"/>
    </row>
    <row r="2920" spans="1:264" s="22" customFormat="1" x14ac:dyDescent="0.25">
      <c r="A2920" s="22">
        <v>139</v>
      </c>
      <c r="B2920" s="45" t="s">
        <v>4389</v>
      </c>
      <c r="C2920" s="22" t="s">
        <v>2976</v>
      </c>
      <c r="D2920" s="22" t="s">
        <v>2977</v>
      </c>
      <c r="E2920" s="22">
        <v>1998</v>
      </c>
      <c r="F2920" s="22">
        <v>1995</v>
      </c>
      <c r="G2920" s="22" t="s">
        <v>2978</v>
      </c>
      <c r="H2920" s="22" t="s">
        <v>2987</v>
      </c>
      <c r="I2920" s="22" t="s">
        <v>2836</v>
      </c>
      <c r="J2920" s="22">
        <f>-1-31/60</f>
        <v>-1.5166666666666666</v>
      </c>
      <c r="K2920" s="22">
        <f>37+19/60</f>
        <v>37.31666666666667</v>
      </c>
      <c r="L2920" s="22">
        <v>1920</v>
      </c>
      <c r="O2920" s="22">
        <v>900</v>
      </c>
      <c r="R2920" s="45" t="s">
        <v>1728</v>
      </c>
      <c r="S2920" s="45" t="s">
        <v>1858</v>
      </c>
      <c r="T2920" s="45"/>
      <c r="U2920" s="45" t="s">
        <v>2881</v>
      </c>
      <c r="V2920" s="45"/>
      <c r="W2920" s="45"/>
      <c r="X2920" s="45"/>
      <c r="Y2920" s="45"/>
      <c r="AA2920" s="325">
        <v>56</v>
      </c>
      <c r="AB2920" s="325">
        <f>100-56-29</f>
        <v>15</v>
      </c>
      <c r="AC2920" s="22" t="s">
        <v>518</v>
      </c>
      <c r="AD2920" s="22">
        <v>5.7</v>
      </c>
      <c r="AE2920" s="22">
        <v>0.8</v>
      </c>
      <c r="AG2920" s="22" t="s">
        <v>2989</v>
      </c>
      <c r="AH2920" s="22" t="s">
        <v>2770</v>
      </c>
      <c r="AI2920" s="22" t="s">
        <v>1581</v>
      </c>
      <c r="AJ2920" s="22" t="s">
        <v>1645</v>
      </c>
      <c r="AK2920" s="22" t="s">
        <v>132</v>
      </c>
      <c r="AT2920" s="22" t="s">
        <v>2983</v>
      </c>
      <c r="AU2920" s="22" t="s">
        <v>2984</v>
      </c>
      <c r="AV2920" s="22" t="s">
        <v>502</v>
      </c>
      <c r="AW2920" s="22" t="s">
        <v>160</v>
      </c>
      <c r="AX2920" s="22">
        <v>4</v>
      </c>
      <c r="AZ2920" s="22" t="s">
        <v>141</v>
      </c>
      <c r="BE2920" s="22" t="s">
        <v>2990</v>
      </c>
      <c r="BK2920" s="22">
        <v>961</v>
      </c>
      <c r="BL2920" s="22">
        <v>1143</v>
      </c>
      <c r="BP2920" s="399"/>
      <c r="BQ2920" s="399"/>
      <c r="BU2920" s="399"/>
      <c r="BV2920" s="399"/>
      <c r="BZ2920" s="399"/>
      <c r="CA2920" s="399"/>
      <c r="CE2920" s="552"/>
      <c r="CF2920" s="552"/>
      <c r="CG2920" s="552"/>
      <c r="CH2920" s="552"/>
      <c r="JD2920" s="276"/>
    </row>
    <row r="2921" spans="1:264" s="22" customFormat="1" x14ac:dyDescent="0.25">
      <c r="A2921" s="22">
        <v>139</v>
      </c>
      <c r="B2921" s="45" t="s">
        <v>4389</v>
      </c>
      <c r="C2921" s="22" t="s">
        <v>2976</v>
      </c>
      <c r="D2921" s="22" t="s">
        <v>2977</v>
      </c>
      <c r="E2921" s="22">
        <v>1998</v>
      </c>
      <c r="F2921" s="22">
        <v>1996</v>
      </c>
      <c r="G2921" s="22" t="s">
        <v>2978</v>
      </c>
      <c r="H2921" s="22" t="s">
        <v>2987</v>
      </c>
      <c r="I2921" s="22" t="s">
        <v>2836</v>
      </c>
      <c r="J2921" s="22">
        <f>-1-31/60</f>
        <v>-1.5166666666666666</v>
      </c>
      <c r="K2921" s="22">
        <f>37+19/60</f>
        <v>37.31666666666667</v>
      </c>
      <c r="L2921" s="22">
        <v>1920</v>
      </c>
      <c r="O2921" s="22">
        <v>900</v>
      </c>
      <c r="R2921" s="45" t="s">
        <v>1858</v>
      </c>
      <c r="S2921" s="45" t="s">
        <v>1858</v>
      </c>
      <c r="T2921" s="45"/>
      <c r="U2921" s="45" t="s">
        <v>2881</v>
      </c>
      <c r="V2921" s="45"/>
      <c r="W2921" s="45"/>
      <c r="X2921" s="45"/>
      <c r="Y2921" s="45"/>
      <c r="AA2921" s="325">
        <v>56</v>
      </c>
      <c r="AB2921" s="325">
        <f>100-56-29</f>
        <v>15</v>
      </c>
      <c r="AC2921" s="22" t="s">
        <v>518</v>
      </c>
      <c r="AD2921" s="22">
        <v>5.7</v>
      </c>
      <c r="AE2921" s="22">
        <v>0.8</v>
      </c>
      <c r="AG2921" s="22" t="s">
        <v>2989</v>
      </c>
      <c r="AH2921" s="22" t="s">
        <v>2770</v>
      </c>
      <c r="AI2921" s="22" t="s">
        <v>1581</v>
      </c>
      <c r="AJ2921" s="22" t="s">
        <v>1645</v>
      </c>
      <c r="AK2921" s="22" t="s">
        <v>132</v>
      </c>
      <c r="AT2921" s="22" t="s">
        <v>2983</v>
      </c>
      <c r="AU2921" s="22" t="s">
        <v>2984</v>
      </c>
      <c r="AV2921" s="22" t="s">
        <v>502</v>
      </c>
      <c r="AW2921" s="22" t="s">
        <v>160</v>
      </c>
      <c r="AX2921" s="22">
        <v>4</v>
      </c>
      <c r="AZ2921" s="22" t="s">
        <v>141</v>
      </c>
      <c r="BE2921" s="22" t="s">
        <v>2990</v>
      </c>
      <c r="BK2921" s="22">
        <v>1692</v>
      </c>
      <c r="BL2921" s="22">
        <v>852</v>
      </c>
      <c r="BP2921" s="399"/>
      <c r="BQ2921" s="399"/>
      <c r="BU2921" s="399"/>
      <c r="BV2921" s="399"/>
      <c r="BZ2921" s="399"/>
      <c r="CA2921" s="399"/>
      <c r="CE2921" s="552"/>
      <c r="CF2921" s="552"/>
      <c r="CG2921" s="552"/>
      <c r="CH2921" s="552"/>
      <c r="JD2921" s="276"/>
    </row>
    <row r="2922" spans="1:264" s="24" customFormat="1" x14ac:dyDescent="0.25">
      <c r="A2922" s="24">
        <v>140</v>
      </c>
      <c r="B2922" s="42" t="s">
        <v>4390</v>
      </c>
      <c r="C2922" s="24" t="s">
        <v>2992</v>
      </c>
      <c r="D2922" s="24" t="s">
        <v>2993</v>
      </c>
      <c r="E2922" s="24">
        <v>2000</v>
      </c>
      <c r="F2922" s="24">
        <v>1996</v>
      </c>
      <c r="G2922" s="24" t="s">
        <v>2978</v>
      </c>
      <c r="H2922" s="24" t="s">
        <v>2995</v>
      </c>
      <c r="I2922" s="24" t="s">
        <v>2996</v>
      </c>
      <c r="J2922" s="24">
        <v>-17.61</v>
      </c>
      <c r="K2922" s="24">
        <v>31.14</v>
      </c>
      <c r="L2922" s="24">
        <v>1500</v>
      </c>
      <c r="R2922" s="42" t="s">
        <v>1977</v>
      </c>
      <c r="S2922" s="42" t="s">
        <v>1728</v>
      </c>
      <c r="T2922" s="42"/>
      <c r="U2922" s="42" t="s">
        <v>2013</v>
      </c>
      <c r="V2922" s="42"/>
      <c r="W2922" s="42"/>
      <c r="X2922" s="42"/>
      <c r="Y2922" s="42"/>
      <c r="AA2922" s="321"/>
      <c r="AB2922" s="321"/>
      <c r="AC2922" s="24" t="s">
        <v>175</v>
      </c>
      <c r="AD2922" s="24">
        <v>4.5</v>
      </c>
      <c r="AE2922" s="24">
        <v>0.46</v>
      </c>
      <c r="AG2922" s="24" t="s">
        <v>2994</v>
      </c>
      <c r="AH2922" s="24" t="s">
        <v>2998</v>
      </c>
      <c r="AI2922" s="24" t="s">
        <v>1583</v>
      </c>
      <c r="AJ2922" s="24" t="s">
        <v>1645</v>
      </c>
      <c r="AK2922" s="24" t="s">
        <v>132</v>
      </c>
      <c r="AT2922" s="24" t="s">
        <v>161</v>
      </c>
      <c r="AU2922" s="24" t="s">
        <v>161</v>
      </c>
      <c r="AV2922" s="24" t="s">
        <v>177</v>
      </c>
      <c r="AW2922" s="24" t="s">
        <v>160</v>
      </c>
      <c r="AX2922" s="24">
        <v>3</v>
      </c>
      <c r="AZ2922" s="24" t="s">
        <v>141</v>
      </c>
      <c r="BB2922" s="24">
        <f>1050+890</f>
        <v>1940</v>
      </c>
      <c r="BC2922" s="24">
        <f>BB2922/(27.2+22.7)</f>
        <v>38.877755511022045</v>
      </c>
      <c r="BK2922" s="24">
        <v>1450</v>
      </c>
      <c r="BL2922" s="24">
        <v>1270</v>
      </c>
      <c r="BM2922" s="24">
        <v>820</v>
      </c>
      <c r="BN2922" s="24">
        <v>750</v>
      </c>
      <c r="BP2922" s="395"/>
      <c r="BQ2922" s="395"/>
      <c r="BU2922" s="395"/>
      <c r="BV2922" s="395"/>
      <c r="BZ2922" s="395"/>
      <c r="CA2922" s="395"/>
      <c r="CE2922" s="548"/>
      <c r="CF2922" s="548"/>
      <c r="CG2922" s="548"/>
      <c r="CH2922" s="548"/>
      <c r="JD2922" s="249"/>
    </row>
    <row r="2923" spans="1:264" s="24" customFormat="1" x14ac:dyDescent="0.25">
      <c r="A2923" s="24">
        <v>140</v>
      </c>
      <c r="B2923" s="42" t="s">
        <v>4390</v>
      </c>
      <c r="C2923" s="24" t="s">
        <v>2992</v>
      </c>
      <c r="D2923" s="24" t="s">
        <v>2993</v>
      </c>
      <c r="E2923" s="24">
        <v>2000</v>
      </c>
      <c r="F2923" s="24">
        <v>1996</v>
      </c>
      <c r="G2923" s="24" t="s">
        <v>2978</v>
      </c>
      <c r="H2923" s="24" t="s">
        <v>2995</v>
      </c>
      <c r="I2923" s="24" t="s">
        <v>2996</v>
      </c>
      <c r="J2923" s="24">
        <v>-17.61</v>
      </c>
      <c r="K2923" s="24">
        <v>31.14</v>
      </c>
      <c r="L2923" s="24">
        <v>1500</v>
      </c>
      <c r="R2923" s="42" t="s">
        <v>1977</v>
      </c>
      <c r="S2923" s="42" t="s">
        <v>1728</v>
      </c>
      <c r="T2923" s="42"/>
      <c r="U2923" s="42" t="s">
        <v>2013</v>
      </c>
      <c r="V2923" s="42"/>
      <c r="W2923" s="42"/>
      <c r="X2923" s="42"/>
      <c r="Y2923" s="42"/>
      <c r="AA2923" s="321"/>
      <c r="AB2923" s="321"/>
      <c r="AC2923" s="24" t="s">
        <v>175</v>
      </c>
      <c r="AD2923" s="24">
        <v>4.5</v>
      </c>
      <c r="AE2923" s="24">
        <v>0.46</v>
      </c>
      <c r="AG2923" s="24" t="s">
        <v>2994</v>
      </c>
      <c r="AH2923" s="24" t="s">
        <v>2998</v>
      </c>
      <c r="AI2923" s="24" t="s">
        <v>1583</v>
      </c>
      <c r="AJ2923" s="24" t="s">
        <v>1645</v>
      </c>
      <c r="AK2923" s="24" t="s">
        <v>132</v>
      </c>
      <c r="AT2923" s="24" t="s">
        <v>2750</v>
      </c>
      <c r="AU2923" s="24" t="s">
        <v>2750</v>
      </c>
      <c r="AV2923" s="24" t="s">
        <v>177</v>
      </c>
      <c r="AW2923" s="24" t="s">
        <v>160</v>
      </c>
      <c r="AX2923" s="24">
        <v>3</v>
      </c>
      <c r="AZ2923" s="24" t="s">
        <v>141</v>
      </c>
      <c r="BB2923" s="24">
        <f>1930+2340</f>
        <v>4270</v>
      </c>
      <c r="BC2923" s="24">
        <f>BB2923/(50.4+57.2)</f>
        <v>39.684014869888479</v>
      </c>
      <c r="BK2923" s="24">
        <v>2350</v>
      </c>
      <c r="BL2923" s="24">
        <v>2260</v>
      </c>
      <c r="BM2923" s="24">
        <v>820</v>
      </c>
      <c r="BN2923" s="24">
        <v>750</v>
      </c>
      <c r="BP2923" s="395"/>
      <c r="BQ2923" s="395"/>
      <c r="BU2923" s="395"/>
      <c r="BV2923" s="395"/>
      <c r="BZ2923" s="395"/>
      <c r="CA2923" s="395"/>
      <c r="CE2923" s="548"/>
      <c r="CF2923" s="548"/>
      <c r="CG2923" s="548"/>
      <c r="CH2923" s="548"/>
      <c r="JD2923" s="249"/>
    </row>
    <row r="2924" spans="1:264" s="24" customFormat="1" x14ac:dyDescent="0.25">
      <c r="A2924" s="24">
        <v>140</v>
      </c>
      <c r="B2924" s="42" t="s">
        <v>4390</v>
      </c>
      <c r="C2924" s="24" t="s">
        <v>2992</v>
      </c>
      <c r="D2924" s="24" t="s">
        <v>2993</v>
      </c>
      <c r="E2924" s="24">
        <v>2000</v>
      </c>
      <c r="F2924" s="24">
        <v>1996</v>
      </c>
      <c r="G2924" s="24" t="s">
        <v>2978</v>
      </c>
      <c r="H2924" s="24" t="s">
        <v>2995</v>
      </c>
      <c r="I2924" s="24" t="s">
        <v>2996</v>
      </c>
      <c r="J2924" s="24">
        <v>-17.61</v>
      </c>
      <c r="K2924" s="24">
        <v>31.14</v>
      </c>
      <c r="L2924" s="24">
        <v>1500</v>
      </c>
      <c r="R2924" s="42" t="s">
        <v>1977</v>
      </c>
      <c r="S2924" s="42" t="s">
        <v>1728</v>
      </c>
      <c r="T2924" s="42"/>
      <c r="U2924" s="42" t="s">
        <v>2013</v>
      </c>
      <c r="V2924" s="42"/>
      <c r="W2924" s="42"/>
      <c r="X2924" s="42"/>
      <c r="Y2924" s="42"/>
      <c r="AA2924" s="321"/>
      <c r="AB2924" s="321"/>
      <c r="AC2924" s="24" t="s">
        <v>175</v>
      </c>
      <c r="AD2924" s="24">
        <v>4.5</v>
      </c>
      <c r="AE2924" s="24">
        <v>0.46</v>
      </c>
      <c r="AG2924" s="24" t="s">
        <v>2994</v>
      </c>
      <c r="AH2924" s="24" t="s">
        <v>2998</v>
      </c>
      <c r="AI2924" s="24" t="s">
        <v>1583</v>
      </c>
      <c r="AJ2924" s="24" t="s">
        <v>1645</v>
      </c>
      <c r="AK2924" s="24" t="s">
        <v>132</v>
      </c>
      <c r="AT2924" s="24" t="s">
        <v>2997</v>
      </c>
      <c r="AU2924" s="24" t="s">
        <v>2997</v>
      </c>
      <c r="AV2924" s="24" t="s">
        <v>177</v>
      </c>
      <c r="AW2924" s="24" t="s">
        <v>160</v>
      </c>
      <c r="AX2924" s="24">
        <v>3</v>
      </c>
      <c r="AZ2924" s="24" t="s">
        <v>141</v>
      </c>
      <c r="BB2924" s="24">
        <f>600+2920</f>
        <v>3520</v>
      </c>
      <c r="BC2924" s="24">
        <f>BB2924/(15.3+76.7)</f>
        <v>38.260869565217391</v>
      </c>
      <c r="BK2924" s="24">
        <v>2510</v>
      </c>
      <c r="BL2924" s="24">
        <v>2060</v>
      </c>
      <c r="BM2924" s="24">
        <v>820</v>
      </c>
      <c r="BN2924" s="24">
        <v>750</v>
      </c>
      <c r="BP2924" s="395"/>
      <c r="BQ2924" s="395"/>
      <c r="BU2924" s="395"/>
      <c r="BV2924" s="395"/>
      <c r="BZ2924" s="395"/>
      <c r="CA2924" s="395"/>
      <c r="CE2924" s="548"/>
      <c r="CF2924" s="548"/>
      <c r="CG2924" s="548"/>
      <c r="CH2924" s="548"/>
      <c r="JD2924" s="249"/>
    </row>
    <row r="2925" spans="1:264" s="32" customFormat="1" x14ac:dyDescent="0.25">
      <c r="A2925" s="32">
        <v>140</v>
      </c>
      <c r="B2925" s="44" t="s">
        <v>4390</v>
      </c>
      <c r="C2925" s="32" t="s">
        <v>2992</v>
      </c>
      <c r="D2925" s="32" t="s">
        <v>2993</v>
      </c>
      <c r="E2925" s="32">
        <v>2000</v>
      </c>
      <c r="F2925" s="32">
        <v>1997</v>
      </c>
      <c r="G2925" s="32" t="s">
        <v>2978</v>
      </c>
      <c r="H2925" s="32" t="s">
        <v>2995</v>
      </c>
      <c r="I2925" s="32" t="s">
        <v>2996</v>
      </c>
      <c r="J2925" s="32">
        <v>-17.61</v>
      </c>
      <c r="K2925" s="32">
        <v>31.14</v>
      </c>
      <c r="L2925" s="32">
        <v>1500</v>
      </c>
      <c r="R2925" s="44" t="s">
        <v>1847</v>
      </c>
      <c r="S2925" s="44" t="s">
        <v>1728</v>
      </c>
      <c r="T2925" s="44"/>
      <c r="U2925" s="44" t="s">
        <v>2013</v>
      </c>
      <c r="V2925" s="44"/>
      <c r="W2925" s="44"/>
      <c r="X2925" s="44"/>
      <c r="Y2925" s="44"/>
      <c r="AA2925" s="323"/>
      <c r="AB2925" s="323"/>
      <c r="AC2925" s="32" t="s">
        <v>175</v>
      </c>
      <c r="AD2925" s="32">
        <v>4.5</v>
      </c>
      <c r="AE2925" s="32">
        <v>0.46</v>
      </c>
      <c r="AG2925" s="32" t="s">
        <v>2994</v>
      </c>
      <c r="AH2925" s="32" t="s">
        <v>2998</v>
      </c>
      <c r="AI2925" s="32" t="s">
        <v>1583</v>
      </c>
      <c r="AJ2925" s="32" t="s">
        <v>1645</v>
      </c>
      <c r="AK2925" s="32" t="s">
        <v>132</v>
      </c>
      <c r="AT2925" s="32" t="s">
        <v>161</v>
      </c>
      <c r="AU2925" s="32" t="s">
        <v>161</v>
      </c>
      <c r="AV2925" s="32" t="s">
        <v>177</v>
      </c>
      <c r="AW2925" s="32" t="s">
        <v>160</v>
      </c>
      <c r="AX2925" s="32">
        <v>3</v>
      </c>
      <c r="AZ2925" s="32" t="s">
        <v>141</v>
      </c>
      <c r="BB2925" s="32">
        <f>4570+2860</f>
        <v>7430</v>
      </c>
      <c r="BC2925" s="32">
        <f>BB2925/(154.3+82.1)</f>
        <v>31.429780033840945</v>
      </c>
      <c r="BK2925" s="32">
        <v>1920</v>
      </c>
      <c r="BL2925" s="32">
        <v>1790</v>
      </c>
      <c r="BM2925" s="32">
        <v>1300</v>
      </c>
      <c r="BN2925" s="32">
        <v>1420</v>
      </c>
      <c r="BP2925" s="397"/>
      <c r="BQ2925" s="397"/>
      <c r="BU2925" s="397"/>
      <c r="BV2925" s="397"/>
      <c r="BZ2925" s="397"/>
      <c r="CA2925" s="397"/>
      <c r="CE2925" s="550"/>
      <c r="CF2925" s="550"/>
      <c r="CG2925" s="550"/>
      <c r="CH2925" s="550"/>
      <c r="JD2925" s="243"/>
    </row>
    <row r="2926" spans="1:264" s="32" customFormat="1" x14ac:dyDescent="0.25">
      <c r="A2926" s="32">
        <v>140</v>
      </c>
      <c r="B2926" s="44" t="s">
        <v>4390</v>
      </c>
      <c r="C2926" s="32" t="s">
        <v>2992</v>
      </c>
      <c r="D2926" s="32" t="s">
        <v>2993</v>
      </c>
      <c r="E2926" s="32">
        <v>2000</v>
      </c>
      <c r="F2926" s="32">
        <v>1997</v>
      </c>
      <c r="G2926" s="32" t="s">
        <v>2978</v>
      </c>
      <c r="H2926" s="32" t="s">
        <v>2995</v>
      </c>
      <c r="I2926" s="32" t="s">
        <v>2996</v>
      </c>
      <c r="J2926" s="32">
        <v>-17.61</v>
      </c>
      <c r="K2926" s="32">
        <v>31.14</v>
      </c>
      <c r="L2926" s="32">
        <v>1500</v>
      </c>
      <c r="R2926" s="44" t="s">
        <v>1847</v>
      </c>
      <c r="S2926" s="44" t="s">
        <v>1728</v>
      </c>
      <c r="T2926" s="44"/>
      <c r="U2926" s="44" t="s">
        <v>2013</v>
      </c>
      <c r="V2926" s="44"/>
      <c r="W2926" s="44"/>
      <c r="X2926" s="44"/>
      <c r="Y2926" s="44"/>
      <c r="AA2926" s="323"/>
      <c r="AB2926" s="323"/>
      <c r="AC2926" s="32" t="s">
        <v>175</v>
      </c>
      <c r="AD2926" s="32">
        <v>4.5</v>
      </c>
      <c r="AE2926" s="32">
        <v>0.46</v>
      </c>
      <c r="AG2926" s="32" t="s">
        <v>2994</v>
      </c>
      <c r="AH2926" s="32" t="s">
        <v>2998</v>
      </c>
      <c r="AI2926" s="32" t="s">
        <v>1583</v>
      </c>
      <c r="AJ2926" s="32" t="s">
        <v>1645</v>
      </c>
      <c r="AK2926" s="32" t="s">
        <v>132</v>
      </c>
      <c r="AT2926" s="32" t="s">
        <v>2750</v>
      </c>
      <c r="AU2926" s="32" t="s">
        <v>2750</v>
      </c>
      <c r="AV2926" s="32" t="s">
        <v>177</v>
      </c>
      <c r="AW2926" s="32" t="s">
        <v>160</v>
      </c>
      <c r="AX2926" s="32">
        <v>3</v>
      </c>
      <c r="AZ2926" s="32" t="s">
        <v>141</v>
      </c>
      <c r="BB2926" s="32">
        <f>2720+1800</f>
        <v>4520</v>
      </c>
      <c r="BC2926" s="32">
        <f>BB2926/(104.5+51.1)</f>
        <v>29.048843187660669</v>
      </c>
      <c r="BK2926" s="32">
        <v>5160</v>
      </c>
      <c r="BL2926" s="32">
        <v>5660</v>
      </c>
      <c r="BM2926" s="32">
        <v>1300</v>
      </c>
      <c r="BN2926" s="32">
        <v>1420</v>
      </c>
      <c r="BP2926" s="397"/>
      <c r="BQ2926" s="397"/>
      <c r="BU2926" s="397"/>
      <c r="BV2926" s="397"/>
      <c r="BZ2926" s="397"/>
      <c r="CA2926" s="397"/>
      <c r="CE2926" s="550"/>
      <c r="CF2926" s="550"/>
      <c r="CG2926" s="550"/>
      <c r="CH2926" s="550"/>
      <c r="JD2926" s="243"/>
    </row>
    <row r="2927" spans="1:264" s="32" customFormat="1" x14ac:dyDescent="0.25">
      <c r="A2927" s="32">
        <v>140</v>
      </c>
      <c r="B2927" s="44" t="s">
        <v>4390</v>
      </c>
      <c r="C2927" s="32" t="s">
        <v>2992</v>
      </c>
      <c r="D2927" s="32" t="s">
        <v>2993</v>
      </c>
      <c r="E2927" s="32">
        <v>2000</v>
      </c>
      <c r="F2927" s="32">
        <v>1997</v>
      </c>
      <c r="G2927" s="32" t="s">
        <v>2978</v>
      </c>
      <c r="H2927" s="32" t="s">
        <v>2995</v>
      </c>
      <c r="I2927" s="32" t="s">
        <v>2996</v>
      </c>
      <c r="J2927" s="32">
        <v>-17.61</v>
      </c>
      <c r="K2927" s="32">
        <v>31.14</v>
      </c>
      <c r="L2927" s="32">
        <v>1500</v>
      </c>
      <c r="R2927" s="44" t="s">
        <v>1847</v>
      </c>
      <c r="S2927" s="44" t="s">
        <v>1728</v>
      </c>
      <c r="T2927" s="44"/>
      <c r="U2927" s="44" t="s">
        <v>2013</v>
      </c>
      <c r="V2927" s="44"/>
      <c r="W2927" s="44"/>
      <c r="X2927" s="44"/>
      <c r="Y2927" s="44"/>
      <c r="AA2927" s="323"/>
      <c r="AB2927" s="323"/>
      <c r="AC2927" s="32" t="s">
        <v>175</v>
      </c>
      <c r="AD2927" s="32">
        <v>4.5</v>
      </c>
      <c r="AE2927" s="32">
        <v>0.46</v>
      </c>
      <c r="AG2927" s="32" t="s">
        <v>2994</v>
      </c>
      <c r="AH2927" s="32" t="s">
        <v>2998</v>
      </c>
      <c r="AI2927" s="32" t="s">
        <v>1583</v>
      </c>
      <c r="AJ2927" s="32" t="s">
        <v>1645</v>
      </c>
      <c r="AK2927" s="32" t="s">
        <v>132</v>
      </c>
      <c r="AT2927" s="32" t="s">
        <v>2997</v>
      </c>
      <c r="AU2927" s="32" t="s">
        <v>2997</v>
      </c>
      <c r="AV2927" s="32" t="s">
        <v>177</v>
      </c>
      <c r="AW2927" s="32" t="s">
        <v>160</v>
      </c>
      <c r="AX2927" s="32">
        <v>3</v>
      </c>
      <c r="AZ2927" s="32" t="s">
        <v>141</v>
      </c>
      <c r="BB2927" s="32">
        <f>2010+1320</f>
        <v>3330</v>
      </c>
      <c r="BC2927" s="32">
        <f>BB2927/(73.3+44.2)</f>
        <v>28.340425531914892</v>
      </c>
      <c r="BK2927" s="32">
        <v>6580</v>
      </c>
      <c r="BL2927" s="32">
        <v>4510</v>
      </c>
      <c r="BM2927" s="32">
        <v>1300</v>
      </c>
      <c r="BN2927" s="32">
        <v>1420</v>
      </c>
      <c r="BP2927" s="397"/>
      <c r="BQ2927" s="397"/>
      <c r="BU2927" s="397"/>
      <c r="BV2927" s="397"/>
      <c r="BZ2927" s="397"/>
      <c r="CA2927" s="397"/>
      <c r="CE2927" s="550"/>
      <c r="CF2927" s="550"/>
      <c r="CG2927" s="550"/>
      <c r="CH2927" s="550"/>
      <c r="JD2927" s="243"/>
    </row>
    <row r="2928" spans="1:264" x14ac:dyDescent="0.25">
      <c r="A2928" s="37">
        <v>141</v>
      </c>
      <c r="B2928" s="50" t="s">
        <v>4391</v>
      </c>
      <c r="C2928" s="37" t="s">
        <v>2999</v>
      </c>
      <c r="D2928" s="37" t="s">
        <v>3000</v>
      </c>
      <c r="E2928" s="37">
        <v>2004</v>
      </c>
      <c r="F2928" s="37">
        <v>1995</v>
      </c>
      <c r="G2928" s="37" t="s">
        <v>3001</v>
      </c>
      <c r="H2928" s="37" t="s">
        <v>3005</v>
      </c>
      <c r="I2928" s="37" t="s">
        <v>2831</v>
      </c>
      <c r="J2928" s="37">
        <f t="shared" ref="J2928:J2935" si="414">3+51/60</f>
        <v>3.85</v>
      </c>
      <c r="K2928" s="37">
        <f t="shared" ref="K2928:K2935" si="415">11+26/60</f>
        <v>11.433333333333334</v>
      </c>
      <c r="L2928" s="37">
        <v>700</v>
      </c>
      <c r="N2928" s="37">
        <v>24</v>
      </c>
      <c r="P2928" s="37">
        <v>1650</v>
      </c>
      <c r="R2928" s="50" t="s">
        <v>1977</v>
      </c>
      <c r="S2928" s="50" t="s">
        <v>1858</v>
      </c>
      <c r="U2928" s="50" t="s">
        <v>1962</v>
      </c>
      <c r="V2928" s="50" t="s">
        <v>1382</v>
      </c>
      <c r="W2928" s="50" t="s">
        <v>1717</v>
      </c>
      <c r="X2928" s="50" t="s">
        <v>1382</v>
      </c>
      <c r="Y2928" s="50" t="s">
        <v>1382</v>
      </c>
      <c r="AA2928" s="330">
        <v>30</v>
      </c>
      <c r="AB2928" s="330">
        <f t="shared" ref="AB2928:AB2935" si="416">100-30-30</f>
        <v>40</v>
      </c>
      <c r="AC2928" s="37" t="s">
        <v>672</v>
      </c>
      <c r="AD2928" s="37">
        <v>5.25</v>
      </c>
      <c r="AE2928" s="37">
        <v>1.9</v>
      </c>
      <c r="AG2928" s="37" t="s">
        <v>3003</v>
      </c>
      <c r="AH2928" s="37" t="s">
        <v>3006</v>
      </c>
      <c r="AI2928" s="37" t="s">
        <v>577</v>
      </c>
      <c r="AJ2928" s="37" t="s">
        <v>1645</v>
      </c>
      <c r="AK2928" s="37" t="s">
        <v>132</v>
      </c>
      <c r="AW2928" s="37" t="s">
        <v>2780</v>
      </c>
      <c r="AX2928" s="37">
        <v>4</v>
      </c>
      <c r="AZ2928" s="37" t="s">
        <v>141</v>
      </c>
      <c r="BK2928" s="37">
        <v>4446</v>
      </c>
      <c r="BL2928" s="37">
        <v>4449</v>
      </c>
      <c r="BM2928" s="37">
        <f>232*2</f>
        <v>464</v>
      </c>
      <c r="BN2928" s="37">
        <f>232*2</f>
        <v>464</v>
      </c>
      <c r="CE2928" s="559"/>
      <c r="CF2928" s="559"/>
      <c r="CG2928" s="556"/>
      <c r="CH2928" s="556"/>
    </row>
    <row r="2929" spans="1:264" x14ac:dyDescent="0.25">
      <c r="A2929" s="37">
        <v>141</v>
      </c>
      <c r="B2929" s="50" t="s">
        <v>4391</v>
      </c>
      <c r="C2929" s="37" t="s">
        <v>2999</v>
      </c>
      <c r="D2929" s="37" t="s">
        <v>3000</v>
      </c>
      <c r="E2929" s="37">
        <v>2004</v>
      </c>
      <c r="F2929" s="37">
        <v>1996</v>
      </c>
      <c r="G2929" s="37" t="s">
        <v>3001</v>
      </c>
      <c r="H2929" s="37" t="s">
        <v>3005</v>
      </c>
      <c r="I2929" s="37" t="s">
        <v>2831</v>
      </c>
      <c r="J2929" s="37">
        <f t="shared" si="414"/>
        <v>3.85</v>
      </c>
      <c r="K2929" s="37">
        <f t="shared" si="415"/>
        <v>11.433333333333334</v>
      </c>
      <c r="L2929" s="37">
        <v>700</v>
      </c>
      <c r="N2929" s="37">
        <v>24</v>
      </c>
      <c r="P2929" s="37">
        <v>1650</v>
      </c>
      <c r="R2929" s="50" t="s">
        <v>1847</v>
      </c>
      <c r="S2929" s="50" t="s">
        <v>1858</v>
      </c>
      <c r="U2929" s="50" t="s">
        <v>1962</v>
      </c>
      <c r="V2929" s="50" t="s">
        <v>1382</v>
      </c>
      <c r="W2929" s="50" t="s">
        <v>1717</v>
      </c>
      <c r="X2929" s="50" t="s">
        <v>1382</v>
      </c>
      <c r="Y2929" s="50" t="s">
        <v>1382</v>
      </c>
      <c r="AA2929" s="330">
        <v>30</v>
      </c>
      <c r="AB2929" s="330">
        <f t="shared" si="416"/>
        <v>40</v>
      </c>
      <c r="AC2929" s="37" t="s">
        <v>672</v>
      </c>
      <c r="AD2929" s="37">
        <v>5.25</v>
      </c>
      <c r="AE2929" s="37">
        <v>1.9</v>
      </c>
      <c r="AG2929" s="37" t="s">
        <v>3003</v>
      </c>
      <c r="AH2929" s="37" t="s">
        <v>3006</v>
      </c>
      <c r="AI2929" s="37" t="s">
        <v>577</v>
      </c>
      <c r="AJ2929" s="37" t="s">
        <v>1645</v>
      </c>
      <c r="AK2929" s="37" t="s">
        <v>132</v>
      </c>
      <c r="AW2929" s="37" t="s">
        <v>2780</v>
      </c>
      <c r="AX2929" s="37">
        <v>4</v>
      </c>
      <c r="AZ2929" s="37" t="s">
        <v>141</v>
      </c>
      <c r="BK2929" s="37">
        <v>3131</v>
      </c>
      <c r="BL2929" s="37">
        <v>3382</v>
      </c>
      <c r="BM2929" s="37">
        <f t="shared" ref="BM2929:BN2931" si="417">232*2</f>
        <v>464</v>
      </c>
      <c r="BN2929" s="37">
        <f t="shared" si="417"/>
        <v>464</v>
      </c>
      <c r="CE2929" s="559"/>
      <c r="CF2929" s="559"/>
      <c r="CG2929" s="556"/>
      <c r="CH2929" s="556"/>
    </row>
    <row r="2930" spans="1:264" x14ac:dyDescent="0.25">
      <c r="A2930" s="37">
        <v>141</v>
      </c>
      <c r="B2930" s="50" t="s">
        <v>4391</v>
      </c>
      <c r="C2930" s="37" t="s">
        <v>2999</v>
      </c>
      <c r="D2930" s="37" t="s">
        <v>3000</v>
      </c>
      <c r="E2930" s="37">
        <v>2004</v>
      </c>
      <c r="F2930" s="37">
        <v>1997</v>
      </c>
      <c r="G2930" s="37" t="s">
        <v>3001</v>
      </c>
      <c r="H2930" s="37" t="s">
        <v>3005</v>
      </c>
      <c r="I2930" s="37" t="s">
        <v>2831</v>
      </c>
      <c r="J2930" s="37">
        <f t="shared" si="414"/>
        <v>3.85</v>
      </c>
      <c r="K2930" s="37">
        <f t="shared" si="415"/>
        <v>11.433333333333334</v>
      </c>
      <c r="L2930" s="37">
        <v>700</v>
      </c>
      <c r="N2930" s="37">
        <v>24</v>
      </c>
      <c r="P2930" s="37">
        <v>1650</v>
      </c>
      <c r="R2930" s="50" t="s">
        <v>1728</v>
      </c>
      <c r="S2930" s="50" t="s">
        <v>1858</v>
      </c>
      <c r="U2930" s="50" t="s">
        <v>1962</v>
      </c>
      <c r="V2930" s="50" t="s">
        <v>1382</v>
      </c>
      <c r="W2930" s="50" t="s">
        <v>1717</v>
      </c>
      <c r="X2930" s="50" t="s">
        <v>1382</v>
      </c>
      <c r="Y2930" s="50" t="s">
        <v>1382</v>
      </c>
      <c r="AA2930" s="330">
        <v>30</v>
      </c>
      <c r="AB2930" s="330">
        <f t="shared" si="416"/>
        <v>40</v>
      </c>
      <c r="AC2930" s="37" t="s">
        <v>672</v>
      </c>
      <c r="AD2930" s="37">
        <v>5.25</v>
      </c>
      <c r="AE2930" s="37">
        <v>1.9</v>
      </c>
      <c r="AG2930" s="37" t="s">
        <v>3003</v>
      </c>
      <c r="AH2930" s="37" t="s">
        <v>3006</v>
      </c>
      <c r="AI2930" s="37" t="s">
        <v>577</v>
      </c>
      <c r="AJ2930" s="37" t="s">
        <v>1645</v>
      </c>
      <c r="AK2930" s="37" t="s">
        <v>132</v>
      </c>
      <c r="AW2930" s="37" t="s">
        <v>2780</v>
      </c>
      <c r="AX2930" s="37">
        <v>4</v>
      </c>
      <c r="AZ2930" s="37" t="s">
        <v>141</v>
      </c>
      <c r="BK2930" s="37">
        <v>4408</v>
      </c>
      <c r="BL2930" s="37">
        <v>4511</v>
      </c>
      <c r="BM2930" s="37">
        <f t="shared" si="417"/>
        <v>464</v>
      </c>
      <c r="BN2930" s="37">
        <f t="shared" si="417"/>
        <v>464</v>
      </c>
      <c r="CE2930" s="559"/>
      <c r="CF2930" s="559"/>
      <c r="CG2930" s="556"/>
      <c r="CH2930" s="556"/>
    </row>
    <row r="2931" spans="1:264" x14ac:dyDescent="0.25">
      <c r="A2931" s="37">
        <v>141</v>
      </c>
      <c r="B2931" s="50" t="s">
        <v>4391</v>
      </c>
      <c r="C2931" s="37" t="s">
        <v>2999</v>
      </c>
      <c r="D2931" s="37" t="s">
        <v>3000</v>
      </c>
      <c r="E2931" s="37">
        <v>2004</v>
      </c>
      <c r="F2931" s="37">
        <v>1998</v>
      </c>
      <c r="G2931" s="37" t="s">
        <v>3001</v>
      </c>
      <c r="H2931" s="37" t="s">
        <v>3005</v>
      </c>
      <c r="I2931" s="37" t="s">
        <v>2831</v>
      </c>
      <c r="J2931" s="37">
        <f t="shared" si="414"/>
        <v>3.85</v>
      </c>
      <c r="K2931" s="37">
        <f t="shared" si="415"/>
        <v>11.433333333333334</v>
      </c>
      <c r="L2931" s="37">
        <v>700</v>
      </c>
      <c r="N2931" s="37">
        <v>24</v>
      </c>
      <c r="P2931" s="37">
        <v>1650</v>
      </c>
      <c r="R2931" s="50" t="s">
        <v>1858</v>
      </c>
      <c r="S2931" s="50" t="s">
        <v>1858</v>
      </c>
      <c r="U2931" s="50" t="s">
        <v>1962</v>
      </c>
      <c r="V2931" s="50" t="s">
        <v>1382</v>
      </c>
      <c r="W2931" s="50" t="s">
        <v>1717</v>
      </c>
      <c r="X2931" s="50" t="s">
        <v>1382</v>
      </c>
      <c r="Y2931" s="50" t="s">
        <v>1382</v>
      </c>
      <c r="AA2931" s="330">
        <v>30</v>
      </c>
      <c r="AB2931" s="330">
        <f t="shared" si="416"/>
        <v>40</v>
      </c>
      <c r="AC2931" s="37" t="s">
        <v>672</v>
      </c>
      <c r="AD2931" s="37">
        <v>5.25</v>
      </c>
      <c r="AE2931" s="37">
        <v>1.9</v>
      </c>
      <c r="AG2931" s="37" t="s">
        <v>3003</v>
      </c>
      <c r="AH2931" s="37" t="s">
        <v>3006</v>
      </c>
      <c r="AI2931" s="37" t="s">
        <v>577</v>
      </c>
      <c r="AJ2931" s="37" t="s">
        <v>1645</v>
      </c>
      <c r="AK2931" s="37" t="s">
        <v>132</v>
      </c>
      <c r="AW2931" s="37" t="s">
        <v>2780</v>
      </c>
      <c r="AX2931" s="37">
        <v>4</v>
      </c>
      <c r="AZ2931" s="37" t="s">
        <v>141</v>
      </c>
      <c r="BK2931" s="37">
        <v>2454</v>
      </c>
      <c r="BL2931" s="37">
        <v>2966</v>
      </c>
      <c r="BM2931" s="37">
        <f t="shared" si="417"/>
        <v>464</v>
      </c>
      <c r="BN2931" s="37">
        <f t="shared" si="417"/>
        <v>464</v>
      </c>
      <c r="BU2931" s="406">
        <v>1.9</v>
      </c>
      <c r="BV2931" s="406">
        <v>1.43</v>
      </c>
      <c r="BW2931" s="37">
        <f>0.09*2</f>
        <v>0.18</v>
      </c>
      <c r="BX2931" s="37">
        <f>0.09*2</f>
        <v>0.18</v>
      </c>
      <c r="CD2931" s="37" t="s">
        <v>3120</v>
      </c>
      <c r="CE2931" s="559">
        <v>1.9</v>
      </c>
      <c r="CF2931" s="559">
        <v>1.43</v>
      </c>
      <c r="CG2931" s="556">
        <v>0.18</v>
      </c>
      <c r="CH2931" s="556">
        <v>0.18</v>
      </c>
      <c r="CI2931" s="37" t="s">
        <v>4546</v>
      </c>
      <c r="CJ2931" s="37">
        <v>0.16</v>
      </c>
      <c r="CK2931" s="37">
        <v>0.15</v>
      </c>
      <c r="CL2931" s="37">
        <v>0.04</v>
      </c>
      <c r="CM2931" s="37">
        <v>0.04</v>
      </c>
      <c r="CN2931" s="37" t="s">
        <v>164</v>
      </c>
      <c r="CO2931" s="37">
        <v>8.8000000000000007</v>
      </c>
      <c r="CP2931" s="37">
        <v>4.5</v>
      </c>
      <c r="CQ2931" s="37">
        <v>2.6</v>
      </c>
      <c r="CR2931" s="37">
        <v>2.6</v>
      </c>
      <c r="CS2931" s="37" t="s">
        <v>2959</v>
      </c>
      <c r="CY2931" s="406">
        <v>5.8</v>
      </c>
      <c r="CZ2931" s="37">
        <v>5.69</v>
      </c>
      <c r="DA2931" s="37">
        <v>0.2</v>
      </c>
      <c r="DB2931" s="37">
        <v>0.2</v>
      </c>
      <c r="DN2931" s="37">
        <v>4.8099999999999996</v>
      </c>
      <c r="DO2931" s="37">
        <v>3.96</v>
      </c>
      <c r="DP2931" s="37">
        <f>0.59*2</f>
        <v>1.18</v>
      </c>
      <c r="DQ2931" s="37">
        <f>0.59*2</f>
        <v>1.18</v>
      </c>
    </row>
    <row r="2932" spans="1:264" s="126" customFormat="1" x14ac:dyDescent="0.25">
      <c r="A2932" s="126">
        <v>141</v>
      </c>
      <c r="B2932" s="478" t="s">
        <v>4391</v>
      </c>
      <c r="C2932" s="126" t="s">
        <v>2999</v>
      </c>
      <c r="D2932" s="126" t="s">
        <v>3000</v>
      </c>
      <c r="E2932" s="126">
        <v>2004</v>
      </c>
      <c r="F2932" s="126">
        <v>1995</v>
      </c>
      <c r="G2932" s="126" t="s">
        <v>3001</v>
      </c>
      <c r="H2932" s="126" t="s">
        <v>3005</v>
      </c>
      <c r="I2932" s="126" t="s">
        <v>2831</v>
      </c>
      <c r="J2932" s="126">
        <f t="shared" si="414"/>
        <v>3.85</v>
      </c>
      <c r="K2932" s="126">
        <f t="shared" si="415"/>
        <v>11.433333333333334</v>
      </c>
      <c r="L2932" s="126">
        <v>700</v>
      </c>
      <c r="N2932" s="126">
        <v>24</v>
      </c>
      <c r="P2932" s="126">
        <v>1650</v>
      </c>
      <c r="R2932" s="478" t="s">
        <v>1977</v>
      </c>
      <c r="S2932" s="478" t="s">
        <v>1858</v>
      </c>
      <c r="T2932" s="478"/>
      <c r="U2932" s="478" t="s">
        <v>1962</v>
      </c>
      <c r="V2932" s="478" t="s">
        <v>1382</v>
      </c>
      <c r="W2932" s="478" t="s">
        <v>1717</v>
      </c>
      <c r="X2932" s="478" t="s">
        <v>1382</v>
      </c>
      <c r="Y2932" s="478" t="s">
        <v>1382</v>
      </c>
      <c r="AA2932" s="479">
        <v>30</v>
      </c>
      <c r="AB2932" s="479">
        <f t="shared" si="416"/>
        <v>40</v>
      </c>
      <c r="AC2932" s="126" t="s">
        <v>672</v>
      </c>
      <c r="AD2932" s="126">
        <v>5.25</v>
      </c>
      <c r="AE2932" s="126">
        <v>1.9</v>
      </c>
      <c r="AG2932" s="126" t="s">
        <v>3003</v>
      </c>
      <c r="AH2932" s="126" t="s">
        <v>158</v>
      </c>
      <c r="AI2932" s="126" t="s">
        <v>577</v>
      </c>
      <c r="AJ2932" s="126" t="s">
        <v>1645</v>
      </c>
      <c r="AK2932" s="126" t="s">
        <v>132</v>
      </c>
      <c r="AW2932" s="126" t="s">
        <v>2780</v>
      </c>
      <c r="AX2932" s="126">
        <v>4</v>
      </c>
      <c r="AZ2932" s="126" t="s">
        <v>141</v>
      </c>
      <c r="BK2932" s="126">
        <v>4446</v>
      </c>
      <c r="BL2932" s="126">
        <v>4576</v>
      </c>
      <c r="BM2932" s="126">
        <v>464</v>
      </c>
      <c r="BN2932" s="126">
        <v>464</v>
      </c>
      <c r="BP2932" s="481"/>
      <c r="BQ2932" s="481"/>
      <c r="BV2932" s="481"/>
      <c r="BZ2932" s="481"/>
      <c r="CA2932" s="481"/>
      <c r="CE2932" s="605"/>
      <c r="CF2932" s="605"/>
      <c r="CG2932" s="605"/>
      <c r="CH2932" s="605"/>
      <c r="CY2932" s="481"/>
      <c r="JD2932" s="480"/>
    </row>
    <row r="2933" spans="1:264" s="126" customFormat="1" x14ac:dyDescent="0.25">
      <c r="A2933" s="126">
        <v>141</v>
      </c>
      <c r="B2933" s="478" t="s">
        <v>4391</v>
      </c>
      <c r="C2933" s="126" t="s">
        <v>2999</v>
      </c>
      <c r="D2933" s="126" t="s">
        <v>3000</v>
      </c>
      <c r="E2933" s="126">
        <v>2004</v>
      </c>
      <c r="F2933" s="126">
        <v>1996</v>
      </c>
      <c r="G2933" s="126" t="s">
        <v>3001</v>
      </c>
      <c r="H2933" s="126" t="s">
        <v>3005</v>
      </c>
      <c r="I2933" s="126" t="s">
        <v>2831</v>
      </c>
      <c r="J2933" s="126">
        <f t="shared" si="414"/>
        <v>3.85</v>
      </c>
      <c r="K2933" s="126">
        <f t="shared" si="415"/>
        <v>11.433333333333334</v>
      </c>
      <c r="L2933" s="126">
        <v>700</v>
      </c>
      <c r="N2933" s="126">
        <v>24</v>
      </c>
      <c r="P2933" s="126">
        <v>1650</v>
      </c>
      <c r="R2933" s="478" t="s">
        <v>1847</v>
      </c>
      <c r="S2933" s="478" t="s">
        <v>1858</v>
      </c>
      <c r="T2933" s="478"/>
      <c r="U2933" s="478" t="s">
        <v>1962</v>
      </c>
      <c r="V2933" s="478" t="s">
        <v>1382</v>
      </c>
      <c r="W2933" s="478" t="s">
        <v>1717</v>
      </c>
      <c r="X2933" s="478" t="s">
        <v>1382</v>
      </c>
      <c r="Y2933" s="478" t="s">
        <v>1382</v>
      </c>
      <c r="AA2933" s="479">
        <v>30</v>
      </c>
      <c r="AB2933" s="479">
        <f t="shared" si="416"/>
        <v>40</v>
      </c>
      <c r="AC2933" s="126" t="s">
        <v>672</v>
      </c>
      <c r="AD2933" s="126">
        <v>5.25</v>
      </c>
      <c r="AE2933" s="126">
        <v>1.9</v>
      </c>
      <c r="AG2933" s="126" t="s">
        <v>3003</v>
      </c>
      <c r="AH2933" s="126" t="s">
        <v>158</v>
      </c>
      <c r="AI2933" s="126" t="s">
        <v>577</v>
      </c>
      <c r="AJ2933" s="126" t="s">
        <v>1645</v>
      </c>
      <c r="AK2933" s="126" t="s">
        <v>132</v>
      </c>
      <c r="AW2933" s="126" t="s">
        <v>2780</v>
      </c>
      <c r="AX2933" s="126">
        <v>4</v>
      </c>
      <c r="AZ2933" s="126" t="s">
        <v>141</v>
      </c>
      <c r="BK2933" s="126">
        <v>3131</v>
      </c>
      <c r="BL2933" s="126">
        <v>3097</v>
      </c>
      <c r="BM2933" s="126">
        <v>464</v>
      </c>
      <c r="BN2933" s="126">
        <v>464</v>
      </c>
      <c r="BP2933" s="481"/>
      <c r="BQ2933" s="481"/>
      <c r="BV2933" s="481"/>
      <c r="BZ2933" s="481"/>
      <c r="CA2933" s="481"/>
      <c r="CE2933" s="605"/>
      <c r="CF2933" s="605"/>
      <c r="CG2933" s="605"/>
      <c r="CH2933" s="605"/>
      <c r="CY2933" s="481"/>
      <c r="JD2933" s="480"/>
    </row>
    <row r="2934" spans="1:264" s="126" customFormat="1" x14ac:dyDescent="0.25">
      <c r="A2934" s="126">
        <v>141</v>
      </c>
      <c r="B2934" s="478" t="s">
        <v>4391</v>
      </c>
      <c r="C2934" s="126" t="s">
        <v>2999</v>
      </c>
      <c r="D2934" s="126" t="s">
        <v>3000</v>
      </c>
      <c r="E2934" s="126">
        <v>2004</v>
      </c>
      <c r="F2934" s="126">
        <v>1997</v>
      </c>
      <c r="G2934" s="126" t="s">
        <v>3001</v>
      </c>
      <c r="H2934" s="126" t="s">
        <v>3005</v>
      </c>
      <c r="I2934" s="126" t="s">
        <v>2831</v>
      </c>
      <c r="J2934" s="126">
        <f t="shared" si="414"/>
        <v>3.85</v>
      </c>
      <c r="K2934" s="126">
        <f t="shared" si="415"/>
        <v>11.433333333333334</v>
      </c>
      <c r="L2934" s="126">
        <v>700</v>
      </c>
      <c r="N2934" s="126">
        <v>24</v>
      </c>
      <c r="P2934" s="126">
        <v>1650</v>
      </c>
      <c r="R2934" s="478" t="s">
        <v>1728</v>
      </c>
      <c r="S2934" s="478" t="s">
        <v>1858</v>
      </c>
      <c r="T2934" s="478"/>
      <c r="U2934" s="478" t="s">
        <v>1962</v>
      </c>
      <c r="V2934" s="478" t="s">
        <v>1382</v>
      </c>
      <c r="W2934" s="478" t="s">
        <v>1717</v>
      </c>
      <c r="X2934" s="478" t="s">
        <v>1382</v>
      </c>
      <c r="Y2934" s="478" t="s">
        <v>1382</v>
      </c>
      <c r="AA2934" s="479">
        <v>30</v>
      </c>
      <c r="AB2934" s="479">
        <f t="shared" si="416"/>
        <v>40</v>
      </c>
      <c r="AC2934" s="126" t="s">
        <v>672</v>
      </c>
      <c r="AD2934" s="126">
        <v>5.25</v>
      </c>
      <c r="AE2934" s="126">
        <v>1.9</v>
      </c>
      <c r="AG2934" s="126" t="s">
        <v>3003</v>
      </c>
      <c r="AH2934" s="126" t="s">
        <v>158</v>
      </c>
      <c r="AI2934" s="126" t="s">
        <v>577</v>
      </c>
      <c r="AJ2934" s="126" t="s">
        <v>1645</v>
      </c>
      <c r="AK2934" s="126" t="s">
        <v>132</v>
      </c>
      <c r="AW2934" s="126" t="s">
        <v>2780</v>
      </c>
      <c r="AX2934" s="126">
        <v>4</v>
      </c>
      <c r="AZ2934" s="126" t="s">
        <v>141</v>
      </c>
      <c r="BK2934" s="126">
        <v>4408</v>
      </c>
      <c r="BL2934" s="126">
        <v>4232</v>
      </c>
      <c r="BM2934" s="126">
        <v>464</v>
      </c>
      <c r="BN2934" s="126">
        <v>464</v>
      </c>
      <c r="BP2934" s="481"/>
      <c r="BQ2934" s="481"/>
      <c r="BV2934" s="481"/>
      <c r="BZ2934" s="481"/>
      <c r="CA2934" s="481"/>
      <c r="CE2934" s="605"/>
      <c r="CF2934" s="605"/>
      <c r="CG2934" s="605"/>
      <c r="CH2934" s="605"/>
      <c r="CY2934" s="481"/>
      <c r="JD2934" s="480"/>
    </row>
    <row r="2935" spans="1:264" s="126" customFormat="1" x14ac:dyDescent="0.25">
      <c r="A2935" s="126">
        <v>141</v>
      </c>
      <c r="B2935" s="478" t="s">
        <v>4391</v>
      </c>
      <c r="C2935" s="126" t="s">
        <v>2999</v>
      </c>
      <c r="D2935" s="126" t="s">
        <v>3000</v>
      </c>
      <c r="E2935" s="126">
        <v>2004</v>
      </c>
      <c r="F2935" s="126">
        <v>1998</v>
      </c>
      <c r="G2935" s="126" t="s">
        <v>3001</v>
      </c>
      <c r="H2935" s="126" t="s">
        <v>3005</v>
      </c>
      <c r="I2935" s="126" t="s">
        <v>2831</v>
      </c>
      <c r="J2935" s="126">
        <f t="shared" si="414"/>
        <v>3.85</v>
      </c>
      <c r="K2935" s="126">
        <f t="shared" si="415"/>
        <v>11.433333333333334</v>
      </c>
      <c r="L2935" s="126">
        <v>700</v>
      </c>
      <c r="N2935" s="126">
        <v>24</v>
      </c>
      <c r="P2935" s="126">
        <v>1650</v>
      </c>
      <c r="R2935" s="478" t="s">
        <v>1858</v>
      </c>
      <c r="S2935" s="478" t="s">
        <v>1858</v>
      </c>
      <c r="T2935" s="478"/>
      <c r="U2935" s="478" t="s">
        <v>1962</v>
      </c>
      <c r="V2935" s="478" t="s">
        <v>1382</v>
      </c>
      <c r="W2935" s="478" t="s">
        <v>1717</v>
      </c>
      <c r="X2935" s="478" t="s">
        <v>1382</v>
      </c>
      <c r="Y2935" s="478" t="s">
        <v>1382</v>
      </c>
      <c r="AA2935" s="479">
        <v>30</v>
      </c>
      <c r="AB2935" s="479">
        <f t="shared" si="416"/>
        <v>40</v>
      </c>
      <c r="AC2935" s="126" t="s">
        <v>672</v>
      </c>
      <c r="AD2935" s="126">
        <v>5.25</v>
      </c>
      <c r="AE2935" s="126">
        <v>1.9</v>
      </c>
      <c r="AG2935" s="126" t="s">
        <v>3003</v>
      </c>
      <c r="AH2935" s="126" t="s">
        <v>158</v>
      </c>
      <c r="AI2935" s="126" t="s">
        <v>577</v>
      </c>
      <c r="AJ2935" s="126" t="s">
        <v>1645</v>
      </c>
      <c r="AK2935" s="126" t="s">
        <v>132</v>
      </c>
      <c r="AW2935" s="126" t="s">
        <v>2780</v>
      </c>
      <c r="AX2935" s="126">
        <v>4</v>
      </c>
      <c r="AZ2935" s="126" t="s">
        <v>141</v>
      </c>
      <c r="BK2935" s="126">
        <v>2454</v>
      </c>
      <c r="BL2935" s="126">
        <v>2393</v>
      </c>
      <c r="BM2935" s="126">
        <v>464</v>
      </c>
      <c r="BN2935" s="126">
        <v>464</v>
      </c>
      <c r="BP2935" s="481"/>
      <c r="BQ2935" s="481"/>
      <c r="BU2935" s="481">
        <v>1.9</v>
      </c>
      <c r="BV2935" s="481">
        <v>1.79</v>
      </c>
      <c r="BW2935" s="126">
        <v>0.18</v>
      </c>
      <c r="BX2935" s="126">
        <v>0.18</v>
      </c>
      <c r="BZ2935" s="481"/>
      <c r="CA2935" s="481"/>
      <c r="CD2935" s="126" t="s">
        <v>3120</v>
      </c>
      <c r="CE2935" s="605">
        <v>1.9</v>
      </c>
      <c r="CF2935" s="605">
        <v>1.79</v>
      </c>
      <c r="CG2935" s="605">
        <v>0.18</v>
      </c>
      <c r="CH2935" s="605">
        <v>0.18</v>
      </c>
      <c r="CI2935" s="126" t="s">
        <v>4546</v>
      </c>
      <c r="CJ2935" s="126">
        <v>0.16</v>
      </c>
      <c r="CK2935" s="126">
        <v>0.15</v>
      </c>
      <c r="CL2935" s="126">
        <v>0.04</v>
      </c>
      <c r="CM2935" s="126">
        <v>0.04</v>
      </c>
      <c r="CN2935" s="126" t="s">
        <v>164</v>
      </c>
      <c r="CO2935" s="126">
        <v>8.9</v>
      </c>
      <c r="CP2935" s="126">
        <v>7.6</v>
      </c>
      <c r="CQ2935" s="126">
        <v>2.6</v>
      </c>
      <c r="CR2935" s="126">
        <v>2.6</v>
      </c>
      <c r="CS2935" s="126" t="s">
        <v>2959</v>
      </c>
      <c r="CY2935" s="481">
        <v>5.8</v>
      </c>
      <c r="CZ2935" s="126">
        <v>5.54</v>
      </c>
      <c r="DA2935" s="126">
        <v>0.2</v>
      </c>
      <c r="DB2935" s="126">
        <v>0.2</v>
      </c>
      <c r="DN2935" s="126">
        <v>4.8099999999999996</v>
      </c>
      <c r="DO2935" s="126">
        <v>3.77</v>
      </c>
      <c r="DP2935" s="126">
        <v>1.18</v>
      </c>
      <c r="DQ2935" s="126">
        <v>1.18</v>
      </c>
      <c r="JD2935" s="480"/>
    </row>
    <row r="2936" spans="1:264" s="36" customFormat="1" x14ac:dyDescent="0.25">
      <c r="A2936" s="36">
        <v>141</v>
      </c>
      <c r="B2936" s="51" t="s">
        <v>4392</v>
      </c>
      <c r="C2936" s="36" t="s">
        <v>2999</v>
      </c>
      <c r="D2936" s="36" t="s">
        <v>3000</v>
      </c>
      <c r="E2936" s="36">
        <v>2004</v>
      </c>
      <c r="F2936" s="36">
        <v>1995</v>
      </c>
      <c r="G2936" s="36" t="s">
        <v>3001</v>
      </c>
      <c r="H2936" s="36" t="s">
        <v>3002</v>
      </c>
      <c r="I2936" s="36" t="s">
        <v>2831</v>
      </c>
      <c r="J2936" s="36">
        <f t="shared" ref="J2936:J2943" si="418">4+26/60</f>
        <v>4.4333333333333336</v>
      </c>
      <c r="K2936" s="36">
        <f t="shared" ref="K2936:K2943" si="419">11+40/60</f>
        <v>11.666666666666666</v>
      </c>
      <c r="L2936" s="36">
        <v>560</v>
      </c>
      <c r="N2936" s="36">
        <v>26</v>
      </c>
      <c r="P2936" s="36">
        <v>1350</v>
      </c>
      <c r="R2936" s="51" t="s">
        <v>1977</v>
      </c>
      <c r="S2936" s="51" t="s">
        <v>1858</v>
      </c>
      <c r="T2936" s="51"/>
      <c r="U2936" s="51" t="s">
        <v>3004</v>
      </c>
      <c r="V2936" s="51" t="s">
        <v>1382</v>
      </c>
      <c r="W2936" s="51" t="s">
        <v>1717</v>
      </c>
      <c r="X2936" s="51" t="s">
        <v>1382</v>
      </c>
      <c r="Y2936" s="51" t="s">
        <v>1382</v>
      </c>
      <c r="AA2936" s="331">
        <v>30</v>
      </c>
      <c r="AB2936" s="331">
        <f t="shared" ref="AB2936:AB2943" si="420">100-30-17.5</f>
        <v>52.5</v>
      </c>
      <c r="AC2936" s="36" t="s">
        <v>672</v>
      </c>
      <c r="AD2936" s="36">
        <v>5.25</v>
      </c>
      <c r="AE2936" s="36">
        <v>1.7</v>
      </c>
      <c r="AG2936" s="36" t="s">
        <v>3003</v>
      </c>
      <c r="AH2936" s="36" t="s">
        <v>3006</v>
      </c>
      <c r="AI2936" s="36" t="s">
        <v>577</v>
      </c>
      <c r="AJ2936" s="36" t="s">
        <v>1645</v>
      </c>
      <c r="AK2936" s="36" t="s">
        <v>132</v>
      </c>
      <c r="AW2936" s="36" t="s">
        <v>2780</v>
      </c>
      <c r="AX2936" s="36">
        <v>4</v>
      </c>
      <c r="AZ2936" s="36" t="s">
        <v>141</v>
      </c>
      <c r="BK2936" s="36">
        <v>3310</v>
      </c>
      <c r="BL2936" s="36">
        <v>3496</v>
      </c>
      <c r="BM2936" s="36">
        <f>137*2</f>
        <v>274</v>
      </c>
      <c r="BN2936" s="36">
        <f>137*2</f>
        <v>274</v>
      </c>
      <c r="BP2936" s="407"/>
      <c r="BQ2936" s="407"/>
      <c r="BV2936" s="407"/>
      <c r="BZ2936" s="407"/>
      <c r="CA2936" s="407"/>
      <c r="CE2936" s="560"/>
      <c r="CF2936" s="560"/>
      <c r="CG2936" s="560"/>
      <c r="CH2936" s="560"/>
      <c r="CY2936" s="407"/>
      <c r="JD2936" s="230"/>
    </row>
    <row r="2937" spans="1:264" s="36" customFormat="1" x14ac:dyDescent="0.25">
      <c r="A2937" s="36">
        <v>141</v>
      </c>
      <c r="B2937" s="51" t="s">
        <v>4392</v>
      </c>
      <c r="C2937" s="36" t="s">
        <v>2999</v>
      </c>
      <c r="D2937" s="36" t="s">
        <v>3000</v>
      </c>
      <c r="E2937" s="36">
        <v>2004</v>
      </c>
      <c r="F2937" s="36">
        <v>1996</v>
      </c>
      <c r="G2937" s="36" t="s">
        <v>3001</v>
      </c>
      <c r="H2937" s="36" t="s">
        <v>3002</v>
      </c>
      <c r="I2937" s="36" t="s">
        <v>2831</v>
      </c>
      <c r="J2937" s="36">
        <f t="shared" si="418"/>
        <v>4.4333333333333336</v>
      </c>
      <c r="K2937" s="36">
        <f t="shared" si="419"/>
        <v>11.666666666666666</v>
      </c>
      <c r="L2937" s="36">
        <v>560</v>
      </c>
      <c r="N2937" s="36">
        <v>26</v>
      </c>
      <c r="P2937" s="36">
        <v>1350</v>
      </c>
      <c r="R2937" s="51" t="s">
        <v>1847</v>
      </c>
      <c r="S2937" s="51" t="s">
        <v>1858</v>
      </c>
      <c r="T2937" s="51"/>
      <c r="U2937" s="51" t="s">
        <v>3004</v>
      </c>
      <c r="V2937" s="51" t="s">
        <v>1382</v>
      </c>
      <c r="W2937" s="51" t="s">
        <v>1717</v>
      </c>
      <c r="X2937" s="51" t="s">
        <v>1382</v>
      </c>
      <c r="Y2937" s="51" t="s">
        <v>1382</v>
      </c>
      <c r="AA2937" s="331">
        <v>30</v>
      </c>
      <c r="AB2937" s="331">
        <f t="shared" si="420"/>
        <v>52.5</v>
      </c>
      <c r="AC2937" s="36" t="s">
        <v>672</v>
      </c>
      <c r="AD2937" s="36">
        <v>5.25</v>
      </c>
      <c r="AE2937" s="36">
        <v>1.7</v>
      </c>
      <c r="AG2937" s="36" t="s">
        <v>3003</v>
      </c>
      <c r="AH2937" s="36" t="s">
        <v>3006</v>
      </c>
      <c r="AI2937" s="36" t="s">
        <v>577</v>
      </c>
      <c r="AJ2937" s="36" t="s">
        <v>1645</v>
      </c>
      <c r="AK2937" s="36" t="s">
        <v>132</v>
      </c>
      <c r="AW2937" s="36" t="s">
        <v>2780</v>
      </c>
      <c r="AX2937" s="36">
        <v>4</v>
      </c>
      <c r="AZ2937" s="36" t="s">
        <v>141</v>
      </c>
      <c r="BK2937" s="36">
        <v>2355</v>
      </c>
      <c r="BL2937" s="36">
        <v>2494</v>
      </c>
      <c r="BM2937" s="36">
        <f t="shared" ref="BM2937:BN2939" si="421">137*2</f>
        <v>274</v>
      </c>
      <c r="BN2937" s="36">
        <f t="shared" si="421"/>
        <v>274</v>
      </c>
      <c r="BP2937" s="407"/>
      <c r="BQ2937" s="407"/>
      <c r="BV2937" s="407"/>
      <c r="BZ2937" s="407"/>
      <c r="CA2937" s="407"/>
      <c r="CE2937" s="560"/>
      <c r="CF2937" s="560"/>
      <c r="CG2937" s="560"/>
      <c r="CH2937" s="560"/>
      <c r="CY2937" s="407"/>
      <c r="JD2937" s="230"/>
    </row>
    <row r="2938" spans="1:264" s="36" customFormat="1" x14ac:dyDescent="0.25">
      <c r="A2938" s="36">
        <v>141</v>
      </c>
      <c r="B2938" s="51" t="s">
        <v>4392</v>
      </c>
      <c r="C2938" s="36" t="s">
        <v>2999</v>
      </c>
      <c r="D2938" s="36" t="s">
        <v>3000</v>
      </c>
      <c r="E2938" s="36">
        <v>2004</v>
      </c>
      <c r="F2938" s="36">
        <v>1997</v>
      </c>
      <c r="G2938" s="36" t="s">
        <v>3001</v>
      </c>
      <c r="H2938" s="36" t="s">
        <v>3002</v>
      </c>
      <c r="I2938" s="36" t="s">
        <v>2831</v>
      </c>
      <c r="J2938" s="36">
        <f t="shared" si="418"/>
        <v>4.4333333333333336</v>
      </c>
      <c r="K2938" s="36">
        <f t="shared" si="419"/>
        <v>11.666666666666666</v>
      </c>
      <c r="L2938" s="36">
        <v>560</v>
      </c>
      <c r="N2938" s="36">
        <v>26</v>
      </c>
      <c r="P2938" s="36">
        <v>1350</v>
      </c>
      <c r="R2938" s="51" t="s">
        <v>1728</v>
      </c>
      <c r="S2938" s="51" t="s">
        <v>1858</v>
      </c>
      <c r="T2938" s="51"/>
      <c r="U2938" s="51" t="s">
        <v>3004</v>
      </c>
      <c r="V2938" s="51" t="s">
        <v>1382</v>
      </c>
      <c r="W2938" s="51" t="s">
        <v>1717</v>
      </c>
      <c r="X2938" s="51" t="s">
        <v>1382</v>
      </c>
      <c r="Y2938" s="51" t="s">
        <v>1382</v>
      </c>
      <c r="AA2938" s="331">
        <v>30</v>
      </c>
      <c r="AB2938" s="331">
        <f t="shared" si="420"/>
        <v>52.5</v>
      </c>
      <c r="AC2938" s="36" t="s">
        <v>672</v>
      </c>
      <c r="AD2938" s="36">
        <v>5.25</v>
      </c>
      <c r="AE2938" s="36">
        <v>1.7</v>
      </c>
      <c r="AG2938" s="36" t="s">
        <v>3003</v>
      </c>
      <c r="AH2938" s="36" t="s">
        <v>3006</v>
      </c>
      <c r="AI2938" s="36" t="s">
        <v>577</v>
      </c>
      <c r="AJ2938" s="36" t="s">
        <v>1645</v>
      </c>
      <c r="AK2938" s="36" t="s">
        <v>132</v>
      </c>
      <c r="AW2938" s="36" t="s">
        <v>2780</v>
      </c>
      <c r="AX2938" s="36">
        <v>4</v>
      </c>
      <c r="AZ2938" s="36" t="s">
        <v>141</v>
      </c>
      <c r="BK2938" s="36">
        <v>2490</v>
      </c>
      <c r="BL2938" s="36">
        <v>2921</v>
      </c>
      <c r="BM2938" s="36">
        <f t="shared" si="421"/>
        <v>274</v>
      </c>
      <c r="BN2938" s="36">
        <f t="shared" si="421"/>
        <v>274</v>
      </c>
      <c r="BP2938" s="407"/>
      <c r="BQ2938" s="407"/>
      <c r="BV2938" s="407"/>
      <c r="BZ2938" s="407"/>
      <c r="CA2938" s="407"/>
      <c r="CE2938" s="560"/>
      <c r="CF2938" s="560"/>
      <c r="CG2938" s="560"/>
      <c r="CH2938" s="560"/>
      <c r="CY2938" s="407"/>
      <c r="JD2938" s="230"/>
    </row>
    <row r="2939" spans="1:264" s="36" customFormat="1" x14ac:dyDescent="0.25">
      <c r="A2939" s="36">
        <v>141</v>
      </c>
      <c r="B2939" s="51" t="s">
        <v>4392</v>
      </c>
      <c r="C2939" s="36" t="s">
        <v>2999</v>
      </c>
      <c r="D2939" s="36" t="s">
        <v>3000</v>
      </c>
      <c r="E2939" s="36">
        <v>2004</v>
      </c>
      <c r="F2939" s="36">
        <v>1998</v>
      </c>
      <c r="G2939" s="36" t="s">
        <v>3001</v>
      </c>
      <c r="H2939" s="36" t="s">
        <v>3002</v>
      </c>
      <c r="I2939" s="36" t="s">
        <v>2831</v>
      </c>
      <c r="J2939" s="36">
        <f t="shared" si="418"/>
        <v>4.4333333333333336</v>
      </c>
      <c r="K2939" s="36">
        <f t="shared" si="419"/>
        <v>11.666666666666666</v>
      </c>
      <c r="L2939" s="36">
        <v>560</v>
      </c>
      <c r="N2939" s="36">
        <v>26</v>
      </c>
      <c r="P2939" s="36">
        <v>1350</v>
      </c>
      <c r="R2939" s="51" t="s">
        <v>1858</v>
      </c>
      <c r="S2939" s="51" t="s">
        <v>1858</v>
      </c>
      <c r="T2939" s="51"/>
      <c r="U2939" s="51" t="s">
        <v>3004</v>
      </c>
      <c r="V2939" s="51" t="s">
        <v>1382</v>
      </c>
      <c r="W2939" s="51" t="s">
        <v>1717</v>
      </c>
      <c r="X2939" s="51" t="s">
        <v>1382</v>
      </c>
      <c r="Y2939" s="51" t="s">
        <v>1382</v>
      </c>
      <c r="AA2939" s="331">
        <v>30</v>
      </c>
      <c r="AB2939" s="331">
        <f t="shared" si="420"/>
        <v>52.5</v>
      </c>
      <c r="AC2939" s="36" t="s">
        <v>672</v>
      </c>
      <c r="AD2939" s="36">
        <v>5.25</v>
      </c>
      <c r="AE2939" s="36">
        <v>1.7</v>
      </c>
      <c r="AG2939" s="36" t="s">
        <v>3003</v>
      </c>
      <c r="AH2939" s="36" t="s">
        <v>3006</v>
      </c>
      <c r="AI2939" s="36" t="s">
        <v>577</v>
      </c>
      <c r="AJ2939" s="36" t="s">
        <v>1645</v>
      </c>
      <c r="AK2939" s="36" t="s">
        <v>132</v>
      </c>
      <c r="AW2939" s="36" t="s">
        <v>2780</v>
      </c>
      <c r="AX2939" s="36">
        <v>4</v>
      </c>
      <c r="AZ2939" s="36" t="s">
        <v>141</v>
      </c>
      <c r="BK2939" s="36">
        <v>2526</v>
      </c>
      <c r="BL2939" s="36">
        <v>3127</v>
      </c>
      <c r="BM2939" s="36">
        <f t="shared" si="421"/>
        <v>274</v>
      </c>
      <c r="BN2939" s="36">
        <f t="shared" si="421"/>
        <v>274</v>
      </c>
      <c r="BP2939" s="407"/>
      <c r="BQ2939" s="407"/>
      <c r="BU2939" s="407">
        <v>1.43</v>
      </c>
      <c r="BV2939" s="407">
        <v>1.57</v>
      </c>
      <c r="BW2939" s="36">
        <f>0.06*2</f>
        <v>0.12</v>
      </c>
      <c r="BX2939" s="36">
        <f>0.06*2</f>
        <v>0.12</v>
      </c>
      <c r="BZ2939" s="407"/>
      <c r="CA2939" s="407"/>
      <c r="CD2939" s="36" t="s">
        <v>3120</v>
      </c>
      <c r="CE2939" s="560">
        <v>1.43</v>
      </c>
      <c r="CF2939" s="560">
        <v>1.57</v>
      </c>
      <c r="CG2939" s="560">
        <v>0.12</v>
      </c>
      <c r="CH2939" s="560">
        <v>0.12</v>
      </c>
      <c r="CI2939" s="36" t="s">
        <v>4546</v>
      </c>
      <c r="CJ2939" s="36">
        <v>0.11</v>
      </c>
      <c r="CK2939" s="36">
        <v>0.11</v>
      </c>
      <c r="CL2939" s="36">
        <v>0.06</v>
      </c>
      <c r="CM2939" s="36">
        <v>0.06</v>
      </c>
      <c r="CN2939" s="36" t="s">
        <v>164</v>
      </c>
      <c r="CO2939" s="36">
        <v>9.9</v>
      </c>
      <c r="CP2939" s="36">
        <v>9</v>
      </c>
      <c r="CQ2939" s="36">
        <f>1.49*2</f>
        <v>2.98</v>
      </c>
      <c r="CR2939" s="36">
        <f>1.49*2</f>
        <v>2.98</v>
      </c>
      <c r="CS2939" s="36" t="s">
        <v>2959</v>
      </c>
      <c r="CY2939" s="407">
        <v>6.17</v>
      </c>
      <c r="CZ2939" s="36">
        <v>6.07</v>
      </c>
      <c r="DA2939" s="36">
        <v>0.06</v>
      </c>
      <c r="DB2939" s="36">
        <v>0.06</v>
      </c>
      <c r="DN2939" s="36">
        <v>4.04</v>
      </c>
      <c r="DO2939" s="36">
        <v>3.82</v>
      </c>
      <c r="DP2939" s="36">
        <v>0.22</v>
      </c>
      <c r="DQ2939" s="36">
        <v>0.22</v>
      </c>
      <c r="JD2939" s="230"/>
    </row>
    <row r="2940" spans="1:264" s="126" customFormat="1" x14ac:dyDescent="0.25">
      <c r="A2940" s="126">
        <v>141</v>
      </c>
      <c r="B2940" s="478" t="s">
        <v>4392</v>
      </c>
      <c r="C2940" s="126" t="s">
        <v>2999</v>
      </c>
      <c r="D2940" s="126" t="s">
        <v>3000</v>
      </c>
      <c r="E2940" s="126">
        <v>2004</v>
      </c>
      <c r="F2940" s="126">
        <v>1995</v>
      </c>
      <c r="G2940" s="126" t="s">
        <v>3001</v>
      </c>
      <c r="H2940" s="126" t="s">
        <v>3002</v>
      </c>
      <c r="I2940" s="126" t="s">
        <v>2831</v>
      </c>
      <c r="J2940" s="126">
        <f t="shared" si="418"/>
        <v>4.4333333333333336</v>
      </c>
      <c r="K2940" s="126">
        <f t="shared" si="419"/>
        <v>11.666666666666666</v>
      </c>
      <c r="L2940" s="126">
        <v>560</v>
      </c>
      <c r="N2940" s="126">
        <v>26</v>
      </c>
      <c r="P2940" s="126">
        <v>1350</v>
      </c>
      <c r="R2940" s="478" t="s">
        <v>1977</v>
      </c>
      <c r="S2940" s="478" t="s">
        <v>1858</v>
      </c>
      <c r="T2940" s="478"/>
      <c r="U2940" s="478" t="s">
        <v>3004</v>
      </c>
      <c r="V2940" s="478" t="s">
        <v>1382</v>
      </c>
      <c r="W2940" s="478" t="s">
        <v>1717</v>
      </c>
      <c r="X2940" s="478" t="s">
        <v>1382</v>
      </c>
      <c r="Y2940" s="478" t="s">
        <v>1382</v>
      </c>
      <c r="AA2940" s="479">
        <v>30</v>
      </c>
      <c r="AB2940" s="479">
        <f t="shared" si="420"/>
        <v>52.5</v>
      </c>
      <c r="AC2940" s="126" t="s">
        <v>672</v>
      </c>
      <c r="AD2940" s="126">
        <v>5.25</v>
      </c>
      <c r="AE2940" s="126">
        <v>1.7</v>
      </c>
      <c r="AG2940" s="126" t="s">
        <v>3003</v>
      </c>
      <c r="AH2940" s="126" t="s">
        <v>158</v>
      </c>
      <c r="AI2940" s="126" t="s">
        <v>577</v>
      </c>
      <c r="AJ2940" s="126" t="s">
        <v>1645</v>
      </c>
      <c r="AK2940" s="126" t="s">
        <v>132</v>
      </c>
      <c r="AW2940" s="126" t="s">
        <v>2780</v>
      </c>
      <c r="AX2940" s="126">
        <v>4</v>
      </c>
      <c r="AZ2940" s="126" t="s">
        <v>141</v>
      </c>
      <c r="BK2940" s="126">
        <v>3310</v>
      </c>
      <c r="BL2940" s="126">
        <v>3428</v>
      </c>
      <c r="BM2940" s="126">
        <v>274</v>
      </c>
      <c r="BN2940" s="126">
        <v>274</v>
      </c>
      <c r="BP2940" s="481"/>
      <c r="BQ2940" s="481"/>
      <c r="BV2940" s="481"/>
      <c r="BZ2940" s="481"/>
      <c r="CA2940" s="481"/>
      <c r="CE2940" s="605"/>
      <c r="CF2940" s="605"/>
      <c r="CG2940" s="605"/>
      <c r="CH2940" s="605"/>
      <c r="CY2940" s="481"/>
      <c r="JD2940" s="480"/>
    </row>
    <row r="2941" spans="1:264" s="126" customFormat="1" x14ac:dyDescent="0.25">
      <c r="A2941" s="126">
        <v>141</v>
      </c>
      <c r="B2941" s="478" t="s">
        <v>4392</v>
      </c>
      <c r="C2941" s="126" t="s">
        <v>2999</v>
      </c>
      <c r="D2941" s="126" t="s">
        <v>3000</v>
      </c>
      <c r="E2941" s="126">
        <v>2004</v>
      </c>
      <c r="F2941" s="126">
        <v>1996</v>
      </c>
      <c r="G2941" s="126" t="s">
        <v>3001</v>
      </c>
      <c r="H2941" s="126" t="s">
        <v>3002</v>
      </c>
      <c r="I2941" s="126" t="s">
        <v>2831</v>
      </c>
      <c r="J2941" s="126">
        <f t="shared" si="418"/>
        <v>4.4333333333333336</v>
      </c>
      <c r="K2941" s="126">
        <f t="shared" si="419"/>
        <v>11.666666666666666</v>
      </c>
      <c r="L2941" s="126">
        <v>560</v>
      </c>
      <c r="N2941" s="126">
        <v>26</v>
      </c>
      <c r="P2941" s="126">
        <v>1350</v>
      </c>
      <c r="R2941" s="478" t="s">
        <v>1847</v>
      </c>
      <c r="S2941" s="478" t="s">
        <v>1858</v>
      </c>
      <c r="T2941" s="478"/>
      <c r="U2941" s="478" t="s">
        <v>3004</v>
      </c>
      <c r="V2941" s="478" t="s">
        <v>1382</v>
      </c>
      <c r="W2941" s="478" t="s">
        <v>1717</v>
      </c>
      <c r="X2941" s="478" t="s">
        <v>1382</v>
      </c>
      <c r="Y2941" s="478" t="s">
        <v>1382</v>
      </c>
      <c r="AA2941" s="479">
        <v>30</v>
      </c>
      <c r="AB2941" s="479">
        <f t="shared" si="420"/>
        <v>52.5</v>
      </c>
      <c r="AC2941" s="126" t="s">
        <v>672</v>
      </c>
      <c r="AD2941" s="126">
        <v>5.25</v>
      </c>
      <c r="AE2941" s="126">
        <v>1.7</v>
      </c>
      <c r="AG2941" s="126" t="s">
        <v>3003</v>
      </c>
      <c r="AH2941" s="126" t="s">
        <v>158</v>
      </c>
      <c r="AI2941" s="126" t="s">
        <v>577</v>
      </c>
      <c r="AJ2941" s="126" t="s">
        <v>1645</v>
      </c>
      <c r="AK2941" s="126" t="s">
        <v>132</v>
      </c>
      <c r="AW2941" s="126" t="s">
        <v>2780</v>
      </c>
      <c r="AX2941" s="126">
        <v>4</v>
      </c>
      <c r="AZ2941" s="126" t="s">
        <v>141</v>
      </c>
      <c r="BK2941" s="126">
        <v>2355</v>
      </c>
      <c r="BL2941" s="126">
        <v>2153</v>
      </c>
      <c r="BM2941" s="126">
        <v>274</v>
      </c>
      <c r="BN2941" s="126">
        <v>274</v>
      </c>
      <c r="BP2941" s="481"/>
      <c r="BQ2941" s="481"/>
      <c r="BV2941" s="481"/>
      <c r="BZ2941" s="481"/>
      <c r="CA2941" s="481"/>
      <c r="CE2941" s="605"/>
      <c r="CF2941" s="605"/>
      <c r="CG2941" s="605"/>
      <c r="CH2941" s="605"/>
      <c r="CY2941" s="481"/>
      <c r="JD2941" s="480"/>
    </row>
    <row r="2942" spans="1:264" s="126" customFormat="1" x14ac:dyDescent="0.25">
      <c r="A2942" s="126">
        <v>141</v>
      </c>
      <c r="B2942" s="478" t="s">
        <v>4392</v>
      </c>
      <c r="C2942" s="126" t="s">
        <v>2999</v>
      </c>
      <c r="D2942" s="126" t="s">
        <v>3000</v>
      </c>
      <c r="E2942" s="126">
        <v>2004</v>
      </c>
      <c r="F2942" s="126">
        <v>1997</v>
      </c>
      <c r="G2942" s="126" t="s">
        <v>3001</v>
      </c>
      <c r="H2942" s="126" t="s">
        <v>3002</v>
      </c>
      <c r="I2942" s="126" t="s">
        <v>2831</v>
      </c>
      <c r="J2942" s="126">
        <f t="shared" si="418"/>
        <v>4.4333333333333336</v>
      </c>
      <c r="K2942" s="126">
        <f t="shared" si="419"/>
        <v>11.666666666666666</v>
      </c>
      <c r="L2942" s="126">
        <v>560</v>
      </c>
      <c r="N2942" s="126">
        <v>26</v>
      </c>
      <c r="P2942" s="126">
        <v>1350</v>
      </c>
      <c r="R2942" s="478" t="s">
        <v>1728</v>
      </c>
      <c r="S2942" s="478" t="s">
        <v>1858</v>
      </c>
      <c r="T2942" s="478"/>
      <c r="U2942" s="478" t="s">
        <v>3004</v>
      </c>
      <c r="V2942" s="478" t="s">
        <v>1382</v>
      </c>
      <c r="W2942" s="478" t="s">
        <v>1717</v>
      </c>
      <c r="X2942" s="478" t="s">
        <v>1382</v>
      </c>
      <c r="Y2942" s="478" t="s">
        <v>1382</v>
      </c>
      <c r="AA2942" s="479">
        <v>30</v>
      </c>
      <c r="AB2942" s="479">
        <f t="shared" si="420"/>
        <v>52.5</v>
      </c>
      <c r="AC2942" s="126" t="s">
        <v>672</v>
      </c>
      <c r="AD2942" s="126">
        <v>5.25</v>
      </c>
      <c r="AE2942" s="126">
        <v>1.7</v>
      </c>
      <c r="AG2942" s="126" t="s">
        <v>3003</v>
      </c>
      <c r="AH2942" s="126" t="s">
        <v>158</v>
      </c>
      <c r="AI2942" s="126" t="s">
        <v>577</v>
      </c>
      <c r="AJ2942" s="126" t="s">
        <v>1645</v>
      </c>
      <c r="AK2942" s="126" t="s">
        <v>132</v>
      </c>
      <c r="AW2942" s="126" t="s">
        <v>2780</v>
      </c>
      <c r="AX2942" s="126">
        <v>4</v>
      </c>
      <c r="AZ2942" s="126" t="s">
        <v>141</v>
      </c>
      <c r="BK2942" s="126">
        <v>2490</v>
      </c>
      <c r="BL2942" s="126">
        <v>2133</v>
      </c>
      <c r="BM2942" s="126">
        <v>274</v>
      </c>
      <c r="BN2942" s="126">
        <v>274</v>
      </c>
      <c r="BP2942" s="481"/>
      <c r="BQ2942" s="481"/>
      <c r="BV2942" s="481"/>
      <c r="BZ2942" s="481"/>
      <c r="CA2942" s="481"/>
      <c r="CE2942" s="605"/>
      <c r="CF2942" s="605"/>
      <c r="CG2942" s="605"/>
      <c r="CH2942" s="605"/>
      <c r="CY2942" s="481"/>
      <c r="JD2942" s="480"/>
    </row>
    <row r="2943" spans="1:264" s="126" customFormat="1" x14ac:dyDescent="0.25">
      <c r="A2943" s="126">
        <v>141</v>
      </c>
      <c r="B2943" s="478" t="s">
        <v>4392</v>
      </c>
      <c r="C2943" s="126" t="s">
        <v>2999</v>
      </c>
      <c r="D2943" s="126" t="s">
        <v>3000</v>
      </c>
      <c r="E2943" s="126">
        <v>2004</v>
      </c>
      <c r="F2943" s="126">
        <v>1998</v>
      </c>
      <c r="G2943" s="126" t="s">
        <v>3001</v>
      </c>
      <c r="H2943" s="126" t="s">
        <v>3002</v>
      </c>
      <c r="I2943" s="126" t="s">
        <v>2831</v>
      </c>
      <c r="J2943" s="126">
        <f t="shared" si="418"/>
        <v>4.4333333333333336</v>
      </c>
      <c r="K2943" s="126">
        <f t="shared" si="419"/>
        <v>11.666666666666666</v>
      </c>
      <c r="L2943" s="126">
        <v>560</v>
      </c>
      <c r="N2943" s="126">
        <v>26</v>
      </c>
      <c r="P2943" s="126">
        <v>1350</v>
      </c>
      <c r="R2943" s="478" t="s">
        <v>1858</v>
      </c>
      <c r="S2943" s="478" t="s">
        <v>1858</v>
      </c>
      <c r="T2943" s="478"/>
      <c r="U2943" s="478" t="s">
        <v>3004</v>
      </c>
      <c r="V2943" s="478" t="s">
        <v>1382</v>
      </c>
      <c r="W2943" s="478" t="s">
        <v>1717</v>
      </c>
      <c r="X2943" s="478" t="s">
        <v>1382</v>
      </c>
      <c r="Y2943" s="478" t="s">
        <v>1382</v>
      </c>
      <c r="AA2943" s="479">
        <v>30</v>
      </c>
      <c r="AB2943" s="479">
        <f t="shared" si="420"/>
        <v>52.5</v>
      </c>
      <c r="AC2943" s="126" t="s">
        <v>672</v>
      </c>
      <c r="AD2943" s="126">
        <v>5.25</v>
      </c>
      <c r="AE2943" s="126">
        <v>1.7</v>
      </c>
      <c r="AG2943" s="126" t="s">
        <v>3003</v>
      </c>
      <c r="AH2943" s="126" t="s">
        <v>158</v>
      </c>
      <c r="AI2943" s="126" t="s">
        <v>577</v>
      </c>
      <c r="AJ2943" s="126" t="s">
        <v>1645</v>
      </c>
      <c r="AK2943" s="126" t="s">
        <v>132</v>
      </c>
      <c r="AW2943" s="126" t="s">
        <v>2780</v>
      </c>
      <c r="AX2943" s="126">
        <v>4</v>
      </c>
      <c r="AZ2943" s="126" t="s">
        <v>141</v>
      </c>
      <c r="BK2943" s="126">
        <v>2526</v>
      </c>
      <c r="BL2943" s="126">
        <v>1782</v>
      </c>
      <c r="BM2943" s="126">
        <v>274</v>
      </c>
      <c r="BN2943" s="126">
        <v>274</v>
      </c>
      <c r="BP2943" s="481"/>
      <c r="BQ2943" s="481"/>
      <c r="BU2943" s="481">
        <v>1.43</v>
      </c>
      <c r="BV2943" s="481">
        <v>1.48</v>
      </c>
      <c r="BW2943" s="126">
        <v>0.12</v>
      </c>
      <c r="BX2943" s="126">
        <v>0.12</v>
      </c>
      <c r="BZ2943" s="481"/>
      <c r="CA2943" s="481"/>
      <c r="CD2943" s="126" t="s">
        <v>3120</v>
      </c>
      <c r="CE2943" s="605">
        <v>1.43</v>
      </c>
      <c r="CF2943" s="605">
        <v>1.48</v>
      </c>
      <c r="CG2943" s="605">
        <v>0.12</v>
      </c>
      <c r="CH2943" s="605">
        <v>0.12</v>
      </c>
      <c r="CI2943" s="126" t="s">
        <v>4546</v>
      </c>
      <c r="CJ2943" s="126">
        <v>0.11</v>
      </c>
      <c r="CK2943" s="126">
        <v>0.15</v>
      </c>
      <c r="CL2943" s="126">
        <v>0.06</v>
      </c>
      <c r="CM2943" s="126">
        <v>0.06</v>
      </c>
      <c r="CN2943" s="126" t="s">
        <v>164</v>
      </c>
      <c r="CO2943" s="126">
        <v>9.9</v>
      </c>
      <c r="CP2943" s="126">
        <v>12.4</v>
      </c>
      <c r="CQ2943" s="126">
        <f>1.49*2</f>
        <v>2.98</v>
      </c>
      <c r="CR2943" s="126">
        <f>1.49*2</f>
        <v>2.98</v>
      </c>
      <c r="CS2943" s="126" t="s">
        <v>2959</v>
      </c>
      <c r="CY2943" s="481">
        <v>6.17</v>
      </c>
      <c r="CZ2943" s="126">
        <v>6.09</v>
      </c>
      <c r="DA2943" s="126">
        <v>0.06</v>
      </c>
      <c r="DB2943" s="126">
        <v>0.06</v>
      </c>
      <c r="DN2943" s="126">
        <v>4.04</v>
      </c>
      <c r="DO2943" s="126">
        <v>3.38</v>
      </c>
      <c r="DP2943" s="126">
        <v>0.22</v>
      </c>
      <c r="DQ2943" s="126">
        <v>0.22</v>
      </c>
      <c r="JD2943" s="480"/>
    </row>
    <row r="2944" spans="1:264" s="24" customFormat="1" x14ac:dyDescent="0.25">
      <c r="A2944" s="24">
        <v>142</v>
      </c>
      <c r="B2944" s="42" t="s">
        <v>4393</v>
      </c>
      <c r="C2944" s="24" t="s">
        <v>3007</v>
      </c>
      <c r="D2944" s="24" t="s">
        <v>3008</v>
      </c>
      <c r="E2944" s="24">
        <v>2004</v>
      </c>
      <c r="F2944" s="24">
        <v>2000</v>
      </c>
      <c r="G2944" s="24" t="s">
        <v>2738</v>
      </c>
      <c r="H2944" s="24" t="s">
        <v>3009</v>
      </c>
      <c r="I2944" s="24" t="s">
        <v>2857</v>
      </c>
      <c r="J2944" s="24">
        <f>1+12/60</f>
        <v>1.2</v>
      </c>
      <c r="K2944" s="24">
        <f>33+47/60</f>
        <v>33.783333333333331</v>
      </c>
      <c r="L2944" s="24">
        <v>1132</v>
      </c>
      <c r="R2944" s="42" t="s">
        <v>1977</v>
      </c>
      <c r="S2944" s="42" t="s">
        <v>1847</v>
      </c>
      <c r="T2944" s="42"/>
      <c r="U2944" s="42" t="s">
        <v>2859</v>
      </c>
      <c r="V2944" s="42" t="s">
        <v>1382</v>
      </c>
      <c r="W2944" s="42" t="s">
        <v>1717</v>
      </c>
      <c r="X2944" s="42" t="s">
        <v>1382</v>
      </c>
      <c r="Y2944" s="42" t="s">
        <v>1382</v>
      </c>
      <c r="AA2944" s="321">
        <v>60</v>
      </c>
      <c r="AB2944" s="321">
        <v>12</v>
      </c>
      <c r="AC2944" s="24" t="s">
        <v>518</v>
      </c>
      <c r="AD2944" s="24">
        <v>4.8</v>
      </c>
      <c r="AE2944" s="24">
        <v>2.1</v>
      </c>
      <c r="AG2944" s="24" t="s">
        <v>3011</v>
      </c>
      <c r="AH2944" s="24" t="s">
        <v>2742</v>
      </c>
      <c r="AI2944" s="24" t="s">
        <v>577</v>
      </c>
      <c r="AJ2944" s="24" t="s">
        <v>1645</v>
      </c>
      <c r="AK2944" s="24" t="s">
        <v>132</v>
      </c>
      <c r="AT2944" s="24" t="s">
        <v>3012</v>
      </c>
      <c r="AU2944" s="24" t="s">
        <v>3012</v>
      </c>
      <c r="AV2944" s="24" t="s">
        <v>177</v>
      </c>
      <c r="AW2944" s="24" t="s">
        <v>2780</v>
      </c>
      <c r="AX2944" s="24">
        <v>3</v>
      </c>
      <c r="AY2944" s="24">
        <v>3</v>
      </c>
      <c r="AZ2944" s="24" t="s">
        <v>141</v>
      </c>
      <c r="BB2944" s="24">
        <v>10600</v>
      </c>
      <c r="BF2944" s="24">
        <v>1400</v>
      </c>
      <c r="BG2944" s="24">
        <v>1100</v>
      </c>
      <c r="BK2944" s="24">
        <v>3000</v>
      </c>
      <c r="BL2944" s="24">
        <v>1300</v>
      </c>
      <c r="BP2944" s="395"/>
      <c r="BQ2944" s="395"/>
      <c r="BU2944" s="395"/>
      <c r="BV2944" s="395"/>
      <c r="BZ2944" s="395"/>
      <c r="CA2944" s="395"/>
      <c r="CE2944" s="548"/>
      <c r="CF2944" s="548"/>
      <c r="CG2944" s="548"/>
      <c r="CH2944" s="548"/>
      <c r="JD2944" s="249"/>
    </row>
    <row r="2945" spans="1:264" s="24" customFormat="1" x14ac:dyDescent="0.25">
      <c r="A2945" s="24">
        <v>142</v>
      </c>
      <c r="B2945" s="42" t="s">
        <v>4393</v>
      </c>
      <c r="C2945" s="24" t="s">
        <v>3007</v>
      </c>
      <c r="D2945" s="24" t="s">
        <v>3008</v>
      </c>
      <c r="E2945" s="24">
        <v>2004</v>
      </c>
      <c r="F2945" s="24">
        <v>2001</v>
      </c>
      <c r="G2945" s="24" t="s">
        <v>2738</v>
      </c>
      <c r="H2945" s="24" t="s">
        <v>3009</v>
      </c>
      <c r="I2945" s="24" t="s">
        <v>2857</v>
      </c>
      <c r="J2945" s="24">
        <f>1+12/60</f>
        <v>1.2</v>
      </c>
      <c r="K2945" s="24">
        <f>33+47/60</f>
        <v>33.783333333333331</v>
      </c>
      <c r="L2945" s="24">
        <v>1132</v>
      </c>
      <c r="R2945" s="42" t="s">
        <v>1847</v>
      </c>
      <c r="S2945" s="42" t="s">
        <v>1847</v>
      </c>
      <c r="T2945" s="42"/>
      <c r="U2945" s="42" t="s">
        <v>2859</v>
      </c>
      <c r="V2945" s="42" t="s">
        <v>1382</v>
      </c>
      <c r="W2945" s="42" t="s">
        <v>1717</v>
      </c>
      <c r="X2945" s="42" t="s">
        <v>1382</v>
      </c>
      <c r="Y2945" s="42" t="s">
        <v>1382</v>
      </c>
      <c r="AA2945" s="321">
        <v>60</v>
      </c>
      <c r="AB2945" s="321">
        <v>12</v>
      </c>
      <c r="AC2945" s="24" t="s">
        <v>518</v>
      </c>
      <c r="AD2945" s="24">
        <v>4.8</v>
      </c>
      <c r="AE2945" s="24">
        <v>2.1</v>
      </c>
      <c r="AG2945" s="24" t="s">
        <v>3011</v>
      </c>
      <c r="AH2945" s="24" t="s">
        <v>2742</v>
      </c>
      <c r="AI2945" s="24" t="s">
        <v>577</v>
      </c>
      <c r="AJ2945" s="24" t="s">
        <v>1645</v>
      </c>
      <c r="AK2945" s="24" t="s">
        <v>132</v>
      </c>
      <c r="AT2945" s="24" t="s">
        <v>3012</v>
      </c>
      <c r="AU2945" s="24" t="s">
        <v>3012</v>
      </c>
      <c r="AV2945" s="24" t="s">
        <v>177</v>
      </c>
      <c r="AW2945" s="24" t="s">
        <v>2780</v>
      </c>
      <c r="AX2945" s="24">
        <v>3</v>
      </c>
      <c r="AY2945" s="24">
        <v>3</v>
      </c>
      <c r="AZ2945" s="24" t="s">
        <v>141</v>
      </c>
      <c r="BB2945" s="24">
        <v>10600</v>
      </c>
      <c r="BF2945" s="24">
        <v>1200</v>
      </c>
      <c r="BG2945" s="24">
        <v>1800</v>
      </c>
      <c r="BK2945" s="24">
        <v>800</v>
      </c>
      <c r="BL2945" s="24">
        <v>1500</v>
      </c>
      <c r="BP2945" s="395"/>
      <c r="BQ2945" s="395"/>
      <c r="BU2945" s="395"/>
      <c r="BV2945" s="395"/>
      <c r="BZ2945" s="395"/>
      <c r="CA2945" s="395"/>
      <c r="CE2945" s="548"/>
      <c r="CF2945" s="548"/>
      <c r="CG2945" s="548"/>
      <c r="CH2945" s="548"/>
      <c r="JD2945" s="249"/>
    </row>
    <row r="2946" spans="1:264" s="24" customFormat="1" x14ac:dyDescent="0.25">
      <c r="A2946" s="24">
        <v>142</v>
      </c>
      <c r="B2946" s="42" t="s">
        <v>4393</v>
      </c>
      <c r="C2946" s="24" t="s">
        <v>3007</v>
      </c>
      <c r="D2946" s="24" t="s">
        <v>3008</v>
      </c>
      <c r="E2946" s="24">
        <v>2004</v>
      </c>
      <c r="F2946" s="24">
        <v>2000</v>
      </c>
      <c r="G2946" s="24" t="s">
        <v>2738</v>
      </c>
      <c r="H2946" s="24" t="s">
        <v>3010</v>
      </c>
      <c r="I2946" s="24" t="s">
        <v>2857</v>
      </c>
      <c r="J2946" s="24">
        <f>1+18/60</f>
        <v>1.3</v>
      </c>
      <c r="K2946" s="24">
        <f>34+20/60</f>
        <v>34.333333333333336</v>
      </c>
      <c r="L2946" s="24">
        <v>1430</v>
      </c>
      <c r="R2946" s="42" t="s">
        <v>1977</v>
      </c>
      <c r="S2946" s="42" t="s">
        <v>1847</v>
      </c>
      <c r="T2946" s="42"/>
      <c r="U2946" s="42" t="s">
        <v>2859</v>
      </c>
      <c r="V2946" s="42" t="s">
        <v>1382</v>
      </c>
      <c r="W2946" s="42" t="s">
        <v>1717</v>
      </c>
      <c r="X2946" s="42" t="s">
        <v>1382</v>
      </c>
      <c r="Y2946" s="42" t="s">
        <v>1382</v>
      </c>
      <c r="AA2946" s="321">
        <v>16</v>
      </c>
      <c r="AB2946" s="321">
        <v>26</v>
      </c>
      <c r="AC2946" s="24" t="s">
        <v>796</v>
      </c>
      <c r="AD2946" s="24">
        <v>5.6</v>
      </c>
      <c r="AE2946" s="24">
        <v>5.6</v>
      </c>
      <c r="AG2946" s="24" t="s">
        <v>2629</v>
      </c>
      <c r="AH2946" s="24" t="s">
        <v>2742</v>
      </c>
      <c r="AI2946" s="24" t="s">
        <v>577</v>
      </c>
      <c r="AJ2946" s="24" t="s">
        <v>1645</v>
      </c>
      <c r="AK2946" s="24" t="s">
        <v>132</v>
      </c>
      <c r="AT2946" s="24" t="s">
        <v>3012</v>
      </c>
      <c r="AU2946" s="24" t="s">
        <v>3012</v>
      </c>
      <c r="AV2946" s="24" t="s">
        <v>177</v>
      </c>
      <c r="AW2946" s="24" t="s">
        <v>2780</v>
      </c>
      <c r="AX2946" s="24">
        <v>4</v>
      </c>
      <c r="AY2946" s="24">
        <v>3</v>
      </c>
      <c r="AZ2946" s="24" t="s">
        <v>141</v>
      </c>
      <c r="BB2946" s="24">
        <v>7900</v>
      </c>
      <c r="BF2946" s="24">
        <v>3800</v>
      </c>
      <c r="BG2946" s="24">
        <v>1700</v>
      </c>
      <c r="BJ2946" s="24" t="s">
        <v>3013</v>
      </c>
      <c r="BK2946" s="24">
        <v>900</v>
      </c>
      <c r="BL2946" s="24">
        <v>700</v>
      </c>
      <c r="BP2946" s="395"/>
      <c r="BQ2946" s="395"/>
      <c r="BU2946" s="395"/>
      <c r="BV2946" s="395"/>
      <c r="BZ2946" s="395"/>
      <c r="CA2946" s="395"/>
      <c r="CE2946" s="548"/>
      <c r="CF2946" s="548"/>
      <c r="CG2946" s="548"/>
      <c r="CH2946" s="548"/>
      <c r="JD2946" s="249"/>
    </row>
    <row r="2947" spans="1:264" s="24" customFormat="1" x14ac:dyDescent="0.25">
      <c r="A2947" s="24">
        <v>142</v>
      </c>
      <c r="B2947" s="42" t="s">
        <v>4393</v>
      </c>
      <c r="C2947" s="24" t="s">
        <v>3007</v>
      </c>
      <c r="D2947" s="24" t="s">
        <v>3008</v>
      </c>
      <c r="E2947" s="24">
        <v>2004</v>
      </c>
      <c r="F2947" s="24">
        <v>2001</v>
      </c>
      <c r="G2947" s="24" t="s">
        <v>2738</v>
      </c>
      <c r="H2947" s="24" t="s">
        <v>3010</v>
      </c>
      <c r="I2947" s="24" t="s">
        <v>2857</v>
      </c>
      <c r="J2947" s="24">
        <f>1+18/60</f>
        <v>1.3</v>
      </c>
      <c r="K2947" s="24">
        <f>34+20/60</f>
        <v>34.333333333333336</v>
      </c>
      <c r="L2947" s="24">
        <v>1430</v>
      </c>
      <c r="R2947" s="42" t="s">
        <v>1847</v>
      </c>
      <c r="S2947" s="42" t="s">
        <v>1847</v>
      </c>
      <c r="T2947" s="42"/>
      <c r="U2947" s="42" t="s">
        <v>2859</v>
      </c>
      <c r="V2947" s="42" t="s">
        <v>1382</v>
      </c>
      <c r="W2947" s="42" t="s">
        <v>1717</v>
      </c>
      <c r="X2947" s="42" t="s">
        <v>1382</v>
      </c>
      <c r="Y2947" s="42" t="s">
        <v>1382</v>
      </c>
      <c r="AA2947" s="321">
        <v>16</v>
      </c>
      <c r="AB2947" s="321">
        <v>26</v>
      </c>
      <c r="AC2947" s="24" t="s">
        <v>796</v>
      </c>
      <c r="AD2947" s="24">
        <v>5.6</v>
      </c>
      <c r="AE2947" s="24">
        <v>5.6</v>
      </c>
      <c r="AG2947" s="24" t="s">
        <v>2629</v>
      </c>
      <c r="AH2947" s="24" t="s">
        <v>2742</v>
      </c>
      <c r="AI2947" s="24" t="s">
        <v>577</v>
      </c>
      <c r="AJ2947" s="24" t="s">
        <v>1645</v>
      </c>
      <c r="AK2947" s="24" t="s">
        <v>132</v>
      </c>
      <c r="AT2947" s="24" t="s">
        <v>3012</v>
      </c>
      <c r="AU2947" s="24" t="s">
        <v>3012</v>
      </c>
      <c r="AV2947" s="24" t="s">
        <v>177</v>
      </c>
      <c r="AW2947" s="24" t="s">
        <v>2780</v>
      </c>
      <c r="AX2947" s="24">
        <v>4</v>
      </c>
      <c r="AY2947" s="24">
        <v>3</v>
      </c>
      <c r="AZ2947" s="24" t="s">
        <v>141</v>
      </c>
      <c r="BB2947" s="24">
        <v>7900</v>
      </c>
      <c r="BF2947" s="24">
        <v>5300</v>
      </c>
      <c r="BG2947" s="24">
        <v>13400</v>
      </c>
      <c r="BJ2947" s="24" t="s">
        <v>3013</v>
      </c>
      <c r="BK2947" s="24">
        <v>4500</v>
      </c>
      <c r="BL2947" s="24">
        <v>8000</v>
      </c>
      <c r="BP2947" s="395"/>
      <c r="BQ2947" s="395"/>
      <c r="BU2947" s="395"/>
      <c r="BV2947" s="395"/>
      <c r="BZ2947" s="395"/>
      <c r="CA2947" s="395"/>
      <c r="CE2947" s="548"/>
      <c r="CF2947" s="548"/>
      <c r="CG2947" s="548"/>
      <c r="CH2947" s="548"/>
      <c r="JD2947" s="249"/>
    </row>
    <row r="2948" spans="1:264" s="126" customFormat="1" x14ac:dyDescent="0.25">
      <c r="A2948" s="126">
        <v>143</v>
      </c>
      <c r="B2948" s="478" t="s">
        <v>4394</v>
      </c>
      <c r="C2948" s="126" t="s">
        <v>3014</v>
      </c>
      <c r="D2948" s="126" t="s">
        <v>3015</v>
      </c>
      <c r="E2948" s="126">
        <v>1999</v>
      </c>
      <c r="F2948" s="126">
        <v>1998</v>
      </c>
      <c r="G2948" s="126" t="s">
        <v>3016</v>
      </c>
      <c r="H2948" s="126" t="s">
        <v>3017</v>
      </c>
      <c r="I2948" s="126" t="s">
        <v>2827</v>
      </c>
      <c r="J2948" s="126">
        <f>-15-18.5/60</f>
        <v>-15.308333333333334</v>
      </c>
      <c r="K2948" s="126">
        <f>35+23.5/60</f>
        <v>35.391666666666666</v>
      </c>
      <c r="L2948" s="126">
        <v>785</v>
      </c>
      <c r="P2948" s="126">
        <v>1150</v>
      </c>
      <c r="R2948" s="478" t="s">
        <v>1847</v>
      </c>
      <c r="S2948" s="478" t="s">
        <v>1858</v>
      </c>
      <c r="T2948" s="478"/>
      <c r="U2948" s="478" t="s">
        <v>2013</v>
      </c>
      <c r="V2948" s="478"/>
      <c r="W2948" s="478"/>
      <c r="X2948" s="478"/>
      <c r="Y2948" s="478"/>
      <c r="AA2948" s="479"/>
      <c r="AB2948" s="479"/>
      <c r="AD2948" s="126">
        <f>(5.3+6.5)/2</f>
        <v>5.9</v>
      </c>
      <c r="AG2948" s="126" t="s">
        <v>3018</v>
      </c>
      <c r="AH2948" s="126" t="s">
        <v>2770</v>
      </c>
      <c r="AI2948" s="126" t="s">
        <v>577</v>
      </c>
      <c r="AJ2948" s="126" t="s">
        <v>1645</v>
      </c>
      <c r="AK2948" s="126" t="s">
        <v>132</v>
      </c>
      <c r="AX2948" s="126">
        <v>2</v>
      </c>
      <c r="AZ2948" s="126" t="s">
        <v>2955</v>
      </c>
      <c r="BB2948" s="126">
        <v>2217</v>
      </c>
      <c r="BF2948" s="126">
        <v>1546</v>
      </c>
      <c r="BG2948" s="126">
        <v>1714</v>
      </c>
      <c r="BJ2948" s="126" t="s">
        <v>3019</v>
      </c>
      <c r="BK2948" s="126">
        <v>2032</v>
      </c>
      <c r="BL2948" s="126">
        <v>2937</v>
      </c>
      <c r="BO2948" s="126" t="s">
        <v>3020</v>
      </c>
      <c r="BP2948" s="481"/>
      <c r="BQ2948" s="481"/>
      <c r="BU2948" s="481"/>
      <c r="BV2948" s="481"/>
      <c r="BZ2948" s="481"/>
      <c r="CA2948" s="481"/>
      <c r="CE2948" s="605"/>
      <c r="CF2948" s="605"/>
      <c r="CG2948" s="605"/>
      <c r="CH2948" s="605"/>
      <c r="JD2948" s="480"/>
    </row>
    <row r="2949" spans="1:264" s="126" customFormat="1" x14ac:dyDescent="0.25">
      <c r="A2949" s="126">
        <v>143</v>
      </c>
      <c r="B2949" s="478" t="s">
        <v>4394</v>
      </c>
      <c r="C2949" s="126" t="s">
        <v>3014</v>
      </c>
      <c r="D2949" s="126" t="s">
        <v>3015</v>
      </c>
      <c r="E2949" s="126">
        <v>1999</v>
      </c>
      <c r="F2949" s="126">
        <v>1998</v>
      </c>
      <c r="G2949" s="126" t="s">
        <v>3016</v>
      </c>
      <c r="H2949" s="126" t="s">
        <v>3017</v>
      </c>
      <c r="I2949" s="126" t="s">
        <v>2827</v>
      </c>
      <c r="J2949" s="126">
        <f>-15-18.5/60</f>
        <v>-15.308333333333334</v>
      </c>
      <c r="K2949" s="126">
        <f>35+23.5/60</f>
        <v>35.391666666666666</v>
      </c>
      <c r="L2949" s="126">
        <v>785</v>
      </c>
      <c r="P2949" s="126">
        <v>1150</v>
      </c>
      <c r="R2949" s="478" t="s">
        <v>1847</v>
      </c>
      <c r="S2949" s="478" t="s">
        <v>1858</v>
      </c>
      <c r="T2949" s="478"/>
      <c r="U2949" s="478" t="s">
        <v>2013</v>
      </c>
      <c r="V2949" s="478"/>
      <c r="W2949" s="478"/>
      <c r="X2949" s="478"/>
      <c r="Y2949" s="478"/>
      <c r="AA2949" s="479"/>
      <c r="AB2949" s="479"/>
      <c r="AD2949" s="126">
        <f>(5.3+6.5)/2</f>
        <v>5.9</v>
      </c>
      <c r="AG2949" s="126" t="s">
        <v>3018</v>
      </c>
      <c r="AH2949" s="126" t="s">
        <v>2853</v>
      </c>
      <c r="AI2949" s="126" t="s">
        <v>577</v>
      </c>
      <c r="AJ2949" s="126" t="s">
        <v>1645</v>
      </c>
      <c r="AK2949" s="126" t="s">
        <v>132</v>
      </c>
      <c r="AX2949" s="126">
        <v>2</v>
      </c>
      <c r="AZ2949" s="126" t="s">
        <v>2955</v>
      </c>
      <c r="BB2949" s="126">
        <v>850</v>
      </c>
      <c r="BF2949" s="126">
        <v>1546</v>
      </c>
      <c r="BG2949" s="126">
        <v>1537</v>
      </c>
      <c r="BJ2949" s="126" t="s">
        <v>3019</v>
      </c>
      <c r="BK2949" s="126">
        <v>2032</v>
      </c>
      <c r="BL2949" s="126">
        <v>2952</v>
      </c>
      <c r="BO2949" s="126" t="s">
        <v>3020</v>
      </c>
      <c r="BP2949" s="481"/>
      <c r="BQ2949" s="481"/>
      <c r="BU2949" s="481"/>
      <c r="BV2949" s="481"/>
      <c r="BZ2949" s="481"/>
      <c r="CA2949" s="481"/>
      <c r="CE2949" s="605"/>
      <c r="CF2949" s="605"/>
      <c r="CG2949" s="605"/>
      <c r="CH2949" s="605"/>
      <c r="JD2949" s="480"/>
    </row>
    <row r="2950" spans="1:264" s="126" customFormat="1" x14ac:dyDescent="0.25">
      <c r="A2950" s="126">
        <v>143</v>
      </c>
      <c r="B2950" s="478" t="s">
        <v>4394</v>
      </c>
      <c r="C2950" s="126" t="s">
        <v>3014</v>
      </c>
      <c r="D2950" s="126" t="s">
        <v>3015</v>
      </c>
      <c r="E2950" s="126">
        <v>1999</v>
      </c>
      <c r="F2950" s="126">
        <v>1998</v>
      </c>
      <c r="G2950" s="126" t="s">
        <v>3016</v>
      </c>
      <c r="H2950" s="126" t="s">
        <v>3017</v>
      </c>
      <c r="I2950" s="126" t="s">
        <v>2827</v>
      </c>
      <c r="J2950" s="126">
        <f>-15-18.5/60</f>
        <v>-15.308333333333334</v>
      </c>
      <c r="K2950" s="126">
        <f>35+23.5/60</f>
        <v>35.391666666666666</v>
      </c>
      <c r="L2950" s="126">
        <v>785</v>
      </c>
      <c r="P2950" s="126">
        <v>1150</v>
      </c>
      <c r="R2950" s="478" t="s">
        <v>1847</v>
      </c>
      <c r="S2950" s="478" t="s">
        <v>1858</v>
      </c>
      <c r="T2950" s="478"/>
      <c r="U2950" s="478" t="s">
        <v>2013</v>
      </c>
      <c r="V2950" s="478"/>
      <c r="W2950" s="478"/>
      <c r="X2950" s="478"/>
      <c r="Y2950" s="478"/>
      <c r="AA2950" s="479"/>
      <c r="AB2950" s="479"/>
      <c r="AD2950" s="126">
        <f>(5.3+6.5)/2</f>
        <v>5.9</v>
      </c>
      <c r="AG2950" s="126" t="s">
        <v>3018</v>
      </c>
      <c r="AH2950" s="126" t="s">
        <v>2676</v>
      </c>
      <c r="AI2950" s="126" t="s">
        <v>577</v>
      </c>
      <c r="AJ2950" s="126" t="s">
        <v>1645</v>
      </c>
      <c r="AK2950" s="126" t="s">
        <v>132</v>
      </c>
      <c r="AX2950" s="126">
        <v>2</v>
      </c>
      <c r="AZ2950" s="126" t="s">
        <v>2955</v>
      </c>
      <c r="BB2950" s="126">
        <v>570</v>
      </c>
      <c r="BF2950" s="126">
        <v>1546</v>
      </c>
      <c r="BG2950" s="126">
        <v>1370</v>
      </c>
      <c r="BJ2950" s="126" t="s">
        <v>3019</v>
      </c>
      <c r="BK2950" s="126">
        <v>2032</v>
      </c>
      <c r="BL2950" s="126">
        <v>2122</v>
      </c>
      <c r="BO2950" s="126" t="s">
        <v>3020</v>
      </c>
      <c r="BP2950" s="481"/>
      <c r="BQ2950" s="481"/>
      <c r="BU2950" s="481"/>
      <c r="BV2950" s="481"/>
      <c r="BZ2950" s="481"/>
      <c r="CA2950" s="481"/>
      <c r="CE2950" s="605"/>
      <c r="CF2950" s="605"/>
      <c r="CG2950" s="605"/>
      <c r="CH2950" s="605"/>
      <c r="JD2950" s="480"/>
    </row>
    <row r="2951" spans="1:264" s="24" customFormat="1" x14ac:dyDescent="0.25">
      <c r="A2951" s="24">
        <v>144</v>
      </c>
      <c r="B2951" s="42" t="s">
        <v>4395</v>
      </c>
      <c r="C2951" s="24" t="s">
        <v>3021</v>
      </c>
      <c r="D2951" s="24" t="s">
        <v>3022</v>
      </c>
      <c r="E2951" s="24">
        <v>1992</v>
      </c>
      <c r="F2951" s="24">
        <v>1988</v>
      </c>
      <c r="G2951" s="24" t="s">
        <v>495</v>
      </c>
      <c r="H2951" s="24" t="s">
        <v>3023</v>
      </c>
      <c r="I2951" s="24" t="s">
        <v>2835</v>
      </c>
      <c r="J2951" s="24">
        <f>-2-35/60</f>
        <v>-2.5833333333333335</v>
      </c>
      <c r="K2951" s="24">
        <f>29+45/60</f>
        <v>29.75</v>
      </c>
      <c r="L2951" s="24">
        <v>1700</v>
      </c>
      <c r="P2951" s="24">
        <v>1279</v>
      </c>
      <c r="R2951" s="42" t="s">
        <v>1847</v>
      </c>
      <c r="S2951" s="42" t="s">
        <v>1858</v>
      </c>
      <c r="T2951" s="42"/>
      <c r="U2951" s="42" t="s">
        <v>2007</v>
      </c>
      <c r="V2951" s="42"/>
      <c r="W2951" s="42"/>
      <c r="X2951" s="42"/>
      <c r="Y2951" s="42"/>
      <c r="AA2951" s="321"/>
      <c r="AB2951" s="321"/>
      <c r="AH2951" s="24" t="s">
        <v>3034</v>
      </c>
      <c r="AI2951" s="24" t="s">
        <v>3035</v>
      </c>
      <c r="AJ2951" s="24" t="s">
        <v>3033</v>
      </c>
      <c r="AK2951" s="24" t="s">
        <v>1613</v>
      </c>
      <c r="AW2951" s="24" t="s">
        <v>3026</v>
      </c>
      <c r="BE2951" s="24" t="s">
        <v>3024</v>
      </c>
      <c r="BP2951" s="395"/>
      <c r="BQ2951" s="395"/>
      <c r="BU2951" s="395"/>
      <c r="BV2951" s="395"/>
      <c r="BZ2951" s="395"/>
      <c r="CA2951" s="395"/>
      <c r="CE2951" s="548"/>
      <c r="CF2951" s="548"/>
      <c r="CG2951" s="548"/>
      <c r="CH2951" s="548"/>
      <c r="ER2951" s="24">
        <v>555</v>
      </c>
      <c r="ES2951" s="24">
        <f>AVERAGE(111,17,12,7,6,2,1,1)</f>
        <v>19.625</v>
      </c>
      <c r="EV2951" s="24" t="s">
        <v>3028</v>
      </c>
      <c r="EW2951" s="24">
        <v>15</v>
      </c>
      <c r="EX2951" s="24">
        <f>AVERAGE(6.5,2.8,3.2,2.4,2.7,1.56,1.9,1.73)</f>
        <v>2.8487499999999999</v>
      </c>
      <c r="FA2951" s="24" t="s">
        <v>164</v>
      </c>
      <c r="JD2951" s="249"/>
    </row>
    <row r="2952" spans="1:264" s="24" customFormat="1" x14ac:dyDescent="0.25">
      <c r="A2952" s="24">
        <v>144</v>
      </c>
      <c r="B2952" s="42" t="s">
        <v>4395</v>
      </c>
      <c r="C2952" s="24" t="s">
        <v>3021</v>
      </c>
      <c r="D2952" s="24" t="s">
        <v>3022</v>
      </c>
      <c r="E2952" s="24">
        <v>1992</v>
      </c>
      <c r="F2952" s="24">
        <v>1988</v>
      </c>
      <c r="G2952" s="24" t="s">
        <v>495</v>
      </c>
      <c r="H2952" s="24" t="s">
        <v>3023</v>
      </c>
      <c r="I2952" s="24" t="s">
        <v>2835</v>
      </c>
      <c r="J2952" s="24">
        <f>-2-35/60</f>
        <v>-2.5833333333333335</v>
      </c>
      <c r="K2952" s="24">
        <f>29+45/60</f>
        <v>29.75</v>
      </c>
      <c r="L2952" s="24">
        <v>1700</v>
      </c>
      <c r="P2952" s="24">
        <v>1279</v>
      </c>
      <c r="R2952" s="42" t="s">
        <v>1847</v>
      </c>
      <c r="S2952" s="42" t="s">
        <v>1858</v>
      </c>
      <c r="T2952" s="42"/>
      <c r="U2952" s="42" t="s">
        <v>2007</v>
      </c>
      <c r="V2952" s="42"/>
      <c r="W2952" s="42"/>
      <c r="X2952" s="42"/>
      <c r="Y2952" s="42"/>
      <c r="AA2952" s="321"/>
      <c r="AB2952" s="321"/>
      <c r="AH2952" s="24" t="s">
        <v>3034</v>
      </c>
      <c r="AI2952" s="24" t="s">
        <v>3035</v>
      </c>
      <c r="AJ2952" s="24" t="s">
        <v>3033</v>
      </c>
      <c r="AK2952" s="24" t="s">
        <v>1613</v>
      </c>
      <c r="AW2952" s="24" t="s">
        <v>3027</v>
      </c>
      <c r="BE2952" s="24" t="s">
        <v>3025</v>
      </c>
      <c r="BP2952" s="395"/>
      <c r="BQ2952" s="395"/>
      <c r="BU2952" s="395"/>
      <c r="BV2952" s="395"/>
      <c r="BZ2952" s="395"/>
      <c r="CA2952" s="395"/>
      <c r="CE2952" s="548"/>
      <c r="CF2952" s="548"/>
      <c r="CG2952" s="548"/>
      <c r="CH2952" s="548"/>
      <c r="ER2952" s="24">
        <v>300</v>
      </c>
      <c r="ES2952" s="24">
        <f>AVERAGE(111,17,12,7,6,2,1,1)</f>
        <v>19.625</v>
      </c>
      <c r="EV2952" s="24" t="s">
        <v>3028</v>
      </c>
      <c r="EW2952" s="24">
        <v>9</v>
      </c>
      <c r="EX2952" s="24">
        <f>AVERAGE(6.5,2.8,3.2,2.4,2.7,1.56,1.9,1.73)</f>
        <v>2.8487499999999999</v>
      </c>
      <c r="FA2952" s="24" t="s">
        <v>164</v>
      </c>
      <c r="JD2952" s="249"/>
    </row>
    <row r="2953" spans="1:264" s="126" customFormat="1" x14ac:dyDescent="0.25">
      <c r="A2953" s="126">
        <v>145</v>
      </c>
      <c r="B2953" s="478" t="s">
        <v>4396</v>
      </c>
      <c r="C2953" s="126" t="s">
        <v>3029</v>
      </c>
      <c r="D2953" s="126" t="s">
        <v>3030</v>
      </c>
      <c r="E2953" s="126">
        <v>1994</v>
      </c>
      <c r="F2953" s="126">
        <v>1988</v>
      </c>
      <c r="G2953" s="126" t="s">
        <v>3031</v>
      </c>
      <c r="H2953" s="126" t="s">
        <v>3032</v>
      </c>
      <c r="I2953" s="126" t="s">
        <v>2829</v>
      </c>
      <c r="J2953" s="126">
        <f t="shared" ref="J2953:J2976" si="422">-13-39/60</f>
        <v>-13.65</v>
      </c>
      <c r="K2953" s="126">
        <f t="shared" ref="K2953:K2976" si="423">32+34/60</f>
        <v>32.56666666666667</v>
      </c>
      <c r="L2953" s="126">
        <v>1020</v>
      </c>
      <c r="P2953" s="126">
        <v>900</v>
      </c>
      <c r="R2953" s="478" t="s">
        <v>1977</v>
      </c>
      <c r="S2953" s="478" t="s">
        <v>1858</v>
      </c>
      <c r="T2953" s="478"/>
      <c r="U2953" s="478" t="s">
        <v>3036</v>
      </c>
      <c r="V2953" s="478" t="s">
        <v>1382</v>
      </c>
      <c r="W2953" s="478" t="s">
        <v>1717</v>
      </c>
      <c r="X2953" s="478" t="s">
        <v>1382</v>
      </c>
      <c r="Y2953" s="478" t="s">
        <v>1382</v>
      </c>
      <c r="AA2953" s="479"/>
      <c r="AB2953" s="479"/>
      <c r="AD2953" s="126">
        <v>5</v>
      </c>
      <c r="AE2953" s="126">
        <v>0.5</v>
      </c>
      <c r="AG2953" s="126" t="s">
        <v>3037</v>
      </c>
      <c r="AH2953" s="126" t="s">
        <v>2918</v>
      </c>
      <c r="AI2953" s="126" t="s">
        <v>577</v>
      </c>
      <c r="AJ2953" s="126" t="s">
        <v>1645</v>
      </c>
      <c r="AK2953" s="126" t="s">
        <v>132</v>
      </c>
      <c r="AT2953" s="126" t="s">
        <v>3038</v>
      </c>
      <c r="AU2953" s="126" t="s">
        <v>3038</v>
      </c>
      <c r="AV2953" s="126" t="s">
        <v>177</v>
      </c>
      <c r="AW2953" s="126" t="s">
        <v>160</v>
      </c>
      <c r="AX2953" s="126">
        <v>3</v>
      </c>
      <c r="AZ2953" s="126" t="s">
        <v>141</v>
      </c>
      <c r="BK2953" s="126">
        <v>1600</v>
      </c>
      <c r="BL2953" s="126">
        <v>2300</v>
      </c>
      <c r="BP2953" s="481"/>
      <c r="BQ2953" s="481"/>
      <c r="BU2953" s="481"/>
      <c r="BV2953" s="481"/>
      <c r="BZ2953" s="481"/>
      <c r="CA2953" s="481"/>
      <c r="CE2953" s="605"/>
      <c r="CF2953" s="605"/>
      <c r="CG2953" s="605"/>
      <c r="CH2953" s="605"/>
      <c r="JD2953" s="480"/>
    </row>
    <row r="2954" spans="1:264" s="126" customFormat="1" x14ac:dyDescent="0.25">
      <c r="A2954" s="126">
        <v>145</v>
      </c>
      <c r="B2954" s="478" t="s">
        <v>4397</v>
      </c>
      <c r="C2954" s="126" t="s">
        <v>3029</v>
      </c>
      <c r="D2954" s="126" t="s">
        <v>3030</v>
      </c>
      <c r="E2954" s="126">
        <v>1994</v>
      </c>
      <c r="F2954" s="126">
        <v>1988</v>
      </c>
      <c r="G2954" s="126" t="s">
        <v>3031</v>
      </c>
      <c r="H2954" s="126" t="s">
        <v>3032</v>
      </c>
      <c r="I2954" s="126" t="s">
        <v>2829</v>
      </c>
      <c r="J2954" s="126">
        <f t="shared" si="422"/>
        <v>-13.65</v>
      </c>
      <c r="K2954" s="126">
        <f t="shared" si="423"/>
        <v>32.56666666666667</v>
      </c>
      <c r="L2954" s="126">
        <v>1020</v>
      </c>
      <c r="P2954" s="126">
        <v>900</v>
      </c>
      <c r="R2954" s="478" t="s">
        <v>1977</v>
      </c>
      <c r="S2954" s="478" t="s">
        <v>1858</v>
      </c>
      <c r="T2954" s="478"/>
      <c r="U2954" s="478" t="s">
        <v>3036</v>
      </c>
      <c r="V2954" s="478" t="s">
        <v>1382</v>
      </c>
      <c r="W2954" s="478" t="s">
        <v>1717</v>
      </c>
      <c r="X2954" s="478" t="s">
        <v>1382</v>
      </c>
      <c r="Y2954" s="478" t="s">
        <v>1382</v>
      </c>
      <c r="AA2954" s="479"/>
      <c r="AB2954" s="479"/>
      <c r="AD2954" s="126">
        <v>5</v>
      </c>
      <c r="AE2954" s="126">
        <v>0.5</v>
      </c>
      <c r="AG2954" s="126" t="s">
        <v>3037</v>
      </c>
      <c r="AH2954" s="126" t="s">
        <v>2918</v>
      </c>
      <c r="AI2954" s="126" t="s">
        <v>577</v>
      </c>
      <c r="AJ2954" s="126" t="s">
        <v>1645</v>
      </c>
      <c r="AK2954" s="126" t="s">
        <v>132</v>
      </c>
      <c r="AT2954" s="126" t="s">
        <v>3039</v>
      </c>
      <c r="AU2954" s="126" t="s">
        <v>3039</v>
      </c>
      <c r="AV2954" s="126" t="s">
        <v>177</v>
      </c>
      <c r="AW2954" s="126" t="s">
        <v>160</v>
      </c>
      <c r="AX2954" s="126">
        <v>3</v>
      </c>
      <c r="AZ2954" s="126" t="s">
        <v>141</v>
      </c>
      <c r="BK2954" s="126">
        <v>3900</v>
      </c>
      <c r="BL2954" s="126">
        <v>3800</v>
      </c>
      <c r="BP2954" s="481"/>
      <c r="BQ2954" s="481"/>
      <c r="BU2954" s="481"/>
      <c r="BV2954" s="481"/>
      <c r="BZ2954" s="481"/>
      <c r="CA2954" s="481"/>
      <c r="CE2954" s="605"/>
      <c r="CF2954" s="605"/>
      <c r="CG2954" s="605"/>
      <c r="CH2954" s="605"/>
      <c r="JD2954" s="480"/>
    </row>
    <row r="2955" spans="1:264" s="126" customFormat="1" x14ac:dyDescent="0.25">
      <c r="A2955" s="126">
        <v>145</v>
      </c>
      <c r="B2955" s="478" t="s">
        <v>4398</v>
      </c>
      <c r="C2955" s="126" t="s">
        <v>3029</v>
      </c>
      <c r="D2955" s="126" t="s">
        <v>3030</v>
      </c>
      <c r="E2955" s="126">
        <v>1994</v>
      </c>
      <c r="F2955" s="126">
        <v>1988</v>
      </c>
      <c r="G2955" s="126" t="s">
        <v>3031</v>
      </c>
      <c r="H2955" s="126" t="s">
        <v>3032</v>
      </c>
      <c r="I2955" s="126" t="s">
        <v>2829</v>
      </c>
      <c r="J2955" s="126">
        <f t="shared" si="422"/>
        <v>-13.65</v>
      </c>
      <c r="K2955" s="126">
        <f t="shared" si="423"/>
        <v>32.56666666666667</v>
      </c>
      <c r="L2955" s="126">
        <v>1020</v>
      </c>
      <c r="P2955" s="126">
        <v>900</v>
      </c>
      <c r="R2955" s="478" t="s">
        <v>1977</v>
      </c>
      <c r="S2955" s="478" t="s">
        <v>1858</v>
      </c>
      <c r="T2955" s="478"/>
      <c r="U2955" s="478" t="s">
        <v>3036</v>
      </c>
      <c r="V2955" s="478" t="s">
        <v>1382</v>
      </c>
      <c r="W2955" s="478" t="s">
        <v>1717</v>
      </c>
      <c r="X2955" s="478" t="s">
        <v>1382</v>
      </c>
      <c r="Y2955" s="478" t="s">
        <v>1382</v>
      </c>
      <c r="AA2955" s="479"/>
      <c r="AB2955" s="479"/>
      <c r="AD2955" s="126">
        <v>5</v>
      </c>
      <c r="AE2955" s="126">
        <v>0.5</v>
      </c>
      <c r="AG2955" s="126" t="s">
        <v>3037</v>
      </c>
      <c r="AH2955" s="126" t="s">
        <v>2918</v>
      </c>
      <c r="AI2955" s="126" t="s">
        <v>577</v>
      </c>
      <c r="AJ2955" s="126" t="s">
        <v>1645</v>
      </c>
      <c r="AK2955" s="126" t="s">
        <v>132</v>
      </c>
      <c r="AT2955" s="126" t="s">
        <v>3040</v>
      </c>
      <c r="AU2955" s="126" t="s">
        <v>3040</v>
      </c>
      <c r="AV2955" s="126" t="s">
        <v>177</v>
      </c>
      <c r="AW2955" s="126" t="s">
        <v>160</v>
      </c>
      <c r="AX2955" s="126">
        <v>3</v>
      </c>
      <c r="AZ2955" s="126" t="s">
        <v>141</v>
      </c>
      <c r="BK2955" s="126">
        <v>4700</v>
      </c>
      <c r="BL2955" s="126">
        <v>5400</v>
      </c>
      <c r="BP2955" s="481"/>
      <c r="BQ2955" s="481"/>
      <c r="BU2955" s="481"/>
      <c r="BV2955" s="481"/>
      <c r="BZ2955" s="481"/>
      <c r="CA2955" s="481"/>
      <c r="CE2955" s="605"/>
      <c r="CF2955" s="605"/>
      <c r="CG2955" s="605"/>
      <c r="CH2955" s="605"/>
      <c r="JD2955" s="480"/>
    </row>
    <row r="2956" spans="1:264" s="126" customFormat="1" x14ac:dyDescent="0.25">
      <c r="A2956" s="126">
        <v>145</v>
      </c>
      <c r="B2956" s="478" t="s">
        <v>4399</v>
      </c>
      <c r="C2956" s="126" t="s">
        <v>3029</v>
      </c>
      <c r="D2956" s="126" t="s">
        <v>3030</v>
      </c>
      <c r="E2956" s="126">
        <v>1994</v>
      </c>
      <c r="F2956" s="126">
        <v>1988</v>
      </c>
      <c r="G2956" s="126" t="s">
        <v>3031</v>
      </c>
      <c r="H2956" s="126" t="s">
        <v>3032</v>
      </c>
      <c r="I2956" s="126" t="s">
        <v>2829</v>
      </c>
      <c r="J2956" s="126">
        <f t="shared" si="422"/>
        <v>-13.65</v>
      </c>
      <c r="K2956" s="126">
        <f t="shared" si="423"/>
        <v>32.56666666666667</v>
      </c>
      <c r="L2956" s="126">
        <v>1020</v>
      </c>
      <c r="P2956" s="126">
        <v>900</v>
      </c>
      <c r="R2956" s="478" t="s">
        <v>1977</v>
      </c>
      <c r="S2956" s="478" t="s">
        <v>1858</v>
      </c>
      <c r="T2956" s="478"/>
      <c r="U2956" s="478" t="s">
        <v>3036</v>
      </c>
      <c r="V2956" s="478" t="s">
        <v>1382</v>
      </c>
      <c r="W2956" s="478" t="s">
        <v>1717</v>
      </c>
      <c r="X2956" s="478" t="s">
        <v>1382</v>
      </c>
      <c r="Y2956" s="478" t="s">
        <v>1382</v>
      </c>
      <c r="AA2956" s="479"/>
      <c r="AB2956" s="479"/>
      <c r="AD2956" s="126">
        <v>5</v>
      </c>
      <c r="AE2956" s="126">
        <v>0.5</v>
      </c>
      <c r="AG2956" s="126" t="s">
        <v>3037</v>
      </c>
      <c r="AH2956" s="126" t="s">
        <v>2918</v>
      </c>
      <c r="AI2956" s="126" t="s">
        <v>577</v>
      </c>
      <c r="AJ2956" s="126" t="s">
        <v>1645</v>
      </c>
      <c r="AK2956" s="126" t="s">
        <v>132</v>
      </c>
      <c r="AT2956" s="126" t="s">
        <v>3041</v>
      </c>
      <c r="AU2956" s="126" t="s">
        <v>3041</v>
      </c>
      <c r="AV2956" s="126" t="s">
        <v>177</v>
      </c>
      <c r="AW2956" s="126" t="s">
        <v>160</v>
      </c>
      <c r="AX2956" s="126">
        <v>3</v>
      </c>
      <c r="AZ2956" s="126" t="s">
        <v>141</v>
      </c>
      <c r="BK2956" s="126">
        <v>6100</v>
      </c>
      <c r="BL2956" s="126">
        <v>6700</v>
      </c>
      <c r="BP2956" s="481"/>
      <c r="BQ2956" s="481"/>
      <c r="BU2956" s="481"/>
      <c r="BV2956" s="481"/>
      <c r="BZ2956" s="481"/>
      <c r="CA2956" s="481"/>
      <c r="CE2956" s="605"/>
      <c r="CF2956" s="605"/>
      <c r="CG2956" s="605"/>
      <c r="CH2956" s="605"/>
      <c r="JD2956" s="480"/>
    </row>
    <row r="2957" spans="1:264" s="36" customFormat="1" x14ac:dyDescent="0.25">
      <c r="A2957" s="36">
        <v>145</v>
      </c>
      <c r="B2957" s="51" t="s">
        <v>4396</v>
      </c>
      <c r="C2957" s="36" t="s">
        <v>3029</v>
      </c>
      <c r="D2957" s="36" t="s">
        <v>3030</v>
      </c>
      <c r="E2957" s="36">
        <v>1994</v>
      </c>
      <c r="F2957" s="36">
        <v>1989</v>
      </c>
      <c r="G2957" s="36" t="s">
        <v>3031</v>
      </c>
      <c r="H2957" s="36" t="s">
        <v>3032</v>
      </c>
      <c r="I2957" s="36" t="s">
        <v>2829</v>
      </c>
      <c r="J2957" s="36">
        <f t="shared" si="422"/>
        <v>-13.65</v>
      </c>
      <c r="K2957" s="36">
        <f t="shared" si="423"/>
        <v>32.56666666666667</v>
      </c>
      <c r="L2957" s="36">
        <v>1020</v>
      </c>
      <c r="P2957" s="36">
        <v>900</v>
      </c>
      <c r="R2957" s="51" t="s">
        <v>1847</v>
      </c>
      <c r="S2957" s="51" t="s">
        <v>1858</v>
      </c>
      <c r="T2957" s="51"/>
      <c r="U2957" s="51" t="s">
        <v>3036</v>
      </c>
      <c r="V2957" s="51" t="s">
        <v>1382</v>
      </c>
      <c r="W2957" s="51" t="s">
        <v>1717</v>
      </c>
      <c r="X2957" s="51" t="s">
        <v>1382</v>
      </c>
      <c r="Y2957" s="51" t="s">
        <v>1382</v>
      </c>
      <c r="AA2957" s="331"/>
      <c r="AB2957" s="331"/>
      <c r="AD2957" s="36">
        <v>5</v>
      </c>
      <c r="AE2957" s="36">
        <v>0.5</v>
      </c>
      <c r="AG2957" s="36" t="s">
        <v>3037</v>
      </c>
      <c r="AH2957" s="36" t="s">
        <v>2918</v>
      </c>
      <c r="AI2957" s="36" t="s">
        <v>577</v>
      </c>
      <c r="AJ2957" s="36" t="s">
        <v>1645</v>
      </c>
      <c r="AK2957" s="36" t="s">
        <v>132</v>
      </c>
      <c r="AT2957" s="36" t="s">
        <v>3038</v>
      </c>
      <c r="AU2957" s="36" t="s">
        <v>3038</v>
      </c>
      <c r="AV2957" s="36" t="s">
        <v>177</v>
      </c>
      <c r="AW2957" s="36" t="s">
        <v>160</v>
      </c>
      <c r="AX2957" s="36">
        <v>3</v>
      </c>
      <c r="AZ2957" s="36" t="s">
        <v>141</v>
      </c>
      <c r="BK2957" s="36">
        <v>1200</v>
      </c>
      <c r="BL2957" s="36">
        <v>3800</v>
      </c>
      <c r="BP2957" s="407"/>
      <c r="BQ2957" s="407"/>
      <c r="BU2957" s="407"/>
      <c r="BV2957" s="407"/>
      <c r="BZ2957" s="407"/>
      <c r="CA2957" s="407"/>
      <c r="CE2957" s="560"/>
      <c r="CF2957" s="560"/>
      <c r="CG2957" s="560"/>
      <c r="CH2957" s="560"/>
      <c r="JD2957" s="230"/>
    </row>
    <row r="2958" spans="1:264" s="36" customFormat="1" x14ac:dyDescent="0.25">
      <c r="A2958" s="36">
        <v>145</v>
      </c>
      <c r="B2958" s="51" t="s">
        <v>4397</v>
      </c>
      <c r="C2958" s="36" t="s">
        <v>3029</v>
      </c>
      <c r="D2958" s="36" t="s">
        <v>3030</v>
      </c>
      <c r="E2958" s="36">
        <v>1994</v>
      </c>
      <c r="F2958" s="36">
        <v>1989</v>
      </c>
      <c r="G2958" s="36" t="s">
        <v>3031</v>
      </c>
      <c r="H2958" s="36" t="s">
        <v>3032</v>
      </c>
      <c r="I2958" s="36" t="s">
        <v>2829</v>
      </c>
      <c r="J2958" s="36">
        <f t="shared" si="422"/>
        <v>-13.65</v>
      </c>
      <c r="K2958" s="36">
        <f t="shared" si="423"/>
        <v>32.56666666666667</v>
      </c>
      <c r="L2958" s="36">
        <v>1020</v>
      </c>
      <c r="P2958" s="36">
        <v>900</v>
      </c>
      <c r="R2958" s="51" t="s">
        <v>1847</v>
      </c>
      <c r="S2958" s="51" t="s">
        <v>1858</v>
      </c>
      <c r="T2958" s="51"/>
      <c r="U2958" s="51" t="s">
        <v>3036</v>
      </c>
      <c r="V2958" s="51" t="s">
        <v>1382</v>
      </c>
      <c r="W2958" s="51" t="s">
        <v>1717</v>
      </c>
      <c r="X2958" s="51" t="s">
        <v>1382</v>
      </c>
      <c r="Y2958" s="51" t="s">
        <v>1382</v>
      </c>
      <c r="AA2958" s="331"/>
      <c r="AB2958" s="331"/>
      <c r="AD2958" s="36">
        <v>5</v>
      </c>
      <c r="AE2958" s="36">
        <v>0.5</v>
      </c>
      <c r="AG2958" s="36" t="s">
        <v>3037</v>
      </c>
      <c r="AH2958" s="36" t="s">
        <v>2918</v>
      </c>
      <c r="AI2958" s="36" t="s">
        <v>577</v>
      </c>
      <c r="AJ2958" s="36" t="s">
        <v>1645</v>
      </c>
      <c r="AK2958" s="36" t="s">
        <v>132</v>
      </c>
      <c r="AT2958" s="36" t="s">
        <v>3039</v>
      </c>
      <c r="AU2958" s="36" t="s">
        <v>3039</v>
      </c>
      <c r="AV2958" s="36" t="s">
        <v>177</v>
      </c>
      <c r="AW2958" s="36" t="s">
        <v>160</v>
      </c>
      <c r="AX2958" s="36">
        <v>3</v>
      </c>
      <c r="AZ2958" s="36" t="s">
        <v>141</v>
      </c>
      <c r="BK2958" s="36">
        <v>3200</v>
      </c>
      <c r="BL2958" s="36">
        <v>4600</v>
      </c>
      <c r="BP2958" s="407"/>
      <c r="BQ2958" s="407"/>
      <c r="BU2958" s="407"/>
      <c r="BV2958" s="407"/>
      <c r="BZ2958" s="407"/>
      <c r="CA2958" s="407"/>
      <c r="CE2958" s="560"/>
      <c r="CF2958" s="560"/>
      <c r="CG2958" s="560"/>
      <c r="CH2958" s="560"/>
      <c r="JD2958" s="230"/>
    </row>
    <row r="2959" spans="1:264" s="36" customFormat="1" x14ac:dyDescent="0.25">
      <c r="A2959" s="36">
        <v>145</v>
      </c>
      <c r="B2959" s="51" t="s">
        <v>4398</v>
      </c>
      <c r="C2959" s="36" t="s">
        <v>3029</v>
      </c>
      <c r="D2959" s="36" t="s">
        <v>3030</v>
      </c>
      <c r="E2959" s="36">
        <v>1994</v>
      </c>
      <c r="F2959" s="36">
        <v>1989</v>
      </c>
      <c r="G2959" s="36" t="s">
        <v>3031</v>
      </c>
      <c r="H2959" s="36" t="s">
        <v>3032</v>
      </c>
      <c r="I2959" s="36" t="s">
        <v>2829</v>
      </c>
      <c r="J2959" s="36">
        <f t="shared" si="422"/>
        <v>-13.65</v>
      </c>
      <c r="K2959" s="36">
        <f t="shared" si="423"/>
        <v>32.56666666666667</v>
      </c>
      <c r="L2959" s="36">
        <v>1020</v>
      </c>
      <c r="P2959" s="36">
        <v>900</v>
      </c>
      <c r="R2959" s="51" t="s">
        <v>1847</v>
      </c>
      <c r="S2959" s="51" t="s">
        <v>1858</v>
      </c>
      <c r="T2959" s="51"/>
      <c r="U2959" s="51" t="s">
        <v>3036</v>
      </c>
      <c r="V2959" s="51" t="s">
        <v>1382</v>
      </c>
      <c r="W2959" s="51" t="s">
        <v>1717</v>
      </c>
      <c r="X2959" s="51" t="s">
        <v>1382</v>
      </c>
      <c r="Y2959" s="51" t="s">
        <v>1382</v>
      </c>
      <c r="AA2959" s="331"/>
      <c r="AB2959" s="331"/>
      <c r="AD2959" s="36">
        <v>5</v>
      </c>
      <c r="AE2959" s="36">
        <v>0.5</v>
      </c>
      <c r="AG2959" s="36" t="s">
        <v>3037</v>
      </c>
      <c r="AH2959" s="36" t="s">
        <v>2918</v>
      </c>
      <c r="AI2959" s="36" t="s">
        <v>577</v>
      </c>
      <c r="AJ2959" s="36" t="s">
        <v>1645</v>
      </c>
      <c r="AK2959" s="36" t="s">
        <v>132</v>
      </c>
      <c r="AT2959" s="36" t="s">
        <v>3040</v>
      </c>
      <c r="AU2959" s="36" t="s">
        <v>3040</v>
      </c>
      <c r="AV2959" s="36" t="s">
        <v>177</v>
      </c>
      <c r="AW2959" s="36" t="s">
        <v>160</v>
      </c>
      <c r="AX2959" s="36">
        <v>3</v>
      </c>
      <c r="AZ2959" s="36" t="s">
        <v>141</v>
      </c>
      <c r="BK2959" s="36">
        <v>4200</v>
      </c>
      <c r="BL2959" s="36">
        <v>5100</v>
      </c>
      <c r="BP2959" s="407"/>
      <c r="BQ2959" s="407"/>
      <c r="BU2959" s="407"/>
      <c r="BV2959" s="407"/>
      <c r="BZ2959" s="407"/>
      <c r="CA2959" s="407"/>
      <c r="CE2959" s="560"/>
      <c r="CF2959" s="560"/>
      <c r="CG2959" s="560"/>
      <c r="CH2959" s="560"/>
      <c r="JD2959" s="230"/>
    </row>
    <row r="2960" spans="1:264" s="36" customFormat="1" x14ac:dyDescent="0.25">
      <c r="A2960" s="36">
        <v>145</v>
      </c>
      <c r="B2960" s="51" t="s">
        <v>4399</v>
      </c>
      <c r="C2960" s="36" t="s">
        <v>3029</v>
      </c>
      <c r="D2960" s="36" t="s">
        <v>3030</v>
      </c>
      <c r="E2960" s="36">
        <v>1994</v>
      </c>
      <c r="F2960" s="36">
        <v>1989</v>
      </c>
      <c r="G2960" s="36" t="s">
        <v>3031</v>
      </c>
      <c r="H2960" s="36" t="s">
        <v>3032</v>
      </c>
      <c r="I2960" s="36" t="s">
        <v>2829</v>
      </c>
      <c r="J2960" s="36">
        <f t="shared" si="422"/>
        <v>-13.65</v>
      </c>
      <c r="K2960" s="36">
        <f t="shared" si="423"/>
        <v>32.56666666666667</v>
      </c>
      <c r="L2960" s="36">
        <v>1020</v>
      </c>
      <c r="P2960" s="36">
        <v>900</v>
      </c>
      <c r="R2960" s="51" t="s">
        <v>1847</v>
      </c>
      <c r="S2960" s="51" t="s">
        <v>1858</v>
      </c>
      <c r="T2960" s="51"/>
      <c r="U2960" s="51" t="s">
        <v>3036</v>
      </c>
      <c r="V2960" s="51" t="s">
        <v>1382</v>
      </c>
      <c r="W2960" s="51" t="s">
        <v>1717</v>
      </c>
      <c r="X2960" s="51" t="s">
        <v>1382</v>
      </c>
      <c r="Y2960" s="51" t="s">
        <v>1382</v>
      </c>
      <c r="AA2960" s="331"/>
      <c r="AB2960" s="331"/>
      <c r="AD2960" s="36">
        <v>5</v>
      </c>
      <c r="AE2960" s="36">
        <v>0.5</v>
      </c>
      <c r="AG2960" s="36" t="s">
        <v>3037</v>
      </c>
      <c r="AH2960" s="36" t="s">
        <v>2918</v>
      </c>
      <c r="AI2960" s="36" t="s">
        <v>577</v>
      </c>
      <c r="AJ2960" s="36" t="s">
        <v>1645</v>
      </c>
      <c r="AK2960" s="36" t="s">
        <v>132</v>
      </c>
      <c r="AT2960" s="36" t="s">
        <v>3041</v>
      </c>
      <c r="AU2960" s="36" t="s">
        <v>3041</v>
      </c>
      <c r="AV2960" s="36" t="s">
        <v>177</v>
      </c>
      <c r="AW2960" s="36" t="s">
        <v>160</v>
      </c>
      <c r="AX2960" s="36">
        <v>3</v>
      </c>
      <c r="AZ2960" s="36" t="s">
        <v>141</v>
      </c>
      <c r="BK2960" s="36">
        <v>4900</v>
      </c>
      <c r="BL2960" s="36">
        <v>6000</v>
      </c>
      <c r="BP2960" s="407"/>
      <c r="BQ2960" s="407"/>
      <c r="BU2960" s="407"/>
      <c r="BV2960" s="407"/>
      <c r="BZ2960" s="407"/>
      <c r="CA2960" s="407"/>
      <c r="CE2960" s="560"/>
      <c r="CF2960" s="560"/>
      <c r="CG2960" s="560"/>
      <c r="CH2960" s="560"/>
      <c r="JD2960" s="230"/>
    </row>
    <row r="2961" spans="1:264" s="36" customFormat="1" x14ac:dyDescent="0.25">
      <c r="A2961" s="36">
        <v>145</v>
      </c>
      <c r="B2961" s="51" t="s">
        <v>4396</v>
      </c>
      <c r="C2961" s="36" t="s">
        <v>3029</v>
      </c>
      <c r="D2961" s="36" t="s">
        <v>3030</v>
      </c>
      <c r="E2961" s="36">
        <v>1994</v>
      </c>
      <c r="F2961" s="36">
        <v>1989</v>
      </c>
      <c r="G2961" s="36" t="s">
        <v>3031</v>
      </c>
      <c r="H2961" s="36" t="s">
        <v>3032</v>
      </c>
      <c r="I2961" s="36" t="s">
        <v>2829</v>
      </c>
      <c r="J2961" s="36">
        <f t="shared" si="422"/>
        <v>-13.65</v>
      </c>
      <c r="K2961" s="36">
        <f t="shared" si="423"/>
        <v>32.56666666666667</v>
      </c>
      <c r="L2961" s="36">
        <v>1020</v>
      </c>
      <c r="P2961" s="36">
        <v>900</v>
      </c>
      <c r="R2961" s="51" t="s">
        <v>1847</v>
      </c>
      <c r="S2961" s="51" t="s">
        <v>1858</v>
      </c>
      <c r="T2961" s="51"/>
      <c r="U2961" s="51" t="s">
        <v>3036</v>
      </c>
      <c r="V2961" s="51" t="s">
        <v>1382</v>
      </c>
      <c r="W2961" s="51" t="s">
        <v>1717</v>
      </c>
      <c r="X2961" s="51" t="s">
        <v>1382</v>
      </c>
      <c r="Y2961" s="51" t="s">
        <v>1382</v>
      </c>
      <c r="AA2961" s="331"/>
      <c r="AB2961" s="331"/>
      <c r="AD2961" s="36">
        <v>5</v>
      </c>
      <c r="AE2961" s="36">
        <v>0.5</v>
      </c>
      <c r="AG2961" s="36" t="s">
        <v>3037</v>
      </c>
      <c r="AH2961" s="36" t="s">
        <v>2918</v>
      </c>
      <c r="AI2961" s="36" t="s">
        <v>577</v>
      </c>
      <c r="AJ2961" s="36" t="s">
        <v>1645</v>
      </c>
      <c r="AK2961" s="36" t="s">
        <v>132</v>
      </c>
      <c r="AT2961" s="36" t="s">
        <v>3038</v>
      </c>
      <c r="AU2961" s="36" t="s">
        <v>3038</v>
      </c>
      <c r="AV2961" s="36" t="s">
        <v>177</v>
      </c>
      <c r="AW2961" s="36" t="s">
        <v>160</v>
      </c>
      <c r="AX2961" s="36">
        <v>3</v>
      </c>
      <c r="AZ2961" s="36" t="s">
        <v>141</v>
      </c>
      <c r="BK2961" s="36">
        <v>1200</v>
      </c>
      <c r="BL2961" s="36">
        <v>5000</v>
      </c>
      <c r="BP2961" s="407"/>
      <c r="BQ2961" s="407"/>
      <c r="BU2961" s="407"/>
      <c r="BV2961" s="407"/>
      <c r="BZ2961" s="407"/>
      <c r="CA2961" s="407"/>
      <c r="CE2961" s="560"/>
      <c r="CF2961" s="560"/>
      <c r="CG2961" s="560"/>
      <c r="CH2961" s="560"/>
      <c r="JD2961" s="230"/>
    </row>
    <row r="2962" spans="1:264" s="36" customFormat="1" x14ac:dyDescent="0.25">
      <c r="A2962" s="36">
        <v>145</v>
      </c>
      <c r="B2962" s="51" t="s">
        <v>4397</v>
      </c>
      <c r="C2962" s="36" t="s">
        <v>3029</v>
      </c>
      <c r="D2962" s="36" t="s">
        <v>3030</v>
      </c>
      <c r="E2962" s="36">
        <v>1994</v>
      </c>
      <c r="F2962" s="36">
        <v>1989</v>
      </c>
      <c r="G2962" s="36" t="s">
        <v>3031</v>
      </c>
      <c r="H2962" s="36" t="s">
        <v>3032</v>
      </c>
      <c r="I2962" s="36" t="s">
        <v>2829</v>
      </c>
      <c r="J2962" s="36">
        <f t="shared" si="422"/>
        <v>-13.65</v>
      </c>
      <c r="K2962" s="36">
        <f t="shared" si="423"/>
        <v>32.56666666666667</v>
      </c>
      <c r="L2962" s="36">
        <v>1020</v>
      </c>
      <c r="P2962" s="36">
        <v>900</v>
      </c>
      <c r="R2962" s="51" t="s">
        <v>1847</v>
      </c>
      <c r="S2962" s="51" t="s">
        <v>1858</v>
      </c>
      <c r="T2962" s="51"/>
      <c r="U2962" s="51" t="s">
        <v>3036</v>
      </c>
      <c r="V2962" s="51" t="s">
        <v>1382</v>
      </c>
      <c r="W2962" s="51" t="s">
        <v>1717</v>
      </c>
      <c r="X2962" s="51" t="s">
        <v>1382</v>
      </c>
      <c r="Y2962" s="51" t="s">
        <v>1382</v>
      </c>
      <c r="AA2962" s="331"/>
      <c r="AB2962" s="331"/>
      <c r="AD2962" s="36">
        <v>5</v>
      </c>
      <c r="AE2962" s="36">
        <v>0.5</v>
      </c>
      <c r="AG2962" s="36" t="s">
        <v>3037</v>
      </c>
      <c r="AH2962" s="36" t="s">
        <v>2918</v>
      </c>
      <c r="AI2962" s="36" t="s">
        <v>577</v>
      </c>
      <c r="AJ2962" s="36" t="s">
        <v>1645</v>
      </c>
      <c r="AK2962" s="36" t="s">
        <v>132</v>
      </c>
      <c r="AT2962" s="36" t="s">
        <v>3039</v>
      </c>
      <c r="AU2962" s="36" t="s">
        <v>3039</v>
      </c>
      <c r="AV2962" s="36" t="s">
        <v>177</v>
      </c>
      <c r="AW2962" s="36" t="s">
        <v>160</v>
      </c>
      <c r="AX2962" s="36">
        <v>3</v>
      </c>
      <c r="AZ2962" s="36" t="s">
        <v>141</v>
      </c>
      <c r="BK2962" s="36">
        <v>3200</v>
      </c>
      <c r="BL2962" s="36">
        <v>5800</v>
      </c>
      <c r="BP2962" s="407"/>
      <c r="BQ2962" s="407"/>
      <c r="BU2962" s="407"/>
      <c r="BV2962" s="407"/>
      <c r="BZ2962" s="407"/>
      <c r="CA2962" s="407"/>
      <c r="CE2962" s="560"/>
      <c r="CF2962" s="560"/>
      <c r="CG2962" s="560"/>
      <c r="CH2962" s="560"/>
      <c r="JD2962" s="230"/>
    </row>
    <row r="2963" spans="1:264" s="36" customFormat="1" x14ac:dyDescent="0.25">
      <c r="A2963" s="36">
        <v>145</v>
      </c>
      <c r="B2963" s="51" t="s">
        <v>4398</v>
      </c>
      <c r="C2963" s="36" t="s">
        <v>3029</v>
      </c>
      <c r="D2963" s="36" t="s">
        <v>3030</v>
      </c>
      <c r="E2963" s="36">
        <v>1994</v>
      </c>
      <c r="F2963" s="36">
        <v>1989</v>
      </c>
      <c r="G2963" s="36" t="s">
        <v>3031</v>
      </c>
      <c r="H2963" s="36" t="s">
        <v>3032</v>
      </c>
      <c r="I2963" s="36" t="s">
        <v>2829</v>
      </c>
      <c r="J2963" s="36">
        <f t="shared" si="422"/>
        <v>-13.65</v>
      </c>
      <c r="K2963" s="36">
        <f t="shared" si="423"/>
        <v>32.56666666666667</v>
      </c>
      <c r="L2963" s="36">
        <v>1020</v>
      </c>
      <c r="P2963" s="36">
        <v>900</v>
      </c>
      <c r="R2963" s="51" t="s">
        <v>1847</v>
      </c>
      <c r="S2963" s="51" t="s">
        <v>1858</v>
      </c>
      <c r="T2963" s="51"/>
      <c r="U2963" s="51" t="s">
        <v>3036</v>
      </c>
      <c r="V2963" s="51" t="s">
        <v>1382</v>
      </c>
      <c r="W2963" s="51" t="s">
        <v>1717</v>
      </c>
      <c r="X2963" s="51" t="s">
        <v>1382</v>
      </c>
      <c r="Y2963" s="51" t="s">
        <v>1382</v>
      </c>
      <c r="AA2963" s="331"/>
      <c r="AB2963" s="331"/>
      <c r="AD2963" s="36">
        <v>5</v>
      </c>
      <c r="AE2963" s="36">
        <v>0.5</v>
      </c>
      <c r="AG2963" s="36" t="s">
        <v>3037</v>
      </c>
      <c r="AH2963" s="36" t="s">
        <v>2918</v>
      </c>
      <c r="AI2963" s="36" t="s">
        <v>577</v>
      </c>
      <c r="AJ2963" s="36" t="s">
        <v>1645</v>
      </c>
      <c r="AK2963" s="36" t="s">
        <v>132</v>
      </c>
      <c r="AT2963" s="36" t="s">
        <v>3040</v>
      </c>
      <c r="AU2963" s="36" t="s">
        <v>3040</v>
      </c>
      <c r="AV2963" s="36" t="s">
        <v>177</v>
      </c>
      <c r="AW2963" s="36" t="s">
        <v>160</v>
      </c>
      <c r="AX2963" s="36">
        <v>3</v>
      </c>
      <c r="AZ2963" s="36" t="s">
        <v>141</v>
      </c>
      <c r="BK2963" s="36">
        <v>4200</v>
      </c>
      <c r="BL2963" s="36">
        <v>6300</v>
      </c>
      <c r="BP2963" s="407"/>
      <c r="BQ2963" s="407"/>
      <c r="BU2963" s="407"/>
      <c r="BV2963" s="407"/>
      <c r="BZ2963" s="407"/>
      <c r="CA2963" s="407"/>
      <c r="CE2963" s="560"/>
      <c r="CF2963" s="560"/>
      <c r="CG2963" s="560"/>
      <c r="CH2963" s="560"/>
      <c r="JD2963" s="230"/>
    </row>
    <row r="2964" spans="1:264" s="36" customFormat="1" x14ac:dyDescent="0.25">
      <c r="A2964" s="36">
        <v>145</v>
      </c>
      <c r="B2964" s="51" t="s">
        <v>4399</v>
      </c>
      <c r="C2964" s="36" t="s">
        <v>3029</v>
      </c>
      <c r="D2964" s="36" t="s">
        <v>3030</v>
      </c>
      <c r="E2964" s="36">
        <v>1994</v>
      </c>
      <c r="F2964" s="36">
        <v>1989</v>
      </c>
      <c r="G2964" s="36" t="s">
        <v>3031</v>
      </c>
      <c r="H2964" s="36" t="s">
        <v>3032</v>
      </c>
      <c r="I2964" s="36" t="s">
        <v>2829</v>
      </c>
      <c r="J2964" s="36">
        <f t="shared" si="422"/>
        <v>-13.65</v>
      </c>
      <c r="K2964" s="36">
        <f t="shared" si="423"/>
        <v>32.56666666666667</v>
      </c>
      <c r="L2964" s="36">
        <v>1020</v>
      </c>
      <c r="P2964" s="36">
        <v>900</v>
      </c>
      <c r="R2964" s="51" t="s">
        <v>1847</v>
      </c>
      <c r="S2964" s="51" t="s">
        <v>1858</v>
      </c>
      <c r="T2964" s="51"/>
      <c r="U2964" s="51" t="s">
        <v>3036</v>
      </c>
      <c r="V2964" s="51" t="s">
        <v>1382</v>
      </c>
      <c r="W2964" s="51" t="s">
        <v>1717</v>
      </c>
      <c r="X2964" s="51" t="s">
        <v>1382</v>
      </c>
      <c r="Y2964" s="51" t="s">
        <v>1382</v>
      </c>
      <c r="AA2964" s="331"/>
      <c r="AB2964" s="331"/>
      <c r="AD2964" s="36">
        <v>5</v>
      </c>
      <c r="AE2964" s="36">
        <v>0.5</v>
      </c>
      <c r="AG2964" s="36" t="s">
        <v>3037</v>
      </c>
      <c r="AH2964" s="36" t="s">
        <v>2918</v>
      </c>
      <c r="AI2964" s="36" t="s">
        <v>577</v>
      </c>
      <c r="AJ2964" s="36" t="s">
        <v>1645</v>
      </c>
      <c r="AK2964" s="36" t="s">
        <v>132</v>
      </c>
      <c r="AT2964" s="36" t="s">
        <v>3041</v>
      </c>
      <c r="AU2964" s="36" t="s">
        <v>3041</v>
      </c>
      <c r="AV2964" s="36" t="s">
        <v>177</v>
      </c>
      <c r="AW2964" s="36" t="s">
        <v>160</v>
      </c>
      <c r="AX2964" s="36">
        <v>3</v>
      </c>
      <c r="AZ2964" s="36" t="s">
        <v>141</v>
      </c>
      <c r="BK2964" s="36">
        <v>4900</v>
      </c>
      <c r="BL2964" s="36">
        <v>7200</v>
      </c>
      <c r="BP2964" s="407"/>
      <c r="BQ2964" s="407"/>
      <c r="BU2964" s="407"/>
      <c r="BV2964" s="407"/>
      <c r="BZ2964" s="407"/>
      <c r="CA2964" s="407"/>
      <c r="CE2964" s="560"/>
      <c r="CF2964" s="560"/>
      <c r="CG2964" s="560"/>
      <c r="CH2964" s="560"/>
      <c r="JD2964" s="230"/>
    </row>
    <row r="2965" spans="1:264" s="126" customFormat="1" x14ac:dyDescent="0.25">
      <c r="A2965" s="126">
        <v>145</v>
      </c>
      <c r="B2965" s="478" t="s">
        <v>4396</v>
      </c>
      <c r="C2965" s="126" t="s">
        <v>3029</v>
      </c>
      <c r="D2965" s="126" t="s">
        <v>3030</v>
      </c>
      <c r="E2965" s="126">
        <v>1994</v>
      </c>
      <c r="F2965" s="126">
        <v>1990</v>
      </c>
      <c r="G2965" s="126" t="s">
        <v>3031</v>
      </c>
      <c r="H2965" s="126" t="s">
        <v>3032</v>
      </c>
      <c r="I2965" s="126" t="s">
        <v>2829</v>
      </c>
      <c r="J2965" s="126">
        <f t="shared" si="422"/>
        <v>-13.65</v>
      </c>
      <c r="K2965" s="126">
        <f t="shared" si="423"/>
        <v>32.56666666666667</v>
      </c>
      <c r="L2965" s="126">
        <v>1020</v>
      </c>
      <c r="P2965" s="126">
        <v>900</v>
      </c>
      <c r="R2965" s="478" t="s">
        <v>1728</v>
      </c>
      <c r="S2965" s="478" t="s">
        <v>1858</v>
      </c>
      <c r="T2965" s="478"/>
      <c r="U2965" s="478" t="s">
        <v>3036</v>
      </c>
      <c r="V2965" s="478" t="s">
        <v>1382</v>
      </c>
      <c r="W2965" s="478" t="s">
        <v>1717</v>
      </c>
      <c r="X2965" s="478" t="s">
        <v>1382</v>
      </c>
      <c r="Y2965" s="478" t="s">
        <v>1382</v>
      </c>
      <c r="AA2965" s="479"/>
      <c r="AB2965" s="479"/>
      <c r="AD2965" s="126">
        <v>5</v>
      </c>
      <c r="AE2965" s="126">
        <v>0.5</v>
      </c>
      <c r="AG2965" s="126" t="s">
        <v>3037</v>
      </c>
      <c r="AH2965" s="126" t="s">
        <v>2918</v>
      </c>
      <c r="AI2965" s="126" t="s">
        <v>577</v>
      </c>
      <c r="AJ2965" s="126" t="s">
        <v>1645</v>
      </c>
      <c r="AK2965" s="126" t="s">
        <v>132</v>
      </c>
      <c r="AT2965" s="126" t="s">
        <v>3038</v>
      </c>
      <c r="AU2965" s="126" t="s">
        <v>3038</v>
      </c>
      <c r="AV2965" s="126" t="s">
        <v>177</v>
      </c>
      <c r="AW2965" s="126" t="s">
        <v>160</v>
      </c>
      <c r="AX2965" s="126">
        <v>3</v>
      </c>
      <c r="AZ2965" s="126" t="s">
        <v>141</v>
      </c>
      <c r="BK2965" s="126">
        <v>1900</v>
      </c>
      <c r="BL2965" s="126">
        <v>4400</v>
      </c>
      <c r="BP2965" s="481"/>
      <c r="BQ2965" s="481"/>
      <c r="BU2965" s="481"/>
      <c r="BV2965" s="481"/>
      <c r="BZ2965" s="481"/>
      <c r="CA2965" s="481"/>
      <c r="CE2965" s="605"/>
      <c r="CF2965" s="605"/>
      <c r="CG2965" s="605"/>
      <c r="CH2965" s="605"/>
      <c r="JD2965" s="480"/>
    </row>
    <row r="2966" spans="1:264" s="126" customFormat="1" x14ac:dyDescent="0.25">
      <c r="A2966" s="126">
        <v>145</v>
      </c>
      <c r="B2966" s="478" t="s">
        <v>4397</v>
      </c>
      <c r="C2966" s="126" t="s">
        <v>3029</v>
      </c>
      <c r="D2966" s="126" t="s">
        <v>3030</v>
      </c>
      <c r="E2966" s="126">
        <v>1994</v>
      </c>
      <c r="F2966" s="126">
        <v>1990</v>
      </c>
      <c r="G2966" s="126" t="s">
        <v>3031</v>
      </c>
      <c r="H2966" s="126" t="s">
        <v>3032</v>
      </c>
      <c r="I2966" s="126" t="s">
        <v>2829</v>
      </c>
      <c r="J2966" s="126">
        <f t="shared" si="422"/>
        <v>-13.65</v>
      </c>
      <c r="K2966" s="126">
        <f t="shared" si="423"/>
        <v>32.56666666666667</v>
      </c>
      <c r="L2966" s="126">
        <v>1020</v>
      </c>
      <c r="P2966" s="126">
        <v>900</v>
      </c>
      <c r="R2966" s="478" t="s">
        <v>1728</v>
      </c>
      <c r="S2966" s="478" t="s">
        <v>1858</v>
      </c>
      <c r="T2966" s="478"/>
      <c r="U2966" s="478" t="s">
        <v>3036</v>
      </c>
      <c r="V2966" s="478" t="s">
        <v>1382</v>
      </c>
      <c r="W2966" s="478" t="s">
        <v>1717</v>
      </c>
      <c r="X2966" s="478" t="s">
        <v>1382</v>
      </c>
      <c r="Y2966" s="478" t="s">
        <v>1382</v>
      </c>
      <c r="AA2966" s="479"/>
      <c r="AB2966" s="479"/>
      <c r="AD2966" s="126">
        <v>5</v>
      </c>
      <c r="AE2966" s="126">
        <v>0.5</v>
      </c>
      <c r="AG2966" s="126" t="s">
        <v>3037</v>
      </c>
      <c r="AH2966" s="126" t="s">
        <v>2918</v>
      </c>
      <c r="AI2966" s="126" t="s">
        <v>577</v>
      </c>
      <c r="AJ2966" s="126" t="s">
        <v>1645</v>
      </c>
      <c r="AK2966" s="126" t="s">
        <v>132</v>
      </c>
      <c r="AT2966" s="126" t="s">
        <v>3039</v>
      </c>
      <c r="AU2966" s="126" t="s">
        <v>3039</v>
      </c>
      <c r="AV2966" s="126" t="s">
        <v>177</v>
      </c>
      <c r="AW2966" s="126" t="s">
        <v>160</v>
      </c>
      <c r="AX2966" s="126">
        <v>3</v>
      </c>
      <c r="AZ2966" s="126" t="s">
        <v>141</v>
      </c>
      <c r="BK2966" s="126">
        <v>2900</v>
      </c>
      <c r="BL2966" s="126">
        <v>5400</v>
      </c>
      <c r="BP2966" s="481"/>
      <c r="BQ2966" s="481"/>
      <c r="BU2966" s="481"/>
      <c r="BV2966" s="481"/>
      <c r="BZ2966" s="481"/>
      <c r="CA2966" s="481"/>
      <c r="CE2966" s="605"/>
      <c r="CF2966" s="605"/>
      <c r="CG2966" s="605"/>
      <c r="CH2966" s="605"/>
      <c r="JD2966" s="480"/>
    </row>
    <row r="2967" spans="1:264" s="126" customFormat="1" x14ac:dyDescent="0.25">
      <c r="A2967" s="126">
        <v>145</v>
      </c>
      <c r="B2967" s="478" t="s">
        <v>4398</v>
      </c>
      <c r="C2967" s="126" t="s">
        <v>3029</v>
      </c>
      <c r="D2967" s="126" t="s">
        <v>3030</v>
      </c>
      <c r="E2967" s="126">
        <v>1994</v>
      </c>
      <c r="F2967" s="126">
        <v>1990</v>
      </c>
      <c r="G2967" s="126" t="s">
        <v>3031</v>
      </c>
      <c r="H2967" s="126" t="s">
        <v>3032</v>
      </c>
      <c r="I2967" s="126" t="s">
        <v>2829</v>
      </c>
      <c r="J2967" s="126">
        <f t="shared" si="422"/>
        <v>-13.65</v>
      </c>
      <c r="K2967" s="126">
        <f t="shared" si="423"/>
        <v>32.56666666666667</v>
      </c>
      <c r="L2967" s="126">
        <v>1020</v>
      </c>
      <c r="P2967" s="126">
        <v>900</v>
      </c>
      <c r="R2967" s="478" t="s">
        <v>1728</v>
      </c>
      <c r="S2967" s="478" t="s">
        <v>1858</v>
      </c>
      <c r="T2967" s="478"/>
      <c r="U2967" s="478" t="s">
        <v>3036</v>
      </c>
      <c r="V2967" s="478" t="s">
        <v>1382</v>
      </c>
      <c r="W2967" s="478" t="s">
        <v>1717</v>
      </c>
      <c r="X2967" s="478" t="s">
        <v>1382</v>
      </c>
      <c r="Y2967" s="478" t="s">
        <v>1382</v>
      </c>
      <c r="AA2967" s="479"/>
      <c r="AB2967" s="479"/>
      <c r="AD2967" s="126">
        <v>5</v>
      </c>
      <c r="AE2967" s="126">
        <v>0.5</v>
      </c>
      <c r="AG2967" s="126" t="s">
        <v>3037</v>
      </c>
      <c r="AH2967" s="126" t="s">
        <v>2918</v>
      </c>
      <c r="AI2967" s="126" t="s">
        <v>577</v>
      </c>
      <c r="AJ2967" s="126" t="s">
        <v>1645</v>
      </c>
      <c r="AK2967" s="126" t="s">
        <v>132</v>
      </c>
      <c r="AT2967" s="126" t="s">
        <v>3040</v>
      </c>
      <c r="AU2967" s="126" t="s">
        <v>3040</v>
      </c>
      <c r="AV2967" s="126" t="s">
        <v>177</v>
      </c>
      <c r="AW2967" s="126" t="s">
        <v>160</v>
      </c>
      <c r="AX2967" s="126">
        <v>3</v>
      </c>
      <c r="AZ2967" s="126" t="s">
        <v>141</v>
      </c>
      <c r="BK2967" s="126">
        <v>3700</v>
      </c>
      <c r="BL2967" s="126">
        <v>6400</v>
      </c>
      <c r="BP2967" s="481"/>
      <c r="BQ2967" s="481"/>
      <c r="BU2967" s="481"/>
      <c r="BV2967" s="481"/>
      <c r="BZ2967" s="481"/>
      <c r="CA2967" s="481"/>
      <c r="CE2967" s="605"/>
      <c r="CF2967" s="605"/>
      <c r="CG2967" s="605"/>
      <c r="CH2967" s="605"/>
      <c r="JD2967" s="480"/>
    </row>
    <row r="2968" spans="1:264" s="126" customFormat="1" x14ac:dyDescent="0.25">
      <c r="A2968" s="126">
        <v>145</v>
      </c>
      <c r="B2968" s="478" t="s">
        <v>4399</v>
      </c>
      <c r="C2968" s="126" t="s">
        <v>3029</v>
      </c>
      <c r="D2968" s="126" t="s">
        <v>3030</v>
      </c>
      <c r="E2968" s="126">
        <v>1994</v>
      </c>
      <c r="F2968" s="126">
        <v>1990</v>
      </c>
      <c r="G2968" s="126" t="s">
        <v>3031</v>
      </c>
      <c r="H2968" s="126" t="s">
        <v>3032</v>
      </c>
      <c r="I2968" s="126" t="s">
        <v>2829</v>
      </c>
      <c r="J2968" s="126">
        <f t="shared" si="422"/>
        <v>-13.65</v>
      </c>
      <c r="K2968" s="126">
        <f t="shared" si="423"/>
        <v>32.56666666666667</v>
      </c>
      <c r="L2968" s="126">
        <v>1020</v>
      </c>
      <c r="P2968" s="126">
        <v>900</v>
      </c>
      <c r="R2968" s="478" t="s">
        <v>1728</v>
      </c>
      <c r="S2968" s="478" t="s">
        <v>1858</v>
      </c>
      <c r="T2968" s="478"/>
      <c r="U2968" s="478" t="s">
        <v>3036</v>
      </c>
      <c r="V2968" s="478" t="s">
        <v>1382</v>
      </c>
      <c r="W2968" s="478" t="s">
        <v>1717</v>
      </c>
      <c r="X2968" s="478" t="s">
        <v>1382</v>
      </c>
      <c r="Y2968" s="478" t="s">
        <v>1382</v>
      </c>
      <c r="AA2968" s="479"/>
      <c r="AB2968" s="479"/>
      <c r="AD2968" s="126">
        <v>5</v>
      </c>
      <c r="AE2968" s="126">
        <v>0.5</v>
      </c>
      <c r="AG2968" s="126" t="s">
        <v>3037</v>
      </c>
      <c r="AH2968" s="126" t="s">
        <v>2918</v>
      </c>
      <c r="AI2968" s="126" t="s">
        <v>577</v>
      </c>
      <c r="AJ2968" s="126" t="s">
        <v>1645</v>
      </c>
      <c r="AK2968" s="126" t="s">
        <v>132</v>
      </c>
      <c r="AT2968" s="126" t="s">
        <v>3041</v>
      </c>
      <c r="AU2968" s="126" t="s">
        <v>3041</v>
      </c>
      <c r="AV2968" s="126" t="s">
        <v>177</v>
      </c>
      <c r="AW2968" s="126" t="s">
        <v>160</v>
      </c>
      <c r="AX2968" s="126">
        <v>3</v>
      </c>
      <c r="AZ2968" s="126" t="s">
        <v>141</v>
      </c>
      <c r="BK2968" s="126">
        <v>4300</v>
      </c>
      <c r="BL2968" s="126">
        <v>6700</v>
      </c>
      <c r="BP2968" s="481"/>
      <c r="BQ2968" s="481"/>
      <c r="BU2968" s="481"/>
      <c r="BV2968" s="481"/>
      <c r="BZ2968" s="481"/>
      <c r="CA2968" s="481"/>
      <c r="CE2968" s="605"/>
      <c r="CF2968" s="605"/>
      <c r="CG2968" s="605"/>
      <c r="CH2968" s="605"/>
      <c r="JD2968" s="480"/>
    </row>
    <row r="2969" spans="1:264" s="126" customFormat="1" x14ac:dyDescent="0.25">
      <c r="A2969" s="126">
        <v>145</v>
      </c>
      <c r="B2969" s="478" t="s">
        <v>4396</v>
      </c>
      <c r="C2969" s="126" t="s">
        <v>3029</v>
      </c>
      <c r="D2969" s="126" t="s">
        <v>3030</v>
      </c>
      <c r="E2969" s="126">
        <v>1994</v>
      </c>
      <c r="F2969" s="126">
        <v>1990</v>
      </c>
      <c r="G2969" s="126" t="s">
        <v>3031</v>
      </c>
      <c r="H2969" s="126" t="s">
        <v>3032</v>
      </c>
      <c r="I2969" s="126" t="s">
        <v>2829</v>
      </c>
      <c r="J2969" s="126">
        <f t="shared" si="422"/>
        <v>-13.65</v>
      </c>
      <c r="K2969" s="126">
        <f t="shared" si="423"/>
        <v>32.56666666666667</v>
      </c>
      <c r="L2969" s="126">
        <v>1020</v>
      </c>
      <c r="P2969" s="126">
        <v>900</v>
      </c>
      <c r="R2969" s="478" t="s">
        <v>1728</v>
      </c>
      <c r="S2969" s="478" t="s">
        <v>1858</v>
      </c>
      <c r="T2969" s="478"/>
      <c r="U2969" s="478" t="s">
        <v>3036</v>
      </c>
      <c r="V2969" s="478" t="s">
        <v>1382</v>
      </c>
      <c r="W2969" s="478" t="s">
        <v>1717</v>
      </c>
      <c r="X2969" s="478" t="s">
        <v>1382</v>
      </c>
      <c r="Y2969" s="478" t="s">
        <v>1382</v>
      </c>
      <c r="AA2969" s="479"/>
      <c r="AB2969" s="479"/>
      <c r="AD2969" s="126">
        <v>5</v>
      </c>
      <c r="AE2969" s="126">
        <v>0.5</v>
      </c>
      <c r="AG2969" s="126" t="s">
        <v>3037</v>
      </c>
      <c r="AH2969" s="126" t="s">
        <v>2918</v>
      </c>
      <c r="AI2969" s="126" t="s">
        <v>577</v>
      </c>
      <c r="AJ2969" s="126" t="s">
        <v>1645</v>
      </c>
      <c r="AK2969" s="126" t="s">
        <v>132</v>
      </c>
      <c r="AT2969" s="126" t="s">
        <v>3038</v>
      </c>
      <c r="AU2969" s="126" t="s">
        <v>3038</v>
      </c>
      <c r="AV2969" s="126" t="s">
        <v>177</v>
      </c>
      <c r="AW2969" s="126" t="s">
        <v>160</v>
      </c>
      <c r="AX2969" s="126">
        <v>3</v>
      </c>
      <c r="AZ2969" s="126" t="s">
        <v>141</v>
      </c>
      <c r="BK2969" s="126">
        <v>1900</v>
      </c>
      <c r="BL2969" s="126">
        <v>5600</v>
      </c>
      <c r="BP2969" s="481"/>
      <c r="BQ2969" s="481"/>
      <c r="BU2969" s="481"/>
      <c r="BV2969" s="481"/>
      <c r="BZ2969" s="481"/>
      <c r="CA2969" s="481"/>
      <c r="CE2969" s="605"/>
      <c r="CF2969" s="605"/>
      <c r="CG2969" s="605"/>
      <c r="CH2969" s="605"/>
      <c r="JD2969" s="480"/>
    </row>
    <row r="2970" spans="1:264" s="126" customFormat="1" x14ac:dyDescent="0.25">
      <c r="A2970" s="126">
        <v>145</v>
      </c>
      <c r="B2970" s="478" t="s">
        <v>4397</v>
      </c>
      <c r="C2970" s="126" t="s">
        <v>3029</v>
      </c>
      <c r="D2970" s="126" t="s">
        <v>3030</v>
      </c>
      <c r="E2970" s="126">
        <v>1994</v>
      </c>
      <c r="F2970" s="126">
        <v>1990</v>
      </c>
      <c r="G2970" s="126" t="s">
        <v>3031</v>
      </c>
      <c r="H2970" s="126" t="s">
        <v>3032</v>
      </c>
      <c r="I2970" s="126" t="s">
        <v>2829</v>
      </c>
      <c r="J2970" s="126">
        <f t="shared" si="422"/>
        <v>-13.65</v>
      </c>
      <c r="K2970" s="126">
        <f t="shared" si="423"/>
        <v>32.56666666666667</v>
      </c>
      <c r="L2970" s="126">
        <v>1020</v>
      </c>
      <c r="P2970" s="126">
        <v>900</v>
      </c>
      <c r="R2970" s="478" t="s">
        <v>1728</v>
      </c>
      <c r="S2970" s="478" t="s">
        <v>1858</v>
      </c>
      <c r="T2970" s="478"/>
      <c r="U2970" s="478" t="s">
        <v>3036</v>
      </c>
      <c r="V2970" s="478" t="s">
        <v>1382</v>
      </c>
      <c r="W2970" s="478" t="s">
        <v>1717</v>
      </c>
      <c r="X2970" s="478" t="s">
        <v>1382</v>
      </c>
      <c r="Y2970" s="478" t="s">
        <v>1382</v>
      </c>
      <c r="AA2970" s="479"/>
      <c r="AB2970" s="479"/>
      <c r="AD2970" s="126">
        <v>5</v>
      </c>
      <c r="AE2970" s="126">
        <v>0.5</v>
      </c>
      <c r="AG2970" s="126" t="s">
        <v>3037</v>
      </c>
      <c r="AH2970" s="126" t="s">
        <v>2918</v>
      </c>
      <c r="AI2970" s="126" t="s">
        <v>577</v>
      </c>
      <c r="AJ2970" s="126" t="s">
        <v>1645</v>
      </c>
      <c r="AK2970" s="126" t="s">
        <v>132</v>
      </c>
      <c r="AT2970" s="126" t="s">
        <v>3039</v>
      </c>
      <c r="AU2970" s="126" t="s">
        <v>3039</v>
      </c>
      <c r="AV2970" s="126" t="s">
        <v>177</v>
      </c>
      <c r="AW2970" s="126" t="s">
        <v>160</v>
      </c>
      <c r="AX2970" s="126">
        <v>3</v>
      </c>
      <c r="AZ2970" s="126" t="s">
        <v>141</v>
      </c>
      <c r="BK2970" s="126">
        <v>2900</v>
      </c>
      <c r="BL2970" s="126">
        <v>5800</v>
      </c>
      <c r="BP2970" s="481"/>
      <c r="BQ2970" s="481"/>
      <c r="BU2970" s="481"/>
      <c r="BV2970" s="481"/>
      <c r="BZ2970" s="481"/>
      <c r="CA2970" s="481"/>
      <c r="CE2970" s="605"/>
      <c r="CF2970" s="605"/>
      <c r="CG2970" s="605"/>
      <c r="CH2970" s="605"/>
      <c r="JD2970" s="480"/>
    </row>
    <row r="2971" spans="1:264" s="126" customFormat="1" x14ac:dyDescent="0.25">
      <c r="A2971" s="126">
        <v>145</v>
      </c>
      <c r="B2971" s="478" t="s">
        <v>4398</v>
      </c>
      <c r="C2971" s="126" t="s">
        <v>3029</v>
      </c>
      <c r="D2971" s="126" t="s">
        <v>3030</v>
      </c>
      <c r="E2971" s="126">
        <v>1994</v>
      </c>
      <c r="F2971" s="126">
        <v>1990</v>
      </c>
      <c r="G2971" s="126" t="s">
        <v>3031</v>
      </c>
      <c r="H2971" s="126" t="s">
        <v>3032</v>
      </c>
      <c r="I2971" s="126" t="s">
        <v>2829</v>
      </c>
      <c r="J2971" s="126">
        <f t="shared" si="422"/>
        <v>-13.65</v>
      </c>
      <c r="K2971" s="126">
        <f t="shared" si="423"/>
        <v>32.56666666666667</v>
      </c>
      <c r="L2971" s="126">
        <v>1020</v>
      </c>
      <c r="P2971" s="126">
        <v>900</v>
      </c>
      <c r="R2971" s="478" t="s">
        <v>1728</v>
      </c>
      <c r="S2971" s="478" t="s">
        <v>1858</v>
      </c>
      <c r="T2971" s="478"/>
      <c r="U2971" s="478" t="s">
        <v>3036</v>
      </c>
      <c r="V2971" s="478" t="s">
        <v>1382</v>
      </c>
      <c r="W2971" s="478" t="s">
        <v>1717</v>
      </c>
      <c r="X2971" s="478" t="s">
        <v>1382</v>
      </c>
      <c r="Y2971" s="478" t="s">
        <v>1382</v>
      </c>
      <c r="AA2971" s="479"/>
      <c r="AB2971" s="479"/>
      <c r="AD2971" s="126">
        <v>5</v>
      </c>
      <c r="AE2971" s="126">
        <v>0.5</v>
      </c>
      <c r="AG2971" s="126" t="s">
        <v>3037</v>
      </c>
      <c r="AH2971" s="126" t="s">
        <v>2918</v>
      </c>
      <c r="AI2971" s="126" t="s">
        <v>577</v>
      </c>
      <c r="AJ2971" s="126" t="s">
        <v>1645</v>
      </c>
      <c r="AK2971" s="126" t="s">
        <v>132</v>
      </c>
      <c r="AT2971" s="126" t="s">
        <v>3040</v>
      </c>
      <c r="AU2971" s="126" t="s">
        <v>3040</v>
      </c>
      <c r="AV2971" s="126" t="s">
        <v>177</v>
      </c>
      <c r="AW2971" s="126" t="s">
        <v>160</v>
      </c>
      <c r="AX2971" s="126">
        <v>3</v>
      </c>
      <c r="AZ2971" s="126" t="s">
        <v>141</v>
      </c>
      <c r="BK2971" s="126">
        <v>3700</v>
      </c>
      <c r="BL2971" s="126">
        <v>6800</v>
      </c>
      <c r="BP2971" s="481"/>
      <c r="BQ2971" s="481"/>
      <c r="BU2971" s="481"/>
      <c r="BV2971" s="481"/>
      <c r="BZ2971" s="481"/>
      <c r="CA2971" s="481"/>
      <c r="CE2971" s="605"/>
      <c r="CF2971" s="605"/>
      <c r="CG2971" s="605"/>
      <c r="CH2971" s="605"/>
      <c r="JD2971" s="480"/>
    </row>
    <row r="2972" spans="1:264" s="126" customFormat="1" x14ac:dyDescent="0.25">
      <c r="A2972" s="126">
        <v>145</v>
      </c>
      <c r="B2972" s="478" t="s">
        <v>4399</v>
      </c>
      <c r="C2972" s="126" t="s">
        <v>3029</v>
      </c>
      <c r="D2972" s="126" t="s">
        <v>3030</v>
      </c>
      <c r="E2972" s="126">
        <v>1994</v>
      </c>
      <c r="F2972" s="126">
        <v>1990</v>
      </c>
      <c r="G2972" s="126" t="s">
        <v>3031</v>
      </c>
      <c r="H2972" s="126" t="s">
        <v>3032</v>
      </c>
      <c r="I2972" s="126" t="s">
        <v>2829</v>
      </c>
      <c r="J2972" s="126">
        <f t="shared" si="422"/>
        <v>-13.65</v>
      </c>
      <c r="K2972" s="126">
        <f t="shared" si="423"/>
        <v>32.56666666666667</v>
      </c>
      <c r="L2972" s="126">
        <v>1020</v>
      </c>
      <c r="P2972" s="126">
        <v>900</v>
      </c>
      <c r="R2972" s="478" t="s">
        <v>1728</v>
      </c>
      <c r="S2972" s="478" t="s">
        <v>1858</v>
      </c>
      <c r="T2972" s="478"/>
      <c r="U2972" s="478" t="s">
        <v>3036</v>
      </c>
      <c r="V2972" s="478" t="s">
        <v>1382</v>
      </c>
      <c r="W2972" s="478" t="s">
        <v>1717</v>
      </c>
      <c r="X2972" s="478" t="s">
        <v>1382</v>
      </c>
      <c r="Y2972" s="478" t="s">
        <v>1382</v>
      </c>
      <c r="AA2972" s="479"/>
      <c r="AB2972" s="479"/>
      <c r="AD2972" s="126">
        <v>5</v>
      </c>
      <c r="AE2972" s="126">
        <v>0.5</v>
      </c>
      <c r="AG2972" s="126" t="s">
        <v>3037</v>
      </c>
      <c r="AH2972" s="126" t="s">
        <v>2918</v>
      </c>
      <c r="AI2972" s="126" t="s">
        <v>577</v>
      </c>
      <c r="AJ2972" s="126" t="s">
        <v>1645</v>
      </c>
      <c r="AK2972" s="126" t="s">
        <v>132</v>
      </c>
      <c r="AT2972" s="126" t="s">
        <v>3041</v>
      </c>
      <c r="AU2972" s="126" t="s">
        <v>3041</v>
      </c>
      <c r="AV2972" s="126" t="s">
        <v>177</v>
      </c>
      <c r="AW2972" s="126" t="s">
        <v>160</v>
      </c>
      <c r="AX2972" s="126">
        <v>3</v>
      </c>
      <c r="AZ2972" s="126" t="s">
        <v>141</v>
      </c>
      <c r="BK2972" s="126">
        <v>4300</v>
      </c>
      <c r="BL2972" s="126">
        <v>7900</v>
      </c>
      <c r="BP2972" s="481"/>
      <c r="BQ2972" s="481"/>
      <c r="BU2972" s="481"/>
      <c r="BV2972" s="481"/>
      <c r="BZ2972" s="481"/>
      <c r="CA2972" s="481"/>
      <c r="CE2972" s="605"/>
      <c r="CF2972" s="605"/>
      <c r="CG2972" s="605"/>
      <c r="CH2972" s="605"/>
      <c r="JD2972" s="480"/>
    </row>
    <row r="2973" spans="1:264" s="126" customFormat="1" x14ac:dyDescent="0.25">
      <c r="A2973" s="126">
        <v>145</v>
      </c>
      <c r="B2973" s="478" t="s">
        <v>4396</v>
      </c>
      <c r="C2973" s="126" t="s">
        <v>3029</v>
      </c>
      <c r="D2973" s="126" t="s">
        <v>3030</v>
      </c>
      <c r="E2973" s="126">
        <v>1994</v>
      </c>
      <c r="F2973" s="126">
        <v>1990</v>
      </c>
      <c r="G2973" s="126" t="s">
        <v>3031</v>
      </c>
      <c r="H2973" s="126" t="s">
        <v>3032</v>
      </c>
      <c r="I2973" s="126" t="s">
        <v>2829</v>
      </c>
      <c r="J2973" s="126">
        <f t="shared" si="422"/>
        <v>-13.65</v>
      </c>
      <c r="K2973" s="126">
        <f t="shared" si="423"/>
        <v>32.56666666666667</v>
      </c>
      <c r="L2973" s="126">
        <v>1020</v>
      </c>
      <c r="P2973" s="126">
        <v>900</v>
      </c>
      <c r="R2973" s="478" t="s">
        <v>1728</v>
      </c>
      <c r="S2973" s="478" t="s">
        <v>1858</v>
      </c>
      <c r="T2973" s="478"/>
      <c r="U2973" s="478" t="s">
        <v>3036</v>
      </c>
      <c r="V2973" s="478" t="s">
        <v>1382</v>
      </c>
      <c r="W2973" s="478" t="s">
        <v>1717</v>
      </c>
      <c r="X2973" s="478" t="s">
        <v>1382</v>
      </c>
      <c r="Y2973" s="478" t="s">
        <v>1382</v>
      </c>
      <c r="AA2973" s="479"/>
      <c r="AB2973" s="479"/>
      <c r="AD2973" s="126">
        <v>5</v>
      </c>
      <c r="AE2973" s="126">
        <v>0.5</v>
      </c>
      <c r="AG2973" s="126" t="s">
        <v>3037</v>
      </c>
      <c r="AH2973" s="126" t="s">
        <v>2918</v>
      </c>
      <c r="AI2973" s="126" t="s">
        <v>577</v>
      </c>
      <c r="AJ2973" s="126" t="s">
        <v>1645</v>
      </c>
      <c r="AK2973" s="126" t="s">
        <v>132</v>
      </c>
      <c r="AT2973" s="126" t="s">
        <v>3038</v>
      </c>
      <c r="AU2973" s="126" t="s">
        <v>3038</v>
      </c>
      <c r="AV2973" s="126" t="s">
        <v>177</v>
      </c>
      <c r="AW2973" s="126" t="s">
        <v>160</v>
      </c>
      <c r="AX2973" s="126">
        <v>3</v>
      </c>
      <c r="AZ2973" s="126" t="s">
        <v>141</v>
      </c>
      <c r="BK2973" s="126">
        <v>1900</v>
      </c>
      <c r="BL2973" s="126">
        <v>6000</v>
      </c>
      <c r="BP2973" s="481"/>
      <c r="BQ2973" s="481"/>
      <c r="BU2973" s="481"/>
      <c r="BV2973" s="481"/>
      <c r="BZ2973" s="481"/>
      <c r="CA2973" s="481"/>
      <c r="CE2973" s="605"/>
      <c r="CF2973" s="605"/>
      <c r="CG2973" s="605"/>
      <c r="CH2973" s="605"/>
      <c r="JD2973" s="480"/>
    </row>
    <row r="2974" spans="1:264" s="126" customFormat="1" x14ac:dyDescent="0.25">
      <c r="A2974" s="126">
        <v>145</v>
      </c>
      <c r="B2974" s="478" t="s">
        <v>4397</v>
      </c>
      <c r="C2974" s="126" t="s">
        <v>3029</v>
      </c>
      <c r="D2974" s="126" t="s">
        <v>3030</v>
      </c>
      <c r="E2974" s="126">
        <v>1994</v>
      </c>
      <c r="F2974" s="126">
        <v>1990</v>
      </c>
      <c r="G2974" s="126" t="s">
        <v>3031</v>
      </c>
      <c r="H2974" s="126" t="s">
        <v>3032</v>
      </c>
      <c r="I2974" s="126" t="s">
        <v>2829</v>
      </c>
      <c r="J2974" s="126">
        <f t="shared" si="422"/>
        <v>-13.65</v>
      </c>
      <c r="K2974" s="126">
        <f t="shared" si="423"/>
        <v>32.56666666666667</v>
      </c>
      <c r="L2974" s="126">
        <v>1020</v>
      </c>
      <c r="P2974" s="126">
        <v>900</v>
      </c>
      <c r="R2974" s="478" t="s">
        <v>1728</v>
      </c>
      <c r="S2974" s="478" t="s">
        <v>1858</v>
      </c>
      <c r="T2974" s="478"/>
      <c r="U2974" s="478" t="s">
        <v>3036</v>
      </c>
      <c r="V2974" s="478" t="s">
        <v>1382</v>
      </c>
      <c r="W2974" s="478" t="s">
        <v>1717</v>
      </c>
      <c r="X2974" s="478" t="s">
        <v>1382</v>
      </c>
      <c r="Y2974" s="478" t="s">
        <v>1382</v>
      </c>
      <c r="AA2974" s="479"/>
      <c r="AB2974" s="479"/>
      <c r="AD2974" s="126">
        <v>5</v>
      </c>
      <c r="AE2974" s="126">
        <v>0.5</v>
      </c>
      <c r="AG2974" s="126" t="s">
        <v>3037</v>
      </c>
      <c r="AH2974" s="126" t="s">
        <v>2918</v>
      </c>
      <c r="AI2974" s="126" t="s">
        <v>577</v>
      </c>
      <c r="AJ2974" s="126" t="s">
        <v>1645</v>
      </c>
      <c r="AK2974" s="126" t="s">
        <v>132</v>
      </c>
      <c r="AT2974" s="126" t="s">
        <v>3039</v>
      </c>
      <c r="AU2974" s="126" t="s">
        <v>3039</v>
      </c>
      <c r="AV2974" s="126" t="s">
        <v>177</v>
      </c>
      <c r="AW2974" s="126" t="s">
        <v>160</v>
      </c>
      <c r="AX2974" s="126">
        <v>3</v>
      </c>
      <c r="AZ2974" s="126" t="s">
        <v>141</v>
      </c>
      <c r="BK2974" s="126">
        <v>2900</v>
      </c>
      <c r="BL2974" s="126">
        <v>7000</v>
      </c>
      <c r="BP2974" s="481"/>
      <c r="BQ2974" s="481"/>
      <c r="BU2974" s="481"/>
      <c r="BV2974" s="481"/>
      <c r="BZ2974" s="481"/>
      <c r="CA2974" s="481"/>
      <c r="CE2974" s="605"/>
      <c r="CF2974" s="605"/>
      <c r="CG2974" s="605"/>
      <c r="CH2974" s="605"/>
      <c r="JD2974" s="480"/>
    </row>
    <row r="2975" spans="1:264" s="126" customFormat="1" x14ac:dyDescent="0.25">
      <c r="A2975" s="126">
        <v>145</v>
      </c>
      <c r="B2975" s="478" t="s">
        <v>4398</v>
      </c>
      <c r="C2975" s="126" t="s">
        <v>3029</v>
      </c>
      <c r="D2975" s="126" t="s">
        <v>3030</v>
      </c>
      <c r="E2975" s="126">
        <v>1994</v>
      </c>
      <c r="F2975" s="126">
        <v>1990</v>
      </c>
      <c r="G2975" s="126" t="s">
        <v>3031</v>
      </c>
      <c r="H2975" s="126" t="s">
        <v>3032</v>
      </c>
      <c r="I2975" s="126" t="s">
        <v>2829</v>
      </c>
      <c r="J2975" s="126">
        <f t="shared" si="422"/>
        <v>-13.65</v>
      </c>
      <c r="K2975" s="126">
        <f t="shared" si="423"/>
        <v>32.56666666666667</v>
      </c>
      <c r="L2975" s="126">
        <v>1020</v>
      </c>
      <c r="P2975" s="126">
        <v>900</v>
      </c>
      <c r="R2975" s="478" t="s">
        <v>1728</v>
      </c>
      <c r="S2975" s="478" t="s">
        <v>1858</v>
      </c>
      <c r="T2975" s="478"/>
      <c r="U2975" s="478" t="s">
        <v>3036</v>
      </c>
      <c r="V2975" s="478" t="s">
        <v>1382</v>
      </c>
      <c r="W2975" s="478" t="s">
        <v>1717</v>
      </c>
      <c r="X2975" s="478" t="s">
        <v>1382</v>
      </c>
      <c r="Y2975" s="478" t="s">
        <v>1382</v>
      </c>
      <c r="AA2975" s="479"/>
      <c r="AB2975" s="479"/>
      <c r="AD2975" s="126">
        <v>5</v>
      </c>
      <c r="AE2975" s="126">
        <v>0.5</v>
      </c>
      <c r="AG2975" s="126" t="s">
        <v>3037</v>
      </c>
      <c r="AH2975" s="126" t="s">
        <v>2918</v>
      </c>
      <c r="AI2975" s="126" t="s">
        <v>577</v>
      </c>
      <c r="AJ2975" s="126" t="s">
        <v>1645</v>
      </c>
      <c r="AK2975" s="126" t="s">
        <v>132</v>
      </c>
      <c r="AT2975" s="126" t="s">
        <v>3040</v>
      </c>
      <c r="AU2975" s="126" t="s">
        <v>3040</v>
      </c>
      <c r="AV2975" s="126" t="s">
        <v>177</v>
      </c>
      <c r="AW2975" s="126" t="s">
        <v>160</v>
      </c>
      <c r="AX2975" s="126">
        <v>3</v>
      </c>
      <c r="AZ2975" s="126" t="s">
        <v>141</v>
      </c>
      <c r="BK2975" s="126">
        <v>3700</v>
      </c>
      <c r="BL2975" s="126">
        <v>6800</v>
      </c>
      <c r="BP2975" s="481"/>
      <c r="BQ2975" s="481"/>
      <c r="BU2975" s="481"/>
      <c r="BV2975" s="481"/>
      <c r="BZ2975" s="481"/>
      <c r="CA2975" s="481"/>
      <c r="CE2975" s="605"/>
      <c r="CF2975" s="605"/>
      <c r="CG2975" s="605"/>
      <c r="CH2975" s="605"/>
      <c r="JD2975" s="480"/>
    </row>
    <row r="2976" spans="1:264" s="126" customFormat="1" x14ac:dyDescent="0.25">
      <c r="A2976" s="126">
        <v>145</v>
      </c>
      <c r="B2976" s="478" t="s">
        <v>4399</v>
      </c>
      <c r="C2976" s="126" t="s">
        <v>3029</v>
      </c>
      <c r="D2976" s="126" t="s">
        <v>3030</v>
      </c>
      <c r="E2976" s="126">
        <v>1994</v>
      </c>
      <c r="F2976" s="126">
        <v>1990</v>
      </c>
      <c r="G2976" s="126" t="s">
        <v>3031</v>
      </c>
      <c r="H2976" s="126" t="s">
        <v>3032</v>
      </c>
      <c r="I2976" s="126" t="s">
        <v>2829</v>
      </c>
      <c r="J2976" s="126">
        <f t="shared" si="422"/>
        <v>-13.65</v>
      </c>
      <c r="K2976" s="126">
        <f t="shared" si="423"/>
        <v>32.56666666666667</v>
      </c>
      <c r="L2976" s="126">
        <v>1020</v>
      </c>
      <c r="P2976" s="126">
        <v>900</v>
      </c>
      <c r="R2976" s="478" t="s">
        <v>1728</v>
      </c>
      <c r="S2976" s="478" t="s">
        <v>1858</v>
      </c>
      <c r="T2976" s="478"/>
      <c r="U2976" s="478" t="s">
        <v>3036</v>
      </c>
      <c r="V2976" s="478" t="s">
        <v>1382</v>
      </c>
      <c r="W2976" s="478" t="s">
        <v>1717</v>
      </c>
      <c r="X2976" s="478" t="s">
        <v>1382</v>
      </c>
      <c r="Y2976" s="478" t="s">
        <v>1382</v>
      </c>
      <c r="AA2976" s="479"/>
      <c r="AB2976" s="479"/>
      <c r="AD2976" s="126">
        <v>5</v>
      </c>
      <c r="AE2976" s="126">
        <v>0.5</v>
      </c>
      <c r="AG2976" s="126" t="s">
        <v>3037</v>
      </c>
      <c r="AH2976" s="126" t="s">
        <v>2918</v>
      </c>
      <c r="AI2976" s="126" t="s">
        <v>577</v>
      </c>
      <c r="AJ2976" s="126" t="s">
        <v>1645</v>
      </c>
      <c r="AK2976" s="126" t="s">
        <v>132</v>
      </c>
      <c r="AT2976" s="126" t="s">
        <v>3041</v>
      </c>
      <c r="AU2976" s="126" t="s">
        <v>3041</v>
      </c>
      <c r="AV2976" s="126" t="s">
        <v>177</v>
      </c>
      <c r="AW2976" s="126" t="s">
        <v>160</v>
      </c>
      <c r="AX2976" s="126">
        <v>3</v>
      </c>
      <c r="AZ2976" s="126" t="s">
        <v>141</v>
      </c>
      <c r="BK2976" s="126">
        <v>4300</v>
      </c>
      <c r="BL2976" s="126">
        <v>7400</v>
      </c>
      <c r="BP2976" s="481"/>
      <c r="BQ2976" s="481"/>
      <c r="BU2976" s="481"/>
      <c r="BV2976" s="481"/>
      <c r="BZ2976" s="481"/>
      <c r="CA2976" s="481"/>
      <c r="CE2976" s="605"/>
      <c r="CF2976" s="605"/>
      <c r="CG2976" s="605"/>
      <c r="CH2976" s="605"/>
      <c r="JD2976" s="480"/>
    </row>
    <row r="2977" spans="1:264" s="24" customFormat="1" x14ac:dyDescent="0.25">
      <c r="A2977" s="24">
        <v>146</v>
      </c>
      <c r="B2977" s="42" t="s">
        <v>4400</v>
      </c>
      <c r="C2977" s="24" t="s">
        <v>3029</v>
      </c>
      <c r="D2977" s="24" t="s">
        <v>3042</v>
      </c>
      <c r="E2977" s="24">
        <v>1999</v>
      </c>
      <c r="F2977" s="24">
        <v>1991</v>
      </c>
      <c r="G2977" s="24" t="s">
        <v>2766</v>
      </c>
      <c r="H2977" s="24" t="s">
        <v>3032</v>
      </c>
      <c r="I2977" s="24" t="s">
        <v>2829</v>
      </c>
      <c r="J2977" s="24">
        <v>-13.64</v>
      </c>
      <c r="K2977" s="24">
        <v>32.65</v>
      </c>
      <c r="L2977" s="24">
        <v>1020</v>
      </c>
      <c r="O2977" s="24">
        <v>779</v>
      </c>
      <c r="R2977" s="42" t="s">
        <v>1847</v>
      </c>
      <c r="S2977" s="42" t="s">
        <v>1722</v>
      </c>
      <c r="T2977" s="42"/>
      <c r="U2977" s="42" t="s">
        <v>3044</v>
      </c>
      <c r="V2977" s="42" t="s">
        <v>1382</v>
      </c>
      <c r="W2977" s="42" t="s">
        <v>1717</v>
      </c>
      <c r="X2977" s="42" t="s">
        <v>1382</v>
      </c>
      <c r="Y2977" s="42" t="s">
        <v>1382</v>
      </c>
      <c r="AA2977" s="321"/>
      <c r="AB2977" s="321"/>
      <c r="AD2977" s="24">
        <v>5</v>
      </c>
      <c r="AE2977" s="24">
        <v>0.5</v>
      </c>
      <c r="AG2977" s="24" t="s">
        <v>3037</v>
      </c>
      <c r="AH2977" s="24" t="s">
        <v>2918</v>
      </c>
      <c r="AI2977" s="24" t="s">
        <v>577</v>
      </c>
      <c r="AJ2977" s="24" t="s">
        <v>1645</v>
      </c>
      <c r="AK2977" s="24" t="s">
        <v>132</v>
      </c>
      <c r="AT2977" s="24" t="s">
        <v>3038</v>
      </c>
      <c r="AU2977" s="24" t="s">
        <v>3038</v>
      </c>
      <c r="AV2977" s="24" t="s">
        <v>177</v>
      </c>
      <c r="AW2977" s="24" t="s">
        <v>160</v>
      </c>
      <c r="AX2977" s="24">
        <v>3</v>
      </c>
      <c r="AZ2977" s="24" t="s">
        <v>141</v>
      </c>
      <c r="BE2977" s="24" t="s">
        <v>3043</v>
      </c>
      <c r="BK2977" s="24">
        <v>1900</v>
      </c>
      <c r="BL2977" s="24">
        <v>4400</v>
      </c>
      <c r="BM2977" s="24">
        <v>380</v>
      </c>
      <c r="BN2977" s="24">
        <v>380</v>
      </c>
      <c r="BP2977" s="395"/>
      <c r="BQ2977" s="395"/>
      <c r="BU2977" s="395"/>
      <c r="BV2977" s="395"/>
      <c r="BZ2977" s="395"/>
      <c r="CA2977" s="395"/>
      <c r="CE2977" s="548"/>
      <c r="CF2977" s="548"/>
      <c r="CG2977" s="548"/>
      <c r="CH2977" s="548"/>
      <c r="JD2977" s="249"/>
    </row>
    <row r="2978" spans="1:264" s="24" customFormat="1" x14ac:dyDescent="0.25">
      <c r="A2978" s="24">
        <v>146</v>
      </c>
      <c r="B2978" s="42" t="s">
        <v>4400</v>
      </c>
      <c r="C2978" s="24" t="s">
        <v>3029</v>
      </c>
      <c r="D2978" s="24" t="s">
        <v>3042</v>
      </c>
      <c r="E2978" s="24">
        <v>1999</v>
      </c>
      <c r="F2978" s="24">
        <v>1991</v>
      </c>
      <c r="G2978" s="24" t="s">
        <v>2766</v>
      </c>
      <c r="H2978" s="24" t="s">
        <v>3032</v>
      </c>
      <c r="I2978" s="24" t="s">
        <v>2829</v>
      </c>
      <c r="J2978" s="24">
        <v>-13.64</v>
      </c>
      <c r="K2978" s="24">
        <v>32.65</v>
      </c>
      <c r="L2978" s="24">
        <v>1020</v>
      </c>
      <c r="O2978" s="24">
        <v>779</v>
      </c>
      <c r="R2978" s="42" t="s">
        <v>1847</v>
      </c>
      <c r="S2978" s="42" t="s">
        <v>1722</v>
      </c>
      <c r="T2978" s="42"/>
      <c r="U2978" s="42" t="s">
        <v>3044</v>
      </c>
      <c r="V2978" s="42" t="s">
        <v>1382</v>
      </c>
      <c r="W2978" s="42" t="s">
        <v>1717</v>
      </c>
      <c r="X2978" s="42" t="s">
        <v>1382</v>
      </c>
      <c r="Y2978" s="42" t="s">
        <v>1382</v>
      </c>
      <c r="AA2978" s="321"/>
      <c r="AB2978" s="321"/>
      <c r="AD2978" s="24">
        <v>5</v>
      </c>
      <c r="AE2978" s="24">
        <v>0.5</v>
      </c>
      <c r="AG2978" s="24" t="s">
        <v>3037</v>
      </c>
      <c r="AH2978" s="24" t="s">
        <v>2918</v>
      </c>
      <c r="AI2978" s="24" t="s">
        <v>577</v>
      </c>
      <c r="AJ2978" s="24" t="s">
        <v>1645</v>
      </c>
      <c r="AK2978" s="24" t="s">
        <v>132</v>
      </c>
      <c r="AT2978" s="24" t="s">
        <v>3038</v>
      </c>
      <c r="AU2978" s="24" t="s">
        <v>3038</v>
      </c>
      <c r="AV2978" s="24" t="s">
        <v>177</v>
      </c>
      <c r="AW2978" s="24" t="s">
        <v>160</v>
      </c>
      <c r="AX2978" s="24">
        <v>3</v>
      </c>
      <c r="AZ2978" s="24" t="s">
        <v>141</v>
      </c>
      <c r="BE2978" s="24" t="s">
        <v>3043</v>
      </c>
      <c r="BK2978" s="24">
        <v>1900</v>
      </c>
      <c r="BL2978" s="24">
        <v>5600</v>
      </c>
      <c r="BM2978" s="24">
        <v>380</v>
      </c>
      <c r="BN2978" s="24">
        <v>380</v>
      </c>
      <c r="BP2978" s="395"/>
      <c r="BQ2978" s="395"/>
      <c r="BU2978" s="395"/>
      <c r="BV2978" s="395"/>
      <c r="BZ2978" s="395"/>
      <c r="CA2978" s="395"/>
      <c r="CE2978" s="548"/>
      <c r="CF2978" s="548"/>
      <c r="CG2978" s="548"/>
      <c r="CH2978" s="548"/>
      <c r="JD2978" s="249"/>
    </row>
    <row r="2979" spans="1:264" s="24" customFormat="1" x14ac:dyDescent="0.25">
      <c r="A2979" s="24">
        <v>146</v>
      </c>
      <c r="B2979" s="42" t="s">
        <v>4400</v>
      </c>
      <c r="C2979" s="24" t="s">
        <v>3029</v>
      </c>
      <c r="D2979" s="24" t="s">
        <v>3042</v>
      </c>
      <c r="E2979" s="24">
        <v>1999</v>
      </c>
      <c r="F2979" s="24">
        <v>1991</v>
      </c>
      <c r="G2979" s="24" t="s">
        <v>2766</v>
      </c>
      <c r="H2979" s="24" t="s">
        <v>3032</v>
      </c>
      <c r="I2979" s="24" t="s">
        <v>2829</v>
      </c>
      <c r="J2979" s="24">
        <v>-13.64</v>
      </c>
      <c r="K2979" s="24">
        <v>32.65</v>
      </c>
      <c r="L2979" s="24">
        <v>1020</v>
      </c>
      <c r="O2979" s="24">
        <v>779</v>
      </c>
      <c r="R2979" s="42" t="s">
        <v>1847</v>
      </c>
      <c r="S2979" s="42" t="s">
        <v>1722</v>
      </c>
      <c r="T2979" s="42"/>
      <c r="U2979" s="42" t="s">
        <v>3044</v>
      </c>
      <c r="V2979" s="42" t="s">
        <v>1382</v>
      </c>
      <c r="W2979" s="42" t="s">
        <v>1717</v>
      </c>
      <c r="X2979" s="42" t="s">
        <v>1382</v>
      </c>
      <c r="Y2979" s="42" t="s">
        <v>1382</v>
      </c>
      <c r="AA2979" s="321"/>
      <c r="AB2979" s="321"/>
      <c r="AD2979" s="24">
        <v>5</v>
      </c>
      <c r="AE2979" s="24">
        <v>0.5</v>
      </c>
      <c r="AG2979" s="24" t="s">
        <v>3037</v>
      </c>
      <c r="AH2979" s="24" t="s">
        <v>2918</v>
      </c>
      <c r="AI2979" s="24" t="s">
        <v>577</v>
      </c>
      <c r="AJ2979" s="24" t="s">
        <v>1645</v>
      </c>
      <c r="AK2979" s="24" t="s">
        <v>132</v>
      </c>
      <c r="AT2979" s="24" t="s">
        <v>3038</v>
      </c>
      <c r="AU2979" s="24" t="s">
        <v>3038</v>
      </c>
      <c r="AV2979" s="24" t="s">
        <v>177</v>
      </c>
      <c r="AW2979" s="24" t="s">
        <v>160</v>
      </c>
      <c r="AX2979" s="24">
        <v>3</v>
      </c>
      <c r="AZ2979" s="24" t="s">
        <v>141</v>
      </c>
      <c r="BE2979" s="24" t="s">
        <v>3043</v>
      </c>
      <c r="BK2979" s="24">
        <v>1900</v>
      </c>
      <c r="BL2979" s="24">
        <v>6000</v>
      </c>
      <c r="BM2979" s="24">
        <v>380</v>
      </c>
      <c r="BN2979" s="24">
        <v>380</v>
      </c>
      <c r="BP2979" s="395"/>
      <c r="BQ2979" s="395"/>
      <c r="BU2979" s="395"/>
      <c r="BV2979" s="395"/>
      <c r="BZ2979" s="395"/>
      <c r="CA2979" s="395"/>
      <c r="CE2979" s="548"/>
      <c r="CF2979" s="548"/>
      <c r="CG2979" s="548"/>
      <c r="CH2979" s="548"/>
      <c r="JD2979" s="249"/>
    </row>
    <row r="2980" spans="1:264" s="32" customFormat="1" x14ac:dyDescent="0.25">
      <c r="A2980" s="32">
        <v>146</v>
      </c>
      <c r="B2980" s="44" t="s">
        <v>4401</v>
      </c>
      <c r="C2980" s="32" t="s">
        <v>3029</v>
      </c>
      <c r="D2980" s="32" t="s">
        <v>3042</v>
      </c>
      <c r="E2980" s="32">
        <v>1999</v>
      </c>
      <c r="F2980" s="32">
        <v>1991</v>
      </c>
      <c r="G2980" s="32" t="s">
        <v>2766</v>
      </c>
      <c r="H2980" s="32" t="s">
        <v>3032</v>
      </c>
      <c r="I2980" s="32" t="s">
        <v>2829</v>
      </c>
      <c r="J2980" s="32">
        <v>-13.64</v>
      </c>
      <c r="K2980" s="32">
        <v>32.65</v>
      </c>
      <c r="L2980" s="32">
        <v>1020</v>
      </c>
      <c r="O2980" s="32">
        <v>779</v>
      </c>
      <c r="R2980" s="44" t="s">
        <v>1847</v>
      </c>
      <c r="S2980" s="44" t="s">
        <v>1722</v>
      </c>
      <c r="T2980" s="44"/>
      <c r="U2980" s="44" t="s">
        <v>3044</v>
      </c>
      <c r="V2980" s="44" t="s">
        <v>1382</v>
      </c>
      <c r="W2980" s="44" t="s">
        <v>1717</v>
      </c>
      <c r="X2980" s="44" t="s">
        <v>1382</v>
      </c>
      <c r="Y2980" s="44" t="s">
        <v>1382</v>
      </c>
      <c r="AA2980" s="323"/>
      <c r="AB2980" s="323"/>
      <c r="AD2980" s="32">
        <v>5</v>
      </c>
      <c r="AE2980" s="32">
        <v>0.5</v>
      </c>
      <c r="AG2980" s="32" t="s">
        <v>3037</v>
      </c>
      <c r="AH2980" s="32" t="s">
        <v>2918</v>
      </c>
      <c r="AI2980" s="32" t="s">
        <v>577</v>
      </c>
      <c r="AJ2980" s="32" t="s">
        <v>1645</v>
      </c>
      <c r="AK2980" s="32" t="s">
        <v>132</v>
      </c>
      <c r="AT2980" s="32" t="s">
        <v>3041</v>
      </c>
      <c r="AU2980" s="32" t="s">
        <v>3041</v>
      </c>
      <c r="AV2980" s="32" t="s">
        <v>177</v>
      </c>
      <c r="AW2980" s="32" t="s">
        <v>160</v>
      </c>
      <c r="AX2980" s="32">
        <v>3</v>
      </c>
      <c r="AZ2980" s="32" t="s">
        <v>141</v>
      </c>
      <c r="BE2980" s="32" t="s">
        <v>3043</v>
      </c>
      <c r="BK2980" s="32">
        <v>4300</v>
      </c>
      <c r="BL2980" s="32">
        <v>6700</v>
      </c>
      <c r="BM2980" s="32">
        <v>380</v>
      </c>
      <c r="BN2980" s="32">
        <v>380</v>
      </c>
      <c r="BP2980" s="397"/>
      <c r="BQ2980" s="397"/>
      <c r="BU2980" s="397"/>
      <c r="BV2980" s="397"/>
      <c r="BZ2980" s="397"/>
      <c r="CA2980" s="397"/>
      <c r="CE2980" s="550"/>
      <c r="CF2980" s="550"/>
      <c r="CG2980" s="550"/>
      <c r="CH2980" s="550"/>
      <c r="JD2980" s="243"/>
    </row>
    <row r="2981" spans="1:264" s="32" customFormat="1" x14ac:dyDescent="0.25">
      <c r="A2981" s="32">
        <v>146</v>
      </c>
      <c r="B2981" s="44" t="s">
        <v>4401</v>
      </c>
      <c r="C2981" s="32" t="s">
        <v>3029</v>
      </c>
      <c r="D2981" s="32" t="s">
        <v>3042</v>
      </c>
      <c r="E2981" s="32">
        <v>1999</v>
      </c>
      <c r="F2981" s="32">
        <v>1991</v>
      </c>
      <c r="G2981" s="32" t="s">
        <v>2766</v>
      </c>
      <c r="H2981" s="32" t="s">
        <v>3032</v>
      </c>
      <c r="I2981" s="32" t="s">
        <v>2829</v>
      </c>
      <c r="J2981" s="32">
        <v>-13.64</v>
      </c>
      <c r="K2981" s="32">
        <v>32.65</v>
      </c>
      <c r="L2981" s="32">
        <v>1020</v>
      </c>
      <c r="O2981" s="32">
        <v>779</v>
      </c>
      <c r="R2981" s="44" t="s">
        <v>1847</v>
      </c>
      <c r="S2981" s="44" t="s">
        <v>1722</v>
      </c>
      <c r="T2981" s="44"/>
      <c r="U2981" s="44" t="s">
        <v>3044</v>
      </c>
      <c r="V2981" s="44" t="s">
        <v>1382</v>
      </c>
      <c r="W2981" s="44" t="s">
        <v>1717</v>
      </c>
      <c r="X2981" s="44" t="s">
        <v>1382</v>
      </c>
      <c r="Y2981" s="44" t="s">
        <v>1382</v>
      </c>
      <c r="AA2981" s="323"/>
      <c r="AB2981" s="323"/>
      <c r="AD2981" s="32">
        <v>5</v>
      </c>
      <c r="AE2981" s="32">
        <v>0.5</v>
      </c>
      <c r="AG2981" s="32" t="s">
        <v>3037</v>
      </c>
      <c r="AH2981" s="32" t="s">
        <v>2918</v>
      </c>
      <c r="AI2981" s="32" t="s">
        <v>577</v>
      </c>
      <c r="AJ2981" s="32" t="s">
        <v>1645</v>
      </c>
      <c r="AK2981" s="32" t="s">
        <v>132</v>
      </c>
      <c r="AT2981" s="32" t="s">
        <v>3041</v>
      </c>
      <c r="AU2981" s="32" t="s">
        <v>3041</v>
      </c>
      <c r="AV2981" s="32" t="s">
        <v>177</v>
      </c>
      <c r="AW2981" s="32" t="s">
        <v>160</v>
      </c>
      <c r="AX2981" s="32">
        <v>3</v>
      </c>
      <c r="AZ2981" s="32" t="s">
        <v>141</v>
      </c>
      <c r="BE2981" s="32" t="s">
        <v>3043</v>
      </c>
      <c r="BK2981" s="32">
        <v>4300</v>
      </c>
      <c r="BL2981" s="32">
        <v>7900</v>
      </c>
      <c r="BM2981" s="32">
        <v>380</v>
      </c>
      <c r="BN2981" s="32">
        <v>380</v>
      </c>
      <c r="BP2981" s="397"/>
      <c r="BQ2981" s="397"/>
      <c r="BU2981" s="397"/>
      <c r="BV2981" s="397"/>
      <c r="BZ2981" s="397"/>
      <c r="CA2981" s="397"/>
      <c r="CE2981" s="550"/>
      <c r="CF2981" s="550"/>
      <c r="CG2981" s="550"/>
      <c r="CH2981" s="550"/>
      <c r="JD2981" s="243"/>
    </row>
    <row r="2982" spans="1:264" s="32" customFormat="1" x14ac:dyDescent="0.25">
      <c r="A2982" s="32">
        <v>146</v>
      </c>
      <c r="B2982" s="44" t="s">
        <v>4401</v>
      </c>
      <c r="C2982" s="32" t="s">
        <v>3029</v>
      </c>
      <c r="D2982" s="32" t="s">
        <v>3042</v>
      </c>
      <c r="E2982" s="32">
        <v>1999</v>
      </c>
      <c r="F2982" s="32">
        <v>1991</v>
      </c>
      <c r="G2982" s="32" t="s">
        <v>2766</v>
      </c>
      <c r="H2982" s="32" t="s">
        <v>3032</v>
      </c>
      <c r="I2982" s="32" t="s">
        <v>2829</v>
      </c>
      <c r="J2982" s="32">
        <v>-13.64</v>
      </c>
      <c r="K2982" s="32">
        <v>32.65</v>
      </c>
      <c r="L2982" s="32">
        <v>1020</v>
      </c>
      <c r="O2982" s="32">
        <v>779</v>
      </c>
      <c r="R2982" s="44" t="s">
        <v>1847</v>
      </c>
      <c r="S2982" s="44" t="s">
        <v>1722</v>
      </c>
      <c r="T2982" s="44"/>
      <c r="U2982" s="44" t="s">
        <v>3044</v>
      </c>
      <c r="V2982" s="44" t="s">
        <v>1382</v>
      </c>
      <c r="W2982" s="44" t="s">
        <v>1717</v>
      </c>
      <c r="X2982" s="44" t="s">
        <v>1382</v>
      </c>
      <c r="Y2982" s="44" t="s">
        <v>1382</v>
      </c>
      <c r="AA2982" s="323"/>
      <c r="AB2982" s="323"/>
      <c r="AD2982" s="32">
        <v>5</v>
      </c>
      <c r="AE2982" s="32">
        <v>0.5</v>
      </c>
      <c r="AG2982" s="32" t="s">
        <v>3037</v>
      </c>
      <c r="AH2982" s="32" t="s">
        <v>2918</v>
      </c>
      <c r="AI2982" s="32" t="s">
        <v>577</v>
      </c>
      <c r="AJ2982" s="32" t="s">
        <v>1645</v>
      </c>
      <c r="AK2982" s="32" t="s">
        <v>132</v>
      </c>
      <c r="AT2982" s="32" t="s">
        <v>3041</v>
      </c>
      <c r="AU2982" s="32" t="s">
        <v>3041</v>
      </c>
      <c r="AV2982" s="32" t="s">
        <v>177</v>
      </c>
      <c r="AW2982" s="32" t="s">
        <v>160</v>
      </c>
      <c r="AX2982" s="32">
        <v>3</v>
      </c>
      <c r="AZ2982" s="32" t="s">
        <v>141</v>
      </c>
      <c r="BE2982" s="32" t="s">
        <v>3043</v>
      </c>
      <c r="BK2982" s="32">
        <v>4300</v>
      </c>
      <c r="BL2982" s="32">
        <v>7400</v>
      </c>
      <c r="BM2982" s="32">
        <v>380</v>
      </c>
      <c r="BN2982" s="32">
        <v>380</v>
      </c>
      <c r="BP2982" s="397"/>
      <c r="BQ2982" s="397"/>
      <c r="BU2982" s="397"/>
      <c r="BV2982" s="397"/>
      <c r="BZ2982" s="397"/>
      <c r="CA2982" s="397"/>
      <c r="CE2982" s="550"/>
      <c r="CF2982" s="550"/>
      <c r="CG2982" s="550"/>
      <c r="CH2982" s="550"/>
      <c r="JD2982" s="243"/>
    </row>
    <row r="2983" spans="1:264" s="24" customFormat="1" x14ac:dyDescent="0.25">
      <c r="A2983" s="24">
        <v>146</v>
      </c>
      <c r="B2983" s="42" t="s">
        <v>4400</v>
      </c>
      <c r="C2983" s="24" t="s">
        <v>3029</v>
      </c>
      <c r="D2983" s="24" t="s">
        <v>3042</v>
      </c>
      <c r="E2983" s="24">
        <v>1999</v>
      </c>
      <c r="F2983" s="24">
        <v>1992</v>
      </c>
      <c r="G2983" s="24" t="s">
        <v>2766</v>
      </c>
      <c r="H2983" s="24" t="s">
        <v>3032</v>
      </c>
      <c r="I2983" s="24" t="s">
        <v>2829</v>
      </c>
      <c r="J2983" s="24">
        <v>-13.64</v>
      </c>
      <c r="K2983" s="24">
        <v>32.65</v>
      </c>
      <c r="L2983" s="24">
        <v>1020</v>
      </c>
      <c r="O2983" s="24">
        <v>825</v>
      </c>
      <c r="R2983" s="42" t="s">
        <v>1728</v>
      </c>
      <c r="S2983" s="42" t="s">
        <v>1722</v>
      </c>
      <c r="T2983" s="42"/>
      <c r="U2983" s="42" t="s">
        <v>3044</v>
      </c>
      <c r="V2983" s="42" t="s">
        <v>1382</v>
      </c>
      <c r="W2983" s="42" t="s">
        <v>1717</v>
      </c>
      <c r="X2983" s="42" t="s">
        <v>1382</v>
      </c>
      <c r="Y2983" s="42" t="s">
        <v>1382</v>
      </c>
      <c r="AA2983" s="321"/>
      <c r="AB2983" s="321"/>
      <c r="AD2983" s="24">
        <v>5</v>
      </c>
      <c r="AE2983" s="24">
        <v>0.5</v>
      </c>
      <c r="AG2983" s="24" t="s">
        <v>3037</v>
      </c>
      <c r="AH2983" s="24" t="s">
        <v>2918</v>
      </c>
      <c r="AI2983" s="24" t="s">
        <v>577</v>
      </c>
      <c r="AJ2983" s="24" t="s">
        <v>1645</v>
      </c>
      <c r="AK2983" s="24" t="s">
        <v>132</v>
      </c>
      <c r="AT2983" s="24" t="s">
        <v>3038</v>
      </c>
      <c r="AU2983" s="24" t="s">
        <v>3038</v>
      </c>
      <c r="AV2983" s="24" t="s">
        <v>177</v>
      </c>
      <c r="AW2983" s="24" t="s">
        <v>160</v>
      </c>
      <c r="AX2983" s="24">
        <v>3</v>
      </c>
      <c r="AZ2983" s="24" t="s">
        <v>141</v>
      </c>
      <c r="BE2983" s="24" t="s">
        <v>3043</v>
      </c>
      <c r="BK2983" s="24">
        <v>200</v>
      </c>
      <c r="BL2983" s="24">
        <v>400</v>
      </c>
      <c r="BM2983" s="24">
        <v>80</v>
      </c>
      <c r="BN2983" s="24">
        <v>80</v>
      </c>
      <c r="BP2983" s="395"/>
      <c r="BQ2983" s="395"/>
      <c r="BU2983" s="395"/>
      <c r="BV2983" s="395"/>
      <c r="BZ2983" s="395"/>
      <c r="CA2983" s="395"/>
      <c r="CE2983" s="548"/>
      <c r="CF2983" s="548"/>
      <c r="CG2983" s="548"/>
      <c r="CH2983" s="548"/>
      <c r="JD2983" s="249"/>
    </row>
    <row r="2984" spans="1:264" s="24" customFormat="1" x14ac:dyDescent="0.25">
      <c r="A2984" s="24">
        <v>146</v>
      </c>
      <c r="B2984" s="42" t="s">
        <v>4400</v>
      </c>
      <c r="C2984" s="24" t="s">
        <v>3029</v>
      </c>
      <c r="D2984" s="24" t="s">
        <v>3042</v>
      </c>
      <c r="E2984" s="24">
        <v>1999</v>
      </c>
      <c r="F2984" s="24">
        <v>1992</v>
      </c>
      <c r="G2984" s="24" t="s">
        <v>2766</v>
      </c>
      <c r="H2984" s="24" t="s">
        <v>3032</v>
      </c>
      <c r="I2984" s="24" t="s">
        <v>2829</v>
      </c>
      <c r="J2984" s="24">
        <v>-13.64</v>
      </c>
      <c r="K2984" s="24">
        <v>32.65</v>
      </c>
      <c r="L2984" s="24">
        <v>1020</v>
      </c>
      <c r="O2984" s="24">
        <v>825</v>
      </c>
      <c r="R2984" s="42" t="s">
        <v>1728</v>
      </c>
      <c r="S2984" s="42" t="s">
        <v>1722</v>
      </c>
      <c r="T2984" s="42"/>
      <c r="U2984" s="42" t="s">
        <v>3044</v>
      </c>
      <c r="V2984" s="42" t="s">
        <v>1382</v>
      </c>
      <c r="W2984" s="42" t="s">
        <v>1717</v>
      </c>
      <c r="X2984" s="42" t="s">
        <v>1382</v>
      </c>
      <c r="Y2984" s="42" t="s">
        <v>1382</v>
      </c>
      <c r="AA2984" s="321"/>
      <c r="AB2984" s="321"/>
      <c r="AD2984" s="24">
        <v>5</v>
      </c>
      <c r="AE2984" s="24">
        <v>0.5</v>
      </c>
      <c r="AG2984" s="24" t="s">
        <v>3037</v>
      </c>
      <c r="AH2984" s="24" t="s">
        <v>2918</v>
      </c>
      <c r="AI2984" s="24" t="s">
        <v>577</v>
      </c>
      <c r="AJ2984" s="24" t="s">
        <v>1645</v>
      </c>
      <c r="AK2984" s="24" t="s">
        <v>132</v>
      </c>
      <c r="AT2984" s="24" t="s">
        <v>3038</v>
      </c>
      <c r="AU2984" s="24" t="s">
        <v>3038</v>
      </c>
      <c r="AV2984" s="24" t="s">
        <v>177</v>
      </c>
      <c r="AW2984" s="24" t="s">
        <v>160</v>
      </c>
      <c r="AX2984" s="24">
        <v>3</v>
      </c>
      <c r="AZ2984" s="24" t="s">
        <v>141</v>
      </c>
      <c r="BE2984" s="24" t="s">
        <v>3043</v>
      </c>
      <c r="BK2984" s="24">
        <v>200</v>
      </c>
      <c r="BL2984" s="24">
        <v>500</v>
      </c>
      <c r="BM2984" s="24">
        <v>80</v>
      </c>
      <c r="BN2984" s="24">
        <v>80</v>
      </c>
      <c r="BP2984" s="395"/>
      <c r="BQ2984" s="395"/>
      <c r="BU2984" s="395"/>
      <c r="BV2984" s="395"/>
      <c r="BZ2984" s="395"/>
      <c r="CA2984" s="395"/>
      <c r="CE2984" s="548"/>
      <c r="CF2984" s="548"/>
      <c r="CG2984" s="548"/>
      <c r="CH2984" s="548"/>
      <c r="JD2984" s="249"/>
    </row>
    <row r="2985" spans="1:264" s="24" customFormat="1" x14ac:dyDescent="0.25">
      <c r="A2985" s="24">
        <v>146</v>
      </c>
      <c r="B2985" s="42" t="s">
        <v>4400</v>
      </c>
      <c r="C2985" s="24" t="s">
        <v>3029</v>
      </c>
      <c r="D2985" s="24" t="s">
        <v>3042</v>
      </c>
      <c r="E2985" s="24">
        <v>1999</v>
      </c>
      <c r="F2985" s="24">
        <v>1992</v>
      </c>
      <c r="G2985" s="24" t="s">
        <v>2766</v>
      </c>
      <c r="H2985" s="24" t="s">
        <v>3032</v>
      </c>
      <c r="I2985" s="24" t="s">
        <v>2829</v>
      </c>
      <c r="J2985" s="24">
        <v>-13.64</v>
      </c>
      <c r="K2985" s="24">
        <v>32.65</v>
      </c>
      <c r="L2985" s="24">
        <v>1020</v>
      </c>
      <c r="O2985" s="24">
        <v>825</v>
      </c>
      <c r="R2985" s="42" t="s">
        <v>1728</v>
      </c>
      <c r="S2985" s="42" t="s">
        <v>1722</v>
      </c>
      <c r="T2985" s="42"/>
      <c r="U2985" s="42" t="s">
        <v>3044</v>
      </c>
      <c r="V2985" s="42" t="s">
        <v>1382</v>
      </c>
      <c r="W2985" s="42" t="s">
        <v>1717</v>
      </c>
      <c r="X2985" s="42" t="s">
        <v>1382</v>
      </c>
      <c r="Y2985" s="42" t="s">
        <v>1382</v>
      </c>
      <c r="AA2985" s="321"/>
      <c r="AB2985" s="321"/>
      <c r="AD2985" s="24">
        <v>5</v>
      </c>
      <c r="AE2985" s="24">
        <v>0.5</v>
      </c>
      <c r="AG2985" s="24" t="s">
        <v>3037</v>
      </c>
      <c r="AH2985" s="24" t="s">
        <v>2918</v>
      </c>
      <c r="AI2985" s="24" t="s">
        <v>577</v>
      </c>
      <c r="AJ2985" s="24" t="s">
        <v>1645</v>
      </c>
      <c r="AK2985" s="24" t="s">
        <v>132</v>
      </c>
      <c r="AT2985" s="24" t="s">
        <v>3038</v>
      </c>
      <c r="AU2985" s="24" t="s">
        <v>3038</v>
      </c>
      <c r="AV2985" s="24" t="s">
        <v>177</v>
      </c>
      <c r="AW2985" s="24" t="s">
        <v>160</v>
      </c>
      <c r="AX2985" s="24">
        <v>3</v>
      </c>
      <c r="AZ2985" s="24" t="s">
        <v>141</v>
      </c>
      <c r="BE2985" s="24" t="s">
        <v>3043</v>
      </c>
      <c r="BK2985" s="24">
        <v>200</v>
      </c>
      <c r="BL2985" s="24">
        <v>900</v>
      </c>
      <c r="BM2985" s="24">
        <v>80</v>
      </c>
      <c r="BN2985" s="24">
        <v>80</v>
      </c>
      <c r="BP2985" s="395"/>
      <c r="BQ2985" s="395"/>
      <c r="BU2985" s="395"/>
      <c r="BV2985" s="395"/>
      <c r="BZ2985" s="395"/>
      <c r="CA2985" s="395"/>
      <c r="CE2985" s="548"/>
      <c r="CF2985" s="548"/>
      <c r="CG2985" s="548"/>
      <c r="CH2985" s="548"/>
      <c r="JD2985" s="249"/>
    </row>
    <row r="2986" spans="1:264" s="32" customFormat="1" x14ac:dyDescent="0.25">
      <c r="A2986" s="32">
        <v>146</v>
      </c>
      <c r="B2986" s="44" t="s">
        <v>4401</v>
      </c>
      <c r="C2986" s="32" t="s">
        <v>3029</v>
      </c>
      <c r="D2986" s="32" t="s">
        <v>3042</v>
      </c>
      <c r="E2986" s="32">
        <v>1999</v>
      </c>
      <c r="F2986" s="32">
        <v>1992</v>
      </c>
      <c r="G2986" s="32" t="s">
        <v>2766</v>
      </c>
      <c r="H2986" s="32" t="s">
        <v>3032</v>
      </c>
      <c r="I2986" s="32" t="s">
        <v>2829</v>
      </c>
      <c r="J2986" s="32">
        <v>-13.64</v>
      </c>
      <c r="K2986" s="32">
        <v>32.65</v>
      </c>
      <c r="L2986" s="32">
        <v>1020</v>
      </c>
      <c r="O2986" s="32">
        <v>825</v>
      </c>
      <c r="R2986" s="44" t="s">
        <v>1728</v>
      </c>
      <c r="S2986" s="44" t="s">
        <v>1722</v>
      </c>
      <c r="T2986" s="44"/>
      <c r="U2986" s="44" t="s">
        <v>3044</v>
      </c>
      <c r="V2986" s="44" t="s">
        <v>1382</v>
      </c>
      <c r="W2986" s="44" t="s">
        <v>1717</v>
      </c>
      <c r="X2986" s="44" t="s">
        <v>1382</v>
      </c>
      <c r="Y2986" s="44" t="s">
        <v>1382</v>
      </c>
      <c r="AA2986" s="323"/>
      <c r="AB2986" s="323"/>
      <c r="AD2986" s="32">
        <v>5</v>
      </c>
      <c r="AE2986" s="32">
        <v>0.5</v>
      </c>
      <c r="AG2986" s="32" t="s">
        <v>3037</v>
      </c>
      <c r="AH2986" s="32" t="s">
        <v>2918</v>
      </c>
      <c r="AI2986" s="32" t="s">
        <v>577</v>
      </c>
      <c r="AJ2986" s="32" t="s">
        <v>1645</v>
      </c>
      <c r="AK2986" s="32" t="s">
        <v>132</v>
      </c>
      <c r="AT2986" s="32" t="s">
        <v>3041</v>
      </c>
      <c r="AU2986" s="32" t="s">
        <v>3041</v>
      </c>
      <c r="AV2986" s="32" t="s">
        <v>177</v>
      </c>
      <c r="AW2986" s="32" t="s">
        <v>160</v>
      </c>
      <c r="AX2986" s="32">
        <v>3</v>
      </c>
      <c r="AZ2986" s="32" t="s">
        <v>141</v>
      </c>
      <c r="BE2986" s="32" t="s">
        <v>3043</v>
      </c>
      <c r="BK2986" s="32">
        <v>1800</v>
      </c>
      <c r="BL2986" s="32">
        <v>500</v>
      </c>
      <c r="BM2986" s="32">
        <v>80</v>
      </c>
      <c r="BN2986" s="32">
        <v>80</v>
      </c>
      <c r="BP2986" s="397"/>
      <c r="BQ2986" s="397"/>
      <c r="BU2986" s="397"/>
      <c r="BV2986" s="397"/>
      <c r="BZ2986" s="397"/>
      <c r="CA2986" s="397"/>
      <c r="CE2986" s="550"/>
      <c r="CF2986" s="550"/>
      <c r="CG2986" s="550"/>
      <c r="CH2986" s="550"/>
      <c r="JD2986" s="243"/>
    </row>
    <row r="2987" spans="1:264" s="32" customFormat="1" x14ac:dyDescent="0.25">
      <c r="A2987" s="32">
        <v>146</v>
      </c>
      <c r="B2987" s="44" t="s">
        <v>4401</v>
      </c>
      <c r="C2987" s="32" t="s">
        <v>3029</v>
      </c>
      <c r="D2987" s="32" t="s">
        <v>3042</v>
      </c>
      <c r="E2987" s="32">
        <v>1999</v>
      </c>
      <c r="F2987" s="32">
        <v>1992</v>
      </c>
      <c r="G2987" s="32" t="s">
        <v>2766</v>
      </c>
      <c r="H2987" s="32" t="s">
        <v>3032</v>
      </c>
      <c r="I2987" s="32" t="s">
        <v>2829</v>
      </c>
      <c r="J2987" s="32">
        <v>-13.64</v>
      </c>
      <c r="K2987" s="32">
        <v>32.65</v>
      </c>
      <c r="L2987" s="32">
        <v>1020</v>
      </c>
      <c r="O2987" s="32">
        <v>825</v>
      </c>
      <c r="R2987" s="44" t="s">
        <v>1728</v>
      </c>
      <c r="S2987" s="44" t="s">
        <v>1722</v>
      </c>
      <c r="T2987" s="44"/>
      <c r="U2987" s="44" t="s">
        <v>3044</v>
      </c>
      <c r="V2987" s="44" t="s">
        <v>1382</v>
      </c>
      <c r="W2987" s="44" t="s">
        <v>1717</v>
      </c>
      <c r="X2987" s="44" t="s">
        <v>1382</v>
      </c>
      <c r="Y2987" s="44" t="s">
        <v>1382</v>
      </c>
      <c r="AA2987" s="323"/>
      <c r="AB2987" s="323"/>
      <c r="AD2987" s="32">
        <v>5</v>
      </c>
      <c r="AE2987" s="32">
        <v>0.5</v>
      </c>
      <c r="AG2987" s="32" t="s">
        <v>3037</v>
      </c>
      <c r="AH2987" s="32" t="s">
        <v>2918</v>
      </c>
      <c r="AI2987" s="32" t="s">
        <v>577</v>
      </c>
      <c r="AJ2987" s="32" t="s">
        <v>1645</v>
      </c>
      <c r="AK2987" s="32" t="s">
        <v>132</v>
      </c>
      <c r="AT2987" s="32" t="s">
        <v>3041</v>
      </c>
      <c r="AU2987" s="32" t="s">
        <v>3041</v>
      </c>
      <c r="AV2987" s="32" t="s">
        <v>177</v>
      </c>
      <c r="AW2987" s="32" t="s">
        <v>160</v>
      </c>
      <c r="AX2987" s="32">
        <v>3</v>
      </c>
      <c r="AZ2987" s="32" t="s">
        <v>141</v>
      </c>
      <c r="BE2987" s="32" t="s">
        <v>3043</v>
      </c>
      <c r="BK2987" s="32">
        <v>1800</v>
      </c>
      <c r="BL2987" s="32">
        <v>500</v>
      </c>
      <c r="BM2987" s="32">
        <v>80</v>
      </c>
      <c r="BN2987" s="32">
        <v>80</v>
      </c>
      <c r="BP2987" s="397"/>
      <c r="BQ2987" s="397"/>
      <c r="BU2987" s="397"/>
      <c r="BV2987" s="397"/>
      <c r="BZ2987" s="397"/>
      <c r="CA2987" s="397"/>
      <c r="CE2987" s="550"/>
      <c r="CF2987" s="550"/>
      <c r="CG2987" s="550"/>
      <c r="CH2987" s="550"/>
      <c r="JD2987" s="243"/>
    </row>
    <row r="2988" spans="1:264" s="32" customFormat="1" x14ac:dyDescent="0.25">
      <c r="A2988" s="32">
        <v>146</v>
      </c>
      <c r="B2988" s="44" t="s">
        <v>4401</v>
      </c>
      <c r="C2988" s="32" t="s">
        <v>3029</v>
      </c>
      <c r="D2988" s="32" t="s">
        <v>3042</v>
      </c>
      <c r="E2988" s="32">
        <v>1999</v>
      </c>
      <c r="F2988" s="32">
        <v>1992</v>
      </c>
      <c r="G2988" s="32" t="s">
        <v>2766</v>
      </c>
      <c r="H2988" s="32" t="s">
        <v>3032</v>
      </c>
      <c r="I2988" s="32" t="s">
        <v>2829</v>
      </c>
      <c r="J2988" s="32">
        <v>-13.64</v>
      </c>
      <c r="K2988" s="32">
        <v>32.65</v>
      </c>
      <c r="L2988" s="32">
        <v>1020</v>
      </c>
      <c r="O2988" s="32">
        <v>825</v>
      </c>
      <c r="R2988" s="44" t="s">
        <v>1728</v>
      </c>
      <c r="S2988" s="44" t="s">
        <v>1722</v>
      </c>
      <c r="T2988" s="44"/>
      <c r="U2988" s="44" t="s">
        <v>3044</v>
      </c>
      <c r="V2988" s="44" t="s">
        <v>1382</v>
      </c>
      <c r="W2988" s="44" t="s">
        <v>1717</v>
      </c>
      <c r="X2988" s="44" t="s">
        <v>1382</v>
      </c>
      <c r="Y2988" s="44" t="s">
        <v>1382</v>
      </c>
      <c r="AA2988" s="323"/>
      <c r="AB2988" s="323"/>
      <c r="AD2988" s="32">
        <v>5</v>
      </c>
      <c r="AE2988" s="32">
        <v>0.5</v>
      </c>
      <c r="AG2988" s="32" t="s">
        <v>3037</v>
      </c>
      <c r="AH2988" s="32" t="s">
        <v>2918</v>
      </c>
      <c r="AI2988" s="32" t="s">
        <v>577</v>
      </c>
      <c r="AJ2988" s="32" t="s">
        <v>1645</v>
      </c>
      <c r="AK2988" s="32" t="s">
        <v>132</v>
      </c>
      <c r="AT2988" s="32" t="s">
        <v>3041</v>
      </c>
      <c r="AU2988" s="32" t="s">
        <v>3041</v>
      </c>
      <c r="AV2988" s="32" t="s">
        <v>177</v>
      </c>
      <c r="AW2988" s="32" t="s">
        <v>160</v>
      </c>
      <c r="AX2988" s="32">
        <v>3</v>
      </c>
      <c r="AZ2988" s="32" t="s">
        <v>141</v>
      </c>
      <c r="BE2988" s="32" t="s">
        <v>3043</v>
      </c>
      <c r="BK2988" s="32">
        <v>1800</v>
      </c>
      <c r="BL2988" s="32">
        <v>900</v>
      </c>
      <c r="BM2988" s="32">
        <v>80</v>
      </c>
      <c r="BN2988" s="32">
        <v>80</v>
      </c>
      <c r="BP2988" s="397"/>
      <c r="BQ2988" s="397"/>
      <c r="BU2988" s="397"/>
      <c r="BV2988" s="397"/>
      <c r="BZ2988" s="397"/>
      <c r="CA2988" s="397"/>
      <c r="CE2988" s="550"/>
      <c r="CF2988" s="550"/>
      <c r="CG2988" s="550"/>
      <c r="CH2988" s="550"/>
      <c r="JD2988" s="243"/>
    </row>
    <row r="2989" spans="1:264" s="24" customFormat="1" x14ac:dyDescent="0.25">
      <c r="A2989" s="24">
        <v>146</v>
      </c>
      <c r="B2989" s="42" t="s">
        <v>4400</v>
      </c>
      <c r="C2989" s="24" t="s">
        <v>3029</v>
      </c>
      <c r="D2989" s="24" t="s">
        <v>3042</v>
      </c>
      <c r="E2989" s="24">
        <v>1999</v>
      </c>
      <c r="F2989" s="24">
        <v>1993</v>
      </c>
      <c r="G2989" s="24" t="s">
        <v>2766</v>
      </c>
      <c r="H2989" s="24" t="s">
        <v>3032</v>
      </c>
      <c r="I2989" s="24" t="s">
        <v>2829</v>
      </c>
      <c r="J2989" s="24">
        <v>-13.64</v>
      </c>
      <c r="K2989" s="24">
        <v>32.65</v>
      </c>
      <c r="L2989" s="24">
        <v>1020</v>
      </c>
      <c r="O2989" s="24">
        <v>1337</v>
      </c>
      <c r="R2989" s="42" t="s">
        <v>1858</v>
      </c>
      <c r="S2989" s="42" t="s">
        <v>1722</v>
      </c>
      <c r="T2989" s="42"/>
      <c r="U2989" s="42" t="s">
        <v>3044</v>
      </c>
      <c r="V2989" s="42" t="s">
        <v>1382</v>
      </c>
      <c r="W2989" s="42" t="s">
        <v>1717</v>
      </c>
      <c r="X2989" s="42" t="s">
        <v>1382</v>
      </c>
      <c r="Y2989" s="42" t="s">
        <v>1382</v>
      </c>
      <c r="AA2989" s="321"/>
      <c r="AB2989" s="321"/>
      <c r="AD2989" s="24">
        <v>5</v>
      </c>
      <c r="AE2989" s="24">
        <v>0.5</v>
      </c>
      <c r="AG2989" s="24" t="s">
        <v>3037</v>
      </c>
      <c r="AH2989" s="24" t="s">
        <v>2918</v>
      </c>
      <c r="AI2989" s="24" t="s">
        <v>577</v>
      </c>
      <c r="AJ2989" s="24" t="s">
        <v>1645</v>
      </c>
      <c r="AK2989" s="24" t="s">
        <v>132</v>
      </c>
      <c r="AT2989" s="24" t="s">
        <v>3038</v>
      </c>
      <c r="AU2989" s="24" t="s">
        <v>3038</v>
      </c>
      <c r="AV2989" s="24" t="s">
        <v>177</v>
      </c>
      <c r="AW2989" s="24" t="s">
        <v>160</v>
      </c>
      <c r="AX2989" s="24">
        <v>3</v>
      </c>
      <c r="AZ2989" s="24" t="s">
        <v>141</v>
      </c>
      <c r="BE2989" s="24" t="s">
        <v>3043</v>
      </c>
      <c r="BK2989" s="24">
        <v>900</v>
      </c>
      <c r="BL2989" s="24">
        <v>1500</v>
      </c>
      <c r="BM2989" s="24">
        <v>180</v>
      </c>
      <c r="BN2989" s="24">
        <v>180</v>
      </c>
      <c r="BP2989" s="395"/>
      <c r="BQ2989" s="395"/>
      <c r="BU2989" s="395"/>
      <c r="BV2989" s="395"/>
      <c r="BZ2989" s="395"/>
      <c r="CA2989" s="395"/>
      <c r="CE2989" s="548"/>
      <c r="CF2989" s="548"/>
      <c r="CG2989" s="548"/>
      <c r="CH2989" s="548"/>
      <c r="JD2989" s="249"/>
    </row>
    <row r="2990" spans="1:264" s="24" customFormat="1" x14ac:dyDescent="0.25">
      <c r="A2990" s="24">
        <v>146</v>
      </c>
      <c r="B2990" s="42" t="s">
        <v>4400</v>
      </c>
      <c r="C2990" s="24" t="s">
        <v>3029</v>
      </c>
      <c r="D2990" s="24" t="s">
        <v>3042</v>
      </c>
      <c r="E2990" s="24">
        <v>1999</v>
      </c>
      <c r="F2990" s="24">
        <v>1993</v>
      </c>
      <c r="G2990" s="24" t="s">
        <v>2766</v>
      </c>
      <c r="H2990" s="24" t="s">
        <v>3032</v>
      </c>
      <c r="I2990" s="24" t="s">
        <v>2829</v>
      </c>
      <c r="J2990" s="24">
        <v>-13.64</v>
      </c>
      <c r="K2990" s="24">
        <v>32.65</v>
      </c>
      <c r="L2990" s="24">
        <v>1020</v>
      </c>
      <c r="O2990" s="24">
        <v>1337</v>
      </c>
      <c r="R2990" s="42" t="s">
        <v>1858</v>
      </c>
      <c r="S2990" s="42" t="s">
        <v>1722</v>
      </c>
      <c r="T2990" s="42"/>
      <c r="U2990" s="42" t="s">
        <v>3044</v>
      </c>
      <c r="V2990" s="42" t="s">
        <v>1382</v>
      </c>
      <c r="W2990" s="42" t="s">
        <v>1717</v>
      </c>
      <c r="X2990" s="42" t="s">
        <v>1382</v>
      </c>
      <c r="Y2990" s="42" t="s">
        <v>1382</v>
      </c>
      <c r="AA2990" s="321"/>
      <c r="AB2990" s="321"/>
      <c r="AD2990" s="24">
        <v>5</v>
      </c>
      <c r="AE2990" s="24">
        <v>0.5</v>
      </c>
      <c r="AG2990" s="24" t="s">
        <v>3037</v>
      </c>
      <c r="AH2990" s="24" t="s">
        <v>2918</v>
      </c>
      <c r="AI2990" s="24" t="s">
        <v>577</v>
      </c>
      <c r="AJ2990" s="24" t="s">
        <v>1645</v>
      </c>
      <c r="AK2990" s="24" t="s">
        <v>132</v>
      </c>
      <c r="AT2990" s="24" t="s">
        <v>3038</v>
      </c>
      <c r="AU2990" s="24" t="s">
        <v>3038</v>
      </c>
      <c r="AV2990" s="24" t="s">
        <v>177</v>
      </c>
      <c r="AW2990" s="24" t="s">
        <v>160</v>
      </c>
      <c r="AX2990" s="24">
        <v>3</v>
      </c>
      <c r="AZ2990" s="24" t="s">
        <v>141</v>
      </c>
      <c r="BE2990" s="24" t="s">
        <v>3043</v>
      </c>
      <c r="BK2990" s="24">
        <v>900</v>
      </c>
      <c r="BL2990" s="24">
        <v>1700</v>
      </c>
      <c r="BM2990" s="24">
        <v>180</v>
      </c>
      <c r="BN2990" s="24">
        <v>180</v>
      </c>
      <c r="BP2990" s="395"/>
      <c r="BQ2990" s="395"/>
      <c r="BU2990" s="395"/>
      <c r="BV2990" s="395"/>
      <c r="BZ2990" s="395"/>
      <c r="CA2990" s="395"/>
      <c r="CE2990" s="548"/>
      <c r="CF2990" s="548"/>
      <c r="CG2990" s="548"/>
      <c r="CH2990" s="548"/>
      <c r="JD2990" s="249"/>
    </row>
    <row r="2991" spans="1:264" s="24" customFormat="1" x14ac:dyDescent="0.25">
      <c r="A2991" s="24">
        <v>146</v>
      </c>
      <c r="B2991" s="42" t="s">
        <v>4400</v>
      </c>
      <c r="C2991" s="24" t="s">
        <v>3029</v>
      </c>
      <c r="D2991" s="24" t="s">
        <v>3042</v>
      </c>
      <c r="E2991" s="24">
        <v>1999</v>
      </c>
      <c r="F2991" s="24">
        <v>1993</v>
      </c>
      <c r="G2991" s="24" t="s">
        <v>2766</v>
      </c>
      <c r="H2991" s="24" t="s">
        <v>3032</v>
      </c>
      <c r="I2991" s="24" t="s">
        <v>2829</v>
      </c>
      <c r="J2991" s="24">
        <v>-13.64</v>
      </c>
      <c r="K2991" s="24">
        <v>32.65</v>
      </c>
      <c r="L2991" s="24">
        <v>1020</v>
      </c>
      <c r="O2991" s="24">
        <v>1337</v>
      </c>
      <c r="R2991" s="42" t="s">
        <v>1858</v>
      </c>
      <c r="S2991" s="42" t="s">
        <v>1722</v>
      </c>
      <c r="T2991" s="42"/>
      <c r="U2991" s="42" t="s">
        <v>3044</v>
      </c>
      <c r="V2991" s="42" t="s">
        <v>1382</v>
      </c>
      <c r="W2991" s="42" t="s">
        <v>1717</v>
      </c>
      <c r="X2991" s="42" t="s">
        <v>1382</v>
      </c>
      <c r="Y2991" s="42" t="s">
        <v>1382</v>
      </c>
      <c r="AA2991" s="321"/>
      <c r="AB2991" s="321"/>
      <c r="AD2991" s="24">
        <v>5</v>
      </c>
      <c r="AE2991" s="24">
        <v>0.5</v>
      </c>
      <c r="AG2991" s="24" t="s">
        <v>3037</v>
      </c>
      <c r="AH2991" s="24" t="s">
        <v>2918</v>
      </c>
      <c r="AI2991" s="24" t="s">
        <v>577</v>
      </c>
      <c r="AJ2991" s="24" t="s">
        <v>1645</v>
      </c>
      <c r="AK2991" s="24" t="s">
        <v>132</v>
      </c>
      <c r="AT2991" s="24" t="s">
        <v>3038</v>
      </c>
      <c r="AU2991" s="24" t="s">
        <v>3038</v>
      </c>
      <c r="AV2991" s="24" t="s">
        <v>177</v>
      </c>
      <c r="AW2991" s="24" t="s">
        <v>160</v>
      </c>
      <c r="AX2991" s="24">
        <v>3</v>
      </c>
      <c r="AZ2991" s="24" t="s">
        <v>141</v>
      </c>
      <c r="BE2991" s="24" t="s">
        <v>3043</v>
      </c>
      <c r="BK2991" s="24">
        <v>900</v>
      </c>
      <c r="BL2991" s="24">
        <v>1700</v>
      </c>
      <c r="BM2991" s="24">
        <v>180</v>
      </c>
      <c r="BN2991" s="24">
        <v>180</v>
      </c>
      <c r="BP2991" s="395"/>
      <c r="BQ2991" s="395"/>
      <c r="BU2991" s="395"/>
      <c r="BV2991" s="395"/>
      <c r="BZ2991" s="395"/>
      <c r="CA2991" s="395"/>
      <c r="CE2991" s="548"/>
      <c r="CF2991" s="548"/>
      <c r="CG2991" s="548"/>
      <c r="CH2991" s="548"/>
      <c r="JD2991" s="249"/>
    </row>
    <row r="2992" spans="1:264" s="32" customFormat="1" x14ac:dyDescent="0.25">
      <c r="A2992" s="32">
        <v>146</v>
      </c>
      <c r="B2992" s="44" t="s">
        <v>4401</v>
      </c>
      <c r="C2992" s="32" t="s">
        <v>3029</v>
      </c>
      <c r="D2992" s="32" t="s">
        <v>3042</v>
      </c>
      <c r="E2992" s="32">
        <v>1999</v>
      </c>
      <c r="F2992" s="32">
        <v>1993</v>
      </c>
      <c r="G2992" s="32" t="s">
        <v>2766</v>
      </c>
      <c r="H2992" s="32" t="s">
        <v>3032</v>
      </c>
      <c r="I2992" s="32" t="s">
        <v>2829</v>
      </c>
      <c r="J2992" s="32">
        <v>-13.64</v>
      </c>
      <c r="K2992" s="32">
        <v>32.65</v>
      </c>
      <c r="L2992" s="32">
        <v>1020</v>
      </c>
      <c r="O2992" s="32">
        <v>1337</v>
      </c>
      <c r="R2992" s="44" t="s">
        <v>1858</v>
      </c>
      <c r="S2992" s="44" t="s">
        <v>1722</v>
      </c>
      <c r="T2992" s="44"/>
      <c r="U2992" s="44" t="s">
        <v>3044</v>
      </c>
      <c r="V2992" s="44" t="s">
        <v>1382</v>
      </c>
      <c r="W2992" s="44" t="s">
        <v>1717</v>
      </c>
      <c r="X2992" s="44" t="s">
        <v>1382</v>
      </c>
      <c r="Y2992" s="44" t="s">
        <v>1382</v>
      </c>
      <c r="AA2992" s="323"/>
      <c r="AB2992" s="323"/>
      <c r="AD2992" s="32">
        <v>5</v>
      </c>
      <c r="AE2992" s="32">
        <v>0.5</v>
      </c>
      <c r="AG2992" s="32" t="s">
        <v>3037</v>
      </c>
      <c r="AH2992" s="32" t="s">
        <v>2918</v>
      </c>
      <c r="AI2992" s="32" t="s">
        <v>577</v>
      </c>
      <c r="AJ2992" s="32" t="s">
        <v>1645</v>
      </c>
      <c r="AK2992" s="32" t="s">
        <v>132</v>
      </c>
      <c r="AT2992" s="32" t="s">
        <v>3041</v>
      </c>
      <c r="AU2992" s="32" t="s">
        <v>3041</v>
      </c>
      <c r="AV2992" s="32" t="s">
        <v>177</v>
      </c>
      <c r="AW2992" s="32" t="s">
        <v>160</v>
      </c>
      <c r="AX2992" s="32">
        <v>3</v>
      </c>
      <c r="AZ2992" s="32" t="s">
        <v>141</v>
      </c>
      <c r="BE2992" s="32" t="s">
        <v>3043</v>
      </c>
      <c r="BK2992" s="32">
        <v>5800</v>
      </c>
      <c r="BL2992" s="32">
        <v>5700</v>
      </c>
      <c r="BM2992" s="32">
        <v>180</v>
      </c>
      <c r="BN2992" s="32">
        <v>180</v>
      </c>
      <c r="BP2992" s="397"/>
      <c r="BQ2992" s="397"/>
      <c r="BU2992" s="397"/>
      <c r="BV2992" s="397"/>
      <c r="BZ2992" s="397"/>
      <c r="CA2992" s="397"/>
      <c r="CE2992" s="550"/>
      <c r="CF2992" s="550"/>
      <c r="CG2992" s="550"/>
      <c r="CH2992" s="550"/>
      <c r="JD2992" s="243"/>
    </row>
    <row r="2993" spans="1:264" s="32" customFormat="1" x14ac:dyDescent="0.25">
      <c r="A2993" s="32">
        <v>146</v>
      </c>
      <c r="B2993" s="44" t="s">
        <v>4401</v>
      </c>
      <c r="C2993" s="32" t="s">
        <v>3029</v>
      </c>
      <c r="D2993" s="32" t="s">
        <v>3042</v>
      </c>
      <c r="E2993" s="32">
        <v>1999</v>
      </c>
      <c r="F2993" s="32">
        <v>1993</v>
      </c>
      <c r="G2993" s="32" t="s">
        <v>2766</v>
      </c>
      <c r="H2993" s="32" t="s">
        <v>3032</v>
      </c>
      <c r="I2993" s="32" t="s">
        <v>2829</v>
      </c>
      <c r="J2993" s="32">
        <v>-13.64</v>
      </c>
      <c r="K2993" s="32">
        <v>32.65</v>
      </c>
      <c r="L2993" s="32">
        <v>1020</v>
      </c>
      <c r="O2993" s="32">
        <v>1337</v>
      </c>
      <c r="R2993" s="44" t="s">
        <v>1858</v>
      </c>
      <c r="S2993" s="44" t="s">
        <v>1722</v>
      </c>
      <c r="T2993" s="44"/>
      <c r="U2993" s="44" t="s">
        <v>3044</v>
      </c>
      <c r="V2993" s="44" t="s">
        <v>1382</v>
      </c>
      <c r="W2993" s="44" t="s">
        <v>1717</v>
      </c>
      <c r="X2993" s="44" t="s">
        <v>1382</v>
      </c>
      <c r="Y2993" s="44" t="s">
        <v>1382</v>
      </c>
      <c r="AA2993" s="323"/>
      <c r="AB2993" s="323"/>
      <c r="AD2993" s="32">
        <v>5</v>
      </c>
      <c r="AE2993" s="32">
        <v>0.5</v>
      </c>
      <c r="AG2993" s="32" t="s">
        <v>3037</v>
      </c>
      <c r="AH2993" s="32" t="s">
        <v>2918</v>
      </c>
      <c r="AI2993" s="32" t="s">
        <v>577</v>
      </c>
      <c r="AJ2993" s="32" t="s">
        <v>1645</v>
      </c>
      <c r="AK2993" s="32" t="s">
        <v>132</v>
      </c>
      <c r="AT2993" s="32" t="s">
        <v>3041</v>
      </c>
      <c r="AU2993" s="32" t="s">
        <v>3041</v>
      </c>
      <c r="AV2993" s="32" t="s">
        <v>177</v>
      </c>
      <c r="AW2993" s="32" t="s">
        <v>160</v>
      </c>
      <c r="AX2993" s="32">
        <v>3</v>
      </c>
      <c r="AZ2993" s="32" t="s">
        <v>141</v>
      </c>
      <c r="BE2993" s="32" t="s">
        <v>3043</v>
      </c>
      <c r="BK2993" s="32">
        <v>5800</v>
      </c>
      <c r="BL2993" s="32">
        <v>5400</v>
      </c>
      <c r="BM2993" s="32">
        <v>180</v>
      </c>
      <c r="BN2993" s="32">
        <v>180</v>
      </c>
      <c r="BP2993" s="397"/>
      <c r="BQ2993" s="397"/>
      <c r="BU2993" s="397"/>
      <c r="BV2993" s="397"/>
      <c r="BZ2993" s="397"/>
      <c r="CA2993" s="397"/>
      <c r="CE2993" s="550"/>
      <c r="CF2993" s="550"/>
      <c r="CG2993" s="550"/>
      <c r="CH2993" s="550"/>
      <c r="JD2993" s="243"/>
    </row>
    <row r="2994" spans="1:264" s="32" customFormat="1" x14ac:dyDescent="0.25">
      <c r="A2994" s="32">
        <v>146</v>
      </c>
      <c r="B2994" s="44" t="s">
        <v>4401</v>
      </c>
      <c r="C2994" s="32" t="s">
        <v>3029</v>
      </c>
      <c r="D2994" s="32" t="s">
        <v>3042</v>
      </c>
      <c r="E2994" s="32">
        <v>1999</v>
      </c>
      <c r="F2994" s="32">
        <v>1993</v>
      </c>
      <c r="G2994" s="32" t="s">
        <v>2766</v>
      </c>
      <c r="H2994" s="32" t="s">
        <v>3032</v>
      </c>
      <c r="I2994" s="32" t="s">
        <v>2829</v>
      </c>
      <c r="J2994" s="32">
        <v>-13.64</v>
      </c>
      <c r="K2994" s="32">
        <v>32.65</v>
      </c>
      <c r="L2994" s="32">
        <v>1020</v>
      </c>
      <c r="O2994" s="32">
        <v>1337</v>
      </c>
      <c r="R2994" s="44" t="s">
        <v>1858</v>
      </c>
      <c r="S2994" s="44" t="s">
        <v>1722</v>
      </c>
      <c r="T2994" s="44"/>
      <c r="U2994" s="44" t="s">
        <v>3044</v>
      </c>
      <c r="V2994" s="44" t="s">
        <v>1382</v>
      </c>
      <c r="W2994" s="44" t="s">
        <v>1717</v>
      </c>
      <c r="X2994" s="44" t="s">
        <v>1382</v>
      </c>
      <c r="Y2994" s="44" t="s">
        <v>1382</v>
      </c>
      <c r="AA2994" s="323"/>
      <c r="AB2994" s="323"/>
      <c r="AD2994" s="32">
        <v>5</v>
      </c>
      <c r="AE2994" s="32">
        <v>0.5</v>
      </c>
      <c r="AG2994" s="32" t="s">
        <v>3037</v>
      </c>
      <c r="AH2994" s="32" t="s">
        <v>2918</v>
      </c>
      <c r="AI2994" s="32" t="s">
        <v>577</v>
      </c>
      <c r="AJ2994" s="32" t="s">
        <v>1645</v>
      </c>
      <c r="AK2994" s="32" t="s">
        <v>132</v>
      </c>
      <c r="AT2994" s="32" t="s">
        <v>3041</v>
      </c>
      <c r="AU2994" s="32" t="s">
        <v>3041</v>
      </c>
      <c r="AV2994" s="32" t="s">
        <v>177</v>
      </c>
      <c r="AW2994" s="32" t="s">
        <v>160</v>
      </c>
      <c r="AX2994" s="32">
        <v>3</v>
      </c>
      <c r="AZ2994" s="32" t="s">
        <v>141</v>
      </c>
      <c r="BE2994" s="32" t="s">
        <v>3043</v>
      </c>
      <c r="BK2994" s="32">
        <v>5800</v>
      </c>
      <c r="BL2994" s="32">
        <v>6200</v>
      </c>
      <c r="BM2994" s="32">
        <v>180</v>
      </c>
      <c r="BN2994" s="32">
        <v>180</v>
      </c>
      <c r="BP2994" s="397"/>
      <c r="BQ2994" s="397"/>
      <c r="BU2994" s="397"/>
      <c r="BV2994" s="397"/>
      <c r="BZ2994" s="397"/>
      <c r="CA2994" s="397"/>
      <c r="CE2994" s="550"/>
      <c r="CF2994" s="550"/>
      <c r="CG2994" s="550"/>
      <c r="CH2994" s="550"/>
      <c r="JD2994" s="243"/>
    </row>
    <row r="2995" spans="1:264" s="24" customFormat="1" x14ac:dyDescent="0.25">
      <c r="A2995" s="24">
        <v>146</v>
      </c>
      <c r="B2995" s="42" t="s">
        <v>4400</v>
      </c>
      <c r="C2995" s="24" t="s">
        <v>3029</v>
      </c>
      <c r="D2995" s="24" t="s">
        <v>3042</v>
      </c>
      <c r="E2995" s="24">
        <v>1999</v>
      </c>
      <c r="F2995" s="24">
        <v>1993</v>
      </c>
      <c r="G2995" s="24" t="s">
        <v>2766</v>
      </c>
      <c r="H2995" s="24" t="s">
        <v>3032</v>
      </c>
      <c r="I2995" s="24" t="s">
        <v>2829</v>
      </c>
      <c r="J2995" s="24">
        <v>-13.64</v>
      </c>
      <c r="K2995" s="24">
        <v>32.65</v>
      </c>
      <c r="L2995" s="24">
        <v>1020</v>
      </c>
      <c r="O2995" s="24">
        <v>1337</v>
      </c>
      <c r="R2995" s="42" t="s">
        <v>1858</v>
      </c>
      <c r="S2995" s="42" t="s">
        <v>1722</v>
      </c>
      <c r="T2995" s="42"/>
      <c r="U2995" s="42" t="s">
        <v>3044</v>
      </c>
      <c r="V2995" s="42" t="s">
        <v>1382</v>
      </c>
      <c r="W2995" s="42" t="s">
        <v>1717</v>
      </c>
      <c r="X2995" s="42" t="s">
        <v>1382</v>
      </c>
      <c r="Y2995" s="42" t="s">
        <v>1382</v>
      </c>
      <c r="AA2995" s="321"/>
      <c r="AB2995" s="321"/>
      <c r="AD2995" s="24">
        <v>5</v>
      </c>
      <c r="AE2995" s="24">
        <v>0.5</v>
      </c>
      <c r="AG2995" s="24" t="s">
        <v>3037</v>
      </c>
      <c r="AH2995" s="24" t="s">
        <v>3045</v>
      </c>
      <c r="AI2995" s="24" t="s">
        <v>577</v>
      </c>
      <c r="AJ2995" s="24" t="s">
        <v>1645</v>
      </c>
      <c r="AK2995" s="24" t="s">
        <v>132</v>
      </c>
      <c r="AT2995" s="24" t="s">
        <v>3038</v>
      </c>
      <c r="AW2995" s="24" t="s">
        <v>160</v>
      </c>
      <c r="AX2995" s="24">
        <v>3</v>
      </c>
      <c r="AZ2995" s="24" t="s">
        <v>141</v>
      </c>
      <c r="BE2995" s="24" t="s">
        <v>3049</v>
      </c>
      <c r="BK2995" s="24">
        <v>2000</v>
      </c>
      <c r="BL2995" s="24">
        <v>2600</v>
      </c>
      <c r="BM2995" s="24">
        <v>330</v>
      </c>
      <c r="BN2995" s="24">
        <v>330</v>
      </c>
      <c r="BP2995" s="395"/>
      <c r="BQ2995" s="395"/>
      <c r="BU2995" s="395"/>
      <c r="BV2995" s="395"/>
      <c r="BZ2995" s="395"/>
      <c r="CA2995" s="395"/>
      <c r="CE2995" s="548"/>
      <c r="CF2995" s="548"/>
      <c r="CG2995" s="548"/>
      <c r="CH2995" s="548"/>
      <c r="FV2995" s="24">
        <v>1532</v>
      </c>
      <c r="FW2995" s="24">
        <v>44</v>
      </c>
      <c r="FX2995" s="24">
        <v>329</v>
      </c>
      <c r="FY2995" s="24">
        <v>329</v>
      </c>
      <c r="FZ2995" s="24" t="s">
        <v>3051</v>
      </c>
      <c r="JD2995" s="249"/>
    </row>
    <row r="2996" spans="1:264" s="24" customFormat="1" x14ac:dyDescent="0.25">
      <c r="A2996" s="24">
        <v>146</v>
      </c>
      <c r="B2996" s="42" t="s">
        <v>4400</v>
      </c>
      <c r="C2996" s="24" t="s">
        <v>3029</v>
      </c>
      <c r="D2996" s="24" t="s">
        <v>3042</v>
      </c>
      <c r="E2996" s="24">
        <v>1999</v>
      </c>
      <c r="F2996" s="24">
        <v>1993</v>
      </c>
      <c r="G2996" s="24" t="s">
        <v>2766</v>
      </c>
      <c r="H2996" s="24" t="s">
        <v>3032</v>
      </c>
      <c r="I2996" s="24" t="s">
        <v>2829</v>
      </c>
      <c r="J2996" s="24">
        <v>-13.64</v>
      </c>
      <c r="K2996" s="24">
        <v>32.65</v>
      </c>
      <c r="L2996" s="24">
        <v>1020</v>
      </c>
      <c r="O2996" s="24">
        <v>1337</v>
      </c>
      <c r="R2996" s="42" t="s">
        <v>1858</v>
      </c>
      <c r="S2996" s="42" t="s">
        <v>1722</v>
      </c>
      <c r="T2996" s="42"/>
      <c r="U2996" s="42" t="s">
        <v>3044</v>
      </c>
      <c r="V2996" s="42" t="s">
        <v>1382</v>
      </c>
      <c r="W2996" s="42" t="s">
        <v>1717</v>
      </c>
      <c r="X2996" s="42" t="s">
        <v>1382</v>
      </c>
      <c r="Y2996" s="42" t="s">
        <v>1382</v>
      </c>
      <c r="AA2996" s="321"/>
      <c r="AB2996" s="321"/>
      <c r="AD2996" s="24">
        <v>5</v>
      </c>
      <c r="AE2996" s="24">
        <v>0.5</v>
      </c>
      <c r="AG2996" s="24" t="s">
        <v>3037</v>
      </c>
      <c r="AH2996" s="24" t="s">
        <v>3046</v>
      </c>
      <c r="AI2996" s="24" t="s">
        <v>577</v>
      </c>
      <c r="AJ2996" s="24" t="s">
        <v>1645</v>
      </c>
      <c r="AK2996" s="24" t="s">
        <v>132</v>
      </c>
      <c r="AT2996" s="24" t="s">
        <v>3038</v>
      </c>
      <c r="AW2996" s="24" t="s">
        <v>160</v>
      </c>
      <c r="AX2996" s="24">
        <v>3</v>
      </c>
      <c r="AZ2996" s="24" t="s">
        <v>141</v>
      </c>
      <c r="BE2996" s="24" t="s">
        <v>3049</v>
      </c>
      <c r="BK2996" s="24">
        <v>2000</v>
      </c>
      <c r="BL2996" s="24">
        <v>3500</v>
      </c>
      <c r="BM2996" s="24">
        <v>330</v>
      </c>
      <c r="BN2996" s="24">
        <v>330</v>
      </c>
      <c r="BP2996" s="395"/>
      <c r="BQ2996" s="395"/>
      <c r="BU2996" s="395"/>
      <c r="BV2996" s="395"/>
      <c r="BZ2996" s="395"/>
      <c r="CA2996" s="395"/>
      <c r="CE2996" s="548"/>
      <c r="CF2996" s="548"/>
      <c r="CG2996" s="548"/>
      <c r="CH2996" s="548"/>
      <c r="FV2996" s="24">
        <v>1532</v>
      </c>
      <c r="FW2996" s="24">
        <v>448</v>
      </c>
      <c r="FX2996" s="24">
        <v>329</v>
      </c>
      <c r="FY2996" s="24">
        <v>329</v>
      </c>
      <c r="FZ2996" s="24" t="s">
        <v>3051</v>
      </c>
      <c r="JD2996" s="249"/>
    </row>
    <row r="2997" spans="1:264" s="24" customFormat="1" x14ac:dyDescent="0.25">
      <c r="A2997" s="24">
        <v>146</v>
      </c>
      <c r="B2997" s="42" t="s">
        <v>4400</v>
      </c>
      <c r="C2997" s="24" t="s">
        <v>3029</v>
      </c>
      <c r="D2997" s="24" t="s">
        <v>3042</v>
      </c>
      <c r="E2997" s="24">
        <v>1999</v>
      </c>
      <c r="F2997" s="24">
        <v>1993</v>
      </c>
      <c r="G2997" s="24" t="s">
        <v>2766</v>
      </c>
      <c r="H2997" s="24" t="s">
        <v>3032</v>
      </c>
      <c r="I2997" s="24" t="s">
        <v>2829</v>
      </c>
      <c r="J2997" s="24">
        <v>-13.64</v>
      </c>
      <c r="K2997" s="24">
        <v>32.65</v>
      </c>
      <c r="L2997" s="24">
        <v>1020</v>
      </c>
      <c r="O2997" s="24">
        <v>1337</v>
      </c>
      <c r="R2997" s="42" t="s">
        <v>1858</v>
      </c>
      <c r="S2997" s="42" t="s">
        <v>1722</v>
      </c>
      <c r="T2997" s="42"/>
      <c r="U2997" s="42" t="s">
        <v>3044</v>
      </c>
      <c r="V2997" s="42" t="s">
        <v>1382</v>
      </c>
      <c r="W2997" s="42" t="s">
        <v>1717</v>
      </c>
      <c r="X2997" s="42" t="s">
        <v>1382</v>
      </c>
      <c r="Y2997" s="42" t="s">
        <v>1382</v>
      </c>
      <c r="AA2997" s="321"/>
      <c r="AB2997" s="321"/>
      <c r="AD2997" s="24">
        <v>5</v>
      </c>
      <c r="AE2997" s="24">
        <v>0.5</v>
      </c>
      <c r="AG2997" s="24" t="s">
        <v>3037</v>
      </c>
      <c r="AH2997" s="24" t="s">
        <v>3047</v>
      </c>
      <c r="AI2997" s="24" t="s">
        <v>577</v>
      </c>
      <c r="AJ2997" s="24" t="s">
        <v>1645</v>
      </c>
      <c r="AK2997" s="24" t="s">
        <v>132</v>
      </c>
      <c r="AT2997" s="24" t="s">
        <v>3038</v>
      </c>
      <c r="AW2997" s="24" t="s">
        <v>160</v>
      </c>
      <c r="AX2997" s="24">
        <v>3</v>
      </c>
      <c r="AZ2997" s="24" t="s">
        <v>141</v>
      </c>
      <c r="BE2997" s="24" t="s">
        <v>3049</v>
      </c>
      <c r="BK2997" s="24">
        <v>2000</v>
      </c>
      <c r="BL2997" s="24">
        <v>3800</v>
      </c>
      <c r="BM2997" s="24">
        <v>330</v>
      </c>
      <c r="BN2997" s="24">
        <v>330</v>
      </c>
      <c r="BP2997" s="395"/>
      <c r="BQ2997" s="395"/>
      <c r="BU2997" s="395"/>
      <c r="BV2997" s="395"/>
      <c r="BZ2997" s="395"/>
      <c r="CA2997" s="395"/>
      <c r="CE2997" s="548"/>
      <c r="CF2997" s="548"/>
      <c r="CG2997" s="548"/>
      <c r="CH2997" s="548"/>
      <c r="FV2997" s="24">
        <v>1532</v>
      </c>
      <c r="FW2997" s="24">
        <v>712</v>
      </c>
      <c r="FX2997" s="24">
        <v>329</v>
      </c>
      <c r="FY2997" s="24">
        <v>329</v>
      </c>
      <c r="FZ2997" s="24" t="s">
        <v>3051</v>
      </c>
      <c r="JD2997" s="249"/>
    </row>
    <row r="2998" spans="1:264" s="24" customFormat="1" x14ac:dyDescent="0.25">
      <c r="A2998" s="24">
        <v>146</v>
      </c>
      <c r="B2998" s="42" t="s">
        <v>4400</v>
      </c>
      <c r="C2998" s="24" t="s">
        <v>3029</v>
      </c>
      <c r="D2998" s="24" t="s">
        <v>3042</v>
      </c>
      <c r="E2998" s="24">
        <v>1999</v>
      </c>
      <c r="F2998" s="24">
        <v>1993</v>
      </c>
      <c r="G2998" s="24" t="s">
        <v>2766</v>
      </c>
      <c r="H2998" s="24" t="s">
        <v>3032</v>
      </c>
      <c r="I2998" s="24" t="s">
        <v>2829</v>
      </c>
      <c r="J2998" s="24">
        <v>-13.64</v>
      </c>
      <c r="K2998" s="24">
        <v>32.65</v>
      </c>
      <c r="L2998" s="24">
        <v>1020</v>
      </c>
      <c r="O2998" s="24">
        <v>1337</v>
      </c>
      <c r="R2998" s="42" t="s">
        <v>1858</v>
      </c>
      <c r="S2998" s="42" t="s">
        <v>1722</v>
      </c>
      <c r="T2998" s="42"/>
      <c r="U2998" s="42" t="s">
        <v>3044</v>
      </c>
      <c r="V2998" s="42" t="s">
        <v>1382</v>
      </c>
      <c r="W2998" s="42" t="s">
        <v>1717</v>
      </c>
      <c r="X2998" s="42" t="s">
        <v>1382</v>
      </c>
      <c r="Y2998" s="42" t="s">
        <v>1382</v>
      </c>
      <c r="AA2998" s="321"/>
      <c r="AB2998" s="321"/>
      <c r="AD2998" s="24">
        <v>5</v>
      </c>
      <c r="AE2998" s="24">
        <v>0.5</v>
      </c>
      <c r="AG2998" s="24" t="s">
        <v>3037</v>
      </c>
      <c r="AH2998" s="24" t="s">
        <v>2800</v>
      </c>
      <c r="AI2998" s="24" t="s">
        <v>577</v>
      </c>
      <c r="AJ2998" s="24" t="s">
        <v>1645</v>
      </c>
      <c r="AK2998" s="24" t="s">
        <v>132</v>
      </c>
      <c r="AT2998" s="24" t="s">
        <v>3038</v>
      </c>
      <c r="AW2998" s="24" t="s">
        <v>160</v>
      </c>
      <c r="AX2998" s="24">
        <v>3</v>
      </c>
      <c r="AZ2998" s="24" t="s">
        <v>141</v>
      </c>
      <c r="BE2998" s="24" t="s">
        <v>3049</v>
      </c>
      <c r="BK2998" s="24">
        <v>2000</v>
      </c>
      <c r="BL2998" s="24">
        <v>3700</v>
      </c>
      <c r="BM2998" s="24">
        <v>330</v>
      </c>
      <c r="BN2998" s="24">
        <v>330</v>
      </c>
      <c r="BP2998" s="395"/>
      <c r="BQ2998" s="395"/>
      <c r="BU2998" s="395"/>
      <c r="BV2998" s="395"/>
      <c r="BZ2998" s="395"/>
      <c r="CA2998" s="395"/>
      <c r="CE2998" s="548"/>
      <c r="CF2998" s="548"/>
      <c r="CG2998" s="548"/>
      <c r="CH2998" s="548"/>
      <c r="FV2998" s="24">
        <v>1532</v>
      </c>
      <c r="FW2998" s="24">
        <v>10</v>
      </c>
      <c r="FX2998" s="24">
        <v>329</v>
      </c>
      <c r="FY2998" s="24">
        <v>329</v>
      </c>
      <c r="FZ2998" s="24" t="s">
        <v>3051</v>
      </c>
      <c r="JD2998" s="249"/>
    </row>
    <row r="2999" spans="1:264" s="24" customFormat="1" x14ac:dyDescent="0.25">
      <c r="A2999" s="24">
        <v>146</v>
      </c>
      <c r="B2999" s="42" t="s">
        <v>4400</v>
      </c>
      <c r="C2999" s="24" t="s">
        <v>3029</v>
      </c>
      <c r="D2999" s="24" t="s">
        <v>3042</v>
      </c>
      <c r="E2999" s="24">
        <v>1999</v>
      </c>
      <c r="F2999" s="24">
        <v>1993</v>
      </c>
      <c r="G2999" s="24" t="s">
        <v>2766</v>
      </c>
      <c r="H2999" s="24" t="s">
        <v>3032</v>
      </c>
      <c r="I2999" s="24" t="s">
        <v>2829</v>
      </c>
      <c r="J2999" s="24">
        <v>-13.64</v>
      </c>
      <c r="K2999" s="24">
        <v>32.65</v>
      </c>
      <c r="L2999" s="24">
        <v>1020</v>
      </c>
      <c r="O2999" s="24">
        <v>1337</v>
      </c>
      <c r="R2999" s="42" t="s">
        <v>1858</v>
      </c>
      <c r="S2999" s="42" t="s">
        <v>1722</v>
      </c>
      <c r="T2999" s="42"/>
      <c r="U2999" s="42" t="s">
        <v>3044</v>
      </c>
      <c r="V2999" s="42" t="s">
        <v>1382</v>
      </c>
      <c r="W2999" s="42" t="s">
        <v>1717</v>
      </c>
      <c r="X2999" s="42" t="s">
        <v>1382</v>
      </c>
      <c r="Y2999" s="42" t="s">
        <v>1382</v>
      </c>
      <c r="AA2999" s="321"/>
      <c r="AB2999" s="321"/>
      <c r="AD2999" s="24">
        <v>5</v>
      </c>
      <c r="AE2999" s="24">
        <v>0.5</v>
      </c>
      <c r="AG2999" s="24" t="s">
        <v>3037</v>
      </c>
      <c r="AH2999" s="24" t="s">
        <v>3048</v>
      </c>
      <c r="AI2999" s="24" t="s">
        <v>577</v>
      </c>
      <c r="AJ2999" s="24" t="s">
        <v>1645</v>
      </c>
      <c r="AK2999" s="24" t="s">
        <v>132</v>
      </c>
      <c r="AT2999" s="24" t="s">
        <v>3038</v>
      </c>
      <c r="AW2999" s="24" t="s">
        <v>160</v>
      </c>
      <c r="AX2999" s="24">
        <v>3</v>
      </c>
      <c r="AZ2999" s="24" t="s">
        <v>141</v>
      </c>
      <c r="BE2999" s="24" t="s">
        <v>3049</v>
      </c>
      <c r="BK2999" s="24">
        <v>2000</v>
      </c>
      <c r="BL2999" s="24">
        <v>2100</v>
      </c>
      <c r="BM2999" s="24">
        <v>330</v>
      </c>
      <c r="BN2999" s="24">
        <v>330</v>
      </c>
      <c r="BP2999" s="395"/>
      <c r="BQ2999" s="395"/>
      <c r="BU2999" s="395"/>
      <c r="BV2999" s="395"/>
      <c r="BZ2999" s="395"/>
      <c r="CA2999" s="395"/>
      <c r="CE2999" s="548"/>
      <c r="CF2999" s="548"/>
      <c r="CG2999" s="548"/>
      <c r="CH2999" s="548"/>
      <c r="FV2999" s="24">
        <v>1532</v>
      </c>
      <c r="FW2999" s="24">
        <v>1</v>
      </c>
      <c r="FX2999" s="24">
        <v>329</v>
      </c>
      <c r="FY2999" s="24">
        <v>329</v>
      </c>
      <c r="FZ2999" s="24" t="s">
        <v>3051</v>
      </c>
      <c r="JD2999" s="249"/>
    </row>
    <row r="3000" spans="1:264" s="24" customFormat="1" x14ac:dyDescent="0.25">
      <c r="A3000" s="24">
        <v>146</v>
      </c>
      <c r="B3000" s="42" t="s">
        <v>4400</v>
      </c>
      <c r="C3000" s="24" t="s">
        <v>3029</v>
      </c>
      <c r="D3000" s="24" t="s">
        <v>3042</v>
      </c>
      <c r="E3000" s="24">
        <v>1999</v>
      </c>
      <c r="F3000" s="24">
        <v>1993</v>
      </c>
      <c r="G3000" s="24" t="s">
        <v>2766</v>
      </c>
      <c r="H3000" s="24" t="s">
        <v>3032</v>
      </c>
      <c r="I3000" s="24" t="s">
        <v>2829</v>
      </c>
      <c r="J3000" s="24">
        <v>-13.64</v>
      </c>
      <c r="K3000" s="24">
        <v>32.65</v>
      </c>
      <c r="L3000" s="24">
        <v>1020</v>
      </c>
      <c r="O3000" s="24">
        <v>1337</v>
      </c>
      <c r="R3000" s="42" t="s">
        <v>1858</v>
      </c>
      <c r="S3000" s="42" t="s">
        <v>1722</v>
      </c>
      <c r="T3000" s="42"/>
      <c r="U3000" s="42" t="s">
        <v>3044</v>
      </c>
      <c r="V3000" s="42" t="s">
        <v>1382</v>
      </c>
      <c r="W3000" s="42" t="s">
        <v>1717</v>
      </c>
      <c r="X3000" s="42" t="s">
        <v>1382</v>
      </c>
      <c r="Y3000" s="42" t="s">
        <v>1382</v>
      </c>
      <c r="AA3000" s="321"/>
      <c r="AB3000" s="321"/>
      <c r="AD3000" s="24">
        <v>5</v>
      </c>
      <c r="AE3000" s="24">
        <v>0.5</v>
      </c>
      <c r="AG3000" s="24" t="s">
        <v>3037</v>
      </c>
      <c r="AH3000" s="24" t="s">
        <v>2918</v>
      </c>
      <c r="AI3000" s="24" t="s">
        <v>577</v>
      </c>
      <c r="AJ3000" s="24" t="s">
        <v>1645</v>
      </c>
      <c r="AK3000" s="24" t="s">
        <v>132</v>
      </c>
      <c r="AT3000" s="24" t="s">
        <v>3038</v>
      </c>
      <c r="AW3000" s="24" t="s">
        <v>160</v>
      </c>
      <c r="AX3000" s="24">
        <v>3</v>
      </c>
      <c r="AZ3000" s="24" t="s">
        <v>141</v>
      </c>
      <c r="BE3000" s="24" t="s">
        <v>3049</v>
      </c>
      <c r="BK3000" s="24">
        <v>2000</v>
      </c>
      <c r="BL3000" s="24">
        <v>5600</v>
      </c>
      <c r="BM3000" s="24">
        <v>330</v>
      </c>
      <c r="BN3000" s="24">
        <v>330</v>
      </c>
      <c r="BP3000" s="395"/>
      <c r="BQ3000" s="395"/>
      <c r="BU3000" s="395"/>
      <c r="BV3000" s="395"/>
      <c r="BZ3000" s="395"/>
      <c r="CA3000" s="395"/>
      <c r="CE3000" s="548"/>
      <c r="CF3000" s="548"/>
      <c r="CG3000" s="548"/>
      <c r="CH3000" s="548"/>
      <c r="FV3000" s="24">
        <v>1532</v>
      </c>
      <c r="FW3000" s="24">
        <v>1</v>
      </c>
      <c r="FX3000" s="24">
        <v>329</v>
      </c>
      <c r="FY3000" s="24">
        <v>329</v>
      </c>
      <c r="FZ3000" s="24" t="s">
        <v>3051</v>
      </c>
      <c r="JD3000" s="249"/>
    </row>
    <row r="3001" spans="1:264" s="32" customFormat="1" x14ac:dyDescent="0.25">
      <c r="A3001" s="32">
        <v>146</v>
      </c>
      <c r="B3001" s="44" t="s">
        <v>4401</v>
      </c>
      <c r="C3001" s="32" t="s">
        <v>3029</v>
      </c>
      <c r="D3001" s="32" t="s">
        <v>3042</v>
      </c>
      <c r="E3001" s="32">
        <v>1999</v>
      </c>
      <c r="F3001" s="32">
        <v>1993</v>
      </c>
      <c r="G3001" s="32" t="s">
        <v>2766</v>
      </c>
      <c r="H3001" s="32" t="s">
        <v>3032</v>
      </c>
      <c r="I3001" s="32" t="s">
        <v>2829</v>
      </c>
      <c r="J3001" s="32">
        <v>-13.64</v>
      </c>
      <c r="K3001" s="32">
        <v>32.65</v>
      </c>
      <c r="L3001" s="32">
        <v>1020</v>
      </c>
      <c r="O3001" s="32">
        <v>1337</v>
      </c>
      <c r="R3001" s="44" t="s">
        <v>1858</v>
      </c>
      <c r="S3001" s="44" t="s">
        <v>1722</v>
      </c>
      <c r="T3001" s="44"/>
      <c r="U3001" s="44" t="s">
        <v>3044</v>
      </c>
      <c r="V3001" s="44" t="s">
        <v>1382</v>
      </c>
      <c r="W3001" s="44" t="s">
        <v>1717</v>
      </c>
      <c r="X3001" s="44" t="s">
        <v>1382</v>
      </c>
      <c r="Y3001" s="44" t="s">
        <v>1382</v>
      </c>
      <c r="AA3001" s="323"/>
      <c r="AB3001" s="323"/>
      <c r="AD3001" s="32">
        <v>5</v>
      </c>
      <c r="AE3001" s="32">
        <v>0.5</v>
      </c>
      <c r="AG3001" s="32" t="s">
        <v>3037</v>
      </c>
      <c r="AH3001" s="32" t="s">
        <v>3045</v>
      </c>
      <c r="AI3001" s="32" t="s">
        <v>577</v>
      </c>
      <c r="AJ3001" s="32" t="s">
        <v>1645</v>
      </c>
      <c r="AK3001" s="32" t="s">
        <v>132</v>
      </c>
      <c r="AT3001" s="32" t="s">
        <v>3038</v>
      </c>
      <c r="AW3001" s="32" t="s">
        <v>160</v>
      </c>
      <c r="AX3001" s="32">
        <v>3</v>
      </c>
      <c r="AZ3001" s="32" t="s">
        <v>141</v>
      </c>
      <c r="BE3001" s="32" t="s">
        <v>3050</v>
      </c>
      <c r="BK3001" s="32">
        <v>2300</v>
      </c>
      <c r="BL3001" s="32">
        <v>3000</v>
      </c>
      <c r="BM3001" s="32">
        <v>710</v>
      </c>
      <c r="BN3001" s="32">
        <v>710</v>
      </c>
      <c r="BP3001" s="397"/>
      <c r="BQ3001" s="397"/>
      <c r="BU3001" s="397"/>
      <c r="BV3001" s="397"/>
      <c r="BZ3001" s="397"/>
      <c r="CA3001" s="397"/>
      <c r="CE3001" s="550"/>
      <c r="CF3001" s="550"/>
      <c r="CG3001" s="550"/>
      <c r="CH3001" s="550"/>
      <c r="FV3001" s="32">
        <v>195</v>
      </c>
      <c r="FW3001" s="32">
        <v>80</v>
      </c>
      <c r="FX3001" s="32">
        <v>56</v>
      </c>
      <c r="FY3001" s="32">
        <v>56</v>
      </c>
      <c r="FZ3001" s="32" t="s">
        <v>3051</v>
      </c>
      <c r="JD3001" s="243"/>
    </row>
    <row r="3002" spans="1:264" s="32" customFormat="1" x14ac:dyDescent="0.25">
      <c r="A3002" s="32">
        <v>146</v>
      </c>
      <c r="B3002" s="44" t="s">
        <v>4401</v>
      </c>
      <c r="C3002" s="32" t="s">
        <v>3029</v>
      </c>
      <c r="D3002" s="32" t="s">
        <v>3042</v>
      </c>
      <c r="E3002" s="32">
        <v>1999</v>
      </c>
      <c r="F3002" s="32">
        <v>1993</v>
      </c>
      <c r="G3002" s="32" t="s">
        <v>2766</v>
      </c>
      <c r="H3002" s="32" t="s">
        <v>3032</v>
      </c>
      <c r="I3002" s="32" t="s">
        <v>2829</v>
      </c>
      <c r="J3002" s="32">
        <v>-13.64</v>
      </c>
      <c r="K3002" s="32">
        <v>32.65</v>
      </c>
      <c r="L3002" s="32">
        <v>1020</v>
      </c>
      <c r="O3002" s="32">
        <v>1337</v>
      </c>
      <c r="R3002" s="44" t="s">
        <v>1858</v>
      </c>
      <c r="S3002" s="44" t="s">
        <v>1722</v>
      </c>
      <c r="T3002" s="44"/>
      <c r="U3002" s="44" t="s">
        <v>3044</v>
      </c>
      <c r="V3002" s="44" t="s">
        <v>1382</v>
      </c>
      <c r="W3002" s="44" t="s">
        <v>1717</v>
      </c>
      <c r="X3002" s="44" t="s">
        <v>1382</v>
      </c>
      <c r="Y3002" s="44" t="s">
        <v>1382</v>
      </c>
      <c r="AA3002" s="323"/>
      <c r="AB3002" s="323"/>
      <c r="AD3002" s="32">
        <v>5</v>
      </c>
      <c r="AE3002" s="32">
        <v>0.5</v>
      </c>
      <c r="AG3002" s="32" t="s">
        <v>3037</v>
      </c>
      <c r="AH3002" s="32" t="s">
        <v>3046</v>
      </c>
      <c r="AI3002" s="32" t="s">
        <v>577</v>
      </c>
      <c r="AJ3002" s="32" t="s">
        <v>1645</v>
      </c>
      <c r="AK3002" s="32" t="s">
        <v>132</v>
      </c>
      <c r="AT3002" s="32" t="s">
        <v>3038</v>
      </c>
      <c r="AW3002" s="32" t="s">
        <v>160</v>
      </c>
      <c r="AX3002" s="32">
        <v>3</v>
      </c>
      <c r="AZ3002" s="32" t="s">
        <v>141</v>
      </c>
      <c r="BE3002" s="32" t="s">
        <v>3050</v>
      </c>
      <c r="BK3002" s="32">
        <v>2300</v>
      </c>
      <c r="BL3002" s="32">
        <v>3700</v>
      </c>
      <c r="BM3002" s="32">
        <v>710</v>
      </c>
      <c r="BN3002" s="32">
        <v>710</v>
      </c>
      <c r="BP3002" s="397"/>
      <c r="BQ3002" s="397"/>
      <c r="BU3002" s="397"/>
      <c r="BV3002" s="397"/>
      <c r="BZ3002" s="397"/>
      <c r="CA3002" s="397"/>
      <c r="CE3002" s="550"/>
      <c r="CF3002" s="550"/>
      <c r="CG3002" s="550"/>
      <c r="CH3002" s="550"/>
      <c r="FV3002" s="32">
        <v>195</v>
      </c>
      <c r="FW3002" s="32">
        <v>15</v>
      </c>
      <c r="FX3002" s="32">
        <v>56</v>
      </c>
      <c r="FY3002" s="32">
        <v>56</v>
      </c>
      <c r="FZ3002" s="32" t="s">
        <v>3051</v>
      </c>
      <c r="JD3002" s="243"/>
    </row>
    <row r="3003" spans="1:264" s="32" customFormat="1" x14ac:dyDescent="0.25">
      <c r="A3003" s="32">
        <v>146</v>
      </c>
      <c r="B3003" s="44" t="s">
        <v>4401</v>
      </c>
      <c r="C3003" s="32" t="s">
        <v>3029</v>
      </c>
      <c r="D3003" s="32" t="s">
        <v>3042</v>
      </c>
      <c r="E3003" s="32">
        <v>1999</v>
      </c>
      <c r="F3003" s="32">
        <v>1993</v>
      </c>
      <c r="G3003" s="32" t="s">
        <v>2766</v>
      </c>
      <c r="H3003" s="32" t="s">
        <v>3032</v>
      </c>
      <c r="I3003" s="32" t="s">
        <v>2829</v>
      </c>
      <c r="J3003" s="32">
        <v>-13.64</v>
      </c>
      <c r="K3003" s="32">
        <v>32.65</v>
      </c>
      <c r="L3003" s="32">
        <v>1020</v>
      </c>
      <c r="O3003" s="32">
        <v>1337</v>
      </c>
      <c r="R3003" s="44" t="s">
        <v>1858</v>
      </c>
      <c r="S3003" s="44" t="s">
        <v>1722</v>
      </c>
      <c r="T3003" s="44"/>
      <c r="U3003" s="44" t="s">
        <v>3044</v>
      </c>
      <c r="V3003" s="44" t="s">
        <v>1382</v>
      </c>
      <c r="W3003" s="44" t="s">
        <v>1717</v>
      </c>
      <c r="X3003" s="44" t="s">
        <v>1382</v>
      </c>
      <c r="Y3003" s="44" t="s">
        <v>1382</v>
      </c>
      <c r="AA3003" s="323"/>
      <c r="AB3003" s="323"/>
      <c r="AD3003" s="32">
        <v>5</v>
      </c>
      <c r="AE3003" s="32">
        <v>0.5</v>
      </c>
      <c r="AG3003" s="32" t="s">
        <v>3037</v>
      </c>
      <c r="AH3003" s="32" t="s">
        <v>3047</v>
      </c>
      <c r="AI3003" s="32" t="s">
        <v>577</v>
      </c>
      <c r="AJ3003" s="32" t="s">
        <v>1645</v>
      </c>
      <c r="AK3003" s="32" t="s">
        <v>132</v>
      </c>
      <c r="AT3003" s="32" t="s">
        <v>3038</v>
      </c>
      <c r="AW3003" s="32" t="s">
        <v>160</v>
      </c>
      <c r="AX3003" s="32">
        <v>3</v>
      </c>
      <c r="AZ3003" s="32" t="s">
        <v>141</v>
      </c>
      <c r="BE3003" s="32" t="s">
        <v>3050</v>
      </c>
      <c r="BK3003" s="32">
        <v>2300</v>
      </c>
      <c r="BL3003" s="32">
        <v>6100</v>
      </c>
      <c r="BM3003" s="32">
        <v>710</v>
      </c>
      <c r="BN3003" s="32">
        <v>710</v>
      </c>
      <c r="BP3003" s="397"/>
      <c r="BQ3003" s="397"/>
      <c r="BU3003" s="397"/>
      <c r="BV3003" s="397"/>
      <c r="BZ3003" s="397"/>
      <c r="CA3003" s="397"/>
      <c r="CE3003" s="550"/>
      <c r="CF3003" s="550"/>
      <c r="CG3003" s="550"/>
      <c r="CH3003" s="550"/>
      <c r="FV3003" s="32">
        <v>195</v>
      </c>
      <c r="FW3003" s="32">
        <v>50</v>
      </c>
      <c r="FX3003" s="32">
        <v>56</v>
      </c>
      <c r="FY3003" s="32">
        <v>56</v>
      </c>
      <c r="FZ3003" s="32" t="s">
        <v>3051</v>
      </c>
      <c r="JD3003" s="243"/>
    </row>
    <row r="3004" spans="1:264" s="32" customFormat="1" x14ac:dyDescent="0.25">
      <c r="A3004" s="32">
        <v>146</v>
      </c>
      <c r="B3004" s="44" t="s">
        <v>4401</v>
      </c>
      <c r="C3004" s="32" t="s">
        <v>3029</v>
      </c>
      <c r="D3004" s="32" t="s">
        <v>3042</v>
      </c>
      <c r="E3004" s="32">
        <v>1999</v>
      </c>
      <c r="F3004" s="32">
        <v>1993</v>
      </c>
      <c r="G3004" s="32" t="s">
        <v>2766</v>
      </c>
      <c r="H3004" s="32" t="s">
        <v>3032</v>
      </c>
      <c r="I3004" s="32" t="s">
        <v>2829</v>
      </c>
      <c r="J3004" s="32">
        <v>-13.64</v>
      </c>
      <c r="K3004" s="32">
        <v>32.65</v>
      </c>
      <c r="L3004" s="32">
        <v>1020</v>
      </c>
      <c r="O3004" s="32">
        <v>1337</v>
      </c>
      <c r="R3004" s="44" t="s">
        <v>1858</v>
      </c>
      <c r="S3004" s="44" t="s">
        <v>1722</v>
      </c>
      <c r="T3004" s="44"/>
      <c r="U3004" s="44" t="s">
        <v>3044</v>
      </c>
      <c r="V3004" s="44" t="s">
        <v>1382</v>
      </c>
      <c r="W3004" s="44" t="s">
        <v>1717</v>
      </c>
      <c r="X3004" s="44" t="s">
        <v>1382</v>
      </c>
      <c r="Y3004" s="44" t="s">
        <v>1382</v>
      </c>
      <c r="AA3004" s="323"/>
      <c r="AB3004" s="323"/>
      <c r="AD3004" s="32">
        <v>5</v>
      </c>
      <c r="AE3004" s="32">
        <v>0.5</v>
      </c>
      <c r="AG3004" s="32" t="s">
        <v>3037</v>
      </c>
      <c r="AH3004" s="32" t="s">
        <v>2800</v>
      </c>
      <c r="AI3004" s="32" t="s">
        <v>577</v>
      </c>
      <c r="AJ3004" s="32" t="s">
        <v>1645</v>
      </c>
      <c r="AK3004" s="32" t="s">
        <v>132</v>
      </c>
      <c r="AT3004" s="32" t="s">
        <v>3038</v>
      </c>
      <c r="AW3004" s="32" t="s">
        <v>160</v>
      </c>
      <c r="AX3004" s="32">
        <v>3</v>
      </c>
      <c r="AZ3004" s="32" t="s">
        <v>141</v>
      </c>
      <c r="BE3004" s="32" t="s">
        <v>3050</v>
      </c>
      <c r="BK3004" s="32">
        <v>2300</v>
      </c>
      <c r="BL3004" s="32">
        <v>4200</v>
      </c>
      <c r="BM3004" s="32">
        <v>710</v>
      </c>
      <c r="BN3004" s="32">
        <v>710</v>
      </c>
      <c r="BP3004" s="397"/>
      <c r="BQ3004" s="397"/>
      <c r="BU3004" s="397"/>
      <c r="BV3004" s="397"/>
      <c r="BZ3004" s="397"/>
      <c r="CA3004" s="397"/>
      <c r="CE3004" s="550"/>
      <c r="CF3004" s="550"/>
      <c r="CG3004" s="550"/>
      <c r="CH3004" s="550"/>
      <c r="FV3004" s="32">
        <v>195</v>
      </c>
      <c r="FW3004" s="32">
        <v>19</v>
      </c>
      <c r="FX3004" s="32">
        <v>56</v>
      </c>
      <c r="FY3004" s="32">
        <v>56</v>
      </c>
      <c r="FZ3004" s="32" t="s">
        <v>3051</v>
      </c>
      <c r="JD3004" s="243"/>
    </row>
    <row r="3005" spans="1:264" s="32" customFormat="1" x14ac:dyDescent="0.25">
      <c r="A3005" s="32">
        <v>146</v>
      </c>
      <c r="B3005" s="44" t="s">
        <v>4401</v>
      </c>
      <c r="C3005" s="32" t="s">
        <v>3029</v>
      </c>
      <c r="D3005" s="32" t="s">
        <v>3042</v>
      </c>
      <c r="E3005" s="32">
        <v>1999</v>
      </c>
      <c r="F3005" s="32">
        <v>1993</v>
      </c>
      <c r="G3005" s="32" t="s">
        <v>2766</v>
      </c>
      <c r="H3005" s="32" t="s">
        <v>3032</v>
      </c>
      <c r="I3005" s="32" t="s">
        <v>2829</v>
      </c>
      <c r="J3005" s="32">
        <v>-13.64</v>
      </c>
      <c r="K3005" s="32">
        <v>32.65</v>
      </c>
      <c r="L3005" s="32">
        <v>1020</v>
      </c>
      <c r="O3005" s="32">
        <v>1337</v>
      </c>
      <c r="R3005" s="44" t="s">
        <v>1858</v>
      </c>
      <c r="S3005" s="44" t="s">
        <v>1722</v>
      </c>
      <c r="T3005" s="44"/>
      <c r="U3005" s="44" t="s">
        <v>3044</v>
      </c>
      <c r="V3005" s="44" t="s">
        <v>1382</v>
      </c>
      <c r="W3005" s="44" t="s">
        <v>1717</v>
      </c>
      <c r="X3005" s="44" t="s">
        <v>1382</v>
      </c>
      <c r="Y3005" s="44" t="s">
        <v>1382</v>
      </c>
      <c r="AA3005" s="323"/>
      <c r="AB3005" s="323"/>
      <c r="AD3005" s="32">
        <v>5</v>
      </c>
      <c r="AE3005" s="32">
        <v>0.5</v>
      </c>
      <c r="AG3005" s="32" t="s">
        <v>3037</v>
      </c>
      <c r="AH3005" s="32" t="s">
        <v>3048</v>
      </c>
      <c r="AI3005" s="32" t="s">
        <v>577</v>
      </c>
      <c r="AJ3005" s="32" t="s">
        <v>1645</v>
      </c>
      <c r="AK3005" s="32" t="s">
        <v>132</v>
      </c>
      <c r="AT3005" s="32" t="s">
        <v>3038</v>
      </c>
      <c r="AW3005" s="32" t="s">
        <v>160</v>
      </c>
      <c r="AX3005" s="32">
        <v>3</v>
      </c>
      <c r="AZ3005" s="32" t="s">
        <v>141</v>
      </c>
      <c r="BE3005" s="32" t="s">
        <v>3050</v>
      </c>
      <c r="BK3005" s="32">
        <v>2300</v>
      </c>
      <c r="BL3005" s="32">
        <v>2100</v>
      </c>
      <c r="BM3005" s="32">
        <v>710</v>
      </c>
      <c r="BN3005" s="32">
        <v>710</v>
      </c>
      <c r="BP3005" s="397"/>
      <c r="BQ3005" s="397"/>
      <c r="BU3005" s="397"/>
      <c r="BV3005" s="397"/>
      <c r="BZ3005" s="397"/>
      <c r="CA3005" s="397"/>
      <c r="CE3005" s="550"/>
      <c r="CF3005" s="550"/>
      <c r="CG3005" s="550"/>
      <c r="CH3005" s="550"/>
      <c r="FV3005" s="32">
        <v>195</v>
      </c>
      <c r="FW3005" s="32">
        <v>6</v>
      </c>
      <c r="FX3005" s="32">
        <v>56</v>
      </c>
      <c r="FY3005" s="32">
        <v>56</v>
      </c>
      <c r="FZ3005" s="32" t="s">
        <v>3051</v>
      </c>
      <c r="JD3005" s="243"/>
    </row>
    <row r="3006" spans="1:264" s="32" customFormat="1" x14ac:dyDescent="0.25">
      <c r="A3006" s="32">
        <v>146</v>
      </c>
      <c r="B3006" s="44" t="s">
        <v>4401</v>
      </c>
      <c r="C3006" s="32" t="s">
        <v>3029</v>
      </c>
      <c r="D3006" s="32" t="s">
        <v>3042</v>
      </c>
      <c r="E3006" s="32">
        <v>1999</v>
      </c>
      <c r="F3006" s="32">
        <v>1993</v>
      </c>
      <c r="G3006" s="32" t="s">
        <v>2766</v>
      </c>
      <c r="H3006" s="32" t="s">
        <v>3032</v>
      </c>
      <c r="I3006" s="32" t="s">
        <v>2829</v>
      </c>
      <c r="J3006" s="32">
        <v>-13.64</v>
      </c>
      <c r="K3006" s="32">
        <v>32.65</v>
      </c>
      <c r="L3006" s="32">
        <v>1020</v>
      </c>
      <c r="O3006" s="32">
        <v>1337</v>
      </c>
      <c r="R3006" s="44" t="s">
        <v>1858</v>
      </c>
      <c r="S3006" s="44" t="s">
        <v>1722</v>
      </c>
      <c r="T3006" s="44"/>
      <c r="U3006" s="44" t="s">
        <v>3044</v>
      </c>
      <c r="V3006" s="44" t="s">
        <v>1382</v>
      </c>
      <c r="W3006" s="44" t="s">
        <v>1717</v>
      </c>
      <c r="X3006" s="44" t="s">
        <v>1382</v>
      </c>
      <c r="Y3006" s="44" t="s">
        <v>1382</v>
      </c>
      <c r="AA3006" s="323"/>
      <c r="AB3006" s="323"/>
      <c r="AD3006" s="32">
        <v>5</v>
      </c>
      <c r="AE3006" s="32">
        <v>0.5</v>
      </c>
      <c r="AG3006" s="32" t="s">
        <v>3037</v>
      </c>
      <c r="AH3006" s="32" t="s">
        <v>2918</v>
      </c>
      <c r="AI3006" s="32" t="s">
        <v>577</v>
      </c>
      <c r="AJ3006" s="32" t="s">
        <v>1645</v>
      </c>
      <c r="AK3006" s="32" t="s">
        <v>132</v>
      </c>
      <c r="AT3006" s="32" t="s">
        <v>3038</v>
      </c>
      <c r="AW3006" s="32" t="s">
        <v>160</v>
      </c>
      <c r="AX3006" s="32">
        <v>3</v>
      </c>
      <c r="AZ3006" s="32" t="s">
        <v>141</v>
      </c>
      <c r="BE3006" s="32" t="s">
        <v>3050</v>
      </c>
      <c r="BK3006" s="32">
        <v>2300</v>
      </c>
      <c r="BL3006" s="32">
        <v>7400</v>
      </c>
      <c r="BM3006" s="32">
        <v>710</v>
      </c>
      <c r="BN3006" s="32">
        <v>710</v>
      </c>
      <c r="BP3006" s="397"/>
      <c r="BQ3006" s="397"/>
      <c r="BU3006" s="397"/>
      <c r="BV3006" s="397"/>
      <c r="BZ3006" s="397"/>
      <c r="CA3006" s="397"/>
      <c r="CE3006" s="550"/>
      <c r="CF3006" s="550"/>
      <c r="CG3006" s="550"/>
      <c r="CH3006" s="550"/>
      <c r="FV3006" s="32">
        <v>195</v>
      </c>
      <c r="FW3006" s="32">
        <v>2</v>
      </c>
      <c r="FX3006" s="32">
        <v>56</v>
      </c>
      <c r="FY3006" s="32">
        <v>56</v>
      </c>
      <c r="FZ3006" s="32" t="s">
        <v>3051</v>
      </c>
      <c r="JD3006" s="243"/>
    </row>
    <row r="3007" spans="1:264" x14ac:dyDescent="0.25">
      <c r="A3007" s="37">
        <v>147</v>
      </c>
      <c r="B3007" s="50" t="s">
        <v>4402</v>
      </c>
      <c r="C3007" s="37" t="s">
        <v>3052</v>
      </c>
      <c r="D3007" s="37" t="s">
        <v>3053</v>
      </c>
      <c r="E3007" s="37">
        <v>1989</v>
      </c>
      <c r="F3007" s="37">
        <v>1982</v>
      </c>
      <c r="G3007" s="37" t="s">
        <v>2766</v>
      </c>
      <c r="H3007" s="37" t="s">
        <v>3054</v>
      </c>
      <c r="I3007" s="37" t="s">
        <v>2823</v>
      </c>
      <c r="J3007" s="37">
        <v>4.8499999999999996</v>
      </c>
      <c r="K3007" s="37">
        <v>7.05</v>
      </c>
      <c r="L3007" s="37">
        <v>21.6</v>
      </c>
      <c r="P3007" s="37">
        <v>2400</v>
      </c>
      <c r="R3007" s="50" t="s">
        <v>1977</v>
      </c>
      <c r="S3007" s="50" t="s">
        <v>1843</v>
      </c>
      <c r="U3007" s="50" t="s">
        <v>3055</v>
      </c>
      <c r="AH3007" s="37" t="s">
        <v>3057</v>
      </c>
      <c r="AI3007" s="37" t="s">
        <v>577</v>
      </c>
      <c r="AJ3007" s="37" t="s">
        <v>1645</v>
      </c>
      <c r="AK3007" s="37" t="s">
        <v>132</v>
      </c>
      <c r="AO3007" s="37" t="s">
        <v>3056</v>
      </c>
      <c r="AQ3007" s="37" t="s">
        <v>2125</v>
      </c>
      <c r="AR3007" s="37" t="s">
        <v>2125</v>
      </c>
      <c r="AW3007" s="37" t="s">
        <v>160</v>
      </c>
      <c r="CE3007" s="559"/>
      <c r="CF3007" s="559"/>
      <c r="CG3007" s="556"/>
      <c r="CH3007" s="556"/>
      <c r="ER3007" s="37">
        <v>0.02</v>
      </c>
      <c r="ES3007" s="37">
        <v>0.69</v>
      </c>
      <c r="EV3007" s="37" t="s">
        <v>207</v>
      </c>
      <c r="EW3007" s="37">
        <v>1.1000000000000001</v>
      </c>
      <c r="EX3007" s="37">
        <v>3</v>
      </c>
      <c r="FA3007" s="37" t="s">
        <v>3061</v>
      </c>
      <c r="FB3007" s="37">
        <v>0.1</v>
      </c>
      <c r="FC3007" s="37">
        <v>0.34</v>
      </c>
      <c r="FF3007" s="37" t="s">
        <v>3062</v>
      </c>
    </row>
    <row r="3008" spans="1:264" x14ac:dyDescent="0.25">
      <c r="A3008" s="37">
        <v>147</v>
      </c>
      <c r="B3008" s="50" t="s">
        <v>4402</v>
      </c>
      <c r="C3008" s="37" t="s">
        <v>3052</v>
      </c>
      <c r="D3008" s="37" t="s">
        <v>3053</v>
      </c>
      <c r="E3008" s="37">
        <v>1989</v>
      </c>
      <c r="F3008" s="37">
        <v>1982</v>
      </c>
      <c r="G3008" s="37" t="s">
        <v>2766</v>
      </c>
      <c r="H3008" s="37" t="s">
        <v>3054</v>
      </c>
      <c r="I3008" s="37" t="s">
        <v>2823</v>
      </c>
      <c r="J3008" s="37">
        <v>4.8499999999999996</v>
      </c>
      <c r="K3008" s="37">
        <v>7.05</v>
      </c>
      <c r="L3008" s="37">
        <v>21.6</v>
      </c>
      <c r="P3008" s="37">
        <v>2400</v>
      </c>
      <c r="R3008" s="50" t="s">
        <v>1977</v>
      </c>
      <c r="S3008" s="50" t="s">
        <v>1843</v>
      </c>
      <c r="U3008" s="50" t="s">
        <v>3055</v>
      </c>
      <c r="AH3008" s="37" t="s">
        <v>3058</v>
      </c>
      <c r="AI3008" s="37" t="s">
        <v>577</v>
      </c>
      <c r="AJ3008" s="37" t="s">
        <v>1645</v>
      </c>
      <c r="AK3008" s="37" t="s">
        <v>132</v>
      </c>
      <c r="AO3008" s="37" t="s">
        <v>3056</v>
      </c>
      <c r="AQ3008" s="37" t="s">
        <v>2125</v>
      </c>
      <c r="AR3008" s="37" t="s">
        <v>2125</v>
      </c>
      <c r="AW3008" s="37" t="s">
        <v>160</v>
      </c>
      <c r="CE3008" s="559"/>
      <c r="CF3008" s="559"/>
      <c r="CG3008" s="556"/>
      <c r="CH3008" s="556"/>
      <c r="ER3008" s="37">
        <v>0.02</v>
      </c>
      <c r="ES3008" s="37">
        <v>0.25</v>
      </c>
      <c r="EV3008" s="37" t="s">
        <v>207</v>
      </c>
      <c r="EW3008" s="37">
        <v>1.1000000000000001</v>
      </c>
      <c r="EX3008" s="37">
        <v>3.9</v>
      </c>
      <c r="FA3008" s="37" t="s">
        <v>3061</v>
      </c>
      <c r="FB3008" s="37">
        <v>0.1</v>
      </c>
      <c r="FC3008" s="37">
        <v>0.1</v>
      </c>
      <c r="FF3008" s="37" t="s">
        <v>3062</v>
      </c>
    </row>
    <row r="3009" spans="1:264" x14ac:dyDescent="0.25">
      <c r="A3009" s="37">
        <v>147</v>
      </c>
      <c r="B3009" s="50" t="s">
        <v>4402</v>
      </c>
      <c r="C3009" s="37" t="s">
        <v>3052</v>
      </c>
      <c r="D3009" s="37" t="s">
        <v>3053</v>
      </c>
      <c r="E3009" s="37">
        <v>1989</v>
      </c>
      <c r="F3009" s="37">
        <v>1982</v>
      </c>
      <c r="G3009" s="37" t="s">
        <v>2766</v>
      </c>
      <c r="H3009" s="37" t="s">
        <v>3054</v>
      </c>
      <c r="I3009" s="37" t="s">
        <v>2823</v>
      </c>
      <c r="J3009" s="37">
        <v>4.8499999999999996</v>
      </c>
      <c r="K3009" s="37">
        <v>7.05</v>
      </c>
      <c r="L3009" s="37">
        <v>21.6</v>
      </c>
      <c r="P3009" s="37">
        <v>2400</v>
      </c>
      <c r="R3009" s="50" t="s">
        <v>1977</v>
      </c>
      <c r="S3009" s="50" t="s">
        <v>1843</v>
      </c>
      <c r="U3009" s="50" t="s">
        <v>3055</v>
      </c>
      <c r="AH3009" s="37" t="s">
        <v>3059</v>
      </c>
      <c r="AI3009" s="37" t="s">
        <v>577</v>
      </c>
      <c r="AJ3009" s="37" t="s">
        <v>1645</v>
      </c>
      <c r="AK3009" s="37" t="s">
        <v>132</v>
      </c>
      <c r="AO3009" s="37" t="s">
        <v>3056</v>
      </c>
      <c r="AQ3009" s="37" t="s">
        <v>2125</v>
      </c>
      <c r="AR3009" s="37" t="s">
        <v>2125</v>
      </c>
      <c r="AW3009" s="37" t="s">
        <v>160</v>
      </c>
      <c r="CE3009" s="559"/>
      <c r="CF3009" s="559"/>
      <c r="CG3009" s="556"/>
      <c r="CH3009" s="556"/>
      <c r="ER3009" s="37">
        <v>0.02</v>
      </c>
      <c r="ES3009" s="37">
        <v>0.01</v>
      </c>
      <c r="EV3009" s="37" t="s">
        <v>207</v>
      </c>
      <c r="EW3009" s="37">
        <v>1.1000000000000001</v>
      </c>
      <c r="EX3009" s="37">
        <v>0.1</v>
      </c>
      <c r="FA3009" s="37" t="s">
        <v>3061</v>
      </c>
      <c r="FB3009" s="37">
        <v>0.1</v>
      </c>
      <c r="FC3009" s="37">
        <v>0.01</v>
      </c>
      <c r="FF3009" s="37" t="s">
        <v>3062</v>
      </c>
    </row>
    <row r="3010" spans="1:264" x14ac:dyDescent="0.25">
      <c r="A3010" s="37">
        <v>147</v>
      </c>
      <c r="B3010" s="50" t="s">
        <v>4402</v>
      </c>
      <c r="C3010" s="37" t="s">
        <v>3052</v>
      </c>
      <c r="D3010" s="37" t="s">
        <v>3053</v>
      </c>
      <c r="E3010" s="37">
        <v>1989</v>
      </c>
      <c r="F3010" s="37">
        <v>1982</v>
      </c>
      <c r="G3010" s="37" t="s">
        <v>2766</v>
      </c>
      <c r="H3010" s="37" t="s">
        <v>3054</v>
      </c>
      <c r="I3010" s="37" t="s">
        <v>2823</v>
      </c>
      <c r="J3010" s="37">
        <v>4.8499999999999996</v>
      </c>
      <c r="K3010" s="37">
        <v>7.05</v>
      </c>
      <c r="L3010" s="37">
        <v>21.6</v>
      </c>
      <c r="P3010" s="37">
        <v>2400</v>
      </c>
      <c r="R3010" s="50" t="s">
        <v>1977</v>
      </c>
      <c r="S3010" s="50" t="s">
        <v>1843</v>
      </c>
      <c r="U3010" s="50" t="s">
        <v>3055</v>
      </c>
      <c r="AH3010" s="37" t="s">
        <v>3060</v>
      </c>
      <c r="AI3010" s="37" t="s">
        <v>577</v>
      </c>
      <c r="AJ3010" s="37" t="s">
        <v>1645</v>
      </c>
      <c r="AK3010" s="37" t="s">
        <v>132</v>
      </c>
      <c r="AO3010" s="37" t="s">
        <v>3056</v>
      </c>
      <c r="AQ3010" s="37" t="s">
        <v>2125</v>
      </c>
      <c r="AR3010" s="37" t="s">
        <v>2125</v>
      </c>
      <c r="AW3010" s="37" t="s">
        <v>160</v>
      </c>
      <c r="CE3010" s="559"/>
      <c r="CF3010" s="559"/>
      <c r="CG3010" s="556"/>
      <c r="CH3010" s="556"/>
      <c r="ER3010" s="37">
        <v>0.02</v>
      </c>
      <c r="ES3010" s="37">
        <v>0.02</v>
      </c>
      <c r="EV3010" s="37" t="s">
        <v>207</v>
      </c>
      <c r="EW3010" s="37">
        <v>1.1000000000000001</v>
      </c>
      <c r="EX3010" s="37">
        <v>0.4</v>
      </c>
      <c r="FA3010" s="37" t="s">
        <v>3061</v>
      </c>
      <c r="FB3010" s="37">
        <v>0.1</v>
      </c>
      <c r="FC3010" s="37">
        <v>0.01</v>
      </c>
      <c r="FF3010" s="37" t="s">
        <v>3062</v>
      </c>
    </row>
    <row r="3011" spans="1:264" s="36" customFormat="1" x14ac:dyDescent="0.25">
      <c r="A3011" s="36">
        <v>147</v>
      </c>
      <c r="B3011" s="51" t="s">
        <v>4402</v>
      </c>
      <c r="C3011" s="36" t="s">
        <v>3052</v>
      </c>
      <c r="D3011" s="36" t="s">
        <v>3053</v>
      </c>
      <c r="E3011" s="36">
        <v>1989</v>
      </c>
      <c r="F3011" s="36">
        <v>1983</v>
      </c>
      <c r="G3011" s="36" t="s">
        <v>2766</v>
      </c>
      <c r="H3011" s="36" t="s">
        <v>3054</v>
      </c>
      <c r="I3011" s="36" t="s">
        <v>2823</v>
      </c>
      <c r="J3011" s="36">
        <v>4.8499999999999996</v>
      </c>
      <c r="K3011" s="36">
        <v>7.05</v>
      </c>
      <c r="L3011" s="36">
        <v>21.6</v>
      </c>
      <c r="P3011" s="36">
        <v>2400</v>
      </c>
      <c r="R3011" s="51" t="s">
        <v>1847</v>
      </c>
      <c r="S3011" s="51" t="s">
        <v>1843</v>
      </c>
      <c r="T3011" s="51"/>
      <c r="U3011" s="51" t="s">
        <v>3055</v>
      </c>
      <c r="V3011" s="51"/>
      <c r="W3011" s="51"/>
      <c r="X3011" s="51"/>
      <c r="Y3011" s="51"/>
      <c r="AA3011" s="331"/>
      <c r="AB3011" s="331"/>
      <c r="AH3011" s="36" t="s">
        <v>3057</v>
      </c>
      <c r="AI3011" s="36" t="s">
        <v>577</v>
      </c>
      <c r="AJ3011" s="36" t="s">
        <v>1645</v>
      </c>
      <c r="AK3011" s="36" t="s">
        <v>132</v>
      </c>
      <c r="AO3011" s="36" t="s">
        <v>3056</v>
      </c>
      <c r="AQ3011" s="36" t="s">
        <v>2125</v>
      </c>
      <c r="AR3011" s="36" t="s">
        <v>2125</v>
      </c>
      <c r="AW3011" s="36" t="s">
        <v>160</v>
      </c>
      <c r="BP3011" s="407"/>
      <c r="BQ3011" s="407"/>
      <c r="BU3011" s="407"/>
      <c r="BV3011" s="407"/>
      <c r="BZ3011" s="407"/>
      <c r="CA3011" s="407"/>
      <c r="CE3011" s="560"/>
      <c r="CF3011" s="560"/>
      <c r="CG3011" s="560"/>
      <c r="CH3011" s="560"/>
      <c r="ER3011" s="36">
        <v>2.5</v>
      </c>
      <c r="ES3011" s="36">
        <v>1.38</v>
      </c>
      <c r="EV3011" s="36" t="s">
        <v>207</v>
      </c>
      <c r="EW3011" s="36">
        <v>19.100000000000001</v>
      </c>
      <c r="EX3011" s="36">
        <v>13.3</v>
      </c>
      <c r="FA3011" s="36" t="s">
        <v>3061</v>
      </c>
      <c r="FB3011" s="36">
        <v>0.97</v>
      </c>
      <c r="FC3011" s="36">
        <v>1.28</v>
      </c>
      <c r="FF3011" s="36" t="s">
        <v>3062</v>
      </c>
      <c r="JD3011" s="230"/>
    </row>
    <row r="3012" spans="1:264" s="36" customFormat="1" x14ac:dyDescent="0.25">
      <c r="A3012" s="36">
        <v>147</v>
      </c>
      <c r="B3012" s="51" t="s">
        <v>4402</v>
      </c>
      <c r="C3012" s="36" t="s">
        <v>3052</v>
      </c>
      <c r="D3012" s="36" t="s">
        <v>3053</v>
      </c>
      <c r="E3012" s="36">
        <v>1989</v>
      </c>
      <c r="F3012" s="36">
        <v>1983</v>
      </c>
      <c r="G3012" s="36" t="s">
        <v>2766</v>
      </c>
      <c r="H3012" s="36" t="s">
        <v>3054</v>
      </c>
      <c r="I3012" s="36" t="s">
        <v>2823</v>
      </c>
      <c r="J3012" s="36">
        <v>4.8499999999999996</v>
      </c>
      <c r="K3012" s="36">
        <v>7.05</v>
      </c>
      <c r="L3012" s="36">
        <v>21.6</v>
      </c>
      <c r="P3012" s="36">
        <v>2400</v>
      </c>
      <c r="R3012" s="51" t="s">
        <v>1847</v>
      </c>
      <c r="S3012" s="51" t="s">
        <v>1843</v>
      </c>
      <c r="T3012" s="51"/>
      <c r="U3012" s="51" t="s">
        <v>3055</v>
      </c>
      <c r="V3012" s="51"/>
      <c r="W3012" s="51"/>
      <c r="X3012" s="51"/>
      <c r="Y3012" s="51"/>
      <c r="AA3012" s="331"/>
      <c r="AB3012" s="331"/>
      <c r="AH3012" s="36" t="s">
        <v>3058</v>
      </c>
      <c r="AI3012" s="36" t="s">
        <v>577</v>
      </c>
      <c r="AJ3012" s="36" t="s">
        <v>1645</v>
      </c>
      <c r="AK3012" s="36" t="s">
        <v>132</v>
      </c>
      <c r="AO3012" s="36" t="s">
        <v>3056</v>
      </c>
      <c r="AQ3012" s="36" t="s">
        <v>2125</v>
      </c>
      <c r="AR3012" s="36" t="s">
        <v>2125</v>
      </c>
      <c r="AW3012" s="36" t="s">
        <v>160</v>
      </c>
      <c r="BP3012" s="407"/>
      <c r="BQ3012" s="407"/>
      <c r="BU3012" s="407"/>
      <c r="BV3012" s="407"/>
      <c r="BZ3012" s="407"/>
      <c r="CA3012" s="407"/>
      <c r="CE3012" s="560"/>
      <c r="CF3012" s="560"/>
      <c r="CG3012" s="560"/>
      <c r="CH3012" s="560"/>
      <c r="ER3012" s="36">
        <v>2.5</v>
      </c>
      <c r="ES3012" s="36">
        <v>0.18</v>
      </c>
      <c r="EV3012" s="36" t="s">
        <v>207</v>
      </c>
      <c r="EW3012" s="36">
        <v>19.100000000000001</v>
      </c>
      <c r="EX3012" s="36">
        <v>6</v>
      </c>
      <c r="FA3012" s="36" t="s">
        <v>3061</v>
      </c>
      <c r="FB3012" s="36">
        <v>0.97</v>
      </c>
      <c r="FC3012" s="36">
        <v>0.34</v>
      </c>
      <c r="FF3012" s="36" t="s">
        <v>3062</v>
      </c>
      <c r="JD3012" s="230"/>
    </row>
    <row r="3013" spans="1:264" s="36" customFormat="1" x14ac:dyDescent="0.25">
      <c r="A3013" s="36">
        <v>147</v>
      </c>
      <c r="B3013" s="51" t="s">
        <v>4402</v>
      </c>
      <c r="C3013" s="36" t="s">
        <v>3052</v>
      </c>
      <c r="D3013" s="36" t="s">
        <v>3053</v>
      </c>
      <c r="E3013" s="36">
        <v>1989</v>
      </c>
      <c r="F3013" s="36">
        <v>1983</v>
      </c>
      <c r="G3013" s="36" t="s">
        <v>2766</v>
      </c>
      <c r="H3013" s="36" t="s">
        <v>3054</v>
      </c>
      <c r="I3013" s="36" t="s">
        <v>2823</v>
      </c>
      <c r="J3013" s="36">
        <v>4.8499999999999996</v>
      </c>
      <c r="K3013" s="36">
        <v>7.05</v>
      </c>
      <c r="L3013" s="36">
        <v>21.6</v>
      </c>
      <c r="P3013" s="36">
        <v>2400</v>
      </c>
      <c r="R3013" s="51" t="s">
        <v>1847</v>
      </c>
      <c r="S3013" s="51" t="s">
        <v>1843</v>
      </c>
      <c r="T3013" s="51"/>
      <c r="U3013" s="51" t="s">
        <v>3055</v>
      </c>
      <c r="V3013" s="51"/>
      <c r="W3013" s="51"/>
      <c r="X3013" s="51"/>
      <c r="Y3013" s="51"/>
      <c r="AA3013" s="331"/>
      <c r="AB3013" s="331"/>
      <c r="AH3013" s="36" t="s">
        <v>3059</v>
      </c>
      <c r="AI3013" s="36" t="s">
        <v>577</v>
      </c>
      <c r="AJ3013" s="36" t="s">
        <v>1645</v>
      </c>
      <c r="AK3013" s="36" t="s">
        <v>132</v>
      </c>
      <c r="AO3013" s="36" t="s">
        <v>3056</v>
      </c>
      <c r="AQ3013" s="36" t="s">
        <v>2125</v>
      </c>
      <c r="AR3013" s="36" t="s">
        <v>2125</v>
      </c>
      <c r="AW3013" s="36" t="s">
        <v>160</v>
      </c>
      <c r="BP3013" s="407"/>
      <c r="BQ3013" s="407"/>
      <c r="BU3013" s="407"/>
      <c r="BV3013" s="407"/>
      <c r="BZ3013" s="407"/>
      <c r="CA3013" s="407"/>
      <c r="CE3013" s="560"/>
      <c r="CF3013" s="560"/>
      <c r="CG3013" s="560"/>
      <c r="CH3013" s="560"/>
      <c r="ER3013" s="36">
        <v>2.5</v>
      </c>
      <c r="ES3013" s="36">
        <v>0.43</v>
      </c>
      <c r="EV3013" s="36" t="s">
        <v>207</v>
      </c>
      <c r="EW3013" s="36">
        <v>19.100000000000001</v>
      </c>
      <c r="EX3013" s="36">
        <v>5.3</v>
      </c>
      <c r="FA3013" s="36" t="s">
        <v>3061</v>
      </c>
      <c r="FB3013" s="36">
        <v>0.97</v>
      </c>
      <c r="FC3013" s="36">
        <v>0.4</v>
      </c>
      <c r="FF3013" s="36" t="s">
        <v>3062</v>
      </c>
      <c r="JD3013" s="230"/>
    </row>
    <row r="3014" spans="1:264" s="36" customFormat="1" x14ac:dyDescent="0.25">
      <c r="A3014" s="36">
        <v>147</v>
      </c>
      <c r="B3014" s="51" t="s">
        <v>4402</v>
      </c>
      <c r="C3014" s="36" t="s">
        <v>3052</v>
      </c>
      <c r="D3014" s="36" t="s">
        <v>3053</v>
      </c>
      <c r="E3014" s="36">
        <v>1989</v>
      </c>
      <c r="F3014" s="36">
        <v>1983</v>
      </c>
      <c r="G3014" s="36" t="s">
        <v>2766</v>
      </c>
      <c r="H3014" s="36" t="s">
        <v>3054</v>
      </c>
      <c r="I3014" s="36" t="s">
        <v>2823</v>
      </c>
      <c r="J3014" s="36">
        <v>4.8499999999999996</v>
      </c>
      <c r="K3014" s="36">
        <v>7.05</v>
      </c>
      <c r="L3014" s="36">
        <v>21.6</v>
      </c>
      <c r="P3014" s="36">
        <v>2400</v>
      </c>
      <c r="R3014" s="51" t="s">
        <v>1847</v>
      </c>
      <c r="S3014" s="51" t="s">
        <v>1843</v>
      </c>
      <c r="T3014" s="51"/>
      <c r="U3014" s="51" t="s">
        <v>3055</v>
      </c>
      <c r="V3014" s="51"/>
      <c r="W3014" s="51"/>
      <c r="X3014" s="51"/>
      <c r="Y3014" s="51"/>
      <c r="AA3014" s="331"/>
      <c r="AB3014" s="331"/>
      <c r="AH3014" s="36" t="s">
        <v>3060</v>
      </c>
      <c r="AI3014" s="36" t="s">
        <v>577</v>
      </c>
      <c r="AJ3014" s="36" t="s">
        <v>1645</v>
      </c>
      <c r="AK3014" s="36" t="s">
        <v>132</v>
      </c>
      <c r="AO3014" s="36" t="s">
        <v>3056</v>
      </c>
      <c r="AQ3014" s="36" t="s">
        <v>2125</v>
      </c>
      <c r="AR3014" s="36" t="s">
        <v>2125</v>
      </c>
      <c r="AW3014" s="36" t="s">
        <v>160</v>
      </c>
      <c r="BP3014" s="407"/>
      <c r="BQ3014" s="407"/>
      <c r="BU3014" s="407"/>
      <c r="BV3014" s="407"/>
      <c r="BZ3014" s="407"/>
      <c r="CA3014" s="407"/>
      <c r="CE3014" s="560"/>
      <c r="CF3014" s="560"/>
      <c r="CG3014" s="560"/>
      <c r="CH3014" s="560"/>
      <c r="ER3014" s="36">
        <v>2.5</v>
      </c>
      <c r="ES3014" s="36">
        <v>0.1</v>
      </c>
      <c r="EV3014" s="36" t="s">
        <v>207</v>
      </c>
      <c r="EW3014" s="36">
        <v>19.100000000000001</v>
      </c>
      <c r="EX3014" s="36">
        <v>2.8</v>
      </c>
      <c r="FA3014" s="36" t="s">
        <v>3061</v>
      </c>
      <c r="FB3014" s="36">
        <v>0.97</v>
      </c>
      <c r="FC3014" s="36">
        <v>0.97</v>
      </c>
      <c r="FF3014" s="36" t="s">
        <v>3062</v>
      </c>
      <c r="JD3014" s="230"/>
    </row>
    <row r="3015" spans="1:264" x14ac:dyDescent="0.25">
      <c r="A3015" s="37">
        <v>147</v>
      </c>
      <c r="B3015" s="50" t="s">
        <v>4402</v>
      </c>
      <c r="C3015" s="37" t="s">
        <v>3052</v>
      </c>
      <c r="D3015" s="37" t="s">
        <v>3053</v>
      </c>
      <c r="E3015" s="37">
        <v>1989</v>
      </c>
      <c r="F3015" s="37">
        <v>1984</v>
      </c>
      <c r="G3015" s="37" t="s">
        <v>2766</v>
      </c>
      <c r="H3015" s="37" t="s">
        <v>3054</v>
      </c>
      <c r="I3015" s="37" t="s">
        <v>2823</v>
      </c>
      <c r="J3015" s="37">
        <v>4.8499999999999996</v>
      </c>
      <c r="K3015" s="37">
        <v>7.05</v>
      </c>
      <c r="L3015" s="37">
        <v>21.6</v>
      </c>
      <c r="P3015" s="37">
        <v>2400</v>
      </c>
      <c r="R3015" s="50" t="s">
        <v>1728</v>
      </c>
      <c r="S3015" s="50" t="s">
        <v>1843</v>
      </c>
      <c r="U3015" s="50" t="s">
        <v>3055</v>
      </c>
      <c r="AH3015" s="37" t="s">
        <v>3057</v>
      </c>
      <c r="AI3015" s="37" t="s">
        <v>577</v>
      </c>
      <c r="AJ3015" s="37" t="s">
        <v>1645</v>
      </c>
      <c r="AK3015" s="37" t="s">
        <v>132</v>
      </c>
      <c r="AO3015" s="37" t="s">
        <v>3056</v>
      </c>
      <c r="AQ3015" s="37" t="s">
        <v>2125</v>
      </c>
      <c r="AR3015" s="37" t="s">
        <v>2125</v>
      </c>
      <c r="AW3015" s="37" t="s">
        <v>160</v>
      </c>
      <c r="CE3015" s="559"/>
      <c r="CF3015" s="559"/>
      <c r="CG3015" s="556"/>
      <c r="CH3015" s="556"/>
      <c r="ER3015" s="37">
        <v>14.16</v>
      </c>
      <c r="ES3015" s="37">
        <v>0.17</v>
      </c>
      <c r="EV3015" s="37" t="s">
        <v>207</v>
      </c>
      <c r="EW3015" s="37">
        <v>29.9</v>
      </c>
      <c r="EX3015" s="37">
        <v>1.2</v>
      </c>
      <c r="FA3015" s="37" t="s">
        <v>3061</v>
      </c>
      <c r="FB3015" s="37">
        <v>1.35</v>
      </c>
      <c r="FC3015" s="37">
        <v>0.23</v>
      </c>
      <c r="FF3015" s="37" t="s">
        <v>3062</v>
      </c>
    </row>
    <row r="3016" spans="1:264" x14ac:dyDescent="0.25">
      <c r="A3016" s="37">
        <v>147</v>
      </c>
      <c r="B3016" s="50" t="s">
        <v>4402</v>
      </c>
      <c r="C3016" s="37" t="s">
        <v>3052</v>
      </c>
      <c r="D3016" s="37" t="s">
        <v>3053</v>
      </c>
      <c r="E3016" s="37">
        <v>1989</v>
      </c>
      <c r="F3016" s="37">
        <v>1984</v>
      </c>
      <c r="G3016" s="37" t="s">
        <v>2766</v>
      </c>
      <c r="H3016" s="37" t="s">
        <v>3054</v>
      </c>
      <c r="I3016" s="37" t="s">
        <v>2823</v>
      </c>
      <c r="J3016" s="37">
        <v>4.8499999999999996</v>
      </c>
      <c r="K3016" s="37">
        <v>7.05</v>
      </c>
      <c r="L3016" s="37">
        <v>21.6</v>
      </c>
      <c r="P3016" s="37">
        <v>2400</v>
      </c>
      <c r="R3016" s="50" t="s">
        <v>1728</v>
      </c>
      <c r="S3016" s="50" t="s">
        <v>1843</v>
      </c>
      <c r="U3016" s="50" t="s">
        <v>3055</v>
      </c>
      <c r="AH3016" s="37" t="s">
        <v>3058</v>
      </c>
      <c r="AI3016" s="37" t="s">
        <v>577</v>
      </c>
      <c r="AJ3016" s="37" t="s">
        <v>1645</v>
      </c>
      <c r="AK3016" s="37" t="s">
        <v>132</v>
      </c>
      <c r="AO3016" s="37" t="s">
        <v>3056</v>
      </c>
      <c r="AQ3016" s="37" t="s">
        <v>2125</v>
      </c>
      <c r="AR3016" s="37" t="s">
        <v>2125</v>
      </c>
      <c r="AW3016" s="37" t="s">
        <v>160</v>
      </c>
      <c r="CE3016" s="559"/>
      <c r="CF3016" s="559"/>
      <c r="CG3016" s="556"/>
      <c r="CH3016" s="556"/>
      <c r="ER3016" s="37">
        <v>14.16</v>
      </c>
      <c r="ES3016" s="37">
        <v>7.0000000000000007E-2</v>
      </c>
      <c r="EV3016" s="37" t="s">
        <v>207</v>
      </c>
      <c r="EW3016" s="37">
        <v>29.9</v>
      </c>
      <c r="EX3016" s="37">
        <v>1.3</v>
      </c>
      <c r="FA3016" s="37" t="s">
        <v>3061</v>
      </c>
      <c r="FB3016" s="37">
        <v>1.35</v>
      </c>
      <c r="FC3016" s="37">
        <v>0.1</v>
      </c>
      <c r="FF3016" s="37" t="s">
        <v>3062</v>
      </c>
    </row>
    <row r="3017" spans="1:264" x14ac:dyDescent="0.25">
      <c r="A3017" s="37">
        <v>147</v>
      </c>
      <c r="B3017" s="50" t="s">
        <v>4402</v>
      </c>
      <c r="C3017" s="37" t="s">
        <v>3052</v>
      </c>
      <c r="D3017" s="37" t="s">
        <v>3053</v>
      </c>
      <c r="E3017" s="37">
        <v>1989</v>
      </c>
      <c r="F3017" s="37">
        <v>1984</v>
      </c>
      <c r="G3017" s="37" t="s">
        <v>2766</v>
      </c>
      <c r="H3017" s="37" t="s">
        <v>3054</v>
      </c>
      <c r="I3017" s="37" t="s">
        <v>2823</v>
      </c>
      <c r="J3017" s="37">
        <v>4.8499999999999996</v>
      </c>
      <c r="K3017" s="37">
        <v>7.05</v>
      </c>
      <c r="L3017" s="37">
        <v>21.6</v>
      </c>
      <c r="P3017" s="37">
        <v>2400</v>
      </c>
      <c r="R3017" s="50" t="s">
        <v>1728</v>
      </c>
      <c r="S3017" s="50" t="s">
        <v>1843</v>
      </c>
      <c r="U3017" s="50" t="s">
        <v>3055</v>
      </c>
      <c r="AH3017" s="37" t="s">
        <v>3059</v>
      </c>
      <c r="AI3017" s="37" t="s">
        <v>577</v>
      </c>
      <c r="AJ3017" s="37" t="s">
        <v>1645</v>
      </c>
      <c r="AK3017" s="37" t="s">
        <v>132</v>
      </c>
      <c r="AO3017" s="37" t="s">
        <v>3056</v>
      </c>
      <c r="AQ3017" s="37" t="s">
        <v>2125</v>
      </c>
      <c r="AR3017" s="37" t="s">
        <v>2125</v>
      </c>
      <c r="AW3017" s="37" t="s">
        <v>160</v>
      </c>
      <c r="CE3017" s="559"/>
      <c r="CF3017" s="559"/>
      <c r="CG3017" s="556"/>
      <c r="CH3017" s="556"/>
      <c r="ER3017" s="37">
        <v>14.16</v>
      </c>
      <c r="ES3017" s="37">
        <v>1.62</v>
      </c>
      <c r="EV3017" s="37" t="s">
        <v>207</v>
      </c>
      <c r="EW3017" s="37">
        <v>29.9</v>
      </c>
      <c r="EX3017" s="37">
        <v>4.9000000000000004</v>
      </c>
      <c r="FA3017" s="37" t="s">
        <v>3061</v>
      </c>
      <c r="FB3017" s="37">
        <v>1.35</v>
      </c>
      <c r="FC3017" s="37">
        <v>2.57</v>
      </c>
      <c r="FF3017" s="37" t="s">
        <v>3062</v>
      </c>
    </row>
    <row r="3018" spans="1:264" x14ac:dyDescent="0.25">
      <c r="A3018" s="37">
        <v>147</v>
      </c>
      <c r="B3018" s="50" t="s">
        <v>4402</v>
      </c>
      <c r="C3018" s="37" t="s">
        <v>3052</v>
      </c>
      <c r="D3018" s="37" t="s">
        <v>3053</v>
      </c>
      <c r="E3018" s="37">
        <v>1989</v>
      </c>
      <c r="F3018" s="37">
        <v>1984</v>
      </c>
      <c r="G3018" s="37" t="s">
        <v>2766</v>
      </c>
      <c r="H3018" s="37" t="s">
        <v>3054</v>
      </c>
      <c r="I3018" s="37" t="s">
        <v>2823</v>
      </c>
      <c r="J3018" s="37">
        <v>4.8499999999999996</v>
      </c>
      <c r="K3018" s="37">
        <v>7.05</v>
      </c>
      <c r="L3018" s="37">
        <v>21.6</v>
      </c>
      <c r="P3018" s="37">
        <v>2400</v>
      </c>
      <c r="R3018" s="50" t="s">
        <v>1728</v>
      </c>
      <c r="S3018" s="50" t="s">
        <v>1843</v>
      </c>
      <c r="U3018" s="50" t="s">
        <v>3055</v>
      </c>
      <c r="AH3018" s="37" t="s">
        <v>3060</v>
      </c>
      <c r="AI3018" s="37" t="s">
        <v>577</v>
      </c>
      <c r="AJ3018" s="37" t="s">
        <v>1645</v>
      </c>
      <c r="AK3018" s="37" t="s">
        <v>132</v>
      </c>
      <c r="AO3018" s="37" t="s">
        <v>3056</v>
      </c>
      <c r="AQ3018" s="37" t="s">
        <v>2125</v>
      </c>
      <c r="AR3018" s="37" t="s">
        <v>2125</v>
      </c>
      <c r="AW3018" s="37" t="s">
        <v>160</v>
      </c>
      <c r="CE3018" s="559"/>
      <c r="CF3018" s="559"/>
      <c r="CG3018" s="556"/>
      <c r="CH3018" s="556"/>
      <c r="ER3018" s="37">
        <v>14.16</v>
      </c>
      <c r="ES3018" s="37">
        <v>2.0499999999999998</v>
      </c>
      <c r="EV3018" s="37" t="s">
        <v>207</v>
      </c>
      <c r="EW3018" s="37">
        <v>29.9</v>
      </c>
      <c r="EX3018" s="37">
        <v>2.2000000000000002</v>
      </c>
      <c r="FA3018" s="37" t="s">
        <v>3061</v>
      </c>
      <c r="FB3018" s="37">
        <v>1.35</v>
      </c>
      <c r="FC3018" s="37">
        <v>0.11</v>
      </c>
      <c r="FF3018" s="37" t="s">
        <v>3062</v>
      </c>
    </row>
    <row r="3019" spans="1:264" s="36" customFormat="1" x14ac:dyDescent="0.25">
      <c r="A3019" s="36">
        <v>147</v>
      </c>
      <c r="B3019" s="51" t="s">
        <v>4402</v>
      </c>
      <c r="C3019" s="36" t="s">
        <v>3052</v>
      </c>
      <c r="D3019" s="36" t="s">
        <v>3053</v>
      </c>
      <c r="E3019" s="36">
        <v>1989</v>
      </c>
      <c r="F3019" s="36">
        <v>1985</v>
      </c>
      <c r="G3019" s="36" t="s">
        <v>2766</v>
      </c>
      <c r="H3019" s="36" t="s">
        <v>3054</v>
      </c>
      <c r="I3019" s="36" t="s">
        <v>2823</v>
      </c>
      <c r="J3019" s="36">
        <v>4.8499999999999996</v>
      </c>
      <c r="K3019" s="36">
        <v>7.05</v>
      </c>
      <c r="L3019" s="36">
        <v>21.6</v>
      </c>
      <c r="P3019" s="36">
        <v>2400</v>
      </c>
      <c r="R3019" s="51" t="s">
        <v>1858</v>
      </c>
      <c r="S3019" s="51" t="s">
        <v>1843</v>
      </c>
      <c r="T3019" s="51"/>
      <c r="U3019" s="51" t="s">
        <v>3055</v>
      </c>
      <c r="V3019" s="51"/>
      <c r="W3019" s="51"/>
      <c r="X3019" s="51"/>
      <c r="Y3019" s="51"/>
      <c r="AA3019" s="331"/>
      <c r="AB3019" s="331"/>
      <c r="AH3019" s="36" t="s">
        <v>3057</v>
      </c>
      <c r="AI3019" s="36" t="s">
        <v>577</v>
      </c>
      <c r="AJ3019" s="36" t="s">
        <v>1645</v>
      </c>
      <c r="AK3019" s="36" t="s">
        <v>132</v>
      </c>
      <c r="AO3019" s="36" t="s">
        <v>3056</v>
      </c>
      <c r="AQ3019" s="36" t="s">
        <v>2125</v>
      </c>
      <c r="AR3019" s="36" t="s">
        <v>2125</v>
      </c>
      <c r="AW3019" s="36" t="s">
        <v>160</v>
      </c>
      <c r="BP3019" s="407"/>
      <c r="BQ3019" s="407"/>
      <c r="BU3019" s="407"/>
      <c r="BV3019" s="407"/>
      <c r="BZ3019" s="407"/>
      <c r="CA3019" s="407"/>
      <c r="CE3019" s="560"/>
      <c r="CF3019" s="560"/>
      <c r="CG3019" s="560"/>
      <c r="CH3019" s="560"/>
      <c r="ER3019" s="36">
        <v>3.64</v>
      </c>
      <c r="ES3019" s="36">
        <v>7.0000000000000007E-2</v>
      </c>
      <c r="EV3019" s="36" t="s">
        <v>207</v>
      </c>
      <c r="EW3019" s="36">
        <v>18.100000000000001</v>
      </c>
      <c r="EX3019" s="36">
        <v>1.4</v>
      </c>
      <c r="FA3019" s="36" t="s">
        <v>3061</v>
      </c>
      <c r="FB3019" s="36">
        <v>1.57</v>
      </c>
      <c r="FC3019" s="36">
        <v>0.17</v>
      </c>
      <c r="FF3019" s="36" t="s">
        <v>3062</v>
      </c>
      <c r="JD3019" s="230"/>
    </row>
    <row r="3020" spans="1:264" s="36" customFormat="1" x14ac:dyDescent="0.25">
      <c r="A3020" s="36">
        <v>147</v>
      </c>
      <c r="B3020" s="51" t="s">
        <v>4402</v>
      </c>
      <c r="C3020" s="36" t="s">
        <v>3052</v>
      </c>
      <c r="D3020" s="36" t="s">
        <v>3053</v>
      </c>
      <c r="E3020" s="36">
        <v>1989</v>
      </c>
      <c r="F3020" s="36">
        <v>1985</v>
      </c>
      <c r="G3020" s="36" t="s">
        <v>2766</v>
      </c>
      <c r="H3020" s="36" t="s">
        <v>3054</v>
      </c>
      <c r="I3020" s="36" t="s">
        <v>2823</v>
      </c>
      <c r="J3020" s="36">
        <v>4.8499999999999996</v>
      </c>
      <c r="K3020" s="36">
        <v>7.05</v>
      </c>
      <c r="L3020" s="36">
        <v>21.6</v>
      </c>
      <c r="P3020" s="36">
        <v>2400</v>
      </c>
      <c r="R3020" s="51" t="s">
        <v>1858</v>
      </c>
      <c r="S3020" s="51" t="s">
        <v>1843</v>
      </c>
      <c r="T3020" s="51"/>
      <c r="U3020" s="51" t="s">
        <v>3055</v>
      </c>
      <c r="V3020" s="51"/>
      <c r="W3020" s="51"/>
      <c r="X3020" s="51"/>
      <c r="Y3020" s="51"/>
      <c r="AA3020" s="331"/>
      <c r="AB3020" s="331"/>
      <c r="AH3020" s="36" t="s">
        <v>3058</v>
      </c>
      <c r="AI3020" s="36" t="s">
        <v>577</v>
      </c>
      <c r="AJ3020" s="36" t="s">
        <v>1645</v>
      </c>
      <c r="AK3020" s="36" t="s">
        <v>132</v>
      </c>
      <c r="AO3020" s="36" t="s">
        <v>3056</v>
      </c>
      <c r="AQ3020" s="36" t="s">
        <v>2125</v>
      </c>
      <c r="AR3020" s="36" t="s">
        <v>2125</v>
      </c>
      <c r="AW3020" s="36" t="s">
        <v>160</v>
      </c>
      <c r="BP3020" s="407"/>
      <c r="BQ3020" s="407"/>
      <c r="BU3020" s="407"/>
      <c r="BV3020" s="407"/>
      <c r="BZ3020" s="407"/>
      <c r="CA3020" s="407"/>
      <c r="CE3020" s="560"/>
      <c r="CF3020" s="560"/>
      <c r="CG3020" s="560"/>
      <c r="CH3020" s="560"/>
      <c r="ER3020" s="36">
        <v>3.64</v>
      </c>
      <c r="ES3020" s="36">
        <v>0.03</v>
      </c>
      <c r="EV3020" s="36" t="s">
        <v>207</v>
      </c>
      <c r="EW3020" s="36">
        <v>18.100000000000001</v>
      </c>
      <c r="EX3020" s="36">
        <v>1.1000000000000001</v>
      </c>
      <c r="FA3020" s="36" t="s">
        <v>3061</v>
      </c>
      <c r="FB3020" s="36">
        <v>1.57</v>
      </c>
      <c r="FC3020" s="36">
        <v>0.15</v>
      </c>
      <c r="FF3020" s="36" t="s">
        <v>3062</v>
      </c>
      <c r="JD3020" s="230"/>
    </row>
    <row r="3021" spans="1:264" s="36" customFormat="1" x14ac:dyDescent="0.25">
      <c r="A3021" s="36">
        <v>147</v>
      </c>
      <c r="B3021" s="51" t="s">
        <v>4402</v>
      </c>
      <c r="C3021" s="36" t="s">
        <v>3052</v>
      </c>
      <c r="D3021" s="36" t="s">
        <v>3053</v>
      </c>
      <c r="E3021" s="36">
        <v>1989</v>
      </c>
      <c r="F3021" s="36">
        <v>1985</v>
      </c>
      <c r="G3021" s="36" t="s">
        <v>2766</v>
      </c>
      <c r="H3021" s="36" t="s">
        <v>3054</v>
      </c>
      <c r="I3021" s="36" t="s">
        <v>2823</v>
      </c>
      <c r="J3021" s="36">
        <v>4.8499999999999996</v>
      </c>
      <c r="K3021" s="36">
        <v>7.05</v>
      </c>
      <c r="L3021" s="36">
        <v>21.6</v>
      </c>
      <c r="P3021" s="36">
        <v>2400</v>
      </c>
      <c r="R3021" s="51" t="s">
        <v>1858</v>
      </c>
      <c r="S3021" s="51" t="s">
        <v>1843</v>
      </c>
      <c r="T3021" s="51"/>
      <c r="U3021" s="51" t="s">
        <v>3055</v>
      </c>
      <c r="V3021" s="51"/>
      <c r="W3021" s="51"/>
      <c r="X3021" s="51"/>
      <c r="Y3021" s="51"/>
      <c r="AA3021" s="331"/>
      <c r="AB3021" s="331"/>
      <c r="AH3021" s="36" t="s">
        <v>3059</v>
      </c>
      <c r="AI3021" s="36" t="s">
        <v>577</v>
      </c>
      <c r="AJ3021" s="36" t="s">
        <v>1645</v>
      </c>
      <c r="AK3021" s="36" t="s">
        <v>132</v>
      </c>
      <c r="AO3021" s="36" t="s">
        <v>3056</v>
      </c>
      <c r="AQ3021" s="36" t="s">
        <v>2125</v>
      </c>
      <c r="AR3021" s="36" t="s">
        <v>2125</v>
      </c>
      <c r="AW3021" s="36" t="s">
        <v>160</v>
      </c>
      <c r="BP3021" s="407"/>
      <c r="BQ3021" s="407"/>
      <c r="BU3021" s="407"/>
      <c r="BV3021" s="407"/>
      <c r="BZ3021" s="407"/>
      <c r="CA3021" s="407"/>
      <c r="CE3021" s="560"/>
      <c r="CF3021" s="560"/>
      <c r="CG3021" s="560"/>
      <c r="CH3021" s="560"/>
      <c r="ER3021" s="36">
        <v>3.64</v>
      </c>
      <c r="ES3021" s="36">
        <v>1.4</v>
      </c>
      <c r="EV3021" s="36" t="s">
        <v>207</v>
      </c>
      <c r="EW3021" s="36">
        <v>18.100000000000001</v>
      </c>
      <c r="EX3021" s="36">
        <v>3.6</v>
      </c>
      <c r="FA3021" s="36" t="s">
        <v>3061</v>
      </c>
      <c r="FB3021" s="36">
        <v>1.57</v>
      </c>
      <c r="FC3021" s="36">
        <v>0.42</v>
      </c>
      <c r="FF3021" s="36" t="s">
        <v>3062</v>
      </c>
      <c r="JD3021" s="230"/>
    </row>
    <row r="3022" spans="1:264" s="36" customFormat="1" x14ac:dyDescent="0.25">
      <c r="A3022" s="36">
        <v>147</v>
      </c>
      <c r="B3022" s="51" t="s">
        <v>4402</v>
      </c>
      <c r="C3022" s="36" t="s">
        <v>3052</v>
      </c>
      <c r="D3022" s="36" t="s">
        <v>3053</v>
      </c>
      <c r="E3022" s="36">
        <v>1989</v>
      </c>
      <c r="F3022" s="36">
        <v>1985</v>
      </c>
      <c r="G3022" s="36" t="s">
        <v>2766</v>
      </c>
      <c r="H3022" s="36" t="s">
        <v>3054</v>
      </c>
      <c r="I3022" s="36" t="s">
        <v>2823</v>
      </c>
      <c r="J3022" s="36">
        <v>4.8499999999999996</v>
      </c>
      <c r="K3022" s="36">
        <v>7.05</v>
      </c>
      <c r="L3022" s="36">
        <v>21.6</v>
      </c>
      <c r="P3022" s="36">
        <v>2400</v>
      </c>
      <c r="R3022" s="51" t="s">
        <v>1858</v>
      </c>
      <c r="S3022" s="51" t="s">
        <v>1843</v>
      </c>
      <c r="T3022" s="51"/>
      <c r="U3022" s="51" t="s">
        <v>3055</v>
      </c>
      <c r="V3022" s="51"/>
      <c r="W3022" s="51"/>
      <c r="X3022" s="51"/>
      <c r="Y3022" s="51"/>
      <c r="AA3022" s="331"/>
      <c r="AB3022" s="331"/>
      <c r="AH3022" s="36" t="s">
        <v>3060</v>
      </c>
      <c r="AI3022" s="36" t="s">
        <v>577</v>
      </c>
      <c r="AJ3022" s="36" t="s">
        <v>1645</v>
      </c>
      <c r="AK3022" s="36" t="s">
        <v>132</v>
      </c>
      <c r="AO3022" s="36" t="s">
        <v>3056</v>
      </c>
      <c r="AQ3022" s="36" t="s">
        <v>2125</v>
      </c>
      <c r="AR3022" s="36" t="s">
        <v>2125</v>
      </c>
      <c r="AW3022" s="36" t="s">
        <v>160</v>
      </c>
      <c r="BP3022" s="407"/>
      <c r="BQ3022" s="407"/>
      <c r="BU3022" s="407"/>
      <c r="BV3022" s="407"/>
      <c r="BZ3022" s="407"/>
      <c r="CA3022" s="407"/>
      <c r="CE3022" s="560"/>
      <c r="CF3022" s="560"/>
      <c r="CG3022" s="560"/>
      <c r="CH3022" s="560"/>
      <c r="ER3022" s="36">
        <v>3.64</v>
      </c>
      <c r="ES3022" s="36">
        <v>0.2</v>
      </c>
      <c r="EV3022" s="36" t="s">
        <v>207</v>
      </c>
      <c r="EW3022" s="36">
        <v>18.100000000000001</v>
      </c>
      <c r="EX3022" s="36">
        <v>1.2</v>
      </c>
      <c r="FA3022" s="36" t="s">
        <v>3061</v>
      </c>
      <c r="FB3022" s="36">
        <v>1.57</v>
      </c>
      <c r="FC3022" s="36">
        <v>0.11</v>
      </c>
      <c r="FF3022" s="36" t="s">
        <v>3062</v>
      </c>
      <c r="JD3022" s="230"/>
    </row>
    <row r="3023" spans="1:264" x14ac:dyDescent="0.25">
      <c r="A3023" s="37">
        <v>147</v>
      </c>
      <c r="B3023" s="50" t="s">
        <v>4402</v>
      </c>
      <c r="C3023" s="37" t="s">
        <v>3052</v>
      </c>
      <c r="D3023" s="37" t="s">
        <v>3053</v>
      </c>
      <c r="E3023" s="37">
        <v>1989</v>
      </c>
      <c r="F3023" s="37">
        <v>1986</v>
      </c>
      <c r="G3023" s="37" t="s">
        <v>2766</v>
      </c>
      <c r="H3023" s="37" t="s">
        <v>3054</v>
      </c>
      <c r="I3023" s="37" t="s">
        <v>2823</v>
      </c>
      <c r="J3023" s="37">
        <v>4.8499999999999996</v>
      </c>
      <c r="K3023" s="37">
        <v>7.05</v>
      </c>
      <c r="L3023" s="37">
        <v>21.6</v>
      </c>
      <c r="P3023" s="37">
        <v>2400</v>
      </c>
      <c r="R3023" s="50" t="s">
        <v>1722</v>
      </c>
      <c r="S3023" s="50" t="s">
        <v>1843</v>
      </c>
      <c r="U3023" s="50" t="s">
        <v>3055</v>
      </c>
      <c r="AH3023" s="37" t="s">
        <v>3057</v>
      </c>
      <c r="AI3023" s="37" t="s">
        <v>577</v>
      </c>
      <c r="AJ3023" s="37" t="s">
        <v>1645</v>
      </c>
      <c r="AK3023" s="37" t="s">
        <v>132</v>
      </c>
      <c r="AO3023" s="37" t="s">
        <v>3056</v>
      </c>
      <c r="AQ3023" s="37" t="s">
        <v>2125</v>
      </c>
      <c r="AR3023" s="37" t="s">
        <v>2125</v>
      </c>
      <c r="AW3023" s="37" t="s">
        <v>160</v>
      </c>
      <c r="CE3023" s="559"/>
      <c r="CF3023" s="559"/>
      <c r="CG3023" s="556"/>
      <c r="CH3023" s="556"/>
      <c r="ER3023" s="37">
        <v>3.8</v>
      </c>
      <c r="ES3023" s="37">
        <v>0.63</v>
      </c>
      <c r="EV3023" s="37" t="s">
        <v>207</v>
      </c>
      <c r="EW3023" s="37">
        <v>23.4</v>
      </c>
      <c r="EX3023" s="37">
        <v>5.9</v>
      </c>
      <c r="FA3023" s="37" t="s">
        <v>3061</v>
      </c>
      <c r="FB3023" s="37">
        <v>0.92</v>
      </c>
      <c r="FC3023" s="37">
        <v>1.38</v>
      </c>
      <c r="FF3023" s="37" t="s">
        <v>3062</v>
      </c>
    </row>
    <row r="3024" spans="1:264" x14ac:dyDescent="0.25">
      <c r="A3024" s="37">
        <v>147</v>
      </c>
      <c r="B3024" s="50" t="s">
        <v>4402</v>
      </c>
      <c r="C3024" s="37" t="s">
        <v>3052</v>
      </c>
      <c r="D3024" s="37" t="s">
        <v>3053</v>
      </c>
      <c r="E3024" s="37">
        <v>1989</v>
      </c>
      <c r="F3024" s="37">
        <v>1986</v>
      </c>
      <c r="G3024" s="37" t="s">
        <v>2766</v>
      </c>
      <c r="H3024" s="37" t="s">
        <v>3054</v>
      </c>
      <c r="I3024" s="37" t="s">
        <v>2823</v>
      </c>
      <c r="J3024" s="37">
        <v>4.8499999999999996</v>
      </c>
      <c r="K3024" s="37">
        <v>7.05</v>
      </c>
      <c r="L3024" s="37">
        <v>21.6</v>
      </c>
      <c r="P3024" s="37">
        <v>2400</v>
      </c>
      <c r="R3024" s="50" t="s">
        <v>1722</v>
      </c>
      <c r="S3024" s="50" t="s">
        <v>1843</v>
      </c>
      <c r="U3024" s="50" t="s">
        <v>3055</v>
      </c>
      <c r="AH3024" s="37" t="s">
        <v>3058</v>
      </c>
      <c r="AI3024" s="37" t="s">
        <v>577</v>
      </c>
      <c r="AJ3024" s="37" t="s">
        <v>1645</v>
      </c>
      <c r="AK3024" s="37" t="s">
        <v>132</v>
      </c>
      <c r="AO3024" s="37" t="s">
        <v>3056</v>
      </c>
      <c r="AQ3024" s="37" t="s">
        <v>2125</v>
      </c>
      <c r="AR3024" s="37" t="s">
        <v>2125</v>
      </c>
      <c r="AW3024" s="37" t="s">
        <v>160</v>
      </c>
      <c r="CE3024" s="559"/>
      <c r="CF3024" s="559"/>
      <c r="CG3024" s="556"/>
      <c r="CH3024" s="556"/>
      <c r="ER3024" s="37">
        <v>3.8</v>
      </c>
      <c r="ES3024" s="37">
        <v>0.03</v>
      </c>
      <c r="EV3024" s="37" t="s">
        <v>207</v>
      </c>
      <c r="EW3024" s="37">
        <v>23.4</v>
      </c>
      <c r="EX3024" s="37">
        <v>2.7</v>
      </c>
      <c r="FA3024" s="37" t="s">
        <v>3061</v>
      </c>
      <c r="FB3024" s="37">
        <v>0.92</v>
      </c>
      <c r="FC3024" s="37">
        <v>0.35</v>
      </c>
      <c r="FF3024" s="37" t="s">
        <v>3062</v>
      </c>
    </row>
    <row r="3025" spans="1:264" x14ac:dyDescent="0.25">
      <c r="A3025" s="37">
        <v>147</v>
      </c>
      <c r="B3025" s="50" t="s">
        <v>4402</v>
      </c>
      <c r="C3025" s="37" t="s">
        <v>3052</v>
      </c>
      <c r="D3025" s="37" t="s">
        <v>3053</v>
      </c>
      <c r="E3025" s="37">
        <v>1989</v>
      </c>
      <c r="F3025" s="37">
        <v>1986</v>
      </c>
      <c r="G3025" s="37" t="s">
        <v>2766</v>
      </c>
      <c r="H3025" s="37" t="s">
        <v>3054</v>
      </c>
      <c r="I3025" s="37" t="s">
        <v>2823</v>
      </c>
      <c r="J3025" s="37">
        <v>4.8499999999999996</v>
      </c>
      <c r="K3025" s="37">
        <v>7.05</v>
      </c>
      <c r="L3025" s="37">
        <v>21.6</v>
      </c>
      <c r="P3025" s="37">
        <v>2400</v>
      </c>
      <c r="R3025" s="50" t="s">
        <v>1722</v>
      </c>
      <c r="S3025" s="50" t="s">
        <v>1843</v>
      </c>
      <c r="U3025" s="50" t="s">
        <v>3055</v>
      </c>
      <c r="AH3025" s="37" t="s">
        <v>3059</v>
      </c>
      <c r="AI3025" s="37" t="s">
        <v>577</v>
      </c>
      <c r="AJ3025" s="37" t="s">
        <v>1645</v>
      </c>
      <c r="AK3025" s="37" t="s">
        <v>132</v>
      </c>
      <c r="AO3025" s="37" t="s">
        <v>3056</v>
      </c>
      <c r="AQ3025" s="37" t="s">
        <v>2125</v>
      </c>
      <c r="AR3025" s="37" t="s">
        <v>2125</v>
      </c>
      <c r="AW3025" s="37" t="s">
        <v>160</v>
      </c>
      <c r="CE3025" s="559"/>
      <c r="CF3025" s="559"/>
      <c r="CG3025" s="556"/>
      <c r="CH3025" s="556"/>
      <c r="ER3025" s="37">
        <v>3.8</v>
      </c>
      <c r="ES3025" s="37">
        <v>0.26</v>
      </c>
      <c r="EV3025" s="37" t="s">
        <v>207</v>
      </c>
      <c r="EW3025" s="37">
        <v>23.4</v>
      </c>
      <c r="EX3025" s="37">
        <v>7.1</v>
      </c>
      <c r="FA3025" s="37" t="s">
        <v>3061</v>
      </c>
      <c r="FB3025" s="37">
        <v>0.92</v>
      </c>
      <c r="FC3025" s="37">
        <v>1</v>
      </c>
      <c r="FF3025" s="37" t="s">
        <v>3062</v>
      </c>
    </row>
    <row r="3026" spans="1:264" x14ac:dyDescent="0.25">
      <c r="A3026" s="37">
        <v>147</v>
      </c>
      <c r="B3026" s="50" t="s">
        <v>4402</v>
      </c>
      <c r="C3026" s="37" t="s">
        <v>3052</v>
      </c>
      <c r="D3026" s="37" t="s">
        <v>3053</v>
      </c>
      <c r="E3026" s="37">
        <v>1989</v>
      </c>
      <c r="F3026" s="37">
        <v>1986</v>
      </c>
      <c r="G3026" s="37" t="s">
        <v>2766</v>
      </c>
      <c r="H3026" s="37" t="s">
        <v>3054</v>
      </c>
      <c r="I3026" s="37" t="s">
        <v>2823</v>
      </c>
      <c r="J3026" s="37">
        <v>4.8499999999999996</v>
      </c>
      <c r="K3026" s="37">
        <v>7.05</v>
      </c>
      <c r="L3026" s="37">
        <v>21.6</v>
      </c>
      <c r="P3026" s="37">
        <v>2400</v>
      </c>
      <c r="R3026" s="50" t="s">
        <v>1722</v>
      </c>
      <c r="S3026" s="50" t="s">
        <v>1843</v>
      </c>
      <c r="U3026" s="50" t="s">
        <v>3055</v>
      </c>
      <c r="AH3026" s="37" t="s">
        <v>3060</v>
      </c>
      <c r="AI3026" s="37" t="s">
        <v>577</v>
      </c>
      <c r="AJ3026" s="37" t="s">
        <v>1645</v>
      </c>
      <c r="AK3026" s="37" t="s">
        <v>132</v>
      </c>
      <c r="AO3026" s="37" t="s">
        <v>3056</v>
      </c>
      <c r="AQ3026" s="37" t="s">
        <v>2125</v>
      </c>
      <c r="AR3026" s="37" t="s">
        <v>2125</v>
      </c>
      <c r="AW3026" s="37" t="s">
        <v>160</v>
      </c>
      <c r="CE3026" s="559"/>
      <c r="CF3026" s="559"/>
      <c r="CG3026" s="556"/>
      <c r="CH3026" s="556"/>
      <c r="ER3026" s="37">
        <v>3.8</v>
      </c>
      <c r="ES3026" s="37">
        <v>1.1100000000000001</v>
      </c>
      <c r="EV3026" s="37" t="s">
        <v>207</v>
      </c>
      <c r="EW3026" s="37">
        <v>23.4</v>
      </c>
      <c r="EX3026" s="37">
        <v>5.8</v>
      </c>
      <c r="FA3026" s="37" t="s">
        <v>3061</v>
      </c>
      <c r="FB3026" s="37">
        <v>0.92</v>
      </c>
      <c r="FC3026" s="37">
        <v>0.27</v>
      </c>
      <c r="FF3026" s="37" t="s">
        <v>3062</v>
      </c>
    </row>
    <row r="3027" spans="1:264" s="36" customFormat="1" x14ac:dyDescent="0.25">
      <c r="A3027" s="36">
        <v>147</v>
      </c>
      <c r="B3027" s="51" t="s">
        <v>4402</v>
      </c>
      <c r="C3027" s="36" t="s">
        <v>3052</v>
      </c>
      <c r="D3027" s="36" t="s">
        <v>3053</v>
      </c>
      <c r="E3027" s="36">
        <v>1989</v>
      </c>
      <c r="F3027" s="36">
        <v>1987</v>
      </c>
      <c r="G3027" s="36" t="s">
        <v>2766</v>
      </c>
      <c r="H3027" s="36" t="s">
        <v>3054</v>
      </c>
      <c r="I3027" s="36" t="s">
        <v>2823</v>
      </c>
      <c r="J3027" s="36">
        <v>4.8499999999999996</v>
      </c>
      <c r="K3027" s="36">
        <v>7.05</v>
      </c>
      <c r="L3027" s="36">
        <v>21.6</v>
      </c>
      <c r="P3027" s="36">
        <v>2400</v>
      </c>
      <c r="R3027" s="51" t="s">
        <v>1843</v>
      </c>
      <c r="S3027" s="51" t="s">
        <v>1843</v>
      </c>
      <c r="T3027" s="51"/>
      <c r="U3027" s="51" t="s">
        <v>3055</v>
      </c>
      <c r="V3027" s="51"/>
      <c r="W3027" s="51"/>
      <c r="X3027" s="51"/>
      <c r="Y3027" s="51"/>
      <c r="AA3027" s="331"/>
      <c r="AB3027" s="331"/>
      <c r="AH3027" s="36" t="s">
        <v>3057</v>
      </c>
      <c r="AI3027" s="36" t="s">
        <v>577</v>
      </c>
      <c r="AJ3027" s="36" t="s">
        <v>1645</v>
      </c>
      <c r="AK3027" s="36" t="s">
        <v>132</v>
      </c>
      <c r="AO3027" s="36" t="s">
        <v>3056</v>
      </c>
      <c r="AQ3027" s="36" t="s">
        <v>2125</v>
      </c>
      <c r="AR3027" s="36" t="s">
        <v>2125</v>
      </c>
      <c r="AW3027" s="36" t="s">
        <v>160</v>
      </c>
      <c r="BP3027" s="407"/>
      <c r="BQ3027" s="407"/>
      <c r="BU3027" s="407"/>
      <c r="BV3027" s="407"/>
      <c r="BZ3027" s="407"/>
      <c r="CA3027" s="407"/>
      <c r="CE3027" s="560"/>
      <c r="CF3027" s="560"/>
      <c r="CG3027" s="560"/>
      <c r="CH3027" s="560"/>
      <c r="ER3027" s="36">
        <v>1.48</v>
      </c>
      <c r="ES3027" s="36">
        <v>0.49</v>
      </c>
      <c r="EV3027" s="36" t="s">
        <v>207</v>
      </c>
      <c r="EW3027" s="36">
        <v>10.5</v>
      </c>
      <c r="EX3027" s="36">
        <v>4.7</v>
      </c>
      <c r="FA3027" s="36" t="s">
        <v>3061</v>
      </c>
      <c r="FB3027" s="36">
        <v>0.02</v>
      </c>
      <c r="FC3027" s="36">
        <v>0.13</v>
      </c>
      <c r="FF3027" s="36" t="s">
        <v>3062</v>
      </c>
      <c r="JD3027" s="230"/>
    </row>
    <row r="3028" spans="1:264" s="36" customFormat="1" x14ac:dyDescent="0.25">
      <c r="A3028" s="36">
        <v>147</v>
      </c>
      <c r="B3028" s="51" t="s">
        <v>4402</v>
      </c>
      <c r="C3028" s="36" t="s">
        <v>3052</v>
      </c>
      <c r="D3028" s="36" t="s">
        <v>3053</v>
      </c>
      <c r="E3028" s="36">
        <v>1989</v>
      </c>
      <c r="F3028" s="36">
        <v>1987</v>
      </c>
      <c r="G3028" s="36" t="s">
        <v>2766</v>
      </c>
      <c r="H3028" s="36" t="s">
        <v>3054</v>
      </c>
      <c r="I3028" s="36" t="s">
        <v>2823</v>
      </c>
      <c r="J3028" s="36">
        <v>4.8499999999999996</v>
      </c>
      <c r="K3028" s="36">
        <v>7.05</v>
      </c>
      <c r="L3028" s="36">
        <v>21.6</v>
      </c>
      <c r="P3028" s="36">
        <v>2400</v>
      </c>
      <c r="R3028" s="51" t="s">
        <v>1843</v>
      </c>
      <c r="S3028" s="51" t="s">
        <v>1843</v>
      </c>
      <c r="T3028" s="51"/>
      <c r="U3028" s="51" t="s">
        <v>3055</v>
      </c>
      <c r="V3028" s="51"/>
      <c r="W3028" s="51"/>
      <c r="X3028" s="51"/>
      <c r="Y3028" s="51"/>
      <c r="AA3028" s="331"/>
      <c r="AB3028" s="331"/>
      <c r="AH3028" s="36" t="s">
        <v>3058</v>
      </c>
      <c r="AI3028" s="36" t="s">
        <v>577</v>
      </c>
      <c r="AJ3028" s="36" t="s">
        <v>1645</v>
      </c>
      <c r="AK3028" s="36" t="s">
        <v>132</v>
      </c>
      <c r="AO3028" s="36" t="s">
        <v>3056</v>
      </c>
      <c r="AQ3028" s="36" t="s">
        <v>2125</v>
      </c>
      <c r="AR3028" s="36" t="s">
        <v>2125</v>
      </c>
      <c r="AW3028" s="36" t="s">
        <v>160</v>
      </c>
      <c r="BP3028" s="407"/>
      <c r="BQ3028" s="407"/>
      <c r="BU3028" s="407"/>
      <c r="BV3028" s="407"/>
      <c r="BZ3028" s="407"/>
      <c r="CA3028" s="407"/>
      <c r="CE3028" s="560"/>
      <c r="CF3028" s="560"/>
      <c r="CG3028" s="560"/>
      <c r="CH3028" s="560"/>
      <c r="ER3028" s="36">
        <v>1.48</v>
      </c>
      <c r="ES3028" s="36">
        <v>0.02</v>
      </c>
      <c r="EV3028" s="36" t="s">
        <v>207</v>
      </c>
      <c r="EW3028" s="36">
        <v>10.5</v>
      </c>
      <c r="EX3028" s="36">
        <v>4.8</v>
      </c>
      <c r="FA3028" s="36" t="s">
        <v>3061</v>
      </c>
      <c r="FB3028" s="36">
        <v>0.02</v>
      </c>
      <c r="FC3028" s="36">
        <v>0.09</v>
      </c>
      <c r="FF3028" s="36" t="s">
        <v>3062</v>
      </c>
      <c r="JD3028" s="230"/>
    </row>
    <row r="3029" spans="1:264" s="36" customFormat="1" x14ac:dyDescent="0.25">
      <c r="A3029" s="36">
        <v>147</v>
      </c>
      <c r="B3029" s="51" t="s">
        <v>4402</v>
      </c>
      <c r="C3029" s="36" t="s">
        <v>3052</v>
      </c>
      <c r="D3029" s="36" t="s">
        <v>3053</v>
      </c>
      <c r="E3029" s="36">
        <v>1989</v>
      </c>
      <c r="F3029" s="36">
        <v>1987</v>
      </c>
      <c r="G3029" s="36" t="s">
        <v>2766</v>
      </c>
      <c r="H3029" s="36" t="s">
        <v>3054</v>
      </c>
      <c r="I3029" s="36" t="s">
        <v>2823</v>
      </c>
      <c r="J3029" s="36">
        <v>4.8499999999999996</v>
      </c>
      <c r="K3029" s="36">
        <v>7.05</v>
      </c>
      <c r="L3029" s="36">
        <v>21.6</v>
      </c>
      <c r="P3029" s="36">
        <v>2400</v>
      </c>
      <c r="R3029" s="51" t="s">
        <v>1843</v>
      </c>
      <c r="S3029" s="51" t="s">
        <v>1843</v>
      </c>
      <c r="T3029" s="51"/>
      <c r="U3029" s="51" t="s">
        <v>3055</v>
      </c>
      <c r="V3029" s="51"/>
      <c r="W3029" s="51"/>
      <c r="X3029" s="51"/>
      <c r="Y3029" s="51"/>
      <c r="AA3029" s="331"/>
      <c r="AB3029" s="331"/>
      <c r="AH3029" s="36" t="s">
        <v>3059</v>
      </c>
      <c r="AI3029" s="36" t="s">
        <v>577</v>
      </c>
      <c r="AJ3029" s="36" t="s">
        <v>1645</v>
      </c>
      <c r="AK3029" s="36" t="s">
        <v>132</v>
      </c>
      <c r="AO3029" s="36" t="s">
        <v>3056</v>
      </c>
      <c r="AQ3029" s="36" t="s">
        <v>2125</v>
      </c>
      <c r="AR3029" s="36" t="s">
        <v>2125</v>
      </c>
      <c r="AW3029" s="36" t="s">
        <v>160</v>
      </c>
      <c r="BP3029" s="407"/>
      <c r="BQ3029" s="407"/>
      <c r="BU3029" s="407"/>
      <c r="BV3029" s="407"/>
      <c r="BZ3029" s="407"/>
      <c r="CA3029" s="407"/>
      <c r="CE3029" s="560"/>
      <c r="CF3029" s="560"/>
      <c r="CG3029" s="560"/>
      <c r="CH3029" s="560"/>
      <c r="ER3029" s="36">
        <v>1.48</v>
      </c>
      <c r="ES3029" s="36">
        <v>0.12</v>
      </c>
      <c r="EV3029" s="36" t="s">
        <v>207</v>
      </c>
      <c r="EW3029" s="36">
        <v>10.5</v>
      </c>
      <c r="EX3029" s="36">
        <v>4.5999999999999996</v>
      </c>
      <c r="FA3029" s="36" t="s">
        <v>3061</v>
      </c>
      <c r="FB3029" s="36">
        <v>0.02</v>
      </c>
      <c r="FC3029" s="36">
        <v>0.09</v>
      </c>
      <c r="FF3029" s="36" t="s">
        <v>3062</v>
      </c>
      <c r="JD3029" s="230"/>
    </row>
    <row r="3030" spans="1:264" s="36" customFormat="1" x14ac:dyDescent="0.25">
      <c r="A3030" s="36">
        <v>147</v>
      </c>
      <c r="B3030" s="51" t="s">
        <v>4402</v>
      </c>
      <c r="C3030" s="36" t="s">
        <v>3052</v>
      </c>
      <c r="D3030" s="36" t="s">
        <v>3053</v>
      </c>
      <c r="E3030" s="36">
        <v>1989</v>
      </c>
      <c r="F3030" s="36">
        <v>1987</v>
      </c>
      <c r="G3030" s="36" t="s">
        <v>2766</v>
      </c>
      <c r="H3030" s="36" t="s">
        <v>3054</v>
      </c>
      <c r="I3030" s="36" t="s">
        <v>2823</v>
      </c>
      <c r="J3030" s="36">
        <v>4.8499999999999996</v>
      </c>
      <c r="K3030" s="36">
        <v>7.05</v>
      </c>
      <c r="L3030" s="36">
        <v>21.6</v>
      </c>
      <c r="P3030" s="36">
        <v>2400</v>
      </c>
      <c r="R3030" s="51" t="s">
        <v>1843</v>
      </c>
      <c r="S3030" s="51" t="s">
        <v>1843</v>
      </c>
      <c r="T3030" s="51"/>
      <c r="U3030" s="51" t="s">
        <v>3055</v>
      </c>
      <c r="V3030" s="51"/>
      <c r="W3030" s="51"/>
      <c r="X3030" s="51"/>
      <c r="Y3030" s="51"/>
      <c r="AA3030" s="331"/>
      <c r="AB3030" s="331"/>
      <c r="AH3030" s="36" t="s">
        <v>3060</v>
      </c>
      <c r="AI3030" s="36" t="s">
        <v>577</v>
      </c>
      <c r="AJ3030" s="36" t="s">
        <v>1645</v>
      </c>
      <c r="AK3030" s="36" t="s">
        <v>132</v>
      </c>
      <c r="AO3030" s="36" t="s">
        <v>3056</v>
      </c>
      <c r="AQ3030" s="36" t="s">
        <v>2125</v>
      </c>
      <c r="AR3030" s="36" t="s">
        <v>2125</v>
      </c>
      <c r="AW3030" s="36" t="s">
        <v>160</v>
      </c>
      <c r="BP3030" s="407"/>
      <c r="BQ3030" s="407"/>
      <c r="BU3030" s="407"/>
      <c r="BV3030" s="407"/>
      <c r="BZ3030" s="407"/>
      <c r="CA3030" s="407"/>
      <c r="CE3030" s="560"/>
      <c r="CF3030" s="560"/>
      <c r="CG3030" s="560"/>
      <c r="CH3030" s="560"/>
      <c r="ER3030" s="36">
        <v>1.48</v>
      </c>
      <c r="ES3030" s="36">
        <v>0.06</v>
      </c>
      <c r="EV3030" s="36" t="s">
        <v>207</v>
      </c>
      <c r="EW3030" s="36">
        <v>10.5</v>
      </c>
      <c r="EX3030" s="36">
        <v>2</v>
      </c>
      <c r="FA3030" s="36" t="s">
        <v>3061</v>
      </c>
      <c r="FB3030" s="36">
        <v>0.02</v>
      </c>
      <c r="FC3030" s="36">
        <v>0.01</v>
      </c>
      <c r="FF3030" s="36" t="s">
        <v>3062</v>
      </c>
      <c r="JD3030" s="230"/>
    </row>
    <row r="3031" spans="1:264" x14ac:dyDescent="0.25">
      <c r="A3031" s="37">
        <v>147</v>
      </c>
      <c r="B3031" s="50" t="s">
        <v>4403</v>
      </c>
      <c r="C3031" s="37" t="s">
        <v>3052</v>
      </c>
      <c r="D3031" s="37" t="s">
        <v>3053</v>
      </c>
      <c r="E3031" s="37">
        <v>1989</v>
      </c>
      <c r="F3031" s="37">
        <v>1982</v>
      </c>
      <c r="G3031" s="37" t="s">
        <v>2766</v>
      </c>
      <c r="H3031" s="37" t="s">
        <v>3054</v>
      </c>
      <c r="I3031" s="37" t="s">
        <v>2823</v>
      </c>
      <c r="J3031" s="37">
        <v>4.8499999999999996</v>
      </c>
      <c r="K3031" s="37">
        <v>7.05</v>
      </c>
      <c r="L3031" s="37">
        <v>21.6</v>
      </c>
      <c r="P3031" s="37">
        <v>2400</v>
      </c>
      <c r="R3031" s="50" t="s">
        <v>1977</v>
      </c>
      <c r="S3031" s="50" t="s">
        <v>1843</v>
      </c>
      <c r="U3031" s="50" t="s">
        <v>3055</v>
      </c>
      <c r="AH3031" s="37" t="s">
        <v>3057</v>
      </c>
      <c r="AI3031" s="37" t="s">
        <v>577</v>
      </c>
      <c r="AJ3031" s="37" t="s">
        <v>2326</v>
      </c>
      <c r="AK3031" s="37" t="s">
        <v>229</v>
      </c>
      <c r="AO3031" s="37" t="s">
        <v>3056</v>
      </c>
      <c r="AQ3031" s="37" t="s">
        <v>2125</v>
      </c>
      <c r="AR3031" s="37" t="s">
        <v>2125</v>
      </c>
      <c r="AW3031" s="37" t="s">
        <v>160</v>
      </c>
      <c r="CE3031" s="559"/>
      <c r="CF3031" s="559"/>
      <c r="CG3031" s="556"/>
      <c r="CH3031" s="556"/>
      <c r="ER3031" s="37">
        <v>0.02</v>
      </c>
      <c r="ES3031" s="37">
        <v>0.24</v>
      </c>
      <c r="EV3031" s="37" t="s">
        <v>207</v>
      </c>
      <c r="EW3031" s="37">
        <v>2.1</v>
      </c>
      <c r="EX3031" s="37">
        <v>2.1</v>
      </c>
      <c r="FA3031" s="37" t="s">
        <v>3061</v>
      </c>
      <c r="FB3031" s="37">
        <v>0.01</v>
      </c>
      <c r="FC3031" s="37">
        <v>0.01</v>
      </c>
      <c r="FF3031" s="37" t="s">
        <v>3062</v>
      </c>
    </row>
    <row r="3032" spans="1:264" x14ac:dyDescent="0.25">
      <c r="A3032" s="37">
        <v>147</v>
      </c>
      <c r="B3032" s="50" t="s">
        <v>4403</v>
      </c>
      <c r="C3032" s="37" t="s">
        <v>3052</v>
      </c>
      <c r="D3032" s="37" t="s">
        <v>3053</v>
      </c>
      <c r="E3032" s="37">
        <v>1989</v>
      </c>
      <c r="F3032" s="37">
        <v>1982</v>
      </c>
      <c r="G3032" s="37" t="s">
        <v>2766</v>
      </c>
      <c r="H3032" s="37" t="s">
        <v>3054</v>
      </c>
      <c r="I3032" s="37" t="s">
        <v>2823</v>
      </c>
      <c r="J3032" s="37">
        <v>4.8499999999999996</v>
      </c>
      <c r="K3032" s="37">
        <v>7.05</v>
      </c>
      <c r="L3032" s="37">
        <v>21.6</v>
      </c>
      <c r="P3032" s="37">
        <v>2400</v>
      </c>
      <c r="R3032" s="50" t="s">
        <v>1977</v>
      </c>
      <c r="S3032" s="50" t="s">
        <v>1843</v>
      </c>
      <c r="U3032" s="50" t="s">
        <v>3055</v>
      </c>
      <c r="AH3032" s="37" t="s">
        <v>3058</v>
      </c>
      <c r="AI3032" s="37" t="s">
        <v>577</v>
      </c>
      <c r="AJ3032" s="37" t="s">
        <v>2326</v>
      </c>
      <c r="AK3032" s="37" t="s">
        <v>229</v>
      </c>
      <c r="AO3032" s="37" t="s">
        <v>3056</v>
      </c>
      <c r="AQ3032" s="37" t="s">
        <v>2125</v>
      </c>
      <c r="AR3032" s="37" t="s">
        <v>2125</v>
      </c>
      <c r="AW3032" s="37" t="s">
        <v>160</v>
      </c>
      <c r="CE3032" s="559"/>
      <c r="CF3032" s="559"/>
      <c r="CG3032" s="556"/>
      <c r="CH3032" s="556"/>
      <c r="ER3032" s="37">
        <v>0.02</v>
      </c>
      <c r="ES3032" s="37">
        <v>0.15</v>
      </c>
      <c r="EV3032" s="37" t="s">
        <v>207</v>
      </c>
      <c r="EW3032" s="37">
        <v>2.1</v>
      </c>
      <c r="EX3032" s="37">
        <v>5.4</v>
      </c>
      <c r="FA3032" s="37" t="s">
        <v>3061</v>
      </c>
      <c r="FB3032" s="37">
        <v>0.01</v>
      </c>
      <c r="FC3032" s="37">
        <v>0.01</v>
      </c>
      <c r="FF3032" s="37" t="s">
        <v>3062</v>
      </c>
    </row>
    <row r="3033" spans="1:264" x14ac:dyDescent="0.25">
      <c r="A3033" s="37">
        <v>147</v>
      </c>
      <c r="B3033" s="50" t="s">
        <v>4403</v>
      </c>
      <c r="C3033" s="37" t="s">
        <v>3052</v>
      </c>
      <c r="D3033" s="37" t="s">
        <v>3053</v>
      </c>
      <c r="E3033" s="37">
        <v>1989</v>
      </c>
      <c r="F3033" s="37">
        <v>1982</v>
      </c>
      <c r="G3033" s="37" t="s">
        <v>2766</v>
      </c>
      <c r="H3033" s="37" t="s">
        <v>3054</v>
      </c>
      <c r="I3033" s="37" t="s">
        <v>2823</v>
      </c>
      <c r="J3033" s="37">
        <v>4.8499999999999996</v>
      </c>
      <c r="K3033" s="37">
        <v>7.05</v>
      </c>
      <c r="L3033" s="37">
        <v>21.6</v>
      </c>
      <c r="P3033" s="37">
        <v>2400</v>
      </c>
      <c r="R3033" s="50" t="s">
        <v>1977</v>
      </c>
      <c r="S3033" s="50" t="s">
        <v>1843</v>
      </c>
      <c r="U3033" s="50" t="s">
        <v>3055</v>
      </c>
      <c r="AH3033" s="37" t="s">
        <v>3059</v>
      </c>
      <c r="AI3033" s="37" t="s">
        <v>577</v>
      </c>
      <c r="AJ3033" s="37" t="s">
        <v>2326</v>
      </c>
      <c r="AK3033" s="37" t="s">
        <v>229</v>
      </c>
      <c r="AO3033" s="37" t="s">
        <v>3056</v>
      </c>
      <c r="AQ3033" s="37" t="s">
        <v>2125</v>
      </c>
      <c r="AR3033" s="37" t="s">
        <v>2125</v>
      </c>
      <c r="AW3033" s="37" t="s">
        <v>160</v>
      </c>
      <c r="CE3033" s="559"/>
      <c r="CF3033" s="559"/>
      <c r="CG3033" s="556"/>
      <c r="CH3033" s="556"/>
      <c r="ER3033" s="37">
        <v>0.02</v>
      </c>
      <c r="ES3033" s="37">
        <v>0.04</v>
      </c>
      <c r="EV3033" s="37" t="s">
        <v>207</v>
      </c>
      <c r="EW3033" s="37">
        <v>2.1</v>
      </c>
      <c r="EX3033" s="37">
        <v>1.5</v>
      </c>
      <c r="FA3033" s="37" t="s">
        <v>3061</v>
      </c>
      <c r="FB3033" s="37">
        <v>0.01</v>
      </c>
      <c r="FC3033" s="37">
        <v>0.01</v>
      </c>
      <c r="FF3033" s="37" t="s">
        <v>3062</v>
      </c>
    </row>
    <row r="3034" spans="1:264" x14ac:dyDescent="0.25">
      <c r="A3034" s="37">
        <v>147</v>
      </c>
      <c r="B3034" s="50" t="s">
        <v>4403</v>
      </c>
      <c r="C3034" s="37" t="s">
        <v>3052</v>
      </c>
      <c r="D3034" s="37" t="s">
        <v>3053</v>
      </c>
      <c r="E3034" s="37">
        <v>1989</v>
      </c>
      <c r="F3034" s="37">
        <v>1982</v>
      </c>
      <c r="G3034" s="37" t="s">
        <v>2766</v>
      </c>
      <c r="H3034" s="37" t="s">
        <v>3054</v>
      </c>
      <c r="I3034" s="37" t="s">
        <v>2823</v>
      </c>
      <c r="J3034" s="37">
        <v>4.8499999999999996</v>
      </c>
      <c r="K3034" s="37">
        <v>7.05</v>
      </c>
      <c r="L3034" s="37">
        <v>21.6</v>
      </c>
      <c r="P3034" s="37">
        <v>2400</v>
      </c>
      <c r="R3034" s="50" t="s">
        <v>1977</v>
      </c>
      <c r="S3034" s="50" t="s">
        <v>1843</v>
      </c>
      <c r="U3034" s="50" t="s">
        <v>3055</v>
      </c>
      <c r="AH3034" s="37" t="s">
        <v>3060</v>
      </c>
      <c r="AI3034" s="37" t="s">
        <v>577</v>
      </c>
      <c r="AJ3034" s="37" t="s">
        <v>2326</v>
      </c>
      <c r="AK3034" s="37" t="s">
        <v>229</v>
      </c>
      <c r="AO3034" s="37" t="s">
        <v>3056</v>
      </c>
      <c r="AQ3034" s="37" t="s">
        <v>2125</v>
      </c>
      <c r="AR3034" s="37" t="s">
        <v>2125</v>
      </c>
      <c r="AW3034" s="37" t="s">
        <v>160</v>
      </c>
      <c r="CE3034" s="559"/>
      <c r="CF3034" s="559"/>
      <c r="CG3034" s="556"/>
      <c r="CH3034" s="556"/>
      <c r="ER3034" s="37">
        <v>0.02</v>
      </c>
      <c r="ES3034" s="37">
        <v>0.02</v>
      </c>
      <c r="EV3034" s="37" t="s">
        <v>207</v>
      </c>
      <c r="EW3034" s="37">
        <v>2.1</v>
      </c>
      <c r="EX3034" s="37">
        <v>0.4</v>
      </c>
      <c r="FA3034" s="37" t="s">
        <v>3061</v>
      </c>
      <c r="FB3034" s="37">
        <v>0.01</v>
      </c>
      <c r="FC3034" s="37">
        <v>0.01</v>
      </c>
      <c r="FF3034" s="37" t="s">
        <v>3062</v>
      </c>
    </row>
    <row r="3035" spans="1:264" s="36" customFormat="1" x14ac:dyDescent="0.25">
      <c r="A3035" s="36">
        <v>147</v>
      </c>
      <c r="B3035" s="51" t="s">
        <v>4403</v>
      </c>
      <c r="C3035" s="36" t="s">
        <v>3052</v>
      </c>
      <c r="D3035" s="36" t="s">
        <v>3053</v>
      </c>
      <c r="E3035" s="36">
        <v>1989</v>
      </c>
      <c r="F3035" s="36">
        <v>1983</v>
      </c>
      <c r="G3035" s="36" t="s">
        <v>2766</v>
      </c>
      <c r="H3035" s="36" t="s">
        <v>3054</v>
      </c>
      <c r="I3035" s="36" t="s">
        <v>2823</v>
      </c>
      <c r="J3035" s="36">
        <v>4.8499999999999996</v>
      </c>
      <c r="K3035" s="36">
        <v>7.05</v>
      </c>
      <c r="L3035" s="36">
        <v>21.6</v>
      </c>
      <c r="P3035" s="36">
        <v>2400</v>
      </c>
      <c r="R3035" s="51" t="s">
        <v>1847</v>
      </c>
      <c r="S3035" s="51" t="s">
        <v>1843</v>
      </c>
      <c r="T3035" s="51"/>
      <c r="U3035" s="51" t="s">
        <v>3055</v>
      </c>
      <c r="V3035" s="51"/>
      <c r="W3035" s="51"/>
      <c r="X3035" s="51"/>
      <c r="Y3035" s="51"/>
      <c r="AA3035" s="331"/>
      <c r="AB3035" s="331"/>
      <c r="AH3035" s="36" t="s">
        <v>3057</v>
      </c>
      <c r="AI3035" s="36" t="s">
        <v>577</v>
      </c>
      <c r="AJ3035" s="36" t="s">
        <v>2326</v>
      </c>
      <c r="AK3035" s="36" t="s">
        <v>229</v>
      </c>
      <c r="AO3035" s="36" t="s">
        <v>3056</v>
      </c>
      <c r="AQ3035" s="36" t="s">
        <v>2125</v>
      </c>
      <c r="AR3035" s="36" t="s">
        <v>2125</v>
      </c>
      <c r="AW3035" s="36" t="s">
        <v>160</v>
      </c>
      <c r="BP3035" s="407"/>
      <c r="BQ3035" s="407"/>
      <c r="BU3035" s="407"/>
      <c r="BV3035" s="407"/>
      <c r="BZ3035" s="407"/>
      <c r="CA3035" s="407"/>
      <c r="CE3035" s="560"/>
      <c r="CF3035" s="560"/>
      <c r="CG3035" s="560"/>
      <c r="CH3035" s="560"/>
      <c r="ER3035" s="36">
        <v>1.2999999999999999E-2</v>
      </c>
      <c r="ES3035" s="36">
        <v>0.06</v>
      </c>
      <c r="EV3035" s="36" t="s">
        <v>207</v>
      </c>
      <c r="EW3035" s="36">
        <v>1.1000000000000001</v>
      </c>
      <c r="EX3035" s="36">
        <v>1.7</v>
      </c>
      <c r="FA3035" s="36" t="s">
        <v>3061</v>
      </c>
      <c r="FB3035" s="36">
        <v>0.11</v>
      </c>
      <c r="FC3035" s="36">
        <v>0.17</v>
      </c>
      <c r="FF3035" s="36" t="s">
        <v>3062</v>
      </c>
      <c r="JD3035" s="230"/>
    </row>
    <row r="3036" spans="1:264" s="36" customFormat="1" x14ac:dyDescent="0.25">
      <c r="A3036" s="36">
        <v>147</v>
      </c>
      <c r="B3036" s="51" t="s">
        <v>4403</v>
      </c>
      <c r="C3036" s="36" t="s">
        <v>3052</v>
      </c>
      <c r="D3036" s="36" t="s">
        <v>3053</v>
      </c>
      <c r="E3036" s="36">
        <v>1989</v>
      </c>
      <c r="F3036" s="36">
        <v>1983</v>
      </c>
      <c r="G3036" s="36" t="s">
        <v>2766</v>
      </c>
      <c r="H3036" s="36" t="s">
        <v>3054</v>
      </c>
      <c r="I3036" s="36" t="s">
        <v>2823</v>
      </c>
      <c r="J3036" s="36">
        <v>4.8499999999999996</v>
      </c>
      <c r="K3036" s="36">
        <v>7.05</v>
      </c>
      <c r="L3036" s="36">
        <v>21.6</v>
      </c>
      <c r="P3036" s="36">
        <v>2400</v>
      </c>
      <c r="R3036" s="51" t="s">
        <v>1847</v>
      </c>
      <c r="S3036" s="51" t="s">
        <v>1843</v>
      </c>
      <c r="T3036" s="51"/>
      <c r="U3036" s="51" t="s">
        <v>3055</v>
      </c>
      <c r="V3036" s="51"/>
      <c r="W3036" s="51"/>
      <c r="X3036" s="51"/>
      <c r="Y3036" s="51"/>
      <c r="AA3036" s="331"/>
      <c r="AB3036" s="331"/>
      <c r="AH3036" s="36" t="s">
        <v>3058</v>
      </c>
      <c r="AI3036" s="36" t="s">
        <v>577</v>
      </c>
      <c r="AJ3036" s="36" t="s">
        <v>2326</v>
      </c>
      <c r="AK3036" s="36" t="s">
        <v>229</v>
      </c>
      <c r="AO3036" s="36" t="s">
        <v>3056</v>
      </c>
      <c r="AQ3036" s="36" t="s">
        <v>2125</v>
      </c>
      <c r="AR3036" s="36" t="s">
        <v>2125</v>
      </c>
      <c r="AW3036" s="36" t="s">
        <v>160</v>
      </c>
      <c r="BP3036" s="407"/>
      <c r="BQ3036" s="407"/>
      <c r="BU3036" s="407"/>
      <c r="BV3036" s="407"/>
      <c r="BZ3036" s="407"/>
      <c r="CA3036" s="407"/>
      <c r="CE3036" s="560"/>
      <c r="CF3036" s="560"/>
      <c r="CG3036" s="560"/>
      <c r="CH3036" s="560"/>
      <c r="ER3036" s="36">
        <v>1.2999999999999999E-2</v>
      </c>
      <c r="ES3036" s="36">
        <v>0.1</v>
      </c>
      <c r="EV3036" s="36" t="s">
        <v>207</v>
      </c>
      <c r="EW3036" s="36">
        <v>1.1000000000000001</v>
      </c>
      <c r="EX3036" s="36">
        <v>3.3</v>
      </c>
      <c r="FA3036" s="36" t="s">
        <v>3061</v>
      </c>
      <c r="FB3036" s="36">
        <v>0.11</v>
      </c>
      <c r="FC3036" s="36">
        <v>0.64</v>
      </c>
      <c r="FF3036" s="36" t="s">
        <v>3062</v>
      </c>
      <c r="JD3036" s="230"/>
    </row>
    <row r="3037" spans="1:264" s="36" customFormat="1" x14ac:dyDescent="0.25">
      <c r="A3037" s="36">
        <v>147</v>
      </c>
      <c r="B3037" s="51" t="s">
        <v>4403</v>
      </c>
      <c r="C3037" s="36" t="s">
        <v>3052</v>
      </c>
      <c r="D3037" s="36" t="s">
        <v>3053</v>
      </c>
      <c r="E3037" s="36">
        <v>1989</v>
      </c>
      <c r="F3037" s="36">
        <v>1983</v>
      </c>
      <c r="G3037" s="36" t="s">
        <v>2766</v>
      </c>
      <c r="H3037" s="36" t="s">
        <v>3054</v>
      </c>
      <c r="I3037" s="36" t="s">
        <v>2823</v>
      </c>
      <c r="J3037" s="36">
        <v>4.8499999999999996</v>
      </c>
      <c r="K3037" s="36">
        <v>7.05</v>
      </c>
      <c r="L3037" s="36">
        <v>21.6</v>
      </c>
      <c r="P3037" s="36">
        <v>2400</v>
      </c>
      <c r="R3037" s="51" t="s">
        <v>1847</v>
      </c>
      <c r="S3037" s="51" t="s">
        <v>1843</v>
      </c>
      <c r="T3037" s="51"/>
      <c r="U3037" s="51" t="s">
        <v>3055</v>
      </c>
      <c r="V3037" s="51"/>
      <c r="W3037" s="51"/>
      <c r="X3037" s="51"/>
      <c r="Y3037" s="51"/>
      <c r="AA3037" s="331"/>
      <c r="AB3037" s="331"/>
      <c r="AH3037" s="36" t="s">
        <v>3059</v>
      </c>
      <c r="AI3037" s="36" t="s">
        <v>577</v>
      </c>
      <c r="AJ3037" s="36" t="s">
        <v>2326</v>
      </c>
      <c r="AK3037" s="36" t="s">
        <v>229</v>
      </c>
      <c r="AO3037" s="36" t="s">
        <v>3056</v>
      </c>
      <c r="AQ3037" s="36" t="s">
        <v>2125</v>
      </c>
      <c r="AR3037" s="36" t="s">
        <v>2125</v>
      </c>
      <c r="AW3037" s="36" t="s">
        <v>160</v>
      </c>
      <c r="BP3037" s="407"/>
      <c r="BQ3037" s="407"/>
      <c r="BU3037" s="407"/>
      <c r="BV3037" s="407"/>
      <c r="BZ3037" s="407"/>
      <c r="CA3037" s="407"/>
      <c r="CE3037" s="560"/>
      <c r="CF3037" s="560"/>
      <c r="CG3037" s="560"/>
      <c r="CH3037" s="560"/>
      <c r="ER3037" s="36">
        <v>1.2999999999999999E-2</v>
      </c>
      <c r="ES3037" s="36">
        <v>0.06</v>
      </c>
      <c r="EV3037" s="36" t="s">
        <v>207</v>
      </c>
      <c r="EW3037" s="36">
        <v>1.1000000000000001</v>
      </c>
      <c r="EX3037" s="36">
        <v>1.1000000000000001</v>
      </c>
      <c r="FA3037" s="36" t="s">
        <v>3061</v>
      </c>
      <c r="FB3037" s="36">
        <v>0.11</v>
      </c>
      <c r="FC3037" s="36">
        <v>0.05</v>
      </c>
      <c r="FF3037" s="36" t="s">
        <v>3062</v>
      </c>
      <c r="JD3037" s="230"/>
    </row>
    <row r="3038" spans="1:264" s="36" customFormat="1" x14ac:dyDescent="0.25">
      <c r="A3038" s="36">
        <v>147</v>
      </c>
      <c r="B3038" s="51" t="s">
        <v>4403</v>
      </c>
      <c r="C3038" s="36" t="s">
        <v>3052</v>
      </c>
      <c r="D3038" s="36" t="s">
        <v>3053</v>
      </c>
      <c r="E3038" s="36">
        <v>1989</v>
      </c>
      <c r="F3038" s="36">
        <v>1983</v>
      </c>
      <c r="G3038" s="36" t="s">
        <v>2766</v>
      </c>
      <c r="H3038" s="36" t="s">
        <v>3054</v>
      </c>
      <c r="I3038" s="36" t="s">
        <v>2823</v>
      </c>
      <c r="J3038" s="36">
        <v>4.8499999999999996</v>
      </c>
      <c r="K3038" s="36">
        <v>7.05</v>
      </c>
      <c r="L3038" s="36">
        <v>21.6</v>
      </c>
      <c r="P3038" s="36">
        <v>2400</v>
      </c>
      <c r="R3038" s="51" t="s">
        <v>1847</v>
      </c>
      <c r="S3038" s="51" t="s">
        <v>1843</v>
      </c>
      <c r="T3038" s="51"/>
      <c r="U3038" s="51" t="s">
        <v>3055</v>
      </c>
      <c r="V3038" s="51"/>
      <c r="W3038" s="51"/>
      <c r="X3038" s="51"/>
      <c r="Y3038" s="51"/>
      <c r="AA3038" s="331"/>
      <c r="AB3038" s="331"/>
      <c r="AH3038" s="36" t="s">
        <v>3060</v>
      </c>
      <c r="AI3038" s="36" t="s">
        <v>577</v>
      </c>
      <c r="AJ3038" s="36" t="s">
        <v>2326</v>
      </c>
      <c r="AK3038" s="36" t="s">
        <v>229</v>
      </c>
      <c r="AO3038" s="36" t="s">
        <v>3056</v>
      </c>
      <c r="AQ3038" s="36" t="s">
        <v>2125</v>
      </c>
      <c r="AR3038" s="36" t="s">
        <v>2125</v>
      </c>
      <c r="AW3038" s="36" t="s">
        <v>160</v>
      </c>
      <c r="BP3038" s="407"/>
      <c r="BQ3038" s="407"/>
      <c r="BU3038" s="407"/>
      <c r="BV3038" s="407"/>
      <c r="BZ3038" s="407"/>
      <c r="CA3038" s="407"/>
      <c r="CE3038" s="560"/>
      <c r="CF3038" s="560"/>
      <c r="CG3038" s="560"/>
      <c r="CH3038" s="560"/>
      <c r="ER3038" s="36">
        <v>1.2999999999999999E-2</v>
      </c>
      <c r="ES3038" s="36">
        <v>0.02</v>
      </c>
      <c r="EV3038" s="36" t="s">
        <v>207</v>
      </c>
      <c r="EW3038" s="36">
        <v>1.1000000000000001</v>
      </c>
      <c r="EX3038" s="36">
        <v>0.2</v>
      </c>
      <c r="FA3038" s="36" t="s">
        <v>3061</v>
      </c>
      <c r="FB3038" s="36">
        <v>0.11</v>
      </c>
      <c r="FC3038" s="36">
        <v>0.01</v>
      </c>
      <c r="FF3038" s="36" t="s">
        <v>3062</v>
      </c>
      <c r="JD3038" s="230"/>
    </row>
    <row r="3039" spans="1:264" x14ac:dyDescent="0.25">
      <c r="A3039" s="37">
        <v>147</v>
      </c>
      <c r="B3039" s="50" t="s">
        <v>4403</v>
      </c>
      <c r="C3039" s="37" t="s">
        <v>3052</v>
      </c>
      <c r="D3039" s="37" t="s">
        <v>3053</v>
      </c>
      <c r="E3039" s="37">
        <v>1989</v>
      </c>
      <c r="F3039" s="37">
        <v>1984</v>
      </c>
      <c r="G3039" s="37" t="s">
        <v>2766</v>
      </c>
      <c r="H3039" s="37" t="s">
        <v>3054</v>
      </c>
      <c r="I3039" s="37" t="s">
        <v>2823</v>
      </c>
      <c r="J3039" s="37">
        <v>4.8499999999999996</v>
      </c>
      <c r="K3039" s="37">
        <v>7.05</v>
      </c>
      <c r="L3039" s="37">
        <v>21.6</v>
      </c>
      <c r="P3039" s="37">
        <v>2400</v>
      </c>
      <c r="R3039" s="50" t="s">
        <v>1728</v>
      </c>
      <c r="S3039" s="50" t="s">
        <v>1843</v>
      </c>
      <c r="U3039" s="50" t="s">
        <v>3055</v>
      </c>
      <c r="AH3039" s="37" t="s">
        <v>3057</v>
      </c>
      <c r="AI3039" s="37" t="s">
        <v>577</v>
      </c>
      <c r="AJ3039" s="37" t="s">
        <v>2326</v>
      </c>
      <c r="AK3039" s="37" t="s">
        <v>229</v>
      </c>
      <c r="AO3039" s="37" t="s">
        <v>3056</v>
      </c>
      <c r="AQ3039" s="37" t="s">
        <v>2125</v>
      </c>
      <c r="AR3039" s="37" t="s">
        <v>2125</v>
      </c>
      <c r="AW3039" s="37" t="s">
        <v>160</v>
      </c>
      <c r="CE3039" s="559"/>
      <c r="CF3039" s="559"/>
      <c r="CG3039" s="556"/>
      <c r="CH3039" s="556"/>
      <c r="ER3039" s="37">
        <v>0.74</v>
      </c>
      <c r="ES3039" s="37">
        <v>0.02</v>
      </c>
      <c r="EV3039" s="37" t="s">
        <v>207</v>
      </c>
      <c r="EW3039" s="37">
        <v>2.39</v>
      </c>
      <c r="EX3039" s="37">
        <v>0.08</v>
      </c>
      <c r="FA3039" s="37" t="s">
        <v>3061</v>
      </c>
      <c r="FB3039" s="37">
        <v>0.16</v>
      </c>
      <c r="FC3039" s="37">
        <v>0.01</v>
      </c>
      <c r="FF3039" s="37" t="s">
        <v>3062</v>
      </c>
    </row>
    <row r="3040" spans="1:264" x14ac:dyDescent="0.25">
      <c r="A3040" s="37">
        <v>147</v>
      </c>
      <c r="B3040" s="50" t="s">
        <v>4403</v>
      </c>
      <c r="C3040" s="37" t="s">
        <v>3052</v>
      </c>
      <c r="D3040" s="37" t="s">
        <v>3053</v>
      </c>
      <c r="E3040" s="37">
        <v>1989</v>
      </c>
      <c r="F3040" s="37">
        <v>1984</v>
      </c>
      <c r="G3040" s="37" t="s">
        <v>2766</v>
      </c>
      <c r="H3040" s="37" t="s">
        <v>3054</v>
      </c>
      <c r="I3040" s="37" t="s">
        <v>2823</v>
      </c>
      <c r="J3040" s="37">
        <v>4.8499999999999996</v>
      </c>
      <c r="K3040" s="37">
        <v>7.05</v>
      </c>
      <c r="L3040" s="37">
        <v>21.6</v>
      </c>
      <c r="P3040" s="37">
        <v>2400</v>
      </c>
      <c r="R3040" s="50" t="s">
        <v>1728</v>
      </c>
      <c r="S3040" s="50" t="s">
        <v>1843</v>
      </c>
      <c r="U3040" s="50" t="s">
        <v>3055</v>
      </c>
      <c r="AH3040" s="37" t="s">
        <v>3058</v>
      </c>
      <c r="AI3040" s="37" t="s">
        <v>577</v>
      </c>
      <c r="AJ3040" s="37" t="s">
        <v>2326</v>
      </c>
      <c r="AK3040" s="37" t="s">
        <v>229</v>
      </c>
      <c r="AO3040" s="37" t="s">
        <v>3056</v>
      </c>
      <c r="AQ3040" s="37" t="s">
        <v>2125</v>
      </c>
      <c r="AR3040" s="37" t="s">
        <v>2125</v>
      </c>
      <c r="AW3040" s="37" t="s">
        <v>160</v>
      </c>
      <c r="CE3040" s="559"/>
      <c r="CF3040" s="559"/>
      <c r="CG3040" s="556"/>
      <c r="CH3040" s="556"/>
      <c r="ER3040" s="37">
        <v>0.74</v>
      </c>
      <c r="ES3040" s="37">
        <v>0.04</v>
      </c>
      <c r="EV3040" s="37" t="s">
        <v>207</v>
      </c>
      <c r="EW3040" s="37">
        <v>2.39</v>
      </c>
      <c r="EX3040" s="37">
        <v>0.56999999999999995</v>
      </c>
      <c r="FA3040" s="37" t="s">
        <v>3061</v>
      </c>
      <c r="FB3040" s="37">
        <v>0.16</v>
      </c>
      <c r="FC3040" s="37">
        <v>0.02</v>
      </c>
      <c r="FF3040" s="37" t="s">
        <v>3062</v>
      </c>
    </row>
    <row r="3041" spans="1:264" x14ac:dyDescent="0.25">
      <c r="A3041" s="37">
        <v>147</v>
      </c>
      <c r="B3041" s="50" t="s">
        <v>4403</v>
      </c>
      <c r="C3041" s="37" t="s">
        <v>3052</v>
      </c>
      <c r="D3041" s="37" t="s">
        <v>3053</v>
      </c>
      <c r="E3041" s="37">
        <v>1989</v>
      </c>
      <c r="F3041" s="37">
        <v>1984</v>
      </c>
      <c r="G3041" s="37" t="s">
        <v>2766</v>
      </c>
      <c r="H3041" s="37" t="s">
        <v>3054</v>
      </c>
      <c r="I3041" s="37" t="s">
        <v>2823</v>
      </c>
      <c r="J3041" s="37">
        <v>4.8499999999999996</v>
      </c>
      <c r="K3041" s="37">
        <v>7.05</v>
      </c>
      <c r="L3041" s="37">
        <v>21.6</v>
      </c>
      <c r="P3041" s="37">
        <v>2400</v>
      </c>
      <c r="R3041" s="50" t="s">
        <v>1728</v>
      </c>
      <c r="S3041" s="50" t="s">
        <v>1843</v>
      </c>
      <c r="U3041" s="50" t="s">
        <v>3055</v>
      </c>
      <c r="AH3041" s="37" t="s">
        <v>3059</v>
      </c>
      <c r="AI3041" s="37" t="s">
        <v>577</v>
      </c>
      <c r="AJ3041" s="37" t="s">
        <v>2326</v>
      </c>
      <c r="AK3041" s="37" t="s">
        <v>229</v>
      </c>
      <c r="AO3041" s="37" t="s">
        <v>3056</v>
      </c>
      <c r="AQ3041" s="37" t="s">
        <v>2125</v>
      </c>
      <c r="AR3041" s="37" t="s">
        <v>2125</v>
      </c>
      <c r="AW3041" s="37" t="s">
        <v>160</v>
      </c>
      <c r="CE3041" s="559"/>
      <c r="CF3041" s="559"/>
      <c r="CG3041" s="556"/>
      <c r="CH3041" s="556"/>
      <c r="ER3041" s="37">
        <v>0.74</v>
      </c>
      <c r="ES3041" s="37">
        <v>0.05</v>
      </c>
      <c r="EV3041" s="37" t="s">
        <v>207</v>
      </c>
      <c r="EW3041" s="37">
        <v>2.39</v>
      </c>
      <c r="EX3041" s="37">
        <v>0.32</v>
      </c>
      <c r="FA3041" s="37" t="s">
        <v>3061</v>
      </c>
      <c r="FB3041" s="37">
        <v>0.16</v>
      </c>
      <c r="FC3041" s="37">
        <v>0.03</v>
      </c>
      <c r="FF3041" s="37" t="s">
        <v>3062</v>
      </c>
    </row>
    <row r="3042" spans="1:264" x14ac:dyDescent="0.25">
      <c r="A3042" s="37">
        <v>147</v>
      </c>
      <c r="B3042" s="50" t="s">
        <v>4403</v>
      </c>
      <c r="C3042" s="37" t="s">
        <v>3052</v>
      </c>
      <c r="D3042" s="37" t="s">
        <v>3053</v>
      </c>
      <c r="E3042" s="37">
        <v>1989</v>
      </c>
      <c r="F3042" s="37">
        <v>1984</v>
      </c>
      <c r="G3042" s="37" t="s">
        <v>2766</v>
      </c>
      <c r="H3042" s="37" t="s">
        <v>3054</v>
      </c>
      <c r="I3042" s="37" t="s">
        <v>2823</v>
      </c>
      <c r="J3042" s="37">
        <v>4.8499999999999996</v>
      </c>
      <c r="K3042" s="37">
        <v>7.05</v>
      </c>
      <c r="L3042" s="37">
        <v>21.6</v>
      </c>
      <c r="P3042" s="37">
        <v>2400</v>
      </c>
      <c r="R3042" s="50" t="s">
        <v>1728</v>
      </c>
      <c r="S3042" s="50" t="s">
        <v>1843</v>
      </c>
      <c r="U3042" s="50" t="s">
        <v>3055</v>
      </c>
      <c r="AH3042" s="37" t="s">
        <v>3060</v>
      </c>
      <c r="AI3042" s="37" t="s">
        <v>577</v>
      </c>
      <c r="AJ3042" s="37" t="s">
        <v>2326</v>
      </c>
      <c r="AK3042" s="37" t="s">
        <v>229</v>
      </c>
      <c r="AO3042" s="37" t="s">
        <v>3056</v>
      </c>
      <c r="AQ3042" s="37" t="s">
        <v>2125</v>
      </c>
      <c r="AR3042" s="37" t="s">
        <v>2125</v>
      </c>
      <c r="AW3042" s="37" t="s">
        <v>160</v>
      </c>
      <c r="CE3042" s="559"/>
      <c r="CF3042" s="559"/>
      <c r="CG3042" s="556"/>
      <c r="CH3042" s="556"/>
      <c r="ER3042" s="37">
        <v>0.74</v>
      </c>
      <c r="ES3042" s="37">
        <v>0.27</v>
      </c>
      <c r="EV3042" s="37" t="s">
        <v>207</v>
      </c>
      <c r="EW3042" s="37">
        <v>2.39</v>
      </c>
      <c r="EX3042" s="37">
        <v>0.71</v>
      </c>
      <c r="FA3042" s="37" t="s">
        <v>3061</v>
      </c>
      <c r="FB3042" s="37">
        <v>0.16</v>
      </c>
      <c r="FC3042" s="37">
        <v>0.02</v>
      </c>
      <c r="FF3042" s="37" t="s">
        <v>3062</v>
      </c>
    </row>
    <row r="3043" spans="1:264" s="36" customFormat="1" x14ac:dyDescent="0.25">
      <c r="A3043" s="36">
        <v>147</v>
      </c>
      <c r="B3043" s="51" t="s">
        <v>4403</v>
      </c>
      <c r="C3043" s="36" t="s">
        <v>3052</v>
      </c>
      <c r="D3043" s="36" t="s">
        <v>3053</v>
      </c>
      <c r="E3043" s="36">
        <v>1989</v>
      </c>
      <c r="F3043" s="36">
        <v>1985</v>
      </c>
      <c r="G3043" s="36" t="s">
        <v>2766</v>
      </c>
      <c r="H3043" s="36" t="s">
        <v>3054</v>
      </c>
      <c r="I3043" s="36" t="s">
        <v>2823</v>
      </c>
      <c r="J3043" s="36">
        <v>4.8499999999999996</v>
      </c>
      <c r="K3043" s="36">
        <v>7.05</v>
      </c>
      <c r="L3043" s="36">
        <v>21.6</v>
      </c>
      <c r="P3043" s="36">
        <v>2400</v>
      </c>
      <c r="R3043" s="51" t="s">
        <v>1858</v>
      </c>
      <c r="S3043" s="51" t="s">
        <v>1843</v>
      </c>
      <c r="T3043" s="51"/>
      <c r="U3043" s="51" t="s">
        <v>3055</v>
      </c>
      <c r="V3043" s="51"/>
      <c r="W3043" s="51"/>
      <c r="X3043" s="51"/>
      <c r="Y3043" s="51"/>
      <c r="AA3043" s="331"/>
      <c r="AB3043" s="331"/>
      <c r="AH3043" s="36" t="s">
        <v>3057</v>
      </c>
      <c r="AI3043" s="36" t="s">
        <v>577</v>
      </c>
      <c r="AJ3043" s="36" t="s">
        <v>2326</v>
      </c>
      <c r="AK3043" s="36" t="s">
        <v>229</v>
      </c>
      <c r="AO3043" s="36" t="s">
        <v>3056</v>
      </c>
      <c r="AQ3043" s="36" t="s">
        <v>2125</v>
      </c>
      <c r="AR3043" s="36" t="s">
        <v>2125</v>
      </c>
      <c r="AW3043" s="36" t="s">
        <v>160</v>
      </c>
      <c r="BP3043" s="407"/>
      <c r="BQ3043" s="407"/>
      <c r="BU3043" s="407"/>
      <c r="BV3043" s="407"/>
      <c r="BZ3043" s="407"/>
      <c r="CA3043" s="407"/>
      <c r="CE3043" s="560"/>
      <c r="CF3043" s="560"/>
      <c r="CG3043" s="560"/>
      <c r="CH3043" s="560"/>
      <c r="ER3043" s="36">
        <v>3</v>
      </c>
      <c r="ES3043" s="36">
        <v>0.13</v>
      </c>
      <c r="EV3043" s="36" t="s">
        <v>207</v>
      </c>
      <c r="EW3043" s="36">
        <v>20.23</v>
      </c>
      <c r="EX3043" s="36">
        <v>2.1</v>
      </c>
      <c r="FA3043" s="36" t="s">
        <v>3061</v>
      </c>
      <c r="FB3043" s="36">
        <v>2.44</v>
      </c>
      <c r="FC3043" s="36">
        <v>0.51</v>
      </c>
      <c r="FF3043" s="36" t="s">
        <v>3062</v>
      </c>
      <c r="JD3043" s="230"/>
    </row>
    <row r="3044" spans="1:264" s="36" customFormat="1" x14ac:dyDescent="0.25">
      <c r="A3044" s="36">
        <v>147</v>
      </c>
      <c r="B3044" s="51" t="s">
        <v>4403</v>
      </c>
      <c r="C3044" s="36" t="s">
        <v>3052</v>
      </c>
      <c r="D3044" s="36" t="s">
        <v>3053</v>
      </c>
      <c r="E3044" s="36">
        <v>1989</v>
      </c>
      <c r="F3044" s="36">
        <v>1985</v>
      </c>
      <c r="G3044" s="36" t="s">
        <v>2766</v>
      </c>
      <c r="H3044" s="36" t="s">
        <v>3054</v>
      </c>
      <c r="I3044" s="36" t="s">
        <v>2823</v>
      </c>
      <c r="J3044" s="36">
        <v>4.8499999999999996</v>
      </c>
      <c r="K3044" s="36">
        <v>7.05</v>
      </c>
      <c r="L3044" s="36">
        <v>21.6</v>
      </c>
      <c r="P3044" s="36">
        <v>2400</v>
      </c>
      <c r="R3044" s="51" t="s">
        <v>1858</v>
      </c>
      <c r="S3044" s="51" t="s">
        <v>1843</v>
      </c>
      <c r="T3044" s="51"/>
      <c r="U3044" s="51" t="s">
        <v>3055</v>
      </c>
      <c r="V3044" s="51"/>
      <c r="W3044" s="51"/>
      <c r="X3044" s="51"/>
      <c r="Y3044" s="51"/>
      <c r="AA3044" s="331"/>
      <c r="AB3044" s="331"/>
      <c r="AH3044" s="36" t="s">
        <v>3058</v>
      </c>
      <c r="AI3044" s="36" t="s">
        <v>577</v>
      </c>
      <c r="AJ3044" s="36" t="s">
        <v>2326</v>
      </c>
      <c r="AK3044" s="36" t="s">
        <v>229</v>
      </c>
      <c r="AO3044" s="36" t="s">
        <v>3056</v>
      </c>
      <c r="AQ3044" s="36" t="s">
        <v>2125</v>
      </c>
      <c r="AR3044" s="36" t="s">
        <v>2125</v>
      </c>
      <c r="AW3044" s="36" t="s">
        <v>160</v>
      </c>
      <c r="BP3044" s="407"/>
      <c r="BQ3044" s="407"/>
      <c r="BU3044" s="407"/>
      <c r="BV3044" s="407"/>
      <c r="BZ3044" s="407"/>
      <c r="CA3044" s="407"/>
      <c r="CE3044" s="560"/>
      <c r="CF3044" s="560"/>
      <c r="CG3044" s="560"/>
      <c r="CH3044" s="560"/>
      <c r="ER3044" s="36">
        <v>3</v>
      </c>
      <c r="ES3044" s="36">
        <v>0.03</v>
      </c>
      <c r="EV3044" s="36" t="s">
        <v>207</v>
      </c>
      <c r="EW3044" s="36">
        <v>20.23</v>
      </c>
      <c r="EX3044" s="36">
        <v>2.44</v>
      </c>
      <c r="FA3044" s="36" t="s">
        <v>3061</v>
      </c>
      <c r="FB3044" s="36">
        <v>2.44</v>
      </c>
      <c r="FC3044" s="36">
        <v>0.69</v>
      </c>
      <c r="FF3044" s="36" t="s">
        <v>3062</v>
      </c>
      <c r="JD3044" s="230"/>
    </row>
    <row r="3045" spans="1:264" s="36" customFormat="1" x14ac:dyDescent="0.25">
      <c r="A3045" s="36">
        <v>147</v>
      </c>
      <c r="B3045" s="51" t="s">
        <v>4403</v>
      </c>
      <c r="C3045" s="36" t="s">
        <v>3052</v>
      </c>
      <c r="D3045" s="36" t="s">
        <v>3053</v>
      </c>
      <c r="E3045" s="36">
        <v>1989</v>
      </c>
      <c r="F3045" s="36">
        <v>1985</v>
      </c>
      <c r="G3045" s="36" t="s">
        <v>2766</v>
      </c>
      <c r="H3045" s="36" t="s">
        <v>3054</v>
      </c>
      <c r="I3045" s="36" t="s">
        <v>2823</v>
      </c>
      <c r="J3045" s="36">
        <v>4.8499999999999996</v>
      </c>
      <c r="K3045" s="36">
        <v>7.05</v>
      </c>
      <c r="L3045" s="36">
        <v>21.6</v>
      </c>
      <c r="P3045" s="36">
        <v>2400</v>
      </c>
      <c r="R3045" s="51" t="s">
        <v>1858</v>
      </c>
      <c r="S3045" s="51" t="s">
        <v>1843</v>
      </c>
      <c r="T3045" s="51"/>
      <c r="U3045" s="51" t="s">
        <v>3055</v>
      </c>
      <c r="V3045" s="51"/>
      <c r="W3045" s="51"/>
      <c r="X3045" s="51"/>
      <c r="Y3045" s="51"/>
      <c r="AA3045" s="331"/>
      <c r="AB3045" s="331"/>
      <c r="AH3045" s="36" t="s">
        <v>3059</v>
      </c>
      <c r="AI3045" s="36" t="s">
        <v>577</v>
      </c>
      <c r="AJ3045" s="36" t="s">
        <v>2326</v>
      </c>
      <c r="AK3045" s="36" t="s">
        <v>229</v>
      </c>
      <c r="AO3045" s="36" t="s">
        <v>3056</v>
      </c>
      <c r="AQ3045" s="36" t="s">
        <v>2125</v>
      </c>
      <c r="AR3045" s="36" t="s">
        <v>2125</v>
      </c>
      <c r="AW3045" s="36" t="s">
        <v>160</v>
      </c>
      <c r="BP3045" s="407"/>
      <c r="BQ3045" s="407"/>
      <c r="BU3045" s="407"/>
      <c r="BV3045" s="407"/>
      <c r="BZ3045" s="407"/>
      <c r="CA3045" s="407"/>
      <c r="CE3045" s="560"/>
      <c r="CF3045" s="560"/>
      <c r="CG3045" s="560"/>
      <c r="CH3045" s="560"/>
      <c r="ER3045" s="36">
        <v>3</v>
      </c>
      <c r="ES3045" s="36">
        <v>0.21</v>
      </c>
      <c r="EV3045" s="36" t="s">
        <v>207</v>
      </c>
      <c r="EW3045" s="36">
        <v>20.23</v>
      </c>
      <c r="EX3045" s="36">
        <v>0.82</v>
      </c>
      <c r="FA3045" s="36" t="s">
        <v>3061</v>
      </c>
      <c r="FB3045" s="36">
        <v>2.44</v>
      </c>
      <c r="FC3045" s="36">
        <v>0.1</v>
      </c>
      <c r="FF3045" s="36" t="s">
        <v>3062</v>
      </c>
      <c r="JD3045" s="230"/>
    </row>
    <row r="3046" spans="1:264" s="36" customFormat="1" x14ac:dyDescent="0.25">
      <c r="A3046" s="36">
        <v>147</v>
      </c>
      <c r="B3046" s="51" t="s">
        <v>4403</v>
      </c>
      <c r="C3046" s="36" t="s">
        <v>3052</v>
      </c>
      <c r="D3046" s="36" t="s">
        <v>3053</v>
      </c>
      <c r="E3046" s="36">
        <v>1989</v>
      </c>
      <c r="F3046" s="36">
        <v>1985</v>
      </c>
      <c r="G3046" s="36" t="s">
        <v>2766</v>
      </c>
      <c r="H3046" s="36" t="s">
        <v>3054</v>
      </c>
      <c r="I3046" s="36" t="s">
        <v>2823</v>
      </c>
      <c r="J3046" s="36">
        <v>4.8499999999999996</v>
      </c>
      <c r="K3046" s="36">
        <v>7.05</v>
      </c>
      <c r="L3046" s="36">
        <v>21.6</v>
      </c>
      <c r="P3046" s="36">
        <v>2400</v>
      </c>
      <c r="R3046" s="51" t="s">
        <v>1858</v>
      </c>
      <c r="S3046" s="51" t="s">
        <v>1843</v>
      </c>
      <c r="T3046" s="51"/>
      <c r="U3046" s="51" t="s">
        <v>3055</v>
      </c>
      <c r="V3046" s="51"/>
      <c r="W3046" s="51"/>
      <c r="X3046" s="51"/>
      <c r="Y3046" s="51"/>
      <c r="AA3046" s="331"/>
      <c r="AB3046" s="331"/>
      <c r="AH3046" s="36" t="s">
        <v>3060</v>
      </c>
      <c r="AI3046" s="36" t="s">
        <v>577</v>
      </c>
      <c r="AJ3046" s="36" t="s">
        <v>2326</v>
      </c>
      <c r="AK3046" s="36" t="s">
        <v>229</v>
      </c>
      <c r="AO3046" s="36" t="s">
        <v>3056</v>
      </c>
      <c r="AQ3046" s="36" t="s">
        <v>2125</v>
      </c>
      <c r="AR3046" s="36" t="s">
        <v>2125</v>
      </c>
      <c r="AW3046" s="36" t="s">
        <v>160</v>
      </c>
      <c r="BP3046" s="407"/>
      <c r="BQ3046" s="407"/>
      <c r="BU3046" s="407"/>
      <c r="BV3046" s="407"/>
      <c r="BZ3046" s="407"/>
      <c r="CA3046" s="407"/>
      <c r="CE3046" s="560"/>
      <c r="CF3046" s="560"/>
      <c r="CG3046" s="560"/>
      <c r="CH3046" s="560"/>
      <c r="ER3046" s="36">
        <v>3</v>
      </c>
      <c r="ES3046" s="36">
        <v>0.7</v>
      </c>
      <c r="EV3046" s="36" t="s">
        <v>207</v>
      </c>
      <c r="EW3046" s="36">
        <v>20.23</v>
      </c>
      <c r="EX3046" s="36">
        <v>4.67</v>
      </c>
      <c r="FA3046" s="36" t="s">
        <v>3061</v>
      </c>
      <c r="FB3046" s="36">
        <v>2.44</v>
      </c>
      <c r="FC3046" s="36">
        <v>0.64</v>
      </c>
      <c r="FF3046" s="36" t="s">
        <v>3062</v>
      </c>
      <c r="JD3046" s="230"/>
    </row>
    <row r="3047" spans="1:264" x14ac:dyDescent="0.25">
      <c r="A3047" s="37">
        <v>147</v>
      </c>
      <c r="B3047" s="50" t="s">
        <v>4403</v>
      </c>
      <c r="C3047" s="37" t="s">
        <v>3052</v>
      </c>
      <c r="D3047" s="37" t="s">
        <v>3053</v>
      </c>
      <c r="E3047" s="37">
        <v>1989</v>
      </c>
      <c r="F3047" s="37">
        <v>1986</v>
      </c>
      <c r="G3047" s="37" t="s">
        <v>2766</v>
      </c>
      <c r="H3047" s="37" t="s">
        <v>3054</v>
      </c>
      <c r="I3047" s="37" t="s">
        <v>2823</v>
      </c>
      <c r="J3047" s="37">
        <v>4.8499999999999996</v>
      </c>
      <c r="K3047" s="37">
        <v>7.05</v>
      </c>
      <c r="L3047" s="37">
        <v>21.6</v>
      </c>
      <c r="P3047" s="37">
        <v>2400</v>
      </c>
      <c r="R3047" s="50" t="s">
        <v>1722</v>
      </c>
      <c r="S3047" s="50" t="s">
        <v>1843</v>
      </c>
      <c r="U3047" s="50" t="s">
        <v>3055</v>
      </c>
      <c r="AH3047" s="37" t="s">
        <v>3057</v>
      </c>
      <c r="AI3047" s="37" t="s">
        <v>577</v>
      </c>
      <c r="AJ3047" s="37" t="s">
        <v>2326</v>
      </c>
      <c r="AK3047" s="37" t="s">
        <v>229</v>
      </c>
      <c r="AO3047" s="37" t="s">
        <v>3056</v>
      </c>
      <c r="AQ3047" s="37" t="s">
        <v>2125</v>
      </c>
      <c r="AR3047" s="37" t="s">
        <v>2125</v>
      </c>
      <c r="AW3047" s="37" t="s">
        <v>160</v>
      </c>
      <c r="CE3047" s="559"/>
      <c r="CF3047" s="559"/>
      <c r="CG3047" s="556"/>
      <c r="CH3047" s="556"/>
      <c r="ER3047" s="37">
        <v>7.0000000000000001E-3</v>
      </c>
      <c r="ES3047" s="37">
        <v>8.0000000000000002E-3</v>
      </c>
      <c r="EV3047" s="37" t="s">
        <v>207</v>
      </c>
      <c r="EW3047" s="37">
        <v>0.1</v>
      </c>
      <c r="EX3047" s="37">
        <v>0.2</v>
      </c>
      <c r="FA3047" s="37" t="s">
        <v>3061</v>
      </c>
      <c r="FB3047" s="37">
        <v>0.01</v>
      </c>
      <c r="FC3047" s="37">
        <v>0.02</v>
      </c>
      <c r="FF3047" s="37" t="s">
        <v>3062</v>
      </c>
    </row>
    <row r="3048" spans="1:264" x14ac:dyDescent="0.25">
      <c r="A3048" s="37">
        <v>147</v>
      </c>
      <c r="B3048" s="50" t="s">
        <v>4403</v>
      </c>
      <c r="C3048" s="37" t="s">
        <v>3052</v>
      </c>
      <c r="D3048" s="37" t="s">
        <v>3053</v>
      </c>
      <c r="E3048" s="37">
        <v>1989</v>
      </c>
      <c r="F3048" s="37">
        <v>1986</v>
      </c>
      <c r="G3048" s="37" t="s">
        <v>2766</v>
      </c>
      <c r="H3048" s="37" t="s">
        <v>3054</v>
      </c>
      <c r="I3048" s="37" t="s">
        <v>2823</v>
      </c>
      <c r="J3048" s="37">
        <v>4.8499999999999996</v>
      </c>
      <c r="K3048" s="37">
        <v>7.05</v>
      </c>
      <c r="L3048" s="37">
        <v>21.6</v>
      </c>
      <c r="P3048" s="37">
        <v>2400</v>
      </c>
      <c r="R3048" s="50" t="s">
        <v>1722</v>
      </c>
      <c r="S3048" s="50" t="s">
        <v>1843</v>
      </c>
      <c r="U3048" s="50" t="s">
        <v>3055</v>
      </c>
      <c r="AH3048" s="37" t="s">
        <v>3058</v>
      </c>
      <c r="AI3048" s="37" t="s">
        <v>577</v>
      </c>
      <c r="AJ3048" s="37" t="s">
        <v>2326</v>
      </c>
      <c r="AK3048" s="37" t="s">
        <v>229</v>
      </c>
      <c r="AO3048" s="37" t="s">
        <v>3056</v>
      </c>
      <c r="AQ3048" s="37" t="s">
        <v>2125</v>
      </c>
      <c r="AR3048" s="37" t="s">
        <v>2125</v>
      </c>
      <c r="AW3048" s="37" t="s">
        <v>160</v>
      </c>
      <c r="CE3048" s="559"/>
      <c r="CF3048" s="559"/>
      <c r="CG3048" s="556"/>
      <c r="CH3048" s="556"/>
      <c r="ER3048" s="37">
        <v>7.0000000000000001E-3</v>
      </c>
      <c r="ES3048" s="37">
        <v>3.0000000000000001E-3</v>
      </c>
      <c r="EV3048" s="37" t="s">
        <v>207</v>
      </c>
      <c r="EW3048" s="37">
        <v>0.1</v>
      </c>
      <c r="EX3048" s="37">
        <v>0.1</v>
      </c>
      <c r="FA3048" s="37" t="s">
        <v>3061</v>
      </c>
      <c r="FB3048" s="37">
        <v>0.01</v>
      </c>
      <c r="FC3048" s="37">
        <v>0.01</v>
      </c>
      <c r="FF3048" s="37" t="s">
        <v>3062</v>
      </c>
    </row>
    <row r="3049" spans="1:264" x14ac:dyDescent="0.25">
      <c r="A3049" s="37">
        <v>147</v>
      </c>
      <c r="B3049" s="50" t="s">
        <v>4403</v>
      </c>
      <c r="C3049" s="37" t="s">
        <v>3052</v>
      </c>
      <c r="D3049" s="37" t="s">
        <v>3053</v>
      </c>
      <c r="E3049" s="37">
        <v>1989</v>
      </c>
      <c r="F3049" s="37">
        <v>1986</v>
      </c>
      <c r="G3049" s="37" t="s">
        <v>2766</v>
      </c>
      <c r="H3049" s="37" t="s">
        <v>3054</v>
      </c>
      <c r="I3049" s="37" t="s">
        <v>2823</v>
      </c>
      <c r="J3049" s="37">
        <v>4.8499999999999996</v>
      </c>
      <c r="K3049" s="37">
        <v>7.05</v>
      </c>
      <c r="L3049" s="37">
        <v>21.6</v>
      </c>
      <c r="P3049" s="37">
        <v>2400</v>
      </c>
      <c r="R3049" s="50" t="s">
        <v>1722</v>
      </c>
      <c r="S3049" s="50" t="s">
        <v>1843</v>
      </c>
      <c r="U3049" s="50" t="s">
        <v>3055</v>
      </c>
      <c r="AH3049" s="37" t="s">
        <v>3059</v>
      </c>
      <c r="AI3049" s="37" t="s">
        <v>577</v>
      </c>
      <c r="AJ3049" s="37" t="s">
        <v>2326</v>
      </c>
      <c r="AK3049" s="37" t="s">
        <v>229</v>
      </c>
      <c r="AO3049" s="37" t="s">
        <v>3056</v>
      </c>
      <c r="AQ3049" s="37" t="s">
        <v>2125</v>
      </c>
      <c r="AR3049" s="37" t="s">
        <v>2125</v>
      </c>
      <c r="AW3049" s="37" t="s">
        <v>160</v>
      </c>
      <c r="CE3049" s="559"/>
      <c r="CF3049" s="559"/>
      <c r="CG3049" s="556"/>
      <c r="CH3049" s="556"/>
      <c r="ER3049" s="37">
        <v>7.0000000000000001E-3</v>
      </c>
      <c r="ES3049" s="37">
        <v>2.3E-2</v>
      </c>
      <c r="EV3049" s="37" t="s">
        <v>207</v>
      </c>
      <c r="EW3049" s="37">
        <v>0.1</v>
      </c>
      <c r="EX3049" s="37">
        <v>0.3</v>
      </c>
      <c r="FA3049" s="37" t="s">
        <v>3061</v>
      </c>
      <c r="FB3049" s="37">
        <v>0.01</v>
      </c>
      <c r="FC3049" s="37">
        <v>0.02</v>
      </c>
      <c r="FF3049" s="37" t="s">
        <v>3062</v>
      </c>
    </row>
    <row r="3050" spans="1:264" x14ac:dyDescent="0.25">
      <c r="A3050" s="37">
        <v>147</v>
      </c>
      <c r="B3050" s="50" t="s">
        <v>4403</v>
      </c>
      <c r="C3050" s="37" t="s">
        <v>3052</v>
      </c>
      <c r="D3050" s="37" t="s">
        <v>3053</v>
      </c>
      <c r="E3050" s="37">
        <v>1989</v>
      </c>
      <c r="F3050" s="37">
        <v>1986</v>
      </c>
      <c r="G3050" s="37" t="s">
        <v>2766</v>
      </c>
      <c r="H3050" s="37" t="s">
        <v>3054</v>
      </c>
      <c r="I3050" s="37" t="s">
        <v>2823</v>
      </c>
      <c r="J3050" s="37">
        <v>4.8499999999999996</v>
      </c>
      <c r="K3050" s="37">
        <v>7.05</v>
      </c>
      <c r="L3050" s="37">
        <v>21.6</v>
      </c>
      <c r="P3050" s="37">
        <v>2400</v>
      </c>
      <c r="R3050" s="50" t="s">
        <v>1722</v>
      </c>
      <c r="S3050" s="50" t="s">
        <v>1843</v>
      </c>
      <c r="U3050" s="50" t="s">
        <v>3055</v>
      </c>
      <c r="AH3050" s="37" t="s">
        <v>3060</v>
      </c>
      <c r="AI3050" s="37" t="s">
        <v>577</v>
      </c>
      <c r="AJ3050" s="37" t="s">
        <v>2326</v>
      </c>
      <c r="AK3050" s="37" t="s">
        <v>229</v>
      </c>
      <c r="AO3050" s="37" t="s">
        <v>3056</v>
      </c>
      <c r="AQ3050" s="37" t="s">
        <v>2125</v>
      </c>
      <c r="AR3050" s="37" t="s">
        <v>2125</v>
      </c>
      <c r="AW3050" s="37" t="s">
        <v>160</v>
      </c>
      <c r="CE3050" s="559"/>
      <c r="CF3050" s="559"/>
      <c r="CG3050" s="556"/>
      <c r="CH3050" s="556"/>
      <c r="ER3050" s="37">
        <v>7.0000000000000001E-3</v>
      </c>
      <c r="ES3050" s="37">
        <v>3.4000000000000002E-2</v>
      </c>
      <c r="EV3050" s="37" t="s">
        <v>207</v>
      </c>
      <c r="EW3050" s="37">
        <v>0.1</v>
      </c>
      <c r="EX3050" s="37">
        <v>3.1</v>
      </c>
      <c r="FA3050" s="37" t="s">
        <v>3061</v>
      </c>
      <c r="FB3050" s="37">
        <v>0.01</v>
      </c>
      <c r="FC3050" s="37">
        <v>0.25</v>
      </c>
      <c r="FF3050" s="37" t="s">
        <v>3062</v>
      </c>
    </row>
    <row r="3051" spans="1:264" s="36" customFormat="1" x14ac:dyDescent="0.25">
      <c r="A3051" s="36">
        <v>147</v>
      </c>
      <c r="B3051" s="51" t="s">
        <v>4403</v>
      </c>
      <c r="C3051" s="36" t="s">
        <v>3052</v>
      </c>
      <c r="D3051" s="36" t="s">
        <v>3053</v>
      </c>
      <c r="E3051" s="36">
        <v>1989</v>
      </c>
      <c r="F3051" s="36">
        <v>1987</v>
      </c>
      <c r="G3051" s="36" t="s">
        <v>2766</v>
      </c>
      <c r="H3051" s="36" t="s">
        <v>3054</v>
      </c>
      <c r="I3051" s="36" t="s">
        <v>2823</v>
      </c>
      <c r="J3051" s="36">
        <v>4.8499999999999996</v>
      </c>
      <c r="K3051" s="36">
        <v>7.05</v>
      </c>
      <c r="L3051" s="36">
        <v>21.6</v>
      </c>
      <c r="P3051" s="36">
        <v>2400</v>
      </c>
      <c r="R3051" s="51" t="s">
        <v>1843</v>
      </c>
      <c r="S3051" s="51" t="s">
        <v>1843</v>
      </c>
      <c r="T3051" s="51"/>
      <c r="U3051" s="51" t="s">
        <v>3055</v>
      </c>
      <c r="V3051" s="51"/>
      <c r="W3051" s="51"/>
      <c r="X3051" s="51"/>
      <c r="Y3051" s="51"/>
      <c r="AA3051" s="331"/>
      <c r="AB3051" s="331"/>
      <c r="AH3051" s="36" t="s">
        <v>3057</v>
      </c>
      <c r="AI3051" s="36" t="s">
        <v>577</v>
      </c>
      <c r="AJ3051" s="36" t="s">
        <v>2326</v>
      </c>
      <c r="AK3051" s="36" t="s">
        <v>229</v>
      </c>
      <c r="AO3051" s="36" t="s">
        <v>3056</v>
      </c>
      <c r="AQ3051" s="36" t="s">
        <v>2125</v>
      </c>
      <c r="AR3051" s="36" t="s">
        <v>2125</v>
      </c>
      <c r="AW3051" s="36" t="s">
        <v>160</v>
      </c>
      <c r="BP3051" s="407"/>
      <c r="BQ3051" s="407"/>
      <c r="BU3051" s="407"/>
      <c r="BV3051" s="407"/>
      <c r="BZ3051" s="407"/>
      <c r="CA3051" s="407"/>
      <c r="CE3051" s="560"/>
      <c r="CF3051" s="560"/>
      <c r="CG3051" s="560"/>
      <c r="CH3051" s="560"/>
      <c r="ER3051" s="36">
        <v>0.01</v>
      </c>
      <c r="ES3051" s="36">
        <v>0.32500000000000001</v>
      </c>
      <c r="EV3051" s="36" t="s">
        <v>207</v>
      </c>
      <c r="EW3051" s="36">
        <v>0.1</v>
      </c>
      <c r="EX3051" s="36">
        <v>0.6</v>
      </c>
      <c r="FA3051" s="36" t="s">
        <v>3061</v>
      </c>
      <c r="FB3051" s="36">
        <v>0.01</v>
      </c>
      <c r="FC3051" s="36">
        <v>0.01</v>
      </c>
      <c r="FF3051" s="36" t="s">
        <v>3062</v>
      </c>
      <c r="JD3051" s="230"/>
    </row>
    <row r="3052" spans="1:264" s="36" customFormat="1" x14ac:dyDescent="0.25">
      <c r="A3052" s="36">
        <v>147</v>
      </c>
      <c r="B3052" s="51" t="s">
        <v>4403</v>
      </c>
      <c r="C3052" s="36" t="s">
        <v>3052</v>
      </c>
      <c r="D3052" s="36" t="s">
        <v>3053</v>
      </c>
      <c r="E3052" s="36">
        <v>1989</v>
      </c>
      <c r="F3052" s="36">
        <v>1987</v>
      </c>
      <c r="G3052" s="36" t="s">
        <v>2766</v>
      </c>
      <c r="H3052" s="36" t="s">
        <v>3054</v>
      </c>
      <c r="I3052" s="36" t="s">
        <v>2823</v>
      </c>
      <c r="J3052" s="36">
        <v>4.8499999999999996</v>
      </c>
      <c r="K3052" s="36">
        <v>7.05</v>
      </c>
      <c r="L3052" s="36">
        <v>21.6</v>
      </c>
      <c r="P3052" s="36">
        <v>2400</v>
      </c>
      <c r="R3052" s="51" t="s">
        <v>1843</v>
      </c>
      <c r="S3052" s="51" t="s">
        <v>1843</v>
      </c>
      <c r="T3052" s="51"/>
      <c r="U3052" s="51" t="s">
        <v>3055</v>
      </c>
      <c r="V3052" s="51"/>
      <c r="W3052" s="51"/>
      <c r="X3052" s="51"/>
      <c r="Y3052" s="51"/>
      <c r="AA3052" s="331"/>
      <c r="AB3052" s="331"/>
      <c r="AH3052" s="36" t="s">
        <v>3058</v>
      </c>
      <c r="AI3052" s="36" t="s">
        <v>577</v>
      </c>
      <c r="AJ3052" s="36" t="s">
        <v>2326</v>
      </c>
      <c r="AK3052" s="36" t="s">
        <v>229</v>
      </c>
      <c r="AO3052" s="36" t="s">
        <v>3056</v>
      </c>
      <c r="AQ3052" s="36" t="s">
        <v>2125</v>
      </c>
      <c r="AR3052" s="36" t="s">
        <v>2125</v>
      </c>
      <c r="AW3052" s="36" t="s">
        <v>160</v>
      </c>
      <c r="BP3052" s="407"/>
      <c r="BQ3052" s="407"/>
      <c r="BU3052" s="407"/>
      <c r="BV3052" s="407"/>
      <c r="BZ3052" s="407"/>
      <c r="CA3052" s="407"/>
      <c r="CE3052" s="560"/>
      <c r="CF3052" s="560"/>
      <c r="CG3052" s="560"/>
      <c r="CH3052" s="560"/>
      <c r="ER3052" s="36">
        <v>0.01</v>
      </c>
      <c r="ES3052" s="36">
        <v>1.7999999999999999E-2</v>
      </c>
      <c r="EV3052" s="36" t="s">
        <v>207</v>
      </c>
      <c r="EW3052" s="36">
        <v>0.1</v>
      </c>
      <c r="EX3052" s="36">
        <v>0.1</v>
      </c>
      <c r="FA3052" s="36" t="s">
        <v>3061</v>
      </c>
      <c r="FB3052" s="36">
        <v>0.01</v>
      </c>
      <c r="FC3052" s="36">
        <v>0.01</v>
      </c>
      <c r="FF3052" s="36" t="s">
        <v>3062</v>
      </c>
      <c r="JD3052" s="230"/>
    </row>
    <row r="3053" spans="1:264" s="36" customFormat="1" x14ac:dyDescent="0.25">
      <c r="A3053" s="36">
        <v>147</v>
      </c>
      <c r="B3053" s="51" t="s">
        <v>4403</v>
      </c>
      <c r="C3053" s="36" t="s">
        <v>3052</v>
      </c>
      <c r="D3053" s="36" t="s">
        <v>3053</v>
      </c>
      <c r="E3053" s="36">
        <v>1989</v>
      </c>
      <c r="F3053" s="36">
        <v>1987</v>
      </c>
      <c r="G3053" s="36" t="s">
        <v>2766</v>
      </c>
      <c r="H3053" s="36" t="s">
        <v>3054</v>
      </c>
      <c r="I3053" s="36" t="s">
        <v>2823</v>
      </c>
      <c r="J3053" s="36">
        <v>4.8499999999999996</v>
      </c>
      <c r="K3053" s="36">
        <v>7.05</v>
      </c>
      <c r="L3053" s="36">
        <v>21.6</v>
      </c>
      <c r="P3053" s="36">
        <v>2400</v>
      </c>
      <c r="R3053" s="51" t="s">
        <v>1843</v>
      </c>
      <c r="S3053" s="51" t="s">
        <v>1843</v>
      </c>
      <c r="T3053" s="51"/>
      <c r="U3053" s="51" t="s">
        <v>3055</v>
      </c>
      <c r="V3053" s="51"/>
      <c r="W3053" s="51"/>
      <c r="X3053" s="51"/>
      <c r="Y3053" s="51"/>
      <c r="AA3053" s="331"/>
      <c r="AB3053" s="331"/>
      <c r="AH3053" s="36" t="s">
        <v>3059</v>
      </c>
      <c r="AI3053" s="36" t="s">
        <v>577</v>
      </c>
      <c r="AJ3053" s="36" t="s">
        <v>2326</v>
      </c>
      <c r="AK3053" s="36" t="s">
        <v>229</v>
      </c>
      <c r="AO3053" s="36" t="s">
        <v>3056</v>
      </c>
      <c r="AQ3053" s="36" t="s">
        <v>2125</v>
      </c>
      <c r="AR3053" s="36" t="s">
        <v>2125</v>
      </c>
      <c r="AW3053" s="36" t="s">
        <v>160</v>
      </c>
      <c r="BP3053" s="407"/>
      <c r="BQ3053" s="407"/>
      <c r="BU3053" s="407"/>
      <c r="BV3053" s="407"/>
      <c r="BZ3053" s="407"/>
      <c r="CA3053" s="407"/>
      <c r="CE3053" s="560"/>
      <c r="CF3053" s="560"/>
      <c r="CG3053" s="560"/>
      <c r="CH3053" s="560"/>
      <c r="ER3053" s="36">
        <v>0.01</v>
      </c>
      <c r="ES3053" s="36">
        <v>0.04</v>
      </c>
      <c r="EV3053" s="36" t="s">
        <v>207</v>
      </c>
      <c r="EW3053" s="36">
        <v>0.1</v>
      </c>
      <c r="EX3053" s="36">
        <v>0.4</v>
      </c>
      <c r="FA3053" s="36" t="s">
        <v>3061</v>
      </c>
      <c r="FB3053" s="36">
        <v>0.01</v>
      </c>
      <c r="FC3053" s="36">
        <v>0.01</v>
      </c>
      <c r="FF3053" s="36" t="s">
        <v>3062</v>
      </c>
      <c r="JD3053" s="230"/>
    </row>
    <row r="3054" spans="1:264" s="36" customFormat="1" x14ac:dyDescent="0.25">
      <c r="A3054" s="36">
        <v>147</v>
      </c>
      <c r="B3054" s="51" t="s">
        <v>4403</v>
      </c>
      <c r="C3054" s="36" t="s">
        <v>3052</v>
      </c>
      <c r="D3054" s="36" t="s">
        <v>3053</v>
      </c>
      <c r="E3054" s="36">
        <v>1989</v>
      </c>
      <c r="F3054" s="36">
        <v>1987</v>
      </c>
      <c r="G3054" s="36" t="s">
        <v>2766</v>
      </c>
      <c r="H3054" s="36" t="s">
        <v>3054</v>
      </c>
      <c r="I3054" s="36" t="s">
        <v>2823</v>
      </c>
      <c r="J3054" s="36">
        <v>4.8499999999999996</v>
      </c>
      <c r="K3054" s="36">
        <v>7.05</v>
      </c>
      <c r="L3054" s="36">
        <v>21.6</v>
      </c>
      <c r="P3054" s="36">
        <v>2400</v>
      </c>
      <c r="R3054" s="51" t="s">
        <v>1843</v>
      </c>
      <c r="S3054" s="51" t="s">
        <v>1843</v>
      </c>
      <c r="T3054" s="51"/>
      <c r="U3054" s="51" t="s">
        <v>3055</v>
      </c>
      <c r="V3054" s="51"/>
      <c r="W3054" s="51"/>
      <c r="X3054" s="51"/>
      <c r="Y3054" s="51"/>
      <c r="AA3054" s="331"/>
      <c r="AB3054" s="331"/>
      <c r="AH3054" s="36" t="s">
        <v>3060</v>
      </c>
      <c r="AI3054" s="36" t="s">
        <v>577</v>
      </c>
      <c r="AJ3054" s="36" t="s">
        <v>2326</v>
      </c>
      <c r="AK3054" s="36" t="s">
        <v>229</v>
      </c>
      <c r="AO3054" s="36" t="s">
        <v>3056</v>
      </c>
      <c r="AQ3054" s="36" t="s">
        <v>2125</v>
      </c>
      <c r="AR3054" s="36" t="s">
        <v>2125</v>
      </c>
      <c r="AW3054" s="36" t="s">
        <v>160</v>
      </c>
      <c r="BP3054" s="407"/>
      <c r="BQ3054" s="407"/>
      <c r="BU3054" s="407"/>
      <c r="BV3054" s="407"/>
      <c r="BZ3054" s="407"/>
      <c r="CA3054" s="407"/>
      <c r="CE3054" s="560"/>
      <c r="CF3054" s="560"/>
      <c r="CG3054" s="560"/>
      <c r="CH3054" s="560"/>
      <c r="ER3054" s="36">
        <v>0.01</v>
      </c>
      <c r="ES3054" s="36">
        <v>4.8000000000000001E-2</v>
      </c>
      <c r="EV3054" s="36" t="s">
        <v>207</v>
      </c>
      <c r="EW3054" s="36">
        <v>0.1</v>
      </c>
      <c r="EX3054" s="36">
        <v>0.4</v>
      </c>
      <c r="FA3054" s="36" t="s">
        <v>3061</v>
      </c>
      <c r="FB3054" s="36">
        <v>0.01</v>
      </c>
      <c r="FC3054" s="36">
        <v>0.01</v>
      </c>
      <c r="FF3054" s="36" t="s">
        <v>3062</v>
      </c>
      <c r="JD3054" s="230"/>
    </row>
    <row r="3055" spans="1:264" s="24" customFormat="1" x14ac:dyDescent="0.25">
      <c r="A3055" s="24">
        <v>148</v>
      </c>
      <c r="B3055" s="42" t="s">
        <v>4404</v>
      </c>
      <c r="C3055" s="24" t="s">
        <v>3064</v>
      </c>
      <c r="D3055" s="24" t="s">
        <v>3063</v>
      </c>
      <c r="E3055" s="24">
        <v>1990</v>
      </c>
      <c r="F3055" s="24">
        <v>1984</v>
      </c>
      <c r="G3055" s="24" t="s">
        <v>2696</v>
      </c>
      <c r="H3055" s="24" t="s">
        <v>3065</v>
      </c>
      <c r="I3055" s="24" t="s">
        <v>2827</v>
      </c>
      <c r="J3055" s="24">
        <f t="shared" ref="J3055:J3086" si="424">-14</f>
        <v>-14</v>
      </c>
      <c r="K3055" s="24">
        <f t="shared" ref="K3055:K3086" si="425">33+49/60</f>
        <v>33.81666666666667</v>
      </c>
      <c r="L3055" s="24">
        <v>1118.5999999999999</v>
      </c>
      <c r="R3055" s="42" t="s">
        <v>1858</v>
      </c>
      <c r="S3055" s="42" t="s">
        <v>1982</v>
      </c>
      <c r="T3055" s="42"/>
      <c r="U3055" s="42" t="s">
        <v>3066</v>
      </c>
      <c r="V3055" s="42"/>
      <c r="W3055" s="42"/>
      <c r="X3055" s="42"/>
      <c r="Y3055" s="42"/>
      <c r="AA3055" s="321"/>
      <c r="AB3055" s="321"/>
      <c r="AH3055" s="24" t="s">
        <v>3067</v>
      </c>
      <c r="AI3055" s="24" t="s">
        <v>577</v>
      </c>
      <c r="AJ3055" s="24" t="s">
        <v>1645</v>
      </c>
      <c r="AK3055" s="24" t="s">
        <v>132</v>
      </c>
      <c r="AT3055" s="24" t="s">
        <v>3071</v>
      </c>
      <c r="AU3055" s="24" t="s">
        <v>161</v>
      </c>
      <c r="AV3055" s="24" t="s">
        <v>502</v>
      </c>
      <c r="AW3055" s="24" t="s">
        <v>160</v>
      </c>
      <c r="BK3055" s="24">
        <v>2100</v>
      </c>
      <c r="BL3055" s="24">
        <v>1200</v>
      </c>
      <c r="BM3055" s="24">
        <v>810</v>
      </c>
      <c r="BN3055" s="24">
        <v>810</v>
      </c>
      <c r="BP3055" s="395"/>
      <c r="BQ3055" s="395"/>
      <c r="BU3055" s="395"/>
      <c r="BV3055" s="395"/>
      <c r="BZ3055" s="395"/>
      <c r="CA3055" s="395"/>
      <c r="CE3055" s="548"/>
      <c r="CF3055" s="548"/>
      <c r="CG3055" s="548"/>
      <c r="CH3055" s="548"/>
      <c r="JB3055" s="24" t="s">
        <v>3072</v>
      </c>
      <c r="JD3055" s="249"/>
    </row>
    <row r="3056" spans="1:264" s="24" customFormat="1" x14ac:dyDescent="0.25">
      <c r="A3056" s="24">
        <v>148</v>
      </c>
      <c r="B3056" s="42" t="s">
        <v>4404</v>
      </c>
      <c r="C3056" s="24" t="s">
        <v>3064</v>
      </c>
      <c r="D3056" s="24" t="s">
        <v>3063</v>
      </c>
      <c r="E3056" s="24">
        <v>1990</v>
      </c>
      <c r="F3056" s="24">
        <v>1984</v>
      </c>
      <c r="G3056" s="24" t="s">
        <v>2696</v>
      </c>
      <c r="H3056" s="24" t="s">
        <v>3065</v>
      </c>
      <c r="I3056" s="24" t="s">
        <v>2827</v>
      </c>
      <c r="J3056" s="24">
        <f t="shared" si="424"/>
        <v>-14</v>
      </c>
      <c r="K3056" s="24">
        <f t="shared" si="425"/>
        <v>33.81666666666667</v>
      </c>
      <c r="L3056" s="24">
        <v>1118.5999999999999</v>
      </c>
      <c r="R3056" s="42" t="s">
        <v>1858</v>
      </c>
      <c r="S3056" s="42" t="s">
        <v>1982</v>
      </c>
      <c r="T3056" s="42"/>
      <c r="U3056" s="42" t="s">
        <v>3066</v>
      </c>
      <c r="V3056" s="42"/>
      <c r="W3056" s="42"/>
      <c r="X3056" s="42"/>
      <c r="Y3056" s="42"/>
      <c r="AA3056" s="321"/>
      <c r="AB3056" s="321"/>
      <c r="AH3056" s="24" t="s">
        <v>3068</v>
      </c>
      <c r="AI3056" s="24" t="s">
        <v>577</v>
      </c>
      <c r="AJ3056" s="24" t="s">
        <v>1645</v>
      </c>
      <c r="AK3056" s="24" t="s">
        <v>132</v>
      </c>
      <c r="AT3056" s="24" t="s">
        <v>3071</v>
      </c>
      <c r="AU3056" s="24" t="s">
        <v>161</v>
      </c>
      <c r="AV3056" s="24" t="s">
        <v>502</v>
      </c>
      <c r="AW3056" s="24" t="s">
        <v>160</v>
      </c>
      <c r="BK3056" s="24">
        <v>2100</v>
      </c>
      <c r="BL3056" s="24">
        <v>2200</v>
      </c>
      <c r="BM3056" s="24">
        <v>810</v>
      </c>
      <c r="BN3056" s="24">
        <v>810</v>
      </c>
      <c r="BP3056" s="395"/>
      <c r="BQ3056" s="395"/>
      <c r="BU3056" s="395"/>
      <c r="BV3056" s="395"/>
      <c r="BZ3056" s="395"/>
      <c r="CA3056" s="395"/>
      <c r="CE3056" s="548"/>
      <c r="CF3056" s="548"/>
      <c r="CG3056" s="548"/>
      <c r="CH3056" s="548"/>
      <c r="JB3056" s="24" t="s">
        <v>3072</v>
      </c>
      <c r="JD3056" s="249"/>
    </row>
    <row r="3057" spans="1:264" s="24" customFormat="1" x14ac:dyDescent="0.25">
      <c r="A3057" s="24">
        <v>148</v>
      </c>
      <c r="B3057" s="42" t="s">
        <v>4405</v>
      </c>
      <c r="C3057" s="24" t="s">
        <v>3064</v>
      </c>
      <c r="D3057" s="24" t="s">
        <v>3063</v>
      </c>
      <c r="E3057" s="24">
        <v>1990</v>
      </c>
      <c r="F3057" s="24">
        <v>1984</v>
      </c>
      <c r="G3057" s="24" t="s">
        <v>2696</v>
      </c>
      <c r="H3057" s="24" t="s">
        <v>3065</v>
      </c>
      <c r="I3057" s="24" t="s">
        <v>2827</v>
      </c>
      <c r="J3057" s="24">
        <f t="shared" si="424"/>
        <v>-14</v>
      </c>
      <c r="K3057" s="24">
        <f t="shared" si="425"/>
        <v>33.81666666666667</v>
      </c>
      <c r="L3057" s="24">
        <v>1118.5999999999999</v>
      </c>
      <c r="R3057" s="42" t="s">
        <v>1858</v>
      </c>
      <c r="S3057" s="42" t="s">
        <v>1982</v>
      </c>
      <c r="T3057" s="42"/>
      <c r="U3057" s="42" t="s">
        <v>3066</v>
      </c>
      <c r="V3057" s="42"/>
      <c r="W3057" s="42"/>
      <c r="X3057" s="42"/>
      <c r="Y3057" s="42"/>
      <c r="AA3057" s="321"/>
      <c r="AB3057" s="321"/>
      <c r="AH3057" s="24" t="s">
        <v>3069</v>
      </c>
      <c r="AI3057" s="24" t="s">
        <v>1582</v>
      </c>
      <c r="AJ3057" s="24" t="s">
        <v>1645</v>
      </c>
      <c r="AK3057" s="24" t="s">
        <v>132</v>
      </c>
      <c r="AT3057" s="24" t="s">
        <v>3071</v>
      </c>
      <c r="AU3057" s="24" t="s">
        <v>161</v>
      </c>
      <c r="AV3057" s="24" t="s">
        <v>502</v>
      </c>
      <c r="AW3057" s="24" t="s">
        <v>160</v>
      </c>
      <c r="BK3057" s="24">
        <v>2100</v>
      </c>
      <c r="BL3057" s="24">
        <v>200</v>
      </c>
      <c r="BM3057" s="24">
        <v>810</v>
      </c>
      <c r="BN3057" s="24">
        <v>810</v>
      </c>
      <c r="BP3057" s="395"/>
      <c r="BQ3057" s="395"/>
      <c r="BU3057" s="395"/>
      <c r="BV3057" s="395"/>
      <c r="BZ3057" s="395"/>
      <c r="CA3057" s="395"/>
      <c r="CE3057" s="548"/>
      <c r="CF3057" s="548"/>
      <c r="CG3057" s="548"/>
      <c r="CH3057" s="548"/>
      <c r="JB3057" s="24" t="s">
        <v>3072</v>
      </c>
      <c r="JD3057" s="249"/>
    </row>
    <row r="3058" spans="1:264" s="24" customFormat="1" x14ac:dyDescent="0.25">
      <c r="A3058" s="24">
        <v>148</v>
      </c>
      <c r="B3058" s="42" t="s">
        <v>4405</v>
      </c>
      <c r="C3058" s="24" t="s">
        <v>3064</v>
      </c>
      <c r="D3058" s="24" t="s">
        <v>3063</v>
      </c>
      <c r="E3058" s="24">
        <v>1990</v>
      </c>
      <c r="F3058" s="24">
        <v>1984</v>
      </c>
      <c r="G3058" s="24" t="s">
        <v>2696</v>
      </c>
      <c r="H3058" s="24" t="s">
        <v>3065</v>
      </c>
      <c r="I3058" s="24" t="s">
        <v>2827</v>
      </c>
      <c r="J3058" s="24">
        <f t="shared" si="424"/>
        <v>-14</v>
      </c>
      <c r="K3058" s="24">
        <f t="shared" si="425"/>
        <v>33.81666666666667</v>
      </c>
      <c r="L3058" s="24">
        <v>1118.5999999999999</v>
      </c>
      <c r="R3058" s="42" t="s">
        <v>1858</v>
      </c>
      <c r="S3058" s="42" t="s">
        <v>1982</v>
      </c>
      <c r="T3058" s="42"/>
      <c r="U3058" s="42" t="s">
        <v>3066</v>
      </c>
      <c r="V3058" s="42"/>
      <c r="W3058" s="42"/>
      <c r="X3058" s="42"/>
      <c r="Y3058" s="42"/>
      <c r="AA3058" s="321"/>
      <c r="AB3058" s="321"/>
      <c r="AH3058" s="24" t="s">
        <v>3070</v>
      </c>
      <c r="AI3058" s="24" t="s">
        <v>1582</v>
      </c>
      <c r="AJ3058" s="24" t="s">
        <v>1645</v>
      </c>
      <c r="AK3058" s="24" t="s">
        <v>132</v>
      </c>
      <c r="AT3058" s="24" t="s">
        <v>3071</v>
      </c>
      <c r="AU3058" s="24" t="s">
        <v>161</v>
      </c>
      <c r="AV3058" s="24" t="s">
        <v>502</v>
      </c>
      <c r="AW3058" s="24" t="s">
        <v>160</v>
      </c>
      <c r="BK3058" s="24">
        <v>2100</v>
      </c>
      <c r="BL3058" s="24">
        <v>1100</v>
      </c>
      <c r="BM3058" s="24">
        <v>810</v>
      </c>
      <c r="BN3058" s="24">
        <v>810</v>
      </c>
      <c r="BP3058" s="395"/>
      <c r="BQ3058" s="395"/>
      <c r="BU3058" s="395"/>
      <c r="BV3058" s="395"/>
      <c r="BZ3058" s="395"/>
      <c r="CA3058" s="395"/>
      <c r="CE3058" s="548"/>
      <c r="CF3058" s="548"/>
      <c r="CG3058" s="548"/>
      <c r="CH3058" s="548"/>
      <c r="JB3058" s="24" t="s">
        <v>3072</v>
      </c>
      <c r="JD3058" s="249"/>
    </row>
    <row r="3059" spans="1:264" s="32" customFormat="1" x14ac:dyDescent="0.25">
      <c r="A3059" s="32">
        <v>148</v>
      </c>
      <c r="B3059" s="44" t="s">
        <v>4404</v>
      </c>
      <c r="C3059" s="32" t="s">
        <v>3064</v>
      </c>
      <c r="D3059" s="32" t="s">
        <v>3063</v>
      </c>
      <c r="E3059" s="32">
        <v>1990</v>
      </c>
      <c r="F3059" s="32">
        <v>1985</v>
      </c>
      <c r="G3059" s="32" t="s">
        <v>2696</v>
      </c>
      <c r="H3059" s="32" t="s">
        <v>3065</v>
      </c>
      <c r="I3059" s="32" t="s">
        <v>2827</v>
      </c>
      <c r="J3059" s="32">
        <f t="shared" si="424"/>
        <v>-14</v>
      </c>
      <c r="K3059" s="32">
        <f t="shared" si="425"/>
        <v>33.81666666666667</v>
      </c>
      <c r="L3059" s="32">
        <v>1118.5999999999999</v>
      </c>
      <c r="R3059" s="44" t="s">
        <v>1722</v>
      </c>
      <c r="S3059" s="44" t="s">
        <v>1982</v>
      </c>
      <c r="T3059" s="44"/>
      <c r="U3059" s="44" t="s">
        <v>3066</v>
      </c>
      <c r="V3059" s="44"/>
      <c r="W3059" s="44"/>
      <c r="X3059" s="44"/>
      <c r="Y3059" s="44"/>
      <c r="AA3059" s="323"/>
      <c r="AB3059" s="323"/>
      <c r="AH3059" s="32" t="s">
        <v>3067</v>
      </c>
      <c r="AI3059" s="32" t="s">
        <v>577</v>
      </c>
      <c r="AJ3059" s="32" t="s">
        <v>1645</v>
      </c>
      <c r="AK3059" s="32" t="s">
        <v>132</v>
      </c>
      <c r="AT3059" s="32" t="s">
        <v>3071</v>
      </c>
      <c r="AU3059" s="32" t="s">
        <v>161</v>
      </c>
      <c r="AV3059" s="32" t="s">
        <v>502</v>
      </c>
      <c r="AW3059" s="32" t="s">
        <v>160</v>
      </c>
      <c r="BK3059" s="32">
        <v>2000</v>
      </c>
      <c r="BL3059" s="32">
        <v>3600</v>
      </c>
      <c r="BM3059" s="32">
        <v>1100</v>
      </c>
      <c r="BN3059" s="32">
        <v>1100</v>
      </c>
      <c r="BP3059" s="397"/>
      <c r="BQ3059" s="397"/>
      <c r="BU3059" s="397"/>
      <c r="BV3059" s="397"/>
      <c r="BZ3059" s="397"/>
      <c r="CA3059" s="397"/>
      <c r="CE3059" s="550"/>
      <c r="CF3059" s="550"/>
      <c r="CG3059" s="550"/>
      <c r="CH3059" s="550"/>
      <c r="JB3059" s="32" t="s">
        <v>3072</v>
      </c>
      <c r="JD3059" s="243"/>
    </row>
    <row r="3060" spans="1:264" s="32" customFormat="1" x14ac:dyDescent="0.25">
      <c r="A3060" s="32">
        <v>148</v>
      </c>
      <c r="B3060" s="44" t="s">
        <v>4404</v>
      </c>
      <c r="C3060" s="32" t="s">
        <v>3064</v>
      </c>
      <c r="D3060" s="32" t="s">
        <v>3063</v>
      </c>
      <c r="E3060" s="32">
        <v>1990</v>
      </c>
      <c r="F3060" s="32">
        <v>1985</v>
      </c>
      <c r="G3060" s="32" t="s">
        <v>2696</v>
      </c>
      <c r="H3060" s="32" t="s">
        <v>3065</v>
      </c>
      <c r="I3060" s="32" t="s">
        <v>2827</v>
      </c>
      <c r="J3060" s="32">
        <f t="shared" si="424"/>
        <v>-14</v>
      </c>
      <c r="K3060" s="32">
        <f t="shared" si="425"/>
        <v>33.81666666666667</v>
      </c>
      <c r="L3060" s="32">
        <v>1118.5999999999999</v>
      </c>
      <c r="R3060" s="44" t="s">
        <v>1722</v>
      </c>
      <c r="S3060" s="44" t="s">
        <v>1982</v>
      </c>
      <c r="T3060" s="44"/>
      <c r="U3060" s="44" t="s">
        <v>3066</v>
      </c>
      <c r="V3060" s="44"/>
      <c r="W3060" s="44"/>
      <c r="X3060" s="44"/>
      <c r="Y3060" s="44"/>
      <c r="AA3060" s="323"/>
      <c r="AB3060" s="323"/>
      <c r="AH3060" s="32" t="s">
        <v>3068</v>
      </c>
      <c r="AI3060" s="32" t="s">
        <v>577</v>
      </c>
      <c r="AJ3060" s="32" t="s">
        <v>1645</v>
      </c>
      <c r="AK3060" s="32" t="s">
        <v>132</v>
      </c>
      <c r="AT3060" s="32" t="s">
        <v>3071</v>
      </c>
      <c r="AU3060" s="32" t="s">
        <v>161</v>
      </c>
      <c r="AV3060" s="32" t="s">
        <v>502</v>
      </c>
      <c r="AW3060" s="32" t="s">
        <v>160</v>
      </c>
      <c r="BK3060" s="32">
        <v>2000</v>
      </c>
      <c r="BL3060" s="32">
        <v>3000</v>
      </c>
      <c r="BM3060" s="32">
        <v>1100</v>
      </c>
      <c r="BN3060" s="32">
        <v>1100</v>
      </c>
      <c r="BP3060" s="397"/>
      <c r="BQ3060" s="397"/>
      <c r="BU3060" s="397"/>
      <c r="BV3060" s="397"/>
      <c r="BZ3060" s="397"/>
      <c r="CA3060" s="397"/>
      <c r="CE3060" s="550"/>
      <c r="CF3060" s="550"/>
      <c r="CG3060" s="550"/>
      <c r="CH3060" s="550"/>
      <c r="JB3060" s="32" t="s">
        <v>3072</v>
      </c>
      <c r="JD3060" s="243"/>
    </row>
    <row r="3061" spans="1:264" s="32" customFormat="1" x14ac:dyDescent="0.25">
      <c r="A3061" s="32">
        <v>148</v>
      </c>
      <c r="B3061" s="44" t="s">
        <v>4405</v>
      </c>
      <c r="C3061" s="32" t="s">
        <v>3064</v>
      </c>
      <c r="D3061" s="32" t="s">
        <v>3063</v>
      </c>
      <c r="E3061" s="32">
        <v>1990</v>
      </c>
      <c r="F3061" s="32">
        <v>1985</v>
      </c>
      <c r="G3061" s="32" t="s">
        <v>2696</v>
      </c>
      <c r="H3061" s="32" t="s">
        <v>3065</v>
      </c>
      <c r="I3061" s="32" t="s">
        <v>2827</v>
      </c>
      <c r="J3061" s="32">
        <f t="shared" si="424"/>
        <v>-14</v>
      </c>
      <c r="K3061" s="32">
        <f t="shared" si="425"/>
        <v>33.81666666666667</v>
      </c>
      <c r="L3061" s="32">
        <v>1118.5999999999999</v>
      </c>
      <c r="R3061" s="44" t="s">
        <v>1722</v>
      </c>
      <c r="S3061" s="44" t="s">
        <v>1982</v>
      </c>
      <c r="T3061" s="44"/>
      <c r="U3061" s="44" t="s">
        <v>3066</v>
      </c>
      <c r="V3061" s="44"/>
      <c r="W3061" s="44"/>
      <c r="X3061" s="44"/>
      <c r="Y3061" s="44"/>
      <c r="AA3061" s="323"/>
      <c r="AB3061" s="323"/>
      <c r="AH3061" s="32" t="s">
        <v>3069</v>
      </c>
      <c r="AI3061" s="32" t="s">
        <v>1582</v>
      </c>
      <c r="AJ3061" s="32" t="s">
        <v>1645</v>
      </c>
      <c r="AK3061" s="32" t="s">
        <v>132</v>
      </c>
      <c r="AT3061" s="32" t="s">
        <v>3071</v>
      </c>
      <c r="AU3061" s="32" t="s">
        <v>161</v>
      </c>
      <c r="AV3061" s="32" t="s">
        <v>502</v>
      </c>
      <c r="AW3061" s="32" t="s">
        <v>160</v>
      </c>
      <c r="BK3061" s="32">
        <v>2000</v>
      </c>
      <c r="BL3061" s="32">
        <v>2900</v>
      </c>
      <c r="BM3061" s="32">
        <v>1100</v>
      </c>
      <c r="BN3061" s="32">
        <v>1100</v>
      </c>
      <c r="BP3061" s="397"/>
      <c r="BQ3061" s="397"/>
      <c r="BU3061" s="397"/>
      <c r="BV3061" s="397"/>
      <c r="BZ3061" s="397"/>
      <c r="CA3061" s="397"/>
      <c r="CE3061" s="550"/>
      <c r="CF3061" s="550"/>
      <c r="CG3061" s="550"/>
      <c r="CH3061" s="550"/>
      <c r="JB3061" s="32" t="s">
        <v>3072</v>
      </c>
      <c r="JD3061" s="243"/>
    </row>
    <row r="3062" spans="1:264" s="32" customFormat="1" x14ac:dyDescent="0.25">
      <c r="A3062" s="32">
        <v>148</v>
      </c>
      <c r="B3062" s="44" t="s">
        <v>4405</v>
      </c>
      <c r="C3062" s="32" t="s">
        <v>3064</v>
      </c>
      <c r="D3062" s="32" t="s">
        <v>3063</v>
      </c>
      <c r="E3062" s="32">
        <v>1990</v>
      </c>
      <c r="F3062" s="32">
        <v>1985</v>
      </c>
      <c r="G3062" s="32" t="s">
        <v>2696</v>
      </c>
      <c r="H3062" s="32" t="s">
        <v>3065</v>
      </c>
      <c r="I3062" s="32" t="s">
        <v>2827</v>
      </c>
      <c r="J3062" s="32">
        <f t="shared" si="424"/>
        <v>-14</v>
      </c>
      <c r="K3062" s="32">
        <f t="shared" si="425"/>
        <v>33.81666666666667</v>
      </c>
      <c r="L3062" s="32">
        <v>1118.5999999999999</v>
      </c>
      <c r="R3062" s="44" t="s">
        <v>1722</v>
      </c>
      <c r="S3062" s="44" t="s">
        <v>1982</v>
      </c>
      <c r="T3062" s="44"/>
      <c r="U3062" s="44" t="s">
        <v>3066</v>
      </c>
      <c r="V3062" s="44"/>
      <c r="W3062" s="44"/>
      <c r="X3062" s="44"/>
      <c r="Y3062" s="44"/>
      <c r="AA3062" s="323"/>
      <c r="AB3062" s="323"/>
      <c r="AH3062" s="32" t="s">
        <v>3070</v>
      </c>
      <c r="AI3062" s="32" t="s">
        <v>1582</v>
      </c>
      <c r="AJ3062" s="32" t="s">
        <v>1645</v>
      </c>
      <c r="AK3062" s="32" t="s">
        <v>132</v>
      </c>
      <c r="AT3062" s="32" t="s">
        <v>3071</v>
      </c>
      <c r="AU3062" s="32" t="s">
        <v>161</v>
      </c>
      <c r="AV3062" s="32" t="s">
        <v>502</v>
      </c>
      <c r="AW3062" s="32" t="s">
        <v>160</v>
      </c>
      <c r="BK3062" s="32">
        <v>2000</v>
      </c>
      <c r="BL3062" s="32">
        <v>2400</v>
      </c>
      <c r="BM3062" s="32">
        <v>1100</v>
      </c>
      <c r="BN3062" s="32">
        <v>1100</v>
      </c>
      <c r="BP3062" s="397"/>
      <c r="BQ3062" s="397"/>
      <c r="BU3062" s="397"/>
      <c r="BV3062" s="397"/>
      <c r="BZ3062" s="397"/>
      <c r="CA3062" s="397"/>
      <c r="CE3062" s="550"/>
      <c r="CF3062" s="550"/>
      <c r="CG3062" s="550"/>
      <c r="CH3062" s="550"/>
      <c r="JB3062" s="32" t="s">
        <v>3072</v>
      </c>
      <c r="JD3062" s="243"/>
    </row>
    <row r="3063" spans="1:264" s="24" customFormat="1" x14ac:dyDescent="0.25">
      <c r="A3063" s="24">
        <v>148</v>
      </c>
      <c r="B3063" s="42" t="s">
        <v>4404</v>
      </c>
      <c r="C3063" s="24" t="s">
        <v>3064</v>
      </c>
      <c r="D3063" s="24" t="s">
        <v>3063</v>
      </c>
      <c r="E3063" s="24">
        <v>1990</v>
      </c>
      <c r="F3063" s="24">
        <v>1986</v>
      </c>
      <c r="G3063" s="24" t="s">
        <v>2696</v>
      </c>
      <c r="H3063" s="24" t="s">
        <v>3065</v>
      </c>
      <c r="I3063" s="24" t="s">
        <v>2827</v>
      </c>
      <c r="J3063" s="24">
        <f t="shared" si="424"/>
        <v>-14</v>
      </c>
      <c r="K3063" s="24">
        <f t="shared" si="425"/>
        <v>33.81666666666667</v>
      </c>
      <c r="L3063" s="24">
        <v>1118.5999999999999</v>
      </c>
      <c r="R3063" s="42" t="s">
        <v>1843</v>
      </c>
      <c r="S3063" s="42" t="s">
        <v>1982</v>
      </c>
      <c r="T3063" s="42"/>
      <c r="U3063" s="42" t="s">
        <v>3066</v>
      </c>
      <c r="V3063" s="42"/>
      <c r="W3063" s="42"/>
      <c r="X3063" s="42"/>
      <c r="Y3063" s="42"/>
      <c r="AA3063" s="321"/>
      <c r="AB3063" s="321"/>
      <c r="AH3063" s="24" t="s">
        <v>3067</v>
      </c>
      <c r="AI3063" s="24" t="s">
        <v>577</v>
      </c>
      <c r="AJ3063" s="24" t="s">
        <v>1645</v>
      </c>
      <c r="AK3063" s="24" t="s">
        <v>132</v>
      </c>
      <c r="AT3063" s="24" t="s">
        <v>3071</v>
      </c>
      <c r="AU3063" s="24" t="s">
        <v>161</v>
      </c>
      <c r="AV3063" s="24" t="s">
        <v>502</v>
      </c>
      <c r="AW3063" s="24" t="s">
        <v>160</v>
      </c>
      <c r="BK3063" s="24">
        <v>2500</v>
      </c>
      <c r="BL3063" s="24">
        <v>4500</v>
      </c>
      <c r="BM3063" s="24">
        <v>1060</v>
      </c>
      <c r="BN3063" s="24">
        <v>1060</v>
      </c>
      <c r="BP3063" s="395"/>
      <c r="BQ3063" s="395"/>
      <c r="BU3063" s="395"/>
      <c r="BV3063" s="395"/>
      <c r="BZ3063" s="395"/>
      <c r="CA3063" s="395"/>
      <c r="CE3063" s="548"/>
      <c r="CF3063" s="548"/>
      <c r="CG3063" s="548"/>
      <c r="CH3063" s="548"/>
      <c r="JB3063" s="24" t="s">
        <v>3072</v>
      </c>
      <c r="JD3063" s="249"/>
    </row>
    <row r="3064" spans="1:264" s="24" customFormat="1" x14ac:dyDescent="0.25">
      <c r="A3064" s="24">
        <v>148</v>
      </c>
      <c r="B3064" s="42" t="s">
        <v>4404</v>
      </c>
      <c r="C3064" s="24" t="s">
        <v>3064</v>
      </c>
      <c r="D3064" s="24" t="s">
        <v>3063</v>
      </c>
      <c r="E3064" s="24">
        <v>1990</v>
      </c>
      <c r="F3064" s="24">
        <v>1986</v>
      </c>
      <c r="G3064" s="24" t="s">
        <v>2696</v>
      </c>
      <c r="H3064" s="24" t="s">
        <v>3065</v>
      </c>
      <c r="I3064" s="24" t="s">
        <v>2827</v>
      </c>
      <c r="J3064" s="24">
        <f t="shared" si="424"/>
        <v>-14</v>
      </c>
      <c r="K3064" s="24">
        <f t="shared" si="425"/>
        <v>33.81666666666667</v>
      </c>
      <c r="L3064" s="24">
        <v>1118.5999999999999</v>
      </c>
      <c r="R3064" s="42" t="s">
        <v>1843</v>
      </c>
      <c r="S3064" s="42" t="s">
        <v>1982</v>
      </c>
      <c r="T3064" s="42"/>
      <c r="U3064" s="42" t="s">
        <v>3066</v>
      </c>
      <c r="V3064" s="42"/>
      <c r="W3064" s="42"/>
      <c r="X3064" s="42"/>
      <c r="Y3064" s="42"/>
      <c r="AA3064" s="321"/>
      <c r="AB3064" s="321"/>
      <c r="AH3064" s="24" t="s">
        <v>3068</v>
      </c>
      <c r="AI3064" s="24" t="s">
        <v>577</v>
      </c>
      <c r="AJ3064" s="24" t="s">
        <v>1645</v>
      </c>
      <c r="AK3064" s="24" t="s">
        <v>132</v>
      </c>
      <c r="AT3064" s="24" t="s">
        <v>3071</v>
      </c>
      <c r="AU3064" s="24" t="s">
        <v>161</v>
      </c>
      <c r="AV3064" s="24" t="s">
        <v>502</v>
      </c>
      <c r="AW3064" s="24" t="s">
        <v>160</v>
      </c>
      <c r="BK3064" s="24">
        <v>2500</v>
      </c>
      <c r="BL3064" s="24">
        <v>3600</v>
      </c>
      <c r="BM3064" s="24">
        <v>1060</v>
      </c>
      <c r="BN3064" s="24">
        <v>1060</v>
      </c>
      <c r="BP3064" s="395"/>
      <c r="BQ3064" s="395"/>
      <c r="BU3064" s="395"/>
      <c r="BV3064" s="395"/>
      <c r="BZ3064" s="395"/>
      <c r="CA3064" s="395"/>
      <c r="CE3064" s="548"/>
      <c r="CF3064" s="548"/>
      <c r="CG3064" s="548"/>
      <c r="CH3064" s="548"/>
      <c r="JB3064" s="24" t="s">
        <v>3072</v>
      </c>
      <c r="JD3064" s="249"/>
    </row>
    <row r="3065" spans="1:264" s="24" customFormat="1" x14ac:dyDescent="0.25">
      <c r="A3065" s="24">
        <v>148</v>
      </c>
      <c r="B3065" s="42" t="s">
        <v>4405</v>
      </c>
      <c r="C3065" s="24" t="s">
        <v>3064</v>
      </c>
      <c r="D3065" s="24" t="s">
        <v>3063</v>
      </c>
      <c r="E3065" s="24">
        <v>1990</v>
      </c>
      <c r="F3065" s="24">
        <v>1986</v>
      </c>
      <c r="G3065" s="24" t="s">
        <v>2696</v>
      </c>
      <c r="H3065" s="24" t="s">
        <v>3065</v>
      </c>
      <c r="I3065" s="24" t="s">
        <v>2827</v>
      </c>
      <c r="J3065" s="24">
        <f t="shared" si="424"/>
        <v>-14</v>
      </c>
      <c r="K3065" s="24">
        <f t="shared" si="425"/>
        <v>33.81666666666667</v>
      </c>
      <c r="L3065" s="24">
        <v>1118.5999999999999</v>
      </c>
      <c r="R3065" s="42" t="s">
        <v>1843</v>
      </c>
      <c r="S3065" s="42" t="s">
        <v>1982</v>
      </c>
      <c r="T3065" s="42"/>
      <c r="U3065" s="42" t="s">
        <v>3066</v>
      </c>
      <c r="V3065" s="42"/>
      <c r="W3065" s="42"/>
      <c r="X3065" s="42"/>
      <c r="Y3065" s="42"/>
      <c r="AA3065" s="321"/>
      <c r="AB3065" s="321"/>
      <c r="AH3065" s="24" t="s">
        <v>3069</v>
      </c>
      <c r="AI3065" s="24" t="s">
        <v>1582</v>
      </c>
      <c r="AJ3065" s="24" t="s">
        <v>1645</v>
      </c>
      <c r="AK3065" s="24" t="s">
        <v>132</v>
      </c>
      <c r="AT3065" s="24" t="s">
        <v>3071</v>
      </c>
      <c r="AU3065" s="24" t="s">
        <v>161</v>
      </c>
      <c r="AV3065" s="24" t="s">
        <v>502</v>
      </c>
      <c r="AW3065" s="24" t="s">
        <v>160</v>
      </c>
      <c r="BK3065" s="24">
        <v>2500</v>
      </c>
      <c r="BL3065" s="24">
        <v>3900</v>
      </c>
      <c r="BM3065" s="24">
        <v>1060</v>
      </c>
      <c r="BN3065" s="24">
        <v>1060</v>
      </c>
      <c r="BP3065" s="395"/>
      <c r="BQ3065" s="395"/>
      <c r="BU3065" s="395"/>
      <c r="BV3065" s="395"/>
      <c r="BZ3065" s="395"/>
      <c r="CA3065" s="395"/>
      <c r="CE3065" s="548"/>
      <c r="CF3065" s="548"/>
      <c r="CG3065" s="548"/>
      <c r="CH3065" s="548"/>
      <c r="JB3065" s="24" t="s">
        <v>3072</v>
      </c>
      <c r="JD3065" s="249"/>
    </row>
    <row r="3066" spans="1:264" s="24" customFormat="1" x14ac:dyDescent="0.25">
      <c r="A3066" s="24">
        <v>148</v>
      </c>
      <c r="B3066" s="42" t="s">
        <v>4405</v>
      </c>
      <c r="C3066" s="24" t="s">
        <v>3064</v>
      </c>
      <c r="D3066" s="24" t="s">
        <v>3063</v>
      </c>
      <c r="E3066" s="24">
        <v>1990</v>
      </c>
      <c r="F3066" s="24">
        <v>1986</v>
      </c>
      <c r="G3066" s="24" t="s">
        <v>2696</v>
      </c>
      <c r="H3066" s="24" t="s">
        <v>3065</v>
      </c>
      <c r="I3066" s="24" t="s">
        <v>2827</v>
      </c>
      <c r="J3066" s="24">
        <f t="shared" si="424"/>
        <v>-14</v>
      </c>
      <c r="K3066" s="24">
        <f t="shared" si="425"/>
        <v>33.81666666666667</v>
      </c>
      <c r="L3066" s="24">
        <v>1118.5999999999999</v>
      </c>
      <c r="R3066" s="42" t="s">
        <v>1843</v>
      </c>
      <c r="S3066" s="42" t="s">
        <v>1982</v>
      </c>
      <c r="T3066" s="42"/>
      <c r="U3066" s="42" t="s">
        <v>3066</v>
      </c>
      <c r="V3066" s="42"/>
      <c r="W3066" s="42"/>
      <c r="X3066" s="42"/>
      <c r="Y3066" s="42"/>
      <c r="AA3066" s="321"/>
      <c r="AB3066" s="321"/>
      <c r="AH3066" s="24" t="s">
        <v>3070</v>
      </c>
      <c r="AI3066" s="24" t="s">
        <v>1582</v>
      </c>
      <c r="AJ3066" s="24" t="s">
        <v>1645</v>
      </c>
      <c r="AK3066" s="24" t="s">
        <v>132</v>
      </c>
      <c r="AT3066" s="24" t="s">
        <v>3071</v>
      </c>
      <c r="AU3066" s="24" t="s">
        <v>161</v>
      </c>
      <c r="AV3066" s="24" t="s">
        <v>502</v>
      </c>
      <c r="AW3066" s="24" t="s">
        <v>160</v>
      </c>
      <c r="BK3066" s="24">
        <v>2500</v>
      </c>
      <c r="BL3066" s="24">
        <v>3200</v>
      </c>
      <c r="BM3066" s="24">
        <v>1060</v>
      </c>
      <c r="BN3066" s="24">
        <v>1060</v>
      </c>
      <c r="BP3066" s="395"/>
      <c r="BQ3066" s="395"/>
      <c r="BU3066" s="395"/>
      <c r="BV3066" s="395"/>
      <c r="BZ3066" s="395"/>
      <c r="CA3066" s="395"/>
      <c r="CE3066" s="548"/>
      <c r="CF3066" s="548"/>
      <c r="CG3066" s="548"/>
      <c r="CH3066" s="548"/>
      <c r="JB3066" s="24" t="s">
        <v>3072</v>
      </c>
      <c r="JD3066" s="249"/>
    </row>
    <row r="3067" spans="1:264" s="32" customFormat="1" x14ac:dyDescent="0.25">
      <c r="A3067" s="32">
        <v>148</v>
      </c>
      <c r="B3067" s="44" t="s">
        <v>4404</v>
      </c>
      <c r="C3067" s="32" t="s">
        <v>3064</v>
      </c>
      <c r="D3067" s="32" t="s">
        <v>3063</v>
      </c>
      <c r="E3067" s="32">
        <v>1990</v>
      </c>
      <c r="F3067" s="32">
        <v>1987</v>
      </c>
      <c r="G3067" s="32" t="s">
        <v>2696</v>
      </c>
      <c r="H3067" s="32" t="s">
        <v>3065</v>
      </c>
      <c r="I3067" s="32" t="s">
        <v>2827</v>
      </c>
      <c r="J3067" s="32">
        <f t="shared" si="424"/>
        <v>-14</v>
      </c>
      <c r="K3067" s="32">
        <f t="shared" si="425"/>
        <v>33.81666666666667</v>
      </c>
      <c r="L3067" s="32">
        <v>1118.5999999999999</v>
      </c>
      <c r="R3067" s="44" t="s">
        <v>1734</v>
      </c>
      <c r="S3067" s="44" t="s">
        <v>1982</v>
      </c>
      <c r="T3067" s="44"/>
      <c r="U3067" s="44" t="s">
        <v>3066</v>
      </c>
      <c r="V3067" s="44"/>
      <c r="W3067" s="44"/>
      <c r="X3067" s="44"/>
      <c r="Y3067" s="44"/>
      <c r="AA3067" s="323"/>
      <c r="AB3067" s="323"/>
      <c r="AH3067" s="32" t="s">
        <v>3067</v>
      </c>
      <c r="AI3067" s="32" t="s">
        <v>577</v>
      </c>
      <c r="AJ3067" s="32" t="s">
        <v>1645</v>
      </c>
      <c r="AK3067" s="32" t="s">
        <v>132</v>
      </c>
      <c r="AT3067" s="32" t="s">
        <v>3071</v>
      </c>
      <c r="AU3067" s="32" t="s">
        <v>161</v>
      </c>
      <c r="AV3067" s="32" t="s">
        <v>502</v>
      </c>
      <c r="AW3067" s="32" t="s">
        <v>160</v>
      </c>
      <c r="BK3067" s="32">
        <v>3600</v>
      </c>
      <c r="BL3067" s="32">
        <v>6100</v>
      </c>
      <c r="BM3067" s="32">
        <v>1340</v>
      </c>
      <c r="BN3067" s="32">
        <v>1340</v>
      </c>
      <c r="BP3067" s="397"/>
      <c r="BQ3067" s="397"/>
      <c r="BU3067" s="397"/>
      <c r="BV3067" s="397"/>
      <c r="BZ3067" s="397"/>
      <c r="CA3067" s="397"/>
      <c r="CE3067" s="550"/>
      <c r="CF3067" s="550"/>
      <c r="CG3067" s="550"/>
      <c r="CH3067" s="550"/>
      <c r="JB3067" s="32" t="s">
        <v>3072</v>
      </c>
      <c r="JD3067" s="243"/>
    </row>
    <row r="3068" spans="1:264" s="32" customFormat="1" x14ac:dyDescent="0.25">
      <c r="A3068" s="32">
        <v>148</v>
      </c>
      <c r="B3068" s="44" t="s">
        <v>4404</v>
      </c>
      <c r="C3068" s="32" t="s">
        <v>3064</v>
      </c>
      <c r="D3068" s="32" t="s">
        <v>3063</v>
      </c>
      <c r="E3068" s="32">
        <v>1990</v>
      </c>
      <c r="F3068" s="32">
        <v>1987</v>
      </c>
      <c r="G3068" s="32" t="s">
        <v>2696</v>
      </c>
      <c r="H3068" s="32" t="s">
        <v>3065</v>
      </c>
      <c r="I3068" s="32" t="s">
        <v>2827</v>
      </c>
      <c r="J3068" s="32">
        <f t="shared" si="424"/>
        <v>-14</v>
      </c>
      <c r="K3068" s="32">
        <f t="shared" si="425"/>
        <v>33.81666666666667</v>
      </c>
      <c r="L3068" s="32">
        <v>1118.5999999999999</v>
      </c>
      <c r="R3068" s="44" t="s">
        <v>1734</v>
      </c>
      <c r="S3068" s="44" t="s">
        <v>1982</v>
      </c>
      <c r="T3068" s="44"/>
      <c r="U3068" s="44" t="s">
        <v>3066</v>
      </c>
      <c r="V3068" s="44"/>
      <c r="W3068" s="44"/>
      <c r="X3068" s="44"/>
      <c r="Y3068" s="44"/>
      <c r="AA3068" s="323"/>
      <c r="AB3068" s="323"/>
      <c r="AH3068" s="32" t="s">
        <v>3068</v>
      </c>
      <c r="AI3068" s="32" t="s">
        <v>577</v>
      </c>
      <c r="AJ3068" s="32" t="s">
        <v>1645</v>
      </c>
      <c r="AK3068" s="32" t="s">
        <v>132</v>
      </c>
      <c r="AT3068" s="32" t="s">
        <v>3071</v>
      </c>
      <c r="AU3068" s="32" t="s">
        <v>161</v>
      </c>
      <c r="AV3068" s="32" t="s">
        <v>502</v>
      </c>
      <c r="AW3068" s="32" t="s">
        <v>160</v>
      </c>
      <c r="BK3068" s="32">
        <v>3600</v>
      </c>
      <c r="BL3068" s="32">
        <v>5500</v>
      </c>
      <c r="BM3068" s="32">
        <v>1340</v>
      </c>
      <c r="BN3068" s="32">
        <v>1340</v>
      </c>
      <c r="BP3068" s="397"/>
      <c r="BQ3068" s="397"/>
      <c r="BU3068" s="397"/>
      <c r="BV3068" s="397"/>
      <c r="BZ3068" s="397"/>
      <c r="CA3068" s="397"/>
      <c r="CE3068" s="550"/>
      <c r="CF3068" s="550"/>
      <c r="CG3068" s="550"/>
      <c r="CH3068" s="550"/>
      <c r="JB3068" s="32" t="s">
        <v>3072</v>
      </c>
      <c r="JD3068" s="243"/>
    </row>
    <row r="3069" spans="1:264" s="32" customFormat="1" x14ac:dyDescent="0.25">
      <c r="A3069" s="32">
        <v>148</v>
      </c>
      <c r="B3069" s="44" t="s">
        <v>4405</v>
      </c>
      <c r="C3069" s="32" t="s">
        <v>3064</v>
      </c>
      <c r="D3069" s="32" t="s">
        <v>3063</v>
      </c>
      <c r="E3069" s="32">
        <v>1990</v>
      </c>
      <c r="F3069" s="32">
        <v>1987</v>
      </c>
      <c r="G3069" s="32" t="s">
        <v>2696</v>
      </c>
      <c r="H3069" s="32" t="s">
        <v>3065</v>
      </c>
      <c r="I3069" s="32" t="s">
        <v>2827</v>
      </c>
      <c r="J3069" s="32">
        <f t="shared" si="424"/>
        <v>-14</v>
      </c>
      <c r="K3069" s="32">
        <f t="shared" si="425"/>
        <v>33.81666666666667</v>
      </c>
      <c r="L3069" s="32">
        <v>1118.5999999999999</v>
      </c>
      <c r="R3069" s="44" t="s">
        <v>1734</v>
      </c>
      <c r="S3069" s="44" t="s">
        <v>1982</v>
      </c>
      <c r="T3069" s="44"/>
      <c r="U3069" s="44" t="s">
        <v>3066</v>
      </c>
      <c r="V3069" s="44"/>
      <c r="W3069" s="44"/>
      <c r="X3069" s="44"/>
      <c r="Y3069" s="44"/>
      <c r="AA3069" s="323"/>
      <c r="AB3069" s="323"/>
      <c r="AH3069" s="32" t="s">
        <v>3069</v>
      </c>
      <c r="AI3069" s="32" t="s">
        <v>1582</v>
      </c>
      <c r="AJ3069" s="32" t="s">
        <v>1645</v>
      </c>
      <c r="AK3069" s="32" t="s">
        <v>132</v>
      </c>
      <c r="AT3069" s="32" t="s">
        <v>3071</v>
      </c>
      <c r="AU3069" s="32" t="s">
        <v>161</v>
      </c>
      <c r="AV3069" s="32" t="s">
        <v>502</v>
      </c>
      <c r="AW3069" s="32" t="s">
        <v>160</v>
      </c>
      <c r="BK3069" s="32">
        <v>3600</v>
      </c>
      <c r="BL3069" s="32">
        <v>5200</v>
      </c>
      <c r="BM3069" s="32">
        <v>1340</v>
      </c>
      <c r="BN3069" s="32">
        <v>1340</v>
      </c>
      <c r="BP3069" s="397"/>
      <c r="BQ3069" s="397"/>
      <c r="BU3069" s="397"/>
      <c r="BV3069" s="397"/>
      <c r="BZ3069" s="397"/>
      <c r="CA3069" s="397"/>
      <c r="CE3069" s="550"/>
      <c r="CF3069" s="550"/>
      <c r="CG3069" s="550"/>
      <c r="CH3069" s="550"/>
      <c r="JB3069" s="32" t="s">
        <v>3072</v>
      </c>
      <c r="JD3069" s="243"/>
    </row>
    <row r="3070" spans="1:264" s="32" customFormat="1" x14ac:dyDescent="0.25">
      <c r="A3070" s="32">
        <v>148</v>
      </c>
      <c r="B3070" s="44" t="s">
        <v>4405</v>
      </c>
      <c r="C3070" s="32" t="s">
        <v>3064</v>
      </c>
      <c r="D3070" s="32" t="s">
        <v>3063</v>
      </c>
      <c r="E3070" s="32">
        <v>1990</v>
      </c>
      <c r="F3070" s="32">
        <v>1987</v>
      </c>
      <c r="G3070" s="32" t="s">
        <v>2696</v>
      </c>
      <c r="H3070" s="32" t="s">
        <v>3065</v>
      </c>
      <c r="I3070" s="32" t="s">
        <v>2827</v>
      </c>
      <c r="J3070" s="32">
        <f t="shared" si="424"/>
        <v>-14</v>
      </c>
      <c r="K3070" s="32">
        <f t="shared" si="425"/>
        <v>33.81666666666667</v>
      </c>
      <c r="L3070" s="32">
        <v>1118.5999999999999</v>
      </c>
      <c r="R3070" s="44" t="s">
        <v>1734</v>
      </c>
      <c r="S3070" s="44" t="s">
        <v>1982</v>
      </c>
      <c r="T3070" s="44"/>
      <c r="U3070" s="44" t="s">
        <v>3066</v>
      </c>
      <c r="V3070" s="44"/>
      <c r="W3070" s="44"/>
      <c r="X3070" s="44"/>
      <c r="Y3070" s="44"/>
      <c r="AA3070" s="323"/>
      <c r="AB3070" s="323"/>
      <c r="AH3070" s="32" t="s">
        <v>3070</v>
      </c>
      <c r="AI3070" s="32" t="s">
        <v>1582</v>
      </c>
      <c r="AJ3070" s="32" t="s">
        <v>1645</v>
      </c>
      <c r="AK3070" s="32" t="s">
        <v>132</v>
      </c>
      <c r="AT3070" s="32" t="s">
        <v>3071</v>
      </c>
      <c r="AU3070" s="32" t="s">
        <v>161</v>
      </c>
      <c r="AV3070" s="32" t="s">
        <v>502</v>
      </c>
      <c r="AW3070" s="32" t="s">
        <v>160</v>
      </c>
      <c r="BK3070" s="32">
        <v>3600</v>
      </c>
      <c r="BL3070" s="32">
        <v>4600</v>
      </c>
      <c r="BM3070" s="32">
        <v>1340</v>
      </c>
      <c r="BN3070" s="32">
        <v>1340</v>
      </c>
      <c r="BP3070" s="397"/>
      <c r="BQ3070" s="397"/>
      <c r="BU3070" s="397"/>
      <c r="BV3070" s="397"/>
      <c r="BZ3070" s="397"/>
      <c r="CA3070" s="397"/>
      <c r="CE3070" s="550"/>
      <c r="CF3070" s="550"/>
      <c r="CG3070" s="550"/>
      <c r="CH3070" s="550"/>
      <c r="JB3070" s="32" t="s">
        <v>3072</v>
      </c>
      <c r="JD3070" s="243"/>
    </row>
    <row r="3071" spans="1:264" s="24" customFormat="1" x14ac:dyDescent="0.25">
      <c r="A3071" s="24">
        <v>148</v>
      </c>
      <c r="B3071" s="42" t="s">
        <v>4404</v>
      </c>
      <c r="C3071" s="24" t="s">
        <v>3064</v>
      </c>
      <c r="D3071" s="24" t="s">
        <v>3063</v>
      </c>
      <c r="E3071" s="24">
        <v>1990</v>
      </c>
      <c r="F3071" s="24">
        <v>1984</v>
      </c>
      <c r="G3071" s="24" t="s">
        <v>2696</v>
      </c>
      <c r="H3071" s="24" t="s">
        <v>3065</v>
      </c>
      <c r="I3071" s="24" t="s">
        <v>2827</v>
      </c>
      <c r="J3071" s="24">
        <f t="shared" si="424"/>
        <v>-14</v>
      </c>
      <c r="K3071" s="24">
        <f t="shared" si="425"/>
        <v>33.81666666666667</v>
      </c>
      <c r="L3071" s="24">
        <v>1118.5999999999999</v>
      </c>
      <c r="R3071" s="42" t="s">
        <v>1858</v>
      </c>
      <c r="S3071" s="42" t="s">
        <v>1982</v>
      </c>
      <c r="T3071" s="42"/>
      <c r="U3071" s="42" t="s">
        <v>3066</v>
      </c>
      <c r="V3071" s="42"/>
      <c r="W3071" s="42"/>
      <c r="X3071" s="42"/>
      <c r="Y3071" s="42"/>
      <c r="AA3071" s="321"/>
      <c r="AB3071" s="321"/>
      <c r="AH3071" s="24" t="s">
        <v>3067</v>
      </c>
      <c r="AI3071" s="24" t="s">
        <v>577</v>
      </c>
      <c r="AJ3071" s="24" t="s">
        <v>1645</v>
      </c>
      <c r="AK3071" s="24" t="s">
        <v>132</v>
      </c>
      <c r="AT3071" s="24" t="s">
        <v>3071</v>
      </c>
      <c r="AU3071" s="24" t="s">
        <v>3071</v>
      </c>
      <c r="AV3071" s="24" t="s">
        <v>177</v>
      </c>
      <c r="AW3071" s="24" t="s">
        <v>160</v>
      </c>
      <c r="BK3071" s="24">
        <v>5600</v>
      </c>
      <c r="BL3071" s="24">
        <v>4300</v>
      </c>
      <c r="BM3071" s="24">
        <v>1130</v>
      </c>
      <c r="BN3071" s="24">
        <v>1130</v>
      </c>
      <c r="BP3071" s="395"/>
      <c r="BQ3071" s="395"/>
      <c r="BU3071" s="395"/>
      <c r="BV3071" s="395"/>
      <c r="BZ3071" s="395"/>
      <c r="CA3071" s="395"/>
      <c r="CE3071" s="548"/>
      <c r="CF3071" s="548"/>
      <c r="CG3071" s="548"/>
      <c r="CH3071" s="548"/>
      <c r="JB3071" s="24" t="s">
        <v>3072</v>
      </c>
      <c r="JD3071" s="249"/>
    </row>
    <row r="3072" spans="1:264" s="24" customFormat="1" x14ac:dyDescent="0.25">
      <c r="A3072" s="24">
        <v>148</v>
      </c>
      <c r="B3072" s="42" t="s">
        <v>4404</v>
      </c>
      <c r="C3072" s="24" t="s">
        <v>3064</v>
      </c>
      <c r="D3072" s="24" t="s">
        <v>3063</v>
      </c>
      <c r="E3072" s="24">
        <v>1990</v>
      </c>
      <c r="F3072" s="24">
        <v>1984</v>
      </c>
      <c r="G3072" s="24" t="s">
        <v>2696</v>
      </c>
      <c r="H3072" s="24" t="s">
        <v>3065</v>
      </c>
      <c r="I3072" s="24" t="s">
        <v>2827</v>
      </c>
      <c r="J3072" s="24">
        <f t="shared" si="424"/>
        <v>-14</v>
      </c>
      <c r="K3072" s="24">
        <f t="shared" si="425"/>
        <v>33.81666666666667</v>
      </c>
      <c r="L3072" s="24">
        <v>1118.5999999999999</v>
      </c>
      <c r="R3072" s="42" t="s">
        <v>1858</v>
      </c>
      <c r="S3072" s="42" t="s">
        <v>1982</v>
      </c>
      <c r="T3072" s="42"/>
      <c r="U3072" s="42" t="s">
        <v>3066</v>
      </c>
      <c r="V3072" s="42"/>
      <c r="W3072" s="42"/>
      <c r="X3072" s="42"/>
      <c r="Y3072" s="42"/>
      <c r="AA3072" s="321"/>
      <c r="AB3072" s="321"/>
      <c r="AH3072" s="24" t="s">
        <v>3068</v>
      </c>
      <c r="AI3072" s="24" t="s">
        <v>577</v>
      </c>
      <c r="AJ3072" s="24" t="s">
        <v>1645</v>
      </c>
      <c r="AK3072" s="24" t="s">
        <v>132</v>
      </c>
      <c r="AT3072" s="24" t="s">
        <v>3071</v>
      </c>
      <c r="AU3072" s="24" t="s">
        <v>3071</v>
      </c>
      <c r="AV3072" s="24" t="s">
        <v>177</v>
      </c>
      <c r="AW3072" s="24" t="s">
        <v>160</v>
      </c>
      <c r="BK3072" s="24">
        <v>5600</v>
      </c>
      <c r="BL3072" s="24">
        <v>4900</v>
      </c>
      <c r="BM3072" s="24">
        <v>1130</v>
      </c>
      <c r="BN3072" s="24">
        <v>1130</v>
      </c>
      <c r="BP3072" s="395"/>
      <c r="BQ3072" s="395"/>
      <c r="BU3072" s="395"/>
      <c r="BV3072" s="395"/>
      <c r="BZ3072" s="395"/>
      <c r="CA3072" s="395"/>
      <c r="CE3072" s="548"/>
      <c r="CF3072" s="548"/>
      <c r="CG3072" s="548"/>
      <c r="CH3072" s="548"/>
      <c r="JB3072" s="24" t="s">
        <v>3072</v>
      </c>
      <c r="JD3072" s="249"/>
    </row>
    <row r="3073" spans="1:264" s="24" customFormat="1" x14ac:dyDescent="0.25">
      <c r="A3073" s="24">
        <v>148</v>
      </c>
      <c r="B3073" s="42" t="s">
        <v>4405</v>
      </c>
      <c r="C3073" s="24" t="s">
        <v>3064</v>
      </c>
      <c r="D3073" s="24" t="s">
        <v>3063</v>
      </c>
      <c r="E3073" s="24">
        <v>1990</v>
      </c>
      <c r="F3073" s="24">
        <v>1984</v>
      </c>
      <c r="G3073" s="24" t="s">
        <v>2696</v>
      </c>
      <c r="H3073" s="24" t="s">
        <v>3065</v>
      </c>
      <c r="I3073" s="24" t="s">
        <v>2827</v>
      </c>
      <c r="J3073" s="24">
        <f t="shared" si="424"/>
        <v>-14</v>
      </c>
      <c r="K3073" s="24">
        <f t="shared" si="425"/>
        <v>33.81666666666667</v>
      </c>
      <c r="L3073" s="24">
        <v>1118.5999999999999</v>
      </c>
      <c r="R3073" s="42" t="s">
        <v>1858</v>
      </c>
      <c r="S3073" s="42" t="s">
        <v>1982</v>
      </c>
      <c r="T3073" s="42"/>
      <c r="U3073" s="42" t="s">
        <v>3066</v>
      </c>
      <c r="V3073" s="42"/>
      <c r="W3073" s="42"/>
      <c r="X3073" s="42"/>
      <c r="Y3073" s="42"/>
      <c r="AA3073" s="321"/>
      <c r="AB3073" s="321"/>
      <c r="AH3073" s="24" t="s">
        <v>3069</v>
      </c>
      <c r="AI3073" s="24" t="s">
        <v>1582</v>
      </c>
      <c r="AJ3073" s="24" t="s">
        <v>1645</v>
      </c>
      <c r="AK3073" s="24" t="s">
        <v>132</v>
      </c>
      <c r="AT3073" s="24" t="s">
        <v>3071</v>
      </c>
      <c r="AU3073" s="24" t="s">
        <v>3071</v>
      </c>
      <c r="AV3073" s="24" t="s">
        <v>177</v>
      </c>
      <c r="AW3073" s="24" t="s">
        <v>160</v>
      </c>
      <c r="BK3073" s="24">
        <v>5600</v>
      </c>
      <c r="BL3073" s="24">
        <v>3100</v>
      </c>
      <c r="BM3073" s="24">
        <v>1130</v>
      </c>
      <c r="BN3073" s="24">
        <v>1130</v>
      </c>
      <c r="BP3073" s="395"/>
      <c r="BQ3073" s="395"/>
      <c r="BU3073" s="395"/>
      <c r="BV3073" s="395"/>
      <c r="BZ3073" s="395"/>
      <c r="CA3073" s="395"/>
      <c r="CE3073" s="548"/>
      <c r="CF3073" s="548"/>
      <c r="CG3073" s="548"/>
      <c r="CH3073" s="548"/>
      <c r="JB3073" s="24" t="s">
        <v>3072</v>
      </c>
      <c r="JD3073" s="249"/>
    </row>
    <row r="3074" spans="1:264" s="24" customFormat="1" x14ac:dyDescent="0.25">
      <c r="A3074" s="24">
        <v>148</v>
      </c>
      <c r="B3074" s="42" t="s">
        <v>4405</v>
      </c>
      <c r="C3074" s="24" t="s">
        <v>3064</v>
      </c>
      <c r="D3074" s="24" t="s">
        <v>3063</v>
      </c>
      <c r="E3074" s="24">
        <v>1990</v>
      </c>
      <c r="F3074" s="24">
        <v>1984</v>
      </c>
      <c r="G3074" s="24" t="s">
        <v>2696</v>
      </c>
      <c r="H3074" s="24" t="s">
        <v>3065</v>
      </c>
      <c r="I3074" s="24" t="s">
        <v>2827</v>
      </c>
      <c r="J3074" s="24">
        <f t="shared" si="424"/>
        <v>-14</v>
      </c>
      <c r="K3074" s="24">
        <f t="shared" si="425"/>
        <v>33.81666666666667</v>
      </c>
      <c r="L3074" s="24">
        <v>1118.5999999999999</v>
      </c>
      <c r="R3074" s="42" t="s">
        <v>1858</v>
      </c>
      <c r="S3074" s="42" t="s">
        <v>1982</v>
      </c>
      <c r="T3074" s="42"/>
      <c r="U3074" s="42" t="s">
        <v>3066</v>
      </c>
      <c r="V3074" s="42"/>
      <c r="W3074" s="42"/>
      <c r="X3074" s="42"/>
      <c r="Y3074" s="42"/>
      <c r="AA3074" s="321"/>
      <c r="AB3074" s="321"/>
      <c r="AH3074" s="24" t="s">
        <v>3070</v>
      </c>
      <c r="AI3074" s="24" t="s">
        <v>1582</v>
      </c>
      <c r="AJ3074" s="24" t="s">
        <v>1645</v>
      </c>
      <c r="AK3074" s="24" t="s">
        <v>132</v>
      </c>
      <c r="AT3074" s="24" t="s">
        <v>3071</v>
      </c>
      <c r="AU3074" s="24" t="s">
        <v>3071</v>
      </c>
      <c r="AV3074" s="24" t="s">
        <v>177</v>
      </c>
      <c r="AW3074" s="24" t="s">
        <v>160</v>
      </c>
      <c r="BK3074" s="24">
        <v>5600</v>
      </c>
      <c r="BL3074" s="24">
        <v>4200</v>
      </c>
      <c r="BM3074" s="24">
        <v>1130</v>
      </c>
      <c r="BN3074" s="24">
        <v>1130</v>
      </c>
      <c r="BP3074" s="395"/>
      <c r="BQ3074" s="395"/>
      <c r="BU3074" s="395"/>
      <c r="BV3074" s="395"/>
      <c r="BZ3074" s="395"/>
      <c r="CA3074" s="395"/>
      <c r="CE3074" s="548"/>
      <c r="CF3074" s="548"/>
      <c r="CG3074" s="548"/>
      <c r="CH3074" s="548"/>
      <c r="JB3074" s="24" t="s">
        <v>3072</v>
      </c>
      <c r="JD3074" s="249"/>
    </row>
    <row r="3075" spans="1:264" s="32" customFormat="1" x14ac:dyDescent="0.25">
      <c r="A3075" s="32">
        <v>148</v>
      </c>
      <c r="B3075" s="44" t="s">
        <v>4404</v>
      </c>
      <c r="C3075" s="32" t="s">
        <v>3064</v>
      </c>
      <c r="D3075" s="32" t="s">
        <v>3063</v>
      </c>
      <c r="E3075" s="32">
        <v>1990</v>
      </c>
      <c r="F3075" s="32">
        <v>1985</v>
      </c>
      <c r="G3075" s="32" t="s">
        <v>2696</v>
      </c>
      <c r="H3075" s="32" t="s">
        <v>3065</v>
      </c>
      <c r="I3075" s="32" t="s">
        <v>2827</v>
      </c>
      <c r="J3075" s="32">
        <f t="shared" si="424"/>
        <v>-14</v>
      </c>
      <c r="K3075" s="32">
        <f t="shared" si="425"/>
        <v>33.81666666666667</v>
      </c>
      <c r="L3075" s="32">
        <v>1118.5999999999999</v>
      </c>
      <c r="R3075" s="44" t="s">
        <v>1722</v>
      </c>
      <c r="S3075" s="44" t="s">
        <v>1982</v>
      </c>
      <c r="T3075" s="44"/>
      <c r="U3075" s="44" t="s">
        <v>3066</v>
      </c>
      <c r="V3075" s="44"/>
      <c r="W3075" s="44"/>
      <c r="X3075" s="44"/>
      <c r="Y3075" s="44"/>
      <c r="AA3075" s="323"/>
      <c r="AB3075" s="323"/>
      <c r="AH3075" s="32" t="s">
        <v>3067</v>
      </c>
      <c r="AI3075" s="32" t="s">
        <v>577</v>
      </c>
      <c r="AJ3075" s="32" t="s">
        <v>1645</v>
      </c>
      <c r="AK3075" s="32" t="s">
        <v>132</v>
      </c>
      <c r="AT3075" s="32" t="s">
        <v>3071</v>
      </c>
      <c r="AU3075" s="32" t="s">
        <v>3071</v>
      </c>
      <c r="AV3075" s="32" t="s">
        <v>177</v>
      </c>
      <c r="AW3075" s="32" t="s">
        <v>160</v>
      </c>
      <c r="BK3075" s="32">
        <v>4500</v>
      </c>
      <c r="BL3075" s="32">
        <v>5000</v>
      </c>
      <c r="BP3075" s="397"/>
      <c r="BQ3075" s="397"/>
      <c r="BU3075" s="397"/>
      <c r="BV3075" s="397"/>
      <c r="BZ3075" s="397"/>
      <c r="CA3075" s="397"/>
      <c r="CE3075" s="550"/>
      <c r="CF3075" s="550"/>
      <c r="CG3075" s="550"/>
      <c r="CH3075" s="550"/>
      <c r="JB3075" s="32" t="s">
        <v>3072</v>
      </c>
      <c r="JD3075" s="243"/>
    </row>
    <row r="3076" spans="1:264" s="32" customFormat="1" x14ac:dyDescent="0.25">
      <c r="A3076" s="32">
        <v>148</v>
      </c>
      <c r="B3076" s="44" t="s">
        <v>4404</v>
      </c>
      <c r="C3076" s="32" t="s">
        <v>3064</v>
      </c>
      <c r="D3076" s="32" t="s">
        <v>3063</v>
      </c>
      <c r="E3076" s="32">
        <v>1990</v>
      </c>
      <c r="F3076" s="32">
        <v>1985</v>
      </c>
      <c r="G3076" s="32" t="s">
        <v>2696</v>
      </c>
      <c r="H3076" s="32" t="s">
        <v>3065</v>
      </c>
      <c r="I3076" s="32" t="s">
        <v>2827</v>
      </c>
      <c r="J3076" s="32">
        <f t="shared" si="424"/>
        <v>-14</v>
      </c>
      <c r="K3076" s="32">
        <f t="shared" si="425"/>
        <v>33.81666666666667</v>
      </c>
      <c r="L3076" s="32">
        <v>1118.5999999999999</v>
      </c>
      <c r="R3076" s="44" t="s">
        <v>1722</v>
      </c>
      <c r="S3076" s="44" t="s">
        <v>1982</v>
      </c>
      <c r="T3076" s="44"/>
      <c r="U3076" s="44" t="s">
        <v>3066</v>
      </c>
      <c r="V3076" s="44"/>
      <c r="W3076" s="44"/>
      <c r="X3076" s="44"/>
      <c r="Y3076" s="44"/>
      <c r="AA3076" s="323"/>
      <c r="AB3076" s="323"/>
      <c r="AH3076" s="32" t="s">
        <v>3068</v>
      </c>
      <c r="AI3076" s="32" t="s">
        <v>577</v>
      </c>
      <c r="AJ3076" s="32" t="s">
        <v>1645</v>
      </c>
      <c r="AK3076" s="32" t="s">
        <v>132</v>
      </c>
      <c r="AT3076" s="32" t="s">
        <v>3071</v>
      </c>
      <c r="AU3076" s="32" t="s">
        <v>3071</v>
      </c>
      <c r="AV3076" s="32" t="s">
        <v>177</v>
      </c>
      <c r="AW3076" s="32" t="s">
        <v>160</v>
      </c>
      <c r="BK3076" s="32">
        <v>4500</v>
      </c>
      <c r="BL3076" s="32">
        <v>5200</v>
      </c>
      <c r="BP3076" s="397"/>
      <c r="BQ3076" s="397"/>
      <c r="BU3076" s="397"/>
      <c r="BV3076" s="397"/>
      <c r="BZ3076" s="397"/>
      <c r="CA3076" s="397"/>
      <c r="CE3076" s="550"/>
      <c r="CF3076" s="550"/>
      <c r="CG3076" s="550"/>
      <c r="CH3076" s="550"/>
      <c r="JB3076" s="32" t="s">
        <v>3072</v>
      </c>
      <c r="JD3076" s="243"/>
    </row>
    <row r="3077" spans="1:264" s="32" customFormat="1" x14ac:dyDescent="0.25">
      <c r="A3077" s="32">
        <v>148</v>
      </c>
      <c r="B3077" s="44" t="s">
        <v>4405</v>
      </c>
      <c r="C3077" s="32" t="s">
        <v>3064</v>
      </c>
      <c r="D3077" s="32" t="s">
        <v>3063</v>
      </c>
      <c r="E3077" s="32">
        <v>1990</v>
      </c>
      <c r="F3077" s="32">
        <v>1985</v>
      </c>
      <c r="G3077" s="32" t="s">
        <v>2696</v>
      </c>
      <c r="H3077" s="32" t="s">
        <v>3065</v>
      </c>
      <c r="I3077" s="32" t="s">
        <v>2827</v>
      </c>
      <c r="J3077" s="32">
        <f t="shared" si="424"/>
        <v>-14</v>
      </c>
      <c r="K3077" s="32">
        <f t="shared" si="425"/>
        <v>33.81666666666667</v>
      </c>
      <c r="L3077" s="32">
        <v>1118.5999999999999</v>
      </c>
      <c r="R3077" s="44" t="s">
        <v>1722</v>
      </c>
      <c r="S3077" s="44" t="s">
        <v>1982</v>
      </c>
      <c r="T3077" s="44"/>
      <c r="U3077" s="44" t="s">
        <v>3066</v>
      </c>
      <c r="V3077" s="44"/>
      <c r="W3077" s="44"/>
      <c r="X3077" s="44"/>
      <c r="Y3077" s="44"/>
      <c r="AA3077" s="323"/>
      <c r="AB3077" s="323"/>
      <c r="AH3077" s="32" t="s">
        <v>3069</v>
      </c>
      <c r="AI3077" s="32" t="s">
        <v>1582</v>
      </c>
      <c r="AJ3077" s="32" t="s">
        <v>1645</v>
      </c>
      <c r="AK3077" s="32" t="s">
        <v>132</v>
      </c>
      <c r="AT3077" s="32" t="s">
        <v>3071</v>
      </c>
      <c r="AU3077" s="32" t="s">
        <v>3071</v>
      </c>
      <c r="AV3077" s="32" t="s">
        <v>177</v>
      </c>
      <c r="AW3077" s="32" t="s">
        <v>160</v>
      </c>
      <c r="BK3077" s="32">
        <v>4500</v>
      </c>
      <c r="BL3077" s="32">
        <v>5100</v>
      </c>
      <c r="BP3077" s="397"/>
      <c r="BQ3077" s="397"/>
      <c r="BU3077" s="397"/>
      <c r="BV3077" s="397"/>
      <c r="BZ3077" s="397"/>
      <c r="CA3077" s="397"/>
      <c r="CE3077" s="550"/>
      <c r="CF3077" s="550"/>
      <c r="CG3077" s="550"/>
      <c r="CH3077" s="550"/>
      <c r="JB3077" s="32" t="s">
        <v>3072</v>
      </c>
      <c r="JD3077" s="243"/>
    </row>
    <row r="3078" spans="1:264" s="32" customFormat="1" x14ac:dyDescent="0.25">
      <c r="A3078" s="32">
        <v>148</v>
      </c>
      <c r="B3078" s="44" t="s">
        <v>4405</v>
      </c>
      <c r="C3078" s="32" t="s">
        <v>3064</v>
      </c>
      <c r="D3078" s="32" t="s">
        <v>3063</v>
      </c>
      <c r="E3078" s="32">
        <v>1990</v>
      </c>
      <c r="F3078" s="32">
        <v>1985</v>
      </c>
      <c r="G3078" s="32" t="s">
        <v>2696</v>
      </c>
      <c r="H3078" s="32" t="s">
        <v>3065</v>
      </c>
      <c r="I3078" s="32" t="s">
        <v>2827</v>
      </c>
      <c r="J3078" s="32">
        <f t="shared" si="424"/>
        <v>-14</v>
      </c>
      <c r="K3078" s="32">
        <f t="shared" si="425"/>
        <v>33.81666666666667</v>
      </c>
      <c r="L3078" s="32">
        <v>1118.5999999999999</v>
      </c>
      <c r="R3078" s="44" t="s">
        <v>1722</v>
      </c>
      <c r="S3078" s="44" t="s">
        <v>1982</v>
      </c>
      <c r="T3078" s="44"/>
      <c r="U3078" s="44" t="s">
        <v>3066</v>
      </c>
      <c r="V3078" s="44"/>
      <c r="W3078" s="44"/>
      <c r="X3078" s="44"/>
      <c r="Y3078" s="44"/>
      <c r="AA3078" s="323"/>
      <c r="AB3078" s="323"/>
      <c r="AH3078" s="32" t="s">
        <v>3070</v>
      </c>
      <c r="AI3078" s="32" t="s">
        <v>1582</v>
      </c>
      <c r="AJ3078" s="32" t="s">
        <v>1645</v>
      </c>
      <c r="AK3078" s="32" t="s">
        <v>132</v>
      </c>
      <c r="AT3078" s="32" t="s">
        <v>3071</v>
      </c>
      <c r="AU3078" s="32" t="s">
        <v>3071</v>
      </c>
      <c r="AV3078" s="32" t="s">
        <v>177</v>
      </c>
      <c r="AW3078" s="32" t="s">
        <v>160</v>
      </c>
      <c r="BK3078" s="32">
        <v>4500</v>
      </c>
      <c r="BL3078" s="32">
        <v>5400</v>
      </c>
      <c r="BP3078" s="397"/>
      <c r="BQ3078" s="397"/>
      <c r="BU3078" s="397"/>
      <c r="BV3078" s="397"/>
      <c r="BZ3078" s="397"/>
      <c r="CA3078" s="397"/>
      <c r="CE3078" s="550"/>
      <c r="CF3078" s="550"/>
      <c r="CG3078" s="550"/>
      <c r="CH3078" s="550"/>
      <c r="JB3078" s="32" t="s">
        <v>3072</v>
      </c>
      <c r="JD3078" s="243"/>
    </row>
    <row r="3079" spans="1:264" s="24" customFormat="1" x14ac:dyDescent="0.25">
      <c r="A3079" s="24">
        <v>148</v>
      </c>
      <c r="B3079" s="42" t="s">
        <v>4404</v>
      </c>
      <c r="C3079" s="24" t="s">
        <v>3064</v>
      </c>
      <c r="D3079" s="24" t="s">
        <v>3063</v>
      </c>
      <c r="E3079" s="24">
        <v>1990</v>
      </c>
      <c r="F3079" s="24">
        <v>1986</v>
      </c>
      <c r="G3079" s="24" t="s">
        <v>2696</v>
      </c>
      <c r="H3079" s="24" t="s">
        <v>3065</v>
      </c>
      <c r="I3079" s="24" t="s">
        <v>2827</v>
      </c>
      <c r="J3079" s="24">
        <f t="shared" si="424"/>
        <v>-14</v>
      </c>
      <c r="K3079" s="24">
        <f t="shared" si="425"/>
        <v>33.81666666666667</v>
      </c>
      <c r="L3079" s="24">
        <v>1118.5999999999999</v>
      </c>
      <c r="R3079" s="42" t="s">
        <v>1843</v>
      </c>
      <c r="S3079" s="42" t="s">
        <v>1982</v>
      </c>
      <c r="T3079" s="42"/>
      <c r="U3079" s="42" t="s">
        <v>3066</v>
      </c>
      <c r="V3079" s="42"/>
      <c r="W3079" s="42"/>
      <c r="X3079" s="42"/>
      <c r="Y3079" s="42"/>
      <c r="AA3079" s="321"/>
      <c r="AB3079" s="321"/>
      <c r="AH3079" s="24" t="s">
        <v>3067</v>
      </c>
      <c r="AI3079" s="24" t="s">
        <v>577</v>
      </c>
      <c r="AJ3079" s="24" t="s">
        <v>1645</v>
      </c>
      <c r="AK3079" s="24" t="s">
        <v>132</v>
      </c>
      <c r="AT3079" s="24" t="s">
        <v>3071</v>
      </c>
      <c r="AU3079" s="24" t="s">
        <v>3071</v>
      </c>
      <c r="AV3079" s="24" t="s">
        <v>177</v>
      </c>
      <c r="AW3079" s="24" t="s">
        <v>160</v>
      </c>
      <c r="BK3079" s="24">
        <v>5300</v>
      </c>
      <c r="BL3079" s="24">
        <v>6800</v>
      </c>
      <c r="BM3079" s="24">
        <v>940</v>
      </c>
      <c r="BN3079" s="24">
        <v>940</v>
      </c>
      <c r="BP3079" s="395"/>
      <c r="BQ3079" s="395"/>
      <c r="BU3079" s="395"/>
      <c r="BV3079" s="395"/>
      <c r="BZ3079" s="395"/>
      <c r="CA3079" s="395"/>
      <c r="CE3079" s="548"/>
      <c r="CF3079" s="548"/>
      <c r="CG3079" s="548"/>
      <c r="CH3079" s="548"/>
      <c r="JB3079" s="24" t="s">
        <v>3072</v>
      </c>
      <c r="JD3079" s="249"/>
    </row>
    <row r="3080" spans="1:264" s="24" customFormat="1" x14ac:dyDescent="0.25">
      <c r="A3080" s="24">
        <v>148</v>
      </c>
      <c r="B3080" s="42" t="s">
        <v>4404</v>
      </c>
      <c r="C3080" s="24" t="s">
        <v>3064</v>
      </c>
      <c r="D3080" s="24" t="s">
        <v>3063</v>
      </c>
      <c r="E3080" s="24">
        <v>1990</v>
      </c>
      <c r="F3080" s="24">
        <v>1986</v>
      </c>
      <c r="G3080" s="24" t="s">
        <v>2696</v>
      </c>
      <c r="H3080" s="24" t="s">
        <v>3065</v>
      </c>
      <c r="I3080" s="24" t="s">
        <v>2827</v>
      </c>
      <c r="J3080" s="24">
        <f t="shared" si="424"/>
        <v>-14</v>
      </c>
      <c r="K3080" s="24">
        <f t="shared" si="425"/>
        <v>33.81666666666667</v>
      </c>
      <c r="L3080" s="24">
        <v>1118.5999999999999</v>
      </c>
      <c r="R3080" s="42" t="s">
        <v>1843</v>
      </c>
      <c r="S3080" s="42" t="s">
        <v>1982</v>
      </c>
      <c r="T3080" s="42"/>
      <c r="U3080" s="42" t="s">
        <v>3066</v>
      </c>
      <c r="V3080" s="42"/>
      <c r="W3080" s="42"/>
      <c r="X3080" s="42"/>
      <c r="Y3080" s="42"/>
      <c r="AA3080" s="321"/>
      <c r="AB3080" s="321"/>
      <c r="AH3080" s="24" t="s">
        <v>3068</v>
      </c>
      <c r="AI3080" s="24" t="s">
        <v>577</v>
      </c>
      <c r="AJ3080" s="24" t="s">
        <v>1645</v>
      </c>
      <c r="AK3080" s="24" t="s">
        <v>132</v>
      </c>
      <c r="AT3080" s="24" t="s">
        <v>3071</v>
      </c>
      <c r="AU3080" s="24" t="s">
        <v>3071</v>
      </c>
      <c r="AV3080" s="24" t="s">
        <v>177</v>
      </c>
      <c r="AW3080" s="24" t="s">
        <v>160</v>
      </c>
      <c r="BK3080" s="24">
        <v>5300</v>
      </c>
      <c r="BL3080" s="24">
        <v>5400</v>
      </c>
      <c r="BM3080" s="24">
        <v>940</v>
      </c>
      <c r="BN3080" s="24">
        <v>940</v>
      </c>
      <c r="BP3080" s="395"/>
      <c r="BQ3080" s="395"/>
      <c r="BU3080" s="395"/>
      <c r="BV3080" s="395"/>
      <c r="BZ3080" s="395"/>
      <c r="CA3080" s="395"/>
      <c r="CE3080" s="548"/>
      <c r="CF3080" s="548"/>
      <c r="CG3080" s="548"/>
      <c r="CH3080" s="548"/>
      <c r="JB3080" s="24" t="s">
        <v>3072</v>
      </c>
      <c r="JD3080" s="249"/>
    </row>
    <row r="3081" spans="1:264" s="24" customFormat="1" x14ac:dyDescent="0.25">
      <c r="A3081" s="24">
        <v>148</v>
      </c>
      <c r="B3081" s="42" t="s">
        <v>4405</v>
      </c>
      <c r="C3081" s="24" t="s">
        <v>3064</v>
      </c>
      <c r="D3081" s="24" t="s">
        <v>3063</v>
      </c>
      <c r="E3081" s="24">
        <v>1990</v>
      </c>
      <c r="F3081" s="24">
        <v>1986</v>
      </c>
      <c r="G3081" s="24" t="s">
        <v>2696</v>
      </c>
      <c r="H3081" s="24" t="s">
        <v>3065</v>
      </c>
      <c r="I3081" s="24" t="s">
        <v>2827</v>
      </c>
      <c r="J3081" s="24">
        <f t="shared" si="424"/>
        <v>-14</v>
      </c>
      <c r="K3081" s="24">
        <f t="shared" si="425"/>
        <v>33.81666666666667</v>
      </c>
      <c r="L3081" s="24">
        <v>1118.5999999999999</v>
      </c>
      <c r="R3081" s="42" t="s">
        <v>1843</v>
      </c>
      <c r="S3081" s="42" t="s">
        <v>1982</v>
      </c>
      <c r="T3081" s="42"/>
      <c r="U3081" s="42" t="s">
        <v>3066</v>
      </c>
      <c r="V3081" s="42"/>
      <c r="W3081" s="42"/>
      <c r="X3081" s="42"/>
      <c r="Y3081" s="42"/>
      <c r="AA3081" s="321"/>
      <c r="AB3081" s="321"/>
      <c r="AH3081" s="24" t="s">
        <v>3069</v>
      </c>
      <c r="AI3081" s="24" t="s">
        <v>1582</v>
      </c>
      <c r="AJ3081" s="24" t="s">
        <v>1645</v>
      </c>
      <c r="AK3081" s="24" t="s">
        <v>132</v>
      </c>
      <c r="AT3081" s="24" t="s">
        <v>3071</v>
      </c>
      <c r="AU3081" s="24" t="s">
        <v>3071</v>
      </c>
      <c r="AV3081" s="24" t="s">
        <v>177</v>
      </c>
      <c r="AW3081" s="24" t="s">
        <v>160</v>
      </c>
      <c r="BK3081" s="24">
        <v>5300</v>
      </c>
      <c r="BL3081" s="24">
        <v>6400</v>
      </c>
      <c r="BM3081" s="24">
        <v>940</v>
      </c>
      <c r="BN3081" s="24">
        <v>940</v>
      </c>
      <c r="BP3081" s="395"/>
      <c r="BQ3081" s="395"/>
      <c r="BU3081" s="395"/>
      <c r="BV3081" s="395"/>
      <c r="BZ3081" s="395"/>
      <c r="CA3081" s="395"/>
      <c r="CE3081" s="548"/>
      <c r="CF3081" s="548"/>
      <c r="CG3081" s="548"/>
      <c r="CH3081" s="548"/>
      <c r="JB3081" s="24" t="s">
        <v>3072</v>
      </c>
      <c r="JD3081" s="249"/>
    </row>
    <row r="3082" spans="1:264" s="24" customFormat="1" x14ac:dyDescent="0.25">
      <c r="A3082" s="24">
        <v>148</v>
      </c>
      <c r="B3082" s="42" t="s">
        <v>4405</v>
      </c>
      <c r="C3082" s="24" t="s">
        <v>3064</v>
      </c>
      <c r="D3082" s="24" t="s">
        <v>3063</v>
      </c>
      <c r="E3082" s="24">
        <v>1990</v>
      </c>
      <c r="F3082" s="24">
        <v>1986</v>
      </c>
      <c r="G3082" s="24" t="s">
        <v>2696</v>
      </c>
      <c r="H3082" s="24" t="s">
        <v>3065</v>
      </c>
      <c r="I3082" s="24" t="s">
        <v>2827</v>
      </c>
      <c r="J3082" s="24">
        <f t="shared" si="424"/>
        <v>-14</v>
      </c>
      <c r="K3082" s="24">
        <f t="shared" si="425"/>
        <v>33.81666666666667</v>
      </c>
      <c r="L3082" s="24">
        <v>1118.5999999999999</v>
      </c>
      <c r="R3082" s="42" t="s">
        <v>1843</v>
      </c>
      <c r="S3082" s="42" t="s">
        <v>1982</v>
      </c>
      <c r="T3082" s="42"/>
      <c r="U3082" s="42" t="s">
        <v>3066</v>
      </c>
      <c r="V3082" s="42"/>
      <c r="W3082" s="42"/>
      <c r="X3082" s="42"/>
      <c r="Y3082" s="42"/>
      <c r="AA3082" s="321"/>
      <c r="AB3082" s="321"/>
      <c r="AH3082" s="24" t="s">
        <v>3070</v>
      </c>
      <c r="AI3082" s="24" t="s">
        <v>1582</v>
      </c>
      <c r="AJ3082" s="24" t="s">
        <v>1645</v>
      </c>
      <c r="AK3082" s="24" t="s">
        <v>132</v>
      </c>
      <c r="AT3082" s="24" t="s">
        <v>3071</v>
      </c>
      <c r="AU3082" s="24" t="s">
        <v>3071</v>
      </c>
      <c r="AV3082" s="24" t="s">
        <v>177</v>
      </c>
      <c r="AW3082" s="24" t="s">
        <v>160</v>
      </c>
      <c r="BK3082" s="24">
        <v>5300</v>
      </c>
      <c r="BL3082" s="24">
        <v>5500</v>
      </c>
      <c r="BM3082" s="24">
        <v>940</v>
      </c>
      <c r="BN3082" s="24">
        <v>940</v>
      </c>
      <c r="BP3082" s="395"/>
      <c r="BQ3082" s="395"/>
      <c r="BU3082" s="395"/>
      <c r="BV3082" s="395"/>
      <c r="BZ3082" s="395"/>
      <c r="CA3082" s="395"/>
      <c r="CE3082" s="548"/>
      <c r="CF3082" s="548"/>
      <c r="CG3082" s="548"/>
      <c r="CH3082" s="548"/>
      <c r="JB3082" s="24" t="s">
        <v>3072</v>
      </c>
      <c r="JD3082" s="249"/>
    </row>
    <row r="3083" spans="1:264" s="32" customFormat="1" x14ac:dyDescent="0.25">
      <c r="A3083" s="32">
        <v>148</v>
      </c>
      <c r="B3083" s="44" t="s">
        <v>4404</v>
      </c>
      <c r="C3083" s="32" t="s">
        <v>3064</v>
      </c>
      <c r="D3083" s="32" t="s">
        <v>3063</v>
      </c>
      <c r="E3083" s="32">
        <v>1990</v>
      </c>
      <c r="F3083" s="32">
        <v>1987</v>
      </c>
      <c r="G3083" s="32" t="s">
        <v>2696</v>
      </c>
      <c r="H3083" s="32" t="s">
        <v>3065</v>
      </c>
      <c r="I3083" s="32" t="s">
        <v>2827</v>
      </c>
      <c r="J3083" s="32">
        <f t="shared" si="424"/>
        <v>-14</v>
      </c>
      <c r="K3083" s="32">
        <f t="shared" si="425"/>
        <v>33.81666666666667</v>
      </c>
      <c r="L3083" s="32">
        <v>1118.5999999999999</v>
      </c>
      <c r="R3083" s="44" t="s">
        <v>1734</v>
      </c>
      <c r="S3083" s="44" t="s">
        <v>1982</v>
      </c>
      <c r="T3083" s="44"/>
      <c r="U3083" s="44" t="s">
        <v>3066</v>
      </c>
      <c r="V3083" s="44"/>
      <c r="W3083" s="44"/>
      <c r="X3083" s="44"/>
      <c r="Y3083" s="44"/>
      <c r="AA3083" s="323"/>
      <c r="AB3083" s="323"/>
      <c r="AH3083" s="32" t="s">
        <v>3067</v>
      </c>
      <c r="AI3083" s="32" t="s">
        <v>577</v>
      </c>
      <c r="AJ3083" s="32" t="s">
        <v>1645</v>
      </c>
      <c r="AK3083" s="32" t="s">
        <v>132</v>
      </c>
      <c r="AT3083" s="32" t="s">
        <v>3071</v>
      </c>
      <c r="AU3083" s="32" t="s">
        <v>3071</v>
      </c>
      <c r="AV3083" s="32" t="s">
        <v>177</v>
      </c>
      <c r="AW3083" s="32" t="s">
        <v>160</v>
      </c>
      <c r="BK3083" s="32">
        <v>6100</v>
      </c>
      <c r="BL3083" s="32">
        <v>7500</v>
      </c>
      <c r="BM3083" s="32">
        <v>1220</v>
      </c>
      <c r="BN3083" s="32">
        <v>1220</v>
      </c>
      <c r="BP3083" s="397"/>
      <c r="BQ3083" s="397"/>
      <c r="BU3083" s="397"/>
      <c r="BV3083" s="397"/>
      <c r="BZ3083" s="397"/>
      <c r="CA3083" s="397"/>
      <c r="CE3083" s="550"/>
      <c r="CF3083" s="550"/>
      <c r="CG3083" s="550"/>
      <c r="CH3083" s="550"/>
      <c r="JB3083" s="32" t="s">
        <v>3072</v>
      </c>
      <c r="JD3083" s="243"/>
    </row>
    <row r="3084" spans="1:264" s="32" customFormat="1" x14ac:dyDescent="0.25">
      <c r="A3084" s="32">
        <v>148</v>
      </c>
      <c r="B3084" s="44" t="s">
        <v>4404</v>
      </c>
      <c r="C3084" s="32" t="s">
        <v>3064</v>
      </c>
      <c r="D3084" s="32" t="s">
        <v>3063</v>
      </c>
      <c r="E3084" s="32">
        <v>1990</v>
      </c>
      <c r="F3084" s="32">
        <v>1987</v>
      </c>
      <c r="G3084" s="32" t="s">
        <v>2696</v>
      </c>
      <c r="H3084" s="32" t="s">
        <v>3065</v>
      </c>
      <c r="I3084" s="32" t="s">
        <v>2827</v>
      </c>
      <c r="J3084" s="32">
        <f t="shared" si="424"/>
        <v>-14</v>
      </c>
      <c r="K3084" s="32">
        <f t="shared" si="425"/>
        <v>33.81666666666667</v>
      </c>
      <c r="L3084" s="32">
        <v>1118.5999999999999</v>
      </c>
      <c r="R3084" s="44" t="s">
        <v>1734</v>
      </c>
      <c r="S3084" s="44" t="s">
        <v>1982</v>
      </c>
      <c r="T3084" s="44"/>
      <c r="U3084" s="44" t="s">
        <v>3066</v>
      </c>
      <c r="V3084" s="44"/>
      <c r="W3084" s="44"/>
      <c r="X3084" s="44"/>
      <c r="Y3084" s="44"/>
      <c r="AA3084" s="323"/>
      <c r="AB3084" s="323"/>
      <c r="AH3084" s="32" t="s">
        <v>3068</v>
      </c>
      <c r="AI3084" s="32" t="s">
        <v>577</v>
      </c>
      <c r="AJ3084" s="32" t="s">
        <v>1645</v>
      </c>
      <c r="AK3084" s="32" t="s">
        <v>132</v>
      </c>
      <c r="AT3084" s="32" t="s">
        <v>3071</v>
      </c>
      <c r="AU3084" s="32" t="s">
        <v>3071</v>
      </c>
      <c r="AV3084" s="32" t="s">
        <v>177</v>
      </c>
      <c r="AW3084" s="32" t="s">
        <v>160</v>
      </c>
      <c r="BK3084" s="32">
        <v>6100</v>
      </c>
      <c r="BL3084" s="32">
        <v>6800</v>
      </c>
      <c r="BM3084" s="32">
        <v>1220</v>
      </c>
      <c r="BN3084" s="32">
        <v>1220</v>
      </c>
      <c r="BP3084" s="397"/>
      <c r="BQ3084" s="397"/>
      <c r="BU3084" s="397"/>
      <c r="BV3084" s="397"/>
      <c r="BZ3084" s="397"/>
      <c r="CA3084" s="397"/>
      <c r="CE3084" s="550"/>
      <c r="CF3084" s="550"/>
      <c r="CG3084" s="550"/>
      <c r="CH3084" s="550"/>
      <c r="JB3084" s="32" t="s">
        <v>3072</v>
      </c>
      <c r="JD3084" s="243"/>
    </row>
    <row r="3085" spans="1:264" s="32" customFormat="1" x14ac:dyDescent="0.25">
      <c r="A3085" s="32">
        <v>148</v>
      </c>
      <c r="B3085" s="44" t="s">
        <v>4405</v>
      </c>
      <c r="C3085" s="32" t="s">
        <v>3064</v>
      </c>
      <c r="D3085" s="32" t="s">
        <v>3063</v>
      </c>
      <c r="E3085" s="32">
        <v>1990</v>
      </c>
      <c r="F3085" s="32">
        <v>1987</v>
      </c>
      <c r="G3085" s="32" t="s">
        <v>2696</v>
      </c>
      <c r="H3085" s="32" t="s">
        <v>3065</v>
      </c>
      <c r="I3085" s="32" t="s">
        <v>2827</v>
      </c>
      <c r="J3085" s="32">
        <f t="shared" si="424"/>
        <v>-14</v>
      </c>
      <c r="K3085" s="32">
        <f t="shared" si="425"/>
        <v>33.81666666666667</v>
      </c>
      <c r="L3085" s="32">
        <v>1118.5999999999999</v>
      </c>
      <c r="R3085" s="44" t="s">
        <v>1734</v>
      </c>
      <c r="S3085" s="44" t="s">
        <v>1982</v>
      </c>
      <c r="T3085" s="44"/>
      <c r="U3085" s="44" t="s">
        <v>3066</v>
      </c>
      <c r="V3085" s="44"/>
      <c r="W3085" s="44"/>
      <c r="X3085" s="44"/>
      <c r="Y3085" s="44"/>
      <c r="AA3085" s="323"/>
      <c r="AB3085" s="323"/>
      <c r="AH3085" s="32" t="s">
        <v>3069</v>
      </c>
      <c r="AI3085" s="32" t="s">
        <v>1582</v>
      </c>
      <c r="AJ3085" s="32" t="s">
        <v>1645</v>
      </c>
      <c r="AK3085" s="32" t="s">
        <v>132</v>
      </c>
      <c r="AT3085" s="32" t="s">
        <v>3071</v>
      </c>
      <c r="AU3085" s="32" t="s">
        <v>3071</v>
      </c>
      <c r="AV3085" s="32" t="s">
        <v>177</v>
      </c>
      <c r="AW3085" s="32" t="s">
        <v>160</v>
      </c>
      <c r="BK3085" s="32">
        <v>6100</v>
      </c>
      <c r="BL3085" s="32">
        <v>6800</v>
      </c>
      <c r="BM3085" s="32">
        <v>1220</v>
      </c>
      <c r="BN3085" s="32">
        <v>1220</v>
      </c>
      <c r="BP3085" s="397"/>
      <c r="BQ3085" s="397"/>
      <c r="BU3085" s="397"/>
      <c r="BV3085" s="397"/>
      <c r="BZ3085" s="397"/>
      <c r="CA3085" s="397"/>
      <c r="CE3085" s="550"/>
      <c r="CF3085" s="550"/>
      <c r="CG3085" s="550"/>
      <c r="CH3085" s="550"/>
      <c r="JB3085" s="32" t="s">
        <v>3072</v>
      </c>
      <c r="JD3085" s="243"/>
    </row>
    <row r="3086" spans="1:264" s="32" customFormat="1" x14ac:dyDescent="0.25">
      <c r="A3086" s="32">
        <v>148</v>
      </c>
      <c r="B3086" s="44" t="s">
        <v>4405</v>
      </c>
      <c r="C3086" s="32" t="s">
        <v>3064</v>
      </c>
      <c r="D3086" s="32" t="s">
        <v>3063</v>
      </c>
      <c r="E3086" s="32">
        <v>1990</v>
      </c>
      <c r="F3086" s="32">
        <v>1987</v>
      </c>
      <c r="G3086" s="32" t="s">
        <v>2696</v>
      </c>
      <c r="H3086" s="32" t="s">
        <v>3065</v>
      </c>
      <c r="I3086" s="32" t="s">
        <v>2827</v>
      </c>
      <c r="J3086" s="32">
        <f t="shared" si="424"/>
        <v>-14</v>
      </c>
      <c r="K3086" s="32">
        <f t="shared" si="425"/>
        <v>33.81666666666667</v>
      </c>
      <c r="L3086" s="32">
        <v>1118.5999999999999</v>
      </c>
      <c r="R3086" s="44" t="s">
        <v>1734</v>
      </c>
      <c r="S3086" s="44" t="s">
        <v>1982</v>
      </c>
      <c r="T3086" s="44"/>
      <c r="U3086" s="44" t="s">
        <v>3066</v>
      </c>
      <c r="V3086" s="44"/>
      <c r="W3086" s="44"/>
      <c r="X3086" s="44"/>
      <c r="Y3086" s="44"/>
      <c r="AA3086" s="323"/>
      <c r="AB3086" s="323"/>
      <c r="AH3086" s="32" t="s">
        <v>3070</v>
      </c>
      <c r="AI3086" s="32" t="s">
        <v>1582</v>
      </c>
      <c r="AJ3086" s="32" t="s">
        <v>1645</v>
      </c>
      <c r="AK3086" s="32" t="s">
        <v>132</v>
      </c>
      <c r="AT3086" s="32" t="s">
        <v>3071</v>
      </c>
      <c r="AU3086" s="32" t="s">
        <v>3071</v>
      </c>
      <c r="AV3086" s="32" t="s">
        <v>177</v>
      </c>
      <c r="AW3086" s="32" t="s">
        <v>160</v>
      </c>
      <c r="BK3086" s="32">
        <v>6100</v>
      </c>
      <c r="BL3086" s="32">
        <v>6200</v>
      </c>
      <c r="BM3086" s="32">
        <v>1220</v>
      </c>
      <c r="BN3086" s="32">
        <v>1220</v>
      </c>
      <c r="BP3086" s="397"/>
      <c r="BQ3086" s="397"/>
      <c r="BU3086" s="397"/>
      <c r="BV3086" s="397"/>
      <c r="BZ3086" s="397"/>
      <c r="CA3086" s="397"/>
      <c r="CE3086" s="550"/>
      <c r="CF3086" s="550"/>
      <c r="CG3086" s="550"/>
      <c r="CH3086" s="550"/>
      <c r="JB3086" s="32" t="s">
        <v>3072</v>
      </c>
      <c r="JD3086" s="243"/>
    </row>
    <row r="3087" spans="1:264" s="24" customFormat="1" x14ac:dyDescent="0.25">
      <c r="A3087" s="24">
        <v>148</v>
      </c>
      <c r="B3087" s="42" t="s">
        <v>4404</v>
      </c>
      <c r="C3087" s="24" t="s">
        <v>3064</v>
      </c>
      <c r="D3087" s="24" t="s">
        <v>3063</v>
      </c>
      <c r="E3087" s="24">
        <v>1990</v>
      </c>
      <c r="F3087" s="24">
        <v>1985</v>
      </c>
      <c r="G3087" s="24" t="s">
        <v>2696</v>
      </c>
      <c r="H3087" s="24" t="s">
        <v>3065</v>
      </c>
      <c r="I3087" s="24" t="s">
        <v>2827</v>
      </c>
      <c r="J3087" s="24">
        <f t="shared" ref="J3087:J3122" si="426">-14</f>
        <v>-14</v>
      </c>
      <c r="K3087" s="24">
        <f t="shared" ref="K3087:K3122" si="427">33+49/60</f>
        <v>33.81666666666667</v>
      </c>
      <c r="L3087" s="24">
        <v>1118.5999999999999</v>
      </c>
      <c r="R3087" s="42" t="s">
        <v>1722</v>
      </c>
      <c r="S3087" s="42" t="s">
        <v>1982</v>
      </c>
      <c r="T3087" s="42"/>
      <c r="U3087" s="42" t="s">
        <v>3066</v>
      </c>
      <c r="V3087" s="42"/>
      <c r="W3087" s="42"/>
      <c r="X3087" s="42"/>
      <c r="Y3087" s="42"/>
      <c r="AA3087" s="321"/>
      <c r="AB3087" s="321"/>
      <c r="AH3087" s="24" t="s">
        <v>3067</v>
      </c>
      <c r="AI3087" s="24" t="s">
        <v>577</v>
      </c>
      <c r="AJ3087" s="24" t="s">
        <v>1645</v>
      </c>
      <c r="AK3087" s="24" t="s">
        <v>132</v>
      </c>
      <c r="AT3087" s="24" t="s">
        <v>161</v>
      </c>
      <c r="AU3087" s="24" t="s">
        <v>161</v>
      </c>
      <c r="AV3087" s="24" t="s">
        <v>177</v>
      </c>
      <c r="AW3087" s="24" t="s">
        <v>160</v>
      </c>
      <c r="BK3087" s="24">
        <v>930</v>
      </c>
      <c r="BL3087" s="24">
        <v>3280</v>
      </c>
      <c r="BP3087" s="395"/>
      <c r="BQ3087" s="395"/>
      <c r="BU3087" s="395"/>
      <c r="BV3087" s="395"/>
      <c r="BZ3087" s="395"/>
      <c r="CA3087" s="395"/>
      <c r="CE3087" s="548"/>
      <c r="CF3087" s="548"/>
      <c r="CG3087" s="548"/>
      <c r="CH3087" s="548"/>
      <c r="JB3087" s="24" t="s">
        <v>3072</v>
      </c>
      <c r="JD3087" s="249"/>
    </row>
    <row r="3088" spans="1:264" s="24" customFormat="1" x14ac:dyDescent="0.25">
      <c r="A3088" s="24">
        <v>148</v>
      </c>
      <c r="B3088" s="42" t="s">
        <v>4404</v>
      </c>
      <c r="C3088" s="24" t="s">
        <v>3064</v>
      </c>
      <c r="D3088" s="24" t="s">
        <v>3063</v>
      </c>
      <c r="E3088" s="24">
        <v>1990</v>
      </c>
      <c r="F3088" s="24">
        <v>1985</v>
      </c>
      <c r="G3088" s="24" t="s">
        <v>2696</v>
      </c>
      <c r="H3088" s="24" t="s">
        <v>3065</v>
      </c>
      <c r="I3088" s="24" t="s">
        <v>2827</v>
      </c>
      <c r="J3088" s="24">
        <f t="shared" si="426"/>
        <v>-14</v>
      </c>
      <c r="K3088" s="24">
        <f t="shared" si="427"/>
        <v>33.81666666666667</v>
      </c>
      <c r="L3088" s="24">
        <v>1118.5999999999999</v>
      </c>
      <c r="R3088" s="42" t="s">
        <v>1722</v>
      </c>
      <c r="S3088" s="42" t="s">
        <v>1982</v>
      </c>
      <c r="T3088" s="42"/>
      <c r="U3088" s="42" t="s">
        <v>3066</v>
      </c>
      <c r="V3088" s="42"/>
      <c r="W3088" s="42"/>
      <c r="X3088" s="42"/>
      <c r="Y3088" s="42"/>
      <c r="AA3088" s="321"/>
      <c r="AB3088" s="321"/>
      <c r="AH3088" s="24" t="s">
        <v>3073</v>
      </c>
      <c r="AI3088" s="24" t="s">
        <v>577</v>
      </c>
      <c r="AJ3088" s="24" t="s">
        <v>1645</v>
      </c>
      <c r="AK3088" s="24" t="s">
        <v>132</v>
      </c>
      <c r="AT3088" s="24" t="s">
        <v>161</v>
      </c>
      <c r="AU3088" s="24" t="s">
        <v>161</v>
      </c>
      <c r="AV3088" s="24" t="s">
        <v>177</v>
      </c>
      <c r="AW3088" s="24" t="s">
        <v>160</v>
      </c>
      <c r="BK3088" s="24">
        <v>930</v>
      </c>
      <c r="BL3088" s="24">
        <v>1870</v>
      </c>
      <c r="BP3088" s="395"/>
      <c r="BQ3088" s="395"/>
      <c r="BU3088" s="395"/>
      <c r="BV3088" s="395"/>
      <c r="BZ3088" s="395"/>
      <c r="CA3088" s="395"/>
      <c r="CE3088" s="548"/>
      <c r="CF3088" s="548"/>
      <c r="CG3088" s="548"/>
      <c r="CH3088" s="548"/>
      <c r="JB3088" s="24" t="s">
        <v>3072</v>
      </c>
      <c r="JD3088" s="249"/>
    </row>
    <row r="3089" spans="1:264" s="24" customFormat="1" x14ac:dyDescent="0.25">
      <c r="A3089" s="24">
        <v>148</v>
      </c>
      <c r="B3089" s="42" t="s">
        <v>4404</v>
      </c>
      <c r="C3089" s="24" t="s">
        <v>3064</v>
      </c>
      <c r="D3089" s="24" t="s">
        <v>3063</v>
      </c>
      <c r="E3089" s="24">
        <v>1990</v>
      </c>
      <c r="F3089" s="24">
        <v>1985</v>
      </c>
      <c r="G3089" s="24" t="s">
        <v>2696</v>
      </c>
      <c r="H3089" s="24" t="s">
        <v>3065</v>
      </c>
      <c r="I3089" s="24" t="s">
        <v>2827</v>
      </c>
      <c r="J3089" s="24">
        <f t="shared" si="426"/>
        <v>-14</v>
      </c>
      <c r="K3089" s="24">
        <f t="shared" si="427"/>
        <v>33.81666666666667</v>
      </c>
      <c r="L3089" s="24">
        <v>1118.5999999999999</v>
      </c>
      <c r="R3089" s="42" t="s">
        <v>1722</v>
      </c>
      <c r="S3089" s="42" t="s">
        <v>1982</v>
      </c>
      <c r="T3089" s="42"/>
      <c r="U3089" s="42" t="s">
        <v>3066</v>
      </c>
      <c r="V3089" s="42"/>
      <c r="W3089" s="42"/>
      <c r="X3089" s="42"/>
      <c r="Y3089" s="42"/>
      <c r="AA3089" s="321"/>
      <c r="AB3089" s="321"/>
      <c r="AH3089" s="24" t="s">
        <v>3074</v>
      </c>
      <c r="AI3089" s="24" t="s">
        <v>577</v>
      </c>
      <c r="AJ3089" s="24" t="s">
        <v>1645</v>
      </c>
      <c r="AK3089" s="24" t="s">
        <v>132</v>
      </c>
      <c r="AT3089" s="24" t="s">
        <v>161</v>
      </c>
      <c r="AU3089" s="24" t="s">
        <v>161</v>
      </c>
      <c r="AV3089" s="24" t="s">
        <v>177</v>
      </c>
      <c r="AW3089" s="24" t="s">
        <v>160</v>
      </c>
      <c r="BK3089" s="24">
        <v>930</v>
      </c>
      <c r="BL3089" s="24">
        <v>3060</v>
      </c>
      <c r="BP3089" s="395"/>
      <c r="BQ3089" s="395"/>
      <c r="BU3089" s="395"/>
      <c r="BV3089" s="395"/>
      <c r="BZ3089" s="395"/>
      <c r="CA3089" s="395"/>
      <c r="CE3089" s="548"/>
      <c r="CF3089" s="548"/>
      <c r="CG3089" s="548"/>
      <c r="CH3089" s="548"/>
      <c r="JB3089" s="24" t="s">
        <v>3072</v>
      </c>
      <c r="JD3089" s="249"/>
    </row>
    <row r="3090" spans="1:264" s="24" customFormat="1" x14ac:dyDescent="0.25">
      <c r="A3090" s="24">
        <v>148</v>
      </c>
      <c r="B3090" s="42" t="s">
        <v>4404</v>
      </c>
      <c r="C3090" s="24" t="s">
        <v>3064</v>
      </c>
      <c r="D3090" s="24" t="s">
        <v>3063</v>
      </c>
      <c r="E3090" s="24">
        <v>1990</v>
      </c>
      <c r="F3090" s="24">
        <v>1985</v>
      </c>
      <c r="G3090" s="24" t="s">
        <v>2696</v>
      </c>
      <c r="H3090" s="24" t="s">
        <v>3065</v>
      </c>
      <c r="I3090" s="24" t="s">
        <v>2827</v>
      </c>
      <c r="J3090" s="24">
        <f t="shared" si="426"/>
        <v>-14</v>
      </c>
      <c r="K3090" s="24">
        <f t="shared" si="427"/>
        <v>33.81666666666667</v>
      </c>
      <c r="L3090" s="24">
        <v>1118.5999999999999</v>
      </c>
      <c r="R3090" s="42" t="s">
        <v>1722</v>
      </c>
      <c r="S3090" s="42" t="s">
        <v>1982</v>
      </c>
      <c r="T3090" s="42"/>
      <c r="U3090" s="42" t="s">
        <v>3066</v>
      </c>
      <c r="V3090" s="42"/>
      <c r="W3090" s="42"/>
      <c r="X3090" s="42"/>
      <c r="Y3090" s="42"/>
      <c r="AA3090" s="321"/>
      <c r="AB3090" s="321"/>
      <c r="AH3090" s="24" t="s">
        <v>3075</v>
      </c>
      <c r="AI3090" s="24" t="s">
        <v>577</v>
      </c>
      <c r="AJ3090" s="24" t="s">
        <v>1645</v>
      </c>
      <c r="AK3090" s="24" t="s">
        <v>132</v>
      </c>
      <c r="AT3090" s="24" t="s">
        <v>161</v>
      </c>
      <c r="AU3090" s="24" t="s">
        <v>161</v>
      </c>
      <c r="AV3090" s="24" t="s">
        <v>177</v>
      </c>
      <c r="AW3090" s="24" t="s">
        <v>160</v>
      </c>
      <c r="BK3090" s="24">
        <v>930</v>
      </c>
      <c r="BL3090" s="24">
        <v>2020</v>
      </c>
      <c r="BP3090" s="395"/>
      <c r="BQ3090" s="395"/>
      <c r="BU3090" s="395"/>
      <c r="BV3090" s="395"/>
      <c r="BZ3090" s="395"/>
      <c r="CA3090" s="395"/>
      <c r="CE3090" s="548"/>
      <c r="CF3090" s="548"/>
      <c r="CG3090" s="548"/>
      <c r="CH3090" s="548"/>
      <c r="JB3090" s="24" t="s">
        <v>3072</v>
      </c>
      <c r="JD3090" s="249"/>
    </row>
    <row r="3091" spans="1:264" s="24" customFormat="1" x14ac:dyDescent="0.25">
      <c r="A3091" s="24">
        <v>148</v>
      </c>
      <c r="B3091" s="42" t="s">
        <v>4404</v>
      </c>
      <c r="C3091" s="24" t="s">
        <v>3064</v>
      </c>
      <c r="D3091" s="24" t="s">
        <v>3063</v>
      </c>
      <c r="E3091" s="24">
        <v>1990</v>
      </c>
      <c r="F3091" s="24">
        <v>1985</v>
      </c>
      <c r="G3091" s="24" t="s">
        <v>2696</v>
      </c>
      <c r="H3091" s="24" t="s">
        <v>3065</v>
      </c>
      <c r="I3091" s="24" t="s">
        <v>2827</v>
      </c>
      <c r="J3091" s="24">
        <f t="shared" si="426"/>
        <v>-14</v>
      </c>
      <c r="K3091" s="24">
        <f t="shared" si="427"/>
        <v>33.81666666666667</v>
      </c>
      <c r="L3091" s="24">
        <v>1118.5999999999999</v>
      </c>
      <c r="R3091" s="42" t="s">
        <v>1722</v>
      </c>
      <c r="S3091" s="42" t="s">
        <v>1982</v>
      </c>
      <c r="T3091" s="42"/>
      <c r="U3091" s="42" t="s">
        <v>3066</v>
      </c>
      <c r="V3091" s="42"/>
      <c r="W3091" s="42"/>
      <c r="X3091" s="42"/>
      <c r="Y3091" s="42"/>
      <c r="AA3091" s="321"/>
      <c r="AB3091" s="321"/>
      <c r="AH3091" s="24" t="s">
        <v>3076</v>
      </c>
      <c r="AI3091" s="24" t="s">
        <v>577</v>
      </c>
      <c r="AJ3091" s="24" t="s">
        <v>1645</v>
      </c>
      <c r="AK3091" s="24" t="s">
        <v>132</v>
      </c>
      <c r="AT3091" s="24" t="s">
        <v>161</v>
      </c>
      <c r="AU3091" s="24" t="s">
        <v>161</v>
      </c>
      <c r="AV3091" s="24" t="s">
        <v>177</v>
      </c>
      <c r="AW3091" s="24" t="s">
        <v>160</v>
      </c>
      <c r="BK3091" s="24">
        <v>930</v>
      </c>
      <c r="BL3091" s="24">
        <v>2080</v>
      </c>
      <c r="BP3091" s="395"/>
      <c r="BQ3091" s="395"/>
      <c r="BU3091" s="395"/>
      <c r="BV3091" s="395"/>
      <c r="BZ3091" s="395"/>
      <c r="CA3091" s="395"/>
      <c r="CE3091" s="548"/>
      <c r="CF3091" s="548"/>
      <c r="CG3091" s="548"/>
      <c r="CH3091" s="548"/>
      <c r="JB3091" s="24" t="s">
        <v>3072</v>
      </c>
      <c r="JD3091" s="249"/>
    </row>
    <row r="3092" spans="1:264" s="24" customFormat="1" x14ac:dyDescent="0.25">
      <c r="A3092" s="24">
        <v>148</v>
      </c>
      <c r="B3092" s="42" t="s">
        <v>4404</v>
      </c>
      <c r="C3092" s="24" t="s">
        <v>3064</v>
      </c>
      <c r="D3092" s="24" t="s">
        <v>3063</v>
      </c>
      <c r="E3092" s="24">
        <v>1990</v>
      </c>
      <c r="F3092" s="24">
        <v>1985</v>
      </c>
      <c r="G3092" s="24" t="s">
        <v>2696</v>
      </c>
      <c r="H3092" s="24" t="s">
        <v>3065</v>
      </c>
      <c r="I3092" s="24" t="s">
        <v>2827</v>
      </c>
      <c r="J3092" s="24">
        <f t="shared" si="426"/>
        <v>-14</v>
      </c>
      <c r="K3092" s="24">
        <f t="shared" si="427"/>
        <v>33.81666666666667</v>
      </c>
      <c r="L3092" s="24">
        <v>1118.5999999999999</v>
      </c>
      <c r="R3092" s="42" t="s">
        <v>1722</v>
      </c>
      <c r="S3092" s="42" t="s">
        <v>1982</v>
      </c>
      <c r="T3092" s="42"/>
      <c r="U3092" s="42" t="s">
        <v>3066</v>
      </c>
      <c r="V3092" s="42"/>
      <c r="W3092" s="42"/>
      <c r="X3092" s="42"/>
      <c r="Y3092" s="42"/>
      <c r="AA3092" s="321"/>
      <c r="AB3092" s="321"/>
      <c r="AH3092" s="24" t="s">
        <v>3077</v>
      </c>
      <c r="AI3092" s="24" t="s">
        <v>577</v>
      </c>
      <c r="AJ3092" s="24" t="s">
        <v>1645</v>
      </c>
      <c r="AK3092" s="24" t="s">
        <v>132</v>
      </c>
      <c r="AT3092" s="24" t="s">
        <v>161</v>
      </c>
      <c r="AU3092" s="24" t="s">
        <v>161</v>
      </c>
      <c r="AV3092" s="24" t="s">
        <v>177</v>
      </c>
      <c r="AW3092" s="24" t="s">
        <v>160</v>
      </c>
      <c r="BK3092" s="24">
        <v>930</v>
      </c>
      <c r="BL3092" s="24">
        <v>2150</v>
      </c>
      <c r="BP3092" s="395"/>
      <c r="BQ3092" s="395"/>
      <c r="BU3092" s="395"/>
      <c r="BV3092" s="395"/>
      <c r="BZ3092" s="395"/>
      <c r="CA3092" s="395"/>
      <c r="CE3092" s="548"/>
      <c r="CF3092" s="548"/>
      <c r="CG3092" s="548"/>
      <c r="CH3092" s="548"/>
      <c r="JB3092" s="24" t="s">
        <v>3072</v>
      </c>
      <c r="JD3092" s="249"/>
    </row>
    <row r="3093" spans="1:264" s="24" customFormat="1" x14ac:dyDescent="0.25">
      <c r="A3093" s="24">
        <v>148</v>
      </c>
      <c r="B3093" s="42" t="s">
        <v>4404</v>
      </c>
      <c r="C3093" s="24" t="s">
        <v>3064</v>
      </c>
      <c r="D3093" s="24" t="s">
        <v>3063</v>
      </c>
      <c r="E3093" s="24">
        <v>1990</v>
      </c>
      <c r="F3093" s="24">
        <v>1985</v>
      </c>
      <c r="G3093" s="24" t="s">
        <v>2696</v>
      </c>
      <c r="H3093" s="24" t="s">
        <v>3065</v>
      </c>
      <c r="I3093" s="24" t="s">
        <v>2827</v>
      </c>
      <c r="J3093" s="24">
        <f t="shared" si="426"/>
        <v>-14</v>
      </c>
      <c r="K3093" s="24">
        <f t="shared" si="427"/>
        <v>33.81666666666667</v>
      </c>
      <c r="L3093" s="24">
        <v>1118.5999999999999</v>
      </c>
      <c r="R3093" s="42" t="s">
        <v>1722</v>
      </c>
      <c r="S3093" s="42" t="s">
        <v>1982</v>
      </c>
      <c r="T3093" s="42"/>
      <c r="U3093" s="42" t="s">
        <v>3066</v>
      </c>
      <c r="V3093" s="42"/>
      <c r="W3093" s="42"/>
      <c r="X3093" s="42"/>
      <c r="Y3093" s="42"/>
      <c r="AA3093" s="321"/>
      <c r="AB3093" s="321"/>
      <c r="AH3093" s="24" t="s">
        <v>3078</v>
      </c>
      <c r="AI3093" s="24" t="s">
        <v>577</v>
      </c>
      <c r="AJ3093" s="24" t="s">
        <v>1645</v>
      </c>
      <c r="AK3093" s="24" t="s">
        <v>132</v>
      </c>
      <c r="AT3093" s="24" t="s">
        <v>161</v>
      </c>
      <c r="AU3093" s="24" t="s">
        <v>161</v>
      </c>
      <c r="AV3093" s="24" t="s">
        <v>177</v>
      </c>
      <c r="AW3093" s="24" t="s">
        <v>160</v>
      </c>
      <c r="BK3093" s="24">
        <v>930</v>
      </c>
      <c r="BL3093" s="24">
        <v>930</v>
      </c>
      <c r="BP3093" s="395"/>
      <c r="BQ3093" s="395"/>
      <c r="BU3093" s="395"/>
      <c r="BV3093" s="395"/>
      <c r="BZ3093" s="395"/>
      <c r="CA3093" s="395"/>
      <c r="CE3093" s="548"/>
      <c r="CF3093" s="548"/>
      <c r="CG3093" s="548"/>
      <c r="CH3093" s="548"/>
      <c r="JB3093" s="24" t="s">
        <v>3072</v>
      </c>
      <c r="JD3093" s="249"/>
    </row>
    <row r="3094" spans="1:264" s="24" customFormat="1" x14ac:dyDescent="0.25">
      <c r="A3094" s="24">
        <v>148</v>
      </c>
      <c r="B3094" s="42" t="s">
        <v>4404</v>
      </c>
      <c r="C3094" s="24" t="s">
        <v>3064</v>
      </c>
      <c r="D3094" s="24" t="s">
        <v>3063</v>
      </c>
      <c r="E3094" s="24">
        <v>1990</v>
      </c>
      <c r="F3094" s="24">
        <v>1985</v>
      </c>
      <c r="G3094" s="24" t="s">
        <v>2696</v>
      </c>
      <c r="H3094" s="24" t="s">
        <v>3065</v>
      </c>
      <c r="I3094" s="24" t="s">
        <v>2827</v>
      </c>
      <c r="J3094" s="24">
        <f t="shared" si="426"/>
        <v>-14</v>
      </c>
      <c r="K3094" s="24">
        <f t="shared" si="427"/>
        <v>33.81666666666667</v>
      </c>
      <c r="L3094" s="24">
        <v>1118.5999999999999</v>
      </c>
      <c r="R3094" s="42" t="s">
        <v>1722</v>
      </c>
      <c r="S3094" s="42" t="s">
        <v>1982</v>
      </c>
      <c r="T3094" s="42"/>
      <c r="U3094" s="42" t="s">
        <v>3066</v>
      </c>
      <c r="V3094" s="42"/>
      <c r="W3094" s="42"/>
      <c r="X3094" s="42"/>
      <c r="Y3094" s="42"/>
      <c r="AA3094" s="321"/>
      <c r="AB3094" s="321"/>
      <c r="AH3094" s="24" t="s">
        <v>3079</v>
      </c>
      <c r="AI3094" s="24" t="s">
        <v>577</v>
      </c>
      <c r="AJ3094" s="24" t="s">
        <v>1645</v>
      </c>
      <c r="AK3094" s="24" t="s">
        <v>132</v>
      </c>
      <c r="AT3094" s="24" t="s">
        <v>161</v>
      </c>
      <c r="AU3094" s="24" t="s">
        <v>161</v>
      </c>
      <c r="AV3094" s="24" t="s">
        <v>177</v>
      </c>
      <c r="AW3094" s="24" t="s">
        <v>160</v>
      </c>
      <c r="BK3094" s="24">
        <v>930</v>
      </c>
      <c r="BL3094" s="24">
        <v>1640</v>
      </c>
      <c r="BP3094" s="395"/>
      <c r="BQ3094" s="395"/>
      <c r="BU3094" s="395"/>
      <c r="BV3094" s="395"/>
      <c r="BZ3094" s="395"/>
      <c r="CA3094" s="395"/>
      <c r="CE3094" s="548"/>
      <c r="CF3094" s="548"/>
      <c r="CG3094" s="548"/>
      <c r="CH3094" s="548"/>
      <c r="JB3094" s="24" t="s">
        <v>3072</v>
      </c>
      <c r="JD3094" s="249"/>
    </row>
    <row r="3095" spans="1:264" s="24" customFormat="1" x14ac:dyDescent="0.25">
      <c r="A3095" s="24">
        <v>148</v>
      </c>
      <c r="B3095" s="42" t="s">
        <v>4404</v>
      </c>
      <c r="C3095" s="24" t="s">
        <v>3064</v>
      </c>
      <c r="D3095" s="24" t="s">
        <v>3063</v>
      </c>
      <c r="E3095" s="24">
        <v>1990</v>
      </c>
      <c r="F3095" s="24">
        <v>1985</v>
      </c>
      <c r="G3095" s="24" t="s">
        <v>2696</v>
      </c>
      <c r="H3095" s="24" t="s">
        <v>3065</v>
      </c>
      <c r="I3095" s="24" t="s">
        <v>2827</v>
      </c>
      <c r="J3095" s="24">
        <f t="shared" si="426"/>
        <v>-14</v>
      </c>
      <c r="K3095" s="24">
        <f t="shared" si="427"/>
        <v>33.81666666666667</v>
      </c>
      <c r="L3095" s="24">
        <v>1118.5999999999999</v>
      </c>
      <c r="R3095" s="42" t="s">
        <v>1722</v>
      </c>
      <c r="S3095" s="42" t="s">
        <v>1982</v>
      </c>
      <c r="T3095" s="42"/>
      <c r="U3095" s="42" t="s">
        <v>3066</v>
      </c>
      <c r="V3095" s="42"/>
      <c r="W3095" s="42"/>
      <c r="X3095" s="42"/>
      <c r="Y3095" s="42"/>
      <c r="AA3095" s="321"/>
      <c r="AB3095" s="321"/>
      <c r="AH3095" s="24" t="s">
        <v>3068</v>
      </c>
      <c r="AI3095" s="24" t="s">
        <v>577</v>
      </c>
      <c r="AJ3095" s="24" t="s">
        <v>1645</v>
      </c>
      <c r="AK3095" s="24" t="s">
        <v>132</v>
      </c>
      <c r="AT3095" s="24" t="s">
        <v>161</v>
      </c>
      <c r="AU3095" s="24" t="s">
        <v>161</v>
      </c>
      <c r="AV3095" s="24" t="s">
        <v>177</v>
      </c>
      <c r="AW3095" s="24" t="s">
        <v>160</v>
      </c>
      <c r="BK3095" s="24">
        <v>930</v>
      </c>
      <c r="BL3095" s="24">
        <v>1040</v>
      </c>
      <c r="BP3095" s="395"/>
      <c r="BQ3095" s="395"/>
      <c r="BU3095" s="395"/>
      <c r="BV3095" s="395"/>
      <c r="BZ3095" s="395"/>
      <c r="CA3095" s="395"/>
      <c r="CE3095" s="548"/>
      <c r="CF3095" s="548"/>
      <c r="CG3095" s="548"/>
      <c r="CH3095" s="548"/>
      <c r="JB3095" s="24" t="s">
        <v>3072</v>
      </c>
      <c r="JD3095" s="249"/>
    </row>
    <row r="3096" spans="1:264" s="24" customFormat="1" x14ac:dyDescent="0.25">
      <c r="A3096" s="24">
        <v>148</v>
      </c>
      <c r="B3096" s="42" t="s">
        <v>4404</v>
      </c>
      <c r="C3096" s="24" t="s">
        <v>3064</v>
      </c>
      <c r="D3096" s="24" t="s">
        <v>3063</v>
      </c>
      <c r="E3096" s="24">
        <v>1990</v>
      </c>
      <c r="F3096" s="24">
        <v>1985</v>
      </c>
      <c r="G3096" s="24" t="s">
        <v>2696</v>
      </c>
      <c r="H3096" s="24" t="s">
        <v>3065</v>
      </c>
      <c r="I3096" s="24" t="s">
        <v>2827</v>
      </c>
      <c r="J3096" s="24">
        <f t="shared" si="426"/>
        <v>-14</v>
      </c>
      <c r="K3096" s="24">
        <f t="shared" si="427"/>
        <v>33.81666666666667</v>
      </c>
      <c r="L3096" s="24">
        <v>1118.5999999999999</v>
      </c>
      <c r="R3096" s="42" t="s">
        <v>1722</v>
      </c>
      <c r="S3096" s="42" t="s">
        <v>1982</v>
      </c>
      <c r="T3096" s="42"/>
      <c r="U3096" s="42" t="s">
        <v>3066</v>
      </c>
      <c r="V3096" s="42"/>
      <c r="W3096" s="42"/>
      <c r="X3096" s="42"/>
      <c r="Y3096" s="42"/>
      <c r="AA3096" s="321"/>
      <c r="AB3096" s="321"/>
      <c r="AH3096" s="24" t="s">
        <v>3080</v>
      </c>
      <c r="AI3096" s="24" t="s">
        <v>577</v>
      </c>
      <c r="AJ3096" s="24" t="s">
        <v>1645</v>
      </c>
      <c r="AK3096" s="24" t="s">
        <v>132</v>
      </c>
      <c r="AT3096" s="24" t="s">
        <v>161</v>
      </c>
      <c r="AU3096" s="24" t="s">
        <v>161</v>
      </c>
      <c r="AV3096" s="24" t="s">
        <v>177</v>
      </c>
      <c r="AW3096" s="24" t="s">
        <v>160</v>
      </c>
      <c r="BK3096" s="24">
        <v>930</v>
      </c>
      <c r="BL3096" s="24">
        <v>1060</v>
      </c>
      <c r="BP3096" s="395"/>
      <c r="BQ3096" s="395"/>
      <c r="BU3096" s="395"/>
      <c r="BV3096" s="395"/>
      <c r="BZ3096" s="395"/>
      <c r="CA3096" s="395"/>
      <c r="CE3096" s="548"/>
      <c r="CF3096" s="548"/>
      <c r="CG3096" s="548"/>
      <c r="CH3096" s="548"/>
      <c r="JB3096" s="24" t="s">
        <v>3072</v>
      </c>
      <c r="JD3096" s="249"/>
    </row>
    <row r="3097" spans="1:264" s="24" customFormat="1" x14ac:dyDescent="0.25">
      <c r="A3097" s="24">
        <v>148</v>
      </c>
      <c r="B3097" s="42" t="s">
        <v>4404</v>
      </c>
      <c r="C3097" s="24" t="s">
        <v>3064</v>
      </c>
      <c r="D3097" s="24" t="s">
        <v>3063</v>
      </c>
      <c r="E3097" s="24">
        <v>1990</v>
      </c>
      <c r="F3097" s="24">
        <v>1985</v>
      </c>
      <c r="G3097" s="24" t="s">
        <v>2696</v>
      </c>
      <c r="H3097" s="24" t="s">
        <v>3065</v>
      </c>
      <c r="I3097" s="24" t="s">
        <v>2827</v>
      </c>
      <c r="J3097" s="24">
        <f t="shared" si="426"/>
        <v>-14</v>
      </c>
      <c r="K3097" s="24">
        <f t="shared" si="427"/>
        <v>33.81666666666667</v>
      </c>
      <c r="L3097" s="24">
        <v>1118.5999999999999</v>
      </c>
      <c r="R3097" s="42" t="s">
        <v>1722</v>
      </c>
      <c r="S3097" s="42" t="s">
        <v>1982</v>
      </c>
      <c r="T3097" s="42"/>
      <c r="U3097" s="42" t="s">
        <v>3066</v>
      </c>
      <c r="V3097" s="42"/>
      <c r="W3097" s="42"/>
      <c r="X3097" s="42"/>
      <c r="Y3097" s="42"/>
      <c r="AA3097" s="321"/>
      <c r="AB3097" s="321"/>
      <c r="AH3097" s="24" t="s">
        <v>3081</v>
      </c>
      <c r="AI3097" s="24" t="s">
        <v>577</v>
      </c>
      <c r="AJ3097" s="24" t="s">
        <v>1645</v>
      </c>
      <c r="AK3097" s="24" t="s">
        <v>132</v>
      </c>
      <c r="AT3097" s="24" t="s">
        <v>161</v>
      </c>
      <c r="AU3097" s="24" t="s">
        <v>161</v>
      </c>
      <c r="AV3097" s="24" t="s">
        <v>177</v>
      </c>
      <c r="AW3097" s="24" t="s">
        <v>160</v>
      </c>
      <c r="BK3097" s="24">
        <v>930</v>
      </c>
      <c r="BL3097" s="24">
        <v>960</v>
      </c>
      <c r="BP3097" s="395"/>
      <c r="BQ3097" s="395"/>
      <c r="BU3097" s="395"/>
      <c r="BV3097" s="395"/>
      <c r="BZ3097" s="395"/>
      <c r="CA3097" s="395"/>
      <c r="CE3097" s="548"/>
      <c r="CF3097" s="548"/>
      <c r="CG3097" s="548"/>
      <c r="CH3097" s="548"/>
      <c r="JB3097" s="24" t="s">
        <v>3072</v>
      </c>
      <c r="JD3097" s="249"/>
    </row>
    <row r="3098" spans="1:264" s="32" customFormat="1" x14ac:dyDescent="0.25">
      <c r="A3098" s="32">
        <v>148</v>
      </c>
      <c r="B3098" s="44" t="s">
        <v>4404</v>
      </c>
      <c r="C3098" s="32" t="s">
        <v>3064</v>
      </c>
      <c r="D3098" s="32" t="s">
        <v>3063</v>
      </c>
      <c r="E3098" s="32">
        <v>1990</v>
      </c>
      <c r="F3098" s="32">
        <v>1986</v>
      </c>
      <c r="G3098" s="32" t="s">
        <v>2696</v>
      </c>
      <c r="H3098" s="32" t="s">
        <v>3065</v>
      </c>
      <c r="I3098" s="32" t="s">
        <v>2827</v>
      </c>
      <c r="J3098" s="32">
        <f t="shared" si="426"/>
        <v>-14</v>
      </c>
      <c r="K3098" s="32">
        <f t="shared" si="427"/>
        <v>33.81666666666667</v>
      </c>
      <c r="L3098" s="32">
        <v>1118.5999999999999</v>
      </c>
      <c r="R3098" s="44" t="s">
        <v>1843</v>
      </c>
      <c r="S3098" s="44" t="s">
        <v>1982</v>
      </c>
      <c r="T3098" s="44"/>
      <c r="U3098" s="44" t="s">
        <v>3066</v>
      </c>
      <c r="V3098" s="44"/>
      <c r="W3098" s="44"/>
      <c r="X3098" s="44"/>
      <c r="Y3098" s="44"/>
      <c r="AA3098" s="323"/>
      <c r="AB3098" s="323"/>
      <c r="AH3098" s="32" t="s">
        <v>3067</v>
      </c>
      <c r="AI3098" s="32" t="s">
        <v>577</v>
      </c>
      <c r="AJ3098" s="32" t="s">
        <v>1645</v>
      </c>
      <c r="AK3098" s="32" t="s">
        <v>132</v>
      </c>
      <c r="AT3098" s="32" t="s">
        <v>161</v>
      </c>
      <c r="AU3098" s="32" t="s">
        <v>161</v>
      </c>
      <c r="AV3098" s="32" t="s">
        <v>177</v>
      </c>
      <c r="AW3098" s="32" t="s">
        <v>160</v>
      </c>
      <c r="BK3098" s="32">
        <v>2100</v>
      </c>
      <c r="BL3098" s="32">
        <v>3550</v>
      </c>
      <c r="BP3098" s="397"/>
      <c r="BQ3098" s="397"/>
      <c r="BU3098" s="397"/>
      <c r="BV3098" s="397"/>
      <c r="BZ3098" s="397"/>
      <c r="CA3098" s="397"/>
      <c r="CE3098" s="550"/>
      <c r="CF3098" s="550"/>
      <c r="CG3098" s="550"/>
      <c r="CH3098" s="550"/>
      <c r="JB3098" s="32" t="s">
        <v>3072</v>
      </c>
      <c r="JD3098" s="243"/>
    </row>
    <row r="3099" spans="1:264" s="32" customFormat="1" x14ac:dyDescent="0.25">
      <c r="A3099" s="32">
        <v>148</v>
      </c>
      <c r="B3099" s="44" t="s">
        <v>4404</v>
      </c>
      <c r="C3099" s="32" t="s">
        <v>3064</v>
      </c>
      <c r="D3099" s="32" t="s">
        <v>3063</v>
      </c>
      <c r="E3099" s="32">
        <v>1990</v>
      </c>
      <c r="F3099" s="32">
        <v>1986</v>
      </c>
      <c r="G3099" s="32" t="s">
        <v>2696</v>
      </c>
      <c r="H3099" s="32" t="s">
        <v>3065</v>
      </c>
      <c r="I3099" s="32" t="s">
        <v>2827</v>
      </c>
      <c r="J3099" s="32">
        <f t="shared" si="426"/>
        <v>-14</v>
      </c>
      <c r="K3099" s="32">
        <f t="shared" si="427"/>
        <v>33.81666666666667</v>
      </c>
      <c r="L3099" s="32">
        <v>1118.5999999999999</v>
      </c>
      <c r="R3099" s="44" t="s">
        <v>1843</v>
      </c>
      <c r="S3099" s="44" t="s">
        <v>1982</v>
      </c>
      <c r="T3099" s="44"/>
      <c r="U3099" s="44" t="s">
        <v>3066</v>
      </c>
      <c r="V3099" s="44"/>
      <c r="W3099" s="44"/>
      <c r="X3099" s="44"/>
      <c r="Y3099" s="44"/>
      <c r="AA3099" s="323"/>
      <c r="AB3099" s="323"/>
      <c r="AH3099" s="32" t="s">
        <v>3073</v>
      </c>
      <c r="AI3099" s="32" t="s">
        <v>577</v>
      </c>
      <c r="AJ3099" s="32" t="s">
        <v>1645</v>
      </c>
      <c r="AK3099" s="32" t="s">
        <v>132</v>
      </c>
      <c r="AT3099" s="32" t="s">
        <v>161</v>
      </c>
      <c r="AU3099" s="32" t="s">
        <v>161</v>
      </c>
      <c r="AV3099" s="32" t="s">
        <v>177</v>
      </c>
      <c r="AW3099" s="32" t="s">
        <v>160</v>
      </c>
      <c r="BK3099" s="32">
        <v>2100</v>
      </c>
      <c r="BL3099" s="32">
        <v>3540</v>
      </c>
      <c r="BP3099" s="397"/>
      <c r="BQ3099" s="397"/>
      <c r="BU3099" s="397"/>
      <c r="BV3099" s="397"/>
      <c r="BZ3099" s="397"/>
      <c r="CA3099" s="397"/>
      <c r="CE3099" s="550"/>
      <c r="CF3099" s="550"/>
      <c r="CG3099" s="550"/>
      <c r="CH3099" s="550"/>
      <c r="JB3099" s="32" t="s">
        <v>3072</v>
      </c>
      <c r="JD3099" s="243"/>
    </row>
    <row r="3100" spans="1:264" s="32" customFormat="1" x14ac:dyDescent="0.25">
      <c r="A3100" s="32">
        <v>148</v>
      </c>
      <c r="B3100" s="44" t="s">
        <v>4404</v>
      </c>
      <c r="C3100" s="32" t="s">
        <v>3064</v>
      </c>
      <c r="D3100" s="32" t="s">
        <v>3063</v>
      </c>
      <c r="E3100" s="32">
        <v>1990</v>
      </c>
      <c r="F3100" s="32">
        <v>1986</v>
      </c>
      <c r="G3100" s="32" t="s">
        <v>2696</v>
      </c>
      <c r="H3100" s="32" t="s">
        <v>3065</v>
      </c>
      <c r="I3100" s="32" t="s">
        <v>2827</v>
      </c>
      <c r="J3100" s="32">
        <f t="shared" si="426"/>
        <v>-14</v>
      </c>
      <c r="K3100" s="32">
        <f t="shared" si="427"/>
        <v>33.81666666666667</v>
      </c>
      <c r="L3100" s="32">
        <v>1118.5999999999999</v>
      </c>
      <c r="R3100" s="44" t="s">
        <v>1843</v>
      </c>
      <c r="S3100" s="44" t="s">
        <v>1982</v>
      </c>
      <c r="T3100" s="44"/>
      <c r="U3100" s="44" t="s">
        <v>3066</v>
      </c>
      <c r="V3100" s="44"/>
      <c r="W3100" s="44"/>
      <c r="X3100" s="44"/>
      <c r="Y3100" s="44"/>
      <c r="AA3100" s="323"/>
      <c r="AB3100" s="323"/>
      <c r="AH3100" s="32" t="s">
        <v>3074</v>
      </c>
      <c r="AI3100" s="32" t="s">
        <v>577</v>
      </c>
      <c r="AJ3100" s="32" t="s">
        <v>1645</v>
      </c>
      <c r="AK3100" s="32" t="s">
        <v>132</v>
      </c>
      <c r="AT3100" s="32" t="s">
        <v>161</v>
      </c>
      <c r="AU3100" s="32" t="s">
        <v>161</v>
      </c>
      <c r="AV3100" s="32" t="s">
        <v>177</v>
      </c>
      <c r="AW3100" s="32" t="s">
        <v>160</v>
      </c>
      <c r="BK3100" s="32">
        <v>2100</v>
      </c>
      <c r="BL3100" s="32">
        <v>3230</v>
      </c>
      <c r="BP3100" s="397"/>
      <c r="BQ3100" s="397"/>
      <c r="BU3100" s="397"/>
      <c r="BV3100" s="397"/>
      <c r="BZ3100" s="397"/>
      <c r="CA3100" s="397"/>
      <c r="CE3100" s="550"/>
      <c r="CF3100" s="550"/>
      <c r="CG3100" s="550"/>
      <c r="CH3100" s="550"/>
      <c r="JB3100" s="32" t="s">
        <v>3072</v>
      </c>
      <c r="JD3100" s="243"/>
    </row>
    <row r="3101" spans="1:264" s="32" customFormat="1" x14ac:dyDescent="0.25">
      <c r="A3101" s="32">
        <v>148</v>
      </c>
      <c r="B3101" s="44" t="s">
        <v>4404</v>
      </c>
      <c r="C3101" s="32" t="s">
        <v>3064</v>
      </c>
      <c r="D3101" s="32" t="s">
        <v>3063</v>
      </c>
      <c r="E3101" s="32">
        <v>1990</v>
      </c>
      <c r="F3101" s="32">
        <v>1986</v>
      </c>
      <c r="G3101" s="32" t="s">
        <v>2696</v>
      </c>
      <c r="H3101" s="32" t="s">
        <v>3065</v>
      </c>
      <c r="I3101" s="32" t="s">
        <v>2827</v>
      </c>
      <c r="J3101" s="32">
        <f t="shared" si="426"/>
        <v>-14</v>
      </c>
      <c r="K3101" s="32">
        <f t="shared" si="427"/>
        <v>33.81666666666667</v>
      </c>
      <c r="L3101" s="32">
        <v>1118.5999999999999</v>
      </c>
      <c r="R3101" s="44" t="s">
        <v>1843</v>
      </c>
      <c r="S3101" s="44" t="s">
        <v>1982</v>
      </c>
      <c r="T3101" s="44"/>
      <c r="U3101" s="44" t="s">
        <v>3066</v>
      </c>
      <c r="V3101" s="44"/>
      <c r="W3101" s="44"/>
      <c r="X3101" s="44"/>
      <c r="Y3101" s="44"/>
      <c r="AA3101" s="323"/>
      <c r="AB3101" s="323"/>
      <c r="AH3101" s="32" t="s">
        <v>3075</v>
      </c>
      <c r="AI3101" s="32" t="s">
        <v>577</v>
      </c>
      <c r="AJ3101" s="32" t="s">
        <v>1645</v>
      </c>
      <c r="AK3101" s="32" t="s">
        <v>132</v>
      </c>
      <c r="AT3101" s="32" t="s">
        <v>161</v>
      </c>
      <c r="AU3101" s="32" t="s">
        <v>161</v>
      </c>
      <c r="AV3101" s="32" t="s">
        <v>177</v>
      </c>
      <c r="AW3101" s="32" t="s">
        <v>160</v>
      </c>
      <c r="BK3101" s="32">
        <v>2100</v>
      </c>
      <c r="BL3101" s="32">
        <v>3590</v>
      </c>
      <c r="BP3101" s="397"/>
      <c r="BQ3101" s="397"/>
      <c r="BU3101" s="397"/>
      <c r="BV3101" s="397"/>
      <c r="BZ3101" s="397"/>
      <c r="CA3101" s="397"/>
      <c r="CE3101" s="550"/>
      <c r="CF3101" s="550"/>
      <c r="CG3101" s="550"/>
      <c r="CH3101" s="550"/>
      <c r="JB3101" s="32" t="s">
        <v>3072</v>
      </c>
      <c r="JD3101" s="243"/>
    </row>
    <row r="3102" spans="1:264" s="32" customFormat="1" x14ac:dyDescent="0.25">
      <c r="A3102" s="32">
        <v>148</v>
      </c>
      <c r="B3102" s="44" t="s">
        <v>4404</v>
      </c>
      <c r="C3102" s="32" t="s">
        <v>3064</v>
      </c>
      <c r="D3102" s="32" t="s">
        <v>3063</v>
      </c>
      <c r="E3102" s="32">
        <v>1990</v>
      </c>
      <c r="F3102" s="32">
        <v>1986</v>
      </c>
      <c r="G3102" s="32" t="s">
        <v>2696</v>
      </c>
      <c r="H3102" s="32" t="s">
        <v>3065</v>
      </c>
      <c r="I3102" s="32" t="s">
        <v>2827</v>
      </c>
      <c r="J3102" s="32">
        <f t="shared" si="426"/>
        <v>-14</v>
      </c>
      <c r="K3102" s="32">
        <f t="shared" si="427"/>
        <v>33.81666666666667</v>
      </c>
      <c r="L3102" s="32">
        <v>1118.5999999999999</v>
      </c>
      <c r="R3102" s="44" t="s">
        <v>1843</v>
      </c>
      <c r="S3102" s="44" t="s">
        <v>1982</v>
      </c>
      <c r="T3102" s="44"/>
      <c r="U3102" s="44" t="s">
        <v>3066</v>
      </c>
      <c r="V3102" s="44"/>
      <c r="W3102" s="44"/>
      <c r="X3102" s="44"/>
      <c r="Y3102" s="44"/>
      <c r="AA3102" s="323"/>
      <c r="AB3102" s="323"/>
      <c r="AH3102" s="32" t="s">
        <v>3076</v>
      </c>
      <c r="AI3102" s="32" t="s">
        <v>577</v>
      </c>
      <c r="AJ3102" s="32" t="s">
        <v>1645</v>
      </c>
      <c r="AK3102" s="32" t="s">
        <v>132</v>
      </c>
      <c r="AT3102" s="32" t="s">
        <v>161</v>
      </c>
      <c r="AU3102" s="32" t="s">
        <v>161</v>
      </c>
      <c r="AV3102" s="32" t="s">
        <v>177</v>
      </c>
      <c r="AW3102" s="32" t="s">
        <v>160</v>
      </c>
      <c r="BK3102" s="32">
        <v>2100</v>
      </c>
      <c r="BL3102" s="32">
        <v>3490</v>
      </c>
      <c r="BP3102" s="397"/>
      <c r="BQ3102" s="397"/>
      <c r="BU3102" s="397"/>
      <c r="BV3102" s="397"/>
      <c r="BZ3102" s="397"/>
      <c r="CA3102" s="397"/>
      <c r="CE3102" s="550"/>
      <c r="CF3102" s="550"/>
      <c r="CG3102" s="550"/>
      <c r="CH3102" s="550"/>
      <c r="JB3102" s="32" t="s">
        <v>3072</v>
      </c>
      <c r="JD3102" s="243"/>
    </row>
    <row r="3103" spans="1:264" s="32" customFormat="1" x14ac:dyDescent="0.25">
      <c r="A3103" s="32">
        <v>148</v>
      </c>
      <c r="B3103" s="44" t="s">
        <v>4404</v>
      </c>
      <c r="C3103" s="32" t="s">
        <v>3064</v>
      </c>
      <c r="D3103" s="32" t="s">
        <v>3063</v>
      </c>
      <c r="E3103" s="32">
        <v>1990</v>
      </c>
      <c r="F3103" s="32">
        <v>1986</v>
      </c>
      <c r="G3103" s="32" t="s">
        <v>2696</v>
      </c>
      <c r="H3103" s="32" t="s">
        <v>3065</v>
      </c>
      <c r="I3103" s="32" t="s">
        <v>2827</v>
      </c>
      <c r="J3103" s="32">
        <f t="shared" si="426"/>
        <v>-14</v>
      </c>
      <c r="K3103" s="32">
        <f t="shared" si="427"/>
        <v>33.81666666666667</v>
      </c>
      <c r="L3103" s="32">
        <v>1118.5999999999999</v>
      </c>
      <c r="R3103" s="44" t="s">
        <v>1843</v>
      </c>
      <c r="S3103" s="44" t="s">
        <v>1982</v>
      </c>
      <c r="T3103" s="44"/>
      <c r="U3103" s="44" t="s">
        <v>3066</v>
      </c>
      <c r="V3103" s="44"/>
      <c r="W3103" s="44"/>
      <c r="X3103" s="44"/>
      <c r="Y3103" s="44"/>
      <c r="AA3103" s="323"/>
      <c r="AB3103" s="323"/>
      <c r="AH3103" s="32" t="s">
        <v>3077</v>
      </c>
      <c r="AI3103" s="32" t="s">
        <v>577</v>
      </c>
      <c r="AJ3103" s="32" t="s">
        <v>1645</v>
      </c>
      <c r="AK3103" s="32" t="s">
        <v>132</v>
      </c>
      <c r="AT3103" s="32" t="s">
        <v>161</v>
      </c>
      <c r="AU3103" s="32" t="s">
        <v>161</v>
      </c>
      <c r="AV3103" s="32" t="s">
        <v>177</v>
      </c>
      <c r="AW3103" s="32" t="s">
        <v>160</v>
      </c>
      <c r="BK3103" s="32">
        <v>2100</v>
      </c>
      <c r="BL3103" s="32">
        <v>3040</v>
      </c>
      <c r="BP3103" s="397"/>
      <c r="BQ3103" s="397"/>
      <c r="BU3103" s="397"/>
      <c r="BV3103" s="397"/>
      <c r="BZ3103" s="397"/>
      <c r="CA3103" s="397"/>
      <c r="CE3103" s="550"/>
      <c r="CF3103" s="550"/>
      <c r="CG3103" s="550"/>
      <c r="CH3103" s="550"/>
      <c r="JB3103" s="32" t="s">
        <v>3072</v>
      </c>
      <c r="JD3103" s="243"/>
    </row>
    <row r="3104" spans="1:264" s="32" customFormat="1" x14ac:dyDescent="0.25">
      <c r="A3104" s="32">
        <v>148</v>
      </c>
      <c r="B3104" s="44" t="s">
        <v>4404</v>
      </c>
      <c r="C3104" s="32" t="s">
        <v>3064</v>
      </c>
      <c r="D3104" s="32" t="s">
        <v>3063</v>
      </c>
      <c r="E3104" s="32">
        <v>1990</v>
      </c>
      <c r="F3104" s="32">
        <v>1986</v>
      </c>
      <c r="G3104" s="32" t="s">
        <v>2696</v>
      </c>
      <c r="H3104" s="32" t="s">
        <v>3065</v>
      </c>
      <c r="I3104" s="32" t="s">
        <v>2827</v>
      </c>
      <c r="J3104" s="32">
        <f t="shared" si="426"/>
        <v>-14</v>
      </c>
      <c r="K3104" s="32">
        <f t="shared" si="427"/>
        <v>33.81666666666667</v>
      </c>
      <c r="L3104" s="32">
        <v>1118.5999999999999</v>
      </c>
      <c r="R3104" s="44" t="s">
        <v>1843</v>
      </c>
      <c r="S3104" s="44" t="s">
        <v>1982</v>
      </c>
      <c r="T3104" s="44"/>
      <c r="U3104" s="44" t="s">
        <v>3066</v>
      </c>
      <c r="V3104" s="44"/>
      <c r="W3104" s="44"/>
      <c r="X3104" s="44"/>
      <c r="Y3104" s="44"/>
      <c r="AA3104" s="323"/>
      <c r="AB3104" s="323"/>
      <c r="AH3104" s="32" t="s">
        <v>3078</v>
      </c>
      <c r="AI3104" s="32" t="s">
        <v>577</v>
      </c>
      <c r="AJ3104" s="32" t="s">
        <v>1645</v>
      </c>
      <c r="AK3104" s="32" t="s">
        <v>132</v>
      </c>
      <c r="AT3104" s="32" t="s">
        <v>161</v>
      </c>
      <c r="AU3104" s="32" t="s">
        <v>161</v>
      </c>
      <c r="AV3104" s="32" t="s">
        <v>177</v>
      </c>
      <c r="AW3104" s="32" t="s">
        <v>160</v>
      </c>
      <c r="BK3104" s="32">
        <v>2100</v>
      </c>
      <c r="BL3104" s="32">
        <v>3390</v>
      </c>
      <c r="BP3104" s="397"/>
      <c r="BQ3104" s="397"/>
      <c r="BU3104" s="397"/>
      <c r="BV3104" s="397"/>
      <c r="BZ3104" s="397"/>
      <c r="CA3104" s="397"/>
      <c r="CE3104" s="550"/>
      <c r="CF3104" s="550"/>
      <c r="CG3104" s="550"/>
      <c r="CH3104" s="550"/>
      <c r="JB3104" s="32" t="s">
        <v>3072</v>
      </c>
      <c r="JD3104" s="243"/>
    </row>
    <row r="3105" spans="1:264" s="32" customFormat="1" x14ac:dyDescent="0.25">
      <c r="A3105" s="32">
        <v>148</v>
      </c>
      <c r="B3105" s="44" t="s">
        <v>4404</v>
      </c>
      <c r="C3105" s="32" t="s">
        <v>3064</v>
      </c>
      <c r="D3105" s="32" t="s">
        <v>3063</v>
      </c>
      <c r="E3105" s="32">
        <v>1990</v>
      </c>
      <c r="F3105" s="32">
        <v>1986</v>
      </c>
      <c r="G3105" s="32" t="s">
        <v>2696</v>
      </c>
      <c r="H3105" s="32" t="s">
        <v>3065</v>
      </c>
      <c r="I3105" s="32" t="s">
        <v>2827</v>
      </c>
      <c r="J3105" s="32">
        <f t="shared" si="426"/>
        <v>-14</v>
      </c>
      <c r="K3105" s="32">
        <f t="shared" si="427"/>
        <v>33.81666666666667</v>
      </c>
      <c r="L3105" s="32">
        <v>1118.5999999999999</v>
      </c>
      <c r="R3105" s="44" t="s">
        <v>1843</v>
      </c>
      <c r="S3105" s="44" t="s">
        <v>1982</v>
      </c>
      <c r="T3105" s="44"/>
      <c r="U3105" s="44" t="s">
        <v>3066</v>
      </c>
      <c r="V3105" s="44"/>
      <c r="W3105" s="44"/>
      <c r="X3105" s="44"/>
      <c r="Y3105" s="44"/>
      <c r="AA3105" s="323"/>
      <c r="AB3105" s="323"/>
      <c r="AH3105" s="32" t="s">
        <v>3079</v>
      </c>
      <c r="AI3105" s="32" t="s">
        <v>577</v>
      </c>
      <c r="AJ3105" s="32" t="s">
        <v>1645</v>
      </c>
      <c r="AK3105" s="32" t="s">
        <v>132</v>
      </c>
      <c r="AT3105" s="32" t="s">
        <v>161</v>
      </c>
      <c r="AU3105" s="32" t="s">
        <v>161</v>
      </c>
      <c r="AV3105" s="32" t="s">
        <v>177</v>
      </c>
      <c r="AW3105" s="32" t="s">
        <v>160</v>
      </c>
      <c r="BK3105" s="32">
        <v>2100</v>
      </c>
      <c r="BL3105" s="32">
        <v>3200</v>
      </c>
      <c r="BP3105" s="397"/>
      <c r="BQ3105" s="397"/>
      <c r="BU3105" s="397"/>
      <c r="BV3105" s="397"/>
      <c r="BZ3105" s="397"/>
      <c r="CA3105" s="397"/>
      <c r="CE3105" s="550"/>
      <c r="CF3105" s="550"/>
      <c r="CG3105" s="550"/>
      <c r="CH3105" s="550"/>
      <c r="JB3105" s="32" t="s">
        <v>3072</v>
      </c>
      <c r="JD3105" s="243"/>
    </row>
    <row r="3106" spans="1:264" s="32" customFormat="1" x14ac:dyDescent="0.25">
      <c r="A3106" s="32">
        <v>148</v>
      </c>
      <c r="B3106" s="44" t="s">
        <v>4404</v>
      </c>
      <c r="C3106" s="32" t="s">
        <v>3064</v>
      </c>
      <c r="D3106" s="32" t="s">
        <v>3063</v>
      </c>
      <c r="E3106" s="32">
        <v>1990</v>
      </c>
      <c r="F3106" s="32">
        <v>1986</v>
      </c>
      <c r="G3106" s="32" t="s">
        <v>2696</v>
      </c>
      <c r="H3106" s="32" t="s">
        <v>3065</v>
      </c>
      <c r="I3106" s="32" t="s">
        <v>2827</v>
      </c>
      <c r="J3106" s="32">
        <f t="shared" si="426"/>
        <v>-14</v>
      </c>
      <c r="K3106" s="32">
        <f t="shared" si="427"/>
        <v>33.81666666666667</v>
      </c>
      <c r="L3106" s="32">
        <v>1118.5999999999999</v>
      </c>
      <c r="R3106" s="44" t="s">
        <v>1843</v>
      </c>
      <c r="S3106" s="44" t="s">
        <v>1982</v>
      </c>
      <c r="T3106" s="44"/>
      <c r="U3106" s="44" t="s">
        <v>3066</v>
      </c>
      <c r="V3106" s="44"/>
      <c r="W3106" s="44"/>
      <c r="X3106" s="44"/>
      <c r="Y3106" s="44"/>
      <c r="AA3106" s="323"/>
      <c r="AB3106" s="323"/>
      <c r="AH3106" s="32" t="s">
        <v>3068</v>
      </c>
      <c r="AI3106" s="32" t="s">
        <v>577</v>
      </c>
      <c r="AJ3106" s="32" t="s">
        <v>1645</v>
      </c>
      <c r="AK3106" s="32" t="s">
        <v>132</v>
      </c>
      <c r="AT3106" s="32" t="s">
        <v>161</v>
      </c>
      <c r="AU3106" s="32" t="s">
        <v>161</v>
      </c>
      <c r="AV3106" s="32" t="s">
        <v>177</v>
      </c>
      <c r="AW3106" s="32" t="s">
        <v>160</v>
      </c>
      <c r="BK3106" s="32">
        <v>2100</v>
      </c>
      <c r="BL3106" s="32">
        <v>2920</v>
      </c>
      <c r="BP3106" s="397"/>
      <c r="BQ3106" s="397"/>
      <c r="BU3106" s="397"/>
      <c r="BV3106" s="397"/>
      <c r="BZ3106" s="397"/>
      <c r="CA3106" s="397"/>
      <c r="CE3106" s="550"/>
      <c r="CF3106" s="550"/>
      <c r="CG3106" s="550"/>
      <c r="CH3106" s="550"/>
      <c r="JB3106" s="32" t="s">
        <v>3072</v>
      </c>
      <c r="JD3106" s="243"/>
    </row>
    <row r="3107" spans="1:264" s="32" customFormat="1" x14ac:dyDescent="0.25">
      <c r="A3107" s="32">
        <v>148</v>
      </c>
      <c r="B3107" s="44" t="s">
        <v>4404</v>
      </c>
      <c r="C3107" s="32" t="s">
        <v>3064</v>
      </c>
      <c r="D3107" s="32" t="s">
        <v>3063</v>
      </c>
      <c r="E3107" s="32">
        <v>1990</v>
      </c>
      <c r="F3107" s="32">
        <v>1986</v>
      </c>
      <c r="G3107" s="32" t="s">
        <v>2696</v>
      </c>
      <c r="H3107" s="32" t="s">
        <v>3065</v>
      </c>
      <c r="I3107" s="32" t="s">
        <v>2827</v>
      </c>
      <c r="J3107" s="32">
        <f t="shared" si="426"/>
        <v>-14</v>
      </c>
      <c r="K3107" s="32">
        <f t="shared" si="427"/>
        <v>33.81666666666667</v>
      </c>
      <c r="L3107" s="32">
        <v>1118.5999999999999</v>
      </c>
      <c r="R3107" s="44" t="s">
        <v>1843</v>
      </c>
      <c r="S3107" s="44" t="s">
        <v>1982</v>
      </c>
      <c r="T3107" s="44"/>
      <c r="U3107" s="44" t="s">
        <v>3066</v>
      </c>
      <c r="V3107" s="44"/>
      <c r="W3107" s="44"/>
      <c r="X3107" s="44"/>
      <c r="Y3107" s="44"/>
      <c r="AA3107" s="323"/>
      <c r="AB3107" s="323"/>
      <c r="AH3107" s="32" t="s">
        <v>3080</v>
      </c>
      <c r="AI3107" s="32" t="s">
        <v>577</v>
      </c>
      <c r="AJ3107" s="32" t="s">
        <v>1645</v>
      </c>
      <c r="AK3107" s="32" t="s">
        <v>132</v>
      </c>
      <c r="AT3107" s="32" t="s">
        <v>161</v>
      </c>
      <c r="AU3107" s="32" t="s">
        <v>161</v>
      </c>
      <c r="AV3107" s="32" t="s">
        <v>177</v>
      </c>
      <c r="AW3107" s="32" t="s">
        <v>160</v>
      </c>
      <c r="BK3107" s="32">
        <v>2100</v>
      </c>
      <c r="BL3107" s="32">
        <v>3120</v>
      </c>
      <c r="BP3107" s="397"/>
      <c r="BQ3107" s="397"/>
      <c r="BU3107" s="397"/>
      <c r="BV3107" s="397"/>
      <c r="BZ3107" s="397"/>
      <c r="CA3107" s="397"/>
      <c r="CE3107" s="550"/>
      <c r="CF3107" s="550"/>
      <c r="CG3107" s="550"/>
      <c r="CH3107" s="550"/>
      <c r="JB3107" s="32" t="s">
        <v>3072</v>
      </c>
      <c r="JD3107" s="243"/>
    </row>
    <row r="3108" spans="1:264" s="32" customFormat="1" x14ac:dyDescent="0.25">
      <c r="A3108" s="32">
        <v>148</v>
      </c>
      <c r="B3108" s="44" t="s">
        <v>4404</v>
      </c>
      <c r="C3108" s="32" t="s">
        <v>3064</v>
      </c>
      <c r="D3108" s="32" t="s">
        <v>3063</v>
      </c>
      <c r="E3108" s="32">
        <v>1990</v>
      </c>
      <c r="F3108" s="32">
        <v>1986</v>
      </c>
      <c r="G3108" s="32" t="s">
        <v>2696</v>
      </c>
      <c r="H3108" s="32" t="s">
        <v>3065</v>
      </c>
      <c r="I3108" s="32" t="s">
        <v>2827</v>
      </c>
      <c r="J3108" s="32">
        <f t="shared" si="426"/>
        <v>-14</v>
      </c>
      <c r="K3108" s="32">
        <f t="shared" si="427"/>
        <v>33.81666666666667</v>
      </c>
      <c r="L3108" s="32">
        <v>1118.5999999999999</v>
      </c>
      <c r="R3108" s="44" t="s">
        <v>1843</v>
      </c>
      <c r="S3108" s="44" t="s">
        <v>1982</v>
      </c>
      <c r="T3108" s="44"/>
      <c r="U3108" s="44" t="s">
        <v>3066</v>
      </c>
      <c r="V3108" s="44"/>
      <c r="W3108" s="44"/>
      <c r="X3108" s="44"/>
      <c r="Y3108" s="44"/>
      <c r="AA3108" s="323"/>
      <c r="AB3108" s="323"/>
      <c r="AH3108" s="32" t="s">
        <v>3081</v>
      </c>
      <c r="AI3108" s="32" t="s">
        <v>577</v>
      </c>
      <c r="AJ3108" s="32" t="s">
        <v>1645</v>
      </c>
      <c r="AK3108" s="32" t="s">
        <v>132</v>
      </c>
      <c r="AT3108" s="32" t="s">
        <v>161</v>
      </c>
      <c r="AU3108" s="32" t="s">
        <v>161</v>
      </c>
      <c r="AV3108" s="32" t="s">
        <v>177</v>
      </c>
      <c r="AW3108" s="32" t="s">
        <v>160</v>
      </c>
      <c r="BK3108" s="32">
        <v>2100</v>
      </c>
      <c r="BL3108" s="32">
        <v>2310</v>
      </c>
      <c r="BP3108" s="397"/>
      <c r="BQ3108" s="397"/>
      <c r="BU3108" s="397"/>
      <c r="BV3108" s="397"/>
      <c r="BZ3108" s="397"/>
      <c r="CA3108" s="397"/>
      <c r="CE3108" s="550"/>
      <c r="CF3108" s="550"/>
      <c r="CG3108" s="550"/>
      <c r="CH3108" s="550"/>
      <c r="JB3108" s="32" t="s">
        <v>3072</v>
      </c>
      <c r="JD3108" s="243"/>
    </row>
    <row r="3109" spans="1:264" s="24" customFormat="1" x14ac:dyDescent="0.25">
      <c r="A3109" s="24">
        <v>148</v>
      </c>
      <c r="B3109" s="42" t="s">
        <v>4404</v>
      </c>
      <c r="C3109" s="24" t="s">
        <v>3064</v>
      </c>
      <c r="D3109" s="24" t="s">
        <v>3063</v>
      </c>
      <c r="E3109" s="24">
        <v>1990</v>
      </c>
      <c r="F3109" s="24">
        <v>1987</v>
      </c>
      <c r="G3109" s="24" t="s">
        <v>2696</v>
      </c>
      <c r="H3109" s="24" t="s">
        <v>3065</v>
      </c>
      <c r="I3109" s="24" t="s">
        <v>2827</v>
      </c>
      <c r="J3109" s="24">
        <f t="shared" si="426"/>
        <v>-14</v>
      </c>
      <c r="K3109" s="24">
        <f t="shared" si="427"/>
        <v>33.81666666666667</v>
      </c>
      <c r="L3109" s="24">
        <v>1118.5999999999999</v>
      </c>
      <c r="R3109" s="42" t="s">
        <v>1734</v>
      </c>
      <c r="S3109" s="42" t="s">
        <v>1982</v>
      </c>
      <c r="T3109" s="42"/>
      <c r="U3109" s="42" t="s">
        <v>3066</v>
      </c>
      <c r="V3109" s="42"/>
      <c r="W3109" s="42"/>
      <c r="X3109" s="42"/>
      <c r="Y3109" s="42"/>
      <c r="AA3109" s="321"/>
      <c r="AB3109" s="321"/>
      <c r="AH3109" s="24" t="s">
        <v>3067</v>
      </c>
      <c r="AI3109" s="24" t="s">
        <v>577</v>
      </c>
      <c r="AJ3109" s="24" t="s">
        <v>1645</v>
      </c>
      <c r="AK3109" s="24" t="s">
        <v>132</v>
      </c>
      <c r="AT3109" s="24" t="s">
        <v>161</v>
      </c>
      <c r="AU3109" s="24" t="s">
        <v>161</v>
      </c>
      <c r="AV3109" s="24" t="s">
        <v>177</v>
      </c>
      <c r="AW3109" s="24" t="s">
        <v>160</v>
      </c>
      <c r="BK3109" s="24">
        <v>2890</v>
      </c>
      <c r="BL3109" s="24">
        <v>4820</v>
      </c>
      <c r="BP3109" s="395"/>
      <c r="BQ3109" s="395"/>
      <c r="BU3109" s="395"/>
      <c r="BV3109" s="395"/>
      <c r="BZ3109" s="395"/>
      <c r="CA3109" s="395"/>
      <c r="CE3109" s="548"/>
      <c r="CF3109" s="548"/>
      <c r="CG3109" s="548"/>
      <c r="CH3109" s="548"/>
      <c r="JB3109" s="24" t="s">
        <v>3072</v>
      </c>
      <c r="JD3109" s="249"/>
    </row>
    <row r="3110" spans="1:264" s="24" customFormat="1" x14ac:dyDescent="0.25">
      <c r="A3110" s="24">
        <v>148</v>
      </c>
      <c r="B3110" s="42" t="s">
        <v>4404</v>
      </c>
      <c r="C3110" s="24" t="s">
        <v>3064</v>
      </c>
      <c r="D3110" s="24" t="s">
        <v>3063</v>
      </c>
      <c r="E3110" s="24">
        <v>1990</v>
      </c>
      <c r="F3110" s="24">
        <v>1987</v>
      </c>
      <c r="G3110" s="24" t="s">
        <v>2696</v>
      </c>
      <c r="H3110" s="24" t="s">
        <v>3065</v>
      </c>
      <c r="I3110" s="24" t="s">
        <v>2827</v>
      </c>
      <c r="J3110" s="24">
        <f t="shared" si="426"/>
        <v>-14</v>
      </c>
      <c r="K3110" s="24">
        <f t="shared" si="427"/>
        <v>33.81666666666667</v>
      </c>
      <c r="L3110" s="24">
        <v>1118.5999999999999</v>
      </c>
      <c r="R3110" s="42" t="s">
        <v>1734</v>
      </c>
      <c r="S3110" s="42" t="s">
        <v>1982</v>
      </c>
      <c r="T3110" s="42"/>
      <c r="U3110" s="42" t="s">
        <v>3066</v>
      </c>
      <c r="V3110" s="42"/>
      <c r="W3110" s="42"/>
      <c r="X3110" s="42"/>
      <c r="Y3110" s="42"/>
      <c r="AA3110" s="321"/>
      <c r="AB3110" s="321"/>
      <c r="AH3110" s="24" t="s">
        <v>3073</v>
      </c>
      <c r="AI3110" s="24" t="s">
        <v>577</v>
      </c>
      <c r="AJ3110" s="24" t="s">
        <v>1645</v>
      </c>
      <c r="AK3110" s="24" t="s">
        <v>132</v>
      </c>
      <c r="AT3110" s="24" t="s">
        <v>161</v>
      </c>
      <c r="AU3110" s="24" t="s">
        <v>161</v>
      </c>
      <c r="AV3110" s="24" t="s">
        <v>177</v>
      </c>
      <c r="AW3110" s="24" t="s">
        <v>160</v>
      </c>
      <c r="BK3110" s="24">
        <v>2890</v>
      </c>
      <c r="BL3110" s="24">
        <v>4960</v>
      </c>
      <c r="BP3110" s="395"/>
      <c r="BQ3110" s="395"/>
      <c r="BU3110" s="395"/>
      <c r="BV3110" s="395"/>
      <c r="BZ3110" s="395"/>
      <c r="CA3110" s="395"/>
      <c r="CE3110" s="548"/>
      <c r="CF3110" s="548"/>
      <c r="CG3110" s="548"/>
      <c r="CH3110" s="548"/>
      <c r="JB3110" s="24" t="s">
        <v>3072</v>
      </c>
      <c r="JD3110" s="249"/>
    </row>
    <row r="3111" spans="1:264" s="24" customFormat="1" x14ac:dyDescent="0.25">
      <c r="A3111" s="24">
        <v>148</v>
      </c>
      <c r="B3111" s="42" t="s">
        <v>4404</v>
      </c>
      <c r="C3111" s="24" t="s">
        <v>3064</v>
      </c>
      <c r="D3111" s="24" t="s">
        <v>3063</v>
      </c>
      <c r="E3111" s="24">
        <v>1990</v>
      </c>
      <c r="F3111" s="24">
        <v>1987</v>
      </c>
      <c r="G3111" s="24" t="s">
        <v>2696</v>
      </c>
      <c r="H3111" s="24" t="s">
        <v>3065</v>
      </c>
      <c r="I3111" s="24" t="s">
        <v>2827</v>
      </c>
      <c r="J3111" s="24">
        <f t="shared" si="426"/>
        <v>-14</v>
      </c>
      <c r="K3111" s="24">
        <f t="shared" si="427"/>
        <v>33.81666666666667</v>
      </c>
      <c r="L3111" s="24">
        <v>1118.5999999999999</v>
      </c>
      <c r="R3111" s="42" t="s">
        <v>1734</v>
      </c>
      <c r="S3111" s="42" t="s">
        <v>1982</v>
      </c>
      <c r="T3111" s="42"/>
      <c r="U3111" s="42" t="s">
        <v>3066</v>
      </c>
      <c r="V3111" s="42"/>
      <c r="W3111" s="42"/>
      <c r="X3111" s="42"/>
      <c r="Y3111" s="42"/>
      <c r="AA3111" s="321"/>
      <c r="AB3111" s="321"/>
      <c r="AH3111" s="24" t="s">
        <v>3074</v>
      </c>
      <c r="AI3111" s="24" t="s">
        <v>577</v>
      </c>
      <c r="AJ3111" s="24" t="s">
        <v>1645</v>
      </c>
      <c r="AK3111" s="24" t="s">
        <v>132</v>
      </c>
      <c r="AT3111" s="24" t="s">
        <v>161</v>
      </c>
      <c r="AU3111" s="24" t="s">
        <v>161</v>
      </c>
      <c r="AV3111" s="24" t="s">
        <v>177</v>
      </c>
      <c r="AW3111" s="24" t="s">
        <v>160</v>
      </c>
      <c r="BK3111" s="24">
        <v>2890</v>
      </c>
      <c r="BL3111" s="24">
        <v>3960</v>
      </c>
      <c r="BP3111" s="395"/>
      <c r="BQ3111" s="395"/>
      <c r="BU3111" s="395"/>
      <c r="BV3111" s="395"/>
      <c r="BZ3111" s="395"/>
      <c r="CA3111" s="395"/>
      <c r="CE3111" s="548"/>
      <c r="CF3111" s="548"/>
      <c r="CG3111" s="548"/>
      <c r="CH3111" s="548"/>
      <c r="JB3111" s="24" t="s">
        <v>3072</v>
      </c>
      <c r="JD3111" s="249"/>
    </row>
    <row r="3112" spans="1:264" s="24" customFormat="1" x14ac:dyDescent="0.25">
      <c r="A3112" s="24">
        <v>148</v>
      </c>
      <c r="B3112" s="42" t="s">
        <v>4404</v>
      </c>
      <c r="C3112" s="24" t="s">
        <v>3064</v>
      </c>
      <c r="D3112" s="24" t="s">
        <v>3063</v>
      </c>
      <c r="E3112" s="24">
        <v>1990</v>
      </c>
      <c r="F3112" s="24">
        <v>1987</v>
      </c>
      <c r="G3112" s="24" t="s">
        <v>2696</v>
      </c>
      <c r="H3112" s="24" t="s">
        <v>3065</v>
      </c>
      <c r="I3112" s="24" t="s">
        <v>2827</v>
      </c>
      <c r="J3112" s="24">
        <f t="shared" si="426"/>
        <v>-14</v>
      </c>
      <c r="K3112" s="24">
        <f t="shared" si="427"/>
        <v>33.81666666666667</v>
      </c>
      <c r="L3112" s="24">
        <v>1118.5999999999999</v>
      </c>
      <c r="R3112" s="42" t="s">
        <v>1734</v>
      </c>
      <c r="S3112" s="42" t="s">
        <v>1982</v>
      </c>
      <c r="T3112" s="42"/>
      <c r="U3112" s="42" t="s">
        <v>3066</v>
      </c>
      <c r="V3112" s="42"/>
      <c r="W3112" s="42"/>
      <c r="X3112" s="42"/>
      <c r="Y3112" s="42"/>
      <c r="AA3112" s="321"/>
      <c r="AB3112" s="321"/>
      <c r="AH3112" s="24" t="s">
        <v>3075</v>
      </c>
      <c r="AI3112" s="24" t="s">
        <v>577</v>
      </c>
      <c r="AJ3112" s="24" t="s">
        <v>1645</v>
      </c>
      <c r="AK3112" s="24" t="s">
        <v>132</v>
      </c>
      <c r="AT3112" s="24" t="s">
        <v>161</v>
      </c>
      <c r="AU3112" s="24" t="s">
        <v>161</v>
      </c>
      <c r="AV3112" s="24" t="s">
        <v>177</v>
      </c>
      <c r="AW3112" s="24" t="s">
        <v>160</v>
      </c>
      <c r="BK3112" s="24">
        <v>2890</v>
      </c>
      <c r="BL3112" s="24">
        <v>4510</v>
      </c>
      <c r="BP3112" s="395"/>
      <c r="BQ3112" s="395"/>
      <c r="BU3112" s="395"/>
      <c r="BV3112" s="395"/>
      <c r="BZ3112" s="395"/>
      <c r="CA3112" s="395"/>
      <c r="CE3112" s="548"/>
      <c r="CF3112" s="548"/>
      <c r="CG3112" s="548"/>
      <c r="CH3112" s="548"/>
      <c r="JB3112" s="24" t="s">
        <v>3072</v>
      </c>
      <c r="JD3112" s="249"/>
    </row>
    <row r="3113" spans="1:264" s="24" customFormat="1" x14ac:dyDescent="0.25">
      <c r="A3113" s="24">
        <v>148</v>
      </c>
      <c r="B3113" s="42" t="s">
        <v>4404</v>
      </c>
      <c r="C3113" s="24" t="s">
        <v>3064</v>
      </c>
      <c r="D3113" s="24" t="s">
        <v>3063</v>
      </c>
      <c r="E3113" s="24">
        <v>1990</v>
      </c>
      <c r="F3113" s="24">
        <v>1987</v>
      </c>
      <c r="G3113" s="24" t="s">
        <v>2696</v>
      </c>
      <c r="H3113" s="24" t="s">
        <v>3065</v>
      </c>
      <c r="I3113" s="24" t="s">
        <v>2827</v>
      </c>
      <c r="J3113" s="24">
        <f t="shared" si="426"/>
        <v>-14</v>
      </c>
      <c r="K3113" s="24">
        <f t="shared" si="427"/>
        <v>33.81666666666667</v>
      </c>
      <c r="L3113" s="24">
        <v>1118.5999999999999</v>
      </c>
      <c r="R3113" s="42" t="s">
        <v>1734</v>
      </c>
      <c r="S3113" s="42" t="s">
        <v>1982</v>
      </c>
      <c r="T3113" s="42"/>
      <c r="U3113" s="42" t="s">
        <v>3066</v>
      </c>
      <c r="V3113" s="42"/>
      <c r="W3113" s="42"/>
      <c r="X3113" s="42"/>
      <c r="Y3113" s="42"/>
      <c r="AA3113" s="321"/>
      <c r="AB3113" s="321"/>
      <c r="AH3113" s="24" t="s">
        <v>3076</v>
      </c>
      <c r="AI3113" s="24" t="s">
        <v>577</v>
      </c>
      <c r="AJ3113" s="24" t="s">
        <v>1645</v>
      </c>
      <c r="AK3113" s="24" t="s">
        <v>132</v>
      </c>
      <c r="AT3113" s="24" t="s">
        <v>161</v>
      </c>
      <c r="AU3113" s="24" t="s">
        <v>161</v>
      </c>
      <c r="AV3113" s="24" t="s">
        <v>177</v>
      </c>
      <c r="AW3113" s="24" t="s">
        <v>160</v>
      </c>
      <c r="BK3113" s="24">
        <v>2890</v>
      </c>
      <c r="BL3113" s="24">
        <v>4040</v>
      </c>
      <c r="BP3113" s="395"/>
      <c r="BQ3113" s="395"/>
      <c r="BU3113" s="395"/>
      <c r="BV3113" s="395"/>
      <c r="BZ3113" s="395"/>
      <c r="CA3113" s="395"/>
      <c r="CE3113" s="548"/>
      <c r="CF3113" s="548"/>
      <c r="CG3113" s="548"/>
      <c r="CH3113" s="548"/>
      <c r="JB3113" s="24" t="s">
        <v>3072</v>
      </c>
      <c r="JD3113" s="249"/>
    </row>
    <row r="3114" spans="1:264" s="24" customFormat="1" x14ac:dyDescent="0.25">
      <c r="A3114" s="24">
        <v>148</v>
      </c>
      <c r="B3114" s="42" t="s">
        <v>4404</v>
      </c>
      <c r="C3114" s="24" t="s">
        <v>3064</v>
      </c>
      <c r="D3114" s="24" t="s">
        <v>3063</v>
      </c>
      <c r="E3114" s="24">
        <v>1990</v>
      </c>
      <c r="F3114" s="24">
        <v>1987</v>
      </c>
      <c r="G3114" s="24" t="s">
        <v>2696</v>
      </c>
      <c r="H3114" s="24" t="s">
        <v>3065</v>
      </c>
      <c r="I3114" s="24" t="s">
        <v>2827</v>
      </c>
      <c r="J3114" s="24">
        <f t="shared" si="426"/>
        <v>-14</v>
      </c>
      <c r="K3114" s="24">
        <f t="shared" si="427"/>
        <v>33.81666666666667</v>
      </c>
      <c r="L3114" s="24">
        <v>1118.5999999999999</v>
      </c>
      <c r="R3114" s="42" t="s">
        <v>1734</v>
      </c>
      <c r="S3114" s="42" t="s">
        <v>1982</v>
      </c>
      <c r="T3114" s="42"/>
      <c r="U3114" s="42" t="s">
        <v>3066</v>
      </c>
      <c r="V3114" s="42"/>
      <c r="W3114" s="42"/>
      <c r="X3114" s="42"/>
      <c r="Y3114" s="42"/>
      <c r="AA3114" s="321"/>
      <c r="AB3114" s="321"/>
      <c r="AH3114" s="24" t="s">
        <v>3077</v>
      </c>
      <c r="AI3114" s="24" t="s">
        <v>577</v>
      </c>
      <c r="AJ3114" s="24" t="s">
        <v>1645</v>
      </c>
      <c r="AK3114" s="24" t="s">
        <v>132</v>
      </c>
      <c r="AT3114" s="24" t="s">
        <v>161</v>
      </c>
      <c r="AU3114" s="24" t="s">
        <v>161</v>
      </c>
      <c r="AV3114" s="24" t="s">
        <v>177</v>
      </c>
      <c r="AW3114" s="24" t="s">
        <v>160</v>
      </c>
      <c r="BK3114" s="24">
        <v>2890</v>
      </c>
      <c r="BL3114" s="24">
        <v>4180</v>
      </c>
      <c r="BP3114" s="395"/>
      <c r="BQ3114" s="395"/>
      <c r="BU3114" s="395"/>
      <c r="BV3114" s="395"/>
      <c r="BZ3114" s="395"/>
      <c r="CA3114" s="395"/>
      <c r="CE3114" s="548"/>
      <c r="CF3114" s="548"/>
      <c r="CG3114" s="548"/>
      <c r="CH3114" s="548"/>
      <c r="JB3114" s="24" t="s">
        <v>3072</v>
      </c>
      <c r="JD3114" s="249"/>
    </row>
    <row r="3115" spans="1:264" s="24" customFormat="1" x14ac:dyDescent="0.25">
      <c r="A3115" s="24">
        <v>148</v>
      </c>
      <c r="B3115" s="42" t="s">
        <v>4404</v>
      </c>
      <c r="C3115" s="24" t="s">
        <v>3064</v>
      </c>
      <c r="D3115" s="24" t="s">
        <v>3063</v>
      </c>
      <c r="E3115" s="24">
        <v>1990</v>
      </c>
      <c r="F3115" s="24">
        <v>1987</v>
      </c>
      <c r="G3115" s="24" t="s">
        <v>2696</v>
      </c>
      <c r="H3115" s="24" t="s">
        <v>3065</v>
      </c>
      <c r="I3115" s="24" t="s">
        <v>2827</v>
      </c>
      <c r="J3115" s="24">
        <f t="shared" si="426"/>
        <v>-14</v>
      </c>
      <c r="K3115" s="24">
        <f t="shared" si="427"/>
        <v>33.81666666666667</v>
      </c>
      <c r="L3115" s="24">
        <v>1118.5999999999999</v>
      </c>
      <c r="R3115" s="42" t="s">
        <v>1734</v>
      </c>
      <c r="S3115" s="42" t="s">
        <v>1982</v>
      </c>
      <c r="T3115" s="42"/>
      <c r="U3115" s="42" t="s">
        <v>3066</v>
      </c>
      <c r="V3115" s="42"/>
      <c r="W3115" s="42"/>
      <c r="X3115" s="42"/>
      <c r="Y3115" s="42"/>
      <c r="AA3115" s="321"/>
      <c r="AB3115" s="321"/>
      <c r="AH3115" s="24" t="s">
        <v>3078</v>
      </c>
      <c r="AI3115" s="24" t="s">
        <v>577</v>
      </c>
      <c r="AJ3115" s="24" t="s">
        <v>1645</v>
      </c>
      <c r="AK3115" s="24" t="s">
        <v>132</v>
      </c>
      <c r="AT3115" s="24" t="s">
        <v>161</v>
      </c>
      <c r="AU3115" s="24" t="s">
        <v>161</v>
      </c>
      <c r="AV3115" s="24" t="s">
        <v>177</v>
      </c>
      <c r="AW3115" s="24" t="s">
        <v>160</v>
      </c>
      <c r="BK3115" s="24">
        <v>2890</v>
      </c>
      <c r="BL3115" s="24">
        <v>4800</v>
      </c>
      <c r="BP3115" s="395"/>
      <c r="BQ3115" s="395"/>
      <c r="BU3115" s="395"/>
      <c r="BV3115" s="395"/>
      <c r="BZ3115" s="395"/>
      <c r="CA3115" s="395"/>
      <c r="CE3115" s="548"/>
      <c r="CF3115" s="548"/>
      <c r="CG3115" s="548"/>
      <c r="CH3115" s="548"/>
      <c r="JB3115" s="24" t="s">
        <v>3072</v>
      </c>
      <c r="JD3115" s="249"/>
    </row>
    <row r="3116" spans="1:264" s="24" customFormat="1" x14ac:dyDescent="0.25">
      <c r="A3116" s="24">
        <v>148</v>
      </c>
      <c r="B3116" s="42" t="s">
        <v>4404</v>
      </c>
      <c r="C3116" s="24" t="s">
        <v>3064</v>
      </c>
      <c r="D3116" s="24" t="s">
        <v>3063</v>
      </c>
      <c r="E3116" s="24">
        <v>1990</v>
      </c>
      <c r="F3116" s="24">
        <v>1987</v>
      </c>
      <c r="G3116" s="24" t="s">
        <v>2696</v>
      </c>
      <c r="H3116" s="24" t="s">
        <v>3065</v>
      </c>
      <c r="I3116" s="24" t="s">
        <v>2827</v>
      </c>
      <c r="J3116" s="24">
        <f t="shared" si="426"/>
        <v>-14</v>
      </c>
      <c r="K3116" s="24">
        <f t="shared" si="427"/>
        <v>33.81666666666667</v>
      </c>
      <c r="L3116" s="24">
        <v>1118.5999999999999</v>
      </c>
      <c r="R3116" s="42" t="s">
        <v>1734</v>
      </c>
      <c r="S3116" s="42" t="s">
        <v>1982</v>
      </c>
      <c r="T3116" s="42"/>
      <c r="U3116" s="42" t="s">
        <v>3066</v>
      </c>
      <c r="V3116" s="42"/>
      <c r="W3116" s="42"/>
      <c r="X3116" s="42"/>
      <c r="Y3116" s="42"/>
      <c r="AA3116" s="321"/>
      <c r="AB3116" s="321"/>
      <c r="AH3116" s="24" t="s">
        <v>3079</v>
      </c>
      <c r="AI3116" s="24" t="s">
        <v>577</v>
      </c>
      <c r="AJ3116" s="24" t="s">
        <v>1645</v>
      </c>
      <c r="AK3116" s="24" t="s">
        <v>132</v>
      </c>
      <c r="AT3116" s="24" t="s">
        <v>161</v>
      </c>
      <c r="AU3116" s="24" t="s">
        <v>161</v>
      </c>
      <c r="AV3116" s="24" t="s">
        <v>177</v>
      </c>
      <c r="AW3116" s="24" t="s">
        <v>160</v>
      </c>
      <c r="BK3116" s="24">
        <v>2890</v>
      </c>
      <c r="BL3116" s="24">
        <v>3970</v>
      </c>
      <c r="BP3116" s="395"/>
      <c r="BQ3116" s="395"/>
      <c r="BU3116" s="395"/>
      <c r="BV3116" s="395"/>
      <c r="BZ3116" s="395"/>
      <c r="CA3116" s="395"/>
      <c r="CE3116" s="548"/>
      <c r="CF3116" s="548"/>
      <c r="CG3116" s="548"/>
      <c r="CH3116" s="548"/>
      <c r="JB3116" s="24" t="s">
        <v>3072</v>
      </c>
      <c r="JD3116" s="249"/>
    </row>
    <row r="3117" spans="1:264" s="24" customFormat="1" x14ac:dyDescent="0.25">
      <c r="A3117" s="24">
        <v>148</v>
      </c>
      <c r="B3117" s="42" t="s">
        <v>4404</v>
      </c>
      <c r="C3117" s="24" t="s">
        <v>3064</v>
      </c>
      <c r="D3117" s="24" t="s">
        <v>3063</v>
      </c>
      <c r="E3117" s="24">
        <v>1990</v>
      </c>
      <c r="F3117" s="24">
        <v>1987</v>
      </c>
      <c r="G3117" s="24" t="s">
        <v>2696</v>
      </c>
      <c r="H3117" s="24" t="s">
        <v>3065</v>
      </c>
      <c r="I3117" s="24" t="s">
        <v>2827</v>
      </c>
      <c r="J3117" s="24">
        <f t="shared" si="426"/>
        <v>-14</v>
      </c>
      <c r="K3117" s="24">
        <f t="shared" si="427"/>
        <v>33.81666666666667</v>
      </c>
      <c r="L3117" s="24">
        <v>1118.5999999999999</v>
      </c>
      <c r="R3117" s="42" t="s">
        <v>1734</v>
      </c>
      <c r="S3117" s="42" t="s">
        <v>1982</v>
      </c>
      <c r="T3117" s="42"/>
      <c r="U3117" s="42" t="s">
        <v>3066</v>
      </c>
      <c r="V3117" s="42"/>
      <c r="W3117" s="42"/>
      <c r="X3117" s="42"/>
      <c r="Y3117" s="42"/>
      <c r="AA3117" s="321"/>
      <c r="AB3117" s="321"/>
      <c r="AH3117" s="24" t="s">
        <v>3068</v>
      </c>
      <c r="AI3117" s="24" t="s">
        <v>577</v>
      </c>
      <c r="AJ3117" s="24" t="s">
        <v>1645</v>
      </c>
      <c r="AK3117" s="24" t="s">
        <v>132</v>
      </c>
      <c r="AT3117" s="24" t="s">
        <v>161</v>
      </c>
      <c r="AU3117" s="24" t="s">
        <v>161</v>
      </c>
      <c r="AV3117" s="24" t="s">
        <v>177</v>
      </c>
      <c r="AW3117" s="24" t="s">
        <v>160</v>
      </c>
      <c r="BK3117" s="24">
        <v>2890</v>
      </c>
      <c r="BL3117" s="24">
        <v>4460</v>
      </c>
      <c r="BP3117" s="395"/>
      <c r="BQ3117" s="395"/>
      <c r="BU3117" s="395"/>
      <c r="BV3117" s="395"/>
      <c r="BZ3117" s="395"/>
      <c r="CA3117" s="395"/>
      <c r="CE3117" s="548"/>
      <c r="CF3117" s="548"/>
      <c r="CG3117" s="548"/>
      <c r="CH3117" s="548"/>
      <c r="JB3117" s="24" t="s">
        <v>3072</v>
      </c>
      <c r="JD3117" s="249"/>
    </row>
    <row r="3118" spans="1:264" s="24" customFormat="1" x14ac:dyDescent="0.25">
      <c r="A3118" s="24">
        <v>148</v>
      </c>
      <c r="B3118" s="42" t="s">
        <v>4404</v>
      </c>
      <c r="C3118" s="24" t="s">
        <v>3064</v>
      </c>
      <c r="D3118" s="24" t="s">
        <v>3063</v>
      </c>
      <c r="E3118" s="24">
        <v>1990</v>
      </c>
      <c r="F3118" s="24">
        <v>1987</v>
      </c>
      <c r="G3118" s="24" t="s">
        <v>2696</v>
      </c>
      <c r="H3118" s="24" t="s">
        <v>3065</v>
      </c>
      <c r="I3118" s="24" t="s">
        <v>2827</v>
      </c>
      <c r="J3118" s="24">
        <f t="shared" si="426"/>
        <v>-14</v>
      </c>
      <c r="K3118" s="24">
        <f t="shared" si="427"/>
        <v>33.81666666666667</v>
      </c>
      <c r="L3118" s="24">
        <v>1118.5999999999999</v>
      </c>
      <c r="R3118" s="42" t="s">
        <v>1734</v>
      </c>
      <c r="S3118" s="42" t="s">
        <v>1982</v>
      </c>
      <c r="T3118" s="42"/>
      <c r="U3118" s="42" t="s">
        <v>3066</v>
      </c>
      <c r="V3118" s="42"/>
      <c r="W3118" s="42"/>
      <c r="X3118" s="42"/>
      <c r="Y3118" s="42"/>
      <c r="AA3118" s="321"/>
      <c r="AB3118" s="321"/>
      <c r="AH3118" s="24" t="s">
        <v>3080</v>
      </c>
      <c r="AI3118" s="24" t="s">
        <v>577</v>
      </c>
      <c r="AJ3118" s="24" t="s">
        <v>1645</v>
      </c>
      <c r="AK3118" s="24" t="s">
        <v>132</v>
      </c>
      <c r="AT3118" s="24" t="s">
        <v>161</v>
      </c>
      <c r="AU3118" s="24" t="s">
        <v>161</v>
      </c>
      <c r="AV3118" s="24" t="s">
        <v>177</v>
      </c>
      <c r="AW3118" s="24" t="s">
        <v>160</v>
      </c>
      <c r="BK3118" s="24">
        <v>2890</v>
      </c>
      <c r="BL3118" s="24">
        <v>4010</v>
      </c>
      <c r="BP3118" s="395"/>
      <c r="BQ3118" s="395"/>
      <c r="BU3118" s="395"/>
      <c r="BV3118" s="395"/>
      <c r="BZ3118" s="395"/>
      <c r="CA3118" s="395"/>
      <c r="CE3118" s="548"/>
      <c r="CF3118" s="548"/>
      <c r="CG3118" s="548"/>
      <c r="CH3118" s="548"/>
      <c r="JB3118" s="24" t="s">
        <v>3072</v>
      </c>
      <c r="JD3118" s="249"/>
    </row>
    <row r="3119" spans="1:264" s="24" customFormat="1" x14ac:dyDescent="0.25">
      <c r="A3119" s="24">
        <v>148</v>
      </c>
      <c r="B3119" s="42" t="s">
        <v>4404</v>
      </c>
      <c r="C3119" s="24" t="s">
        <v>3064</v>
      </c>
      <c r="D3119" s="24" t="s">
        <v>3063</v>
      </c>
      <c r="E3119" s="24">
        <v>1990</v>
      </c>
      <c r="F3119" s="24">
        <v>1987</v>
      </c>
      <c r="G3119" s="24" t="s">
        <v>2696</v>
      </c>
      <c r="H3119" s="24" t="s">
        <v>3065</v>
      </c>
      <c r="I3119" s="24" t="s">
        <v>2827</v>
      </c>
      <c r="J3119" s="24">
        <f t="shared" si="426"/>
        <v>-14</v>
      </c>
      <c r="K3119" s="24">
        <f t="shared" si="427"/>
        <v>33.81666666666667</v>
      </c>
      <c r="L3119" s="24">
        <v>1118.5999999999999</v>
      </c>
      <c r="R3119" s="42" t="s">
        <v>1734</v>
      </c>
      <c r="S3119" s="42" t="s">
        <v>1982</v>
      </c>
      <c r="T3119" s="42"/>
      <c r="U3119" s="42" t="s">
        <v>3066</v>
      </c>
      <c r="V3119" s="42"/>
      <c r="W3119" s="42"/>
      <c r="X3119" s="42"/>
      <c r="Y3119" s="42"/>
      <c r="AA3119" s="321"/>
      <c r="AB3119" s="321"/>
      <c r="AH3119" s="24" t="s">
        <v>3081</v>
      </c>
      <c r="AI3119" s="24" t="s">
        <v>577</v>
      </c>
      <c r="AJ3119" s="24" t="s">
        <v>1645</v>
      </c>
      <c r="AK3119" s="24" t="s">
        <v>132</v>
      </c>
      <c r="AT3119" s="24" t="s">
        <v>161</v>
      </c>
      <c r="AU3119" s="24" t="s">
        <v>161</v>
      </c>
      <c r="AV3119" s="24" t="s">
        <v>177</v>
      </c>
      <c r="AW3119" s="24" t="s">
        <v>160</v>
      </c>
      <c r="BK3119" s="24">
        <v>2890</v>
      </c>
      <c r="BL3119" s="24">
        <v>3590</v>
      </c>
      <c r="BP3119" s="395"/>
      <c r="BQ3119" s="395"/>
      <c r="BU3119" s="395"/>
      <c r="BV3119" s="395"/>
      <c r="BZ3119" s="395"/>
      <c r="CA3119" s="395"/>
      <c r="CE3119" s="548"/>
      <c r="CF3119" s="548"/>
      <c r="CG3119" s="548"/>
      <c r="CH3119" s="548"/>
      <c r="JB3119" s="24" t="s">
        <v>3072</v>
      </c>
      <c r="JD3119" s="249"/>
    </row>
    <row r="3120" spans="1:264" s="32" customFormat="1" x14ac:dyDescent="0.25">
      <c r="A3120" s="32">
        <v>148</v>
      </c>
      <c r="B3120" s="44" t="s">
        <v>4406</v>
      </c>
      <c r="C3120" s="32" t="s">
        <v>3064</v>
      </c>
      <c r="D3120" s="32" t="s">
        <v>3063</v>
      </c>
      <c r="E3120" s="32">
        <v>1990</v>
      </c>
      <c r="F3120" s="32">
        <v>1985</v>
      </c>
      <c r="G3120" s="32" t="s">
        <v>2696</v>
      </c>
      <c r="H3120" s="32" t="s">
        <v>3065</v>
      </c>
      <c r="I3120" s="32" t="s">
        <v>2827</v>
      </c>
      <c r="J3120" s="32">
        <f t="shared" si="426"/>
        <v>-14</v>
      </c>
      <c r="K3120" s="32">
        <f t="shared" si="427"/>
        <v>33.81666666666667</v>
      </c>
      <c r="L3120" s="32">
        <v>1118.5999999999999</v>
      </c>
      <c r="R3120" s="44" t="s">
        <v>1722</v>
      </c>
      <c r="S3120" s="44" t="s">
        <v>1982</v>
      </c>
      <c r="T3120" s="44"/>
      <c r="U3120" s="44" t="s">
        <v>3066</v>
      </c>
      <c r="V3120" s="44"/>
      <c r="W3120" s="44"/>
      <c r="X3120" s="44"/>
      <c r="Y3120" s="44"/>
      <c r="AA3120" s="323"/>
      <c r="AB3120" s="323"/>
      <c r="AH3120" s="32" t="s">
        <v>3082</v>
      </c>
      <c r="AI3120" s="32" t="s">
        <v>1581</v>
      </c>
      <c r="AJ3120" s="32" t="s">
        <v>1645</v>
      </c>
      <c r="AK3120" s="32" t="s">
        <v>132</v>
      </c>
      <c r="AT3120" s="32" t="s">
        <v>3083</v>
      </c>
      <c r="AU3120" s="32" t="s">
        <v>3083</v>
      </c>
      <c r="AV3120" s="32" t="s">
        <v>177</v>
      </c>
      <c r="AW3120" s="32" t="s">
        <v>160</v>
      </c>
      <c r="BK3120" s="32">
        <v>1990</v>
      </c>
      <c r="BL3120" s="32">
        <v>2130</v>
      </c>
      <c r="BP3120" s="397"/>
      <c r="BQ3120" s="397"/>
      <c r="BU3120" s="397"/>
      <c r="BV3120" s="397"/>
      <c r="BZ3120" s="397"/>
      <c r="CA3120" s="397"/>
      <c r="CE3120" s="550"/>
      <c r="CF3120" s="550"/>
      <c r="CG3120" s="550"/>
      <c r="CH3120" s="550"/>
      <c r="JB3120" s="32" t="s">
        <v>3072</v>
      </c>
      <c r="JD3120" s="243"/>
    </row>
    <row r="3121" spans="1:264" s="32" customFormat="1" x14ac:dyDescent="0.25">
      <c r="A3121" s="32">
        <v>148</v>
      </c>
      <c r="B3121" s="44" t="s">
        <v>4406</v>
      </c>
      <c r="C3121" s="32" t="s">
        <v>3064</v>
      </c>
      <c r="D3121" s="32" t="s">
        <v>3063</v>
      </c>
      <c r="E3121" s="32">
        <v>1990</v>
      </c>
      <c r="F3121" s="32">
        <v>1986</v>
      </c>
      <c r="G3121" s="32" t="s">
        <v>2696</v>
      </c>
      <c r="H3121" s="32" t="s">
        <v>3065</v>
      </c>
      <c r="I3121" s="32" t="s">
        <v>2827</v>
      </c>
      <c r="J3121" s="32">
        <f t="shared" si="426"/>
        <v>-14</v>
      </c>
      <c r="K3121" s="32">
        <f t="shared" si="427"/>
        <v>33.81666666666667</v>
      </c>
      <c r="L3121" s="32">
        <v>1118.5999999999999</v>
      </c>
      <c r="R3121" s="44" t="s">
        <v>1843</v>
      </c>
      <c r="S3121" s="44" t="s">
        <v>1982</v>
      </c>
      <c r="T3121" s="44"/>
      <c r="U3121" s="44" t="s">
        <v>3066</v>
      </c>
      <c r="V3121" s="44"/>
      <c r="W3121" s="44"/>
      <c r="X3121" s="44"/>
      <c r="Y3121" s="44"/>
      <c r="AA3121" s="323"/>
      <c r="AB3121" s="323"/>
      <c r="AH3121" s="32" t="s">
        <v>3082</v>
      </c>
      <c r="AI3121" s="32" t="s">
        <v>1581</v>
      </c>
      <c r="AJ3121" s="32" t="s">
        <v>1645</v>
      </c>
      <c r="AK3121" s="32" t="s">
        <v>132</v>
      </c>
      <c r="AT3121" s="32" t="s">
        <v>3083</v>
      </c>
      <c r="AU3121" s="32" t="s">
        <v>3083</v>
      </c>
      <c r="AV3121" s="32" t="s">
        <v>177</v>
      </c>
      <c r="AW3121" s="32" t="s">
        <v>160</v>
      </c>
      <c r="BK3121" s="32">
        <v>3990</v>
      </c>
      <c r="BL3121" s="32">
        <v>4170</v>
      </c>
      <c r="BP3121" s="397"/>
      <c r="BQ3121" s="397"/>
      <c r="BU3121" s="397"/>
      <c r="BV3121" s="397"/>
      <c r="BZ3121" s="397"/>
      <c r="CA3121" s="397"/>
      <c r="CE3121" s="550"/>
      <c r="CF3121" s="550"/>
      <c r="CG3121" s="550"/>
      <c r="CH3121" s="550"/>
      <c r="JB3121" s="32" t="s">
        <v>3072</v>
      </c>
      <c r="JD3121" s="243"/>
    </row>
    <row r="3122" spans="1:264" s="32" customFormat="1" x14ac:dyDescent="0.25">
      <c r="A3122" s="32">
        <v>148</v>
      </c>
      <c r="B3122" s="44" t="s">
        <v>4406</v>
      </c>
      <c r="C3122" s="32" t="s">
        <v>3064</v>
      </c>
      <c r="D3122" s="32" t="s">
        <v>3063</v>
      </c>
      <c r="E3122" s="32">
        <v>1990</v>
      </c>
      <c r="F3122" s="32">
        <v>1987</v>
      </c>
      <c r="G3122" s="32" t="s">
        <v>2696</v>
      </c>
      <c r="H3122" s="32" t="s">
        <v>3065</v>
      </c>
      <c r="I3122" s="32" t="s">
        <v>2827</v>
      </c>
      <c r="J3122" s="32">
        <f t="shared" si="426"/>
        <v>-14</v>
      </c>
      <c r="K3122" s="32">
        <f t="shared" si="427"/>
        <v>33.81666666666667</v>
      </c>
      <c r="L3122" s="32">
        <v>1118.5999999999999</v>
      </c>
      <c r="R3122" s="44" t="s">
        <v>1734</v>
      </c>
      <c r="S3122" s="44" t="s">
        <v>1982</v>
      </c>
      <c r="T3122" s="44"/>
      <c r="U3122" s="44" t="s">
        <v>3066</v>
      </c>
      <c r="V3122" s="44"/>
      <c r="W3122" s="44"/>
      <c r="X3122" s="44"/>
      <c r="Y3122" s="44"/>
      <c r="AA3122" s="323"/>
      <c r="AB3122" s="323"/>
      <c r="AH3122" s="32" t="s">
        <v>3082</v>
      </c>
      <c r="AI3122" s="32" t="s">
        <v>1581</v>
      </c>
      <c r="AJ3122" s="32" t="s">
        <v>1645</v>
      </c>
      <c r="AK3122" s="32" t="s">
        <v>132</v>
      </c>
      <c r="AT3122" s="32" t="s">
        <v>3083</v>
      </c>
      <c r="AU3122" s="32" t="s">
        <v>3083</v>
      </c>
      <c r="AV3122" s="32" t="s">
        <v>177</v>
      </c>
      <c r="AW3122" s="32" t="s">
        <v>160</v>
      </c>
      <c r="BK3122" s="32">
        <v>4420</v>
      </c>
      <c r="BL3122" s="32">
        <v>4910</v>
      </c>
      <c r="BP3122" s="397"/>
      <c r="BQ3122" s="397"/>
      <c r="BU3122" s="397"/>
      <c r="BV3122" s="397"/>
      <c r="BZ3122" s="397"/>
      <c r="CA3122" s="397"/>
      <c r="CE3122" s="550"/>
      <c r="CF3122" s="550"/>
      <c r="CG3122" s="550"/>
      <c r="CH3122" s="550"/>
      <c r="JB3122" s="32" t="s">
        <v>3072</v>
      </c>
      <c r="JD3122" s="243"/>
    </row>
    <row r="3123" spans="1:264" s="126" customFormat="1" x14ac:dyDescent="0.25">
      <c r="A3123" s="126">
        <v>149</v>
      </c>
      <c r="B3123" s="478" t="s">
        <v>4407</v>
      </c>
      <c r="C3123" s="126" t="s">
        <v>3084</v>
      </c>
      <c r="D3123" s="126" t="s">
        <v>3085</v>
      </c>
      <c r="E3123" s="126">
        <v>1999</v>
      </c>
      <c r="F3123" s="126">
        <v>1991</v>
      </c>
      <c r="G3123" s="126" t="s">
        <v>2766</v>
      </c>
      <c r="H3123" s="126" t="s">
        <v>3086</v>
      </c>
      <c r="I3123" s="126" t="s">
        <v>2996</v>
      </c>
      <c r="J3123" s="126">
        <f t="shared" ref="J3123:J3149" si="428">-17-35/60</f>
        <v>-17.583333333333332</v>
      </c>
      <c r="K3123" s="126">
        <f t="shared" ref="K3123:K3149" si="429">31+14/60</f>
        <v>31.233333333333334</v>
      </c>
      <c r="L3123" s="126">
        <v>1475</v>
      </c>
      <c r="N3123" s="126">
        <v>23</v>
      </c>
      <c r="P3123" s="126">
        <v>755</v>
      </c>
      <c r="R3123" s="478" t="s">
        <v>1977</v>
      </c>
      <c r="S3123" s="478" t="s">
        <v>1843</v>
      </c>
      <c r="T3123" s="478"/>
      <c r="U3123" s="478" t="s">
        <v>3087</v>
      </c>
      <c r="V3123" s="478"/>
      <c r="W3123" s="478"/>
      <c r="X3123" s="478"/>
      <c r="Y3123" s="478"/>
      <c r="AA3123" s="479">
        <v>71</v>
      </c>
      <c r="AB3123" s="479">
        <f t="shared" ref="AB3123:AB3149" si="430">100-71-24</f>
        <v>5</v>
      </c>
      <c r="AC3123" s="126" t="s">
        <v>518</v>
      </c>
      <c r="AD3123" s="126">
        <v>4.8</v>
      </c>
      <c r="AE3123" s="126">
        <v>0.5</v>
      </c>
      <c r="AG3123" s="126" t="s">
        <v>2971</v>
      </c>
      <c r="AH3123" s="126" t="s">
        <v>3088</v>
      </c>
      <c r="AI3123" s="126" t="s">
        <v>577</v>
      </c>
      <c r="AJ3123" s="126" t="s">
        <v>1645</v>
      </c>
      <c r="AK3123" s="126" t="s">
        <v>132</v>
      </c>
      <c r="AW3123" s="126" t="s">
        <v>160</v>
      </c>
      <c r="AX3123" s="126">
        <v>3</v>
      </c>
      <c r="AZ3123" s="126" t="s">
        <v>141</v>
      </c>
      <c r="BE3123" s="126" t="s">
        <v>3089</v>
      </c>
      <c r="BK3123" s="126">
        <f>BL3123-1000</f>
        <v>1700</v>
      </c>
      <c r="BL3123" s="126">
        <v>2700</v>
      </c>
      <c r="BM3123" s="126">
        <v>200</v>
      </c>
      <c r="BN3123" s="126">
        <v>200</v>
      </c>
      <c r="BP3123" s="481"/>
      <c r="BQ3123" s="481"/>
      <c r="BU3123" s="481"/>
      <c r="BV3123" s="481"/>
      <c r="BZ3123" s="481"/>
      <c r="CA3123" s="481"/>
      <c r="CE3123" s="605"/>
      <c r="CF3123" s="605"/>
      <c r="CG3123" s="605"/>
      <c r="CH3123" s="605"/>
      <c r="JD3123" s="480"/>
    </row>
    <row r="3124" spans="1:264" s="126" customFormat="1" x14ac:dyDescent="0.25">
      <c r="A3124" s="126">
        <v>149</v>
      </c>
      <c r="B3124" s="478" t="s">
        <v>4407</v>
      </c>
      <c r="C3124" s="126" t="s">
        <v>3084</v>
      </c>
      <c r="D3124" s="126" t="s">
        <v>3085</v>
      </c>
      <c r="E3124" s="126">
        <v>1999</v>
      </c>
      <c r="F3124" s="126">
        <v>1991</v>
      </c>
      <c r="G3124" s="126" t="s">
        <v>2766</v>
      </c>
      <c r="H3124" s="126" t="s">
        <v>3086</v>
      </c>
      <c r="I3124" s="126" t="s">
        <v>2996</v>
      </c>
      <c r="J3124" s="126">
        <f t="shared" si="428"/>
        <v>-17.583333333333332</v>
      </c>
      <c r="K3124" s="126">
        <f t="shared" si="429"/>
        <v>31.233333333333334</v>
      </c>
      <c r="L3124" s="126">
        <v>1475</v>
      </c>
      <c r="N3124" s="126">
        <v>23</v>
      </c>
      <c r="P3124" s="126">
        <v>755</v>
      </c>
      <c r="R3124" s="478" t="s">
        <v>1977</v>
      </c>
      <c r="S3124" s="478" t="s">
        <v>1843</v>
      </c>
      <c r="T3124" s="478"/>
      <c r="U3124" s="478" t="s">
        <v>3087</v>
      </c>
      <c r="V3124" s="478"/>
      <c r="W3124" s="478"/>
      <c r="X3124" s="478"/>
      <c r="Y3124" s="478"/>
      <c r="AA3124" s="479">
        <v>71</v>
      </c>
      <c r="AB3124" s="479">
        <f t="shared" si="430"/>
        <v>5</v>
      </c>
      <c r="AC3124" s="126" t="s">
        <v>518</v>
      </c>
      <c r="AD3124" s="126">
        <v>4.8</v>
      </c>
      <c r="AE3124" s="126">
        <v>0.5</v>
      </c>
      <c r="AG3124" s="126" t="s">
        <v>2971</v>
      </c>
      <c r="AH3124" s="126" t="s">
        <v>3088</v>
      </c>
      <c r="AI3124" s="126" t="s">
        <v>577</v>
      </c>
      <c r="AJ3124" s="126" t="s">
        <v>1645</v>
      </c>
      <c r="AK3124" s="126" t="s">
        <v>132</v>
      </c>
      <c r="AW3124" s="126" t="s">
        <v>160</v>
      </c>
      <c r="AX3124" s="126">
        <v>3</v>
      </c>
      <c r="AZ3124" s="126" t="s">
        <v>141</v>
      </c>
      <c r="BE3124" s="126" t="s">
        <v>3090</v>
      </c>
      <c r="BK3124" s="126">
        <f>BL3124-1200</f>
        <v>1700</v>
      </c>
      <c r="BL3124" s="126">
        <v>2900</v>
      </c>
      <c r="BM3124" s="126">
        <v>200</v>
      </c>
      <c r="BN3124" s="126">
        <v>200</v>
      </c>
      <c r="BP3124" s="481"/>
      <c r="BQ3124" s="481"/>
      <c r="BU3124" s="481"/>
      <c r="BV3124" s="481"/>
      <c r="BZ3124" s="481"/>
      <c r="CA3124" s="481"/>
      <c r="CE3124" s="605"/>
      <c r="CF3124" s="605"/>
      <c r="CG3124" s="605"/>
      <c r="CH3124" s="605"/>
      <c r="JD3124" s="480"/>
    </row>
    <row r="3125" spans="1:264" s="126" customFormat="1" x14ac:dyDescent="0.25">
      <c r="A3125" s="126">
        <v>149</v>
      </c>
      <c r="B3125" s="478" t="s">
        <v>4407</v>
      </c>
      <c r="C3125" s="126" t="s">
        <v>3084</v>
      </c>
      <c r="D3125" s="126" t="s">
        <v>3085</v>
      </c>
      <c r="E3125" s="126">
        <v>1999</v>
      </c>
      <c r="F3125" s="126">
        <v>1991</v>
      </c>
      <c r="G3125" s="126" t="s">
        <v>2766</v>
      </c>
      <c r="H3125" s="126" t="s">
        <v>3086</v>
      </c>
      <c r="I3125" s="126" t="s">
        <v>2996</v>
      </c>
      <c r="J3125" s="126">
        <f t="shared" si="428"/>
        <v>-17.583333333333332</v>
      </c>
      <c r="K3125" s="126">
        <f t="shared" si="429"/>
        <v>31.233333333333334</v>
      </c>
      <c r="L3125" s="126">
        <v>1475</v>
      </c>
      <c r="N3125" s="126">
        <v>23</v>
      </c>
      <c r="P3125" s="126">
        <v>755</v>
      </c>
      <c r="R3125" s="478" t="s">
        <v>1977</v>
      </c>
      <c r="S3125" s="478" t="s">
        <v>1843</v>
      </c>
      <c r="T3125" s="478"/>
      <c r="U3125" s="478" t="s">
        <v>3087</v>
      </c>
      <c r="V3125" s="478"/>
      <c r="W3125" s="478"/>
      <c r="X3125" s="478"/>
      <c r="Y3125" s="478"/>
      <c r="AA3125" s="479">
        <v>71</v>
      </c>
      <c r="AB3125" s="479">
        <f t="shared" si="430"/>
        <v>5</v>
      </c>
      <c r="AC3125" s="126" t="s">
        <v>518</v>
      </c>
      <c r="AD3125" s="126">
        <v>4.8</v>
      </c>
      <c r="AE3125" s="126">
        <v>0.5</v>
      </c>
      <c r="AG3125" s="126" t="s">
        <v>2971</v>
      </c>
      <c r="AH3125" s="126" t="s">
        <v>3088</v>
      </c>
      <c r="AI3125" s="126" t="s">
        <v>577</v>
      </c>
      <c r="AJ3125" s="126" t="s">
        <v>1645</v>
      </c>
      <c r="AK3125" s="126" t="s">
        <v>132</v>
      </c>
      <c r="AW3125" s="126" t="s">
        <v>160</v>
      </c>
      <c r="AX3125" s="126">
        <v>3</v>
      </c>
      <c r="AZ3125" s="126" t="s">
        <v>141</v>
      </c>
      <c r="BE3125" s="126" t="s">
        <v>3091</v>
      </c>
      <c r="BK3125" s="126">
        <f>BL3125-500</f>
        <v>1700</v>
      </c>
      <c r="BL3125" s="126">
        <v>2200</v>
      </c>
      <c r="BM3125" s="126">
        <v>200</v>
      </c>
      <c r="BN3125" s="126">
        <v>200</v>
      </c>
      <c r="BP3125" s="481"/>
      <c r="BQ3125" s="481"/>
      <c r="BU3125" s="481"/>
      <c r="BV3125" s="481"/>
      <c r="BZ3125" s="481"/>
      <c r="CA3125" s="481"/>
      <c r="CE3125" s="605"/>
      <c r="CF3125" s="605"/>
      <c r="CG3125" s="605"/>
      <c r="CH3125" s="605"/>
      <c r="JD3125" s="480"/>
    </row>
    <row r="3126" spans="1:264" s="126" customFormat="1" x14ac:dyDescent="0.25">
      <c r="A3126" s="126">
        <v>149</v>
      </c>
      <c r="B3126" s="478" t="s">
        <v>4407</v>
      </c>
      <c r="C3126" s="126" t="s">
        <v>3084</v>
      </c>
      <c r="D3126" s="126" t="s">
        <v>3085</v>
      </c>
      <c r="E3126" s="126">
        <v>1999</v>
      </c>
      <c r="F3126" s="126">
        <v>1991</v>
      </c>
      <c r="G3126" s="126" t="s">
        <v>2766</v>
      </c>
      <c r="H3126" s="126" t="s">
        <v>3086</v>
      </c>
      <c r="I3126" s="126" t="s">
        <v>2996</v>
      </c>
      <c r="J3126" s="126">
        <f t="shared" si="428"/>
        <v>-17.583333333333332</v>
      </c>
      <c r="K3126" s="126">
        <f t="shared" si="429"/>
        <v>31.233333333333334</v>
      </c>
      <c r="L3126" s="126">
        <v>1475</v>
      </c>
      <c r="N3126" s="126">
        <v>23</v>
      </c>
      <c r="P3126" s="126">
        <v>755</v>
      </c>
      <c r="R3126" s="478" t="s">
        <v>1977</v>
      </c>
      <c r="S3126" s="478" t="s">
        <v>1843</v>
      </c>
      <c r="T3126" s="478"/>
      <c r="U3126" s="478" t="s">
        <v>3087</v>
      </c>
      <c r="V3126" s="478"/>
      <c r="W3126" s="478"/>
      <c r="X3126" s="478"/>
      <c r="Y3126" s="478"/>
      <c r="AA3126" s="479">
        <v>71</v>
      </c>
      <c r="AB3126" s="479">
        <f t="shared" si="430"/>
        <v>5</v>
      </c>
      <c r="AC3126" s="126" t="s">
        <v>518</v>
      </c>
      <c r="AD3126" s="126">
        <v>4.8</v>
      </c>
      <c r="AE3126" s="126">
        <v>0.5</v>
      </c>
      <c r="AG3126" s="126" t="s">
        <v>2971</v>
      </c>
      <c r="AH3126" s="126" t="s">
        <v>3098</v>
      </c>
      <c r="AI3126" s="126" t="s">
        <v>577</v>
      </c>
      <c r="AJ3126" s="126" t="s">
        <v>1645</v>
      </c>
      <c r="AK3126" s="126" t="s">
        <v>132</v>
      </c>
      <c r="AW3126" s="126" t="s">
        <v>160</v>
      </c>
      <c r="AX3126" s="126">
        <v>3</v>
      </c>
      <c r="AZ3126" s="126" t="s">
        <v>141</v>
      </c>
      <c r="BE3126" s="126" t="s">
        <v>3089</v>
      </c>
      <c r="BK3126" s="126">
        <f>BL3126-1500</f>
        <v>1700</v>
      </c>
      <c r="BL3126" s="126">
        <v>3200</v>
      </c>
      <c r="BM3126" s="126">
        <v>200</v>
      </c>
      <c r="BN3126" s="126">
        <v>200</v>
      </c>
      <c r="BP3126" s="481"/>
      <c r="BQ3126" s="481"/>
      <c r="BU3126" s="481"/>
      <c r="BV3126" s="481"/>
      <c r="BZ3126" s="481"/>
      <c r="CA3126" s="481"/>
      <c r="CE3126" s="605"/>
      <c r="CF3126" s="605"/>
      <c r="CG3126" s="605"/>
      <c r="CH3126" s="605"/>
      <c r="JD3126" s="480"/>
    </row>
    <row r="3127" spans="1:264" s="126" customFormat="1" x14ac:dyDescent="0.25">
      <c r="A3127" s="126">
        <v>149</v>
      </c>
      <c r="B3127" s="478" t="s">
        <v>4407</v>
      </c>
      <c r="C3127" s="126" t="s">
        <v>3084</v>
      </c>
      <c r="D3127" s="126" t="s">
        <v>3085</v>
      </c>
      <c r="E3127" s="126">
        <v>1999</v>
      </c>
      <c r="F3127" s="126">
        <v>1991</v>
      </c>
      <c r="G3127" s="126" t="s">
        <v>2766</v>
      </c>
      <c r="H3127" s="126" t="s">
        <v>3086</v>
      </c>
      <c r="I3127" s="126" t="s">
        <v>2996</v>
      </c>
      <c r="J3127" s="126">
        <f t="shared" si="428"/>
        <v>-17.583333333333332</v>
      </c>
      <c r="K3127" s="126">
        <f t="shared" si="429"/>
        <v>31.233333333333334</v>
      </c>
      <c r="L3127" s="126">
        <v>1475</v>
      </c>
      <c r="N3127" s="126">
        <v>23</v>
      </c>
      <c r="P3127" s="126">
        <v>755</v>
      </c>
      <c r="R3127" s="478" t="s">
        <v>1977</v>
      </c>
      <c r="S3127" s="478" t="s">
        <v>1843</v>
      </c>
      <c r="T3127" s="478"/>
      <c r="U3127" s="478" t="s">
        <v>3087</v>
      </c>
      <c r="V3127" s="478"/>
      <c r="W3127" s="478"/>
      <c r="X3127" s="478"/>
      <c r="Y3127" s="478"/>
      <c r="AA3127" s="479">
        <v>71</v>
      </c>
      <c r="AB3127" s="479">
        <f t="shared" si="430"/>
        <v>5</v>
      </c>
      <c r="AC3127" s="126" t="s">
        <v>518</v>
      </c>
      <c r="AD3127" s="126">
        <v>4.8</v>
      </c>
      <c r="AE3127" s="126">
        <v>0.5</v>
      </c>
      <c r="AG3127" s="126" t="s">
        <v>2971</v>
      </c>
      <c r="AH3127" s="126" t="s">
        <v>3098</v>
      </c>
      <c r="AI3127" s="126" t="s">
        <v>577</v>
      </c>
      <c r="AJ3127" s="126" t="s">
        <v>1645</v>
      </c>
      <c r="AK3127" s="126" t="s">
        <v>132</v>
      </c>
      <c r="AW3127" s="126" t="s">
        <v>160</v>
      </c>
      <c r="AX3127" s="126">
        <v>3</v>
      </c>
      <c r="AZ3127" s="126" t="s">
        <v>141</v>
      </c>
      <c r="BE3127" s="126" t="s">
        <v>3090</v>
      </c>
      <c r="BK3127" s="126">
        <f>BL3127-1800</f>
        <v>1600</v>
      </c>
      <c r="BL3127" s="126">
        <v>3400</v>
      </c>
      <c r="BM3127" s="126">
        <v>200</v>
      </c>
      <c r="BN3127" s="126">
        <v>200</v>
      </c>
      <c r="BP3127" s="481"/>
      <c r="BQ3127" s="481"/>
      <c r="BU3127" s="481"/>
      <c r="BV3127" s="481"/>
      <c r="BZ3127" s="481"/>
      <c r="CA3127" s="481"/>
      <c r="CE3127" s="605"/>
      <c r="CF3127" s="605"/>
      <c r="CG3127" s="605"/>
      <c r="CH3127" s="605"/>
      <c r="JD3127" s="480"/>
    </row>
    <row r="3128" spans="1:264" s="126" customFormat="1" x14ac:dyDescent="0.25">
      <c r="A3128" s="126">
        <v>149</v>
      </c>
      <c r="B3128" s="478" t="s">
        <v>4407</v>
      </c>
      <c r="C3128" s="126" t="s">
        <v>3084</v>
      </c>
      <c r="D3128" s="126" t="s">
        <v>3085</v>
      </c>
      <c r="E3128" s="126">
        <v>1999</v>
      </c>
      <c r="F3128" s="126">
        <v>1991</v>
      </c>
      <c r="G3128" s="126" t="s">
        <v>2766</v>
      </c>
      <c r="H3128" s="126" t="s">
        <v>3086</v>
      </c>
      <c r="I3128" s="126" t="s">
        <v>2996</v>
      </c>
      <c r="J3128" s="126">
        <f t="shared" si="428"/>
        <v>-17.583333333333332</v>
      </c>
      <c r="K3128" s="126">
        <f t="shared" si="429"/>
        <v>31.233333333333334</v>
      </c>
      <c r="L3128" s="126">
        <v>1475</v>
      </c>
      <c r="N3128" s="126">
        <v>23</v>
      </c>
      <c r="P3128" s="126">
        <v>755</v>
      </c>
      <c r="R3128" s="478" t="s">
        <v>1977</v>
      </c>
      <c r="S3128" s="478" t="s">
        <v>1843</v>
      </c>
      <c r="T3128" s="478"/>
      <c r="U3128" s="478" t="s">
        <v>3087</v>
      </c>
      <c r="V3128" s="478"/>
      <c r="W3128" s="478"/>
      <c r="X3128" s="478"/>
      <c r="Y3128" s="478"/>
      <c r="AA3128" s="479">
        <v>71</v>
      </c>
      <c r="AB3128" s="479">
        <f t="shared" si="430"/>
        <v>5</v>
      </c>
      <c r="AC3128" s="126" t="s">
        <v>518</v>
      </c>
      <c r="AD3128" s="126">
        <v>4.8</v>
      </c>
      <c r="AE3128" s="126">
        <v>0.5</v>
      </c>
      <c r="AG3128" s="126" t="s">
        <v>2971</v>
      </c>
      <c r="AH3128" s="126" t="s">
        <v>3098</v>
      </c>
      <c r="AI3128" s="126" t="s">
        <v>577</v>
      </c>
      <c r="AJ3128" s="126" t="s">
        <v>1645</v>
      </c>
      <c r="AK3128" s="126" t="s">
        <v>132</v>
      </c>
      <c r="AW3128" s="126" t="s">
        <v>160</v>
      </c>
      <c r="AX3128" s="126">
        <v>3</v>
      </c>
      <c r="AZ3128" s="126" t="s">
        <v>141</v>
      </c>
      <c r="BE3128" s="126" t="s">
        <v>3091</v>
      </c>
      <c r="BK3128" s="126">
        <f>BL3128-2300</f>
        <v>1700</v>
      </c>
      <c r="BL3128" s="126">
        <v>4000</v>
      </c>
      <c r="BM3128" s="126">
        <v>200</v>
      </c>
      <c r="BN3128" s="126">
        <v>200</v>
      </c>
      <c r="BP3128" s="481"/>
      <c r="BQ3128" s="481"/>
      <c r="BU3128" s="481"/>
      <c r="BV3128" s="481"/>
      <c r="BZ3128" s="481"/>
      <c r="CA3128" s="481"/>
      <c r="CE3128" s="605"/>
      <c r="CF3128" s="605"/>
      <c r="CG3128" s="605"/>
      <c r="CH3128" s="605"/>
      <c r="JD3128" s="480"/>
    </row>
    <row r="3129" spans="1:264" s="126" customFormat="1" x14ac:dyDescent="0.25">
      <c r="A3129" s="126">
        <v>149</v>
      </c>
      <c r="B3129" s="478" t="s">
        <v>4407</v>
      </c>
      <c r="C3129" s="126" t="s">
        <v>3084</v>
      </c>
      <c r="D3129" s="126" t="s">
        <v>3085</v>
      </c>
      <c r="E3129" s="126">
        <v>1999</v>
      </c>
      <c r="F3129" s="126">
        <v>1991</v>
      </c>
      <c r="G3129" s="126" t="s">
        <v>2766</v>
      </c>
      <c r="H3129" s="126" t="s">
        <v>3086</v>
      </c>
      <c r="I3129" s="126" t="s">
        <v>2996</v>
      </c>
      <c r="J3129" s="126">
        <f t="shared" si="428"/>
        <v>-17.583333333333332</v>
      </c>
      <c r="K3129" s="126">
        <f t="shared" si="429"/>
        <v>31.233333333333334</v>
      </c>
      <c r="L3129" s="126">
        <v>1475</v>
      </c>
      <c r="N3129" s="126">
        <v>23</v>
      </c>
      <c r="P3129" s="126">
        <v>755</v>
      </c>
      <c r="R3129" s="478" t="s">
        <v>1977</v>
      </c>
      <c r="S3129" s="478" t="s">
        <v>1843</v>
      </c>
      <c r="T3129" s="478"/>
      <c r="U3129" s="478" t="s">
        <v>3087</v>
      </c>
      <c r="V3129" s="478"/>
      <c r="W3129" s="478"/>
      <c r="X3129" s="478"/>
      <c r="Y3129" s="478"/>
      <c r="AA3129" s="479">
        <v>71</v>
      </c>
      <c r="AB3129" s="479">
        <f t="shared" si="430"/>
        <v>5</v>
      </c>
      <c r="AC3129" s="126" t="s">
        <v>518</v>
      </c>
      <c r="AD3129" s="126">
        <v>4.8</v>
      </c>
      <c r="AE3129" s="126">
        <v>0.5</v>
      </c>
      <c r="AG3129" s="126" t="s">
        <v>2971</v>
      </c>
      <c r="AH3129" s="126" t="s">
        <v>2918</v>
      </c>
      <c r="AI3129" s="126" t="s">
        <v>577</v>
      </c>
      <c r="AJ3129" s="126" t="s">
        <v>1645</v>
      </c>
      <c r="AK3129" s="126" t="s">
        <v>132</v>
      </c>
      <c r="AW3129" s="126" t="s">
        <v>160</v>
      </c>
      <c r="AX3129" s="126">
        <v>3</v>
      </c>
      <c r="AZ3129" s="126" t="s">
        <v>141</v>
      </c>
      <c r="BE3129" s="126" t="s">
        <v>3089</v>
      </c>
      <c r="BK3129" s="126">
        <f>BL3129-3000</f>
        <v>1700</v>
      </c>
      <c r="BL3129" s="126">
        <v>4700</v>
      </c>
      <c r="BM3129" s="126">
        <v>200</v>
      </c>
      <c r="BN3129" s="126">
        <v>200</v>
      </c>
      <c r="BP3129" s="481"/>
      <c r="BQ3129" s="481"/>
      <c r="BU3129" s="481"/>
      <c r="BV3129" s="481"/>
      <c r="BZ3129" s="481"/>
      <c r="CA3129" s="481"/>
      <c r="CE3129" s="605"/>
      <c r="CF3129" s="605"/>
      <c r="CG3129" s="605"/>
      <c r="CH3129" s="605"/>
      <c r="JD3129" s="480"/>
    </row>
    <row r="3130" spans="1:264" s="126" customFormat="1" x14ac:dyDescent="0.25">
      <c r="A3130" s="126">
        <v>149</v>
      </c>
      <c r="B3130" s="478" t="s">
        <v>4407</v>
      </c>
      <c r="C3130" s="126" t="s">
        <v>3084</v>
      </c>
      <c r="D3130" s="126" t="s">
        <v>3085</v>
      </c>
      <c r="E3130" s="126">
        <v>1999</v>
      </c>
      <c r="F3130" s="126">
        <v>1991</v>
      </c>
      <c r="G3130" s="126" t="s">
        <v>2766</v>
      </c>
      <c r="H3130" s="126" t="s">
        <v>3086</v>
      </c>
      <c r="I3130" s="126" t="s">
        <v>2996</v>
      </c>
      <c r="J3130" s="126">
        <f t="shared" si="428"/>
        <v>-17.583333333333332</v>
      </c>
      <c r="K3130" s="126">
        <f t="shared" si="429"/>
        <v>31.233333333333334</v>
      </c>
      <c r="L3130" s="126">
        <v>1475</v>
      </c>
      <c r="N3130" s="126">
        <v>23</v>
      </c>
      <c r="P3130" s="126">
        <v>755</v>
      </c>
      <c r="R3130" s="478" t="s">
        <v>1977</v>
      </c>
      <c r="S3130" s="478" t="s">
        <v>1843</v>
      </c>
      <c r="T3130" s="478"/>
      <c r="U3130" s="478" t="s">
        <v>3087</v>
      </c>
      <c r="V3130" s="478"/>
      <c r="W3130" s="478"/>
      <c r="X3130" s="478"/>
      <c r="Y3130" s="478"/>
      <c r="AA3130" s="479">
        <v>71</v>
      </c>
      <c r="AB3130" s="479">
        <f t="shared" si="430"/>
        <v>5</v>
      </c>
      <c r="AC3130" s="126" t="s">
        <v>518</v>
      </c>
      <c r="AD3130" s="126">
        <v>4.8</v>
      </c>
      <c r="AE3130" s="126">
        <v>0.5</v>
      </c>
      <c r="AG3130" s="126" t="s">
        <v>2971</v>
      </c>
      <c r="AH3130" s="126" t="s">
        <v>2918</v>
      </c>
      <c r="AI3130" s="126" t="s">
        <v>577</v>
      </c>
      <c r="AJ3130" s="126" t="s">
        <v>1645</v>
      </c>
      <c r="AK3130" s="126" t="s">
        <v>132</v>
      </c>
      <c r="AW3130" s="126" t="s">
        <v>160</v>
      </c>
      <c r="AX3130" s="126">
        <v>3</v>
      </c>
      <c r="AZ3130" s="126" t="s">
        <v>141</v>
      </c>
      <c r="BE3130" s="126" t="s">
        <v>3090</v>
      </c>
      <c r="BK3130" s="126">
        <f>BL3130-3200</f>
        <v>1700</v>
      </c>
      <c r="BL3130" s="126">
        <v>4900</v>
      </c>
      <c r="BM3130" s="126">
        <v>200</v>
      </c>
      <c r="BN3130" s="126">
        <v>200</v>
      </c>
      <c r="BP3130" s="481"/>
      <c r="BQ3130" s="481"/>
      <c r="BU3130" s="481"/>
      <c r="BV3130" s="481"/>
      <c r="BZ3130" s="481"/>
      <c r="CA3130" s="481"/>
      <c r="CE3130" s="605"/>
      <c r="CF3130" s="605"/>
      <c r="CG3130" s="605"/>
      <c r="CH3130" s="605"/>
      <c r="JD3130" s="480"/>
    </row>
    <row r="3131" spans="1:264" s="126" customFormat="1" x14ac:dyDescent="0.25">
      <c r="A3131" s="126">
        <v>149</v>
      </c>
      <c r="B3131" s="478" t="s">
        <v>4407</v>
      </c>
      <c r="C3131" s="126" t="s">
        <v>3084</v>
      </c>
      <c r="D3131" s="126" t="s">
        <v>3085</v>
      </c>
      <c r="E3131" s="126">
        <v>1999</v>
      </c>
      <c r="F3131" s="126">
        <v>1991</v>
      </c>
      <c r="G3131" s="126" t="s">
        <v>2766</v>
      </c>
      <c r="H3131" s="126" t="s">
        <v>3086</v>
      </c>
      <c r="I3131" s="126" t="s">
        <v>2996</v>
      </c>
      <c r="J3131" s="126">
        <f t="shared" si="428"/>
        <v>-17.583333333333332</v>
      </c>
      <c r="K3131" s="126">
        <f t="shared" si="429"/>
        <v>31.233333333333334</v>
      </c>
      <c r="L3131" s="126">
        <v>1475</v>
      </c>
      <c r="N3131" s="126">
        <v>23</v>
      </c>
      <c r="P3131" s="126">
        <v>755</v>
      </c>
      <c r="R3131" s="478" t="s">
        <v>1977</v>
      </c>
      <c r="S3131" s="478" t="s">
        <v>1843</v>
      </c>
      <c r="T3131" s="478"/>
      <c r="U3131" s="478" t="s">
        <v>3087</v>
      </c>
      <c r="V3131" s="478"/>
      <c r="W3131" s="478"/>
      <c r="X3131" s="478"/>
      <c r="Y3131" s="478"/>
      <c r="AA3131" s="479">
        <v>71</v>
      </c>
      <c r="AB3131" s="479">
        <f t="shared" si="430"/>
        <v>5</v>
      </c>
      <c r="AC3131" s="126" t="s">
        <v>518</v>
      </c>
      <c r="AD3131" s="126">
        <v>4.8</v>
      </c>
      <c r="AE3131" s="126">
        <v>0.5</v>
      </c>
      <c r="AG3131" s="126" t="s">
        <v>2971</v>
      </c>
      <c r="AH3131" s="126" t="s">
        <v>2918</v>
      </c>
      <c r="AI3131" s="126" t="s">
        <v>577</v>
      </c>
      <c r="AJ3131" s="126" t="s">
        <v>1645</v>
      </c>
      <c r="AK3131" s="126" t="s">
        <v>132</v>
      </c>
      <c r="AW3131" s="126" t="s">
        <v>160</v>
      </c>
      <c r="AX3131" s="126">
        <v>3</v>
      </c>
      <c r="AZ3131" s="126" t="s">
        <v>141</v>
      </c>
      <c r="BE3131" s="126" t="s">
        <v>3091</v>
      </c>
      <c r="BK3131" s="126">
        <f>BL3131-1400</f>
        <v>1700</v>
      </c>
      <c r="BL3131" s="126">
        <v>3100</v>
      </c>
      <c r="BM3131" s="126">
        <v>200</v>
      </c>
      <c r="BN3131" s="126">
        <v>200</v>
      </c>
      <c r="BP3131" s="481"/>
      <c r="BQ3131" s="481"/>
      <c r="BU3131" s="481"/>
      <c r="BV3131" s="481"/>
      <c r="BZ3131" s="481"/>
      <c r="CA3131" s="481"/>
      <c r="CE3131" s="605"/>
      <c r="CF3131" s="605"/>
      <c r="CG3131" s="605"/>
      <c r="CH3131" s="605"/>
      <c r="JD3131" s="480"/>
    </row>
    <row r="3132" spans="1:264" s="36" customFormat="1" x14ac:dyDescent="0.25">
      <c r="A3132" s="36">
        <v>149</v>
      </c>
      <c r="B3132" s="51" t="s">
        <v>4407</v>
      </c>
      <c r="C3132" s="36" t="s">
        <v>3084</v>
      </c>
      <c r="D3132" s="36" t="s">
        <v>3085</v>
      </c>
      <c r="E3132" s="36">
        <v>1999</v>
      </c>
      <c r="F3132" s="36">
        <v>1992</v>
      </c>
      <c r="G3132" s="36" t="s">
        <v>2766</v>
      </c>
      <c r="H3132" s="36" t="s">
        <v>3086</v>
      </c>
      <c r="I3132" s="36" t="s">
        <v>2996</v>
      </c>
      <c r="J3132" s="36">
        <f t="shared" si="428"/>
        <v>-17.583333333333332</v>
      </c>
      <c r="K3132" s="36">
        <f t="shared" si="429"/>
        <v>31.233333333333334</v>
      </c>
      <c r="L3132" s="36">
        <v>1475</v>
      </c>
      <c r="N3132" s="36">
        <v>23</v>
      </c>
      <c r="P3132" s="36">
        <v>755</v>
      </c>
      <c r="R3132" s="51" t="s">
        <v>1847</v>
      </c>
      <c r="S3132" s="51" t="s">
        <v>1843</v>
      </c>
      <c r="T3132" s="51"/>
      <c r="U3132" s="51" t="s">
        <v>3087</v>
      </c>
      <c r="V3132" s="51"/>
      <c r="W3132" s="51"/>
      <c r="X3132" s="51"/>
      <c r="Y3132" s="51"/>
      <c r="AA3132" s="331">
        <v>71</v>
      </c>
      <c r="AB3132" s="331">
        <f t="shared" si="430"/>
        <v>5</v>
      </c>
      <c r="AC3132" s="36" t="s">
        <v>518</v>
      </c>
      <c r="AD3132" s="36">
        <v>4.8</v>
      </c>
      <c r="AE3132" s="36">
        <v>0.5</v>
      </c>
      <c r="AG3132" s="36" t="s">
        <v>2971</v>
      </c>
      <c r="AH3132" s="36" t="s">
        <v>3088</v>
      </c>
      <c r="AI3132" s="36" t="s">
        <v>577</v>
      </c>
      <c r="AJ3132" s="36" t="s">
        <v>1645</v>
      </c>
      <c r="AK3132" s="36" t="s">
        <v>132</v>
      </c>
      <c r="AW3132" s="36" t="s">
        <v>160</v>
      </c>
      <c r="AX3132" s="36">
        <v>3</v>
      </c>
      <c r="AZ3132" s="36" t="s">
        <v>141</v>
      </c>
      <c r="BE3132" s="36" t="s">
        <v>3094</v>
      </c>
      <c r="BK3132" s="36">
        <f>BL3132-400</f>
        <v>2700</v>
      </c>
      <c r="BL3132" s="36">
        <v>3100</v>
      </c>
      <c r="BM3132" s="36">
        <v>600</v>
      </c>
      <c r="BN3132" s="36">
        <v>600</v>
      </c>
      <c r="BP3132" s="407"/>
      <c r="BQ3132" s="407"/>
      <c r="BU3132" s="407"/>
      <c r="BV3132" s="407"/>
      <c r="BZ3132" s="407"/>
      <c r="CA3132" s="407"/>
      <c r="CE3132" s="560"/>
      <c r="CF3132" s="560"/>
      <c r="CG3132" s="560"/>
      <c r="CH3132" s="560"/>
      <c r="JD3132" s="230"/>
    </row>
    <row r="3133" spans="1:264" s="36" customFormat="1" x14ac:dyDescent="0.25">
      <c r="A3133" s="36">
        <v>149</v>
      </c>
      <c r="B3133" s="51" t="s">
        <v>4407</v>
      </c>
      <c r="C3133" s="36" t="s">
        <v>3084</v>
      </c>
      <c r="D3133" s="36" t="s">
        <v>3085</v>
      </c>
      <c r="E3133" s="36">
        <v>1999</v>
      </c>
      <c r="F3133" s="36">
        <v>1992</v>
      </c>
      <c r="G3133" s="36" t="s">
        <v>2766</v>
      </c>
      <c r="H3133" s="36" t="s">
        <v>3086</v>
      </c>
      <c r="I3133" s="36" t="s">
        <v>2996</v>
      </c>
      <c r="J3133" s="36">
        <f t="shared" si="428"/>
        <v>-17.583333333333332</v>
      </c>
      <c r="K3133" s="36">
        <f t="shared" si="429"/>
        <v>31.233333333333334</v>
      </c>
      <c r="L3133" s="36">
        <v>1475</v>
      </c>
      <c r="N3133" s="36">
        <v>23</v>
      </c>
      <c r="P3133" s="36">
        <v>755</v>
      </c>
      <c r="R3133" s="51" t="s">
        <v>1847</v>
      </c>
      <c r="S3133" s="51" t="s">
        <v>1843</v>
      </c>
      <c r="T3133" s="51"/>
      <c r="U3133" s="51" t="s">
        <v>3087</v>
      </c>
      <c r="V3133" s="51"/>
      <c r="W3133" s="51"/>
      <c r="X3133" s="51"/>
      <c r="Y3133" s="51"/>
      <c r="AA3133" s="331">
        <v>71</v>
      </c>
      <c r="AB3133" s="331">
        <f t="shared" si="430"/>
        <v>5</v>
      </c>
      <c r="AC3133" s="36" t="s">
        <v>518</v>
      </c>
      <c r="AD3133" s="36">
        <v>4.8</v>
      </c>
      <c r="AE3133" s="36">
        <v>0.5</v>
      </c>
      <c r="AG3133" s="36" t="s">
        <v>2971</v>
      </c>
      <c r="AH3133" s="36" t="s">
        <v>3088</v>
      </c>
      <c r="AI3133" s="36" t="s">
        <v>577</v>
      </c>
      <c r="AJ3133" s="36" t="s">
        <v>1645</v>
      </c>
      <c r="AK3133" s="36" t="s">
        <v>132</v>
      </c>
      <c r="AW3133" s="36" t="s">
        <v>160</v>
      </c>
      <c r="AX3133" s="36">
        <v>3</v>
      </c>
      <c r="AZ3133" s="36" t="s">
        <v>141</v>
      </c>
      <c r="BE3133" s="36" t="s">
        <v>3092</v>
      </c>
      <c r="BK3133" s="36">
        <f>BL3133+1300</f>
        <v>2600</v>
      </c>
      <c r="BL3133" s="36">
        <v>1300</v>
      </c>
      <c r="BM3133" s="36">
        <v>600</v>
      </c>
      <c r="BN3133" s="36">
        <v>600</v>
      </c>
      <c r="BP3133" s="407"/>
      <c r="BQ3133" s="407"/>
      <c r="BU3133" s="407"/>
      <c r="BV3133" s="407"/>
      <c r="BZ3133" s="407"/>
      <c r="CA3133" s="407"/>
      <c r="CE3133" s="560"/>
      <c r="CF3133" s="560"/>
      <c r="CG3133" s="560"/>
      <c r="CH3133" s="560"/>
      <c r="JD3133" s="230"/>
    </row>
    <row r="3134" spans="1:264" s="36" customFormat="1" x14ac:dyDescent="0.25">
      <c r="A3134" s="36">
        <v>149</v>
      </c>
      <c r="B3134" s="51" t="s">
        <v>4407</v>
      </c>
      <c r="C3134" s="36" t="s">
        <v>3084</v>
      </c>
      <c r="D3134" s="36" t="s">
        <v>3085</v>
      </c>
      <c r="E3134" s="36">
        <v>1999</v>
      </c>
      <c r="F3134" s="36">
        <v>1992</v>
      </c>
      <c r="G3134" s="36" t="s">
        <v>2766</v>
      </c>
      <c r="H3134" s="36" t="s">
        <v>3086</v>
      </c>
      <c r="I3134" s="36" t="s">
        <v>2996</v>
      </c>
      <c r="J3134" s="36">
        <f t="shared" si="428"/>
        <v>-17.583333333333332</v>
      </c>
      <c r="K3134" s="36">
        <f t="shared" si="429"/>
        <v>31.233333333333334</v>
      </c>
      <c r="L3134" s="36">
        <v>1475</v>
      </c>
      <c r="N3134" s="36">
        <v>23</v>
      </c>
      <c r="P3134" s="36">
        <v>755</v>
      </c>
      <c r="R3134" s="51" t="s">
        <v>1847</v>
      </c>
      <c r="S3134" s="51" t="s">
        <v>1843</v>
      </c>
      <c r="T3134" s="51"/>
      <c r="U3134" s="51" t="s">
        <v>3087</v>
      </c>
      <c r="V3134" s="51"/>
      <c r="W3134" s="51"/>
      <c r="X3134" s="51"/>
      <c r="Y3134" s="51"/>
      <c r="AA3134" s="331">
        <v>71</v>
      </c>
      <c r="AB3134" s="331">
        <f t="shared" si="430"/>
        <v>5</v>
      </c>
      <c r="AC3134" s="36" t="s">
        <v>518</v>
      </c>
      <c r="AD3134" s="36">
        <v>4.8</v>
      </c>
      <c r="AE3134" s="36">
        <v>0.5</v>
      </c>
      <c r="AG3134" s="36" t="s">
        <v>2971</v>
      </c>
      <c r="AH3134" s="36" t="s">
        <v>3088</v>
      </c>
      <c r="AI3134" s="36" t="s">
        <v>577</v>
      </c>
      <c r="AJ3134" s="36" t="s">
        <v>1645</v>
      </c>
      <c r="AK3134" s="36" t="s">
        <v>132</v>
      </c>
      <c r="AW3134" s="36" t="s">
        <v>160</v>
      </c>
      <c r="AX3134" s="36">
        <v>3</v>
      </c>
      <c r="AZ3134" s="36" t="s">
        <v>141</v>
      </c>
      <c r="BE3134" s="36" t="s">
        <v>3095</v>
      </c>
      <c r="BK3134" s="36">
        <f>BL3134-500</f>
        <v>2700</v>
      </c>
      <c r="BL3134" s="36">
        <v>3200</v>
      </c>
      <c r="BM3134" s="36">
        <v>600</v>
      </c>
      <c r="BN3134" s="36">
        <v>600</v>
      </c>
      <c r="BP3134" s="407"/>
      <c r="BQ3134" s="407"/>
      <c r="BU3134" s="407"/>
      <c r="BV3134" s="407"/>
      <c r="BZ3134" s="407"/>
      <c r="CA3134" s="407"/>
      <c r="CE3134" s="560"/>
      <c r="CF3134" s="560"/>
      <c r="CG3134" s="560"/>
      <c r="CH3134" s="560"/>
      <c r="JD3134" s="230"/>
    </row>
    <row r="3135" spans="1:264" s="36" customFormat="1" x14ac:dyDescent="0.25">
      <c r="A3135" s="36">
        <v>149</v>
      </c>
      <c r="B3135" s="51" t="s">
        <v>4407</v>
      </c>
      <c r="C3135" s="36" t="s">
        <v>3084</v>
      </c>
      <c r="D3135" s="36" t="s">
        <v>3085</v>
      </c>
      <c r="E3135" s="36">
        <v>1999</v>
      </c>
      <c r="F3135" s="36">
        <v>1992</v>
      </c>
      <c r="G3135" s="36" t="s">
        <v>2766</v>
      </c>
      <c r="H3135" s="36" t="s">
        <v>3086</v>
      </c>
      <c r="I3135" s="36" t="s">
        <v>2996</v>
      </c>
      <c r="J3135" s="36">
        <f t="shared" si="428"/>
        <v>-17.583333333333332</v>
      </c>
      <c r="K3135" s="36">
        <f t="shared" si="429"/>
        <v>31.233333333333334</v>
      </c>
      <c r="L3135" s="36">
        <v>1475</v>
      </c>
      <c r="N3135" s="36">
        <v>23</v>
      </c>
      <c r="P3135" s="36">
        <v>755</v>
      </c>
      <c r="R3135" s="51" t="s">
        <v>1847</v>
      </c>
      <c r="S3135" s="51" t="s">
        <v>1843</v>
      </c>
      <c r="T3135" s="51"/>
      <c r="U3135" s="51" t="s">
        <v>3087</v>
      </c>
      <c r="V3135" s="51"/>
      <c r="W3135" s="51"/>
      <c r="X3135" s="51"/>
      <c r="Y3135" s="51"/>
      <c r="AA3135" s="331">
        <v>71</v>
      </c>
      <c r="AB3135" s="331">
        <f t="shared" si="430"/>
        <v>5</v>
      </c>
      <c r="AC3135" s="36" t="s">
        <v>518</v>
      </c>
      <c r="AD3135" s="36">
        <v>4.8</v>
      </c>
      <c r="AE3135" s="36">
        <v>0.5</v>
      </c>
      <c r="AG3135" s="36" t="s">
        <v>2971</v>
      </c>
      <c r="AH3135" s="36" t="s">
        <v>3098</v>
      </c>
      <c r="AI3135" s="36" t="s">
        <v>577</v>
      </c>
      <c r="AJ3135" s="36" t="s">
        <v>1645</v>
      </c>
      <c r="AK3135" s="36" t="s">
        <v>132</v>
      </c>
      <c r="AW3135" s="36" t="s">
        <v>160</v>
      </c>
      <c r="AX3135" s="36">
        <v>3</v>
      </c>
      <c r="AZ3135" s="36" t="s">
        <v>141</v>
      </c>
      <c r="BE3135" s="36" t="s">
        <v>3099</v>
      </c>
      <c r="BK3135" s="36">
        <f>BL3135-100</f>
        <v>2600</v>
      </c>
      <c r="BL3135" s="36">
        <v>2700</v>
      </c>
      <c r="BM3135" s="36">
        <v>600</v>
      </c>
      <c r="BN3135" s="36">
        <v>600</v>
      </c>
      <c r="BP3135" s="407"/>
      <c r="BQ3135" s="407"/>
      <c r="BU3135" s="407"/>
      <c r="BV3135" s="407"/>
      <c r="BZ3135" s="407"/>
      <c r="CA3135" s="407"/>
      <c r="CE3135" s="560"/>
      <c r="CF3135" s="560"/>
      <c r="CG3135" s="560"/>
      <c r="CH3135" s="560"/>
      <c r="JD3135" s="230"/>
    </row>
    <row r="3136" spans="1:264" s="36" customFormat="1" x14ac:dyDescent="0.25">
      <c r="A3136" s="36">
        <v>149</v>
      </c>
      <c r="B3136" s="51" t="s">
        <v>4407</v>
      </c>
      <c r="C3136" s="36" t="s">
        <v>3084</v>
      </c>
      <c r="D3136" s="36" t="s">
        <v>3085</v>
      </c>
      <c r="E3136" s="36">
        <v>1999</v>
      </c>
      <c r="F3136" s="36">
        <v>1992</v>
      </c>
      <c r="G3136" s="36" t="s">
        <v>2766</v>
      </c>
      <c r="H3136" s="36" t="s">
        <v>3086</v>
      </c>
      <c r="I3136" s="36" t="s">
        <v>2996</v>
      </c>
      <c r="J3136" s="36">
        <f t="shared" si="428"/>
        <v>-17.583333333333332</v>
      </c>
      <c r="K3136" s="36">
        <f t="shared" si="429"/>
        <v>31.233333333333334</v>
      </c>
      <c r="L3136" s="36">
        <v>1475</v>
      </c>
      <c r="N3136" s="36">
        <v>23</v>
      </c>
      <c r="P3136" s="36">
        <v>755</v>
      </c>
      <c r="R3136" s="51" t="s">
        <v>1847</v>
      </c>
      <c r="S3136" s="51" t="s">
        <v>1843</v>
      </c>
      <c r="T3136" s="51"/>
      <c r="U3136" s="51" t="s">
        <v>3087</v>
      </c>
      <c r="V3136" s="51"/>
      <c r="W3136" s="51"/>
      <c r="X3136" s="51"/>
      <c r="Y3136" s="51"/>
      <c r="AA3136" s="331">
        <v>71</v>
      </c>
      <c r="AB3136" s="331">
        <f t="shared" si="430"/>
        <v>5</v>
      </c>
      <c r="AC3136" s="36" t="s">
        <v>518</v>
      </c>
      <c r="AD3136" s="36">
        <v>4.8</v>
      </c>
      <c r="AE3136" s="36">
        <v>0.5</v>
      </c>
      <c r="AG3136" s="36" t="s">
        <v>2971</v>
      </c>
      <c r="AH3136" s="36" t="s">
        <v>3098</v>
      </c>
      <c r="AI3136" s="36" t="s">
        <v>577</v>
      </c>
      <c r="AJ3136" s="36" t="s">
        <v>1645</v>
      </c>
      <c r="AK3136" s="36" t="s">
        <v>132</v>
      </c>
      <c r="AW3136" s="36" t="s">
        <v>160</v>
      </c>
      <c r="AX3136" s="36">
        <v>3</v>
      </c>
      <c r="AZ3136" s="36" t="s">
        <v>141</v>
      </c>
      <c r="BE3136" s="36" t="s">
        <v>3100</v>
      </c>
      <c r="BK3136" s="36">
        <f>BL3136-300</f>
        <v>2700</v>
      </c>
      <c r="BL3136" s="36">
        <v>3000</v>
      </c>
      <c r="BM3136" s="36">
        <v>600</v>
      </c>
      <c r="BN3136" s="36">
        <v>600</v>
      </c>
      <c r="BP3136" s="407"/>
      <c r="BQ3136" s="407"/>
      <c r="BU3136" s="407"/>
      <c r="BV3136" s="407"/>
      <c r="BZ3136" s="407"/>
      <c r="CA3136" s="407"/>
      <c r="CE3136" s="560"/>
      <c r="CF3136" s="560"/>
      <c r="CG3136" s="560"/>
      <c r="CH3136" s="560"/>
      <c r="JD3136" s="230"/>
    </row>
    <row r="3137" spans="1:264" s="36" customFormat="1" x14ac:dyDescent="0.25">
      <c r="A3137" s="36">
        <v>149</v>
      </c>
      <c r="B3137" s="51" t="s">
        <v>4407</v>
      </c>
      <c r="C3137" s="36" t="s">
        <v>3084</v>
      </c>
      <c r="D3137" s="36" t="s">
        <v>3085</v>
      </c>
      <c r="E3137" s="36">
        <v>1999</v>
      </c>
      <c r="F3137" s="36">
        <v>1992</v>
      </c>
      <c r="G3137" s="36" t="s">
        <v>2766</v>
      </c>
      <c r="H3137" s="36" t="s">
        <v>3086</v>
      </c>
      <c r="I3137" s="36" t="s">
        <v>2996</v>
      </c>
      <c r="J3137" s="36">
        <f t="shared" si="428"/>
        <v>-17.583333333333332</v>
      </c>
      <c r="K3137" s="36">
        <f t="shared" si="429"/>
        <v>31.233333333333334</v>
      </c>
      <c r="L3137" s="36">
        <v>1475</v>
      </c>
      <c r="N3137" s="36">
        <v>23</v>
      </c>
      <c r="P3137" s="36">
        <v>755</v>
      </c>
      <c r="R3137" s="51" t="s">
        <v>1847</v>
      </c>
      <c r="S3137" s="51" t="s">
        <v>1843</v>
      </c>
      <c r="T3137" s="51"/>
      <c r="U3137" s="51" t="s">
        <v>3087</v>
      </c>
      <c r="V3137" s="51"/>
      <c r="W3137" s="51"/>
      <c r="X3137" s="51"/>
      <c r="Y3137" s="51"/>
      <c r="AA3137" s="331">
        <v>71</v>
      </c>
      <c r="AB3137" s="331">
        <f t="shared" si="430"/>
        <v>5</v>
      </c>
      <c r="AC3137" s="36" t="s">
        <v>518</v>
      </c>
      <c r="AD3137" s="36">
        <v>4.8</v>
      </c>
      <c r="AE3137" s="36">
        <v>0.5</v>
      </c>
      <c r="AG3137" s="36" t="s">
        <v>2971</v>
      </c>
      <c r="AH3137" s="36" t="s">
        <v>3098</v>
      </c>
      <c r="AI3137" s="36" t="s">
        <v>577</v>
      </c>
      <c r="AJ3137" s="36" t="s">
        <v>1645</v>
      </c>
      <c r="AK3137" s="36" t="s">
        <v>132</v>
      </c>
      <c r="AW3137" s="36" t="s">
        <v>160</v>
      </c>
      <c r="AX3137" s="36">
        <v>3</v>
      </c>
      <c r="AZ3137" s="36" t="s">
        <v>141</v>
      </c>
      <c r="BE3137" s="36" t="s">
        <v>3101</v>
      </c>
      <c r="BK3137" s="36">
        <f>BL3137-1000</f>
        <v>2600</v>
      </c>
      <c r="BL3137" s="36">
        <v>3600</v>
      </c>
      <c r="BM3137" s="36">
        <v>600</v>
      </c>
      <c r="BN3137" s="36">
        <v>600</v>
      </c>
      <c r="BP3137" s="407"/>
      <c r="BQ3137" s="407"/>
      <c r="BU3137" s="407"/>
      <c r="BV3137" s="407"/>
      <c r="BZ3137" s="407"/>
      <c r="CA3137" s="407"/>
      <c r="CE3137" s="560"/>
      <c r="CF3137" s="560"/>
      <c r="CG3137" s="560"/>
      <c r="CH3137" s="560"/>
      <c r="JD3137" s="230"/>
    </row>
    <row r="3138" spans="1:264" s="36" customFormat="1" x14ac:dyDescent="0.25">
      <c r="A3138" s="36">
        <v>149</v>
      </c>
      <c r="B3138" s="51" t="s">
        <v>4407</v>
      </c>
      <c r="C3138" s="36" t="s">
        <v>3084</v>
      </c>
      <c r="D3138" s="36" t="s">
        <v>3085</v>
      </c>
      <c r="E3138" s="36">
        <v>1999</v>
      </c>
      <c r="F3138" s="36">
        <v>1992</v>
      </c>
      <c r="G3138" s="36" t="s">
        <v>2766</v>
      </c>
      <c r="H3138" s="36" t="s">
        <v>3086</v>
      </c>
      <c r="I3138" s="36" t="s">
        <v>2996</v>
      </c>
      <c r="J3138" s="36">
        <f t="shared" si="428"/>
        <v>-17.583333333333332</v>
      </c>
      <c r="K3138" s="36">
        <f t="shared" si="429"/>
        <v>31.233333333333334</v>
      </c>
      <c r="L3138" s="36">
        <v>1475</v>
      </c>
      <c r="N3138" s="36">
        <v>23</v>
      </c>
      <c r="P3138" s="36">
        <v>755</v>
      </c>
      <c r="R3138" s="51" t="s">
        <v>1847</v>
      </c>
      <c r="S3138" s="51" t="s">
        <v>1843</v>
      </c>
      <c r="T3138" s="51"/>
      <c r="U3138" s="51" t="s">
        <v>3087</v>
      </c>
      <c r="V3138" s="51"/>
      <c r="W3138" s="51"/>
      <c r="X3138" s="51"/>
      <c r="Y3138" s="51"/>
      <c r="AA3138" s="331">
        <v>71</v>
      </c>
      <c r="AB3138" s="331">
        <f t="shared" si="430"/>
        <v>5</v>
      </c>
      <c r="AC3138" s="36" t="s">
        <v>518</v>
      </c>
      <c r="AD3138" s="36">
        <v>4.8</v>
      </c>
      <c r="AE3138" s="36">
        <v>0.5</v>
      </c>
      <c r="AG3138" s="36" t="s">
        <v>2971</v>
      </c>
      <c r="AH3138" s="36" t="s">
        <v>2918</v>
      </c>
      <c r="AI3138" s="36" t="s">
        <v>577</v>
      </c>
      <c r="AJ3138" s="36" t="s">
        <v>1645</v>
      </c>
      <c r="AK3138" s="36" t="s">
        <v>132</v>
      </c>
      <c r="AW3138" s="36" t="s">
        <v>160</v>
      </c>
      <c r="AX3138" s="36">
        <v>3</v>
      </c>
      <c r="AZ3138" s="36" t="s">
        <v>141</v>
      </c>
      <c r="BE3138" s="36" t="s">
        <v>3102</v>
      </c>
      <c r="BK3138" s="36">
        <f>BL3138-400</f>
        <v>2700</v>
      </c>
      <c r="BL3138" s="36">
        <v>3100</v>
      </c>
      <c r="BM3138" s="36">
        <v>600</v>
      </c>
      <c r="BN3138" s="36">
        <v>600</v>
      </c>
      <c r="BP3138" s="407"/>
      <c r="BQ3138" s="407"/>
      <c r="BU3138" s="407"/>
      <c r="BV3138" s="407"/>
      <c r="BZ3138" s="407"/>
      <c r="CA3138" s="407"/>
      <c r="CE3138" s="560"/>
      <c r="CF3138" s="560"/>
      <c r="CG3138" s="560"/>
      <c r="CH3138" s="560"/>
      <c r="JD3138" s="230"/>
    </row>
    <row r="3139" spans="1:264" s="36" customFormat="1" x14ac:dyDescent="0.25">
      <c r="A3139" s="36">
        <v>149</v>
      </c>
      <c r="B3139" s="51" t="s">
        <v>4407</v>
      </c>
      <c r="C3139" s="36" t="s">
        <v>3084</v>
      </c>
      <c r="D3139" s="36" t="s">
        <v>3085</v>
      </c>
      <c r="E3139" s="36">
        <v>1999</v>
      </c>
      <c r="F3139" s="36">
        <v>1992</v>
      </c>
      <c r="G3139" s="36" t="s">
        <v>2766</v>
      </c>
      <c r="H3139" s="36" t="s">
        <v>3086</v>
      </c>
      <c r="I3139" s="36" t="s">
        <v>2996</v>
      </c>
      <c r="J3139" s="36">
        <f t="shared" si="428"/>
        <v>-17.583333333333332</v>
      </c>
      <c r="K3139" s="36">
        <f t="shared" si="429"/>
        <v>31.233333333333334</v>
      </c>
      <c r="L3139" s="36">
        <v>1475</v>
      </c>
      <c r="N3139" s="36">
        <v>23</v>
      </c>
      <c r="P3139" s="36">
        <v>755</v>
      </c>
      <c r="R3139" s="51" t="s">
        <v>1847</v>
      </c>
      <c r="S3139" s="51" t="s">
        <v>1843</v>
      </c>
      <c r="T3139" s="51"/>
      <c r="U3139" s="51" t="s">
        <v>3087</v>
      </c>
      <c r="V3139" s="51"/>
      <c r="W3139" s="51"/>
      <c r="X3139" s="51"/>
      <c r="Y3139" s="51"/>
      <c r="AA3139" s="331">
        <v>71</v>
      </c>
      <c r="AB3139" s="331">
        <f t="shared" si="430"/>
        <v>5</v>
      </c>
      <c r="AC3139" s="36" t="s">
        <v>518</v>
      </c>
      <c r="AD3139" s="36">
        <v>4.8</v>
      </c>
      <c r="AE3139" s="36">
        <v>0.5</v>
      </c>
      <c r="AG3139" s="36" t="s">
        <v>2971</v>
      </c>
      <c r="AH3139" s="36" t="s">
        <v>2918</v>
      </c>
      <c r="AI3139" s="36" t="s">
        <v>577</v>
      </c>
      <c r="AJ3139" s="36" t="s">
        <v>1645</v>
      </c>
      <c r="AK3139" s="36" t="s">
        <v>132</v>
      </c>
      <c r="AW3139" s="36" t="s">
        <v>160</v>
      </c>
      <c r="AX3139" s="36">
        <v>3</v>
      </c>
      <c r="AZ3139" s="36" t="s">
        <v>141</v>
      </c>
      <c r="BE3139" s="36" t="s">
        <v>3103</v>
      </c>
      <c r="BK3139" s="36">
        <f>BL3139-1000</f>
        <v>2700</v>
      </c>
      <c r="BL3139" s="36">
        <v>3700</v>
      </c>
      <c r="BM3139" s="36">
        <v>600</v>
      </c>
      <c r="BN3139" s="36">
        <v>600</v>
      </c>
      <c r="BP3139" s="407"/>
      <c r="BQ3139" s="407"/>
      <c r="BU3139" s="407"/>
      <c r="BV3139" s="407"/>
      <c r="BZ3139" s="407"/>
      <c r="CA3139" s="407"/>
      <c r="CE3139" s="560"/>
      <c r="CF3139" s="560"/>
      <c r="CG3139" s="560"/>
      <c r="CH3139" s="560"/>
      <c r="JD3139" s="230"/>
    </row>
    <row r="3140" spans="1:264" s="36" customFormat="1" x14ac:dyDescent="0.25">
      <c r="A3140" s="36">
        <v>149</v>
      </c>
      <c r="B3140" s="51" t="s">
        <v>4407</v>
      </c>
      <c r="C3140" s="36" t="s">
        <v>3084</v>
      </c>
      <c r="D3140" s="36" t="s">
        <v>3085</v>
      </c>
      <c r="E3140" s="36">
        <v>1999</v>
      </c>
      <c r="F3140" s="36">
        <v>1992</v>
      </c>
      <c r="G3140" s="36" t="s">
        <v>2766</v>
      </c>
      <c r="H3140" s="36" t="s">
        <v>3086</v>
      </c>
      <c r="I3140" s="36" t="s">
        <v>2996</v>
      </c>
      <c r="J3140" s="36">
        <f t="shared" si="428"/>
        <v>-17.583333333333332</v>
      </c>
      <c r="K3140" s="36">
        <f t="shared" si="429"/>
        <v>31.233333333333334</v>
      </c>
      <c r="L3140" s="36">
        <v>1475</v>
      </c>
      <c r="N3140" s="36">
        <v>23</v>
      </c>
      <c r="P3140" s="36">
        <v>755</v>
      </c>
      <c r="R3140" s="51" t="s">
        <v>1847</v>
      </c>
      <c r="S3140" s="51" t="s">
        <v>1843</v>
      </c>
      <c r="T3140" s="51"/>
      <c r="U3140" s="51" t="s">
        <v>3087</v>
      </c>
      <c r="V3140" s="51"/>
      <c r="W3140" s="51"/>
      <c r="X3140" s="51"/>
      <c r="Y3140" s="51"/>
      <c r="AA3140" s="331">
        <v>71</v>
      </c>
      <c r="AB3140" s="331">
        <f t="shared" si="430"/>
        <v>5</v>
      </c>
      <c r="AC3140" s="36" t="s">
        <v>518</v>
      </c>
      <c r="AD3140" s="36">
        <v>4.8</v>
      </c>
      <c r="AE3140" s="36">
        <v>0.5</v>
      </c>
      <c r="AG3140" s="36" t="s">
        <v>2971</v>
      </c>
      <c r="AH3140" s="36" t="s">
        <v>2918</v>
      </c>
      <c r="AI3140" s="36" t="s">
        <v>577</v>
      </c>
      <c r="AJ3140" s="36" t="s">
        <v>1645</v>
      </c>
      <c r="AK3140" s="36" t="s">
        <v>132</v>
      </c>
      <c r="AW3140" s="36" t="s">
        <v>160</v>
      </c>
      <c r="AX3140" s="36">
        <v>3</v>
      </c>
      <c r="AZ3140" s="36" t="s">
        <v>141</v>
      </c>
      <c r="BE3140" s="36" t="s">
        <v>3104</v>
      </c>
      <c r="BK3140" s="36">
        <f>BL3140-900</f>
        <v>2700</v>
      </c>
      <c r="BL3140" s="36">
        <v>3600</v>
      </c>
      <c r="BM3140" s="36">
        <v>600</v>
      </c>
      <c r="BN3140" s="36">
        <v>600</v>
      </c>
      <c r="BP3140" s="407"/>
      <c r="BQ3140" s="407"/>
      <c r="BU3140" s="407"/>
      <c r="BV3140" s="407"/>
      <c r="BZ3140" s="407"/>
      <c r="CA3140" s="407"/>
      <c r="CE3140" s="560"/>
      <c r="CF3140" s="560"/>
      <c r="CG3140" s="560"/>
      <c r="CH3140" s="560"/>
      <c r="JD3140" s="230"/>
    </row>
    <row r="3141" spans="1:264" s="126" customFormat="1" x14ac:dyDescent="0.25">
      <c r="A3141" s="126">
        <v>149</v>
      </c>
      <c r="B3141" s="478" t="s">
        <v>4407</v>
      </c>
      <c r="C3141" s="126" t="s">
        <v>3084</v>
      </c>
      <c r="D3141" s="126" t="s">
        <v>3085</v>
      </c>
      <c r="E3141" s="126">
        <v>1999</v>
      </c>
      <c r="F3141" s="126">
        <v>1993</v>
      </c>
      <c r="G3141" s="126" t="s">
        <v>2766</v>
      </c>
      <c r="H3141" s="126" t="s">
        <v>3086</v>
      </c>
      <c r="I3141" s="126" t="s">
        <v>2996</v>
      </c>
      <c r="J3141" s="126">
        <f t="shared" si="428"/>
        <v>-17.583333333333332</v>
      </c>
      <c r="K3141" s="126">
        <f t="shared" si="429"/>
        <v>31.233333333333334</v>
      </c>
      <c r="L3141" s="126">
        <v>1475</v>
      </c>
      <c r="N3141" s="126">
        <v>23</v>
      </c>
      <c r="P3141" s="126">
        <v>755</v>
      </c>
      <c r="R3141" s="478" t="s">
        <v>1728</v>
      </c>
      <c r="S3141" s="478" t="s">
        <v>1843</v>
      </c>
      <c r="T3141" s="478"/>
      <c r="U3141" s="478" t="s">
        <v>3087</v>
      </c>
      <c r="V3141" s="478"/>
      <c r="W3141" s="478"/>
      <c r="X3141" s="478"/>
      <c r="Y3141" s="478"/>
      <c r="AA3141" s="479">
        <v>71</v>
      </c>
      <c r="AB3141" s="479">
        <f t="shared" si="430"/>
        <v>5</v>
      </c>
      <c r="AC3141" s="126" t="s">
        <v>518</v>
      </c>
      <c r="AD3141" s="126">
        <v>4.8</v>
      </c>
      <c r="AE3141" s="126">
        <v>0.5</v>
      </c>
      <c r="AG3141" s="126" t="s">
        <v>2971</v>
      </c>
      <c r="AH3141" s="126" t="s">
        <v>3088</v>
      </c>
      <c r="AI3141" s="126" t="s">
        <v>577</v>
      </c>
      <c r="AJ3141" s="126" t="s">
        <v>1645</v>
      </c>
      <c r="AK3141" s="126" t="s">
        <v>132</v>
      </c>
      <c r="AW3141" s="126" t="s">
        <v>160</v>
      </c>
      <c r="AX3141" s="126">
        <v>3</v>
      </c>
      <c r="AZ3141" s="126" t="s">
        <v>141</v>
      </c>
      <c r="BE3141" s="126" t="s">
        <v>3096</v>
      </c>
      <c r="BK3141" s="126">
        <f>BL3141-100</f>
        <v>1600</v>
      </c>
      <c r="BL3141" s="126">
        <v>1700</v>
      </c>
      <c r="BM3141" s="126">
        <v>300</v>
      </c>
      <c r="BN3141" s="126">
        <v>300</v>
      </c>
      <c r="BP3141" s="481"/>
      <c r="BQ3141" s="481"/>
      <c r="BU3141" s="481"/>
      <c r="BV3141" s="481"/>
      <c r="BZ3141" s="481"/>
      <c r="CA3141" s="481"/>
      <c r="CE3141" s="605"/>
      <c r="CF3141" s="605"/>
      <c r="CG3141" s="605"/>
      <c r="CH3141" s="605"/>
      <c r="JD3141" s="480"/>
    </row>
    <row r="3142" spans="1:264" s="126" customFormat="1" x14ac:dyDescent="0.25">
      <c r="A3142" s="126">
        <v>149</v>
      </c>
      <c r="B3142" s="478" t="s">
        <v>4407</v>
      </c>
      <c r="C3142" s="126" t="s">
        <v>3084</v>
      </c>
      <c r="D3142" s="126" t="s">
        <v>3085</v>
      </c>
      <c r="E3142" s="126">
        <v>1999</v>
      </c>
      <c r="F3142" s="126">
        <v>1993</v>
      </c>
      <c r="G3142" s="126" t="s">
        <v>2766</v>
      </c>
      <c r="H3142" s="126" t="s">
        <v>3086</v>
      </c>
      <c r="I3142" s="126" t="s">
        <v>2996</v>
      </c>
      <c r="J3142" s="126">
        <f t="shared" si="428"/>
        <v>-17.583333333333332</v>
      </c>
      <c r="K3142" s="126">
        <f t="shared" si="429"/>
        <v>31.233333333333334</v>
      </c>
      <c r="L3142" s="126">
        <v>1475</v>
      </c>
      <c r="N3142" s="126">
        <v>23</v>
      </c>
      <c r="P3142" s="126">
        <v>755</v>
      </c>
      <c r="R3142" s="478" t="s">
        <v>1728</v>
      </c>
      <c r="S3142" s="478" t="s">
        <v>1843</v>
      </c>
      <c r="T3142" s="478"/>
      <c r="U3142" s="478" t="s">
        <v>3087</v>
      </c>
      <c r="V3142" s="478"/>
      <c r="W3142" s="478"/>
      <c r="X3142" s="478"/>
      <c r="Y3142" s="478"/>
      <c r="AA3142" s="479">
        <v>71</v>
      </c>
      <c r="AB3142" s="479">
        <f t="shared" si="430"/>
        <v>5</v>
      </c>
      <c r="AC3142" s="126" t="s">
        <v>518</v>
      </c>
      <c r="AD3142" s="126">
        <v>4.8</v>
      </c>
      <c r="AE3142" s="126">
        <v>0.5</v>
      </c>
      <c r="AG3142" s="126" t="s">
        <v>2971</v>
      </c>
      <c r="AH3142" s="126" t="s">
        <v>3088</v>
      </c>
      <c r="AI3142" s="126" t="s">
        <v>577</v>
      </c>
      <c r="AJ3142" s="126" t="s">
        <v>1645</v>
      </c>
      <c r="AK3142" s="126" t="s">
        <v>132</v>
      </c>
      <c r="AW3142" s="126" t="s">
        <v>160</v>
      </c>
      <c r="AX3142" s="126">
        <v>3</v>
      </c>
      <c r="AZ3142" s="126" t="s">
        <v>141</v>
      </c>
      <c r="BE3142" s="126" t="s">
        <v>3097</v>
      </c>
      <c r="BK3142" s="126">
        <f>BL3142-900</f>
        <v>1600</v>
      </c>
      <c r="BL3142" s="126">
        <v>2500</v>
      </c>
      <c r="BM3142" s="126">
        <v>300</v>
      </c>
      <c r="BN3142" s="126">
        <v>300</v>
      </c>
      <c r="BP3142" s="481"/>
      <c r="BQ3142" s="481"/>
      <c r="BU3142" s="481"/>
      <c r="BV3142" s="481"/>
      <c r="BZ3142" s="481"/>
      <c r="CA3142" s="481"/>
      <c r="CE3142" s="605"/>
      <c r="CF3142" s="605"/>
      <c r="CG3142" s="605"/>
      <c r="CH3142" s="605"/>
      <c r="JD3142" s="480"/>
    </row>
    <row r="3143" spans="1:264" s="126" customFormat="1" x14ac:dyDescent="0.25">
      <c r="A3143" s="126">
        <v>149</v>
      </c>
      <c r="B3143" s="478" t="s">
        <v>4407</v>
      </c>
      <c r="C3143" s="126" t="s">
        <v>3084</v>
      </c>
      <c r="D3143" s="126" t="s">
        <v>3085</v>
      </c>
      <c r="E3143" s="126">
        <v>1999</v>
      </c>
      <c r="F3143" s="126">
        <v>1993</v>
      </c>
      <c r="G3143" s="126" t="s">
        <v>2766</v>
      </c>
      <c r="H3143" s="126" t="s">
        <v>3086</v>
      </c>
      <c r="I3143" s="126" t="s">
        <v>2996</v>
      </c>
      <c r="J3143" s="126">
        <f t="shared" si="428"/>
        <v>-17.583333333333332</v>
      </c>
      <c r="K3143" s="126">
        <f t="shared" si="429"/>
        <v>31.233333333333334</v>
      </c>
      <c r="L3143" s="126">
        <v>1475</v>
      </c>
      <c r="N3143" s="126">
        <v>23</v>
      </c>
      <c r="P3143" s="126">
        <v>755</v>
      </c>
      <c r="R3143" s="478" t="s">
        <v>1728</v>
      </c>
      <c r="S3143" s="478" t="s">
        <v>1843</v>
      </c>
      <c r="T3143" s="478"/>
      <c r="U3143" s="478" t="s">
        <v>3087</v>
      </c>
      <c r="V3143" s="478"/>
      <c r="W3143" s="478"/>
      <c r="X3143" s="478"/>
      <c r="Y3143" s="478"/>
      <c r="AA3143" s="479">
        <v>71</v>
      </c>
      <c r="AB3143" s="479">
        <f t="shared" si="430"/>
        <v>5</v>
      </c>
      <c r="AC3143" s="126" t="s">
        <v>518</v>
      </c>
      <c r="AD3143" s="126">
        <v>4.8</v>
      </c>
      <c r="AE3143" s="126">
        <v>0.5</v>
      </c>
      <c r="AG3143" s="126" t="s">
        <v>2971</v>
      </c>
      <c r="AH3143" s="126" t="s">
        <v>3088</v>
      </c>
      <c r="AI3143" s="126" t="s">
        <v>577</v>
      </c>
      <c r="AJ3143" s="126" t="s">
        <v>1645</v>
      </c>
      <c r="AK3143" s="126" t="s">
        <v>132</v>
      </c>
      <c r="AW3143" s="126" t="s">
        <v>160</v>
      </c>
      <c r="AX3143" s="126">
        <v>3</v>
      </c>
      <c r="AZ3143" s="126" t="s">
        <v>141</v>
      </c>
      <c r="BE3143" s="126" t="s">
        <v>3093</v>
      </c>
      <c r="BK3143" s="126">
        <f>BL3143-900</f>
        <v>1600</v>
      </c>
      <c r="BL3143" s="126">
        <v>2500</v>
      </c>
      <c r="BM3143" s="126">
        <v>300</v>
      </c>
      <c r="BN3143" s="126">
        <v>300</v>
      </c>
      <c r="BP3143" s="481"/>
      <c r="BQ3143" s="481"/>
      <c r="BU3143" s="481"/>
      <c r="BV3143" s="481"/>
      <c r="BZ3143" s="481"/>
      <c r="CA3143" s="481"/>
      <c r="CE3143" s="605"/>
      <c r="CF3143" s="605"/>
      <c r="CG3143" s="605"/>
      <c r="CH3143" s="605"/>
      <c r="JD3143" s="480"/>
    </row>
    <row r="3144" spans="1:264" s="126" customFormat="1" x14ac:dyDescent="0.25">
      <c r="A3144" s="126">
        <v>149</v>
      </c>
      <c r="B3144" s="478" t="s">
        <v>4407</v>
      </c>
      <c r="C3144" s="126" t="s">
        <v>3084</v>
      </c>
      <c r="D3144" s="126" t="s">
        <v>3085</v>
      </c>
      <c r="E3144" s="126">
        <v>1999</v>
      </c>
      <c r="F3144" s="126">
        <v>1993</v>
      </c>
      <c r="G3144" s="126" t="s">
        <v>2766</v>
      </c>
      <c r="H3144" s="126" t="s">
        <v>3086</v>
      </c>
      <c r="I3144" s="126" t="s">
        <v>2996</v>
      </c>
      <c r="J3144" s="126">
        <f t="shared" si="428"/>
        <v>-17.583333333333332</v>
      </c>
      <c r="K3144" s="126">
        <f t="shared" si="429"/>
        <v>31.233333333333334</v>
      </c>
      <c r="L3144" s="126">
        <v>1475</v>
      </c>
      <c r="N3144" s="126">
        <v>23</v>
      </c>
      <c r="P3144" s="126">
        <v>755</v>
      </c>
      <c r="R3144" s="478" t="s">
        <v>1728</v>
      </c>
      <c r="S3144" s="478" t="s">
        <v>1843</v>
      </c>
      <c r="T3144" s="478"/>
      <c r="U3144" s="478" t="s">
        <v>3087</v>
      </c>
      <c r="V3144" s="478"/>
      <c r="W3144" s="478"/>
      <c r="X3144" s="478"/>
      <c r="Y3144" s="478"/>
      <c r="AA3144" s="479">
        <v>71</v>
      </c>
      <c r="AB3144" s="479">
        <f t="shared" si="430"/>
        <v>5</v>
      </c>
      <c r="AC3144" s="126" t="s">
        <v>518</v>
      </c>
      <c r="AD3144" s="126">
        <v>4.8</v>
      </c>
      <c r="AE3144" s="126">
        <v>0.5</v>
      </c>
      <c r="AG3144" s="126" t="s">
        <v>2971</v>
      </c>
      <c r="AH3144" s="126" t="s">
        <v>3098</v>
      </c>
      <c r="AI3144" s="126" t="s">
        <v>577</v>
      </c>
      <c r="AJ3144" s="126" t="s">
        <v>1645</v>
      </c>
      <c r="AK3144" s="126" t="s">
        <v>132</v>
      </c>
      <c r="AW3144" s="126" t="s">
        <v>160</v>
      </c>
      <c r="AX3144" s="126">
        <v>3</v>
      </c>
      <c r="AZ3144" s="126" t="s">
        <v>141</v>
      </c>
      <c r="BE3144" s="126" t="s">
        <v>3105</v>
      </c>
      <c r="BK3144" s="126">
        <f>BL3144+100</f>
        <v>1600</v>
      </c>
      <c r="BL3144" s="126">
        <v>1500</v>
      </c>
      <c r="BM3144" s="126">
        <v>300</v>
      </c>
      <c r="BN3144" s="126">
        <v>300</v>
      </c>
      <c r="BP3144" s="481"/>
      <c r="BQ3144" s="481"/>
      <c r="BU3144" s="481"/>
      <c r="BV3144" s="481"/>
      <c r="BZ3144" s="481"/>
      <c r="CA3144" s="481"/>
      <c r="CE3144" s="605"/>
      <c r="CF3144" s="605"/>
      <c r="CG3144" s="605"/>
      <c r="CH3144" s="605"/>
      <c r="JD3144" s="480"/>
    </row>
    <row r="3145" spans="1:264" s="126" customFormat="1" x14ac:dyDescent="0.25">
      <c r="A3145" s="126">
        <v>149</v>
      </c>
      <c r="B3145" s="478" t="s">
        <v>4407</v>
      </c>
      <c r="C3145" s="126" t="s">
        <v>3084</v>
      </c>
      <c r="D3145" s="126" t="s">
        <v>3085</v>
      </c>
      <c r="E3145" s="126">
        <v>1999</v>
      </c>
      <c r="F3145" s="126">
        <v>1993</v>
      </c>
      <c r="G3145" s="126" t="s">
        <v>2766</v>
      </c>
      <c r="H3145" s="126" t="s">
        <v>3086</v>
      </c>
      <c r="I3145" s="126" t="s">
        <v>2996</v>
      </c>
      <c r="J3145" s="126">
        <f t="shared" si="428"/>
        <v>-17.583333333333332</v>
      </c>
      <c r="K3145" s="126">
        <f t="shared" si="429"/>
        <v>31.233333333333334</v>
      </c>
      <c r="L3145" s="126">
        <v>1475</v>
      </c>
      <c r="N3145" s="126">
        <v>23</v>
      </c>
      <c r="P3145" s="126">
        <v>755</v>
      </c>
      <c r="R3145" s="478" t="s">
        <v>1728</v>
      </c>
      <c r="S3145" s="478" t="s">
        <v>1843</v>
      </c>
      <c r="T3145" s="478"/>
      <c r="U3145" s="478" t="s">
        <v>3087</v>
      </c>
      <c r="V3145" s="478"/>
      <c r="W3145" s="478"/>
      <c r="X3145" s="478"/>
      <c r="Y3145" s="478"/>
      <c r="AA3145" s="479">
        <v>71</v>
      </c>
      <c r="AB3145" s="479">
        <f t="shared" si="430"/>
        <v>5</v>
      </c>
      <c r="AC3145" s="126" t="s">
        <v>518</v>
      </c>
      <c r="AD3145" s="126">
        <v>4.8</v>
      </c>
      <c r="AE3145" s="126">
        <v>0.5</v>
      </c>
      <c r="AG3145" s="126" t="s">
        <v>2971</v>
      </c>
      <c r="AH3145" s="126" t="s">
        <v>3098</v>
      </c>
      <c r="AI3145" s="126" t="s">
        <v>577</v>
      </c>
      <c r="AJ3145" s="126" t="s">
        <v>1645</v>
      </c>
      <c r="AK3145" s="126" t="s">
        <v>132</v>
      </c>
      <c r="AW3145" s="126" t="s">
        <v>160</v>
      </c>
      <c r="AX3145" s="126">
        <v>3</v>
      </c>
      <c r="AZ3145" s="126" t="s">
        <v>141</v>
      </c>
      <c r="BE3145" s="126" t="s">
        <v>3106</v>
      </c>
      <c r="BK3145" s="126">
        <f>BL3145+100</f>
        <v>1500</v>
      </c>
      <c r="BL3145" s="126">
        <v>1400</v>
      </c>
      <c r="BM3145" s="126">
        <v>300</v>
      </c>
      <c r="BN3145" s="126">
        <v>300</v>
      </c>
      <c r="BP3145" s="481"/>
      <c r="BQ3145" s="481"/>
      <c r="BU3145" s="481"/>
      <c r="BV3145" s="481"/>
      <c r="BZ3145" s="481"/>
      <c r="CA3145" s="481"/>
      <c r="CE3145" s="605"/>
      <c r="CF3145" s="605"/>
      <c r="CG3145" s="605"/>
      <c r="CH3145" s="605"/>
      <c r="JD3145" s="480"/>
    </row>
    <row r="3146" spans="1:264" s="126" customFormat="1" x14ac:dyDescent="0.25">
      <c r="A3146" s="126">
        <v>149</v>
      </c>
      <c r="B3146" s="478" t="s">
        <v>4407</v>
      </c>
      <c r="C3146" s="126" t="s">
        <v>3084</v>
      </c>
      <c r="D3146" s="126" t="s">
        <v>3085</v>
      </c>
      <c r="E3146" s="126">
        <v>1999</v>
      </c>
      <c r="F3146" s="126">
        <v>1993</v>
      </c>
      <c r="G3146" s="126" t="s">
        <v>2766</v>
      </c>
      <c r="H3146" s="126" t="s">
        <v>3086</v>
      </c>
      <c r="I3146" s="126" t="s">
        <v>2996</v>
      </c>
      <c r="J3146" s="126">
        <f t="shared" si="428"/>
        <v>-17.583333333333332</v>
      </c>
      <c r="K3146" s="126">
        <f t="shared" si="429"/>
        <v>31.233333333333334</v>
      </c>
      <c r="L3146" s="126">
        <v>1475</v>
      </c>
      <c r="N3146" s="126">
        <v>23</v>
      </c>
      <c r="P3146" s="126">
        <v>755</v>
      </c>
      <c r="R3146" s="478" t="s">
        <v>1728</v>
      </c>
      <c r="S3146" s="478" t="s">
        <v>1843</v>
      </c>
      <c r="T3146" s="478"/>
      <c r="U3146" s="478" t="s">
        <v>3087</v>
      </c>
      <c r="V3146" s="478"/>
      <c r="W3146" s="478"/>
      <c r="X3146" s="478"/>
      <c r="Y3146" s="478"/>
      <c r="AA3146" s="479">
        <v>71</v>
      </c>
      <c r="AB3146" s="479">
        <f t="shared" si="430"/>
        <v>5</v>
      </c>
      <c r="AC3146" s="126" t="s">
        <v>518</v>
      </c>
      <c r="AD3146" s="126">
        <v>4.8</v>
      </c>
      <c r="AE3146" s="126">
        <v>0.5</v>
      </c>
      <c r="AG3146" s="126" t="s">
        <v>2971</v>
      </c>
      <c r="AH3146" s="126" t="s">
        <v>3098</v>
      </c>
      <c r="AI3146" s="126" t="s">
        <v>577</v>
      </c>
      <c r="AJ3146" s="126" t="s">
        <v>1645</v>
      </c>
      <c r="AK3146" s="126" t="s">
        <v>132</v>
      </c>
      <c r="AW3146" s="126" t="s">
        <v>160</v>
      </c>
      <c r="AX3146" s="126">
        <v>3</v>
      </c>
      <c r="AZ3146" s="126" t="s">
        <v>141</v>
      </c>
      <c r="BE3146" s="126" t="s">
        <v>3107</v>
      </c>
      <c r="BK3146" s="126">
        <f>BL3146-1400</f>
        <v>1600</v>
      </c>
      <c r="BL3146" s="126">
        <v>3000</v>
      </c>
      <c r="BM3146" s="126">
        <v>300</v>
      </c>
      <c r="BN3146" s="126">
        <v>300</v>
      </c>
      <c r="BP3146" s="481"/>
      <c r="BQ3146" s="481"/>
      <c r="BU3146" s="481"/>
      <c r="BV3146" s="481"/>
      <c r="BZ3146" s="481"/>
      <c r="CA3146" s="481"/>
      <c r="CE3146" s="605"/>
      <c r="CF3146" s="605"/>
      <c r="CG3146" s="605"/>
      <c r="CH3146" s="605"/>
      <c r="JD3146" s="480"/>
    </row>
    <row r="3147" spans="1:264" s="126" customFormat="1" x14ac:dyDescent="0.25">
      <c r="A3147" s="126">
        <v>149</v>
      </c>
      <c r="B3147" s="478" t="s">
        <v>4407</v>
      </c>
      <c r="C3147" s="126" t="s">
        <v>3084</v>
      </c>
      <c r="D3147" s="126" t="s">
        <v>3085</v>
      </c>
      <c r="E3147" s="126">
        <v>1999</v>
      </c>
      <c r="F3147" s="126">
        <v>1993</v>
      </c>
      <c r="G3147" s="126" t="s">
        <v>2766</v>
      </c>
      <c r="H3147" s="126" t="s">
        <v>3086</v>
      </c>
      <c r="I3147" s="126" t="s">
        <v>2996</v>
      </c>
      <c r="J3147" s="126">
        <f t="shared" si="428"/>
        <v>-17.583333333333332</v>
      </c>
      <c r="K3147" s="126">
        <f t="shared" si="429"/>
        <v>31.233333333333334</v>
      </c>
      <c r="L3147" s="126">
        <v>1475</v>
      </c>
      <c r="N3147" s="126">
        <v>23</v>
      </c>
      <c r="P3147" s="126">
        <v>755</v>
      </c>
      <c r="R3147" s="478" t="s">
        <v>1728</v>
      </c>
      <c r="S3147" s="478" t="s">
        <v>1843</v>
      </c>
      <c r="T3147" s="478"/>
      <c r="U3147" s="478" t="s">
        <v>3087</v>
      </c>
      <c r="V3147" s="478"/>
      <c r="W3147" s="478"/>
      <c r="X3147" s="478"/>
      <c r="Y3147" s="478"/>
      <c r="AA3147" s="479">
        <v>71</v>
      </c>
      <c r="AB3147" s="479">
        <f t="shared" si="430"/>
        <v>5</v>
      </c>
      <c r="AC3147" s="126" t="s">
        <v>518</v>
      </c>
      <c r="AD3147" s="126">
        <v>4.8</v>
      </c>
      <c r="AE3147" s="126">
        <v>0.5</v>
      </c>
      <c r="AG3147" s="126" t="s">
        <v>2971</v>
      </c>
      <c r="AH3147" s="126" t="s">
        <v>2918</v>
      </c>
      <c r="AI3147" s="126" t="s">
        <v>577</v>
      </c>
      <c r="AJ3147" s="126" t="s">
        <v>1645</v>
      </c>
      <c r="AK3147" s="126" t="s">
        <v>132</v>
      </c>
      <c r="AW3147" s="126" t="s">
        <v>160</v>
      </c>
      <c r="AX3147" s="126">
        <v>3</v>
      </c>
      <c r="AZ3147" s="126" t="s">
        <v>141</v>
      </c>
      <c r="BE3147" s="126" t="s">
        <v>3108</v>
      </c>
      <c r="BK3147" s="126">
        <f>BL3147+100</f>
        <v>1600</v>
      </c>
      <c r="BL3147" s="126">
        <v>1500</v>
      </c>
      <c r="BM3147" s="126">
        <v>300</v>
      </c>
      <c r="BN3147" s="126">
        <v>300</v>
      </c>
      <c r="BP3147" s="481"/>
      <c r="BQ3147" s="481"/>
      <c r="BU3147" s="481"/>
      <c r="BV3147" s="481"/>
      <c r="BZ3147" s="481"/>
      <c r="CA3147" s="481"/>
      <c r="CE3147" s="605"/>
      <c r="CF3147" s="605"/>
      <c r="CG3147" s="605"/>
      <c r="CH3147" s="605"/>
      <c r="JD3147" s="480"/>
    </row>
    <row r="3148" spans="1:264" s="126" customFormat="1" x14ac:dyDescent="0.25">
      <c r="A3148" s="126">
        <v>149</v>
      </c>
      <c r="B3148" s="478" t="s">
        <v>4407</v>
      </c>
      <c r="C3148" s="126" t="s">
        <v>3084</v>
      </c>
      <c r="D3148" s="126" t="s">
        <v>3085</v>
      </c>
      <c r="E3148" s="126">
        <v>1999</v>
      </c>
      <c r="F3148" s="126">
        <v>1993</v>
      </c>
      <c r="G3148" s="126" t="s">
        <v>2766</v>
      </c>
      <c r="H3148" s="126" t="s">
        <v>3086</v>
      </c>
      <c r="I3148" s="126" t="s">
        <v>2996</v>
      </c>
      <c r="J3148" s="126">
        <f t="shared" si="428"/>
        <v>-17.583333333333332</v>
      </c>
      <c r="K3148" s="126">
        <f t="shared" si="429"/>
        <v>31.233333333333334</v>
      </c>
      <c r="L3148" s="126">
        <v>1475</v>
      </c>
      <c r="N3148" s="126">
        <v>23</v>
      </c>
      <c r="P3148" s="126">
        <v>755</v>
      </c>
      <c r="R3148" s="478" t="s">
        <v>1728</v>
      </c>
      <c r="S3148" s="478" t="s">
        <v>1843</v>
      </c>
      <c r="T3148" s="478"/>
      <c r="U3148" s="478" t="s">
        <v>3087</v>
      </c>
      <c r="V3148" s="478"/>
      <c r="W3148" s="478"/>
      <c r="X3148" s="478"/>
      <c r="Y3148" s="478"/>
      <c r="AA3148" s="479">
        <v>71</v>
      </c>
      <c r="AB3148" s="479">
        <f t="shared" si="430"/>
        <v>5</v>
      </c>
      <c r="AC3148" s="126" t="s">
        <v>518</v>
      </c>
      <c r="AD3148" s="126">
        <v>4.8</v>
      </c>
      <c r="AE3148" s="126">
        <v>0.5</v>
      </c>
      <c r="AG3148" s="126" t="s">
        <v>2971</v>
      </c>
      <c r="AH3148" s="126" t="s">
        <v>2918</v>
      </c>
      <c r="AI3148" s="126" t="s">
        <v>577</v>
      </c>
      <c r="AJ3148" s="126" t="s">
        <v>1645</v>
      </c>
      <c r="AK3148" s="126" t="s">
        <v>132</v>
      </c>
      <c r="AW3148" s="126" t="s">
        <v>160</v>
      </c>
      <c r="AX3148" s="126">
        <v>3</v>
      </c>
      <c r="AZ3148" s="126" t="s">
        <v>141</v>
      </c>
      <c r="BE3148" s="126" t="s">
        <v>3109</v>
      </c>
      <c r="BK3148" s="126">
        <f>BL3148+100</f>
        <v>1600</v>
      </c>
      <c r="BL3148" s="126">
        <v>1500</v>
      </c>
      <c r="BM3148" s="126">
        <v>300</v>
      </c>
      <c r="BN3148" s="126">
        <v>300</v>
      </c>
      <c r="BP3148" s="481"/>
      <c r="BQ3148" s="481"/>
      <c r="BU3148" s="481"/>
      <c r="BV3148" s="481"/>
      <c r="BZ3148" s="481"/>
      <c r="CA3148" s="481"/>
      <c r="CE3148" s="605"/>
      <c r="CF3148" s="605"/>
      <c r="CG3148" s="605"/>
      <c r="CH3148" s="605"/>
      <c r="JD3148" s="480"/>
    </row>
    <row r="3149" spans="1:264" s="126" customFormat="1" x14ac:dyDescent="0.25">
      <c r="A3149" s="126">
        <v>149</v>
      </c>
      <c r="B3149" s="478" t="s">
        <v>4407</v>
      </c>
      <c r="C3149" s="126" t="s">
        <v>3084</v>
      </c>
      <c r="D3149" s="126" t="s">
        <v>3085</v>
      </c>
      <c r="E3149" s="126">
        <v>1999</v>
      </c>
      <c r="F3149" s="126">
        <v>1993</v>
      </c>
      <c r="G3149" s="126" t="s">
        <v>2766</v>
      </c>
      <c r="H3149" s="126" t="s">
        <v>3086</v>
      </c>
      <c r="I3149" s="126" t="s">
        <v>2996</v>
      </c>
      <c r="J3149" s="126">
        <f t="shared" si="428"/>
        <v>-17.583333333333332</v>
      </c>
      <c r="K3149" s="126">
        <f t="shared" si="429"/>
        <v>31.233333333333334</v>
      </c>
      <c r="L3149" s="126">
        <v>1475</v>
      </c>
      <c r="N3149" s="126">
        <v>23</v>
      </c>
      <c r="P3149" s="126">
        <v>755</v>
      </c>
      <c r="R3149" s="478" t="s">
        <v>1728</v>
      </c>
      <c r="S3149" s="478" t="s">
        <v>1843</v>
      </c>
      <c r="T3149" s="478"/>
      <c r="U3149" s="478" t="s">
        <v>3087</v>
      </c>
      <c r="V3149" s="478"/>
      <c r="W3149" s="478"/>
      <c r="X3149" s="478"/>
      <c r="Y3149" s="478"/>
      <c r="AA3149" s="479">
        <v>71</v>
      </c>
      <c r="AB3149" s="479">
        <f t="shared" si="430"/>
        <v>5</v>
      </c>
      <c r="AC3149" s="126" t="s">
        <v>518</v>
      </c>
      <c r="AD3149" s="126">
        <v>4.8</v>
      </c>
      <c r="AE3149" s="126">
        <v>0.5</v>
      </c>
      <c r="AG3149" s="126" t="s">
        <v>2971</v>
      </c>
      <c r="AH3149" s="126" t="s">
        <v>2918</v>
      </c>
      <c r="AI3149" s="126" t="s">
        <v>577</v>
      </c>
      <c r="AJ3149" s="126" t="s">
        <v>1645</v>
      </c>
      <c r="AK3149" s="126" t="s">
        <v>132</v>
      </c>
      <c r="AW3149" s="126" t="s">
        <v>160</v>
      </c>
      <c r="AX3149" s="126">
        <v>3</v>
      </c>
      <c r="AZ3149" s="126" t="s">
        <v>141</v>
      </c>
      <c r="BE3149" s="126" t="s">
        <v>3110</v>
      </c>
      <c r="BK3149" s="126">
        <f>BL3149-1300</f>
        <v>1600</v>
      </c>
      <c r="BL3149" s="126">
        <v>2900</v>
      </c>
      <c r="BM3149" s="126">
        <v>300</v>
      </c>
      <c r="BN3149" s="126">
        <v>300</v>
      </c>
      <c r="BP3149" s="481"/>
      <c r="BQ3149" s="481"/>
      <c r="BU3149" s="481"/>
      <c r="BV3149" s="481"/>
      <c r="BZ3149" s="481"/>
      <c r="CA3149" s="481"/>
      <c r="CE3149" s="605"/>
      <c r="CF3149" s="605"/>
      <c r="CG3149" s="605"/>
      <c r="CH3149" s="605"/>
      <c r="JD3149" s="480"/>
    </row>
    <row r="3150" spans="1:264" s="24" customFormat="1" x14ac:dyDescent="0.25">
      <c r="A3150" s="24">
        <v>150</v>
      </c>
      <c r="B3150" s="42" t="s">
        <v>4408</v>
      </c>
      <c r="C3150" s="24" t="s">
        <v>3084</v>
      </c>
      <c r="D3150" s="24" t="s">
        <v>3085</v>
      </c>
      <c r="E3150" s="24">
        <v>2007</v>
      </c>
      <c r="F3150" s="24">
        <v>1995</v>
      </c>
      <c r="G3150" s="24" t="s">
        <v>2738</v>
      </c>
      <c r="H3150" s="24" t="s">
        <v>2754</v>
      </c>
      <c r="I3150" s="24" t="s">
        <v>2829</v>
      </c>
      <c r="J3150" s="24">
        <f t="shared" ref="J3150:J3155" si="431">-13-39/60</f>
        <v>-13.65</v>
      </c>
      <c r="K3150" s="24">
        <f t="shared" ref="K3150:K3155" si="432">32+34/60</f>
        <v>32.56666666666667</v>
      </c>
      <c r="L3150" s="24">
        <v>1028</v>
      </c>
      <c r="N3150" s="24">
        <f t="shared" ref="N3150:N3155" si="433">(25+16)/2</f>
        <v>20.5</v>
      </c>
      <c r="P3150" s="24">
        <v>960</v>
      </c>
      <c r="R3150" s="42" t="s">
        <v>1977</v>
      </c>
      <c r="S3150" s="42" t="s">
        <v>1719</v>
      </c>
      <c r="T3150" s="42"/>
      <c r="U3150" s="42" t="s">
        <v>3111</v>
      </c>
      <c r="V3150" s="42" t="s">
        <v>1379</v>
      </c>
      <c r="W3150" s="42" t="s">
        <v>1715</v>
      </c>
      <c r="X3150" s="42" t="s">
        <v>1379</v>
      </c>
      <c r="Y3150" s="42" t="s">
        <v>1379</v>
      </c>
      <c r="AA3150" s="321">
        <v>58</v>
      </c>
      <c r="AB3150" s="321">
        <v>17</v>
      </c>
      <c r="AC3150" s="24" t="s">
        <v>240</v>
      </c>
      <c r="AE3150" s="24">
        <v>1</v>
      </c>
      <c r="AG3150" s="24" t="s">
        <v>2755</v>
      </c>
      <c r="AH3150" s="24" t="s">
        <v>2763</v>
      </c>
      <c r="AI3150" s="24" t="s">
        <v>1129</v>
      </c>
      <c r="AJ3150" s="24" t="s">
        <v>1645</v>
      </c>
      <c r="AK3150" s="24" t="s">
        <v>132</v>
      </c>
      <c r="AW3150" s="24" t="s">
        <v>2780</v>
      </c>
      <c r="AX3150" s="24">
        <v>3</v>
      </c>
      <c r="AZ3150" s="24" t="s">
        <v>141</v>
      </c>
      <c r="BK3150" s="24">
        <v>2836</v>
      </c>
      <c r="BL3150" s="24">
        <v>3820</v>
      </c>
      <c r="BM3150" s="24">
        <f>6705-6344</f>
        <v>361</v>
      </c>
      <c r="BN3150" s="24">
        <f>6705-6344</f>
        <v>361</v>
      </c>
      <c r="BP3150" s="395"/>
      <c r="BQ3150" s="395"/>
      <c r="BU3150" s="395"/>
      <c r="BV3150" s="395"/>
      <c r="BZ3150" s="395"/>
      <c r="CA3150" s="395"/>
      <c r="CE3150" s="548"/>
      <c r="CF3150" s="548"/>
      <c r="CG3150" s="548"/>
      <c r="CH3150" s="548"/>
      <c r="JD3150" s="249"/>
    </row>
    <row r="3151" spans="1:264" s="24" customFormat="1" x14ac:dyDescent="0.25">
      <c r="A3151" s="24">
        <v>150</v>
      </c>
      <c r="B3151" s="42" t="s">
        <v>4408</v>
      </c>
      <c r="C3151" s="24" t="s">
        <v>3084</v>
      </c>
      <c r="D3151" s="24" t="s">
        <v>3085</v>
      </c>
      <c r="E3151" s="24">
        <v>2007</v>
      </c>
      <c r="F3151" s="24">
        <v>1995</v>
      </c>
      <c r="G3151" s="24" t="s">
        <v>2738</v>
      </c>
      <c r="H3151" s="24" t="s">
        <v>2754</v>
      </c>
      <c r="I3151" s="24" t="s">
        <v>2829</v>
      </c>
      <c r="J3151" s="24">
        <f t="shared" si="431"/>
        <v>-13.65</v>
      </c>
      <c r="K3151" s="24">
        <f t="shared" si="432"/>
        <v>32.56666666666667</v>
      </c>
      <c r="L3151" s="24">
        <v>1028</v>
      </c>
      <c r="N3151" s="24">
        <f t="shared" si="433"/>
        <v>20.5</v>
      </c>
      <c r="P3151" s="24">
        <v>960</v>
      </c>
      <c r="R3151" s="42" t="s">
        <v>1977</v>
      </c>
      <c r="S3151" s="42" t="s">
        <v>1719</v>
      </c>
      <c r="T3151" s="42"/>
      <c r="U3151" s="42" t="s">
        <v>3111</v>
      </c>
      <c r="V3151" s="42" t="s">
        <v>1379</v>
      </c>
      <c r="W3151" s="42" t="s">
        <v>1715</v>
      </c>
      <c r="X3151" s="42" t="s">
        <v>1379</v>
      </c>
      <c r="Y3151" s="42" t="s">
        <v>1379</v>
      </c>
      <c r="AA3151" s="321">
        <v>58</v>
      </c>
      <c r="AB3151" s="321">
        <v>17</v>
      </c>
      <c r="AC3151" s="24" t="s">
        <v>240</v>
      </c>
      <c r="AE3151" s="24">
        <v>1</v>
      </c>
      <c r="AG3151" s="24" t="s">
        <v>2755</v>
      </c>
      <c r="AH3151" s="24" t="s">
        <v>2771</v>
      </c>
      <c r="AI3151" s="24" t="s">
        <v>577</v>
      </c>
      <c r="AJ3151" s="24" t="s">
        <v>1645</v>
      </c>
      <c r="AK3151" s="24" t="s">
        <v>132</v>
      </c>
      <c r="AW3151" s="24" t="s">
        <v>2780</v>
      </c>
      <c r="AX3151" s="24">
        <v>3</v>
      </c>
      <c r="AZ3151" s="24" t="s">
        <v>141</v>
      </c>
      <c r="BK3151" s="24">
        <v>2836</v>
      </c>
      <c r="BL3151" s="24">
        <v>3721</v>
      </c>
      <c r="BM3151" s="24">
        <f t="shared" ref="BM3151:BN3152" si="434">6705-6344</f>
        <v>361</v>
      </c>
      <c r="BN3151" s="24">
        <f t="shared" si="434"/>
        <v>361</v>
      </c>
      <c r="BP3151" s="395"/>
      <c r="BQ3151" s="395"/>
      <c r="BU3151" s="395"/>
      <c r="BV3151" s="395"/>
      <c r="BZ3151" s="395"/>
      <c r="CA3151" s="395"/>
      <c r="CE3151" s="548"/>
      <c r="CF3151" s="548"/>
      <c r="CG3151" s="548"/>
      <c r="CH3151" s="548"/>
      <c r="JD3151" s="249"/>
    </row>
    <row r="3152" spans="1:264" s="24" customFormat="1" x14ac:dyDescent="0.25">
      <c r="A3152" s="24">
        <v>150</v>
      </c>
      <c r="B3152" s="42" t="s">
        <v>4409</v>
      </c>
      <c r="C3152" s="24" t="s">
        <v>3084</v>
      </c>
      <c r="D3152" s="24" t="s">
        <v>3085</v>
      </c>
      <c r="E3152" s="24">
        <v>2007</v>
      </c>
      <c r="F3152" s="24">
        <v>1995</v>
      </c>
      <c r="G3152" s="24" t="s">
        <v>2738</v>
      </c>
      <c r="H3152" s="24" t="s">
        <v>2754</v>
      </c>
      <c r="I3152" s="24" t="s">
        <v>2829</v>
      </c>
      <c r="J3152" s="24">
        <f t="shared" si="431"/>
        <v>-13.65</v>
      </c>
      <c r="K3152" s="24">
        <f t="shared" si="432"/>
        <v>32.56666666666667</v>
      </c>
      <c r="L3152" s="24">
        <v>1028</v>
      </c>
      <c r="N3152" s="24">
        <f t="shared" si="433"/>
        <v>20.5</v>
      </c>
      <c r="P3152" s="24">
        <v>960</v>
      </c>
      <c r="R3152" s="42" t="s">
        <v>1977</v>
      </c>
      <c r="S3152" s="42" t="s">
        <v>1719</v>
      </c>
      <c r="T3152" s="42"/>
      <c r="U3152" s="42" t="s">
        <v>3111</v>
      </c>
      <c r="V3152" s="42" t="s">
        <v>1379</v>
      </c>
      <c r="W3152" s="42" t="s">
        <v>1715</v>
      </c>
      <c r="X3152" s="42" t="s">
        <v>1379</v>
      </c>
      <c r="Y3152" s="42" t="s">
        <v>1379</v>
      </c>
      <c r="AA3152" s="321">
        <v>58</v>
      </c>
      <c r="AB3152" s="321">
        <v>17</v>
      </c>
      <c r="AC3152" s="24" t="s">
        <v>240</v>
      </c>
      <c r="AE3152" s="24">
        <v>1</v>
      </c>
      <c r="AG3152" s="24" t="s">
        <v>2755</v>
      </c>
      <c r="AH3152" s="24" t="s">
        <v>2770</v>
      </c>
      <c r="AI3152" s="24" t="s">
        <v>577</v>
      </c>
      <c r="AJ3152" s="24" t="s">
        <v>1645</v>
      </c>
      <c r="AK3152" s="24" t="s">
        <v>132</v>
      </c>
      <c r="AW3152" s="24" t="s">
        <v>2780</v>
      </c>
      <c r="AX3152" s="24">
        <v>3</v>
      </c>
      <c r="AZ3152" s="24" t="s">
        <v>141</v>
      </c>
      <c r="BK3152" s="24">
        <v>2836</v>
      </c>
      <c r="BL3152" s="24">
        <v>4607</v>
      </c>
      <c r="BM3152" s="24">
        <f t="shared" si="434"/>
        <v>361</v>
      </c>
      <c r="BN3152" s="24">
        <f t="shared" si="434"/>
        <v>361</v>
      </c>
      <c r="BP3152" s="395"/>
      <c r="BQ3152" s="395"/>
      <c r="BU3152" s="395"/>
      <c r="BV3152" s="395"/>
      <c r="BZ3152" s="395"/>
      <c r="CA3152" s="395"/>
      <c r="CE3152" s="548"/>
      <c r="CF3152" s="548"/>
      <c r="CG3152" s="548"/>
      <c r="CH3152" s="548"/>
      <c r="JD3152" s="249"/>
    </row>
    <row r="3153" spans="1:264" s="32" customFormat="1" x14ac:dyDescent="0.25">
      <c r="A3153" s="32">
        <v>150</v>
      </c>
      <c r="B3153" s="44" t="s">
        <v>4408</v>
      </c>
      <c r="C3153" s="32" t="s">
        <v>3084</v>
      </c>
      <c r="D3153" s="32" t="s">
        <v>3085</v>
      </c>
      <c r="E3153" s="32">
        <v>2007</v>
      </c>
      <c r="F3153" s="32">
        <v>1996</v>
      </c>
      <c r="G3153" s="32" t="s">
        <v>2738</v>
      </c>
      <c r="H3153" s="32" t="s">
        <v>2754</v>
      </c>
      <c r="I3153" s="32" t="s">
        <v>2829</v>
      </c>
      <c r="J3153" s="32">
        <f t="shared" si="431"/>
        <v>-13.65</v>
      </c>
      <c r="K3153" s="32">
        <f t="shared" si="432"/>
        <v>32.56666666666667</v>
      </c>
      <c r="L3153" s="32">
        <v>1028</v>
      </c>
      <c r="N3153" s="32">
        <f t="shared" si="433"/>
        <v>20.5</v>
      </c>
      <c r="P3153" s="32">
        <v>960</v>
      </c>
      <c r="R3153" s="44" t="s">
        <v>1847</v>
      </c>
      <c r="S3153" s="44" t="s">
        <v>1719</v>
      </c>
      <c r="T3153" s="44"/>
      <c r="U3153" s="44" t="s">
        <v>3111</v>
      </c>
      <c r="V3153" s="44" t="s">
        <v>1379</v>
      </c>
      <c r="W3153" s="44" t="s">
        <v>1715</v>
      </c>
      <c r="X3153" s="44" t="s">
        <v>1379</v>
      </c>
      <c r="Y3153" s="44" t="s">
        <v>1379</v>
      </c>
      <c r="AA3153" s="323">
        <v>58</v>
      </c>
      <c r="AB3153" s="323">
        <v>17</v>
      </c>
      <c r="AC3153" s="32" t="s">
        <v>240</v>
      </c>
      <c r="AE3153" s="32">
        <v>1</v>
      </c>
      <c r="AG3153" s="32" t="s">
        <v>2755</v>
      </c>
      <c r="AH3153" s="32" t="s">
        <v>2763</v>
      </c>
      <c r="AI3153" s="32" t="s">
        <v>1129</v>
      </c>
      <c r="AJ3153" s="32" t="s">
        <v>1645</v>
      </c>
      <c r="AK3153" s="32" t="s">
        <v>132</v>
      </c>
      <c r="AW3153" s="32" t="s">
        <v>2780</v>
      </c>
      <c r="AX3153" s="32">
        <v>3</v>
      </c>
      <c r="AZ3153" s="32" t="s">
        <v>141</v>
      </c>
      <c r="BK3153" s="32">
        <v>2574</v>
      </c>
      <c r="BL3153" s="32">
        <v>3689</v>
      </c>
      <c r="BM3153" s="32">
        <f>6803-6246</f>
        <v>557</v>
      </c>
      <c r="BN3153" s="32">
        <f>6803-6246</f>
        <v>557</v>
      </c>
      <c r="BP3153" s="397"/>
      <c r="BQ3153" s="397"/>
      <c r="BU3153" s="397"/>
      <c r="BV3153" s="397"/>
      <c r="BZ3153" s="397"/>
      <c r="CA3153" s="397"/>
      <c r="CE3153" s="550"/>
      <c r="CF3153" s="550"/>
      <c r="CG3153" s="550"/>
      <c r="CH3153" s="550"/>
      <c r="JD3153" s="243"/>
    </row>
    <row r="3154" spans="1:264" s="32" customFormat="1" x14ac:dyDescent="0.25">
      <c r="A3154" s="32">
        <v>150</v>
      </c>
      <c r="B3154" s="44" t="s">
        <v>4408</v>
      </c>
      <c r="C3154" s="32" t="s">
        <v>3084</v>
      </c>
      <c r="D3154" s="32" t="s">
        <v>3085</v>
      </c>
      <c r="E3154" s="32">
        <v>2007</v>
      </c>
      <c r="F3154" s="32">
        <v>1996</v>
      </c>
      <c r="G3154" s="32" t="s">
        <v>2738</v>
      </c>
      <c r="H3154" s="32" t="s">
        <v>2754</v>
      </c>
      <c r="I3154" s="32" t="s">
        <v>2829</v>
      </c>
      <c r="J3154" s="32">
        <f t="shared" si="431"/>
        <v>-13.65</v>
      </c>
      <c r="K3154" s="32">
        <f t="shared" si="432"/>
        <v>32.56666666666667</v>
      </c>
      <c r="L3154" s="32">
        <v>1028</v>
      </c>
      <c r="N3154" s="32">
        <f t="shared" si="433"/>
        <v>20.5</v>
      </c>
      <c r="P3154" s="32">
        <v>960</v>
      </c>
      <c r="R3154" s="44" t="s">
        <v>1847</v>
      </c>
      <c r="S3154" s="44" t="s">
        <v>1719</v>
      </c>
      <c r="T3154" s="44"/>
      <c r="U3154" s="44" t="s">
        <v>3111</v>
      </c>
      <c r="V3154" s="44" t="s">
        <v>1379</v>
      </c>
      <c r="W3154" s="44" t="s">
        <v>1715</v>
      </c>
      <c r="X3154" s="44" t="s">
        <v>1379</v>
      </c>
      <c r="Y3154" s="44" t="s">
        <v>1379</v>
      </c>
      <c r="AA3154" s="323">
        <v>58</v>
      </c>
      <c r="AB3154" s="323">
        <v>17</v>
      </c>
      <c r="AC3154" s="32" t="s">
        <v>240</v>
      </c>
      <c r="AE3154" s="32">
        <v>1</v>
      </c>
      <c r="AG3154" s="32" t="s">
        <v>2755</v>
      </c>
      <c r="AH3154" s="32" t="s">
        <v>2771</v>
      </c>
      <c r="AI3154" s="32" t="s">
        <v>577</v>
      </c>
      <c r="AJ3154" s="32" t="s">
        <v>1645</v>
      </c>
      <c r="AK3154" s="32" t="s">
        <v>132</v>
      </c>
      <c r="AW3154" s="32" t="s">
        <v>2780</v>
      </c>
      <c r="AX3154" s="32">
        <v>3</v>
      </c>
      <c r="AZ3154" s="32" t="s">
        <v>141</v>
      </c>
      <c r="BK3154" s="32">
        <v>2574</v>
      </c>
      <c r="BL3154" s="32">
        <v>3098</v>
      </c>
      <c r="BM3154" s="32">
        <f t="shared" ref="BM3154:BN3155" si="435">6803-6246</f>
        <v>557</v>
      </c>
      <c r="BN3154" s="32">
        <f t="shared" si="435"/>
        <v>557</v>
      </c>
      <c r="BP3154" s="397"/>
      <c r="BQ3154" s="397"/>
      <c r="BU3154" s="397"/>
      <c r="BV3154" s="397"/>
      <c r="BZ3154" s="397"/>
      <c r="CA3154" s="397"/>
      <c r="CE3154" s="550"/>
      <c r="CF3154" s="550"/>
      <c r="CG3154" s="550"/>
      <c r="CH3154" s="550"/>
      <c r="JD3154" s="243"/>
    </row>
    <row r="3155" spans="1:264" s="32" customFormat="1" x14ac:dyDescent="0.25">
      <c r="A3155" s="32">
        <v>150</v>
      </c>
      <c r="B3155" s="44" t="s">
        <v>4409</v>
      </c>
      <c r="C3155" s="32" t="s">
        <v>3084</v>
      </c>
      <c r="D3155" s="32" t="s">
        <v>3085</v>
      </c>
      <c r="E3155" s="32">
        <v>2007</v>
      </c>
      <c r="F3155" s="32">
        <v>1996</v>
      </c>
      <c r="G3155" s="32" t="s">
        <v>2738</v>
      </c>
      <c r="H3155" s="32" t="s">
        <v>2754</v>
      </c>
      <c r="I3155" s="32" t="s">
        <v>2829</v>
      </c>
      <c r="J3155" s="32">
        <f t="shared" si="431"/>
        <v>-13.65</v>
      </c>
      <c r="K3155" s="32">
        <f t="shared" si="432"/>
        <v>32.56666666666667</v>
      </c>
      <c r="L3155" s="32">
        <v>1028</v>
      </c>
      <c r="N3155" s="32">
        <f t="shared" si="433"/>
        <v>20.5</v>
      </c>
      <c r="P3155" s="32">
        <v>960</v>
      </c>
      <c r="R3155" s="44" t="s">
        <v>1847</v>
      </c>
      <c r="S3155" s="44" t="s">
        <v>1719</v>
      </c>
      <c r="T3155" s="44"/>
      <c r="U3155" s="44" t="s">
        <v>3111</v>
      </c>
      <c r="V3155" s="44" t="s">
        <v>1379</v>
      </c>
      <c r="W3155" s="44" t="s">
        <v>1715</v>
      </c>
      <c r="X3155" s="44" t="s">
        <v>1379</v>
      </c>
      <c r="Y3155" s="44" t="s">
        <v>1379</v>
      </c>
      <c r="AA3155" s="323">
        <v>58</v>
      </c>
      <c r="AB3155" s="323">
        <v>17</v>
      </c>
      <c r="AC3155" s="32" t="s">
        <v>240</v>
      </c>
      <c r="AE3155" s="32">
        <v>1</v>
      </c>
      <c r="AG3155" s="32" t="s">
        <v>2755</v>
      </c>
      <c r="AH3155" s="32" t="s">
        <v>2770</v>
      </c>
      <c r="AI3155" s="32" t="s">
        <v>577</v>
      </c>
      <c r="AJ3155" s="32" t="s">
        <v>1645</v>
      </c>
      <c r="AK3155" s="32" t="s">
        <v>132</v>
      </c>
      <c r="AW3155" s="32" t="s">
        <v>2780</v>
      </c>
      <c r="AX3155" s="32">
        <v>3</v>
      </c>
      <c r="AZ3155" s="32" t="s">
        <v>141</v>
      </c>
      <c r="BK3155" s="32">
        <v>2574</v>
      </c>
      <c r="BL3155" s="32">
        <v>4410</v>
      </c>
      <c r="BM3155" s="32">
        <f t="shared" si="435"/>
        <v>557</v>
      </c>
      <c r="BN3155" s="32">
        <f t="shared" si="435"/>
        <v>557</v>
      </c>
      <c r="BP3155" s="397"/>
      <c r="BQ3155" s="397"/>
      <c r="BU3155" s="397"/>
      <c r="BV3155" s="397"/>
      <c r="BZ3155" s="397"/>
      <c r="CA3155" s="397"/>
      <c r="CE3155" s="550"/>
      <c r="CF3155" s="550"/>
      <c r="CG3155" s="550"/>
      <c r="CH3155" s="550"/>
      <c r="JD3155" s="243"/>
    </row>
    <row r="3156" spans="1:264" s="24" customFormat="1" x14ac:dyDescent="0.25">
      <c r="A3156" s="24">
        <v>150</v>
      </c>
      <c r="B3156" s="42" t="s">
        <v>4408</v>
      </c>
      <c r="C3156" s="24" t="s">
        <v>3084</v>
      </c>
      <c r="D3156" s="24" t="s">
        <v>3085</v>
      </c>
      <c r="E3156" s="24">
        <v>2007</v>
      </c>
      <c r="F3156" s="24">
        <v>1997</v>
      </c>
      <c r="G3156" s="24" t="s">
        <v>2738</v>
      </c>
      <c r="H3156" s="24" t="s">
        <v>2754</v>
      </c>
      <c r="I3156" s="24" t="s">
        <v>2829</v>
      </c>
      <c r="J3156" s="24">
        <f t="shared" ref="J3156:J3179" si="436">-13-39/60</f>
        <v>-13.65</v>
      </c>
      <c r="K3156" s="24">
        <f t="shared" ref="K3156:K3179" si="437">32+34/60</f>
        <v>32.56666666666667</v>
      </c>
      <c r="L3156" s="24">
        <v>1028</v>
      </c>
      <c r="N3156" s="24">
        <f t="shared" ref="N3156:N3179" si="438">(25+16)/2</f>
        <v>20.5</v>
      </c>
      <c r="P3156" s="24">
        <v>960</v>
      </c>
      <c r="R3156" s="42" t="s">
        <v>1728</v>
      </c>
      <c r="S3156" s="42" t="s">
        <v>1719</v>
      </c>
      <c r="T3156" s="42"/>
      <c r="U3156" s="42" t="s">
        <v>3111</v>
      </c>
      <c r="V3156" s="42" t="s">
        <v>1379</v>
      </c>
      <c r="W3156" s="42" t="s">
        <v>1715</v>
      </c>
      <c r="X3156" s="42" t="s">
        <v>1379</v>
      </c>
      <c r="Y3156" s="42" t="s">
        <v>1379</v>
      </c>
      <c r="AA3156" s="321">
        <v>58</v>
      </c>
      <c r="AB3156" s="321">
        <v>17</v>
      </c>
      <c r="AC3156" s="24" t="s">
        <v>240</v>
      </c>
      <c r="AE3156" s="24">
        <v>1</v>
      </c>
      <c r="AG3156" s="24" t="s">
        <v>2755</v>
      </c>
      <c r="AH3156" s="24" t="s">
        <v>2763</v>
      </c>
      <c r="AI3156" s="24" t="s">
        <v>1129</v>
      </c>
      <c r="AJ3156" s="24" t="s">
        <v>1645</v>
      </c>
      <c r="AK3156" s="24" t="s">
        <v>132</v>
      </c>
      <c r="AW3156" s="24" t="s">
        <v>2780</v>
      </c>
      <c r="AX3156" s="24">
        <v>3</v>
      </c>
      <c r="AZ3156" s="24" t="s">
        <v>141</v>
      </c>
      <c r="BK3156" s="24">
        <v>2148</v>
      </c>
      <c r="BL3156" s="24">
        <v>3295</v>
      </c>
      <c r="BM3156" s="24">
        <f>6672-6344</f>
        <v>328</v>
      </c>
      <c r="BN3156" s="24">
        <f>6672-6344</f>
        <v>328</v>
      </c>
      <c r="BP3156" s="395"/>
      <c r="BQ3156" s="395"/>
      <c r="BU3156" s="395"/>
      <c r="BV3156" s="395"/>
      <c r="BZ3156" s="395"/>
      <c r="CA3156" s="395"/>
      <c r="CE3156" s="548"/>
      <c r="CF3156" s="548"/>
      <c r="CG3156" s="548"/>
      <c r="CH3156" s="548"/>
      <c r="JD3156" s="249"/>
    </row>
    <row r="3157" spans="1:264" s="24" customFormat="1" x14ac:dyDescent="0.25">
      <c r="A3157" s="24">
        <v>150</v>
      </c>
      <c r="B3157" s="42" t="s">
        <v>4408</v>
      </c>
      <c r="C3157" s="24" t="s">
        <v>3084</v>
      </c>
      <c r="D3157" s="24" t="s">
        <v>3085</v>
      </c>
      <c r="E3157" s="24">
        <v>2007</v>
      </c>
      <c r="F3157" s="24">
        <v>1997</v>
      </c>
      <c r="G3157" s="24" t="s">
        <v>2738</v>
      </c>
      <c r="H3157" s="24" t="s">
        <v>2754</v>
      </c>
      <c r="I3157" s="24" t="s">
        <v>2829</v>
      </c>
      <c r="J3157" s="24">
        <f t="shared" si="436"/>
        <v>-13.65</v>
      </c>
      <c r="K3157" s="24">
        <f t="shared" si="437"/>
        <v>32.56666666666667</v>
      </c>
      <c r="L3157" s="24">
        <v>1028</v>
      </c>
      <c r="N3157" s="24">
        <f t="shared" si="438"/>
        <v>20.5</v>
      </c>
      <c r="P3157" s="24">
        <v>960</v>
      </c>
      <c r="R3157" s="42" t="s">
        <v>1728</v>
      </c>
      <c r="S3157" s="42" t="s">
        <v>1719</v>
      </c>
      <c r="T3157" s="42"/>
      <c r="U3157" s="42" t="s">
        <v>3111</v>
      </c>
      <c r="V3157" s="42" t="s">
        <v>1379</v>
      </c>
      <c r="W3157" s="42" t="s">
        <v>1715</v>
      </c>
      <c r="X3157" s="42" t="s">
        <v>1379</v>
      </c>
      <c r="Y3157" s="42" t="s">
        <v>1379</v>
      </c>
      <c r="AA3157" s="321">
        <v>58</v>
      </c>
      <c r="AB3157" s="321">
        <v>17</v>
      </c>
      <c r="AC3157" s="24" t="s">
        <v>240</v>
      </c>
      <c r="AE3157" s="24">
        <v>1</v>
      </c>
      <c r="AG3157" s="24" t="s">
        <v>2755</v>
      </c>
      <c r="AH3157" s="24" t="s">
        <v>2771</v>
      </c>
      <c r="AI3157" s="24" t="s">
        <v>577</v>
      </c>
      <c r="AJ3157" s="24" t="s">
        <v>1645</v>
      </c>
      <c r="AK3157" s="24" t="s">
        <v>132</v>
      </c>
      <c r="AW3157" s="24" t="s">
        <v>2780</v>
      </c>
      <c r="AX3157" s="24">
        <v>3</v>
      </c>
      <c r="AZ3157" s="24" t="s">
        <v>141</v>
      </c>
      <c r="BK3157" s="24">
        <v>2148</v>
      </c>
      <c r="BL3157" s="24">
        <v>3951</v>
      </c>
      <c r="BM3157" s="24">
        <f t="shared" ref="BM3157:BN3158" si="439">6672-6344</f>
        <v>328</v>
      </c>
      <c r="BN3157" s="24">
        <f t="shared" si="439"/>
        <v>328</v>
      </c>
      <c r="BP3157" s="395"/>
      <c r="BQ3157" s="395"/>
      <c r="BU3157" s="395"/>
      <c r="BV3157" s="395"/>
      <c r="BZ3157" s="395"/>
      <c r="CA3157" s="395"/>
      <c r="CE3157" s="548"/>
      <c r="CF3157" s="548"/>
      <c r="CG3157" s="548"/>
      <c r="CH3157" s="548"/>
      <c r="JD3157" s="249"/>
    </row>
    <row r="3158" spans="1:264" s="24" customFormat="1" x14ac:dyDescent="0.25">
      <c r="A3158" s="24">
        <v>150</v>
      </c>
      <c r="B3158" s="42" t="s">
        <v>4409</v>
      </c>
      <c r="C3158" s="24" t="s">
        <v>3084</v>
      </c>
      <c r="D3158" s="24" t="s">
        <v>3085</v>
      </c>
      <c r="E3158" s="24">
        <v>2007</v>
      </c>
      <c r="F3158" s="24">
        <v>1997</v>
      </c>
      <c r="G3158" s="24" t="s">
        <v>2738</v>
      </c>
      <c r="H3158" s="24" t="s">
        <v>2754</v>
      </c>
      <c r="I3158" s="24" t="s">
        <v>2829</v>
      </c>
      <c r="J3158" s="24">
        <f t="shared" si="436"/>
        <v>-13.65</v>
      </c>
      <c r="K3158" s="24">
        <f t="shared" si="437"/>
        <v>32.56666666666667</v>
      </c>
      <c r="L3158" s="24">
        <v>1028</v>
      </c>
      <c r="N3158" s="24">
        <f t="shared" si="438"/>
        <v>20.5</v>
      </c>
      <c r="P3158" s="24">
        <v>960</v>
      </c>
      <c r="R3158" s="42" t="s">
        <v>1728</v>
      </c>
      <c r="S3158" s="42" t="s">
        <v>1719</v>
      </c>
      <c r="T3158" s="42"/>
      <c r="U3158" s="42" t="s">
        <v>3111</v>
      </c>
      <c r="V3158" s="42" t="s">
        <v>1379</v>
      </c>
      <c r="W3158" s="42" t="s">
        <v>1715</v>
      </c>
      <c r="X3158" s="42" t="s">
        <v>1379</v>
      </c>
      <c r="Y3158" s="42" t="s">
        <v>1379</v>
      </c>
      <c r="AA3158" s="321">
        <v>58</v>
      </c>
      <c r="AB3158" s="321">
        <v>17</v>
      </c>
      <c r="AC3158" s="24" t="s">
        <v>240</v>
      </c>
      <c r="AE3158" s="24">
        <v>1</v>
      </c>
      <c r="AG3158" s="24" t="s">
        <v>2755</v>
      </c>
      <c r="AH3158" s="24" t="s">
        <v>2770</v>
      </c>
      <c r="AI3158" s="24" t="s">
        <v>577</v>
      </c>
      <c r="AJ3158" s="24" t="s">
        <v>1645</v>
      </c>
      <c r="AK3158" s="24" t="s">
        <v>132</v>
      </c>
      <c r="AW3158" s="24" t="s">
        <v>2780</v>
      </c>
      <c r="AX3158" s="24">
        <v>3</v>
      </c>
      <c r="AZ3158" s="24" t="s">
        <v>141</v>
      </c>
      <c r="BK3158" s="24">
        <v>2148</v>
      </c>
      <c r="BL3158" s="24">
        <v>3295</v>
      </c>
      <c r="BM3158" s="24">
        <f t="shared" si="439"/>
        <v>328</v>
      </c>
      <c r="BN3158" s="24">
        <f t="shared" si="439"/>
        <v>328</v>
      </c>
      <c r="BP3158" s="395"/>
      <c r="BQ3158" s="395"/>
      <c r="BU3158" s="395"/>
      <c r="BV3158" s="395"/>
      <c r="BZ3158" s="395"/>
      <c r="CA3158" s="395"/>
      <c r="CE3158" s="548"/>
      <c r="CF3158" s="548"/>
      <c r="CG3158" s="548"/>
      <c r="CH3158" s="548"/>
      <c r="JD3158" s="249"/>
    </row>
    <row r="3159" spans="1:264" s="32" customFormat="1" x14ac:dyDescent="0.25">
      <c r="A3159" s="32">
        <v>150</v>
      </c>
      <c r="B3159" s="44" t="s">
        <v>4408</v>
      </c>
      <c r="C3159" s="32" t="s">
        <v>3084</v>
      </c>
      <c r="D3159" s="32" t="s">
        <v>3085</v>
      </c>
      <c r="E3159" s="32">
        <v>2007</v>
      </c>
      <c r="F3159" s="32">
        <v>1998</v>
      </c>
      <c r="G3159" s="32" t="s">
        <v>2738</v>
      </c>
      <c r="H3159" s="32" t="s">
        <v>2754</v>
      </c>
      <c r="I3159" s="32" t="s">
        <v>2829</v>
      </c>
      <c r="J3159" s="32">
        <f t="shared" si="436"/>
        <v>-13.65</v>
      </c>
      <c r="K3159" s="32">
        <f t="shared" si="437"/>
        <v>32.56666666666667</v>
      </c>
      <c r="L3159" s="32">
        <v>1028</v>
      </c>
      <c r="N3159" s="32">
        <f t="shared" si="438"/>
        <v>20.5</v>
      </c>
      <c r="P3159" s="32">
        <v>960</v>
      </c>
      <c r="R3159" s="44" t="s">
        <v>1858</v>
      </c>
      <c r="S3159" s="44" t="s">
        <v>1719</v>
      </c>
      <c r="T3159" s="44"/>
      <c r="U3159" s="44" t="s">
        <v>3111</v>
      </c>
      <c r="V3159" s="44" t="s">
        <v>1379</v>
      </c>
      <c r="W3159" s="44" t="s">
        <v>1715</v>
      </c>
      <c r="X3159" s="44" t="s">
        <v>1379</v>
      </c>
      <c r="Y3159" s="44" t="s">
        <v>1379</v>
      </c>
      <c r="AA3159" s="323">
        <v>58</v>
      </c>
      <c r="AB3159" s="323">
        <v>17</v>
      </c>
      <c r="AC3159" s="32" t="s">
        <v>240</v>
      </c>
      <c r="AE3159" s="32">
        <v>1</v>
      </c>
      <c r="AG3159" s="32" t="s">
        <v>2755</v>
      </c>
      <c r="AH3159" s="32" t="s">
        <v>2763</v>
      </c>
      <c r="AI3159" s="32" t="s">
        <v>1129</v>
      </c>
      <c r="AJ3159" s="32" t="s">
        <v>1645</v>
      </c>
      <c r="AK3159" s="32" t="s">
        <v>132</v>
      </c>
      <c r="AW3159" s="32" t="s">
        <v>2780</v>
      </c>
      <c r="AX3159" s="32">
        <v>3</v>
      </c>
      <c r="AZ3159" s="32" t="s">
        <v>141</v>
      </c>
      <c r="BK3159" s="32">
        <v>1197</v>
      </c>
      <c r="BL3159" s="32">
        <v>2475</v>
      </c>
      <c r="BM3159" s="32">
        <v>320</v>
      </c>
      <c r="BN3159" s="32">
        <v>320</v>
      </c>
      <c r="BP3159" s="397"/>
      <c r="BQ3159" s="397"/>
      <c r="BU3159" s="397"/>
      <c r="BV3159" s="397"/>
      <c r="BZ3159" s="397"/>
      <c r="CA3159" s="397"/>
      <c r="CE3159" s="550"/>
      <c r="CF3159" s="550"/>
      <c r="CG3159" s="550"/>
      <c r="CH3159" s="550"/>
      <c r="JD3159" s="243"/>
    </row>
    <row r="3160" spans="1:264" s="32" customFormat="1" x14ac:dyDescent="0.25">
      <c r="A3160" s="32">
        <v>150</v>
      </c>
      <c r="B3160" s="44" t="s">
        <v>4408</v>
      </c>
      <c r="C3160" s="32" t="s">
        <v>3084</v>
      </c>
      <c r="D3160" s="32" t="s">
        <v>3085</v>
      </c>
      <c r="E3160" s="32">
        <v>2007</v>
      </c>
      <c r="F3160" s="32">
        <v>1998</v>
      </c>
      <c r="G3160" s="32" t="s">
        <v>2738</v>
      </c>
      <c r="H3160" s="32" t="s">
        <v>2754</v>
      </c>
      <c r="I3160" s="32" t="s">
        <v>2829</v>
      </c>
      <c r="J3160" s="32">
        <f t="shared" si="436"/>
        <v>-13.65</v>
      </c>
      <c r="K3160" s="32">
        <f t="shared" si="437"/>
        <v>32.56666666666667</v>
      </c>
      <c r="L3160" s="32">
        <v>1028</v>
      </c>
      <c r="N3160" s="32">
        <f t="shared" si="438"/>
        <v>20.5</v>
      </c>
      <c r="P3160" s="32">
        <v>960</v>
      </c>
      <c r="R3160" s="44" t="s">
        <v>1858</v>
      </c>
      <c r="S3160" s="44" t="s">
        <v>1719</v>
      </c>
      <c r="T3160" s="44"/>
      <c r="U3160" s="44" t="s">
        <v>3111</v>
      </c>
      <c r="V3160" s="44" t="s">
        <v>1379</v>
      </c>
      <c r="W3160" s="44" t="s">
        <v>1715</v>
      </c>
      <c r="X3160" s="44" t="s">
        <v>1379</v>
      </c>
      <c r="Y3160" s="44" t="s">
        <v>1379</v>
      </c>
      <c r="AA3160" s="323">
        <v>58</v>
      </c>
      <c r="AB3160" s="323">
        <v>17</v>
      </c>
      <c r="AC3160" s="32" t="s">
        <v>240</v>
      </c>
      <c r="AE3160" s="32">
        <v>1</v>
      </c>
      <c r="AG3160" s="32" t="s">
        <v>2755</v>
      </c>
      <c r="AH3160" s="32" t="s">
        <v>2771</v>
      </c>
      <c r="AI3160" s="32" t="s">
        <v>577</v>
      </c>
      <c r="AJ3160" s="32" t="s">
        <v>1645</v>
      </c>
      <c r="AK3160" s="32" t="s">
        <v>132</v>
      </c>
      <c r="AW3160" s="32" t="s">
        <v>2780</v>
      </c>
      <c r="AX3160" s="32">
        <v>3</v>
      </c>
      <c r="AZ3160" s="32" t="s">
        <v>141</v>
      </c>
      <c r="BK3160" s="32">
        <v>1197</v>
      </c>
      <c r="BL3160" s="32">
        <v>2279</v>
      </c>
      <c r="BM3160" s="32">
        <v>320</v>
      </c>
      <c r="BN3160" s="32">
        <v>320</v>
      </c>
      <c r="BP3160" s="397"/>
      <c r="BQ3160" s="397"/>
      <c r="BU3160" s="397"/>
      <c r="BV3160" s="397"/>
      <c r="BZ3160" s="397"/>
      <c r="CA3160" s="397"/>
      <c r="CE3160" s="550"/>
      <c r="CF3160" s="550"/>
      <c r="CG3160" s="550"/>
      <c r="CH3160" s="550"/>
      <c r="JD3160" s="243"/>
    </row>
    <row r="3161" spans="1:264" s="32" customFormat="1" x14ac:dyDescent="0.25">
      <c r="A3161" s="32">
        <v>150</v>
      </c>
      <c r="B3161" s="44" t="s">
        <v>4409</v>
      </c>
      <c r="C3161" s="32" t="s">
        <v>3084</v>
      </c>
      <c r="D3161" s="32" t="s">
        <v>3085</v>
      </c>
      <c r="E3161" s="32">
        <v>2007</v>
      </c>
      <c r="F3161" s="32">
        <v>1998</v>
      </c>
      <c r="G3161" s="32" t="s">
        <v>2738</v>
      </c>
      <c r="H3161" s="32" t="s">
        <v>2754</v>
      </c>
      <c r="I3161" s="32" t="s">
        <v>2829</v>
      </c>
      <c r="J3161" s="32">
        <f t="shared" si="436"/>
        <v>-13.65</v>
      </c>
      <c r="K3161" s="32">
        <f t="shared" si="437"/>
        <v>32.56666666666667</v>
      </c>
      <c r="L3161" s="32">
        <v>1028</v>
      </c>
      <c r="N3161" s="32">
        <f t="shared" si="438"/>
        <v>20.5</v>
      </c>
      <c r="P3161" s="32">
        <v>960</v>
      </c>
      <c r="R3161" s="44" t="s">
        <v>1858</v>
      </c>
      <c r="S3161" s="44" t="s">
        <v>1719</v>
      </c>
      <c r="T3161" s="44"/>
      <c r="U3161" s="44" t="s">
        <v>3111</v>
      </c>
      <c r="V3161" s="44" t="s">
        <v>1379</v>
      </c>
      <c r="W3161" s="44" t="s">
        <v>1715</v>
      </c>
      <c r="X3161" s="44" t="s">
        <v>1379</v>
      </c>
      <c r="Y3161" s="44" t="s">
        <v>1379</v>
      </c>
      <c r="AA3161" s="323">
        <v>58</v>
      </c>
      <c r="AB3161" s="323">
        <v>17</v>
      </c>
      <c r="AC3161" s="32" t="s">
        <v>240</v>
      </c>
      <c r="AE3161" s="32">
        <v>1</v>
      </c>
      <c r="AG3161" s="32" t="s">
        <v>2755</v>
      </c>
      <c r="AH3161" s="32" t="s">
        <v>2770</v>
      </c>
      <c r="AI3161" s="32" t="s">
        <v>577</v>
      </c>
      <c r="AJ3161" s="32" t="s">
        <v>1645</v>
      </c>
      <c r="AK3161" s="32" t="s">
        <v>132</v>
      </c>
      <c r="AW3161" s="32" t="s">
        <v>2780</v>
      </c>
      <c r="AX3161" s="32">
        <v>3</v>
      </c>
      <c r="AZ3161" s="32" t="s">
        <v>141</v>
      </c>
      <c r="BK3161" s="32">
        <v>1197</v>
      </c>
      <c r="BL3161" s="32">
        <v>1852</v>
      </c>
      <c r="BM3161" s="32">
        <v>320</v>
      </c>
      <c r="BN3161" s="32">
        <v>320</v>
      </c>
      <c r="BP3161" s="397"/>
      <c r="BQ3161" s="397"/>
      <c r="BU3161" s="397"/>
      <c r="BV3161" s="397"/>
      <c r="BZ3161" s="397"/>
      <c r="CA3161" s="397"/>
      <c r="CE3161" s="550"/>
      <c r="CF3161" s="550"/>
      <c r="CG3161" s="550"/>
      <c r="CH3161" s="550"/>
      <c r="JD3161" s="243"/>
    </row>
    <row r="3162" spans="1:264" s="24" customFormat="1" x14ac:dyDescent="0.25">
      <c r="A3162" s="24">
        <v>150</v>
      </c>
      <c r="B3162" s="42" t="s">
        <v>4408</v>
      </c>
      <c r="C3162" s="24" t="s">
        <v>3084</v>
      </c>
      <c r="D3162" s="24" t="s">
        <v>3085</v>
      </c>
      <c r="E3162" s="24">
        <v>2007</v>
      </c>
      <c r="F3162" s="24">
        <v>1999</v>
      </c>
      <c r="G3162" s="24" t="s">
        <v>2738</v>
      </c>
      <c r="H3162" s="24" t="s">
        <v>2754</v>
      </c>
      <c r="I3162" s="24" t="s">
        <v>2829</v>
      </c>
      <c r="J3162" s="24">
        <f t="shared" si="436"/>
        <v>-13.65</v>
      </c>
      <c r="K3162" s="24">
        <f t="shared" si="437"/>
        <v>32.56666666666667</v>
      </c>
      <c r="L3162" s="24">
        <v>1028</v>
      </c>
      <c r="N3162" s="24">
        <f t="shared" si="438"/>
        <v>20.5</v>
      </c>
      <c r="P3162" s="24">
        <v>960</v>
      </c>
      <c r="R3162" s="42" t="s">
        <v>1722</v>
      </c>
      <c r="S3162" s="42" t="s">
        <v>1719</v>
      </c>
      <c r="T3162" s="42"/>
      <c r="U3162" s="42" t="s">
        <v>3111</v>
      </c>
      <c r="V3162" s="42" t="s">
        <v>1379</v>
      </c>
      <c r="W3162" s="42" t="s">
        <v>1715</v>
      </c>
      <c r="X3162" s="42" t="s">
        <v>1379</v>
      </c>
      <c r="Y3162" s="42" t="s">
        <v>1379</v>
      </c>
      <c r="AA3162" s="321">
        <v>58</v>
      </c>
      <c r="AB3162" s="321">
        <v>17</v>
      </c>
      <c r="AC3162" s="24" t="s">
        <v>240</v>
      </c>
      <c r="AE3162" s="24">
        <v>1</v>
      </c>
      <c r="AG3162" s="24" t="s">
        <v>2755</v>
      </c>
      <c r="AH3162" s="24" t="s">
        <v>2763</v>
      </c>
      <c r="AI3162" s="24" t="s">
        <v>1129</v>
      </c>
      <c r="AJ3162" s="24" t="s">
        <v>1645</v>
      </c>
      <c r="AK3162" s="24" t="s">
        <v>132</v>
      </c>
      <c r="AW3162" s="24" t="s">
        <v>2780</v>
      </c>
      <c r="AX3162" s="24">
        <v>3</v>
      </c>
      <c r="AZ3162" s="24" t="s">
        <v>141</v>
      </c>
      <c r="BK3162" s="24">
        <v>934</v>
      </c>
      <c r="BL3162" s="24">
        <v>2737</v>
      </c>
      <c r="BM3162" s="24">
        <v>321</v>
      </c>
      <c r="BN3162" s="24">
        <v>321</v>
      </c>
      <c r="BP3162" s="395"/>
      <c r="BQ3162" s="395"/>
      <c r="BU3162" s="395"/>
      <c r="BV3162" s="395"/>
      <c r="BZ3162" s="395"/>
      <c r="CA3162" s="395"/>
      <c r="CE3162" s="548"/>
      <c r="CF3162" s="548"/>
      <c r="CG3162" s="548"/>
      <c r="CH3162" s="548"/>
      <c r="JD3162" s="249"/>
    </row>
    <row r="3163" spans="1:264" s="24" customFormat="1" x14ac:dyDescent="0.25">
      <c r="A3163" s="24">
        <v>150</v>
      </c>
      <c r="B3163" s="42" t="s">
        <v>4408</v>
      </c>
      <c r="C3163" s="24" t="s">
        <v>3084</v>
      </c>
      <c r="D3163" s="24" t="s">
        <v>3085</v>
      </c>
      <c r="E3163" s="24">
        <v>2007</v>
      </c>
      <c r="F3163" s="24">
        <v>1999</v>
      </c>
      <c r="G3163" s="24" t="s">
        <v>2738</v>
      </c>
      <c r="H3163" s="24" t="s">
        <v>2754</v>
      </c>
      <c r="I3163" s="24" t="s">
        <v>2829</v>
      </c>
      <c r="J3163" s="24">
        <f t="shared" si="436"/>
        <v>-13.65</v>
      </c>
      <c r="K3163" s="24">
        <f t="shared" si="437"/>
        <v>32.56666666666667</v>
      </c>
      <c r="L3163" s="24">
        <v>1028</v>
      </c>
      <c r="N3163" s="24">
        <f t="shared" si="438"/>
        <v>20.5</v>
      </c>
      <c r="P3163" s="24">
        <v>960</v>
      </c>
      <c r="R3163" s="42" t="s">
        <v>1722</v>
      </c>
      <c r="S3163" s="42" t="s">
        <v>1719</v>
      </c>
      <c r="T3163" s="42"/>
      <c r="U3163" s="42" t="s">
        <v>3111</v>
      </c>
      <c r="V3163" s="42" t="s">
        <v>1379</v>
      </c>
      <c r="W3163" s="42" t="s">
        <v>1715</v>
      </c>
      <c r="X3163" s="42" t="s">
        <v>1379</v>
      </c>
      <c r="Y3163" s="42" t="s">
        <v>1379</v>
      </c>
      <c r="AA3163" s="321">
        <v>58</v>
      </c>
      <c r="AB3163" s="321">
        <v>17</v>
      </c>
      <c r="AC3163" s="24" t="s">
        <v>240</v>
      </c>
      <c r="AE3163" s="24">
        <v>1</v>
      </c>
      <c r="AG3163" s="24" t="s">
        <v>2755</v>
      </c>
      <c r="AH3163" s="24" t="s">
        <v>2771</v>
      </c>
      <c r="AI3163" s="24" t="s">
        <v>577</v>
      </c>
      <c r="AJ3163" s="24" t="s">
        <v>1645</v>
      </c>
      <c r="AK3163" s="24" t="s">
        <v>132</v>
      </c>
      <c r="AW3163" s="24" t="s">
        <v>2780</v>
      </c>
      <c r="AX3163" s="24">
        <v>3</v>
      </c>
      <c r="AZ3163" s="24" t="s">
        <v>141</v>
      </c>
      <c r="BK3163" s="24">
        <v>934</v>
      </c>
      <c r="BL3163" s="24">
        <v>3262</v>
      </c>
      <c r="BM3163" s="24">
        <v>321</v>
      </c>
      <c r="BN3163" s="24">
        <v>321</v>
      </c>
      <c r="BP3163" s="395"/>
      <c r="BQ3163" s="395"/>
      <c r="BU3163" s="395"/>
      <c r="BV3163" s="395"/>
      <c r="BZ3163" s="395"/>
      <c r="CA3163" s="395"/>
      <c r="CE3163" s="548"/>
      <c r="CF3163" s="548"/>
      <c r="CG3163" s="548"/>
      <c r="CH3163" s="548"/>
      <c r="JD3163" s="249"/>
    </row>
    <row r="3164" spans="1:264" s="24" customFormat="1" x14ac:dyDescent="0.25">
      <c r="A3164" s="24">
        <v>150</v>
      </c>
      <c r="B3164" s="42" t="s">
        <v>4409</v>
      </c>
      <c r="C3164" s="24" t="s">
        <v>3084</v>
      </c>
      <c r="D3164" s="24" t="s">
        <v>3085</v>
      </c>
      <c r="E3164" s="24">
        <v>2007</v>
      </c>
      <c r="F3164" s="24">
        <v>1999</v>
      </c>
      <c r="G3164" s="24" t="s">
        <v>2738</v>
      </c>
      <c r="H3164" s="24" t="s">
        <v>2754</v>
      </c>
      <c r="I3164" s="24" t="s">
        <v>2829</v>
      </c>
      <c r="J3164" s="24">
        <f t="shared" si="436"/>
        <v>-13.65</v>
      </c>
      <c r="K3164" s="24">
        <f t="shared" si="437"/>
        <v>32.56666666666667</v>
      </c>
      <c r="L3164" s="24">
        <v>1028</v>
      </c>
      <c r="N3164" s="24">
        <f t="shared" si="438"/>
        <v>20.5</v>
      </c>
      <c r="P3164" s="24">
        <v>960</v>
      </c>
      <c r="R3164" s="42" t="s">
        <v>1722</v>
      </c>
      <c r="S3164" s="42" t="s">
        <v>1719</v>
      </c>
      <c r="T3164" s="42"/>
      <c r="U3164" s="42" t="s">
        <v>3111</v>
      </c>
      <c r="V3164" s="42" t="s">
        <v>1379</v>
      </c>
      <c r="W3164" s="42" t="s">
        <v>1715</v>
      </c>
      <c r="X3164" s="42" t="s">
        <v>1379</v>
      </c>
      <c r="Y3164" s="42" t="s">
        <v>1379</v>
      </c>
      <c r="AA3164" s="321">
        <v>58</v>
      </c>
      <c r="AB3164" s="321">
        <v>17</v>
      </c>
      <c r="AC3164" s="24" t="s">
        <v>240</v>
      </c>
      <c r="AE3164" s="24">
        <v>1</v>
      </c>
      <c r="AG3164" s="24" t="s">
        <v>2755</v>
      </c>
      <c r="AH3164" s="24" t="s">
        <v>2770</v>
      </c>
      <c r="AI3164" s="24" t="s">
        <v>577</v>
      </c>
      <c r="AJ3164" s="24" t="s">
        <v>1645</v>
      </c>
      <c r="AK3164" s="24" t="s">
        <v>132</v>
      </c>
      <c r="AW3164" s="24" t="s">
        <v>2780</v>
      </c>
      <c r="AX3164" s="24">
        <v>3</v>
      </c>
      <c r="AZ3164" s="24" t="s">
        <v>141</v>
      </c>
      <c r="BK3164" s="24">
        <v>934</v>
      </c>
      <c r="BL3164" s="24">
        <v>1197</v>
      </c>
      <c r="BM3164" s="24">
        <v>321</v>
      </c>
      <c r="BN3164" s="24">
        <v>321</v>
      </c>
      <c r="BP3164" s="395"/>
      <c r="BQ3164" s="395"/>
      <c r="BU3164" s="395"/>
      <c r="BV3164" s="395"/>
      <c r="BZ3164" s="395"/>
      <c r="CA3164" s="395"/>
      <c r="CE3164" s="548"/>
      <c r="CF3164" s="548"/>
      <c r="CG3164" s="548"/>
      <c r="CH3164" s="548"/>
      <c r="JD3164" s="249"/>
    </row>
    <row r="3165" spans="1:264" s="32" customFormat="1" x14ac:dyDescent="0.25">
      <c r="A3165" s="32">
        <v>150</v>
      </c>
      <c r="B3165" s="44" t="s">
        <v>4408</v>
      </c>
      <c r="C3165" s="32" t="s">
        <v>3084</v>
      </c>
      <c r="D3165" s="32" t="s">
        <v>3085</v>
      </c>
      <c r="E3165" s="32">
        <v>2007</v>
      </c>
      <c r="F3165" s="32">
        <v>2000</v>
      </c>
      <c r="G3165" s="32" t="s">
        <v>2738</v>
      </c>
      <c r="H3165" s="32" t="s">
        <v>2754</v>
      </c>
      <c r="I3165" s="32" t="s">
        <v>2829</v>
      </c>
      <c r="J3165" s="32">
        <f t="shared" si="436"/>
        <v>-13.65</v>
      </c>
      <c r="K3165" s="32">
        <f t="shared" si="437"/>
        <v>32.56666666666667</v>
      </c>
      <c r="L3165" s="32">
        <v>1028</v>
      </c>
      <c r="N3165" s="32">
        <f t="shared" si="438"/>
        <v>20.5</v>
      </c>
      <c r="P3165" s="32">
        <v>960</v>
      </c>
      <c r="R3165" s="44" t="s">
        <v>1843</v>
      </c>
      <c r="S3165" s="44" t="s">
        <v>1719</v>
      </c>
      <c r="T3165" s="44"/>
      <c r="U3165" s="44" t="s">
        <v>3111</v>
      </c>
      <c r="V3165" s="44" t="s">
        <v>1379</v>
      </c>
      <c r="W3165" s="44" t="s">
        <v>1715</v>
      </c>
      <c r="X3165" s="44" t="s">
        <v>1379</v>
      </c>
      <c r="Y3165" s="44" t="s">
        <v>1379</v>
      </c>
      <c r="AA3165" s="323">
        <v>58</v>
      </c>
      <c r="AB3165" s="323">
        <v>17</v>
      </c>
      <c r="AC3165" s="32" t="s">
        <v>240</v>
      </c>
      <c r="AE3165" s="32">
        <v>1</v>
      </c>
      <c r="AG3165" s="32" t="s">
        <v>2755</v>
      </c>
      <c r="AH3165" s="32" t="s">
        <v>2763</v>
      </c>
      <c r="AI3165" s="32" t="s">
        <v>1129</v>
      </c>
      <c r="AJ3165" s="32" t="s">
        <v>1645</v>
      </c>
      <c r="AK3165" s="32" t="s">
        <v>132</v>
      </c>
      <c r="AW3165" s="32" t="s">
        <v>2780</v>
      </c>
      <c r="AX3165" s="32">
        <v>3</v>
      </c>
      <c r="AZ3165" s="32" t="s">
        <v>141</v>
      </c>
      <c r="BK3165" s="32">
        <v>1033</v>
      </c>
      <c r="BL3165" s="32">
        <v>3230</v>
      </c>
      <c r="BM3165" s="32">
        <v>315</v>
      </c>
      <c r="BN3165" s="32">
        <v>315</v>
      </c>
      <c r="BP3165" s="397"/>
      <c r="BQ3165" s="397"/>
      <c r="BU3165" s="397"/>
      <c r="BV3165" s="397"/>
      <c r="BZ3165" s="397"/>
      <c r="CA3165" s="397"/>
      <c r="CE3165" s="550"/>
      <c r="CF3165" s="550"/>
      <c r="CG3165" s="550"/>
      <c r="CH3165" s="550"/>
      <c r="JD3165" s="243"/>
    </row>
    <row r="3166" spans="1:264" s="32" customFormat="1" x14ac:dyDescent="0.25">
      <c r="A3166" s="32">
        <v>150</v>
      </c>
      <c r="B3166" s="44" t="s">
        <v>4408</v>
      </c>
      <c r="C3166" s="32" t="s">
        <v>3084</v>
      </c>
      <c r="D3166" s="32" t="s">
        <v>3085</v>
      </c>
      <c r="E3166" s="32">
        <v>2007</v>
      </c>
      <c r="F3166" s="32">
        <v>2000</v>
      </c>
      <c r="G3166" s="32" t="s">
        <v>2738</v>
      </c>
      <c r="H3166" s="32" t="s">
        <v>2754</v>
      </c>
      <c r="I3166" s="32" t="s">
        <v>2829</v>
      </c>
      <c r="J3166" s="32">
        <f t="shared" si="436"/>
        <v>-13.65</v>
      </c>
      <c r="K3166" s="32">
        <f t="shared" si="437"/>
        <v>32.56666666666667</v>
      </c>
      <c r="L3166" s="32">
        <v>1028</v>
      </c>
      <c r="N3166" s="32">
        <f t="shared" si="438"/>
        <v>20.5</v>
      </c>
      <c r="P3166" s="32">
        <v>960</v>
      </c>
      <c r="R3166" s="44" t="s">
        <v>1843</v>
      </c>
      <c r="S3166" s="44" t="s">
        <v>1719</v>
      </c>
      <c r="T3166" s="44"/>
      <c r="U3166" s="44" t="s">
        <v>3111</v>
      </c>
      <c r="V3166" s="44" t="s">
        <v>1379</v>
      </c>
      <c r="W3166" s="44" t="s">
        <v>1715</v>
      </c>
      <c r="X3166" s="44" t="s">
        <v>1379</v>
      </c>
      <c r="Y3166" s="44" t="s">
        <v>1379</v>
      </c>
      <c r="AA3166" s="323">
        <v>58</v>
      </c>
      <c r="AB3166" s="323">
        <v>17</v>
      </c>
      <c r="AC3166" s="32" t="s">
        <v>240</v>
      </c>
      <c r="AE3166" s="32">
        <v>1</v>
      </c>
      <c r="AG3166" s="32" t="s">
        <v>2755</v>
      </c>
      <c r="AH3166" s="32" t="s">
        <v>2771</v>
      </c>
      <c r="AI3166" s="32" t="s">
        <v>577</v>
      </c>
      <c r="AJ3166" s="32" t="s">
        <v>1645</v>
      </c>
      <c r="AK3166" s="32" t="s">
        <v>132</v>
      </c>
      <c r="AW3166" s="32" t="s">
        <v>2780</v>
      </c>
      <c r="AX3166" s="32">
        <v>3</v>
      </c>
      <c r="AZ3166" s="32" t="s">
        <v>141</v>
      </c>
      <c r="BK3166" s="32">
        <v>1033</v>
      </c>
      <c r="BL3166" s="32">
        <v>3459</v>
      </c>
      <c r="BM3166" s="32">
        <v>315</v>
      </c>
      <c r="BN3166" s="32">
        <v>315</v>
      </c>
      <c r="BP3166" s="397"/>
      <c r="BQ3166" s="397"/>
      <c r="BU3166" s="397"/>
      <c r="BV3166" s="397"/>
      <c r="BZ3166" s="397"/>
      <c r="CA3166" s="397"/>
      <c r="CE3166" s="550"/>
      <c r="CF3166" s="550"/>
      <c r="CG3166" s="550"/>
      <c r="CH3166" s="550"/>
      <c r="JD3166" s="243"/>
    </row>
    <row r="3167" spans="1:264" s="32" customFormat="1" x14ac:dyDescent="0.25">
      <c r="A3167" s="32">
        <v>150</v>
      </c>
      <c r="B3167" s="44" t="s">
        <v>4409</v>
      </c>
      <c r="C3167" s="32" t="s">
        <v>3084</v>
      </c>
      <c r="D3167" s="32" t="s">
        <v>3085</v>
      </c>
      <c r="E3167" s="32">
        <v>2007</v>
      </c>
      <c r="F3167" s="32">
        <v>2000</v>
      </c>
      <c r="G3167" s="32" t="s">
        <v>2738</v>
      </c>
      <c r="H3167" s="32" t="s">
        <v>2754</v>
      </c>
      <c r="I3167" s="32" t="s">
        <v>2829</v>
      </c>
      <c r="J3167" s="32">
        <f t="shared" si="436"/>
        <v>-13.65</v>
      </c>
      <c r="K3167" s="32">
        <f t="shared" si="437"/>
        <v>32.56666666666667</v>
      </c>
      <c r="L3167" s="32">
        <v>1028</v>
      </c>
      <c r="N3167" s="32">
        <f t="shared" si="438"/>
        <v>20.5</v>
      </c>
      <c r="P3167" s="32">
        <v>960</v>
      </c>
      <c r="R3167" s="44" t="s">
        <v>1843</v>
      </c>
      <c r="S3167" s="44" t="s">
        <v>1719</v>
      </c>
      <c r="T3167" s="44"/>
      <c r="U3167" s="44" t="s">
        <v>3111</v>
      </c>
      <c r="V3167" s="44" t="s">
        <v>1379</v>
      </c>
      <c r="W3167" s="44" t="s">
        <v>1715</v>
      </c>
      <c r="X3167" s="44" t="s">
        <v>1379</v>
      </c>
      <c r="Y3167" s="44" t="s">
        <v>1379</v>
      </c>
      <c r="AA3167" s="323">
        <v>58</v>
      </c>
      <c r="AB3167" s="323">
        <v>17</v>
      </c>
      <c r="AC3167" s="32" t="s">
        <v>240</v>
      </c>
      <c r="AE3167" s="32">
        <v>1</v>
      </c>
      <c r="AG3167" s="32" t="s">
        <v>2755</v>
      </c>
      <c r="AH3167" s="32" t="s">
        <v>2770</v>
      </c>
      <c r="AI3167" s="32" t="s">
        <v>577</v>
      </c>
      <c r="AJ3167" s="32" t="s">
        <v>1645</v>
      </c>
      <c r="AK3167" s="32" t="s">
        <v>132</v>
      </c>
      <c r="AW3167" s="32" t="s">
        <v>2780</v>
      </c>
      <c r="AX3167" s="32">
        <v>3</v>
      </c>
      <c r="AZ3167" s="32" t="s">
        <v>141</v>
      </c>
      <c r="BK3167" s="32">
        <v>1033</v>
      </c>
      <c r="BL3167" s="32">
        <v>1164</v>
      </c>
      <c r="BM3167" s="32">
        <v>315</v>
      </c>
      <c r="BN3167" s="32">
        <v>315</v>
      </c>
      <c r="BP3167" s="397"/>
      <c r="BQ3167" s="397"/>
      <c r="BU3167" s="397"/>
      <c r="BV3167" s="397"/>
      <c r="BZ3167" s="397"/>
      <c r="CA3167" s="397"/>
      <c r="CE3167" s="550"/>
      <c r="CF3167" s="550"/>
      <c r="CG3167" s="550"/>
      <c r="CH3167" s="550"/>
      <c r="JD3167" s="243"/>
    </row>
    <row r="3168" spans="1:264" s="24" customFormat="1" x14ac:dyDescent="0.25">
      <c r="A3168" s="24">
        <v>150</v>
      </c>
      <c r="B3168" s="42" t="s">
        <v>4408</v>
      </c>
      <c r="C3168" s="24" t="s">
        <v>3084</v>
      </c>
      <c r="D3168" s="24" t="s">
        <v>3085</v>
      </c>
      <c r="E3168" s="24">
        <v>2007</v>
      </c>
      <c r="F3168" s="24">
        <v>2001</v>
      </c>
      <c r="G3168" s="24" t="s">
        <v>2738</v>
      </c>
      <c r="H3168" s="24" t="s">
        <v>2754</v>
      </c>
      <c r="I3168" s="24" t="s">
        <v>2829</v>
      </c>
      <c r="J3168" s="24">
        <f t="shared" si="436"/>
        <v>-13.65</v>
      </c>
      <c r="K3168" s="24">
        <f t="shared" si="437"/>
        <v>32.56666666666667</v>
      </c>
      <c r="L3168" s="24">
        <v>1028</v>
      </c>
      <c r="N3168" s="24">
        <f t="shared" si="438"/>
        <v>20.5</v>
      </c>
      <c r="P3168" s="24">
        <v>960</v>
      </c>
      <c r="R3168" s="42" t="s">
        <v>1734</v>
      </c>
      <c r="S3168" s="42" t="s">
        <v>1719</v>
      </c>
      <c r="T3168" s="42"/>
      <c r="U3168" s="42" t="s">
        <v>3111</v>
      </c>
      <c r="V3168" s="42" t="s">
        <v>1379</v>
      </c>
      <c r="W3168" s="42" t="s">
        <v>1715</v>
      </c>
      <c r="X3168" s="42" t="s">
        <v>1379</v>
      </c>
      <c r="Y3168" s="42" t="s">
        <v>1379</v>
      </c>
      <c r="AA3168" s="321">
        <v>58</v>
      </c>
      <c r="AB3168" s="321">
        <v>17</v>
      </c>
      <c r="AC3168" s="24" t="s">
        <v>240</v>
      </c>
      <c r="AE3168" s="24">
        <v>1</v>
      </c>
      <c r="AG3168" s="24" t="s">
        <v>2755</v>
      </c>
      <c r="AH3168" s="24" t="s">
        <v>2763</v>
      </c>
      <c r="AI3168" s="24" t="s">
        <v>1129</v>
      </c>
      <c r="AJ3168" s="24" t="s">
        <v>1645</v>
      </c>
      <c r="AK3168" s="24" t="s">
        <v>132</v>
      </c>
      <c r="AW3168" s="24" t="s">
        <v>2780</v>
      </c>
      <c r="AX3168" s="24">
        <v>3</v>
      </c>
      <c r="AZ3168" s="24" t="s">
        <v>141</v>
      </c>
      <c r="BK3168" s="24">
        <v>765</v>
      </c>
      <c r="BL3168" s="24">
        <v>1885</v>
      </c>
      <c r="BM3168" s="24">
        <f>6607-6443</f>
        <v>164</v>
      </c>
      <c r="BN3168" s="24">
        <f>6607-6443</f>
        <v>164</v>
      </c>
      <c r="BP3168" s="395"/>
      <c r="BQ3168" s="395"/>
      <c r="BU3168" s="395"/>
      <c r="BV3168" s="395"/>
      <c r="BZ3168" s="395"/>
      <c r="CA3168" s="395"/>
      <c r="CE3168" s="548"/>
      <c r="CF3168" s="548"/>
      <c r="CG3168" s="548"/>
      <c r="CH3168" s="548"/>
      <c r="JD3168" s="249"/>
    </row>
    <row r="3169" spans="1:264" s="24" customFormat="1" x14ac:dyDescent="0.25">
      <c r="A3169" s="24">
        <v>150</v>
      </c>
      <c r="B3169" s="42" t="s">
        <v>4408</v>
      </c>
      <c r="C3169" s="24" t="s">
        <v>3084</v>
      </c>
      <c r="D3169" s="24" t="s">
        <v>3085</v>
      </c>
      <c r="E3169" s="24">
        <v>2007</v>
      </c>
      <c r="F3169" s="24">
        <v>2001</v>
      </c>
      <c r="G3169" s="24" t="s">
        <v>2738</v>
      </c>
      <c r="H3169" s="24" t="s">
        <v>2754</v>
      </c>
      <c r="I3169" s="24" t="s">
        <v>2829</v>
      </c>
      <c r="J3169" s="24">
        <f t="shared" si="436"/>
        <v>-13.65</v>
      </c>
      <c r="K3169" s="24">
        <f t="shared" si="437"/>
        <v>32.56666666666667</v>
      </c>
      <c r="L3169" s="24">
        <v>1028</v>
      </c>
      <c r="N3169" s="24">
        <f t="shared" si="438"/>
        <v>20.5</v>
      </c>
      <c r="P3169" s="24">
        <v>960</v>
      </c>
      <c r="R3169" s="42" t="s">
        <v>1734</v>
      </c>
      <c r="S3169" s="42" t="s">
        <v>1719</v>
      </c>
      <c r="T3169" s="42"/>
      <c r="U3169" s="42" t="s">
        <v>3111</v>
      </c>
      <c r="V3169" s="42" t="s">
        <v>1379</v>
      </c>
      <c r="W3169" s="42" t="s">
        <v>1715</v>
      </c>
      <c r="X3169" s="42" t="s">
        <v>1379</v>
      </c>
      <c r="Y3169" s="42" t="s">
        <v>1379</v>
      </c>
      <c r="AA3169" s="321">
        <v>58</v>
      </c>
      <c r="AB3169" s="321">
        <v>17</v>
      </c>
      <c r="AC3169" s="24" t="s">
        <v>240</v>
      </c>
      <c r="AE3169" s="24">
        <v>1</v>
      </c>
      <c r="AG3169" s="24" t="s">
        <v>2755</v>
      </c>
      <c r="AH3169" s="24" t="s">
        <v>2771</v>
      </c>
      <c r="AI3169" s="24" t="s">
        <v>577</v>
      </c>
      <c r="AJ3169" s="24" t="s">
        <v>1645</v>
      </c>
      <c r="AK3169" s="24" t="s">
        <v>132</v>
      </c>
      <c r="AW3169" s="24" t="s">
        <v>2780</v>
      </c>
      <c r="AX3169" s="24">
        <v>3</v>
      </c>
      <c r="AZ3169" s="24" t="s">
        <v>141</v>
      </c>
      <c r="BK3169" s="24">
        <v>765</v>
      </c>
      <c r="BL3169" s="24">
        <v>2148</v>
      </c>
      <c r="BM3169" s="24">
        <f t="shared" ref="BM3169:BN3170" si="440">6607-6443</f>
        <v>164</v>
      </c>
      <c r="BN3169" s="24">
        <f t="shared" si="440"/>
        <v>164</v>
      </c>
      <c r="BP3169" s="395"/>
      <c r="BQ3169" s="395"/>
      <c r="BU3169" s="395"/>
      <c r="BV3169" s="395"/>
      <c r="BZ3169" s="395"/>
      <c r="CA3169" s="395"/>
      <c r="CE3169" s="548"/>
      <c r="CF3169" s="548"/>
      <c r="CG3169" s="548"/>
      <c r="CH3169" s="548"/>
      <c r="JD3169" s="249"/>
    </row>
    <row r="3170" spans="1:264" s="24" customFormat="1" x14ac:dyDescent="0.25">
      <c r="A3170" s="24">
        <v>150</v>
      </c>
      <c r="B3170" s="42" t="s">
        <v>4409</v>
      </c>
      <c r="C3170" s="24" t="s">
        <v>3084</v>
      </c>
      <c r="D3170" s="24" t="s">
        <v>3085</v>
      </c>
      <c r="E3170" s="24">
        <v>2007</v>
      </c>
      <c r="F3170" s="24">
        <v>2001</v>
      </c>
      <c r="G3170" s="24" t="s">
        <v>2738</v>
      </c>
      <c r="H3170" s="24" t="s">
        <v>2754</v>
      </c>
      <c r="I3170" s="24" t="s">
        <v>2829</v>
      </c>
      <c r="J3170" s="24">
        <f t="shared" si="436"/>
        <v>-13.65</v>
      </c>
      <c r="K3170" s="24">
        <f t="shared" si="437"/>
        <v>32.56666666666667</v>
      </c>
      <c r="L3170" s="24">
        <v>1028</v>
      </c>
      <c r="N3170" s="24">
        <f t="shared" si="438"/>
        <v>20.5</v>
      </c>
      <c r="P3170" s="24">
        <v>960</v>
      </c>
      <c r="R3170" s="42" t="s">
        <v>1734</v>
      </c>
      <c r="S3170" s="42" t="s">
        <v>1719</v>
      </c>
      <c r="T3170" s="42"/>
      <c r="U3170" s="42" t="s">
        <v>3111</v>
      </c>
      <c r="V3170" s="42" t="s">
        <v>1379</v>
      </c>
      <c r="W3170" s="42" t="s">
        <v>1715</v>
      </c>
      <c r="X3170" s="42" t="s">
        <v>1379</v>
      </c>
      <c r="Y3170" s="42" t="s">
        <v>1379</v>
      </c>
      <c r="AA3170" s="321">
        <v>58</v>
      </c>
      <c r="AB3170" s="321">
        <v>17</v>
      </c>
      <c r="AC3170" s="24" t="s">
        <v>240</v>
      </c>
      <c r="AE3170" s="24">
        <v>1</v>
      </c>
      <c r="AG3170" s="24" t="s">
        <v>2755</v>
      </c>
      <c r="AH3170" s="24" t="s">
        <v>2770</v>
      </c>
      <c r="AI3170" s="24" t="s">
        <v>577</v>
      </c>
      <c r="AJ3170" s="24" t="s">
        <v>1645</v>
      </c>
      <c r="AK3170" s="24" t="s">
        <v>132</v>
      </c>
      <c r="AW3170" s="24" t="s">
        <v>2780</v>
      </c>
      <c r="AX3170" s="24">
        <v>3</v>
      </c>
      <c r="AZ3170" s="24" t="s">
        <v>141</v>
      </c>
      <c r="BK3170" s="24">
        <v>765</v>
      </c>
      <c r="BL3170" s="24">
        <v>836</v>
      </c>
      <c r="BM3170" s="24">
        <f t="shared" si="440"/>
        <v>164</v>
      </c>
      <c r="BN3170" s="24">
        <f t="shared" si="440"/>
        <v>164</v>
      </c>
      <c r="BP3170" s="395"/>
      <c r="BQ3170" s="395"/>
      <c r="BU3170" s="395"/>
      <c r="BV3170" s="395"/>
      <c r="BZ3170" s="395"/>
      <c r="CA3170" s="395"/>
      <c r="CE3170" s="548"/>
      <c r="CF3170" s="548"/>
      <c r="CG3170" s="548"/>
      <c r="CH3170" s="548"/>
      <c r="JD3170" s="249"/>
    </row>
    <row r="3171" spans="1:264" s="32" customFormat="1" x14ac:dyDescent="0.25">
      <c r="A3171" s="32">
        <v>150</v>
      </c>
      <c r="B3171" s="44" t="s">
        <v>4408</v>
      </c>
      <c r="C3171" s="32" t="s">
        <v>3084</v>
      </c>
      <c r="D3171" s="32" t="s">
        <v>3085</v>
      </c>
      <c r="E3171" s="32">
        <v>2007</v>
      </c>
      <c r="F3171" s="32">
        <v>2002</v>
      </c>
      <c r="G3171" s="32" t="s">
        <v>2738</v>
      </c>
      <c r="H3171" s="32" t="s">
        <v>2754</v>
      </c>
      <c r="I3171" s="32" t="s">
        <v>2829</v>
      </c>
      <c r="J3171" s="32">
        <f t="shared" si="436"/>
        <v>-13.65</v>
      </c>
      <c r="K3171" s="32">
        <f t="shared" si="437"/>
        <v>32.56666666666667</v>
      </c>
      <c r="L3171" s="32">
        <v>1028</v>
      </c>
      <c r="N3171" s="32">
        <f t="shared" si="438"/>
        <v>20.5</v>
      </c>
      <c r="P3171" s="32">
        <v>960</v>
      </c>
      <c r="R3171" s="44" t="s">
        <v>1982</v>
      </c>
      <c r="S3171" s="44" t="s">
        <v>1719</v>
      </c>
      <c r="T3171" s="44"/>
      <c r="U3171" s="44" t="s">
        <v>3111</v>
      </c>
      <c r="V3171" s="44" t="s">
        <v>1379</v>
      </c>
      <c r="W3171" s="44" t="s">
        <v>1715</v>
      </c>
      <c r="X3171" s="44" t="s">
        <v>1379</v>
      </c>
      <c r="Y3171" s="44" t="s">
        <v>1379</v>
      </c>
      <c r="AA3171" s="323">
        <v>58</v>
      </c>
      <c r="AB3171" s="323">
        <v>17</v>
      </c>
      <c r="AC3171" s="32" t="s">
        <v>240</v>
      </c>
      <c r="AE3171" s="32">
        <v>1</v>
      </c>
      <c r="AG3171" s="32" t="s">
        <v>2755</v>
      </c>
      <c r="AH3171" s="32" t="s">
        <v>2763</v>
      </c>
      <c r="AI3171" s="32" t="s">
        <v>1129</v>
      </c>
      <c r="AJ3171" s="32" t="s">
        <v>1645</v>
      </c>
      <c r="AK3171" s="32" t="s">
        <v>132</v>
      </c>
      <c r="AW3171" s="32" t="s">
        <v>2780</v>
      </c>
      <c r="AX3171" s="32">
        <v>3</v>
      </c>
      <c r="AZ3171" s="32" t="s">
        <v>141</v>
      </c>
      <c r="BK3171" s="32">
        <v>1689</v>
      </c>
      <c r="BL3171" s="32">
        <v>2574</v>
      </c>
      <c r="BM3171" s="32">
        <f>6705-6279</f>
        <v>426</v>
      </c>
      <c r="BN3171" s="32">
        <f>6705-6279</f>
        <v>426</v>
      </c>
      <c r="BP3171" s="397"/>
      <c r="BQ3171" s="397"/>
      <c r="BU3171" s="397"/>
      <c r="BV3171" s="397"/>
      <c r="BZ3171" s="397"/>
      <c r="CA3171" s="397"/>
      <c r="CE3171" s="550"/>
      <c r="CF3171" s="550"/>
      <c r="CG3171" s="550"/>
      <c r="CH3171" s="550"/>
      <c r="JD3171" s="243"/>
    </row>
    <row r="3172" spans="1:264" s="32" customFormat="1" x14ac:dyDescent="0.25">
      <c r="A3172" s="32">
        <v>150</v>
      </c>
      <c r="B3172" s="44" t="s">
        <v>4408</v>
      </c>
      <c r="C3172" s="32" t="s">
        <v>3084</v>
      </c>
      <c r="D3172" s="32" t="s">
        <v>3085</v>
      </c>
      <c r="E3172" s="32">
        <v>2007</v>
      </c>
      <c r="F3172" s="32">
        <v>2002</v>
      </c>
      <c r="G3172" s="32" t="s">
        <v>2738</v>
      </c>
      <c r="H3172" s="32" t="s">
        <v>2754</v>
      </c>
      <c r="I3172" s="32" t="s">
        <v>2829</v>
      </c>
      <c r="J3172" s="32">
        <f t="shared" si="436"/>
        <v>-13.65</v>
      </c>
      <c r="K3172" s="32">
        <f t="shared" si="437"/>
        <v>32.56666666666667</v>
      </c>
      <c r="L3172" s="32">
        <v>1028</v>
      </c>
      <c r="N3172" s="32">
        <f t="shared" si="438"/>
        <v>20.5</v>
      </c>
      <c r="P3172" s="32">
        <v>960</v>
      </c>
      <c r="R3172" s="44" t="s">
        <v>1982</v>
      </c>
      <c r="S3172" s="44" t="s">
        <v>1719</v>
      </c>
      <c r="T3172" s="44"/>
      <c r="U3172" s="44" t="s">
        <v>3111</v>
      </c>
      <c r="V3172" s="44" t="s">
        <v>1379</v>
      </c>
      <c r="W3172" s="44" t="s">
        <v>1715</v>
      </c>
      <c r="X3172" s="44" t="s">
        <v>1379</v>
      </c>
      <c r="Y3172" s="44" t="s">
        <v>1379</v>
      </c>
      <c r="AA3172" s="323">
        <v>58</v>
      </c>
      <c r="AB3172" s="323">
        <v>17</v>
      </c>
      <c r="AC3172" s="32" t="s">
        <v>240</v>
      </c>
      <c r="AE3172" s="32">
        <v>1</v>
      </c>
      <c r="AG3172" s="32" t="s">
        <v>2755</v>
      </c>
      <c r="AH3172" s="32" t="s">
        <v>2771</v>
      </c>
      <c r="AI3172" s="32" t="s">
        <v>577</v>
      </c>
      <c r="AJ3172" s="32" t="s">
        <v>1645</v>
      </c>
      <c r="AK3172" s="32" t="s">
        <v>132</v>
      </c>
      <c r="AW3172" s="32" t="s">
        <v>2780</v>
      </c>
      <c r="AX3172" s="32">
        <v>3</v>
      </c>
      <c r="AZ3172" s="32" t="s">
        <v>141</v>
      </c>
      <c r="BK3172" s="32">
        <v>1689</v>
      </c>
      <c r="BL3172" s="32">
        <v>3262</v>
      </c>
      <c r="BM3172" s="32">
        <f t="shared" ref="BM3172:BN3173" si="441">6705-6279</f>
        <v>426</v>
      </c>
      <c r="BN3172" s="32">
        <f t="shared" si="441"/>
        <v>426</v>
      </c>
      <c r="BP3172" s="397"/>
      <c r="BQ3172" s="397"/>
      <c r="BU3172" s="397"/>
      <c r="BV3172" s="397"/>
      <c r="BZ3172" s="397"/>
      <c r="CA3172" s="397"/>
      <c r="CE3172" s="550"/>
      <c r="CF3172" s="550"/>
      <c r="CG3172" s="550"/>
      <c r="CH3172" s="550"/>
      <c r="JD3172" s="243"/>
    </row>
    <row r="3173" spans="1:264" s="32" customFormat="1" x14ac:dyDescent="0.25">
      <c r="A3173" s="32">
        <v>150</v>
      </c>
      <c r="B3173" s="44" t="s">
        <v>4409</v>
      </c>
      <c r="C3173" s="32" t="s">
        <v>3084</v>
      </c>
      <c r="D3173" s="32" t="s">
        <v>3085</v>
      </c>
      <c r="E3173" s="32">
        <v>2007</v>
      </c>
      <c r="F3173" s="32">
        <v>2002</v>
      </c>
      <c r="G3173" s="32" t="s">
        <v>2738</v>
      </c>
      <c r="H3173" s="32" t="s">
        <v>2754</v>
      </c>
      <c r="I3173" s="32" t="s">
        <v>2829</v>
      </c>
      <c r="J3173" s="32">
        <f t="shared" si="436"/>
        <v>-13.65</v>
      </c>
      <c r="K3173" s="32">
        <f t="shared" si="437"/>
        <v>32.56666666666667</v>
      </c>
      <c r="L3173" s="32">
        <v>1028</v>
      </c>
      <c r="N3173" s="32">
        <f t="shared" si="438"/>
        <v>20.5</v>
      </c>
      <c r="P3173" s="32">
        <v>960</v>
      </c>
      <c r="R3173" s="44" t="s">
        <v>1982</v>
      </c>
      <c r="S3173" s="44" t="s">
        <v>1719</v>
      </c>
      <c r="T3173" s="44"/>
      <c r="U3173" s="44" t="s">
        <v>3111</v>
      </c>
      <c r="V3173" s="44" t="s">
        <v>1379</v>
      </c>
      <c r="W3173" s="44" t="s">
        <v>1715</v>
      </c>
      <c r="X3173" s="44" t="s">
        <v>1379</v>
      </c>
      <c r="Y3173" s="44" t="s">
        <v>1379</v>
      </c>
      <c r="AA3173" s="323">
        <v>58</v>
      </c>
      <c r="AB3173" s="323">
        <v>17</v>
      </c>
      <c r="AC3173" s="32" t="s">
        <v>240</v>
      </c>
      <c r="AE3173" s="32">
        <v>1</v>
      </c>
      <c r="AG3173" s="32" t="s">
        <v>2755</v>
      </c>
      <c r="AH3173" s="32" t="s">
        <v>2770</v>
      </c>
      <c r="AI3173" s="32" t="s">
        <v>577</v>
      </c>
      <c r="AJ3173" s="32" t="s">
        <v>1645</v>
      </c>
      <c r="AK3173" s="32" t="s">
        <v>132</v>
      </c>
      <c r="AW3173" s="32" t="s">
        <v>2780</v>
      </c>
      <c r="AX3173" s="32">
        <v>3</v>
      </c>
      <c r="AZ3173" s="32" t="s">
        <v>141</v>
      </c>
      <c r="BK3173" s="32">
        <v>1689</v>
      </c>
      <c r="BL3173" s="32">
        <v>1426</v>
      </c>
      <c r="BM3173" s="32">
        <f t="shared" si="441"/>
        <v>426</v>
      </c>
      <c r="BN3173" s="32">
        <f t="shared" si="441"/>
        <v>426</v>
      </c>
      <c r="BP3173" s="397"/>
      <c r="BQ3173" s="397"/>
      <c r="BU3173" s="397"/>
      <c r="BV3173" s="397"/>
      <c r="BZ3173" s="397"/>
      <c r="CA3173" s="397"/>
      <c r="CE3173" s="550"/>
      <c r="CF3173" s="550"/>
      <c r="CG3173" s="550"/>
      <c r="CH3173" s="550"/>
      <c r="JD3173" s="243"/>
    </row>
    <row r="3174" spans="1:264" s="24" customFormat="1" x14ac:dyDescent="0.25">
      <c r="A3174" s="24">
        <v>150</v>
      </c>
      <c r="B3174" s="42" t="s">
        <v>4408</v>
      </c>
      <c r="C3174" s="24" t="s">
        <v>3084</v>
      </c>
      <c r="D3174" s="24" t="s">
        <v>3085</v>
      </c>
      <c r="E3174" s="24">
        <v>2007</v>
      </c>
      <c r="F3174" s="24">
        <v>2003</v>
      </c>
      <c r="G3174" s="24" t="s">
        <v>2738</v>
      </c>
      <c r="H3174" s="24" t="s">
        <v>2754</v>
      </c>
      <c r="I3174" s="24" t="s">
        <v>2829</v>
      </c>
      <c r="J3174" s="24">
        <f t="shared" si="436"/>
        <v>-13.65</v>
      </c>
      <c r="K3174" s="24">
        <f t="shared" si="437"/>
        <v>32.56666666666667</v>
      </c>
      <c r="L3174" s="24">
        <v>1028</v>
      </c>
      <c r="N3174" s="24">
        <f t="shared" si="438"/>
        <v>20.5</v>
      </c>
      <c r="P3174" s="24">
        <v>960</v>
      </c>
      <c r="R3174" s="42" t="s">
        <v>1975</v>
      </c>
      <c r="S3174" s="42" t="s">
        <v>1719</v>
      </c>
      <c r="T3174" s="42"/>
      <c r="U3174" s="42" t="s">
        <v>3111</v>
      </c>
      <c r="V3174" s="42" t="s">
        <v>1379</v>
      </c>
      <c r="W3174" s="42" t="s">
        <v>1715</v>
      </c>
      <c r="X3174" s="42" t="s">
        <v>1379</v>
      </c>
      <c r="Y3174" s="42" t="s">
        <v>1379</v>
      </c>
      <c r="AA3174" s="321">
        <v>58</v>
      </c>
      <c r="AB3174" s="321">
        <v>17</v>
      </c>
      <c r="AC3174" s="24" t="s">
        <v>240</v>
      </c>
      <c r="AE3174" s="24">
        <v>1</v>
      </c>
      <c r="AG3174" s="24" t="s">
        <v>2755</v>
      </c>
      <c r="AH3174" s="24" t="s">
        <v>2763</v>
      </c>
      <c r="AI3174" s="24" t="s">
        <v>1129</v>
      </c>
      <c r="AJ3174" s="24" t="s">
        <v>1645</v>
      </c>
      <c r="AK3174" s="24" t="s">
        <v>132</v>
      </c>
      <c r="AW3174" s="24" t="s">
        <v>2780</v>
      </c>
      <c r="AX3174" s="24">
        <v>3</v>
      </c>
      <c r="AZ3174" s="24" t="s">
        <v>141</v>
      </c>
      <c r="BK3174" s="24">
        <v>1557</v>
      </c>
      <c r="BL3174" s="24">
        <v>3164</v>
      </c>
      <c r="BM3174" s="24">
        <f>6738-6246</f>
        <v>492</v>
      </c>
      <c r="BN3174" s="24">
        <f>6738-6246</f>
        <v>492</v>
      </c>
      <c r="BP3174" s="395"/>
      <c r="BQ3174" s="395"/>
      <c r="BU3174" s="395"/>
      <c r="BV3174" s="395"/>
      <c r="BZ3174" s="395"/>
      <c r="CA3174" s="395"/>
      <c r="CE3174" s="548"/>
      <c r="CF3174" s="548"/>
      <c r="CG3174" s="548"/>
      <c r="CH3174" s="548"/>
      <c r="JD3174" s="249"/>
    </row>
    <row r="3175" spans="1:264" s="24" customFormat="1" x14ac:dyDescent="0.25">
      <c r="A3175" s="24">
        <v>150</v>
      </c>
      <c r="B3175" s="42" t="s">
        <v>4408</v>
      </c>
      <c r="C3175" s="24" t="s">
        <v>3084</v>
      </c>
      <c r="D3175" s="24" t="s">
        <v>3085</v>
      </c>
      <c r="E3175" s="24">
        <v>2007</v>
      </c>
      <c r="F3175" s="24">
        <v>2003</v>
      </c>
      <c r="G3175" s="24" t="s">
        <v>2738</v>
      </c>
      <c r="H3175" s="24" t="s">
        <v>2754</v>
      </c>
      <c r="I3175" s="24" t="s">
        <v>2829</v>
      </c>
      <c r="J3175" s="24">
        <f t="shared" si="436"/>
        <v>-13.65</v>
      </c>
      <c r="K3175" s="24">
        <f t="shared" si="437"/>
        <v>32.56666666666667</v>
      </c>
      <c r="L3175" s="24">
        <v>1028</v>
      </c>
      <c r="N3175" s="24">
        <f t="shared" si="438"/>
        <v>20.5</v>
      </c>
      <c r="P3175" s="24">
        <v>960</v>
      </c>
      <c r="R3175" s="42" t="s">
        <v>1975</v>
      </c>
      <c r="S3175" s="42" t="s">
        <v>1719</v>
      </c>
      <c r="T3175" s="42"/>
      <c r="U3175" s="42" t="s">
        <v>3111</v>
      </c>
      <c r="V3175" s="42" t="s">
        <v>1379</v>
      </c>
      <c r="W3175" s="42" t="s">
        <v>1715</v>
      </c>
      <c r="X3175" s="42" t="s">
        <v>1379</v>
      </c>
      <c r="Y3175" s="42" t="s">
        <v>1379</v>
      </c>
      <c r="AA3175" s="321">
        <v>58</v>
      </c>
      <c r="AB3175" s="321">
        <v>17</v>
      </c>
      <c r="AC3175" s="24" t="s">
        <v>240</v>
      </c>
      <c r="AE3175" s="24">
        <v>1</v>
      </c>
      <c r="AG3175" s="24" t="s">
        <v>2755</v>
      </c>
      <c r="AH3175" s="24" t="s">
        <v>2771</v>
      </c>
      <c r="AI3175" s="24" t="s">
        <v>577</v>
      </c>
      <c r="AJ3175" s="24" t="s">
        <v>1645</v>
      </c>
      <c r="AK3175" s="24" t="s">
        <v>132</v>
      </c>
      <c r="AW3175" s="24" t="s">
        <v>2780</v>
      </c>
      <c r="AX3175" s="24">
        <v>3</v>
      </c>
      <c r="AZ3175" s="24" t="s">
        <v>141</v>
      </c>
      <c r="BK3175" s="24">
        <v>1557</v>
      </c>
      <c r="BL3175" s="24">
        <v>3820</v>
      </c>
      <c r="BM3175" s="24">
        <f t="shared" ref="BM3175:BN3176" si="442">6738-6246</f>
        <v>492</v>
      </c>
      <c r="BN3175" s="24">
        <f t="shared" si="442"/>
        <v>492</v>
      </c>
      <c r="BP3175" s="395"/>
      <c r="BQ3175" s="395"/>
      <c r="BU3175" s="395"/>
      <c r="BV3175" s="395"/>
      <c r="BZ3175" s="395"/>
      <c r="CA3175" s="395"/>
      <c r="CE3175" s="548"/>
      <c r="CF3175" s="548"/>
      <c r="CG3175" s="548"/>
      <c r="CH3175" s="548"/>
      <c r="JD3175" s="249"/>
    </row>
    <row r="3176" spans="1:264" s="24" customFormat="1" x14ac:dyDescent="0.25">
      <c r="A3176" s="24">
        <v>150</v>
      </c>
      <c r="B3176" s="42" t="s">
        <v>4409</v>
      </c>
      <c r="C3176" s="24" t="s">
        <v>3084</v>
      </c>
      <c r="D3176" s="24" t="s">
        <v>3085</v>
      </c>
      <c r="E3176" s="24">
        <v>2007</v>
      </c>
      <c r="F3176" s="24">
        <v>2003</v>
      </c>
      <c r="G3176" s="24" t="s">
        <v>2738</v>
      </c>
      <c r="H3176" s="24" t="s">
        <v>2754</v>
      </c>
      <c r="I3176" s="24" t="s">
        <v>2829</v>
      </c>
      <c r="J3176" s="24">
        <f t="shared" si="436"/>
        <v>-13.65</v>
      </c>
      <c r="K3176" s="24">
        <f t="shared" si="437"/>
        <v>32.56666666666667</v>
      </c>
      <c r="L3176" s="24">
        <v>1028</v>
      </c>
      <c r="N3176" s="24">
        <f t="shared" si="438"/>
        <v>20.5</v>
      </c>
      <c r="P3176" s="24">
        <v>960</v>
      </c>
      <c r="R3176" s="42" t="s">
        <v>1975</v>
      </c>
      <c r="S3176" s="42" t="s">
        <v>1719</v>
      </c>
      <c r="T3176" s="42"/>
      <c r="U3176" s="42" t="s">
        <v>3111</v>
      </c>
      <c r="V3176" s="42" t="s">
        <v>1379</v>
      </c>
      <c r="W3176" s="42" t="s">
        <v>1715</v>
      </c>
      <c r="X3176" s="42" t="s">
        <v>1379</v>
      </c>
      <c r="Y3176" s="42" t="s">
        <v>1379</v>
      </c>
      <c r="AA3176" s="321">
        <v>58</v>
      </c>
      <c r="AB3176" s="321">
        <v>17</v>
      </c>
      <c r="AC3176" s="24" t="s">
        <v>240</v>
      </c>
      <c r="AE3176" s="24">
        <v>1</v>
      </c>
      <c r="AG3176" s="24" t="s">
        <v>2755</v>
      </c>
      <c r="AH3176" s="24" t="s">
        <v>2770</v>
      </c>
      <c r="AI3176" s="24" t="s">
        <v>577</v>
      </c>
      <c r="AJ3176" s="24" t="s">
        <v>1645</v>
      </c>
      <c r="AK3176" s="24" t="s">
        <v>132</v>
      </c>
      <c r="AW3176" s="24" t="s">
        <v>2780</v>
      </c>
      <c r="AX3176" s="24">
        <v>3</v>
      </c>
      <c r="AZ3176" s="24" t="s">
        <v>141</v>
      </c>
      <c r="BK3176" s="24">
        <v>1557</v>
      </c>
      <c r="BL3176" s="24">
        <v>1754</v>
      </c>
      <c r="BM3176" s="24">
        <f t="shared" si="442"/>
        <v>492</v>
      </c>
      <c r="BN3176" s="24">
        <f t="shared" si="442"/>
        <v>492</v>
      </c>
      <c r="BP3176" s="395"/>
      <c r="BQ3176" s="395"/>
      <c r="BU3176" s="395"/>
      <c r="BV3176" s="395"/>
      <c r="BZ3176" s="395"/>
      <c r="CA3176" s="395"/>
      <c r="CE3176" s="548"/>
      <c r="CF3176" s="548"/>
      <c r="CG3176" s="548"/>
      <c r="CH3176" s="548"/>
      <c r="JD3176" s="249"/>
    </row>
    <row r="3177" spans="1:264" s="32" customFormat="1" x14ac:dyDescent="0.25">
      <c r="A3177" s="32">
        <v>150</v>
      </c>
      <c r="B3177" s="44" t="s">
        <v>4408</v>
      </c>
      <c r="C3177" s="32" t="s">
        <v>3084</v>
      </c>
      <c r="D3177" s="32" t="s">
        <v>3085</v>
      </c>
      <c r="E3177" s="32">
        <v>2007</v>
      </c>
      <c r="F3177" s="32">
        <v>2004</v>
      </c>
      <c r="G3177" s="32" t="s">
        <v>2738</v>
      </c>
      <c r="H3177" s="32" t="s">
        <v>2754</v>
      </c>
      <c r="I3177" s="32" t="s">
        <v>2829</v>
      </c>
      <c r="J3177" s="32">
        <f t="shared" si="436"/>
        <v>-13.65</v>
      </c>
      <c r="K3177" s="32">
        <f t="shared" si="437"/>
        <v>32.56666666666667</v>
      </c>
      <c r="L3177" s="32">
        <v>1028</v>
      </c>
      <c r="N3177" s="32">
        <f t="shared" si="438"/>
        <v>20.5</v>
      </c>
      <c r="P3177" s="32">
        <v>960</v>
      </c>
      <c r="R3177" s="44" t="s">
        <v>1719</v>
      </c>
      <c r="S3177" s="44" t="s">
        <v>1719</v>
      </c>
      <c r="T3177" s="44"/>
      <c r="U3177" s="44" t="s">
        <v>3111</v>
      </c>
      <c r="V3177" s="44" t="s">
        <v>1379</v>
      </c>
      <c r="W3177" s="44" t="s">
        <v>1715</v>
      </c>
      <c r="X3177" s="44" t="s">
        <v>1379</v>
      </c>
      <c r="Y3177" s="44" t="s">
        <v>1379</v>
      </c>
      <c r="AA3177" s="323">
        <v>58</v>
      </c>
      <c r="AB3177" s="323">
        <v>17</v>
      </c>
      <c r="AC3177" s="32" t="s">
        <v>240</v>
      </c>
      <c r="AE3177" s="32">
        <v>1</v>
      </c>
      <c r="AG3177" s="32" t="s">
        <v>2755</v>
      </c>
      <c r="AH3177" s="32" t="s">
        <v>2763</v>
      </c>
      <c r="AI3177" s="32" t="s">
        <v>1129</v>
      </c>
      <c r="AJ3177" s="32" t="s">
        <v>1645</v>
      </c>
      <c r="AK3177" s="32" t="s">
        <v>132</v>
      </c>
      <c r="AW3177" s="32" t="s">
        <v>2780</v>
      </c>
      <c r="AX3177" s="32">
        <v>3</v>
      </c>
      <c r="AZ3177" s="32" t="s">
        <v>141</v>
      </c>
      <c r="BK3177" s="32">
        <v>1399</v>
      </c>
      <c r="BL3177" s="32">
        <v>3098</v>
      </c>
      <c r="BM3177" s="32">
        <f>6836-6213</f>
        <v>623</v>
      </c>
      <c r="BN3177" s="32">
        <f>6836-6213</f>
        <v>623</v>
      </c>
      <c r="BP3177" s="397"/>
      <c r="BQ3177" s="397"/>
      <c r="BU3177" s="397"/>
      <c r="BV3177" s="397"/>
      <c r="BZ3177" s="397"/>
      <c r="CA3177" s="397"/>
      <c r="CE3177" s="550"/>
      <c r="CF3177" s="550"/>
      <c r="CG3177" s="550"/>
      <c r="CH3177" s="550"/>
      <c r="JD3177" s="243"/>
    </row>
    <row r="3178" spans="1:264" s="32" customFormat="1" x14ac:dyDescent="0.25">
      <c r="A3178" s="32">
        <v>150</v>
      </c>
      <c r="B3178" s="44" t="s">
        <v>4408</v>
      </c>
      <c r="C3178" s="32" t="s">
        <v>3084</v>
      </c>
      <c r="D3178" s="32" t="s">
        <v>3085</v>
      </c>
      <c r="E3178" s="32">
        <v>2007</v>
      </c>
      <c r="F3178" s="32">
        <v>2004</v>
      </c>
      <c r="G3178" s="32" t="s">
        <v>2738</v>
      </c>
      <c r="H3178" s="32" t="s">
        <v>2754</v>
      </c>
      <c r="I3178" s="32" t="s">
        <v>2829</v>
      </c>
      <c r="J3178" s="32">
        <f t="shared" si="436"/>
        <v>-13.65</v>
      </c>
      <c r="K3178" s="32">
        <f t="shared" si="437"/>
        <v>32.56666666666667</v>
      </c>
      <c r="L3178" s="32">
        <v>1028</v>
      </c>
      <c r="N3178" s="32">
        <f t="shared" si="438"/>
        <v>20.5</v>
      </c>
      <c r="P3178" s="32">
        <v>960</v>
      </c>
      <c r="R3178" s="44" t="s">
        <v>1719</v>
      </c>
      <c r="S3178" s="44" t="s">
        <v>1719</v>
      </c>
      <c r="T3178" s="44"/>
      <c r="U3178" s="44" t="s">
        <v>3111</v>
      </c>
      <c r="V3178" s="44" t="s">
        <v>1379</v>
      </c>
      <c r="W3178" s="44" t="s">
        <v>1715</v>
      </c>
      <c r="X3178" s="44" t="s">
        <v>1379</v>
      </c>
      <c r="Y3178" s="44" t="s">
        <v>1379</v>
      </c>
      <c r="AA3178" s="323">
        <v>58</v>
      </c>
      <c r="AB3178" s="323">
        <v>17</v>
      </c>
      <c r="AC3178" s="32" t="s">
        <v>240</v>
      </c>
      <c r="AE3178" s="32">
        <v>1</v>
      </c>
      <c r="AG3178" s="32" t="s">
        <v>2755</v>
      </c>
      <c r="AH3178" s="32" t="s">
        <v>2771</v>
      </c>
      <c r="AI3178" s="32" t="s">
        <v>577</v>
      </c>
      <c r="AJ3178" s="32" t="s">
        <v>1645</v>
      </c>
      <c r="AK3178" s="32" t="s">
        <v>132</v>
      </c>
      <c r="AW3178" s="32" t="s">
        <v>2780</v>
      </c>
      <c r="AX3178" s="32">
        <v>3</v>
      </c>
      <c r="AZ3178" s="32" t="s">
        <v>141</v>
      </c>
      <c r="BK3178" s="32">
        <v>1399</v>
      </c>
      <c r="BL3178" s="32">
        <v>3295</v>
      </c>
      <c r="BM3178" s="32">
        <f t="shared" ref="BM3178:BN3179" si="443">6836-6213</f>
        <v>623</v>
      </c>
      <c r="BN3178" s="32">
        <f t="shared" si="443"/>
        <v>623</v>
      </c>
      <c r="BP3178" s="397"/>
      <c r="BQ3178" s="397"/>
      <c r="BU3178" s="397"/>
      <c r="BV3178" s="397"/>
      <c r="BZ3178" s="397"/>
      <c r="CA3178" s="397"/>
      <c r="CE3178" s="550"/>
      <c r="CF3178" s="550"/>
      <c r="CG3178" s="550"/>
      <c r="CH3178" s="550"/>
      <c r="JD3178" s="243"/>
    </row>
    <row r="3179" spans="1:264" s="32" customFormat="1" x14ac:dyDescent="0.25">
      <c r="A3179" s="32">
        <v>150</v>
      </c>
      <c r="B3179" s="44" t="s">
        <v>4409</v>
      </c>
      <c r="C3179" s="32" t="s">
        <v>3084</v>
      </c>
      <c r="D3179" s="32" t="s">
        <v>3085</v>
      </c>
      <c r="E3179" s="32">
        <v>2007</v>
      </c>
      <c r="F3179" s="32">
        <v>2004</v>
      </c>
      <c r="G3179" s="32" t="s">
        <v>2738</v>
      </c>
      <c r="H3179" s="32" t="s">
        <v>2754</v>
      </c>
      <c r="I3179" s="32" t="s">
        <v>2829</v>
      </c>
      <c r="J3179" s="32">
        <f t="shared" si="436"/>
        <v>-13.65</v>
      </c>
      <c r="K3179" s="32">
        <f t="shared" si="437"/>
        <v>32.56666666666667</v>
      </c>
      <c r="L3179" s="32">
        <v>1028</v>
      </c>
      <c r="N3179" s="32">
        <f t="shared" si="438"/>
        <v>20.5</v>
      </c>
      <c r="P3179" s="32">
        <v>960</v>
      </c>
      <c r="R3179" s="44" t="s">
        <v>1719</v>
      </c>
      <c r="S3179" s="44" t="s">
        <v>1719</v>
      </c>
      <c r="T3179" s="44"/>
      <c r="U3179" s="44" t="s">
        <v>3111</v>
      </c>
      <c r="V3179" s="44" t="s">
        <v>1379</v>
      </c>
      <c r="W3179" s="44" t="s">
        <v>1715</v>
      </c>
      <c r="X3179" s="44" t="s">
        <v>1379</v>
      </c>
      <c r="Y3179" s="44" t="s">
        <v>1379</v>
      </c>
      <c r="AA3179" s="323">
        <v>58</v>
      </c>
      <c r="AB3179" s="323">
        <v>17</v>
      </c>
      <c r="AC3179" s="32" t="s">
        <v>240</v>
      </c>
      <c r="AE3179" s="32">
        <v>1</v>
      </c>
      <c r="AG3179" s="32" t="s">
        <v>2755</v>
      </c>
      <c r="AH3179" s="32" t="s">
        <v>2770</v>
      </c>
      <c r="AI3179" s="32" t="s">
        <v>577</v>
      </c>
      <c r="AJ3179" s="32" t="s">
        <v>1645</v>
      </c>
      <c r="AK3179" s="32" t="s">
        <v>132</v>
      </c>
      <c r="AW3179" s="32" t="s">
        <v>2780</v>
      </c>
      <c r="AX3179" s="32">
        <v>3</v>
      </c>
      <c r="AZ3179" s="32" t="s">
        <v>141</v>
      </c>
      <c r="BK3179" s="32">
        <v>1399</v>
      </c>
      <c r="BL3179" s="32">
        <v>1400</v>
      </c>
      <c r="BM3179" s="32">
        <f t="shared" si="443"/>
        <v>623</v>
      </c>
      <c r="BN3179" s="32">
        <f t="shared" si="443"/>
        <v>623</v>
      </c>
      <c r="BP3179" s="397"/>
      <c r="BQ3179" s="397"/>
      <c r="BU3179" s="397"/>
      <c r="BV3179" s="397"/>
      <c r="BZ3179" s="397"/>
      <c r="CA3179" s="397"/>
      <c r="CE3179" s="550"/>
      <c r="CF3179" s="550"/>
      <c r="CG3179" s="550"/>
      <c r="CH3179" s="550"/>
      <c r="JD3179" s="243"/>
    </row>
    <row r="3180" spans="1:264" s="24" customFormat="1" x14ac:dyDescent="0.25">
      <c r="A3180" s="24">
        <v>150</v>
      </c>
      <c r="B3180" s="42" t="s">
        <v>4410</v>
      </c>
      <c r="C3180" s="24" t="s">
        <v>3084</v>
      </c>
      <c r="D3180" s="24" t="s">
        <v>3085</v>
      </c>
      <c r="E3180" s="24">
        <v>2007</v>
      </c>
      <c r="F3180" s="24">
        <v>1998</v>
      </c>
      <c r="G3180" s="24" t="s">
        <v>2738</v>
      </c>
      <c r="H3180" s="24" t="s">
        <v>3118</v>
      </c>
      <c r="I3180" s="24" t="s">
        <v>2996</v>
      </c>
      <c r="J3180" s="24">
        <v>-16.329999999999998</v>
      </c>
      <c r="K3180" s="24">
        <v>29.6</v>
      </c>
      <c r="L3180" s="24">
        <v>1177</v>
      </c>
      <c r="R3180" s="42" t="s">
        <v>1847</v>
      </c>
      <c r="S3180" s="42" t="s">
        <v>1728</v>
      </c>
      <c r="T3180" s="42"/>
      <c r="U3180" s="42" t="s">
        <v>3112</v>
      </c>
      <c r="V3180" s="42"/>
      <c r="W3180" s="42"/>
      <c r="X3180" s="42"/>
      <c r="Y3180" s="42"/>
      <c r="AA3180" s="321"/>
      <c r="AB3180" s="321"/>
      <c r="AC3180" s="24" t="s">
        <v>240</v>
      </c>
      <c r="AH3180" s="24" t="s">
        <v>3113</v>
      </c>
      <c r="AI3180" s="24" t="s">
        <v>577</v>
      </c>
      <c r="AJ3180" s="24" t="s">
        <v>1645</v>
      </c>
      <c r="AK3180" s="24" t="s">
        <v>132</v>
      </c>
      <c r="AW3180" s="24" t="s">
        <v>160</v>
      </c>
      <c r="BK3180" s="24">
        <v>200</v>
      </c>
      <c r="BL3180" s="24">
        <v>2300</v>
      </c>
      <c r="BP3180" s="395"/>
      <c r="BQ3180" s="395"/>
      <c r="BU3180" s="395"/>
      <c r="BV3180" s="395"/>
      <c r="BZ3180" s="395"/>
      <c r="CA3180" s="395"/>
      <c r="CE3180" s="548"/>
      <c r="CF3180" s="548"/>
      <c r="CG3180" s="548"/>
      <c r="CH3180" s="548"/>
      <c r="JD3180" s="249"/>
    </row>
    <row r="3181" spans="1:264" s="24" customFormat="1" x14ac:dyDescent="0.25">
      <c r="A3181" s="24">
        <v>150</v>
      </c>
      <c r="B3181" s="42" t="s">
        <v>4410</v>
      </c>
      <c r="C3181" s="24" t="s">
        <v>3084</v>
      </c>
      <c r="D3181" s="24" t="s">
        <v>3085</v>
      </c>
      <c r="E3181" s="24">
        <v>2007</v>
      </c>
      <c r="F3181" s="24">
        <v>1998</v>
      </c>
      <c r="G3181" s="24" t="s">
        <v>2738</v>
      </c>
      <c r="H3181" s="24" t="s">
        <v>3118</v>
      </c>
      <c r="I3181" s="24" t="s">
        <v>2996</v>
      </c>
      <c r="J3181" s="24">
        <v>-16.329999999999998</v>
      </c>
      <c r="K3181" s="24">
        <v>29.6</v>
      </c>
      <c r="L3181" s="24">
        <v>1177</v>
      </c>
      <c r="R3181" s="42" t="s">
        <v>1847</v>
      </c>
      <c r="S3181" s="42" t="s">
        <v>1728</v>
      </c>
      <c r="T3181" s="42"/>
      <c r="U3181" s="42" t="s">
        <v>3112</v>
      </c>
      <c r="V3181" s="42"/>
      <c r="W3181" s="42"/>
      <c r="X3181" s="42"/>
      <c r="Y3181" s="42"/>
      <c r="AA3181" s="321"/>
      <c r="AB3181" s="321"/>
      <c r="AC3181" s="24" t="s">
        <v>240</v>
      </c>
      <c r="AH3181" s="24" t="s">
        <v>3114</v>
      </c>
      <c r="AI3181" s="24" t="s">
        <v>577</v>
      </c>
      <c r="AJ3181" s="24" t="s">
        <v>1645</v>
      </c>
      <c r="AK3181" s="24" t="s">
        <v>132</v>
      </c>
      <c r="AW3181" s="24" t="s">
        <v>160</v>
      </c>
      <c r="BK3181" s="24">
        <v>200</v>
      </c>
      <c r="BL3181" s="24">
        <v>2100</v>
      </c>
      <c r="BP3181" s="395"/>
      <c r="BQ3181" s="395"/>
      <c r="BU3181" s="395"/>
      <c r="BV3181" s="395"/>
      <c r="BZ3181" s="395"/>
      <c r="CA3181" s="395"/>
      <c r="CE3181" s="548"/>
      <c r="CF3181" s="548"/>
      <c r="CG3181" s="548"/>
      <c r="CH3181" s="548"/>
      <c r="JD3181" s="249"/>
    </row>
    <row r="3182" spans="1:264" s="24" customFormat="1" x14ac:dyDescent="0.25">
      <c r="A3182" s="24">
        <v>150</v>
      </c>
      <c r="B3182" s="42" t="s">
        <v>4410</v>
      </c>
      <c r="C3182" s="24" t="s">
        <v>3084</v>
      </c>
      <c r="D3182" s="24" t="s">
        <v>3085</v>
      </c>
      <c r="E3182" s="24">
        <v>2007</v>
      </c>
      <c r="F3182" s="24">
        <v>1998</v>
      </c>
      <c r="G3182" s="24" t="s">
        <v>2738</v>
      </c>
      <c r="H3182" s="24" t="s">
        <v>3118</v>
      </c>
      <c r="I3182" s="24" t="s">
        <v>2996</v>
      </c>
      <c r="J3182" s="24">
        <v>-16.329999999999998</v>
      </c>
      <c r="K3182" s="24">
        <v>29.6</v>
      </c>
      <c r="L3182" s="24">
        <v>1177</v>
      </c>
      <c r="R3182" s="42" t="s">
        <v>1847</v>
      </c>
      <c r="S3182" s="42" t="s">
        <v>1728</v>
      </c>
      <c r="T3182" s="42"/>
      <c r="U3182" s="42" t="s">
        <v>3112</v>
      </c>
      <c r="V3182" s="42"/>
      <c r="W3182" s="42"/>
      <c r="X3182" s="42"/>
      <c r="Y3182" s="42"/>
      <c r="AA3182" s="321"/>
      <c r="AB3182" s="321"/>
      <c r="AC3182" s="24" t="s">
        <v>240</v>
      </c>
      <c r="AH3182" s="24" t="s">
        <v>3116</v>
      </c>
      <c r="AI3182" s="24" t="s">
        <v>577</v>
      </c>
      <c r="AJ3182" s="24" t="s">
        <v>1645</v>
      </c>
      <c r="AK3182" s="24" t="s">
        <v>132</v>
      </c>
      <c r="AW3182" s="24" t="s">
        <v>160</v>
      </c>
      <c r="BK3182" s="24">
        <v>200</v>
      </c>
      <c r="BL3182" s="24">
        <v>1800</v>
      </c>
      <c r="BP3182" s="395"/>
      <c r="BQ3182" s="395"/>
      <c r="BU3182" s="395"/>
      <c r="BV3182" s="395"/>
      <c r="BZ3182" s="395"/>
      <c r="CA3182" s="395"/>
      <c r="CE3182" s="548"/>
      <c r="CF3182" s="548"/>
      <c r="CG3182" s="548"/>
      <c r="CH3182" s="548"/>
      <c r="JD3182" s="249"/>
    </row>
    <row r="3183" spans="1:264" s="24" customFormat="1" x14ac:dyDescent="0.25">
      <c r="A3183" s="24">
        <v>150</v>
      </c>
      <c r="B3183" s="42" t="s">
        <v>4410</v>
      </c>
      <c r="C3183" s="24" t="s">
        <v>3084</v>
      </c>
      <c r="D3183" s="24" t="s">
        <v>3085</v>
      </c>
      <c r="E3183" s="24">
        <v>2007</v>
      </c>
      <c r="F3183" s="24">
        <v>1998</v>
      </c>
      <c r="G3183" s="24" t="s">
        <v>2738</v>
      </c>
      <c r="H3183" s="24" t="s">
        <v>3118</v>
      </c>
      <c r="I3183" s="24" t="s">
        <v>2996</v>
      </c>
      <c r="J3183" s="24">
        <v>-16.329999999999998</v>
      </c>
      <c r="K3183" s="24">
        <v>29.6</v>
      </c>
      <c r="L3183" s="24">
        <v>1177</v>
      </c>
      <c r="R3183" s="42" t="s">
        <v>1847</v>
      </c>
      <c r="S3183" s="42" t="s">
        <v>1728</v>
      </c>
      <c r="T3183" s="42"/>
      <c r="U3183" s="42" t="s">
        <v>3112</v>
      </c>
      <c r="V3183" s="42"/>
      <c r="W3183" s="42"/>
      <c r="X3183" s="42"/>
      <c r="Y3183" s="42"/>
      <c r="AA3183" s="321"/>
      <c r="AB3183" s="321"/>
      <c r="AC3183" s="24" t="s">
        <v>240</v>
      </c>
      <c r="AH3183" s="24" t="s">
        <v>3115</v>
      </c>
      <c r="AI3183" s="24" t="s">
        <v>577</v>
      </c>
      <c r="AJ3183" s="24" t="s">
        <v>1645</v>
      </c>
      <c r="AK3183" s="24" t="s">
        <v>132</v>
      </c>
      <c r="AW3183" s="24" t="s">
        <v>160</v>
      </c>
      <c r="BK3183" s="24">
        <v>200</v>
      </c>
      <c r="BL3183" s="24">
        <v>1400</v>
      </c>
      <c r="BP3183" s="395"/>
      <c r="BQ3183" s="395"/>
      <c r="BU3183" s="395"/>
      <c r="BV3183" s="395"/>
      <c r="BZ3183" s="395"/>
      <c r="CA3183" s="395"/>
      <c r="CE3183" s="548"/>
      <c r="CF3183" s="548"/>
      <c r="CG3183" s="548"/>
      <c r="CH3183" s="548"/>
      <c r="JD3183" s="249"/>
    </row>
    <row r="3184" spans="1:264" s="24" customFormat="1" x14ac:dyDescent="0.25">
      <c r="A3184" s="24">
        <v>150</v>
      </c>
      <c r="B3184" s="42" t="s">
        <v>4410</v>
      </c>
      <c r="C3184" s="24" t="s">
        <v>3084</v>
      </c>
      <c r="D3184" s="24" t="s">
        <v>3085</v>
      </c>
      <c r="E3184" s="24">
        <v>2007</v>
      </c>
      <c r="F3184" s="24">
        <v>1999</v>
      </c>
      <c r="G3184" s="24" t="s">
        <v>2738</v>
      </c>
      <c r="H3184" s="24" t="s">
        <v>3118</v>
      </c>
      <c r="I3184" s="24" t="s">
        <v>2996</v>
      </c>
      <c r="J3184" s="24">
        <v>-16.329999999999998</v>
      </c>
      <c r="K3184" s="24">
        <v>29.6</v>
      </c>
      <c r="L3184" s="24">
        <v>1177</v>
      </c>
      <c r="R3184" s="42" t="s">
        <v>1728</v>
      </c>
      <c r="S3184" s="42" t="s">
        <v>1728</v>
      </c>
      <c r="T3184" s="42"/>
      <c r="U3184" s="42" t="s">
        <v>3112</v>
      </c>
      <c r="V3184" s="42"/>
      <c r="W3184" s="42"/>
      <c r="X3184" s="42"/>
      <c r="Y3184" s="42"/>
      <c r="AA3184" s="321"/>
      <c r="AB3184" s="321"/>
      <c r="AC3184" s="24" t="s">
        <v>240</v>
      </c>
      <c r="AH3184" s="24" t="s">
        <v>3113</v>
      </c>
      <c r="AI3184" s="24" t="s">
        <v>577</v>
      </c>
      <c r="AJ3184" s="24" t="s">
        <v>1645</v>
      </c>
      <c r="AK3184" s="24" t="s">
        <v>132</v>
      </c>
      <c r="AW3184" s="24" t="s">
        <v>160</v>
      </c>
      <c r="BK3184" s="24">
        <v>200</v>
      </c>
      <c r="BL3184" s="24">
        <v>1200</v>
      </c>
      <c r="BP3184" s="395"/>
      <c r="BQ3184" s="395"/>
      <c r="BU3184" s="395"/>
      <c r="BV3184" s="395"/>
      <c r="BZ3184" s="395"/>
      <c r="CA3184" s="395"/>
      <c r="CE3184" s="548"/>
      <c r="CF3184" s="548"/>
      <c r="CG3184" s="548"/>
      <c r="CH3184" s="548"/>
      <c r="JD3184" s="249"/>
    </row>
    <row r="3185" spans="1:264" s="24" customFormat="1" x14ac:dyDescent="0.25">
      <c r="A3185" s="24">
        <v>150</v>
      </c>
      <c r="B3185" s="42" t="s">
        <v>4410</v>
      </c>
      <c r="C3185" s="24" t="s">
        <v>3084</v>
      </c>
      <c r="D3185" s="24" t="s">
        <v>3085</v>
      </c>
      <c r="E3185" s="24">
        <v>2007</v>
      </c>
      <c r="F3185" s="24">
        <v>1999</v>
      </c>
      <c r="G3185" s="24" t="s">
        <v>2738</v>
      </c>
      <c r="H3185" s="24" t="s">
        <v>3118</v>
      </c>
      <c r="I3185" s="24" t="s">
        <v>2996</v>
      </c>
      <c r="J3185" s="24">
        <v>-16.329999999999998</v>
      </c>
      <c r="K3185" s="24">
        <v>29.6</v>
      </c>
      <c r="L3185" s="24">
        <v>1177</v>
      </c>
      <c r="R3185" s="42" t="s">
        <v>1728</v>
      </c>
      <c r="S3185" s="42" t="s">
        <v>1728</v>
      </c>
      <c r="T3185" s="42"/>
      <c r="U3185" s="42" t="s">
        <v>3112</v>
      </c>
      <c r="V3185" s="42"/>
      <c r="W3185" s="42"/>
      <c r="X3185" s="42"/>
      <c r="Y3185" s="42"/>
      <c r="AA3185" s="321"/>
      <c r="AB3185" s="321"/>
      <c r="AC3185" s="24" t="s">
        <v>240</v>
      </c>
      <c r="AH3185" s="24" t="s">
        <v>3114</v>
      </c>
      <c r="AI3185" s="24" t="s">
        <v>577</v>
      </c>
      <c r="AJ3185" s="24" t="s">
        <v>1645</v>
      </c>
      <c r="AK3185" s="24" t="s">
        <v>132</v>
      </c>
      <c r="AW3185" s="24" t="s">
        <v>160</v>
      </c>
      <c r="BK3185" s="24">
        <v>200</v>
      </c>
      <c r="BL3185" s="24">
        <v>1400</v>
      </c>
      <c r="BP3185" s="395"/>
      <c r="BQ3185" s="395"/>
      <c r="BU3185" s="395"/>
      <c r="BV3185" s="395"/>
      <c r="BZ3185" s="395"/>
      <c r="CA3185" s="395"/>
      <c r="CE3185" s="548"/>
      <c r="CF3185" s="548"/>
      <c r="CG3185" s="548"/>
      <c r="CH3185" s="548"/>
      <c r="JD3185" s="249"/>
    </row>
    <row r="3186" spans="1:264" s="24" customFormat="1" x14ac:dyDescent="0.25">
      <c r="A3186" s="24">
        <v>150</v>
      </c>
      <c r="B3186" s="42" t="s">
        <v>4410</v>
      </c>
      <c r="C3186" s="24" t="s">
        <v>3084</v>
      </c>
      <c r="D3186" s="24" t="s">
        <v>3085</v>
      </c>
      <c r="E3186" s="24">
        <v>2007</v>
      </c>
      <c r="F3186" s="24">
        <v>1999</v>
      </c>
      <c r="G3186" s="24" t="s">
        <v>2738</v>
      </c>
      <c r="H3186" s="24" t="s">
        <v>3118</v>
      </c>
      <c r="I3186" s="24" t="s">
        <v>2996</v>
      </c>
      <c r="J3186" s="24">
        <v>-16.329999999999998</v>
      </c>
      <c r="K3186" s="24">
        <v>29.6</v>
      </c>
      <c r="L3186" s="24">
        <v>1177</v>
      </c>
      <c r="R3186" s="42" t="s">
        <v>1728</v>
      </c>
      <c r="S3186" s="42" t="s">
        <v>1728</v>
      </c>
      <c r="T3186" s="42"/>
      <c r="U3186" s="42" t="s">
        <v>3112</v>
      </c>
      <c r="V3186" s="42"/>
      <c r="W3186" s="42"/>
      <c r="X3186" s="42"/>
      <c r="Y3186" s="42"/>
      <c r="AA3186" s="321"/>
      <c r="AB3186" s="321"/>
      <c r="AC3186" s="24" t="s">
        <v>240</v>
      </c>
      <c r="AH3186" s="24" t="s">
        <v>3116</v>
      </c>
      <c r="AI3186" s="24" t="s">
        <v>577</v>
      </c>
      <c r="AJ3186" s="24" t="s">
        <v>1645</v>
      </c>
      <c r="AK3186" s="24" t="s">
        <v>132</v>
      </c>
      <c r="AW3186" s="24" t="s">
        <v>160</v>
      </c>
      <c r="BK3186" s="24">
        <v>200</v>
      </c>
      <c r="BL3186" s="24">
        <v>900</v>
      </c>
      <c r="BP3186" s="395"/>
      <c r="BQ3186" s="395"/>
      <c r="BU3186" s="395"/>
      <c r="BV3186" s="395"/>
      <c r="BZ3186" s="395"/>
      <c r="CA3186" s="395"/>
      <c r="CE3186" s="548"/>
      <c r="CF3186" s="548"/>
      <c r="CG3186" s="548"/>
      <c r="CH3186" s="548"/>
      <c r="JD3186" s="249"/>
    </row>
    <row r="3187" spans="1:264" s="24" customFormat="1" x14ac:dyDescent="0.25">
      <c r="A3187" s="24">
        <v>150</v>
      </c>
      <c r="B3187" s="42" t="s">
        <v>4410</v>
      </c>
      <c r="C3187" s="24" t="s">
        <v>3084</v>
      </c>
      <c r="D3187" s="24" t="s">
        <v>3085</v>
      </c>
      <c r="E3187" s="24">
        <v>2007</v>
      </c>
      <c r="F3187" s="24">
        <v>1999</v>
      </c>
      <c r="G3187" s="24" t="s">
        <v>2738</v>
      </c>
      <c r="H3187" s="24" t="s">
        <v>3118</v>
      </c>
      <c r="I3187" s="24" t="s">
        <v>2996</v>
      </c>
      <c r="J3187" s="24">
        <v>-16.329999999999998</v>
      </c>
      <c r="K3187" s="24">
        <v>29.6</v>
      </c>
      <c r="L3187" s="24">
        <v>1177</v>
      </c>
      <c r="R3187" s="42" t="s">
        <v>1728</v>
      </c>
      <c r="S3187" s="42" t="s">
        <v>1728</v>
      </c>
      <c r="T3187" s="42"/>
      <c r="U3187" s="42" t="s">
        <v>3112</v>
      </c>
      <c r="V3187" s="42"/>
      <c r="W3187" s="42"/>
      <c r="X3187" s="42"/>
      <c r="Y3187" s="42"/>
      <c r="AA3187" s="321"/>
      <c r="AB3187" s="321"/>
      <c r="AC3187" s="24" t="s">
        <v>240</v>
      </c>
      <c r="AH3187" s="24" t="s">
        <v>3115</v>
      </c>
      <c r="AI3187" s="24" t="s">
        <v>577</v>
      </c>
      <c r="AJ3187" s="24" t="s">
        <v>1645</v>
      </c>
      <c r="AK3187" s="24" t="s">
        <v>132</v>
      </c>
      <c r="AW3187" s="24" t="s">
        <v>160</v>
      </c>
      <c r="BK3187" s="24">
        <v>200</v>
      </c>
      <c r="BL3187" s="24">
        <v>800</v>
      </c>
      <c r="BP3187" s="395"/>
      <c r="BQ3187" s="395"/>
      <c r="BU3187" s="395"/>
      <c r="BV3187" s="395"/>
      <c r="BZ3187" s="395"/>
      <c r="CA3187" s="395"/>
      <c r="CE3187" s="548"/>
      <c r="CF3187" s="548"/>
      <c r="CG3187" s="548"/>
      <c r="CH3187" s="548"/>
      <c r="JD3187" s="249"/>
    </row>
    <row r="3188" spans="1:264" s="32" customFormat="1" x14ac:dyDescent="0.25">
      <c r="A3188" s="32">
        <v>150</v>
      </c>
      <c r="B3188" s="44" t="s">
        <v>4411</v>
      </c>
      <c r="C3188" s="32" t="s">
        <v>3084</v>
      </c>
      <c r="D3188" s="32" t="s">
        <v>3085</v>
      </c>
      <c r="E3188" s="32">
        <v>2007</v>
      </c>
      <c r="F3188" s="32">
        <v>1998</v>
      </c>
      <c r="G3188" s="32" t="s">
        <v>2738</v>
      </c>
      <c r="H3188" s="32" t="s">
        <v>3119</v>
      </c>
      <c r="I3188" s="32" t="s">
        <v>2829</v>
      </c>
      <c r="J3188" s="32">
        <v>-13.81</v>
      </c>
      <c r="K3188" s="32">
        <v>31.99</v>
      </c>
      <c r="L3188" s="32">
        <v>834</v>
      </c>
      <c r="R3188" s="44" t="s">
        <v>1977</v>
      </c>
      <c r="S3188" s="44" t="s">
        <v>1728</v>
      </c>
      <c r="T3188" s="44"/>
      <c r="U3188" s="44" t="s">
        <v>3117</v>
      </c>
      <c r="V3188" s="44"/>
      <c r="W3188" s="44"/>
      <c r="X3188" s="44"/>
      <c r="Y3188" s="44"/>
      <c r="AA3188" s="323"/>
      <c r="AB3188" s="323"/>
      <c r="AH3188" s="32" t="s">
        <v>2770</v>
      </c>
      <c r="AI3188" s="32" t="s">
        <v>577</v>
      </c>
      <c r="AJ3188" s="32" t="s">
        <v>1645</v>
      </c>
      <c r="AK3188" s="32" t="s">
        <v>132</v>
      </c>
      <c r="AW3188" s="32" t="s">
        <v>160</v>
      </c>
      <c r="BK3188" s="32">
        <v>800</v>
      </c>
      <c r="BL3188" s="32">
        <v>3600</v>
      </c>
      <c r="BP3188" s="397"/>
      <c r="BQ3188" s="397"/>
      <c r="BU3188" s="397"/>
      <c r="BV3188" s="397"/>
      <c r="BZ3188" s="397"/>
      <c r="CA3188" s="397"/>
      <c r="CE3188" s="550"/>
      <c r="CF3188" s="550"/>
      <c r="CG3188" s="550"/>
      <c r="CH3188" s="550"/>
      <c r="JD3188" s="243"/>
    </row>
    <row r="3189" spans="1:264" s="134" customFormat="1" x14ac:dyDescent="0.25">
      <c r="A3189" s="134">
        <v>150</v>
      </c>
      <c r="B3189" s="135" t="s">
        <v>4411</v>
      </c>
      <c r="C3189" s="134" t="s">
        <v>3084</v>
      </c>
      <c r="D3189" s="134" t="s">
        <v>3085</v>
      </c>
      <c r="E3189" s="134">
        <v>2007</v>
      </c>
      <c r="F3189" s="134">
        <v>1999</v>
      </c>
      <c r="G3189" s="134" t="s">
        <v>2738</v>
      </c>
      <c r="H3189" s="134" t="s">
        <v>3119</v>
      </c>
      <c r="I3189" s="134" t="s">
        <v>2829</v>
      </c>
      <c r="J3189" s="134">
        <v>-13.81</v>
      </c>
      <c r="K3189" s="134">
        <v>31.99</v>
      </c>
      <c r="L3189" s="134">
        <v>834</v>
      </c>
      <c r="R3189" s="135" t="s">
        <v>1847</v>
      </c>
      <c r="S3189" s="135" t="s">
        <v>1728</v>
      </c>
      <c r="T3189" s="135"/>
      <c r="U3189" s="135" t="s">
        <v>3117</v>
      </c>
      <c r="V3189" s="135"/>
      <c r="W3189" s="135"/>
      <c r="X3189" s="135"/>
      <c r="Y3189" s="135"/>
      <c r="AA3189" s="356"/>
      <c r="AB3189" s="356"/>
      <c r="AH3189" s="134" t="s">
        <v>2770</v>
      </c>
      <c r="AI3189" s="134" t="s">
        <v>577</v>
      </c>
      <c r="AJ3189" s="134" t="s">
        <v>1645</v>
      </c>
      <c r="AK3189" s="134" t="s">
        <v>132</v>
      </c>
      <c r="AW3189" s="134" t="s">
        <v>160</v>
      </c>
      <c r="BK3189" s="134">
        <v>1200</v>
      </c>
      <c r="BL3189" s="134">
        <v>2000</v>
      </c>
      <c r="BP3189" s="431"/>
      <c r="BQ3189" s="431"/>
      <c r="BU3189" s="431"/>
      <c r="BV3189" s="431"/>
      <c r="BZ3189" s="431"/>
      <c r="CA3189" s="431"/>
      <c r="CE3189" s="584"/>
      <c r="CF3189" s="584"/>
      <c r="CG3189" s="584"/>
      <c r="CH3189" s="584"/>
      <c r="JD3189" s="501"/>
    </row>
    <row r="3190" spans="1:264" s="32" customFormat="1" x14ac:dyDescent="0.25">
      <c r="A3190" s="32">
        <v>150</v>
      </c>
      <c r="B3190" s="44" t="s">
        <v>4411</v>
      </c>
      <c r="C3190" s="32" t="s">
        <v>3084</v>
      </c>
      <c r="D3190" s="32" t="s">
        <v>3085</v>
      </c>
      <c r="E3190" s="32">
        <v>2007</v>
      </c>
      <c r="F3190" s="32">
        <v>2000</v>
      </c>
      <c r="G3190" s="32" t="s">
        <v>2738</v>
      </c>
      <c r="H3190" s="32" t="s">
        <v>3119</v>
      </c>
      <c r="I3190" s="32" t="s">
        <v>2829</v>
      </c>
      <c r="J3190" s="32">
        <v>-13.81</v>
      </c>
      <c r="K3190" s="32">
        <v>31.99</v>
      </c>
      <c r="L3190" s="32">
        <v>834</v>
      </c>
      <c r="R3190" s="44" t="s">
        <v>1728</v>
      </c>
      <c r="S3190" s="44" t="s">
        <v>1728</v>
      </c>
      <c r="T3190" s="44"/>
      <c r="U3190" s="44" t="s">
        <v>3117</v>
      </c>
      <c r="V3190" s="44"/>
      <c r="W3190" s="44"/>
      <c r="X3190" s="44"/>
      <c r="Y3190" s="44"/>
      <c r="AA3190" s="323"/>
      <c r="AB3190" s="323"/>
      <c r="AH3190" s="32" t="s">
        <v>2770</v>
      </c>
      <c r="AI3190" s="32" t="s">
        <v>577</v>
      </c>
      <c r="AJ3190" s="32" t="s">
        <v>1645</v>
      </c>
      <c r="AK3190" s="32" t="s">
        <v>132</v>
      </c>
      <c r="AW3190" s="32" t="s">
        <v>160</v>
      </c>
      <c r="BK3190" s="32">
        <v>400</v>
      </c>
      <c r="BL3190" s="32">
        <v>1600</v>
      </c>
      <c r="BP3190" s="397"/>
      <c r="BQ3190" s="397"/>
      <c r="BU3190" s="397"/>
      <c r="BV3190" s="397"/>
      <c r="BZ3190" s="397"/>
      <c r="CA3190" s="397"/>
      <c r="CE3190" s="550"/>
      <c r="CF3190" s="550"/>
      <c r="CG3190" s="550"/>
      <c r="CH3190" s="550"/>
      <c r="JD3190" s="243"/>
    </row>
    <row r="3191" spans="1:264" s="24" customFormat="1" x14ac:dyDescent="0.25">
      <c r="A3191" s="24">
        <v>150</v>
      </c>
      <c r="B3191" s="42" t="s">
        <v>4411</v>
      </c>
      <c r="C3191" s="24" t="s">
        <v>3084</v>
      </c>
      <c r="D3191" s="24" t="s">
        <v>3085</v>
      </c>
      <c r="E3191" s="24">
        <v>2007</v>
      </c>
      <c r="F3191" s="24">
        <v>1998</v>
      </c>
      <c r="G3191" s="24" t="s">
        <v>2738</v>
      </c>
      <c r="H3191" s="24" t="s">
        <v>3119</v>
      </c>
      <c r="I3191" s="24" t="s">
        <v>2829</v>
      </c>
      <c r="J3191" s="24">
        <v>-13.81</v>
      </c>
      <c r="K3191" s="24">
        <v>31.99</v>
      </c>
      <c r="L3191" s="24">
        <v>834</v>
      </c>
      <c r="R3191" s="42" t="s">
        <v>1977</v>
      </c>
      <c r="S3191" s="42" t="s">
        <v>1728</v>
      </c>
      <c r="T3191" s="42"/>
      <c r="U3191" s="42" t="s">
        <v>3117</v>
      </c>
      <c r="V3191" s="42"/>
      <c r="W3191" s="42"/>
      <c r="X3191" s="42"/>
      <c r="Y3191" s="42"/>
      <c r="AA3191" s="321"/>
      <c r="AB3191" s="321"/>
      <c r="AH3191" s="24" t="s">
        <v>2770</v>
      </c>
      <c r="AI3191" s="24" t="s">
        <v>577</v>
      </c>
      <c r="AJ3191" s="24" t="s">
        <v>1645</v>
      </c>
      <c r="AK3191" s="24" t="s">
        <v>132</v>
      </c>
      <c r="AW3191" s="24" t="s">
        <v>160</v>
      </c>
      <c r="BK3191" s="24">
        <v>800</v>
      </c>
      <c r="BL3191" s="24">
        <v>3100</v>
      </c>
      <c r="BP3191" s="395"/>
      <c r="BQ3191" s="395"/>
      <c r="BU3191" s="395"/>
      <c r="BV3191" s="395"/>
      <c r="BZ3191" s="395"/>
      <c r="CA3191" s="395"/>
      <c r="CE3191" s="548"/>
      <c r="CF3191" s="548"/>
      <c r="CG3191" s="548"/>
      <c r="CH3191" s="548"/>
      <c r="JD3191" s="249"/>
    </row>
    <row r="3192" spans="1:264" s="136" customFormat="1" x14ac:dyDescent="0.25">
      <c r="A3192" s="136">
        <v>150</v>
      </c>
      <c r="B3192" s="137" t="s">
        <v>4411</v>
      </c>
      <c r="C3192" s="136" t="s">
        <v>3084</v>
      </c>
      <c r="D3192" s="136" t="s">
        <v>3085</v>
      </c>
      <c r="E3192" s="136">
        <v>2007</v>
      </c>
      <c r="F3192" s="136">
        <v>1999</v>
      </c>
      <c r="G3192" s="136" t="s">
        <v>2738</v>
      </c>
      <c r="H3192" s="136" t="s">
        <v>3119</v>
      </c>
      <c r="I3192" s="136" t="s">
        <v>2829</v>
      </c>
      <c r="J3192" s="136">
        <v>-13.81</v>
      </c>
      <c r="K3192" s="136">
        <v>31.99</v>
      </c>
      <c r="L3192" s="136">
        <v>834</v>
      </c>
      <c r="R3192" s="137" t="s">
        <v>1847</v>
      </c>
      <c r="S3192" s="137" t="s">
        <v>1728</v>
      </c>
      <c r="T3192" s="137"/>
      <c r="U3192" s="137" t="s">
        <v>3117</v>
      </c>
      <c r="V3192" s="137"/>
      <c r="W3192" s="137"/>
      <c r="X3192" s="137"/>
      <c r="Y3192" s="137"/>
      <c r="AA3192" s="357"/>
      <c r="AB3192" s="357"/>
      <c r="AH3192" s="136" t="s">
        <v>2770</v>
      </c>
      <c r="AI3192" s="136" t="s">
        <v>577</v>
      </c>
      <c r="AJ3192" s="136" t="s">
        <v>1645</v>
      </c>
      <c r="AK3192" s="136" t="s">
        <v>132</v>
      </c>
      <c r="AW3192" s="136" t="s">
        <v>160</v>
      </c>
      <c r="BK3192" s="136">
        <v>100</v>
      </c>
      <c r="BL3192" s="136">
        <v>2400</v>
      </c>
      <c r="BP3192" s="432"/>
      <c r="BQ3192" s="432"/>
      <c r="BU3192" s="432"/>
      <c r="BV3192" s="432"/>
      <c r="BZ3192" s="432"/>
      <c r="CA3192" s="432"/>
      <c r="CE3192" s="585"/>
      <c r="CF3192" s="585"/>
      <c r="CG3192" s="585"/>
      <c r="CH3192" s="585"/>
      <c r="JD3192" s="500"/>
    </row>
    <row r="3193" spans="1:264" s="24" customFormat="1" x14ac:dyDescent="0.25">
      <c r="A3193" s="24">
        <v>150</v>
      </c>
      <c r="B3193" s="42" t="s">
        <v>4411</v>
      </c>
      <c r="C3193" s="24" t="s">
        <v>3084</v>
      </c>
      <c r="D3193" s="24" t="s">
        <v>3085</v>
      </c>
      <c r="E3193" s="24">
        <v>2007</v>
      </c>
      <c r="F3193" s="24">
        <v>2000</v>
      </c>
      <c r="G3193" s="24" t="s">
        <v>2738</v>
      </c>
      <c r="H3193" s="24" t="s">
        <v>3119</v>
      </c>
      <c r="I3193" s="24" t="s">
        <v>2829</v>
      </c>
      <c r="J3193" s="24">
        <v>-13.81</v>
      </c>
      <c r="K3193" s="24">
        <v>31.99</v>
      </c>
      <c r="L3193" s="24">
        <v>834</v>
      </c>
      <c r="R3193" s="42" t="s">
        <v>1728</v>
      </c>
      <c r="S3193" s="42" t="s">
        <v>1728</v>
      </c>
      <c r="T3193" s="42"/>
      <c r="U3193" s="42" t="s">
        <v>3117</v>
      </c>
      <c r="V3193" s="42"/>
      <c r="W3193" s="42"/>
      <c r="X3193" s="42"/>
      <c r="Y3193" s="42"/>
      <c r="AA3193" s="321"/>
      <c r="AB3193" s="321"/>
      <c r="AH3193" s="24" t="s">
        <v>2770</v>
      </c>
      <c r="AI3193" s="24" t="s">
        <v>577</v>
      </c>
      <c r="AJ3193" s="24" t="s">
        <v>1645</v>
      </c>
      <c r="AK3193" s="24" t="s">
        <v>132</v>
      </c>
      <c r="AW3193" s="24" t="s">
        <v>160</v>
      </c>
      <c r="BK3193" s="24">
        <v>500</v>
      </c>
      <c r="BL3193" s="24">
        <v>1300</v>
      </c>
      <c r="BP3193" s="395"/>
      <c r="BQ3193" s="395"/>
      <c r="BU3193" s="395"/>
      <c r="BV3193" s="395"/>
      <c r="BZ3193" s="395"/>
      <c r="CA3193" s="395"/>
      <c r="CE3193" s="548"/>
      <c r="CF3193" s="548"/>
      <c r="CG3193" s="548"/>
      <c r="CH3193" s="548"/>
      <c r="JD3193" s="249"/>
    </row>
    <row r="3194" spans="1:264" x14ac:dyDescent="0.25">
      <c r="A3194" s="37">
        <v>151</v>
      </c>
      <c r="B3194" s="50" t="s">
        <v>4412</v>
      </c>
      <c r="C3194" s="37" t="s">
        <v>3128</v>
      </c>
      <c r="D3194" s="37" t="s">
        <v>3129</v>
      </c>
      <c r="E3194" s="37">
        <v>1999</v>
      </c>
      <c r="F3194" s="37">
        <v>1993</v>
      </c>
      <c r="G3194" s="37" t="s">
        <v>418</v>
      </c>
      <c r="H3194" s="37" t="s">
        <v>3130</v>
      </c>
      <c r="I3194" s="37" t="s">
        <v>2836</v>
      </c>
      <c r="J3194" s="37">
        <v>0.1</v>
      </c>
      <c r="K3194" s="37">
        <f>34+34/60</f>
        <v>34.56666666666667</v>
      </c>
      <c r="L3194" s="37">
        <v>1420</v>
      </c>
      <c r="P3194" s="37">
        <v>1800</v>
      </c>
      <c r="R3194" s="50" t="s">
        <v>1847</v>
      </c>
      <c r="S3194" s="50" t="s">
        <v>1858</v>
      </c>
      <c r="U3194" s="50" t="s">
        <v>2881</v>
      </c>
      <c r="V3194" s="50" t="s">
        <v>1382</v>
      </c>
      <c r="W3194" s="50" t="s">
        <v>1717</v>
      </c>
      <c r="X3194" s="50" t="s">
        <v>1382</v>
      </c>
      <c r="Y3194" s="50" t="s">
        <v>1382</v>
      </c>
      <c r="AA3194" s="330">
        <v>26</v>
      </c>
      <c r="AB3194" s="330">
        <f>100-26-46</f>
        <v>28</v>
      </c>
      <c r="AC3194" s="37" t="s">
        <v>796</v>
      </c>
      <c r="AD3194" s="37">
        <v>5.0999999999999996</v>
      </c>
      <c r="AE3194" s="37">
        <v>1.5</v>
      </c>
      <c r="AG3194" s="37" t="s">
        <v>3132</v>
      </c>
      <c r="AH3194" s="37" t="s">
        <v>2770</v>
      </c>
      <c r="AI3194" s="37" t="s">
        <v>577</v>
      </c>
      <c r="AJ3194" s="37" t="s">
        <v>1645</v>
      </c>
      <c r="AK3194" s="37" t="s">
        <v>132</v>
      </c>
      <c r="AW3194" s="37" t="s">
        <v>160</v>
      </c>
      <c r="AX3194" s="37">
        <v>4</v>
      </c>
      <c r="AZ3194" s="37" t="s">
        <v>141</v>
      </c>
      <c r="BK3194" s="37">
        <v>3700</v>
      </c>
      <c r="BL3194" s="37">
        <v>7200</v>
      </c>
      <c r="BM3194" s="37">
        <v>1100</v>
      </c>
      <c r="BN3194" s="37">
        <v>1100</v>
      </c>
      <c r="CE3194" s="559"/>
      <c r="CF3194" s="559"/>
      <c r="CG3194" s="556"/>
      <c r="CH3194" s="556"/>
    </row>
    <row r="3195" spans="1:264" s="126" customFormat="1" x14ac:dyDescent="0.25">
      <c r="A3195" s="126">
        <v>151</v>
      </c>
      <c r="B3195" s="478" t="s">
        <v>4413</v>
      </c>
      <c r="C3195" s="126" t="s">
        <v>3128</v>
      </c>
      <c r="D3195" s="126" t="s">
        <v>3129</v>
      </c>
      <c r="E3195" s="126">
        <v>1999</v>
      </c>
      <c r="F3195" s="126">
        <v>1994</v>
      </c>
      <c r="G3195" s="126" t="s">
        <v>418</v>
      </c>
      <c r="H3195" s="126" t="s">
        <v>3131</v>
      </c>
      <c r="I3195" s="126" t="s">
        <v>2836</v>
      </c>
      <c r="J3195" s="126">
        <f>-1-31/60</f>
        <v>-1.5166666666666666</v>
      </c>
      <c r="K3195" s="126">
        <f>37+19/60</f>
        <v>37.31666666666667</v>
      </c>
      <c r="L3195" s="126">
        <v>1920</v>
      </c>
      <c r="P3195" s="126">
        <v>900</v>
      </c>
      <c r="R3195" s="478" t="s">
        <v>1847</v>
      </c>
      <c r="S3195" s="478" t="s">
        <v>1858</v>
      </c>
      <c r="T3195" s="478"/>
      <c r="U3195" s="478" t="s">
        <v>2881</v>
      </c>
      <c r="V3195" s="478" t="s">
        <v>1382</v>
      </c>
      <c r="W3195" s="478" t="s">
        <v>1717</v>
      </c>
      <c r="X3195" s="478" t="s">
        <v>1382</v>
      </c>
      <c r="Y3195" s="478" t="s">
        <v>1382</v>
      </c>
      <c r="AA3195" s="479">
        <v>56</v>
      </c>
      <c r="AB3195" s="479">
        <f>100-56-29</f>
        <v>15</v>
      </c>
      <c r="AC3195" s="126" t="s">
        <v>518</v>
      </c>
      <c r="AD3195" s="126">
        <v>5.7</v>
      </c>
      <c r="AE3195" s="126">
        <v>0.8</v>
      </c>
      <c r="AG3195" s="126" t="s">
        <v>2971</v>
      </c>
      <c r="AH3195" s="126" t="s">
        <v>2770</v>
      </c>
      <c r="AI3195" s="126" t="s">
        <v>577</v>
      </c>
      <c r="AJ3195" s="126" t="s">
        <v>1645</v>
      </c>
      <c r="AK3195" s="126" t="s">
        <v>132</v>
      </c>
      <c r="AW3195" s="126" t="s">
        <v>160</v>
      </c>
      <c r="AX3195" s="126">
        <v>4</v>
      </c>
      <c r="AZ3195" s="126" t="s">
        <v>141</v>
      </c>
      <c r="BE3195" s="126" t="s">
        <v>3134</v>
      </c>
      <c r="BK3195" s="126">
        <v>800</v>
      </c>
      <c r="BL3195" s="126">
        <v>1500</v>
      </c>
      <c r="BP3195" s="481"/>
      <c r="BQ3195" s="481"/>
      <c r="BU3195" s="481"/>
      <c r="BV3195" s="481"/>
      <c r="BZ3195" s="481"/>
      <c r="CA3195" s="481"/>
      <c r="CE3195" s="605"/>
      <c r="CF3195" s="605"/>
      <c r="CG3195" s="605"/>
      <c r="CH3195" s="605"/>
      <c r="CO3195" s="126">
        <v>0.77</v>
      </c>
      <c r="CP3195" s="126">
        <v>3.03</v>
      </c>
      <c r="CS3195" s="126" t="s">
        <v>3133</v>
      </c>
      <c r="JD3195" s="480"/>
    </row>
    <row r="3196" spans="1:264" s="126" customFormat="1" x14ac:dyDescent="0.25">
      <c r="A3196" s="126">
        <v>151</v>
      </c>
      <c r="B3196" s="478" t="s">
        <v>4413</v>
      </c>
      <c r="C3196" s="126" t="s">
        <v>3128</v>
      </c>
      <c r="D3196" s="126" t="s">
        <v>3129</v>
      </c>
      <c r="E3196" s="126">
        <v>1999</v>
      </c>
      <c r="F3196" s="126">
        <v>1994</v>
      </c>
      <c r="G3196" s="126" t="s">
        <v>418</v>
      </c>
      <c r="H3196" s="126" t="s">
        <v>3131</v>
      </c>
      <c r="I3196" s="126" t="s">
        <v>2836</v>
      </c>
      <c r="J3196" s="126">
        <f>-1-31/60</f>
        <v>-1.5166666666666666</v>
      </c>
      <c r="K3196" s="126">
        <f>37+19/60</f>
        <v>37.31666666666667</v>
      </c>
      <c r="L3196" s="126">
        <v>1920</v>
      </c>
      <c r="P3196" s="126">
        <v>900</v>
      </c>
      <c r="R3196" s="478" t="s">
        <v>1847</v>
      </c>
      <c r="S3196" s="478" t="s">
        <v>1858</v>
      </c>
      <c r="T3196" s="478"/>
      <c r="U3196" s="478" t="s">
        <v>2881</v>
      </c>
      <c r="V3196" s="478" t="s">
        <v>1382</v>
      </c>
      <c r="W3196" s="478" t="s">
        <v>1717</v>
      </c>
      <c r="X3196" s="478" t="s">
        <v>1382</v>
      </c>
      <c r="Y3196" s="478" t="s">
        <v>1382</v>
      </c>
      <c r="AA3196" s="479">
        <v>56</v>
      </c>
      <c r="AB3196" s="479">
        <f>100-56-29</f>
        <v>15</v>
      </c>
      <c r="AC3196" s="126" t="s">
        <v>518</v>
      </c>
      <c r="AD3196" s="126">
        <v>5.7</v>
      </c>
      <c r="AE3196" s="126">
        <v>0.8</v>
      </c>
      <c r="AG3196" s="126" t="s">
        <v>2971</v>
      </c>
      <c r="AH3196" s="126" t="s">
        <v>2770</v>
      </c>
      <c r="AI3196" s="126" t="s">
        <v>577</v>
      </c>
      <c r="AJ3196" s="126" t="s">
        <v>1645</v>
      </c>
      <c r="AK3196" s="126" t="s">
        <v>132</v>
      </c>
      <c r="AW3196" s="126" t="s">
        <v>160</v>
      </c>
      <c r="AX3196" s="126">
        <v>4</v>
      </c>
      <c r="AZ3196" s="126" t="s">
        <v>141</v>
      </c>
      <c r="BE3196" s="126" t="s">
        <v>3135</v>
      </c>
      <c r="BK3196" s="126">
        <v>2800</v>
      </c>
      <c r="BL3196" s="126">
        <v>4000</v>
      </c>
      <c r="BM3196" s="126">
        <v>900</v>
      </c>
      <c r="BN3196" s="126">
        <v>900</v>
      </c>
      <c r="BP3196" s="481"/>
      <c r="BQ3196" s="481"/>
      <c r="BU3196" s="481"/>
      <c r="BV3196" s="481"/>
      <c r="BZ3196" s="481"/>
      <c r="CA3196" s="481"/>
      <c r="CE3196" s="605"/>
      <c r="CF3196" s="605"/>
      <c r="CG3196" s="605"/>
      <c r="CH3196" s="605"/>
      <c r="JD3196" s="480"/>
    </row>
    <row r="3197" spans="1:264" s="24" customFormat="1" x14ac:dyDescent="0.25">
      <c r="A3197" s="24">
        <v>152</v>
      </c>
      <c r="B3197" s="42" t="s">
        <v>4414</v>
      </c>
      <c r="C3197" s="24" t="s">
        <v>3138</v>
      </c>
      <c r="D3197" s="24" t="s">
        <v>3139</v>
      </c>
      <c r="E3197" s="24">
        <v>2003</v>
      </c>
      <c r="F3197" s="24">
        <v>1997</v>
      </c>
      <c r="G3197" s="24" t="s">
        <v>2696</v>
      </c>
      <c r="H3197" s="24" t="s">
        <v>3136</v>
      </c>
      <c r="I3197" s="24" t="s">
        <v>2823</v>
      </c>
      <c r="J3197" s="24">
        <v>9.08</v>
      </c>
      <c r="K3197" s="24">
        <v>8.67</v>
      </c>
      <c r="P3197" s="24">
        <v>1500</v>
      </c>
      <c r="R3197" s="42" t="s">
        <v>1860</v>
      </c>
      <c r="S3197" s="42" t="s">
        <v>1917</v>
      </c>
      <c r="T3197" s="42"/>
      <c r="U3197" s="42" t="s">
        <v>3137</v>
      </c>
      <c r="V3197" s="42"/>
      <c r="W3197" s="42"/>
      <c r="X3197" s="42"/>
      <c r="Y3197" s="42"/>
      <c r="AA3197" s="321"/>
      <c r="AB3197" s="321"/>
      <c r="AH3197" s="24" t="s">
        <v>3140</v>
      </c>
      <c r="AI3197" s="24" t="s">
        <v>1583</v>
      </c>
      <c r="AJ3197" s="24" t="s">
        <v>1645</v>
      </c>
      <c r="AK3197" s="24" t="s">
        <v>132</v>
      </c>
      <c r="AW3197" s="24" t="s">
        <v>160</v>
      </c>
      <c r="BF3197" s="24">
        <v>1510</v>
      </c>
      <c r="BG3197" s="24">
        <v>2710</v>
      </c>
      <c r="BH3197" s="24">
        <v>390</v>
      </c>
      <c r="BI3197" s="24">
        <v>390</v>
      </c>
      <c r="BK3197" s="24">
        <v>171</v>
      </c>
      <c r="BL3197" s="24">
        <v>388</v>
      </c>
      <c r="BM3197" s="24">
        <v>59</v>
      </c>
      <c r="BN3197" s="24">
        <v>59</v>
      </c>
      <c r="BP3197" s="395"/>
      <c r="BQ3197" s="395"/>
      <c r="BU3197" s="395"/>
      <c r="BV3197" s="395"/>
      <c r="BZ3197" s="395"/>
      <c r="CA3197" s="395"/>
      <c r="CE3197" s="548"/>
      <c r="CF3197" s="548"/>
      <c r="CG3197" s="548"/>
      <c r="CH3197" s="548"/>
      <c r="JD3197" s="249"/>
    </row>
    <row r="3198" spans="1:264" s="24" customFormat="1" x14ac:dyDescent="0.25">
      <c r="A3198" s="24">
        <v>152</v>
      </c>
      <c r="B3198" s="42" t="s">
        <v>4415</v>
      </c>
      <c r="C3198" s="24" t="s">
        <v>3138</v>
      </c>
      <c r="D3198" s="24" t="s">
        <v>3139</v>
      </c>
      <c r="E3198" s="24">
        <v>2003</v>
      </c>
      <c r="F3198" s="24">
        <v>1997</v>
      </c>
      <c r="G3198" s="24" t="s">
        <v>2696</v>
      </c>
      <c r="H3198" s="24" t="s">
        <v>3136</v>
      </c>
      <c r="I3198" s="24" t="s">
        <v>2823</v>
      </c>
      <c r="J3198" s="24">
        <v>9.08</v>
      </c>
      <c r="K3198" s="24">
        <v>8.67</v>
      </c>
      <c r="P3198" s="24">
        <v>1500</v>
      </c>
      <c r="R3198" s="42" t="s">
        <v>1860</v>
      </c>
      <c r="S3198" s="42" t="s">
        <v>1917</v>
      </c>
      <c r="T3198" s="42"/>
      <c r="U3198" s="42" t="s">
        <v>3137</v>
      </c>
      <c r="V3198" s="42"/>
      <c r="W3198" s="42"/>
      <c r="X3198" s="42"/>
      <c r="Y3198" s="42"/>
      <c r="AA3198" s="321"/>
      <c r="AB3198" s="321"/>
      <c r="AH3198" s="24" t="s">
        <v>2326</v>
      </c>
      <c r="AI3198" s="24" t="s">
        <v>577</v>
      </c>
      <c r="AJ3198" s="24" t="s">
        <v>1645</v>
      </c>
      <c r="AK3198" s="24" t="s">
        <v>132</v>
      </c>
      <c r="AW3198" s="24" t="s">
        <v>160</v>
      </c>
      <c r="BF3198" s="24">
        <v>1510</v>
      </c>
      <c r="BG3198" s="24">
        <v>1870</v>
      </c>
      <c r="BH3198" s="24">
        <v>390</v>
      </c>
      <c r="BI3198" s="24">
        <v>390</v>
      </c>
      <c r="BK3198" s="24">
        <v>171</v>
      </c>
      <c r="BL3198" s="24">
        <v>206</v>
      </c>
      <c r="BM3198" s="24">
        <v>59</v>
      </c>
      <c r="BN3198" s="24">
        <v>59</v>
      </c>
      <c r="BP3198" s="395"/>
      <c r="BQ3198" s="395"/>
      <c r="BU3198" s="395"/>
      <c r="BV3198" s="395"/>
      <c r="BZ3198" s="395"/>
      <c r="CA3198" s="395"/>
      <c r="CE3198" s="548"/>
      <c r="CF3198" s="548"/>
      <c r="CG3198" s="548"/>
      <c r="CH3198" s="548"/>
      <c r="JD3198" s="249"/>
    </row>
    <row r="3199" spans="1:264" s="24" customFormat="1" x14ac:dyDescent="0.25">
      <c r="A3199" s="24">
        <v>152</v>
      </c>
      <c r="B3199" s="42" t="s">
        <v>4414</v>
      </c>
      <c r="C3199" s="24" t="s">
        <v>3138</v>
      </c>
      <c r="D3199" s="24" t="s">
        <v>3139</v>
      </c>
      <c r="E3199" s="24">
        <v>2003</v>
      </c>
      <c r="F3199" s="24">
        <v>1998</v>
      </c>
      <c r="G3199" s="24" t="s">
        <v>2696</v>
      </c>
      <c r="H3199" s="24" t="s">
        <v>3136</v>
      </c>
      <c r="I3199" s="24" t="s">
        <v>2823</v>
      </c>
      <c r="J3199" s="24">
        <v>9.08</v>
      </c>
      <c r="K3199" s="24">
        <v>8.67</v>
      </c>
      <c r="P3199" s="24">
        <v>1500</v>
      </c>
      <c r="R3199" s="42" t="s">
        <v>1860</v>
      </c>
      <c r="S3199" s="42" t="s">
        <v>1917</v>
      </c>
      <c r="T3199" s="42"/>
      <c r="U3199" s="42" t="s">
        <v>3137</v>
      </c>
      <c r="V3199" s="42"/>
      <c r="W3199" s="42"/>
      <c r="X3199" s="42"/>
      <c r="Y3199" s="42"/>
      <c r="AA3199" s="321"/>
      <c r="AB3199" s="321"/>
      <c r="AH3199" s="24" t="s">
        <v>3140</v>
      </c>
      <c r="AI3199" s="24" t="s">
        <v>1583</v>
      </c>
      <c r="AJ3199" s="24" t="s">
        <v>1645</v>
      </c>
      <c r="AK3199" s="24" t="s">
        <v>132</v>
      </c>
      <c r="AW3199" s="24" t="s">
        <v>160</v>
      </c>
      <c r="BF3199" s="24">
        <v>2730</v>
      </c>
      <c r="BG3199" s="24">
        <v>4530</v>
      </c>
      <c r="BH3199" s="24">
        <v>530</v>
      </c>
      <c r="BI3199" s="24">
        <v>530</v>
      </c>
      <c r="BK3199" s="24">
        <v>141</v>
      </c>
      <c r="BL3199" s="24">
        <v>333</v>
      </c>
      <c r="BM3199" s="24">
        <v>55</v>
      </c>
      <c r="BN3199" s="24">
        <v>55</v>
      </c>
      <c r="BP3199" s="395"/>
      <c r="BQ3199" s="395"/>
      <c r="BU3199" s="395"/>
      <c r="BV3199" s="395"/>
      <c r="BZ3199" s="395"/>
      <c r="CA3199" s="395"/>
      <c r="CE3199" s="548"/>
      <c r="CF3199" s="548"/>
      <c r="CG3199" s="548"/>
      <c r="CH3199" s="548"/>
      <c r="JD3199" s="249"/>
    </row>
    <row r="3200" spans="1:264" s="24" customFormat="1" x14ac:dyDescent="0.25">
      <c r="A3200" s="24">
        <v>152</v>
      </c>
      <c r="B3200" s="42" t="s">
        <v>4415</v>
      </c>
      <c r="C3200" s="24" t="s">
        <v>3138</v>
      </c>
      <c r="D3200" s="24" t="s">
        <v>3139</v>
      </c>
      <c r="E3200" s="24">
        <v>2003</v>
      </c>
      <c r="F3200" s="24">
        <v>1998</v>
      </c>
      <c r="G3200" s="24" t="s">
        <v>2696</v>
      </c>
      <c r="H3200" s="24" t="s">
        <v>3136</v>
      </c>
      <c r="I3200" s="24" t="s">
        <v>2823</v>
      </c>
      <c r="J3200" s="24">
        <v>9.08</v>
      </c>
      <c r="K3200" s="24">
        <v>8.67</v>
      </c>
      <c r="P3200" s="24">
        <v>1500</v>
      </c>
      <c r="R3200" s="42" t="s">
        <v>1860</v>
      </c>
      <c r="S3200" s="42" t="s">
        <v>1917</v>
      </c>
      <c r="T3200" s="42"/>
      <c r="U3200" s="42" t="s">
        <v>3137</v>
      </c>
      <c r="V3200" s="42"/>
      <c r="W3200" s="42"/>
      <c r="X3200" s="42"/>
      <c r="Y3200" s="42"/>
      <c r="AA3200" s="321"/>
      <c r="AB3200" s="321"/>
      <c r="AH3200" s="24" t="s">
        <v>2326</v>
      </c>
      <c r="AI3200" s="24" t="s">
        <v>577</v>
      </c>
      <c r="AJ3200" s="24" t="s">
        <v>1645</v>
      </c>
      <c r="AK3200" s="24" t="s">
        <v>132</v>
      </c>
      <c r="AW3200" s="24" t="s">
        <v>160</v>
      </c>
      <c r="BF3200" s="24">
        <v>2730</v>
      </c>
      <c r="BG3200" s="24">
        <v>2950</v>
      </c>
      <c r="BH3200" s="24">
        <v>530</v>
      </c>
      <c r="BI3200" s="24">
        <v>530</v>
      </c>
      <c r="BK3200" s="24">
        <v>141</v>
      </c>
      <c r="BL3200" s="24">
        <v>171</v>
      </c>
      <c r="BM3200" s="24">
        <v>55</v>
      </c>
      <c r="BN3200" s="24">
        <v>55</v>
      </c>
      <c r="BP3200" s="395"/>
      <c r="BQ3200" s="395"/>
      <c r="BU3200" s="395"/>
      <c r="BV3200" s="395"/>
      <c r="BZ3200" s="395"/>
      <c r="CA3200" s="395"/>
      <c r="CE3200" s="548"/>
      <c r="CF3200" s="548"/>
      <c r="CG3200" s="548"/>
      <c r="CH3200" s="548"/>
      <c r="JD3200" s="249"/>
    </row>
    <row r="3201" spans="1:264" s="126" customFormat="1" x14ac:dyDescent="0.25">
      <c r="A3201" s="126">
        <v>153</v>
      </c>
      <c r="B3201" s="478" t="s">
        <v>4416</v>
      </c>
      <c r="C3201" s="126" t="s">
        <v>3142</v>
      </c>
      <c r="D3201" s="126" t="s">
        <v>3141</v>
      </c>
      <c r="E3201" s="126">
        <v>1999</v>
      </c>
      <c r="F3201" s="126">
        <v>1984</v>
      </c>
      <c r="G3201" s="126" t="s">
        <v>3145</v>
      </c>
      <c r="H3201" s="126" t="s">
        <v>3144</v>
      </c>
      <c r="I3201" s="126" t="s">
        <v>3146</v>
      </c>
      <c r="J3201" s="126">
        <v>11.1</v>
      </c>
      <c r="K3201" s="126">
        <f t="shared" ref="K3201:K3232" si="444">-4-23/60</f>
        <v>-4.3833333333333337</v>
      </c>
      <c r="L3201" s="126">
        <v>405</v>
      </c>
      <c r="P3201" s="126">
        <f t="shared" ref="P3201:P3232" si="445">(900+1200)/2</f>
        <v>1050</v>
      </c>
      <c r="R3201" s="478" t="s">
        <v>1847</v>
      </c>
      <c r="S3201" s="478" t="s">
        <v>1858</v>
      </c>
      <c r="T3201" s="478"/>
      <c r="U3201" s="478" t="s">
        <v>3143</v>
      </c>
      <c r="V3201" s="478" t="s">
        <v>1400</v>
      </c>
      <c r="W3201" s="478" t="s">
        <v>1727</v>
      </c>
      <c r="X3201" s="478" t="s">
        <v>1400</v>
      </c>
      <c r="Y3201" s="478" t="s">
        <v>1400</v>
      </c>
      <c r="AA3201" s="479"/>
      <c r="AB3201" s="479"/>
      <c r="AG3201" s="126" t="s">
        <v>3147</v>
      </c>
      <c r="AH3201" s="126" t="s">
        <v>2326</v>
      </c>
      <c r="AI3201" s="126" t="s">
        <v>577</v>
      </c>
      <c r="AJ3201" s="126" t="s">
        <v>1645</v>
      </c>
      <c r="AK3201" s="126" t="s">
        <v>132</v>
      </c>
      <c r="AT3201" s="126" t="s">
        <v>3149</v>
      </c>
      <c r="AU3201" s="126" t="s">
        <v>3149</v>
      </c>
      <c r="AV3201" s="126" t="s">
        <v>177</v>
      </c>
      <c r="AW3201" s="126" t="s">
        <v>3148</v>
      </c>
      <c r="BK3201" s="126">
        <v>2087</v>
      </c>
      <c r="BL3201" s="126">
        <v>2819</v>
      </c>
      <c r="BP3201" s="481"/>
      <c r="BQ3201" s="481"/>
      <c r="BU3201" s="481">
        <v>0.41</v>
      </c>
      <c r="BV3201" s="481">
        <v>0.49</v>
      </c>
      <c r="BZ3201" s="481"/>
      <c r="CA3201" s="481"/>
      <c r="CE3201" s="605">
        <v>0.41</v>
      </c>
      <c r="CF3201" s="605">
        <v>0.49</v>
      </c>
      <c r="CG3201" s="605"/>
      <c r="CH3201" s="605"/>
      <c r="CI3201" s="126" t="s">
        <v>4546</v>
      </c>
      <c r="CJ3201" s="126">
        <v>0.34</v>
      </c>
      <c r="CK3201" s="126">
        <v>0.45</v>
      </c>
      <c r="CN3201" s="126" t="s">
        <v>381</v>
      </c>
      <c r="CO3201" s="126">
        <v>4.41</v>
      </c>
      <c r="CP3201" s="126">
        <v>3.44</v>
      </c>
      <c r="CS3201" s="126" t="s">
        <v>3153</v>
      </c>
      <c r="JD3201" s="480"/>
    </row>
    <row r="3202" spans="1:264" s="126" customFormat="1" x14ac:dyDescent="0.25">
      <c r="A3202" s="126">
        <v>153</v>
      </c>
      <c r="B3202" s="478" t="s">
        <v>4416</v>
      </c>
      <c r="C3202" s="126" t="s">
        <v>3142</v>
      </c>
      <c r="D3202" s="126" t="s">
        <v>3141</v>
      </c>
      <c r="E3202" s="126">
        <v>1999</v>
      </c>
      <c r="F3202" s="126">
        <v>1984</v>
      </c>
      <c r="G3202" s="126" t="s">
        <v>3145</v>
      </c>
      <c r="H3202" s="126" t="s">
        <v>3144</v>
      </c>
      <c r="I3202" s="126" t="s">
        <v>3146</v>
      </c>
      <c r="J3202" s="126">
        <v>11.1</v>
      </c>
      <c r="K3202" s="126">
        <f t="shared" si="444"/>
        <v>-4.3833333333333337</v>
      </c>
      <c r="L3202" s="126">
        <v>405</v>
      </c>
      <c r="P3202" s="126">
        <f t="shared" si="445"/>
        <v>1050</v>
      </c>
      <c r="R3202" s="478" t="s">
        <v>1847</v>
      </c>
      <c r="S3202" s="478" t="s">
        <v>1858</v>
      </c>
      <c r="T3202" s="478"/>
      <c r="U3202" s="478" t="s">
        <v>3143</v>
      </c>
      <c r="V3202" s="478" t="s">
        <v>1400</v>
      </c>
      <c r="W3202" s="478" t="s">
        <v>1727</v>
      </c>
      <c r="X3202" s="478" t="s">
        <v>1400</v>
      </c>
      <c r="Y3202" s="478" t="s">
        <v>1400</v>
      </c>
      <c r="AA3202" s="479"/>
      <c r="AB3202" s="479"/>
      <c r="AG3202" s="126" t="s">
        <v>3147</v>
      </c>
      <c r="AH3202" s="126" t="s">
        <v>2326</v>
      </c>
      <c r="AI3202" s="126" t="s">
        <v>577</v>
      </c>
      <c r="AJ3202" s="126" t="s">
        <v>1645</v>
      </c>
      <c r="AK3202" s="126" t="s">
        <v>132</v>
      </c>
      <c r="AT3202" s="126" t="s">
        <v>3149</v>
      </c>
      <c r="AU3202" s="126" t="s">
        <v>3149</v>
      </c>
      <c r="AV3202" s="126" t="s">
        <v>177</v>
      </c>
      <c r="AW3202" s="126" t="s">
        <v>3148</v>
      </c>
      <c r="BK3202" s="126">
        <v>2087</v>
      </c>
      <c r="BL3202" s="126">
        <v>2375</v>
      </c>
      <c r="BP3202" s="481"/>
      <c r="BQ3202" s="481"/>
      <c r="BU3202" s="481">
        <v>0.41</v>
      </c>
      <c r="BV3202" s="481">
        <v>0.75</v>
      </c>
      <c r="BZ3202" s="481"/>
      <c r="CA3202" s="481"/>
      <c r="CE3202" s="605">
        <v>0.41</v>
      </c>
      <c r="CF3202" s="605">
        <v>0.75</v>
      </c>
      <c r="CG3202" s="605"/>
      <c r="CH3202" s="605"/>
      <c r="CI3202" s="126" t="s">
        <v>4546</v>
      </c>
      <c r="CJ3202" s="126">
        <v>0.34</v>
      </c>
      <c r="CK3202" s="126">
        <v>0.6</v>
      </c>
      <c r="CN3202" s="126" t="s">
        <v>381</v>
      </c>
      <c r="CO3202" s="126">
        <v>4.41</v>
      </c>
      <c r="CP3202" s="126">
        <v>2.91</v>
      </c>
      <c r="CS3202" s="126" t="s">
        <v>3153</v>
      </c>
      <c r="JD3202" s="480"/>
    </row>
    <row r="3203" spans="1:264" s="126" customFormat="1" x14ac:dyDescent="0.25">
      <c r="A3203" s="126">
        <v>153</v>
      </c>
      <c r="B3203" s="478" t="s">
        <v>4416</v>
      </c>
      <c r="C3203" s="126" t="s">
        <v>3142</v>
      </c>
      <c r="D3203" s="126" t="s">
        <v>3141</v>
      </c>
      <c r="E3203" s="126">
        <v>1999</v>
      </c>
      <c r="F3203" s="126">
        <v>1984</v>
      </c>
      <c r="G3203" s="126" t="s">
        <v>3145</v>
      </c>
      <c r="H3203" s="126" t="s">
        <v>3144</v>
      </c>
      <c r="I3203" s="126" t="s">
        <v>3146</v>
      </c>
      <c r="J3203" s="126">
        <v>11.1</v>
      </c>
      <c r="K3203" s="126">
        <f t="shared" si="444"/>
        <v>-4.3833333333333337</v>
      </c>
      <c r="L3203" s="126">
        <v>405</v>
      </c>
      <c r="P3203" s="126">
        <f t="shared" si="445"/>
        <v>1050</v>
      </c>
      <c r="R3203" s="478" t="s">
        <v>1847</v>
      </c>
      <c r="S3203" s="478" t="s">
        <v>1858</v>
      </c>
      <c r="T3203" s="478"/>
      <c r="U3203" s="478" t="s">
        <v>3143</v>
      </c>
      <c r="V3203" s="478" t="s">
        <v>1400</v>
      </c>
      <c r="W3203" s="478" t="s">
        <v>1727</v>
      </c>
      <c r="X3203" s="478" t="s">
        <v>1400</v>
      </c>
      <c r="Y3203" s="478" t="s">
        <v>1400</v>
      </c>
      <c r="AA3203" s="479"/>
      <c r="AB3203" s="479"/>
      <c r="AG3203" s="126" t="s">
        <v>3147</v>
      </c>
      <c r="AH3203" s="126" t="s">
        <v>2744</v>
      </c>
      <c r="AI3203" s="126" t="s">
        <v>577</v>
      </c>
      <c r="AJ3203" s="126" t="s">
        <v>1645</v>
      </c>
      <c r="AK3203" s="126" t="s">
        <v>132</v>
      </c>
      <c r="AT3203" s="126" t="s">
        <v>3149</v>
      </c>
      <c r="AU3203" s="126" t="s">
        <v>3149</v>
      </c>
      <c r="AV3203" s="126" t="s">
        <v>177</v>
      </c>
      <c r="AW3203" s="126" t="s">
        <v>3148</v>
      </c>
      <c r="BK3203" s="126">
        <v>2087</v>
      </c>
      <c r="BL3203" s="126">
        <v>2379</v>
      </c>
      <c r="BP3203" s="481"/>
      <c r="BQ3203" s="481"/>
      <c r="BU3203" s="481">
        <v>0.41</v>
      </c>
      <c r="BV3203" s="481">
        <v>0.5</v>
      </c>
      <c r="BZ3203" s="481"/>
      <c r="CA3203" s="481"/>
      <c r="CE3203" s="605">
        <v>0.41</v>
      </c>
      <c r="CF3203" s="605">
        <v>0.5</v>
      </c>
      <c r="CG3203" s="605"/>
      <c r="CH3203" s="605"/>
      <c r="CI3203" s="126" t="s">
        <v>4546</v>
      </c>
      <c r="CJ3203" s="126">
        <v>0.34</v>
      </c>
      <c r="CK3203" s="126">
        <v>0.45</v>
      </c>
      <c r="CN3203" s="126" t="s">
        <v>381</v>
      </c>
      <c r="CO3203" s="126">
        <v>4.41</v>
      </c>
      <c r="CP3203" s="126">
        <v>3.21</v>
      </c>
      <c r="CS3203" s="126" t="s">
        <v>3153</v>
      </c>
      <c r="JD3203" s="480"/>
    </row>
    <row r="3204" spans="1:264" s="36" customFormat="1" x14ac:dyDescent="0.25">
      <c r="A3204" s="36">
        <v>153</v>
      </c>
      <c r="B3204" s="51" t="s">
        <v>4417</v>
      </c>
      <c r="C3204" s="36" t="s">
        <v>3142</v>
      </c>
      <c r="D3204" s="36" t="s">
        <v>3141</v>
      </c>
      <c r="E3204" s="36">
        <v>1999</v>
      </c>
      <c r="F3204" s="36">
        <v>1984</v>
      </c>
      <c r="G3204" s="36" t="s">
        <v>3145</v>
      </c>
      <c r="H3204" s="36" t="s">
        <v>3144</v>
      </c>
      <c r="I3204" s="36" t="s">
        <v>3146</v>
      </c>
      <c r="J3204" s="36">
        <v>11.1</v>
      </c>
      <c r="K3204" s="36">
        <f t="shared" si="444"/>
        <v>-4.3833333333333337</v>
      </c>
      <c r="L3204" s="36">
        <v>405</v>
      </c>
      <c r="P3204" s="36">
        <f t="shared" si="445"/>
        <v>1050</v>
      </c>
      <c r="R3204" s="51" t="s">
        <v>1847</v>
      </c>
      <c r="S3204" s="51" t="s">
        <v>1858</v>
      </c>
      <c r="T3204" s="51"/>
      <c r="U3204" s="51" t="s">
        <v>3143</v>
      </c>
      <c r="V3204" s="51" t="s">
        <v>1400</v>
      </c>
      <c r="W3204" s="51" t="s">
        <v>1727</v>
      </c>
      <c r="X3204" s="51" t="s">
        <v>1400</v>
      </c>
      <c r="Y3204" s="51" t="s">
        <v>1400</v>
      </c>
      <c r="AA3204" s="331"/>
      <c r="AB3204" s="331"/>
      <c r="AG3204" s="36" t="s">
        <v>3147</v>
      </c>
      <c r="AH3204" s="36" t="s">
        <v>2326</v>
      </c>
      <c r="AI3204" s="36" t="s">
        <v>577</v>
      </c>
      <c r="AJ3204" s="36" t="s">
        <v>1645</v>
      </c>
      <c r="AK3204" s="36" t="s">
        <v>132</v>
      </c>
      <c r="AT3204" s="36" t="s">
        <v>3150</v>
      </c>
      <c r="AU3204" s="36" t="s">
        <v>3150</v>
      </c>
      <c r="AV3204" s="36" t="s">
        <v>177</v>
      </c>
      <c r="AW3204" s="36" t="s">
        <v>3148</v>
      </c>
      <c r="BP3204" s="407"/>
      <c r="BQ3204" s="407"/>
      <c r="BU3204" s="407">
        <v>0.53</v>
      </c>
      <c r="BV3204" s="407">
        <v>0.75</v>
      </c>
      <c r="BZ3204" s="407"/>
      <c r="CA3204" s="407"/>
      <c r="CE3204" s="560">
        <v>0.53</v>
      </c>
      <c r="CF3204" s="560">
        <v>0.75</v>
      </c>
      <c r="CG3204" s="560"/>
      <c r="CH3204" s="560"/>
      <c r="CI3204" s="36" t="s">
        <v>4546</v>
      </c>
      <c r="CJ3204" s="36">
        <v>0.56999999999999995</v>
      </c>
      <c r="CK3204" s="36">
        <v>0.32</v>
      </c>
      <c r="CN3204" s="36" t="s">
        <v>381</v>
      </c>
      <c r="CO3204" s="36">
        <v>5.83</v>
      </c>
      <c r="CP3204" s="36">
        <v>6.06</v>
      </c>
      <c r="CS3204" s="36" t="s">
        <v>3153</v>
      </c>
      <c r="JD3204" s="230"/>
    </row>
    <row r="3205" spans="1:264" s="36" customFormat="1" x14ac:dyDescent="0.25">
      <c r="A3205" s="36">
        <v>153</v>
      </c>
      <c r="B3205" s="51" t="s">
        <v>4417</v>
      </c>
      <c r="C3205" s="36" t="s">
        <v>3142</v>
      </c>
      <c r="D3205" s="36" t="s">
        <v>3141</v>
      </c>
      <c r="E3205" s="36">
        <v>1999</v>
      </c>
      <c r="F3205" s="36">
        <v>1984</v>
      </c>
      <c r="G3205" s="36" t="s">
        <v>3145</v>
      </c>
      <c r="H3205" s="36" t="s">
        <v>3144</v>
      </c>
      <c r="I3205" s="36" t="s">
        <v>3146</v>
      </c>
      <c r="J3205" s="36">
        <v>11.1</v>
      </c>
      <c r="K3205" s="36">
        <f t="shared" si="444"/>
        <v>-4.3833333333333337</v>
      </c>
      <c r="L3205" s="36">
        <v>405</v>
      </c>
      <c r="P3205" s="36">
        <f t="shared" si="445"/>
        <v>1050</v>
      </c>
      <c r="R3205" s="51" t="s">
        <v>1847</v>
      </c>
      <c r="S3205" s="51" t="s">
        <v>1858</v>
      </c>
      <c r="T3205" s="51"/>
      <c r="U3205" s="51" t="s">
        <v>3143</v>
      </c>
      <c r="V3205" s="51" t="s">
        <v>1400</v>
      </c>
      <c r="W3205" s="51" t="s">
        <v>1727</v>
      </c>
      <c r="X3205" s="51" t="s">
        <v>1400</v>
      </c>
      <c r="Y3205" s="51" t="s">
        <v>1400</v>
      </c>
      <c r="AA3205" s="331"/>
      <c r="AB3205" s="331"/>
      <c r="AG3205" s="36" t="s">
        <v>3147</v>
      </c>
      <c r="AH3205" s="36" t="s">
        <v>2326</v>
      </c>
      <c r="AI3205" s="36" t="s">
        <v>577</v>
      </c>
      <c r="AJ3205" s="36" t="s">
        <v>1645</v>
      </c>
      <c r="AK3205" s="36" t="s">
        <v>132</v>
      </c>
      <c r="AT3205" s="36" t="s">
        <v>3150</v>
      </c>
      <c r="AU3205" s="36" t="s">
        <v>3150</v>
      </c>
      <c r="AV3205" s="36" t="s">
        <v>177</v>
      </c>
      <c r="AW3205" s="36" t="s">
        <v>3148</v>
      </c>
      <c r="BP3205" s="407"/>
      <c r="BQ3205" s="407"/>
      <c r="BU3205" s="407">
        <v>0.53</v>
      </c>
      <c r="BV3205" s="407">
        <v>0.56000000000000005</v>
      </c>
      <c r="BZ3205" s="407"/>
      <c r="CA3205" s="407"/>
      <c r="CE3205" s="560">
        <v>0.53</v>
      </c>
      <c r="CF3205" s="560">
        <v>0.56000000000000005</v>
      </c>
      <c r="CG3205" s="560"/>
      <c r="CH3205" s="560"/>
      <c r="CI3205" s="36" t="s">
        <v>4546</v>
      </c>
      <c r="CJ3205" s="36">
        <v>0.56999999999999995</v>
      </c>
      <c r="CK3205" s="36">
        <v>0.55000000000000004</v>
      </c>
      <c r="CN3205" s="36" t="s">
        <v>381</v>
      </c>
      <c r="CO3205" s="36">
        <v>5.83</v>
      </c>
      <c r="CP3205" s="36">
        <v>2.91</v>
      </c>
      <c r="CS3205" s="36" t="s">
        <v>3153</v>
      </c>
      <c r="JD3205" s="230"/>
    </row>
    <row r="3206" spans="1:264" s="36" customFormat="1" x14ac:dyDescent="0.25">
      <c r="A3206" s="36">
        <v>153</v>
      </c>
      <c r="B3206" s="51" t="s">
        <v>4417</v>
      </c>
      <c r="C3206" s="36" t="s">
        <v>3142</v>
      </c>
      <c r="D3206" s="36" t="s">
        <v>3141</v>
      </c>
      <c r="E3206" s="36">
        <v>1999</v>
      </c>
      <c r="F3206" s="36">
        <v>1984</v>
      </c>
      <c r="G3206" s="36" t="s">
        <v>3145</v>
      </c>
      <c r="H3206" s="36" t="s">
        <v>3144</v>
      </c>
      <c r="I3206" s="36" t="s">
        <v>3146</v>
      </c>
      <c r="J3206" s="36">
        <v>11.1</v>
      </c>
      <c r="K3206" s="36">
        <f t="shared" si="444"/>
        <v>-4.3833333333333337</v>
      </c>
      <c r="L3206" s="36">
        <v>405</v>
      </c>
      <c r="P3206" s="36">
        <f t="shared" si="445"/>
        <v>1050</v>
      </c>
      <c r="R3206" s="51" t="s">
        <v>1847</v>
      </c>
      <c r="S3206" s="51" t="s">
        <v>1858</v>
      </c>
      <c r="T3206" s="51"/>
      <c r="U3206" s="51" t="s">
        <v>3143</v>
      </c>
      <c r="V3206" s="51" t="s">
        <v>1400</v>
      </c>
      <c r="W3206" s="51" t="s">
        <v>1727</v>
      </c>
      <c r="X3206" s="51" t="s">
        <v>1400</v>
      </c>
      <c r="Y3206" s="51" t="s">
        <v>1400</v>
      </c>
      <c r="AA3206" s="331"/>
      <c r="AB3206" s="331"/>
      <c r="AG3206" s="36" t="s">
        <v>3147</v>
      </c>
      <c r="AH3206" s="36" t="s">
        <v>2744</v>
      </c>
      <c r="AI3206" s="36" t="s">
        <v>577</v>
      </c>
      <c r="AJ3206" s="36" t="s">
        <v>1645</v>
      </c>
      <c r="AK3206" s="36" t="s">
        <v>132</v>
      </c>
      <c r="AT3206" s="36" t="s">
        <v>3150</v>
      </c>
      <c r="AU3206" s="36" t="s">
        <v>3150</v>
      </c>
      <c r="AV3206" s="36" t="s">
        <v>177</v>
      </c>
      <c r="AW3206" s="36" t="s">
        <v>3148</v>
      </c>
      <c r="BP3206" s="407"/>
      <c r="BQ3206" s="407"/>
      <c r="BU3206" s="407">
        <v>0.53</v>
      </c>
      <c r="BV3206" s="407">
        <v>0.5</v>
      </c>
      <c r="BZ3206" s="407"/>
      <c r="CA3206" s="407"/>
      <c r="CE3206" s="560">
        <v>0.53</v>
      </c>
      <c r="CF3206" s="560">
        <v>0.5</v>
      </c>
      <c r="CG3206" s="560"/>
      <c r="CH3206" s="560"/>
      <c r="CI3206" s="36" t="s">
        <v>4546</v>
      </c>
      <c r="CJ3206" s="36">
        <v>0.56999999999999995</v>
      </c>
      <c r="CK3206" s="36">
        <v>0.42</v>
      </c>
      <c r="CN3206" s="36" t="s">
        <v>381</v>
      </c>
      <c r="CO3206" s="36">
        <v>5.83</v>
      </c>
      <c r="CP3206" s="36">
        <v>5.08</v>
      </c>
      <c r="CS3206" s="36" t="s">
        <v>3153</v>
      </c>
      <c r="JD3206" s="230"/>
    </row>
    <row r="3207" spans="1:264" s="126" customFormat="1" x14ac:dyDescent="0.25">
      <c r="A3207" s="126">
        <v>153</v>
      </c>
      <c r="B3207" s="478" t="s">
        <v>4418</v>
      </c>
      <c r="C3207" s="126" t="s">
        <v>3142</v>
      </c>
      <c r="D3207" s="126" t="s">
        <v>3141</v>
      </c>
      <c r="E3207" s="126">
        <v>1999</v>
      </c>
      <c r="F3207" s="126">
        <v>1984</v>
      </c>
      <c r="G3207" s="126" t="s">
        <v>3145</v>
      </c>
      <c r="H3207" s="126" t="s">
        <v>3144</v>
      </c>
      <c r="I3207" s="126" t="s">
        <v>3146</v>
      </c>
      <c r="J3207" s="126">
        <v>11.1</v>
      </c>
      <c r="K3207" s="126">
        <f t="shared" si="444"/>
        <v>-4.3833333333333337</v>
      </c>
      <c r="L3207" s="126">
        <v>405</v>
      </c>
      <c r="P3207" s="126">
        <f t="shared" si="445"/>
        <v>1050</v>
      </c>
      <c r="R3207" s="478" t="s">
        <v>1847</v>
      </c>
      <c r="S3207" s="478" t="s">
        <v>1858</v>
      </c>
      <c r="T3207" s="478"/>
      <c r="U3207" s="478" t="s">
        <v>3143</v>
      </c>
      <c r="V3207" s="478" t="s">
        <v>1400</v>
      </c>
      <c r="W3207" s="478" t="s">
        <v>1727</v>
      </c>
      <c r="X3207" s="478" t="s">
        <v>1400</v>
      </c>
      <c r="Y3207" s="478" t="s">
        <v>1400</v>
      </c>
      <c r="AA3207" s="479"/>
      <c r="AB3207" s="479"/>
      <c r="AG3207" s="126" t="s">
        <v>3147</v>
      </c>
      <c r="AH3207" s="126" t="s">
        <v>2326</v>
      </c>
      <c r="AI3207" s="126" t="s">
        <v>577</v>
      </c>
      <c r="AJ3207" s="126" t="s">
        <v>1645</v>
      </c>
      <c r="AK3207" s="126" t="s">
        <v>132</v>
      </c>
      <c r="AT3207" s="126" t="s">
        <v>3151</v>
      </c>
      <c r="AU3207" s="126" t="s">
        <v>3151</v>
      </c>
      <c r="AV3207" s="126" t="s">
        <v>177</v>
      </c>
      <c r="AW3207" s="126" t="s">
        <v>3148</v>
      </c>
      <c r="BP3207" s="481"/>
      <c r="BQ3207" s="481"/>
      <c r="BU3207" s="481">
        <v>0.52</v>
      </c>
      <c r="BV3207" s="481">
        <v>0.48</v>
      </c>
      <c r="BZ3207" s="481"/>
      <c r="CA3207" s="481"/>
      <c r="CE3207" s="605">
        <v>0.52</v>
      </c>
      <c r="CF3207" s="605">
        <v>0.48</v>
      </c>
      <c r="CG3207" s="605"/>
      <c r="CH3207" s="605"/>
      <c r="CI3207" s="126" t="s">
        <v>4546</v>
      </c>
      <c r="CJ3207" s="126">
        <v>0.5</v>
      </c>
      <c r="CK3207" s="126">
        <v>0.42</v>
      </c>
      <c r="CN3207" s="126" t="s">
        <v>381</v>
      </c>
      <c r="CO3207" s="126">
        <v>7.4</v>
      </c>
      <c r="CP3207" s="126">
        <v>4.4800000000000004</v>
      </c>
      <c r="CS3207" s="126" t="s">
        <v>3153</v>
      </c>
      <c r="JD3207" s="480"/>
    </row>
    <row r="3208" spans="1:264" s="126" customFormat="1" x14ac:dyDescent="0.25">
      <c r="A3208" s="126">
        <v>153</v>
      </c>
      <c r="B3208" s="478" t="s">
        <v>4418</v>
      </c>
      <c r="C3208" s="126" t="s">
        <v>3142</v>
      </c>
      <c r="D3208" s="126" t="s">
        <v>3141</v>
      </c>
      <c r="E3208" s="126">
        <v>1999</v>
      </c>
      <c r="F3208" s="126">
        <v>1984</v>
      </c>
      <c r="G3208" s="126" t="s">
        <v>3145</v>
      </c>
      <c r="H3208" s="126" t="s">
        <v>3144</v>
      </c>
      <c r="I3208" s="126" t="s">
        <v>3146</v>
      </c>
      <c r="J3208" s="126">
        <v>11.1</v>
      </c>
      <c r="K3208" s="126">
        <f t="shared" si="444"/>
        <v>-4.3833333333333337</v>
      </c>
      <c r="L3208" s="126">
        <v>405</v>
      </c>
      <c r="P3208" s="126">
        <f t="shared" si="445"/>
        <v>1050</v>
      </c>
      <c r="R3208" s="478" t="s">
        <v>1847</v>
      </c>
      <c r="S3208" s="478" t="s">
        <v>1858</v>
      </c>
      <c r="T3208" s="478"/>
      <c r="U3208" s="478" t="s">
        <v>3143</v>
      </c>
      <c r="V3208" s="478" t="s">
        <v>1400</v>
      </c>
      <c r="W3208" s="478" t="s">
        <v>1727</v>
      </c>
      <c r="X3208" s="478" t="s">
        <v>1400</v>
      </c>
      <c r="Y3208" s="478" t="s">
        <v>1400</v>
      </c>
      <c r="AA3208" s="479"/>
      <c r="AB3208" s="479"/>
      <c r="AG3208" s="126" t="s">
        <v>3147</v>
      </c>
      <c r="AH3208" s="126" t="s">
        <v>2326</v>
      </c>
      <c r="AI3208" s="126" t="s">
        <v>577</v>
      </c>
      <c r="AJ3208" s="126" t="s">
        <v>1645</v>
      </c>
      <c r="AK3208" s="126" t="s">
        <v>132</v>
      </c>
      <c r="AT3208" s="126" t="s">
        <v>3151</v>
      </c>
      <c r="AU3208" s="126" t="s">
        <v>3151</v>
      </c>
      <c r="AV3208" s="126" t="s">
        <v>177</v>
      </c>
      <c r="AW3208" s="126" t="s">
        <v>3148</v>
      </c>
      <c r="BP3208" s="481"/>
      <c r="BQ3208" s="481"/>
      <c r="BU3208" s="481">
        <v>0.52</v>
      </c>
      <c r="BV3208" s="481">
        <v>0.66</v>
      </c>
      <c r="BZ3208" s="481"/>
      <c r="CA3208" s="481"/>
      <c r="CE3208" s="605">
        <v>0.52</v>
      </c>
      <c r="CF3208" s="605">
        <v>0.66</v>
      </c>
      <c r="CG3208" s="605"/>
      <c r="CH3208" s="605"/>
      <c r="CI3208" s="126" t="s">
        <v>4546</v>
      </c>
      <c r="CJ3208" s="126">
        <v>0.5</v>
      </c>
      <c r="CK3208" s="126">
        <v>0.61</v>
      </c>
      <c r="CN3208" s="126" t="s">
        <v>381</v>
      </c>
      <c r="CO3208" s="126">
        <v>7.4</v>
      </c>
      <c r="CP3208" s="126">
        <v>4.63</v>
      </c>
      <c r="CS3208" s="126" t="s">
        <v>3153</v>
      </c>
      <c r="JD3208" s="480"/>
    </row>
    <row r="3209" spans="1:264" s="126" customFormat="1" x14ac:dyDescent="0.25">
      <c r="A3209" s="126">
        <v>153</v>
      </c>
      <c r="B3209" s="478" t="s">
        <v>4418</v>
      </c>
      <c r="C3209" s="126" t="s">
        <v>3142</v>
      </c>
      <c r="D3209" s="126" t="s">
        <v>3141</v>
      </c>
      <c r="E3209" s="126">
        <v>1999</v>
      </c>
      <c r="F3209" s="126">
        <v>1984</v>
      </c>
      <c r="G3209" s="126" t="s">
        <v>3145</v>
      </c>
      <c r="H3209" s="126" t="s">
        <v>3144</v>
      </c>
      <c r="I3209" s="126" t="s">
        <v>3146</v>
      </c>
      <c r="J3209" s="126">
        <v>11.1</v>
      </c>
      <c r="K3209" s="126">
        <f t="shared" si="444"/>
        <v>-4.3833333333333337</v>
      </c>
      <c r="L3209" s="126">
        <v>405</v>
      </c>
      <c r="P3209" s="126">
        <f t="shared" si="445"/>
        <v>1050</v>
      </c>
      <c r="R3209" s="478" t="s">
        <v>1847</v>
      </c>
      <c r="S3209" s="478" t="s">
        <v>1858</v>
      </c>
      <c r="T3209" s="478"/>
      <c r="U3209" s="478" t="s">
        <v>3143</v>
      </c>
      <c r="V3209" s="478" t="s">
        <v>1400</v>
      </c>
      <c r="W3209" s="478" t="s">
        <v>1727</v>
      </c>
      <c r="X3209" s="478" t="s">
        <v>1400</v>
      </c>
      <c r="Y3209" s="478" t="s">
        <v>1400</v>
      </c>
      <c r="AA3209" s="479"/>
      <c r="AB3209" s="479"/>
      <c r="AG3209" s="126" t="s">
        <v>3147</v>
      </c>
      <c r="AH3209" s="126" t="s">
        <v>2744</v>
      </c>
      <c r="AI3209" s="126" t="s">
        <v>577</v>
      </c>
      <c r="AJ3209" s="126" t="s">
        <v>1645</v>
      </c>
      <c r="AK3209" s="126" t="s">
        <v>132</v>
      </c>
      <c r="AT3209" s="126" t="s">
        <v>3151</v>
      </c>
      <c r="AU3209" s="126" t="s">
        <v>3151</v>
      </c>
      <c r="AV3209" s="126" t="s">
        <v>177</v>
      </c>
      <c r="AW3209" s="126" t="s">
        <v>3148</v>
      </c>
      <c r="BP3209" s="481"/>
      <c r="BQ3209" s="481"/>
      <c r="BU3209" s="481">
        <v>0.52</v>
      </c>
      <c r="BV3209" s="481">
        <v>0.65</v>
      </c>
      <c r="BZ3209" s="481"/>
      <c r="CA3209" s="481"/>
      <c r="CE3209" s="605">
        <v>0.52</v>
      </c>
      <c r="CF3209" s="605">
        <v>0.65</v>
      </c>
      <c r="CG3209" s="605"/>
      <c r="CH3209" s="605"/>
      <c r="CI3209" s="126" t="s">
        <v>4546</v>
      </c>
      <c r="CJ3209" s="126">
        <v>0.5</v>
      </c>
      <c r="CK3209" s="126">
        <v>0.45</v>
      </c>
      <c r="CN3209" s="126" t="s">
        <v>381</v>
      </c>
      <c r="CO3209" s="126">
        <v>7.4</v>
      </c>
      <c r="CP3209" s="126">
        <v>4.26</v>
      </c>
      <c r="CS3209" s="126" t="s">
        <v>3153</v>
      </c>
      <c r="JD3209" s="480"/>
    </row>
    <row r="3210" spans="1:264" s="503" customFormat="1" x14ac:dyDescent="0.25">
      <c r="A3210" s="503">
        <v>153</v>
      </c>
      <c r="B3210" s="504" t="s">
        <v>4416</v>
      </c>
      <c r="C3210" s="503" t="s">
        <v>3142</v>
      </c>
      <c r="D3210" s="503" t="s">
        <v>3141</v>
      </c>
      <c r="E3210" s="503">
        <v>1999</v>
      </c>
      <c r="F3210" s="503">
        <v>1984</v>
      </c>
      <c r="G3210" s="503" t="s">
        <v>3145</v>
      </c>
      <c r="H3210" s="503" t="s">
        <v>3144</v>
      </c>
      <c r="I3210" s="503" t="s">
        <v>3146</v>
      </c>
      <c r="J3210" s="503">
        <v>11.1</v>
      </c>
      <c r="K3210" s="503">
        <f t="shared" si="444"/>
        <v>-4.3833333333333337</v>
      </c>
      <c r="L3210" s="503">
        <v>405</v>
      </c>
      <c r="P3210" s="503">
        <f t="shared" si="445"/>
        <v>1050</v>
      </c>
      <c r="R3210" s="504" t="s">
        <v>1847</v>
      </c>
      <c r="S3210" s="504" t="s">
        <v>1858</v>
      </c>
      <c r="T3210" s="504"/>
      <c r="U3210" s="504" t="s">
        <v>3143</v>
      </c>
      <c r="V3210" s="504" t="s">
        <v>1400</v>
      </c>
      <c r="W3210" s="504" t="s">
        <v>1727</v>
      </c>
      <c r="X3210" s="504" t="s">
        <v>1400</v>
      </c>
      <c r="Y3210" s="504" t="s">
        <v>1400</v>
      </c>
      <c r="AA3210" s="505"/>
      <c r="AB3210" s="505"/>
      <c r="AG3210" s="503" t="s">
        <v>3147</v>
      </c>
      <c r="AH3210" s="503" t="s">
        <v>2326</v>
      </c>
      <c r="AI3210" s="503" t="s">
        <v>577</v>
      </c>
      <c r="AJ3210" s="503" t="s">
        <v>1645</v>
      </c>
      <c r="AK3210" s="503" t="s">
        <v>132</v>
      </c>
      <c r="AT3210" s="503" t="s">
        <v>3149</v>
      </c>
      <c r="AU3210" s="503" t="s">
        <v>3149</v>
      </c>
      <c r="AV3210" s="503" t="s">
        <v>177</v>
      </c>
      <c r="AW3210" s="503" t="s">
        <v>3152</v>
      </c>
      <c r="BK3210" s="503">
        <v>2171</v>
      </c>
      <c r="BL3210" s="503">
        <v>2493</v>
      </c>
      <c r="BP3210" s="506"/>
      <c r="BQ3210" s="506"/>
      <c r="BU3210" s="506">
        <v>0.65</v>
      </c>
      <c r="BV3210" s="506">
        <v>0.54</v>
      </c>
      <c r="BZ3210" s="506"/>
      <c r="CA3210" s="506"/>
      <c r="CE3210" s="606">
        <v>0.65</v>
      </c>
      <c r="CF3210" s="606">
        <v>0.54</v>
      </c>
      <c r="CG3210" s="606"/>
      <c r="CH3210" s="606"/>
      <c r="CI3210" s="503" t="s">
        <v>4546</v>
      </c>
      <c r="CJ3210" s="503">
        <v>0.47</v>
      </c>
      <c r="CK3210" s="503">
        <v>0.52</v>
      </c>
      <c r="CN3210" s="126" t="s">
        <v>381</v>
      </c>
      <c r="CO3210" s="503">
        <v>3.21</v>
      </c>
      <c r="CP3210" s="503">
        <v>3.14</v>
      </c>
      <c r="CS3210" s="126" t="s">
        <v>3153</v>
      </c>
      <c r="JD3210" s="507"/>
    </row>
    <row r="3211" spans="1:264" s="503" customFormat="1" x14ac:dyDescent="0.25">
      <c r="A3211" s="503">
        <v>153</v>
      </c>
      <c r="B3211" s="504" t="s">
        <v>4416</v>
      </c>
      <c r="C3211" s="503" t="s">
        <v>3142</v>
      </c>
      <c r="D3211" s="503" t="s">
        <v>3141</v>
      </c>
      <c r="E3211" s="503">
        <v>1999</v>
      </c>
      <c r="F3211" s="503">
        <v>1984</v>
      </c>
      <c r="G3211" s="503" t="s">
        <v>3145</v>
      </c>
      <c r="H3211" s="503" t="s">
        <v>3144</v>
      </c>
      <c r="I3211" s="503" t="s">
        <v>3146</v>
      </c>
      <c r="J3211" s="503">
        <v>11.1</v>
      </c>
      <c r="K3211" s="503">
        <f t="shared" si="444"/>
        <v>-4.3833333333333337</v>
      </c>
      <c r="L3211" s="503">
        <v>405</v>
      </c>
      <c r="P3211" s="503">
        <f t="shared" si="445"/>
        <v>1050</v>
      </c>
      <c r="R3211" s="504" t="s">
        <v>1847</v>
      </c>
      <c r="S3211" s="504" t="s">
        <v>1858</v>
      </c>
      <c r="T3211" s="504"/>
      <c r="U3211" s="504" t="s">
        <v>3143</v>
      </c>
      <c r="V3211" s="504" t="s">
        <v>1400</v>
      </c>
      <c r="W3211" s="504" t="s">
        <v>1727</v>
      </c>
      <c r="X3211" s="504" t="s">
        <v>1400</v>
      </c>
      <c r="Y3211" s="504" t="s">
        <v>1400</v>
      </c>
      <c r="AA3211" s="505"/>
      <c r="AB3211" s="505"/>
      <c r="AG3211" s="503" t="s">
        <v>3147</v>
      </c>
      <c r="AH3211" s="503" t="s">
        <v>2326</v>
      </c>
      <c r="AI3211" s="503" t="s">
        <v>577</v>
      </c>
      <c r="AJ3211" s="503" t="s">
        <v>1645</v>
      </c>
      <c r="AK3211" s="503" t="s">
        <v>132</v>
      </c>
      <c r="AT3211" s="503" t="s">
        <v>3149</v>
      </c>
      <c r="AU3211" s="503" t="s">
        <v>3149</v>
      </c>
      <c r="AV3211" s="503" t="s">
        <v>177</v>
      </c>
      <c r="AW3211" s="503" t="s">
        <v>3152</v>
      </c>
      <c r="BK3211" s="503">
        <v>2171</v>
      </c>
      <c r="BL3211" s="503">
        <v>2466</v>
      </c>
      <c r="BP3211" s="506"/>
      <c r="BQ3211" s="506"/>
      <c r="BU3211" s="506">
        <v>0.65</v>
      </c>
      <c r="BV3211" s="506">
        <v>0.52</v>
      </c>
      <c r="BZ3211" s="506"/>
      <c r="CA3211" s="506"/>
      <c r="CE3211" s="606">
        <v>0.65</v>
      </c>
      <c r="CF3211" s="606">
        <v>0.52</v>
      </c>
      <c r="CG3211" s="606"/>
      <c r="CH3211" s="606"/>
      <c r="CI3211" s="503" t="s">
        <v>4546</v>
      </c>
      <c r="CJ3211" s="503">
        <v>0.47</v>
      </c>
      <c r="CK3211" s="503">
        <v>0.46</v>
      </c>
      <c r="CN3211" s="126" t="s">
        <v>381</v>
      </c>
      <c r="CO3211" s="503">
        <v>3.21</v>
      </c>
      <c r="CP3211" s="503">
        <v>3.44</v>
      </c>
      <c r="CS3211" s="126" t="s">
        <v>3153</v>
      </c>
      <c r="JD3211" s="507"/>
    </row>
    <row r="3212" spans="1:264" s="503" customFormat="1" x14ac:dyDescent="0.25">
      <c r="A3212" s="503">
        <v>153</v>
      </c>
      <c r="B3212" s="504" t="s">
        <v>4416</v>
      </c>
      <c r="C3212" s="503" t="s">
        <v>3142</v>
      </c>
      <c r="D3212" s="503" t="s">
        <v>3141</v>
      </c>
      <c r="E3212" s="503">
        <v>1999</v>
      </c>
      <c r="F3212" s="503">
        <v>1984</v>
      </c>
      <c r="G3212" s="503" t="s">
        <v>3145</v>
      </c>
      <c r="H3212" s="503" t="s">
        <v>3144</v>
      </c>
      <c r="I3212" s="503" t="s">
        <v>3146</v>
      </c>
      <c r="J3212" s="503">
        <v>11.1</v>
      </c>
      <c r="K3212" s="503">
        <f t="shared" si="444"/>
        <v>-4.3833333333333337</v>
      </c>
      <c r="L3212" s="503">
        <v>405</v>
      </c>
      <c r="P3212" s="503">
        <f t="shared" si="445"/>
        <v>1050</v>
      </c>
      <c r="R3212" s="504" t="s">
        <v>1847</v>
      </c>
      <c r="S3212" s="504" t="s">
        <v>1858</v>
      </c>
      <c r="T3212" s="504"/>
      <c r="U3212" s="504" t="s">
        <v>3143</v>
      </c>
      <c r="V3212" s="504" t="s">
        <v>1400</v>
      </c>
      <c r="W3212" s="504" t="s">
        <v>1727</v>
      </c>
      <c r="X3212" s="504" t="s">
        <v>1400</v>
      </c>
      <c r="Y3212" s="504" t="s">
        <v>1400</v>
      </c>
      <c r="AA3212" s="505"/>
      <c r="AB3212" s="505"/>
      <c r="AG3212" s="503" t="s">
        <v>3147</v>
      </c>
      <c r="AH3212" s="503" t="s">
        <v>2744</v>
      </c>
      <c r="AI3212" s="503" t="s">
        <v>577</v>
      </c>
      <c r="AJ3212" s="503" t="s">
        <v>1645</v>
      </c>
      <c r="AK3212" s="503" t="s">
        <v>132</v>
      </c>
      <c r="AT3212" s="503" t="s">
        <v>3149</v>
      </c>
      <c r="AU3212" s="503" t="s">
        <v>3149</v>
      </c>
      <c r="AV3212" s="503" t="s">
        <v>177</v>
      </c>
      <c r="AW3212" s="503" t="s">
        <v>3152</v>
      </c>
      <c r="BK3212" s="503">
        <v>2171</v>
      </c>
      <c r="BL3212" s="503">
        <v>1986</v>
      </c>
      <c r="BP3212" s="506"/>
      <c r="BQ3212" s="506"/>
      <c r="BU3212" s="506">
        <v>0.65</v>
      </c>
      <c r="BV3212" s="506">
        <v>0.66</v>
      </c>
      <c r="BZ3212" s="506"/>
      <c r="CA3212" s="506"/>
      <c r="CE3212" s="606">
        <v>0.65</v>
      </c>
      <c r="CF3212" s="606">
        <v>0.66</v>
      </c>
      <c r="CG3212" s="606"/>
      <c r="CH3212" s="606"/>
      <c r="CI3212" s="503" t="s">
        <v>4546</v>
      </c>
      <c r="CJ3212" s="503">
        <v>0.47</v>
      </c>
      <c r="CK3212" s="503">
        <v>0.4</v>
      </c>
      <c r="CN3212" s="126" t="s">
        <v>381</v>
      </c>
      <c r="CO3212" s="503">
        <v>3.21</v>
      </c>
      <c r="CP3212" s="503">
        <v>3.5</v>
      </c>
      <c r="CS3212" s="126" t="s">
        <v>3153</v>
      </c>
      <c r="JD3212" s="507"/>
    </row>
    <row r="3213" spans="1:264" s="36" customFormat="1" x14ac:dyDescent="0.25">
      <c r="A3213" s="36">
        <v>153</v>
      </c>
      <c r="B3213" s="51" t="s">
        <v>4417</v>
      </c>
      <c r="C3213" s="36" t="s">
        <v>3142</v>
      </c>
      <c r="D3213" s="36" t="s">
        <v>3141</v>
      </c>
      <c r="E3213" s="36">
        <v>1999</v>
      </c>
      <c r="F3213" s="36">
        <v>1984</v>
      </c>
      <c r="G3213" s="36" t="s">
        <v>3145</v>
      </c>
      <c r="H3213" s="36" t="s">
        <v>3144</v>
      </c>
      <c r="I3213" s="36" t="s">
        <v>3146</v>
      </c>
      <c r="J3213" s="36">
        <v>11.1</v>
      </c>
      <c r="K3213" s="36">
        <f t="shared" si="444"/>
        <v>-4.3833333333333337</v>
      </c>
      <c r="L3213" s="36">
        <v>405</v>
      </c>
      <c r="P3213" s="36">
        <f t="shared" si="445"/>
        <v>1050</v>
      </c>
      <c r="R3213" s="51" t="s">
        <v>1847</v>
      </c>
      <c r="S3213" s="51" t="s">
        <v>1858</v>
      </c>
      <c r="T3213" s="51"/>
      <c r="U3213" s="51" t="s">
        <v>3143</v>
      </c>
      <c r="V3213" s="51" t="s">
        <v>1400</v>
      </c>
      <c r="W3213" s="51" t="s">
        <v>1727</v>
      </c>
      <c r="X3213" s="51" t="s">
        <v>1400</v>
      </c>
      <c r="Y3213" s="51" t="s">
        <v>1400</v>
      </c>
      <c r="AA3213" s="331"/>
      <c r="AB3213" s="331"/>
      <c r="AG3213" s="36" t="s">
        <v>3147</v>
      </c>
      <c r="AH3213" s="36" t="s">
        <v>2326</v>
      </c>
      <c r="AI3213" s="36" t="s">
        <v>577</v>
      </c>
      <c r="AJ3213" s="36" t="s">
        <v>1645</v>
      </c>
      <c r="AK3213" s="36" t="s">
        <v>132</v>
      </c>
      <c r="AT3213" s="36" t="s">
        <v>3150</v>
      </c>
      <c r="AU3213" s="36" t="s">
        <v>3150</v>
      </c>
      <c r="AV3213" s="36" t="s">
        <v>177</v>
      </c>
      <c r="AW3213" s="36" t="s">
        <v>3152</v>
      </c>
      <c r="BP3213" s="407"/>
      <c r="BQ3213" s="407"/>
      <c r="BU3213" s="407">
        <v>0.61</v>
      </c>
      <c r="BV3213" s="407">
        <v>0.56000000000000005</v>
      </c>
      <c r="BZ3213" s="407"/>
      <c r="CA3213" s="407"/>
      <c r="CE3213" s="560">
        <v>0.61</v>
      </c>
      <c r="CF3213" s="560">
        <v>0.56000000000000005</v>
      </c>
      <c r="CG3213" s="560"/>
      <c r="CH3213" s="560"/>
      <c r="CI3213" s="36" t="s">
        <v>4546</v>
      </c>
      <c r="CJ3213" s="36">
        <v>0.5</v>
      </c>
      <c r="CK3213" s="36">
        <v>0.49</v>
      </c>
      <c r="CN3213" s="36" t="s">
        <v>381</v>
      </c>
      <c r="CO3213" s="36">
        <v>6.2</v>
      </c>
      <c r="CP3213" s="36">
        <v>4.18</v>
      </c>
      <c r="CS3213" s="36" t="s">
        <v>3153</v>
      </c>
      <c r="JD3213" s="230"/>
    </row>
    <row r="3214" spans="1:264" s="36" customFormat="1" x14ac:dyDescent="0.25">
      <c r="A3214" s="36">
        <v>153</v>
      </c>
      <c r="B3214" s="51" t="s">
        <v>4417</v>
      </c>
      <c r="C3214" s="36" t="s">
        <v>3142</v>
      </c>
      <c r="D3214" s="36" t="s">
        <v>3141</v>
      </c>
      <c r="E3214" s="36">
        <v>1999</v>
      </c>
      <c r="F3214" s="36">
        <v>1984</v>
      </c>
      <c r="G3214" s="36" t="s">
        <v>3145</v>
      </c>
      <c r="H3214" s="36" t="s">
        <v>3144</v>
      </c>
      <c r="I3214" s="36" t="s">
        <v>3146</v>
      </c>
      <c r="J3214" s="36">
        <v>11.1</v>
      </c>
      <c r="K3214" s="36">
        <f t="shared" si="444"/>
        <v>-4.3833333333333337</v>
      </c>
      <c r="L3214" s="36">
        <v>405</v>
      </c>
      <c r="P3214" s="36">
        <f t="shared" si="445"/>
        <v>1050</v>
      </c>
      <c r="R3214" s="51" t="s">
        <v>1847</v>
      </c>
      <c r="S3214" s="51" t="s">
        <v>1858</v>
      </c>
      <c r="T3214" s="51"/>
      <c r="U3214" s="51" t="s">
        <v>3143</v>
      </c>
      <c r="V3214" s="51" t="s">
        <v>1400</v>
      </c>
      <c r="W3214" s="51" t="s">
        <v>1727</v>
      </c>
      <c r="X3214" s="51" t="s">
        <v>1400</v>
      </c>
      <c r="Y3214" s="51" t="s">
        <v>1400</v>
      </c>
      <c r="AA3214" s="331"/>
      <c r="AB3214" s="331"/>
      <c r="AG3214" s="36" t="s">
        <v>3147</v>
      </c>
      <c r="AH3214" s="36" t="s">
        <v>2326</v>
      </c>
      <c r="AI3214" s="36" t="s">
        <v>577</v>
      </c>
      <c r="AJ3214" s="36" t="s">
        <v>1645</v>
      </c>
      <c r="AK3214" s="36" t="s">
        <v>132</v>
      </c>
      <c r="AT3214" s="36" t="s">
        <v>3150</v>
      </c>
      <c r="AU3214" s="36" t="s">
        <v>3150</v>
      </c>
      <c r="AV3214" s="36" t="s">
        <v>177</v>
      </c>
      <c r="AW3214" s="36" t="s">
        <v>3152</v>
      </c>
      <c r="BP3214" s="407"/>
      <c r="BQ3214" s="407"/>
      <c r="BU3214" s="407">
        <v>0.61</v>
      </c>
      <c r="BV3214" s="407">
        <v>0.5</v>
      </c>
      <c r="BZ3214" s="407"/>
      <c r="CA3214" s="407"/>
      <c r="CE3214" s="560">
        <v>0.61</v>
      </c>
      <c r="CF3214" s="560">
        <v>0.5</v>
      </c>
      <c r="CG3214" s="560"/>
      <c r="CH3214" s="560"/>
      <c r="CI3214" s="36" t="s">
        <v>4546</v>
      </c>
      <c r="CJ3214" s="36">
        <v>0.5</v>
      </c>
      <c r="CK3214" s="36">
        <v>0.45</v>
      </c>
      <c r="CN3214" s="36" t="s">
        <v>381</v>
      </c>
      <c r="CO3214" s="36">
        <v>6.2</v>
      </c>
      <c r="CP3214" s="36">
        <v>3.6</v>
      </c>
      <c r="CS3214" s="36" t="s">
        <v>3153</v>
      </c>
      <c r="JD3214" s="230"/>
    </row>
    <row r="3215" spans="1:264" s="36" customFormat="1" x14ac:dyDescent="0.25">
      <c r="A3215" s="36">
        <v>153</v>
      </c>
      <c r="B3215" s="51" t="s">
        <v>4417</v>
      </c>
      <c r="C3215" s="36" t="s">
        <v>3142</v>
      </c>
      <c r="D3215" s="36" t="s">
        <v>3141</v>
      </c>
      <c r="E3215" s="36">
        <v>1999</v>
      </c>
      <c r="F3215" s="36">
        <v>1984</v>
      </c>
      <c r="G3215" s="36" t="s">
        <v>3145</v>
      </c>
      <c r="H3215" s="36" t="s">
        <v>3144</v>
      </c>
      <c r="I3215" s="36" t="s">
        <v>3146</v>
      </c>
      <c r="J3215" s="36">
        <v>11.1</v>
      </c>
      <c r="K3215" s="36">
        <f t="shared" si="444"/>
        <v>-4.3833333333333337</v>
      </c>
      <c r="L3215" s="36">
        <v>405</v>
      </c>
      <c r="P3215" s="36">
        <f t="shared" si="445"/>
        <v>1050</v>
      </c>
      <c r="R3215" s="51" t="s">
        <v>1847</v>
      </c>
      <c r="S3215" s="51" t="s">
        <v>1858</v>
      </c>
      <c r="T3215" s="51"/>
      <c r="U3215" s="51" t="s">
        <v>3143</v>
      </c>
      <c r="V3215" s="51" t="s">
        <v>1400</v>
      </c>
      <c r="W3215" s="51" t="s">
        <v>1727</v>
      </c>
      <c r="X3215" s="51" t="s">
        <v>1400</v>
      </c>
      <c r="Y3215" s="51" t="s">
        <v>1400</v>
      </c>
      <c r="AA3215" s="331"/>
      <c r="AB3215" s="331"/>
      <c r="AG3215" s="36" t="s">
        <v>3147</v>
      </c>
      <c r="AH3215" s="36" t="s">
        <v>2744</v>
      </c>
      <c r="AI3215" s="36" t="s">
        <v>577</v>
      </c>
      <c r="AJ3215" s="36" t="s">
        <v>1645</v>
      </c>
      <c r="AK3215" s="36" t="s">
        <v>132</v>
      </c>
      <c r="AT3215" s="36" t="s">
        <v>3150</v>
      </c>
      <c r="AU3215" s="36" t="s">
        <v>3150</v>
      </c>
      <c r="AV3215" s="36" t="s">
        <v>177</v>
      </c>
      <c r="AW3215" s="36" t="s">
        <v>3152</v>
      </c>
      <c r="BP3215" s="407"/>
      <c r="BQ3215" s="407"/>
      <c r="BU3215" s="407">
        <v>0.61</v>
      </c>
      <c r="BV3215" s="407">
        <v>0.54</v>
      </c>
      <c r="BZ3215" s="407"/>
      <c r="CA3215" s="407"/>
      <c r="CE3215" s="560">
        <v>0.61</v>
      </c>
      <c r="CF3215" s="560">
        <v>0.54</v>
      </c>
      <c r="CG3215" s="560"/>
      <c r="CH3215" s="560"/>
      <c r="CI3215" s="36" t="s">
        <v>4546</v>
      </c>
      <c r="CJ3215" s="36">
        <v>0.5</v>
      </c>
      <c r="CK3215" s="36">
        <v>0.43</v>
      </c>
      <c r="CN3215" s="36" t="s">
        <v>381</v>
      </c>
      <c r="CO3215" s="36">
        <v>6.2</v>
      </c>
      <c r="CP3215" s="36">
        <v>3.59</v>
      </c>
      <c r="CS3215" s="36" t="s">
        <v>3153</v>
      </c>
      <c r="JD3215" s="230"/>
    </row>
    <row r="3216" spans="1:264" s="126" customFormat="1" x14ac:dyDescent="0.25">
      <c r="A3216" s="126">
        <v>153</v>
      </c>
      <c r="B3216" s="478" t="s">
        <v>4418</v>
      </c>
      <c r="C3216" s="126" t="s">
        <v>3142</v>
      </c>
      <c r="D3216" s="126" t="s">
        <v>3141</v>
      </c>
      <c r="E3216" s="126">
        <v>1999</v>
      </c>
      <c r="F3216" s="126">
        <v>1984</v>
      </c>
      <c r="G3216" s="126" t="s">
        <v>3145</v>
      </c>
      <c r="H3216" s="126" t="s">
        <v>3144</v>
      </c>
      <c r="I3216" s="126" t="s">
        <v>3146</v>
      </c>
      <c r="J3216" s="126">
        <v>11.1</v>
      </c>
      <c r="K3216" s="126">
        <f t="shared" si="444"/>
        <v>-4.3833333333333337</v>
      </c>
      <c r="L3216" s="126">
        <v>405</v>
      </c>
      <c r="P3216" s="126">
        <f t="shared" si="445"/>
        <v>1050</v>
      </c>
      <c r="R3216" s="478" t="s">
        <v>1847</v>
      </c>
      <c r="S3216" s="478" t="s">
        <v>1858</v>
      </c>
      <c r="T3216" s="478"/>
      <c r="U3216" s="478" t="s">
        <v>3143</v>
      </c>
      <c r="V3216" s="478" t="s">
        <v>1400</v>
      </c>
      <c r="W3216" s="478" t="s">
        <v>1727</v>
      </c>
      <c r="X3216" s="478" t="s">
        <v>1400</v>
      </c>
      <c r="Y3216" s="478" t="s">
        <v>1400</v>
      </c>
      <c r="AA3216" s="479"/>
      <c r="AB3216" s="479"/>
      <c r="AG3216" s="126" t="s">
        <v>3147</v>
      </c>
      <c r="AH3216" s="126" t="s">
        <v>2326</v>
      </c>
      <c r="AI3216" s="126" t="s">
        <v>577</v>
      </c>
      <c r="AJ3216" s="126" t="s">
        <v>1645</v>
      </c>
      <c r="AK3216" s="126" t="s">
        <v>132</v>
      </c>
      <c r="AT3216" s="126" t="s">
        <v>3151</v>
      </c>
      <c r="AU3216" s="126" t="s">
        <v>3151</v>
      </c>
      <c r="AV3216" s="126" t="s">
        <v>177</v>
      </c>
      <c r="AW3216" s="126" t="s">
        <v>3152</v>
      </c>
      <c r="BP3216" s="481"/>
      <c r="BQ3216" s="481"/>
      <c r="BU3216" s="481">
        <v>0.67</v>
      </c>
      <c r="BV3216" s="481">
        <v>0.67</v>
      </c>
      <c r="BZ3216" s="481"/>
      <c r="CA3216" s="481"/>
      <c r="CE3216" s="605">
        <v>0.67</v>
      </c>
      <c r="CF3216" s="605">
        <v>0.67</v>
      </c>
      <c r="CG3216" s="605"/>
      <c r="CH3216" s="605"/>
      <c r="CI3216" s="126" t="s">
        <v>4546</v>
      </c>
      <c r="CJ3216" s="126">
        <v>0.56999999999999995</v>
      </c>
      <c r="CK3216" s="126">
        <v>0.65</v>
      </c>
      <c r="CN3216" s="126" t="s">
        <v>381</v>
      </c>
      <c r="CO3216" s="126">
        <v>7.9</v>
      </c>
      <c r="CP3216" s="126">
        <v>4.41</v>
      </c>
      <c r="CS3216" s="126" t="s">
        <v>3153</v>
      </c>
      <c r="JD3216" s="480"/>
    </row>
    <row r="3217" spans="1:264" s="126" customFormat="1" x14ac:dyDescent="0.25">
      <c r="A3217" s="126">
        <v>153</v>
      </c>
      <c r="B3217" s="478" t="s">
        <v>4418</v>
      </c>
      <c r="C3217" s="126" t="s">
        <v>3142</v>
      </c>
      <c r="D3217" s="126" t="s">
        <v>3141</v>
      </c>
      <c r="E3217" s="126">
        <v>1999</v>
      </c>
      <c r="F3217" s="126">
        <v>1984</v>
      </c>
      <c r="G3217" s="126" t="s">
        <v>3145</v>
      </c>
      <c r="H3217" s="126" t="s">
        <v>3144</v>
      </c>
      <c r="I3217" s="126" t="s">
        <v>3146</v>
      </c>
      <c r="J3217" s="126">
        <v>11.1</v>
      </c>
      <c r="K3217" s="126">
        <f t="shared" si="444"/>
        <v>-4.3833333333333337</v>
      </c>
      <c r="L3217" s="126">
        <v>405</v>
      </c>
      <c r="P3217" s="126">
        <f t="shared" si="445"/>
        <v>1050</v>
      </c>
      <c r="R3217" s="478" t="s">
        <v>1847</v>
      </c>
      <c r="S3217" s="478" t="s">
        <v>1858</v>
      </c>
      <c r="T3217" s="478"/>
      <c r="U3217" s="478" t="s">
        <v>3143</v>
      </c>
      <c r="V3217" s="478" t="s">
        <v>1400</v>
      </c>
      <c r="W3217" s="478" t="s">
        <v>1727</v>
      </c>
      <c r="X3217" s="478" t="s">
        <v>1400</v>
      </c>
      <c r="Y3217" s="478" t="s">
        <v>1400</v>
      </c>
      <c r="AA3217" s="479"/>
      <c r="AB3217" s="479"/>
      <c r="AG3217" s="126" t="s">
        <v>3147</v>
      </c>
      <c r="AH3217" s="126" t="s">
        <v>2326</v>
      </c>
      <c r="AI3217" s="126" t="s">
        <v>577</v>
      </c>
      <c r="AJ3217" s="126" t="s">
        <v>1645</v>
      </c>
      <c r="AK3217" s="126" t="s">
        <v>132</v>
      </c>
      <c r="AT3217" s="126" t="s">
        <v>3151</v>
      </c>
      <c r="AU3217" s="126" t="s">
        <v>3151</v>
      </c>
      <c r="AV3217" s="126" t="s">
        <v>177</v>
      </c>
      <c r="AW3217" s="126" t="s">
        <v>3152</v>
      </c>
      <c r="BP3217" s="481"/>
      <c r="BQ3217" s="481"/>
      <c r="BU3217" s="481">
        <v>0.67</v>
      </c>
      <c r="BV3217" s="481">
        <v>0.61</v>
      </c>
      <c r="BZ3217" s="481"/>
      <c r="CA3217" s="481"/>
      <c r="CE3217" s="605">
        <v>0.67</v>
      </c>
      <c r="CF3217" s="605">
        <v>0.61</v>
      </c>
      <c r="CG3217" s="605"/>
      <c r="CH3217" s="605"/>
      <c r="CI3217" s="126" t="s">
        <v>4546</v>
      </c>
      <c r="CJ3217" s="126">
        <v>0.56999999999999995</v>
      </c>
      <c r="CK3217" s="126">
        <v>0.61</v>
      </c>
      <c r="CN3217" s="126" t="s">
        <v>381</v>
      </c>
      <c r="CO3217" s="126">
        <v>7.9</v>
      </c>
      <c r="CP3217" s="126">
        <v>4.5599999999999996</v>
      </c>
      <c r="CS3217" s="126" t="s">
        <v>3153</v>
      </c>
      <c r="JD3217" s="480"/>
    </row>
    <row r="3218" spans="1:264" s="126" customFormat="1" x14ac:dyDescent="0.25">
      <c r="A3218" s="126">
        <v>153</v>
      </c>
      <c r="B3218" s="478" t="s">
        <v>4418</v>
      </c>
      <c r="C3218" s="126" t="s">
        <v>3142</v>
      </c>
      <c r="D3218" s="126" t="s">
        <v>3141</v>
      </c>
      <c r="E3218" s="126">
        <v>1999</v>
      </c>
      <c r="F3218" s="126">
        <v>1984</v>
      </c>
      <c r="G3218" s="126" t="s">
        <v>3145</v>
      </c>
      <c r="H3218" s="126" t="s">
        <v>3144</v>
      </c>
      <c r="I3218" s="126" t="s">
        <v>3146</v>
      </c>
      <c r="J3218" s="126">
        <v>11.1</v>
      </c>
      <c r="K3218" s="126">
        <f t="shared" si="444"/>
        <v>-4.3833333333333337</v>
      </c>
      <c r="L3218" s="126">
        <v>405</v>
      </c>
      <c r="P3218" s="126">
        <f t="shared" si="445"/>
        <v>1050</v>
      </c>
      <c r="R3218" s="478" t="s">
        <v>1847</v>
      </c>
      <c r="S3218" s="478" t="s">
        <v>1858</v>
      </c>
      <c r="T3218" s="478"/>
      <c r="U3218" s="478" t="s">
        <v>3143</v>
      </c>
      <c r="V3218" s="478" t="s">
        <v>1400</v>
      </c>
      <c r="W3218" s="478" t="s">
        <v>1727</v>
      </c>
      <c r="X3218" s="478" t="s">
        <v>1400</v>
      </c>
      <c r="Y3218" s="478" t="s">
        <v>1400</v>
      </c>
      <c r="AA3218" s="479"/>
      <c r="AB3218" s="479"/>
      <c r="AG3218" s="126" t="s">
        <v>3147</v>
      </c>
      <c r="AH3218" s="126" t="s">
        <v>2744</v>
      </c>
      <c r="AI3218" s="126" t="s">
        <v>577</v>
      </c>
      <c r="AJ3218" s="126" t="s">
        <v>1645</v>
      </c>
      <c r="AK3218" s="126" t="s">
        <v>132</v>
      </c>
      <c r="AT3218" s="126" t="s">
        <v>3151</v>
      </c>
      <c r="AU3218" s="126" t="s">
        <v>3151</v>
      </c>
      <c r="AV3218" s="126" t="s">
        <v>177</v>
      </c>
      <c r="AW3218" s="126" t="s">
        <v>3152</v>
      </c>
      <c r="BP3218" s="481"/>
      <c r="BQ3218" s="481"/>
      <c r="BU3218" s="481">
        <v>0.67</v>
      </c>
      <c r="BV3218" s="481">
        <v>0.53</v>
      </c>
      <c r="BZ3218" s="481"/>
      <c r="CA3218" s="481"/>
      <c r="CE3218" s="605">
        <v>0.67</v>
      </c>
      <c r="CF3218" s="605">
        <v>0.53</v>
      </c>
      <c r="CG3218" s="605"/>
      <c r="CH3218" s="605"/>
      <c r="CI3218" s="126" t="s">
        <v>4546</v>
      </c>
      <c r="CJ3218" s="126">
        <v>0.56999999999999995</v>
      </c>
      <c r="CK3218" s="126">
        <v>0.4</v>
      </c>
      <c r="CN3218" s="126" t="s">
        <v>381</v>
      </c>
      <c r="CO3218" s="126">
        <v>7.9</v>
      </c>
      <c r="CP3218" s="126">
        <v>5.01</v>
      </c>
      <c r="CS3218" s="126" t="s">
        <v>3153</v>
      </c>
      <c r="JD3218" s="480"/>
    </row>
    <row r="3219" spans="1:264" s="36" customFormat="1" x14ac:dyDescent="0.25">
      <c r="A3219" s="36">
        <v>153</v>
      </c>
      <c r="B3219" s="51" t="s">
        <v>4419</v>
      </c>
      <c r="C3219" s="36" t="s">
        <v>3142</v>
      </c>
      <c r="D3219" s="36" t="s">
        <v>3141</v>
      </c>
      <c r="E3219" s="36">
        <v>1999</v>
      </c>
      <c r="F3219" s="36">
        <v>1986</v>
      </c>
      <c r="G3219" s="36" t="s">
        <v>3145</v>
      </c>
      <c r="H3219" s="36" t="s">
        <v>3144</v>
      </c>
      <c r="I3219" s="36" t="s">
        <v>3146</v>
      </c>
      <c r="J3219" s="36">
        <v>11.1</v>
      </c>
      <c r="K3219" s="36">
        <f t="shared" si="444"/>
        <v>-4.3833333333333337</v>
      </c>
      <c r="L3219" s="36">
        <v>405</v>
      </c>
      <c r="P3219" s="36">
        <f t="shared" si="445"/>
        <v>1050</v>
      </c>
      <c r="R3219" s="51" t="s">
        <v>1858</v>
      </c>
      <c r="S3219" s="51" t="s">
        <v>1858</v>
      </c>
      <c r="T3219" s="51"/>
      <c r="U3219" s="51" t="s">
        <v>3143</v>
      </c>
      <c r="V3219" s="51" t="s">
        <v>1400</v>
      </c>
      <c r="W3219" s="51" t="s">
        <v>1727</v>
      </c>
      <c r="X3219" s="51" t="s">
        <v>1400</v>
      </c>
      <c r="Y3219" s="51" t="s">
        <v>1400</v>
      </c>
      <c r="AA3219" s="331"/>
      <c r="AB3219" s="331"/>
      <c r="AG3219" s="36" t="s">
        <v>3147</v>
      </c>
      <c r="AH3219" s="36" t="s">
        <v>2326</v>
      </c>
      <c r="AI3219" s="36" t="s">
        <v>577</v>
      </c>
      <c r="AJ3219" s="36" t="s">
        <v>1645</v>
      </c>
      <c r="AK3219" s="36" t="s">
        <v>132</v>
      </c>
      <c r="AT3219" s="36" t="s">
        <v>3154</v>
      </c>
      <c r="AU3219" s="36" t="s">
        <v>3154</v>
      </c>
      <c r="AV3219" s="36" t="s">
        <v>177</v>
      </c>
      <c r="AW3219" s="36" t="s">
        <v>3148</v>
      </c>
      <c r="BK3219" s="36">
        <v>1799</v>
      </c>
      <c r="BL3219" s="36">
        <v>3565</v>
      </c>
      <c r="BP3219" s="407"/>
      <c r="BQ3219" s="407"/>
      <c r="BU3219" s="407">
        <v>0.37</v>
      </c>
      <c r="BV3219" s="407">
        <v>0.35</v>
      </c>
      <c r="BZ3219" s="407"/>
      <c r="CA3219" s="407"/>
      <c r="CE3219" s="560">
        <v>0.37</v>
      </c>
      <c r="CF3219" s="560">
        <v>0.35</v>
      </c>
      <c r="CG3219" s="560"/>
      <c r="CH3219" s="560"/>
      <c r="CI3219" s="36" t="s">
        <v>4546</v>
      </c>
      <c r="CJ3219" s="36">
        <v>0.36</v>
      </c>
      <c r="CK3219" s="36">
        <v>0.36</v>
      </c>
      <c r="CN3219" s="36" t="s">
        <v>381</v>
      </c>
      <c r="CO3219" s="36">
        <v>0.98</v>
      </c>
      <c r="CP3219" s="36">
        <v>2.75</v>
      </c>
      <c r="CS3219" s="36" t="s">
        <v>3153</v>
      </c>
      <c r="JD3219" s="230"/>
    </row>
    <row r="3220" spans="1:264" s="36" customFormat="1" x14ac:dyDescent="0.25">
      <c r="A3220" s="36">
        <v>153</v>
      </c>
      <c r="B3220" s="51" t="s">
        <v>4419</v>
      </c>
      <c r="C3220" s="36" t="s">
        <v>3142</v>
      </c>
      <c r="D3220" s="36" t="s">
        <v>3141</v>
      </c>
      <c r="E3220" s="36">
        <v>1999</v>
      </c>
      <c r="F3220" s="36">
        <v>1986</v>
      </c>
      <c r="G3220" s="36" t="s">
        <v>3145</v>
      </c>
      <c r="H3220" s="36" t="s">
        <v>3144</v>
      </c>
      <c r="I3220" s="36" t="s">
        <v>3146</v>
      </c>
      <c r="J3220" s="36">
        <v>11.1</v>
      </c>
      <c r="K3220" s="36">
        <f t="shared" si="444"/>
        <v>-4.3833333333333337</v>
      </c>
      <c r="L3220" s="36">
        <v>405</v>
      </c>
      <c r="P3220" s="36">
        <f t="shared" si="445"/>
        <v>1050</v>
      </c>
      <c r="R3220" s="51" t="s">
        <v>1858</v>
      </c>
      <c r="S3220" s="51" t="s">
        <v>1858</v>
      </c>
      <c r="T3220" s="51"/>
      <c r="U3220" s="51" t="s">
        <v>3143</v>
      </c>
      <c r="V3220" s="51" t="s">
        <v>1400</v>
      </c>
      <c r="W3220" s="51" t="s">
        <v>1727</v>
      </c>
      <c r="X3220" s="51" t="s">
        <v>1400</v>
      </c>
      <c r="Y3220" s="51" t="s">
        <v>1400</v>
      </c>
      <c r="AA3220" s="331"/>
      <c r="AB3220" s="331"/>
      <c r="AG3220" s="36" t="s">
        <v>3147</v>
      </c>
      <c r="AH3220" s="36" t="s">
        <v>2326</v>
      </c>
      <c r="AI3220" s="36" t="s">
        <v>577</v>
      </c>
      <c r="AJ3220" s="36" t="s">
        <v>1645</v>
      </c>
      <c r="AK3220" s="36" t="s">
        <v>132</v>
      </c>
      <c r="AT3220" s="36" t="s">
        <v>3154</v>
      </c>
      <c r="AU3220" s="36" t="s">
        <v>3154</v>
      </c>
      <c r="AV3220" s="36" t="s">
        <v>177</v>
      </c>
      <c r="AW3220" s="36" t="s">
        <v>3148</v>
      </c>
      <c r="BK3220" s="36">
        <v>1799</v>
      </c>
      <c r="BL3220" s="36">
        <v>2589</v>
      </c>
      <c r="BP3220" s="407"/>
      <c r="BQ3220" s="407"/>
      <c r="BU3220" s="407">
        <v>0.37</v>
      </c>
      <c r="BV3220" s="407">
        <v>0.38</v>
      </c>
      <c r="BZ3220" s="407"/>
      <c r="CA3220" s="407"/>
      <c r="CE3220" s="560">
        <v>0.37</v>
      </c>
      <c r="CF3220" s="560">
        <v>0.38</v>
      </c>
      <c r="CG3220" s="560"/>
      <c r="CH3220" s="560"/>
      <c r="CI3220" s="36" t="s">
        <v>4546</v>
      </c>
      <c r="CJ3220" s="36">
        <v>0.36</v>
      </c>
      <c r="CK3220" s="36">
        <v>0.39</v>
      </c>
      <c r="CN3220" s="36" t="s">
        <v>381</v>
      </c>
      <c r="CO3220" s="36">
        <v>0.98</v>
      </c>
      <c r="CP3220" s="36">
        <v>2.42</v>
      </c>
      <c r="CS3220" s="36" t="s">
        <v>3153</v>
      </c>
      <c r="JD3220" s="230"/>
    </row>
    <row r="3221" spans="1:264" s="36" customFormat="1" x14ac:dyDescent="0.25">
      <c r="A3221" s="36">
        <v>153</v>
      </c>
      <c r="B3221" s="51" t="s">
        <v>4419</v>
      </c>
      <c r="C3221" s="36" t="s">
        <v>3142</v>
      </c>
      <c r="D3221" s="36" t="s">
        <v>3141</v>
      </c>
      <c r="E3221" s="36">
        <v>1999</v>
      </c>
      <c r="F3221" s="36">
        <v>1986</v>
      </c>
      <c r="G3221" s="36" t="s">
        <v>3145</v>
      </c>
      <c r="H3221" s="36" t="s">
        <v>3144</v>
      </c>
      <c r="I3221" s="36" t="s">
        <v>3146</v>
      </c>
      <c r="J3221" s="36">
        <v>11.1</v>
      </c>
      <c r="K3221" s="36">
        <f t="shared" si="444"/>
        <v>-4.3833333333333337</v>
      </c>
      <c r="L3221" s="36">
        <v>405</v>
      </c>
      <c r="P3221" s="36">
        <f t="shared" si="445"/>
        <v>1050</v>
      </c>
      <c r="R3221" s="51" t="s">
        <v>1858</v>
      </c>
      <c r="S3221" s="51" t="s">
        <v>1858</v>
      </c>
      <c r="T3221" s="51"/>
      <c r="U3221" s="51" t="s">
        <v>3143</v>
      </c>
      <c r="V3221" s="51" t="s">
        <v>1400</v>
      </c>
      <c r="W3221" s="51" t="s">
        <v>1727</v>
      </c>
      <c r="X3221" s="51" t="s">
        <v>1400</v>
      </c>
      <c r="Y3221" s="51" t="s">
        <v>1400</v>
      </c>
      <c r="AA3221" s="331"/>
      <c r="AB3221" s="331"/>
      <c r="AG3221" s="36" t="s">
        <v>3147</v>
      </c>
      <c r="AH3221" s="36" t="s">
        <v>2326</v>
      </c>
      <c r="AI3221" s="36" t="s">
        <v>577</v>
      </c>
      <c r="AJ3221" s="36" t="s">
        <v>1645</v>
      </c>
      <c r="AK3221" s="36" t="s">
        <v>132</v>
      </c>
      <c r="AT3221" s="36" t="s">
        <v>3154</v>
      </c>
      <c r="AU3221" s="36" t="s">
        <v>3154</v>
      </c>
      <c r="AV3221" s="36" t="s">
        <v>177</v>
      </c>
      <c r="AW3221" s="36" t="s">
        <v>3148</v>
      </c>
      <c r="BK3221" s="36">
        <v>1799</v>
      </c>
      <c r="BL3221" s="36">
        <v>1951</v>
      </c>
      <c r="BP3221" s="407"/>
      <c r="BQ3221" s="407"/>
      <c r="BU3221" s="407">
        <v>0.37</v>
      </c>
      <c r="BV3221" s="407">
        <v>0.25</v>
      </c>
      <c r="BZ3221" s="407"/>
      <c r="CA3221" s="407"/>
      <c r="CE3221" s="560">
        <v>0.37</v>
      </c>
      <c r="CF3221" s="560">
        <v>0.25</v>
      </c>
      <c r="CG3221" s="560"/>
      <c r="CH3221" s="560"/>
      <c r="CI3221" s="36" t="s">
        <v>4546</v>
      </c>
      <c r="CJ3221" s="36">
        <v>0.36</v>
      </c>
      <c r="CK3221" s="36">
        <v>0.33</v>
      </c>
      <c r="CN3221" s="36" t="s">
        <v>381</v>
      </c>
      <c r="CO3221" s="36">
        <v>0.98</v>
      </c>
      <c r="CP3221" s="36">
        <v>1.76</v>
      </c>
      <c r="CS3221" s="36" t="s">
        <v>3153</v>
      </c>
      <c r="JD3221" s="230"/>
    </row>
    <row r="3222" spans="1:264" s="36" customFormat="1" x14ac:dyDescent="0.25">
      <c r="A3222" s="36">
        <v>153</v>
      </c>
      <c r="B3222" s="51" t="s">
        <v>4419</v>
      </c>
      <c r="C3222" s="36" t="s">
        <v>3142</v>
      </c>
      <c r="D3222" s="36" t="s">
        <v>3141</v>
      </c>
      <c r="E3222" s="36">
        <v>1999</v>
      </c>
      <c r="F3222" s="36">
        <v>1986</v>
      </c>
      <c r="G3222" s="36" t="s">
        <v>3145</v>
      </c>
      <c r="H3222" s="36" t="s">
        <v>3144</v>
      </c>
      <c r="I3222" s="36" t="s">
        <v>3146</v>
      </c>
      <c r="J3222" s="36">
        <v>11.1</v>
      </c>
      <c r="K3222" s="36">
        <f t="shared" si="444"/>
        <v>-4.3833333333333337</v>
      </c>
      <c r="L3222" s="36">
        <v>405</v>
      </c>
      <c r="P3222" s="36">
        <f t="shared" si="445"/>
        <v>1050</v>
      </c>
      <c r="R3222" s="51" t="s">
        <v>1858</v>
      </c>
      <c r="S3222" s="51" t="s">
        <v>1858</v>
      </c>
      <c r="T3222" s="51"/>
      <c r="U3222" s="51" t="s">
        <v>3143</v>
      </c>
      <c r="V3222" s="51" t="s">
        <v>1400</v>
      </c>
      <c r="W3222" s="51" t="s">
        <v>1727</v>
      </c>
      <c r="X3222" s="51" t="s">
        <v>1400</v>
      </c>
      <c r="Y3222" s="51" t="s">
        <v>1400</v>
      </c>
      <c r="AA3222" s="331"/>
      <c r="AB3222" s="331"/>
      <c r="AG3222" s="36" t="s">
        <v>3147</v>
      </c>
      <c r="AH3222" s="36" t="s">
        <v>2326</v>
      </c>
      <c r="AI3222" s="36" t="s">
        <v>577</v>
      </c>
      <c r="AJ3222" s="36" t="s">
        <v>1645</v>
      </c>
      <c r="AK3222" s="36" t="s">
        <v>132</v>
      </c>
      <c r="AT3222" s="36" t="s">
        <v>3154</v>
      </c>
      <c r="AU3222" s="36" t="s">
        <v>3154</v>
      </c>
      <c r="AV3222" s="36" t="s">
        <v>177</v>
      </c>
      <c r="AW3222" s="36" t="s">
        <v>3148</v>
      </c>
      <c r="BK3222" s="36">
        <v>1799</v>
      </c>
      <c r="BL3222" s="36">
        <v>1748</v>
      </c>
      <c r="BP3222" s="407"/>
      <c r="BQ3222" s="407"/>
      <c r="BU3222" s="407">
        <v>0.37</v>
      </c>
      <c r="BV3222" s="407">
        <v>0.33</v>
      </c>
      <c r="BZ3222" s="407"/>
      <c r="CA3222" s="407"/>
      <c r="CE3222" s="560">
        <v>0.37</v>
      </c>
      <c r="CF3222" s="560">
        <v>0.33</v>
      </c>
      <c r="CG3222" s="560"/>
      <c r="CH3222" s="560"/>
      <c r="CI3222" s="36" t="s">
        <v>4546</v>
      </c>
      <c r="CJ3222" s="36">
        <v>0.36</v>
      </c>
      <c r="CK3222" s="36">
        <v>0.27</v>
      </c>
      <c r="CN3222" s="36" t="s">
        <v>381</v>
      </c>
      <c r="CO3222" s="36">
        <v>0.98</v>
      </c>
      <c r="CP3222" s="36">
        <v>2.38</v>
      </c>
      <c r="CS3222" s="36" t="s">
        <v>3153</v>
      </c>
      <c r="JD3222" s="230"/>
    </row>
    <row r="3223" spans="1:264" s="36" customFormat="1" x14ac:dyDescent="0.25">
      <c r="A3223" s="36">
        <v>153</v>
      </c>
      <c r="B3223" s="51" t="s">
        <v>4419</v>
      </c>
      <c r="C3223" s="36" t="s">
        <v>3142</v>
      </c>
      <c r="D3223" s="36" t="s">
        <v>3141</v>
      </c>
      <c r="E3223" s="36">
        <v>1999</v>
      </c>
      <c r="F3223" s="36">
        <v>1986</v>
      </c>
      <c r="G3223" s="36" t="s">
        <v>3145</v>
      </c>
      <c r="H3223" s="36" t="s">
        <v>3144</v>
      </c>
      <c r="I3223" s="36" t="s">
        <v>3146</v>
      </c>
      <c r="J3223" s="36">
        <v>11.1</v>
      </c>
      <c r="K3223" s="36">
        <f t="shared" si="444"/>
        <v>-4.3833333333333337</v>
      </c>
      <c r="L3223" s="36">
        <v>405</v>
      </c>
      <c r="P3223" s="36">
        <f t="shared" si="445"/>
        <v>1050</v>
      </c>
      <c r="R3223" s="51" t="s">
        <v>1858</v>
      </c>
      <c r="S3223" s="51" t="s">
        <v>1858</v>
      </c>
      <c r="T3223" s="51"/>
      <c r="U3223" s="51" t="s">
        <v>3143</v>
      </c>
      <c r="V3223" s="51" t="s">
        <v>1400</v>
      </c>
      <c r="W3223" s="51" t="s">
        <v>1727</v>
      </c>
      <c r="X3223" s="51" t="s">
        <v>1400</v>
      </c>
      <c r="Y3223" s="51" t="s">
        <v>1400</v>
      </c>
      <c r="AA3223" s="331"/>
      <c r="AB3223" s="331"/>
      <c r="AG3223" s="36" t="s">
        <v>3147</v>
      </c>
      <c r="AH3223" s="36" t="s">
        <v>2744</v>
      </c>
      <c r="AI3223" s="36" t="s">
        <v>577</v>
      </c>
      <c r="AJ3223" s="36" t="s">
        <v>1645</v>
      </c>
      <c r="AK3223" s="36" t="s">
        <v>132</v>
      </c>
      <c r="AT3223" s="36" t="s">
        <v>3154</v>
      </c>
      <c r="AU3223" s="36" t="s">
        <v>3154</v>
      </c>
      <c r="AV3223" s="36" t="s">
        <v>177</v>
      </c>
      <c r="AW3223" s="36" t="s">
        <v>3148</v>
      </c>
      <c r="BK3223" s="36">
        <v>1799</v>
      </c>
      <c r="BL3223" s="36">
        <v>2187</v>
      </c>
      <c r="BP3223" s="407"/>
      <c r="BQ3223" s="407"/>
      <c r="BU3223" s="407">
        <v>0.37</v>
      </c>
      <c r="BV3223" s="407">
        <v>0.32</v>
      </c>
      <c r="BZ3223" s="407"/>
      <c r="CA3223" s="407"/>
      <c r="CE3223" s="560">
        <v>0.37</v>
      </c>
      <c r="CF3223" s="560">
        <v>0.32</v>
      </c>
      <c r="CG3223" s="560"/>
      <c r="CH3223" s="560"/>
      <c r="CI3223" s="36" t="s">
        <v>4546</v>
      </c>
      <c r="CJ3223" s="36">
        <v>0.36</v>
      </c>
      <c r="CK3223" s="36">
        <v>0.36</v>
      </c>
      <c r="CN3223" s="36" t="s">
        <v>381</v>
      </c>
      <c r="CO3223" s="36">
        <v>0.98</v>
      </c>
      <c r="CP3223" s="36">
        <v>1.68</v>
      </c>
      <c r="CS3223" s="36" t="s">
        <v>3153</v>
      </c>
      <c r="JD3223" s="230"/>
    </row>
    <row r="3224" spans="1:264" s="36" customFormat="1" x14ac:dyDescent="0.25">
      <c r="A3224" s="36">
        <v>153</v>
      </c>
      <c r="B3224" s="51" t="s">
        <v>4419</v>
      </c>
      <c r="C3224" s="36" t="s">
        <v>3142</v>
      </c>
      <c r="D3224" s="36" t="s">
        <v>3141</v>
      </c>
      <c r="E3224" s="36">
        <v>1999</v>
      </c>
      <c r="F3224" s="36">
        <v>1986</v>
      </c>
      <c r="G3224" s="36" t="s">
        <v>3145</v>
      </c>
      <c r="H3224" s="36" t="s">
        <v>3144</v>
      </c>
      <c r="I3224" s="36" t="s">
        <v>3146</v>
      </c>
      <c r="J3224" s="36">
        <v>11.1</v>
      </c>
      <c r="K3224" s="36">
        <f t="shared" si="444"/>
        <v>-4.3833333333333337</v>
      </c>
      <c r="L3224" s="36">
        <v>405</v>
      </c>
      <c r="P3224" s="36">
        <f t="shared" si="445"/>
        <v>1050</v>
      </c>
      <c r="R3224" s="51" t="s">
        <v>1858</v>
      </c>
      <c r="S3224" s="51" t="s">
        <v>1858</v>
      </c>
      <c r="T3224" s="51"/>
      <c r="U3224" s="51" t="s">
        <v>3143</v>
      </c>
      <c r="V3224" s="51" t="s">
        <v>1400</v>
      </c>
      <c r="W3224" s="51" t="s">
        <v>1727</v>
      </c>
      <c r="X3224" s="51" t="s">
        <v>1400</v>
      </c>
      <c r="Y3224" s="51" t="s">
        <v>1400</v>
      </c>
      <c r="AA3224" s="331"/>
      <c r="AB3224" s="331"/>
      <c r="AG3224" s="36" t="s">
        <v>3147</v>
      </c>
      <c r="AH3224" s="36" t="s">
        <v>2744</v>
      </c>
      <c r="AI3224" s="36" t="s">
        <v>577</v>
      </c>
      <c r="AJ3224" s="36" t="s">
        <v>1645</v>
      </c>
      <c r="AK3224" s="36" t="s">
        <v>132</v>
      </c>
      <c r="AT3224" s="36" t="s">
        <v>3154</v>
      </c>
      <c r="AU3224" s="36" t="s">
        <v>3154</v>
      </c>
      <c r="AV3224" s="36" t="s">
        <v>177</v>
      </c>
      <c r="AW3224" s="36" t="s">
        <v>3148</v>
      </c>
      <c r="BK3224" s="36">
        <v>1799</v>
      </c>
      <c r="BL3224" s="36">
        <v>2205</v>
      </c>
      <c r="BP3224" s="407"/>
      <c r="BQ3224" s="407"/>
      <c r="BU3224" s="407">
        <v>0.37</v>
      </c>
      <c r="BV3224" s="407">
        <v>0.21</v>
      </c>
      <c r="BZ3224" s="407"/>
      <c r="CA3224" s="407"/>
      <c r="CE3224" s="560">
        <v>0.37</v>
      </c>
      <c r="CF3224" s="560">
        <v>0.21</v>
      </c>
      <c r="CG3224" s="560"/>
      <c r="CH3224" s="560"/>
      <c r="CI3224" s="36" t="s">
        <v>4546</v>
      </c>
      <c r="CJ3224" s="36">
        <v>0.36</v>
      </c>
      <c r="CK3224" s="36">
        <v>0.34</v>
      </c>
      <c r="CN3224" s="36" t="s">
        <v>381</v>
      </c>
      <c r="CO3224" s="36">
        <v>0.98</v>
      </c>
      <c r="CP3224" s="36">
        <v>1.23</v>
      </c>
      <c r="CS3224" s="36" t="s">
        <v>3153</v>
      </c>
      <c r="JD3224" s="230"/>
    </row>
    <row r="3225" spans="1:264" s="126" customFormat="1" x14ac:dyDescent="0.25">
      <c r="A3225" s="126">
        <v>153</v>
      </c>
      <c r="B3225" s="478" t="s">
        <v>4419</v>
      </c>
      <c r="C3225" s="126" t="s">
        <v>3142</v>
      </c>
      <c r="D3225" s="126" t="s">
        <v>3141</v>
      </c>
      <c r="E3225" s="126">
        <v>1999</v>
      </c>
      <c r="F3225" s="126">
        <v>1986</v>
      </c>
      <c r="G3225" s="126" t="s">
        <v>3145</v>
      </c>
      <c r="H3225" s="126" t="s">
        <v>3144</v>
      </c>
      <c r="I3225" s="126" t="s">
        <v>3146</v>
      </c>
      <c r="J3225" s="126">
        <v>11.1</v>
      </c>
      <c r="K3225" s="126">
        <f t="shared" si="444"/>
        <v>-4.3833333333333337</v>
      </c>
      <c r="L3225" s="126">
        <v>405</v>
      </c>
      <c r="P3225" s="126">
        <f t="shared" si="445"/>
        <v>1050</v>
      </c>
      <c r="R3225" s="478" t="s">
        <v>1858</v>
      </c>
      <c r="S3225" s="478" t="s">
        <v>1858</v>
      </c>
      <c r="T3225" s="478"/>
      <c r="U3225" s="478" t="s">
        <v>3143</v>
      </c>
      <c r="V3225" s="478" t="s">
        <v>1400</v>
      </c>
      <c r="W3225" s="478" t="s">
        <v>1727</v>
      </c>
      <c r="X3225" s="478" t="s">
        <v>1400</v>
      </c>
      <c r="Y3225" s="478" t="s">
        <v>1400</v>
      </c>
      <c r="AA3225" s="479"/>
      <c r="AB3225" s="479"/>
      <c r="AG3225" s="126" t="s">
        <v>3147</v>
      </c>
      <c r="AH3225" s="126" t="s">
        <v>2326</v>
      </c>
      <c r="AI3225" s="126" t="s">
        <v>577</v>
      </c>
      <c r="AJ3225" s="126" t="s">
        <v>1645</v>
      </c>
      <c r="AK3225" s="126" t="s">
        <v>132</v>
      </c>
      <c r="AT3225" s="126" t="s">
        <v>3155</v>
      </c>
      <c r="AU3225" s="126" t="s">
        <v>3155</v>
      </c>
      <c r="AV3225" s="126" t="s">
        <v>177</v>
      </c>
      <c r="AW3225" s="126" t="s">
        <v>3148</v>
      </c>
      <c r="BP3225" s="481"/>
      <c r="BQ3225" s="481"/>
      <c r="BU3225" s="481">
        <v>0.33</v>
      </c>
      <c r="BV3225" s="481">
        <v>0.31</v>
      </c>
      <c r="BZ3225" s="481"/>
      <c r="CA3225" s="481"/>
      <c r="CE3225" s="605">
        <v>0.33</v>
      </c>
      <c r="CF3225" s="605">
        <v>0.31</v>
      </c>
      <c r="CG3225" s="605"/>
      <c r="CH3225" s="605"/>
      <c r="CI3225" s="126" t="s">
        <v>4546</v>
      </c>
      <c r="CJ3225" s="126">
        <v>0.34</v>
      </c>
      <c r="CK3225" s="126">
        <v>0.35</v>
      </c>
      <c r="CN3225" s="126" t="s">
        <v>381</v>
      </c>
      <c r="CO3225" s="126">
        <v>4.76</v>
      </c>
      <c r="CP3225" s="126">
        <v>2.34</v>
      </c>
      <c r="CS3225" s="126" t="s">
        <v>3153</v>
      </c>
      <c r="JD3225" s="480"/>
    </row>
    <row r="3226" spans="1:264" s="126" customFormat="1" x14ac:dyDescent="0.25">
      <c r="A3226" s="126">
        <v>153</v>
      </c>
      <c r="B3226" s="478" t="s">
        <v>4419</v>
      </c>
      <c r="C3226" s="126" t="s">
        <v>3142</v>
      </c>
      <c r="D3226" s="126" t="s">
        <v>3141</v>
      </c>
      <c r="E3226" s="126">
        <v>1999</v>
      </c>
      <c r="F3226" s="126">
        <v>1986</v>
      </c>
      <c r="G3226" s="126" t="s">
        <v>3145</v>
      </c>
      <c r="H3226" s="126" t="s">
        <v>3144</v>
      </c>
      <c r="I3226" s="126" t="s">
        <v>3146</v>
      </c>
      <c r="J3226" s="126">
        <v>11.1</v>
      </c>
      <c r="K3226" s="126">
        <f t="shared" si="444"/>
        <v>-4.3833333333333337</v>
      </c>
      <c r="L3226" s="126">
        <v>405</v>
      </c>
      <c r="P3226" s="126">
        <f t="shared" si="445"/>
        <v>1050</v>
      </c>
      <c r="R3226" s="478" t="s">
        <v>1858</v>
      </c>
      <c r="S3226" s="478" t="s">
        <v>1858</v>
      </c>
      <c r="T3226" s="478"/>
      <c r="U3226" s="478" t="s">
        <v>3143</v>
      </c>
      <c r="V3226" s="478" t="s">
        <v>1400</v>
      </c>
      <c r="W3226" s="478" t="s">
        <v>1727</v>
      </c>
      <c r="X3226" s="478" t="s">
        <v>1400</v>
      </c>
      <c r="Y3226" s="478" t="s">
        <v>1400</v>
      </c>
      <c r="AA3226" s="479"/>
      <c r="AB3226" s="479"/>
      <c r="AG3226" s="126" t="s">
        <v>3147</v>
      </c>
      <c r="AH3226" s="126" t="s">
        <v>2326</v>
      </c>
      <c r="AI3226" s="126" t="s">
        <v>577</v>
      </c>
      <c r="AJ3226" s="126" t="s">
        <v>1645</v>
      </c>
      <c r="AK3226" s="126" t="s">
        <v>132</v>
      </c>
      <c r="AT3226" s="126" t="s">
        <v>3155</v>
      </c>
      <c r="AU3226" s="126" t="s">
        <v>3155</v>
      </c>
      <c r="AV3226" s="126" t="s">
        <v>177</v>
      </c>
      <c r="AW3226" s="126" t="s">
        <v>3148</v>
      </c>
      <c r="BP3226" s="481"/>
      <c r="BQ3226" s="481"/>
      <c r="BU3226" s="481">
        <v>0.33</v>
      </c>
      <c r="BV3226" s="481">
        <v>0.37</v>
      </c>
      <c r="BZ3226" s="481"/>
      <c r="CA3226" s="481"/>
      <c r="CE3226" s="605">
        <v>0.33</v>
      </c>
      <c r="CF3226" s="605">
        <v>0.37</v>
      </c>
      <c r="CG3226" s="605"/>
      <c r="CH3226" s="605"/>
      <c r="CI3226" s="126" t="s">
        <v>4546</v>
      </c>
      <c r="CJ3226" s="126">
        <v>0.34</v>
      </c>
      <c r="CK3226" s="126">
        <v>0.37</v>
      </c>
      <c r="CN3226" s="126" t="s">
        <v>381</v>
      </c>
      <c r="CO3226" s="126">
        <v>4.76</v>
      </c>
      <c r="CP3226" s="126">
        <v>4.0199999999999996</v>
      </c>
      <c r="CS3226" s="126" t="s">
        <v>3153</v>
      </c>
      <c r="JD3226" s="480"/>
    </row>
    <row r="3227" spans="1:264" s="126" customFormat="1" x14ac:dyDescent="0.25">
      <c r="A3227" s="126">
        <v>153</v>
      </c>
      <c r="B3227" s="478" t="s">
        <v>4419</v>
      </c>
      <c r="C3227" s="126" t="s">
        <v>3142</v>
      </c>
      <c r="D3227" s="126" t="s">
        <v>3141</v>
      </c>
      <c r="E3227" s="126">
        <v>1999</v>
      </c>
      <c r="F3227" s="126">
        <v>1986</v>
      </c>
      <c r="G3227" s="126" t="s">
        <v>3145</v>
      </c>
      <c r="H3227" s="126" t="s">
        <v>3144</v>
      </c>
      <c r="I3227" s="126" t="s">
        <v>3146</v>
      </c>
      <c r="J3227" s="126">
        <v>11.1</v>
      </c>
      <c r="K3227" s="126">
        <f t="shared" si="444"/>
        <v>-4.3833333333333337</v>
      </c>
      <c r="L3227" s="126">
        <v>405</v>
      </c>
      <c r="P3227" s="126">
        <f t="shared" si="445"/>
        <v>1050</v>
      </c>
      <c r="R3227" s="478" t="s">
        <v>1858</v>
      </c>
      <c r="S3227" s="478" t="s">
        <v>1858</v>
      </c>
      <c r="T3227" s="478"/>
      <c r="U3227" s="478" t="s">
        <v>3143</v>
      </c>
      <c r="V3227" s="478" t="s">
        <v>1400</v>
      </c>
      <c r="W3227" s="478" t="s">
        <v>1727</v>
      </c>
      <c r="X3227" s="478" t="s">
        <v>1400</v>
      </c>
      <c r="Y3227" s="478" t="s">
        <v>1400</v>
      </c>
      <c r="AA3227" s="479"/>
      <c r="AB3227" s="479"/>
      <c r="AG3227" s="126" t="s">
        <v>3147</v>
      </c>
      <c r="AH3227" s="126" t="s">
        <v>2326</v>
      </c>
      <c r="AI3227" s="126" t="s">
        <v>577</v>
      </c>
      <c r="AJ3227" s="126" t="s">
        <v>1645</v>
      </c>
      <c r="AK3227" s="126" t="s">
        <v>132</v>
      </c>
      <c r="AT3227" s="126" t="s">
        <v>3155</v>
      </c>
      <c r="AU3227" s="126" t="s">
        <v>3155</v>
      </c>
      <c r="AV3227" s="126" t="s">
        <v>177</v>
      </c>
      <c r="AW3227" s="126" t="s">
        <v>3148</v>
      </c>
      <c r="BP3227" s="481"/>
      <c r="BQ3227" s="481"/>
      <c r="BU3227" s="481">
        <v>0.33</v>
      </c>
      <c r="BV3227" s="481">
        <v>0.32</v>
      </c>
      <c r="BZ3227" s="481"/>
      <c r="CA3227" s="481"/>
      <c r="CE3227" s="605">
        <v>0.33</v>
      </c>
      <c r="CF3227" s="605">
        <v>0.32</v>
      </c>
      <c r="CG3227" s="605"/>
      <c r="CH3227" s="605"/>
      <c r="CI3227" s="126" t="s">
        <v>4546</v>
      </c>
      <c r="CJ3227" s="126">
        <v>0.34</v>
      </c>
      <c r="CK3227" s="126">
        <v>0.33</v>
      </c>
      <c r="CN3227" s="126" t="s">
        <v>381</v>
      </c>
      <c r="CO3227" s="126">
        <v>4.76</v>
      </c>
      <c r="CP3227" s="126">
        <v>3.16</v>
      </c>
      <c r="CS3227" s="126" t="s">
        <v>3153</v>
      </c>
      <c r="JD3227" s="480"/>
    </row>
    <row r="3228" spans="1:264" s="126" customFormat="1" x14ac:dyDescent="0.25">
      <c r="A3228" s="126">
        <v>153</v>
      </c>
      <c r="B3228" s="478" t="s">
        <v>4419</v>
      </c>
      <c r="C3228" s="126" t="s">
        <v>3142</v>
      </c>
      <c r="D3228" s="126" t="s">
        <v>3141</v>
      </c>
      <c r="E3228" s="126">
        <v>1999</v>
      </c>
      <c r="F3228" s="126">
        <v>1986</v>
      </c>
      <c r="G3228" s="126" t="s">
        <v>3145</v>
      </c>
      <c r="H3228" s="126" t="s">
        <v>3144</v>
      </c>
      <c r="I3228" s="126" t="s">
        <v>3146</v>
      </c>
      <c r="J3228" s="126">
        <v>11.1</v>
      </c>
      <c r="K3228" s="126">
        <f t="shared" si="444"/>
        <v>-4.3833333333333337</v>
      </c>
      <c r="L3228" s="126">
        <v>405</v>
      </c>
      <c r="P3228" s="126">
        <f t="shared" si="445"/>
        <v>1050</v>
      </c>
      <c r="R3228" s="478" t="s">
        <v>1858</v>
      </c>
      <c r="S3228" s="478" t="s">
        <v>1858</v>
      </c>
      <c r="T3228" s="478"/>
      <c r="U3228" s="478" t="s">
        <v>3143</v>
      </c>
      <c r="V3228" s="478" t="s">
        <v>1400</v>
      </c>
      <c r="W3228" s="478" t="s">
        <v>1727</v>
      </c>
      <c r="X3228" s="478" t="s">
        <v>1400</v>
      </c>
      <c r="Y3228" s="478" t="s">
        <v>1400</v>
      </c>
      <c r="AA3228" s="479"/>
      <c r="AB3228" s="479"/>
      <c r="AG3228" s="126" t="s">
        <v>3147</v>
      </c>
      <c r="AH3228" s="126" t="s">
        <v>2326</v>
      </c>
      <c r="AI3228" s="126" t="s">
        <v>577</v>
      </c>
      <c r="AJ3228" s="126" t="s">
        <v>1645</v>
      </c>
      <c r="AK3228" s="126" t="s">
        <v>132</v>
      </c>
      <c r="AT3228" s="126" t="s">
        <v>3155</v>
      </c>
      <c r="AU3228" s="126" t="s">
        <v>3155</v>
      </c>
      <c r="AV3228" s="126" t="s">
        <v>177</v>
      </c>
      <c r="AW3228" s="126" t="s">
        <v>3148</v>
      </c>
      <c r="BP3228" s="481"/>
      <c r="BQ3228" s="481"/>
      <c r="BU3228" s="481">
        <v>0.33</v>
      </c>
      <c r="BV3228" s="481">
        <v>0.35</v>
      </c>
      <c r="BZ3228" s="481"/>
      <c r="CA3228" s="481"/>
      <c r="CE3228" s="605">
        <v>0.33</v>
      </c>
      <c r="CF3228" s="605">
        <v>0.35</v>
      </c>
      <c r="CG3228" s="605"/>
      <c r="CH3228" s="605"/>
      <c r="CI3228" s="126" t="s">
        <v>4546</v>
      </c>
      <c r="CJ3228" s="126">
        <v>0.34</v>
      </c>
      <c r="CK3228" s="126">
        <v>0.26</v>
      </c>
      <c r="CN3228" s="126" t="s">
        <v>381</v>
      </c>
      <c r="CO3228" s="126">
        <v>4.76</v>
      </c>
      <c r="CP3228" s="126">
        <v>3.85</v>
      </c>
      <c r="CS3228" s="126" t="s">
        <v>3153</v>
      </c>
      <c r="JD3228" s="480"/>
    </row>
    <row r="3229" spans="1:264" s="126" customFormat="1" x14ac:dyDescent="0.25">
      <c r="A3229" s="126">
        <v>153</v>
      </c>
      <c r="B3229" s="478" t="s">
        <v>4419</v>
      </c>
      <c r="C3229" s="126" t="s">
        <v>3142</v>
      </c>
      <c r="D3229" s="126" t="s">
        <v>3141</v>
      </c>
      <c r="E3229" s="126">
        <v>1999</v>
      </c>
      <c r="F3229" s="126">
        <v>1986</v>
      </c>
      <c r="G3229" s="126" t="s">
        <v>3145</v>
      </c>
      <c r="H3229" s="126" t="s">
        <v>3144</v>
      </c>
      <c r="I3229" s="126" t="s">
        <v>3146</v>
      </c>
      <c r="J3229" s="126">
        <v>11.1</v>
      </c>
      <c r="K3229" s="126">
        <f t="shared" si="444"/>
        <v>-4.3833333333333337</v>
      </c>
      <c r="L3229" s="126">
        <v>405</v>
      </c>
      <c r="P3229" s="126">
        <f t="shared" si="445"/>
        <v>1050</v>
      </c>
      <c r="R3229" s="478" t="s">
        <v>1858</v>
      </c>
      <c r="S3229" s="478" t="s">
        <v>1858</v>
      </c>
      <c r="T3229" s="478"/>
      <c r="U3229" s="478" t="s">
        <v>3143</v>
      </c>
      <c r="V3229" s="478" t="s">
        <v>1400</v>
      </c>
      <c r="W3229" s="478" t="s">
        <v>1727</v>
      </c>
      <c r="X3229" s="478" t="s">
        <v>1400</v>
      </c>
      <c r="Y3229" s="478" t="s">
        <v>1400</v>
      </c>
      <c r="AA3229" s="479"/>
      <c r="AB3229" s="479"/>
      <c r="AG3229" s="126" t="s">
        <v>3147</v>
      </c>
      <c r="AH3229" s="126" t="s">
        <v>2744</v>
      </c>
      <c r="AI3229" s="126" t="s">
        <v>577</v>
      </c>
      <c r="AJ3229" s="126" t="s">
        <v>1645</v>
      </c>
      <c r="AK3229" s="126" t="s">
        <v>132</v>
      </c>
      <c r="AT3229" s="126" t="s">
        <v>3155</v>
      </c>
      <c r="AU3229" s="126" t="s">
        <v>3155</v>
      </c>
      <c r="AV3229" s="126" t="s">
        <v>177</v>
      </c>
      <c r="AW3229" s="126" t="s">
        <v>3148</v>
      </c>
      <c r="BP3229" s="481"/>
      <c r="BQ3229" s="481"/>
      <c r="BU3229" s="481">
        <v>0.33</v>
      </c>
      <c r="BV3229" s="481">
        <v>0.38</v>
      </c>
      <c r="BZ3229" s="481"/>
      <c r="CA3229" s="481"/>
      <c r="CE3229" s="605">
        <v>0.33</v>
      </c>
      <c r="CF3229" s="605">
        <v>0.38</v>
      </c>
      <c r="CG3229" s="605"/>
      <c r="CH3229" s="605"/>
      <c r="CI3229" s="126" t="s">
        <v>4546</v>
      </c>
      <c r="CJ3229" s="126">
        <v>0.34</v>
      </c>
      <c r="CK3229" s="126">
        <v>0.34</v>
      </c>
      <c r="CN3229" s="126" t="s">
        <v>381</v>
      </c>
      <c r="CO3229" s="126">
        <v>4.76</v>
      </c>
      <c r="CP3229" s="126">
        <v>2.23</v>
      </c>
      <c r="CS3229" s="126" t="s">
        <v>3153</v>
      </c>
      <c r="JD3229" s="480"/>
    </row>
    <row r="3230" spans="1:264" s="126" customFormat="1" x14ac:dyDescent="0.25">
      <c r="A3230" s="126">
        <v>153</v>
      </c>
      <c r="B3230" s="478" t="s">
        <v>4419</v>
      </c>
      <c r="C3230" s="126" t="s">
        <v>3142</v>
      </c>
      <c r="D3230" s="126" t="s">
        <v>3141</v>
      </c>
      <c r="E3230" s="126">
        <v>1999</v>
      </c>
      <c r="F3230" s="126">
        <v>1986</v>
      </c>
      <c r="G3230" s="126" t="s">
        <v>3145</v>
      </c>
      <c r="H3230" s="126" t="s">
        <v>3144</v>
      </c>
      <c r="I3230" s="126" t="s">
        <v>3146</v>
      </c>
      <c r="J3230" s="126">
        <v>11.1</v>
      </c>
      <c r="K3230" s="126">
        <f t="shared" si="444"/>
        <v>-4.3833333333333337</v>
      </c>
      <c r="L3230" s="126">
        <v>405</v>
      </c>
      <c r="P3230" s="126">
        <f t="shared" si="445"/>
        <v>1050</v>
      </c>
      <c r="R3230" s="478" t="s">
        <v>1858</v>
      </c>
      <c r="S3230" s="478" t="s">
        <v>1858</v>
      </c>
      <c r="T3230" s="478"/>
      <c r="U3230" s="478" t="s">
        <v>3143</v>
      </c>
      <c r="V3230" s="478" t="s">
        <v>1400</v>
      </c>
      <c r="W3230" s="478" t="s">
        <v>1727</v>
      </c>
      <c r="X3230" s="478" t="s">
        <v>1400</v>
      </c>
      <c r="Y3230" s="478" t="s">
        <v>1400</v>
      </c>
      <c r="AA3230" s="479"/>
      <c r="AB3230" s="479"/>
      <c r="AG3230" s="126" t="s">
        <v>3147</v>
      </c>
      <c r="AH3230" s="126" t="s">
        <v>2744</v>
      </c>
      <c r="AI3230" s="126" t="s">
        <v>577</v>
      </c>
      <c r="AJ3230" s="126" t="s">
        <v>1645</v>
      </c>
      <c r="AK3230" s="126" t="s">
        <v>132</v>
      </c>
      <c r="AT3230" s="126" t="s">
        <v>3155</v>
      </c>
      <c r="AU3230" s="126" t="s">
        <v>3155</v>
      </c>
      <c r="AV3230" s="126" t="s">
        <v>177</v>
      </c>
      <c r="AW3230" s="126" t="s">
        <v>3148</v>
      </c>
      <c r="BP3230" s="481"/>
      <c r="BQ3230" s="481"/>
      <c r="BU3230" s="481">
        <v>0.33</v>
      </c>
      <c r="BV3230" s="481">
        <v>0.33</v>
      </c>
      <c r="BZ3230" s="481"/>
      <c r="CA3230" s="481"/>
      <c r="CE3230" s="605">
        <v>0.33</v>
      </c>
      <c r="CF3230" s="605">
        <v>0.33</v>
      </c>
      <c r="CG3230" s="605"/>
      <c r="CH3230" s="605"/>
      <c r="CI3230" s="126" t="s">
        <v>4546</v>
      </c>
      <c r="CJ3230" s="126">
        <v>0.34</v>
      </c>
      <c r="CK3230" s="126">
        <v>0.33</v>
      </c>
      <c r="CN3230" s="126" t="s">
        <v>381</v>
      </c>
      <c r="CO3230" s="126">
        <v>4.76</v>
      </c>
      <c r="CP3230" s="126">
        <v>1.56</v>
      </c>
      <c r="CS3230" s="126" t="s">
        <v>3153</v>
      </c>
      <c r="JD3230" s="480"/>
    </row>
    <row r="3231" spans="1:264" s="36" customFormat="1" x14ac:dyDescent="0.25">
      <c r="A3231" s="36">
        <v>153</v>
      </c>
      <c r="B3231" s="51" t="s">
        <v>4420</v>
      </c>
      <c r="C3231" s="36" t="s">
        <v>3142</v>
      </c>
      <c r="D3231" s="36" t="s">
        <v>3141</v>
      </c>
      <c r="E3231" s="36">
        <v>1999</v>
      </c>
      <c r="F3231" s="36">
        <v>1986</v>
      </c>
      <c r="G3231" s="36" t="s">
        <v>3145</v>
      </c>
      <c r="H3231" s="36" t="s">
        <v>3144</v>
      </c>
      <c r="I3231" s="36" t="s">
        <v>3146</v>
      </c>
      <c r="J3231" s="36">
        <v>11.1</v>
      </c>
      <c r="K3231" s="36">
        <f t="shared" si="444"/>
        <v>-4.3833333333333337</v>
      </c>
      <c r="L3231" s="36">
        <v>405</v>
      </c>
      <c r="P3231" s="36">
        <f t="shared" si="445"/>
        <v>1050</v>
      </c>
      <c r="R3231" s="51" t="s">
        <v>1858</v>
      </c>
      <c r="S3231" s="51" t="s">
        <v>1858</v>
      </c>
      <c r="T3231" s="51"/>
      <c r="U3231" s="51" t="s">
        <v>3143</v>
      </c>
      <c r="V3231" s="51" t="s">
        <v>1400</v>
      </c>
      <c r="W3231" s="51" t="s">
        <v>1727</v>
      </c>
      <c r="X3231" s="51" t="s">
        <v>1400</v>
      </c>
      <c r="Y3231" s="51" t="s">
        <v>1400</v>
      </c>
      <c r="AA3231" s="331"/>
      <c r="AB3231" s="331"/>
      <c r="AG3231" s="36" t="s">
        <v>3147</v>
      </c>
      <c r="AH3231" s="36" t="s">
        <v>2326</v>
      </c>
      <c r="AI3231" s="36" t="s">
        <v>577</v>
      </c>
      <c r="AJ3231" s="36" t="s">
        <v>1645</v>
      </c>
      <c r="AK3231" s="36" t="s">
        <v>132</v>
      </c>
      <c r="AT3231" s="36" t="s">
        <v>3156</v>
      </c>
      <c r="AU3231" s="36" t="s">
        <v>3156</v>
      </c>
      <c r="AV3231" s="36" t="s">
        <v>177</v>
      </c>
      <c r="AW3231" s="36" t="s">
        <v>3148</v>
      </c>
      <c r="BP3231" s="407"/>
      <c r="BQ3231" s="407"/>
      <c r="BU3231" s="407">
        <v>0.33</v>
      </c>
      <c r="BV3231" s="407">
        <v>0.34</v>
      </c>
      <c r="BZ3231" s="407"/>
      <c r="CA3231" s="407"/>
      <c r="CE3231" s="560">
        <v>0.33</v>
      </c>
      <c r="CF3231" s="560">
        <v>0.34</v>
      </c>
      <c r="CG3231" s="560"/>
      <c r="CH3231" s="560"/>
      <c r="CI3231" s="36" t="s">
        <v>4546</v>
      </c>
      <c r="CJ3231" s="36">
        <v>0.33</v>
      </c>
      <c r="CK3231" s="36">
        <v>0.38</v>
      </c>
      <c r="CN3231" s="36" t="s">
        <v>381</v>
      </c>
      <c r="CO3231" s="36">
        <v>2.09</v>
      </c>
      <c r="CP3231" s="36">
        <v>2.99</v>
      </c>
      <c r="CS3231" s="36" t="s">
        <v>3153</v>
      </c>
      <c r="JD3231" s="230"/>
    </row>
    <row r="3232" spans="1:264" s="36" customFormat="1" x14ac:dyDescent="0.25">
      <c r="A3232" s="36">
        <v>153</v>
      </c>
      <c r="B3232" s="51" t="s">
        <v>4420</v>
      </c>
      <c r="C3232" s="36" t="s">
        <v>3142</v>
      </c>
      <c r="D3232" s="36" t="s">
        <v>3141</v>
      </c>
      <c r="E3232" s="36">
        <v>1999</v>
      </c>
      <c r="F3232" s="36">
        <v>1986</v>
      </c>
      <c r="G3232" s="36" t="s">
        <v>3145</v>
      </c>
      <c r="H3232" s="36" t="s">
        <v>3144</v>
      </c>
      <c r="I3232" s="36" t="s">
        <v>3146</v>
      </c>
      <c r="J3232" s="36">
        <v>11.1</v>
      </c>
      <c r="K3232" s="36">
        <f t="shared" si="444"/>
        <v>-4.3833333333333337</v>
      </c>
      <c r="L3232" s="36">
        <v>405</v>
      </c>
      <c r="P3232" s="36">
        <f t="shared" si="445"/>
        <v>1050</v>
      </c>
      <c r="R3232" s="51" t="s">
        <v>1858</v>
      </c>
      <c r="S3232" s="51" t="s">
        <v>1858</v>
      </c>
      <c r="T3232" s="51"/>
      <c r="U3232" s="51" t="s">
        <v>3143</v>
      </c>
      <c r="V3232" s="51" t="s">
        <v>1400</v>
      </c>
      <c r="W3232" s="51" t="s">
        <v>1727</v>
      </c>
      <c r="X3232" s="51" t="s">
        <v>1400</v>
      </c>
      <c r="Y3232" s="51" t="s">
        <v>1400</v>
      </c>
      <c r="AA3232" s="331"/>
      <c r="AB3232" s="331"/>
      <c r="AG3232" s="36" t="s">
        <v>3147</v>
      </c>
      <c r="AH3232" s="36" t="s">
        <v>2326</v>
      </c>
      <c r="AI3232" s="36" t="s">
        <v>577</v>
      </c>
      <c r="AJ3232" s="36" t="s">
        <v>1645</v>
      </c>
      <c r="AK3232" s="36" t="s">
        <v>132</v>
      </c>
      <c r="AT3232" s="36" t="s">
        <v>3156</v>
      </c>
      <c r="AU3232" s="36" t="s">
        <v>3156</v>
      </c>
      <c r="AV3232" s="36" t="s">
        <v>177</v>
      </c>
      <c r="AW3232" s="36" t="s">
        <v>3148</v>
      </c>
      <c r="BP3232" s="407"/>
      <c r="BQ3232" s="407"/>
      <c r="BU3232" s="407">
        <v>0.33</v>
      </c>
      <c r="BV3232" s="407">
        <v>0.35</v>
      </c>
      <c r="BZ3232" s="407"/>
      <c r="CA3232" s="407"/>
      <c r="CE3232" s="560">
        <v>0.33</v>
      </c>
      <c r="CF3232" s="560">
        <v>0.35</v>
      </c>
      <c r="CG3232" s="560"/>
      <c r="CH3232" s="560"/>
      <c r="CI3232" s="36" t="s">
        <v>4546</v>
      </c>
      <c r="CJ3232" s="36">
        <v>0.33</v>
      </c>
      <c r="CK3232" s="36">
        <v>0.33</v>
      </c>
      <c r="CN3232" s="36" t="s">
        <v>381</v>
      </c>
      <c r="CO3232" s="36">
        <v>2.09</v>
      </c>
      <c r="CP3232" s="36">
        <v>2.2599999999999998</v>
      </c>
      <c r="CS3232" s="36" t="s">
        <v>3153</v>
      </c>
      <c r="JD3232" s="230"/>
    </row>
    <row r="3233" spans="1:264" s="36" customFormat="1" x14ac:dyDescent="0.25">
      <c r="A3233" s="36">
        <v>153</v>
      </c>
      <c r="B3233" s="51" t="s">
        <v>4420</v>
      </c>
      <c r="C3233" s="36" t="s">
        <v>3142</v>
      </c>
      <c r="D3233" s="36" t="s">
        <v>3141</v>
      </c>
      <c r="E3233" s="36">
        <v>1999</v>
      </c>
      <c r="F3233" s="36">
        <v>1986</v>
      </c>
      <c r="G3233" s="36" t="s">
        <v>3145</v>
      </c>
      <c r="H3233" s="36" t="s">
        <v>3144</v>
      </c>
      <c r="I3233" s="36" t="s">
        <v>3146</v>
      </c>
      <c r="J3233" s="36">
        <v>11.1</v>
      </c>
      <c r="K3233" s="36">
        <f t="shared" ref="K3233:K3266" si="446">-4-23/60</f>
        <v>-4.3833333333333337</v>
      </c>
      <c r="L3233" s="36">
        <v>405</v>
      </c>
      <c r="P3233" s="36">
        <f t="shared" ref="P3233:P3266" si="447">(900+1200)/2</f>
        <v>1050</v>
      </c>
      <c r="R3233" s="51" t="s">
        <v>1858</v>
      </c>
      <c r="S3233" s="51" t="s">
        <v>1858</v>
      </c>
      <c r="T3233" s="51"/>
      <c r="U3233" s="51" t="s">
        <v>3143</v>
      </c>
      <c r="V3233" s="51" t="s">
        <v>1400</v>
      </c>
      <c r="W3233" s="51" t="s">
        <v>1727</v>
      </c>
      <c r="X3233" s="51" t="s">
        <v>1400</v>
      </c>
      <c r="Y3233" s="51" t="s">
        <v>1400</v>
      </c>
      <c r="AA3233" s="331"/>
      <c r="AB3233" s="331"/>
      <c r="AG3233" s="36" t="s">
        <v>3147</v>
      </c>
      <c r="AH3233" s="36" t="s">
        <v>2326</v>
      </c>
      <c r="AI3233" s="36" t="s">
        <v>577</v>
      </c>
      <c r="AJ3233" s="36" t="s">
        <v>1645</v>
      </c>
      <c r="AK3233" s="36" t="s">
        <v>132</v>
      </c>
      <c r="AT3233" s="36" t="s">
        <v>3156</v>
      </c>
      <c r="AU3233" s="36" t="s">
        <v>3156</v>
      </c>
      <c r="AV3233" s="36" t="s">
        <v>177</v>
      </c>
      <c r="AW3233" s="36" t="s">
        <v>3148</v>
      </c>
      <c r="BP3233" s="407"/>
      <c r="BQ3233" s="407"/>
      <c r="BU3233" s="407">
        <v>0.33</v>
      </c>
      <c r="BV3233" s="407">
        <v>0.36</v>
      </c>
      <c r="BZ3233" s="407"/>
      <c r="CA3233" s="407"/>
      <c r="CE3233" s="560">
        <v>0.33</v>
      </c>
      <c r="CF3233" s="560">
        <v>0.36</v>
      </c>
      <c r="CG3233" s="560"/>
      <c r="CH3233" s="560"/>
      <c r="CI3233" s="36" t="s">
        <v>4546</v>
      </c>
      <c r="CJ3233" s="36">
        <v>0.33</v>
      </c>
      <c r="CK3233" s="36">
        <v>0.33</v>
      </c>
      <c r="CN3233" s="36" t="s">
        <v>381</v>
      </c>
      <c r="CO3233" s="36">
        <v>2.09</v>
      </c>
      <c r="CP3233" s="36">
        <v>2.09</v>
      </c>
      <c r="CS3233" s="36" t="s">
        <v>3153</v>
      </c>
      <c r="JD3233" s="230"/>
    </row>
    <row r="3234" spans="1:264" s="36" customFormat="1" x14ac:dyDescent="0.25">
      <c r="A3234" s="36">
        <v>153</v>
      </c>
      <c r="B3234" s="51" t="s">
        <v>4420</v>
      </c>
      <c r="C3234" s="36" t="s">
        <v>3142</v>
      </c>
      <c r="D3234" s="36" t="s">
        <v>3141</v>
      </c>
      <c r="E3234" s="36">
        <v>1999</v>
      </c>
      <c r="F3234" s="36">
        <v>1986</v>
      </c>
      <c r="G3234" s="36" t="s">
        <v>3145</v>
      </c>
      <c r="H3234" s="36" t="s">
        <v>3144</v>
      </c>
      <c r="I3234" s="36" t="s">
        <v>3146</v>
      </c>
      <c r="J3234" s="36">
        <v>11.1</v>
      </c>
      <c r="K3234" s="36">
        <f t="shared" si="446"/>
        <v>-4.3833333333333337</v>
      </c>
      <c r="L3234" s="36">
        <v>405</v>
      </c>
      <c r="P3234" s="36">
        <f t="shared" si="447"/>
        <v>1050</v>
      </c>
      <c r="R3234" s="51" t="s">
        <v>1858</v>
      </c>
      <c r="S3234" s="51" t="s">
        <v>1858</v>
      </c>
      <c r="T3234" s="51"/>
      <c r="U3234" s="51" t="s">
        <v>3143</v>
      </c>
      <c r="V3234" s="51" t="s">
        <v>1400</v>
      </c>
      <c r="W3234" s="51" t="s">
        <v>1727</v>
      </c>
      <c r="X3234" s="51" t="s">
        <v>1400</v>
      </c>
      <c r="Y3234" s="51" t="s">
        <v>1400</v>
      </c>
      <c r="AA3234" s="331"/>
      <c r="AB3234" s="331"/>
      <c r="AG3234" s="36" t="s">
        <v>3147</v>
      </c>
      <c r="AH3234" s="36" t="s">
        <v>2326</v>
      </c>
      <c r="AI3234" s="36" t="s">
        <v>577</v>
      </c>
      <c r="AJ3234" s="36" t="s">
        <v>1645</v>
      </c>
      <c r="AK3234" s="36" t="s">
        <v>132</v>
      </c>
      <c r="AT3234" s="36" t="s">
        <v>3156</v>
      </c>
      <c r="AU3234" s="36" t="s">
        <v>3156</v>
      </c>
      <c r="AV3234" s="36" t="s">
        <v>177</v>
      </c>
      <c r="AW3234" s="36" t="s">
        <v>3148</v>
      </c>
      <c r="BP3234" s="407"/>
      <c r="BQ3234" s="407"/>
      <c r="BU3234" s="407">
        <v>0.33</v>
      </c>
      <c r="BV3234" s="407">
        <v>0.32</v>
      </c>
      <c r="BZ3234" s="407"/>
      <c r="CA3234" s="407"/>
      <c r="CE3234" s="560">
        <v>0.33</v>
      </c>
      <c r="CF3234" s="560">
        <v>0.32</v>
      </c>
      <c r="CG3234" s="560"/>
      <c r="CH3234" s="560"/>
      <c r="CI3234" s="36" t="s">
        <v>4546</v>
      </c>
      <c r="CJ3234" s="36">
        <v>0.33</v>
      </c>
      <c r="CK3234" s="36">
        <v>0.27</v>
      </c>
      <c r="CN3234" s="36" t="s">
        <v>381</v>
      </c>
      <c r="CO3234" s="36">
        <v>2.09</v>
      </c>
      <c r="CP3234" s="36">
        <v>2.87</v>
      </c>
      <c r="CS3234" s="36" t="s">
        <v>3153</v>
      </c>
      <c r="JD3234" s="230"/>
    </row>
    <row r="3235" spans="1:264" s="36" customFormat="1" x14ac:dyDescent="0.25">
      <c r="A3235" s="36">
        <v>153</v>
      </c>
      <c r="B3235" s="51" t="s">
        <v>4420</v>
      </c>
      <c r="C3235" s="36" t="s">
        <v>3142</v>
      </c>
      <c r="D3235" s="36" t="s">
        <v>3141</v>
      </c>
      <c r="E3235" s="36">
        <v>1999</v>
      </c>
      <c r="F3235" s="36">
        <v>1986</v>
      </c>
      <c r="G3235" s="36" t="s">
        <v>3145</v>
      </c>
      <c r="H3235" s="36" t="s">
        <v>3144</v>
      </c>
      <c r="I3235" s="36" t="s">
        <v>3146</v>
      </c>
      <c r="J3235" s="36">
        <v>11.1</v>
      </c>
      <c r="K3235" s="36">
        <f t="shared" si="446"/>
        <v>-4.3833333333333337</v>
      </c>
      <c r="L3235" s="36">
        <v>405</v>
      </c>
      <c r="P3235" s="36">
        <f t="shared" si="447"/>
        <v>1050</v>
      </c>
      <c r="R3235" s="51" t="s">
        <v>1858</v>
      </c>
      <c r="S3235" s="51" t="s">
        <v>1858</v>
      </c>
      <c r="T3235" s="51"/>
      <c r="U3235" s="51" t="s">
        <v>3143</v>
      </c>
      <c r="V3235" s="51" t="s">
        <v>1400</v>
      </c>
      <c r="W3235" s="51" t="s">
        <v>1727</v>
      </c>
      <c r="X3235" s="51" t="s">
        <v>1400</v>
      </c>
      <c r="Y3235" s="51" t="s">
        <v>1400</v>
      </c>
      <c r="AA3235" s="331"/>
      <c r="AB3235" s="331"/>
      <c r="AG3235" s="36" t="s">
        <v>3147</v>
      </c>
      <c r="AH3235" s="36" t="s">
        <v>2744</v>
      </c>
      <c r="AI3235" s="36" t="s">
        <v>577</v>
      </c>
      <c r="AJ3235" s="36" t="s">
        <v>1645</v>
      </c>
      <c r="AK3235" s="36" t="s">
        <v>132</v>
      </c>
      <c r="AT3235" s="36" t="s">
        <v>3156</v>
      </c>
      <c r="AU3235" s="36" t="s">
        <v>3156</v>
      </c>
      <c r="AV3235" s="36" t="s">
        <v>177</v>
      </c>
      <c r="AW3235" s="36" t="s">
        <v>3148</v>
      </c>
      <c r="BP3235" s="407"/>
      <c r="BQ3235" s="407"/>
      <c r="BU3235" s="407">
        <v>0.33</v>
      </c>
      <c r="BV3235" s="407">
        <v>0.38</v>
      </c>
      <c r="BZ3235" s="407"/>
      <c r="CA3235" s="407"/>
      <c r="CE3235" s="560">
        <v>0.33</v>
      </c>
      <c r="CF3235" s="560">
        <v>0.38</v>
      </c>
      <c r="CG3235" s="560"/>
      <c r="CH3235" s="560"/>
      <c r="CI3235" s="36" t="s">
        <v>4546</v>
      </c>
      <c r="CJ3235" s="36">
        <v>0.33</v>
      </c>
      <c r="CK3235" s="36">
        <v>0.34</v>
      </c>
      <c r="CN3235" s="36" t="s">
        <v>381</v>
      </c>
      <c r="CO3235" s="36">
        <v>2.09</v>
      </c>
      <c r="CP3235" s="36">
        <v>0.82</v>
      </c>
      <c r="CS3235" s="36" t="s">
        <v>3153</v>
      </c>
      <c r="JD3235" s="230"/>
    </row>
    <row r="3236" spans="1:264" s="36" customFormat="1" x14ac:dyDescent="0.25">
      <c r="A3236" s="36">
        <v>153</v>
      </c>
      <c r="B3236" s="51" t="s">
        <v>4420</v>
      </c>
      <c r="C3236" s="36" t="s">
        <v>3142</v>
      </c>
      <c r="D3236" s="36" t="s">
        <v>3141</v>
      </c>
      <c r="E3236" s="36">
        <v>1999</v>
      </c>
      <c r="F3236" s="36">
        <v>1986</v>
      </c>
      <c r="G3236" s="36" t="s">
        <v>3145</v>
      </c>
      <c r="H3236" s="36" t="s">
        <v>3144</v>
      </c>
      <c r="I3236" s="36" t="s">
        <v>3146</v>
      </c>
      <c r="J3236" s="36">
        <v>11.1</v>
      </c>
      <c r="K3236" s="36">
        <f t="shared" si="446"/>
        <v>-4.3833333333333337</v>
      </c>
      <c r="L3236" s="36">
        <v>405</v>
      </c>
      <c r="P3236" s="36">
        <f t="shared" si="447"/>
        <v>1050</v>
      </c>
      <c r="R3236" s="51" t="s">
        <v>1858</v>
      </c>
      <c r="S3236" s="51" t="s">
        <v>1858</v>
      </c>
      <c r="T3236" s="51"/>
      <c r="U3236" s="51" t="s">
        <v>3143</v>
      </c>
      <c r="V3236" s="51" t="s">
        <v>1400</v>
      </c>
      <c r="W3236" s="51" t="s">
        <v>1727</v>
      </c>
      <c r="X3236" s="51" t="s">
        <v>1400</v>
      </c>
      <c r="Y3236" s="51" t="s">
        <v>1400</v>
      </c>
      <c r="AA3236" s="331"/>
      <c r="AB3236" s="331"/>
      <c r="AG3236" s="36" t="s">
        <v>3147</v>
      </c>
      <c r="AH3236" s="36" t="s">
        <v>2744</v>
      </c>
      <c r="AI3236" s="36" t="s">
        <v>577</v>
      </c>
      <c r="AJ3236" s="36" t="s">
        <v>1645</v>
      </c>
      <c r="AK3236" s="36" t="s">
        <v>132</v>
      </c>
      <c r="AT3236" s="36" t="s">
        <v>3156</v>
      </c>
      <c r="AU3236" s="36" t="s">
        <v>3156</v>
      </c>
      <c r="AV3236" s="36" t="s">
        <v>177</v>
      </c>
      <c r="AW3236" s="36" t="s">
        <v>3148</v>
      </c>
      <c r="BP3236" s="407"/>
      <c r="BQ3236" s="407"/>
      <c r="BU3236" s="407">
        <v>0.33</v>
      </c>
      <c r="BV3236" s="407">
        <v>0.35</v>
      </c>
      <c r="BZ3236" s="407"/>
      <c r="CA3236" s="407"/>
      <c r="CE3236" s="560">
        <v>0.33</v>
      </c>
      <c r="CF3236" s="560">
        <v>0.35</v>
      </c>
      <c r="CG3236" s="560"/>
      <c r="CH3236" s="560"/>
      <c r="CI3236" s="36" t="s">
        <v>4546</v>
      </c>
      <c r="CJ3236" s="36">
        <v>0.33</v>
      </c>
      <c r="CK3236" s="36">
        <v>0.31</v>
      </c>
      <c r="CN3236" s="36" t="s">
        <v>381</v>
      </c>
      <c r="CO3236" s="36">
        <v>2.09</v>
      </c>
      <c r="CP3236" s="36">
        <v>1.52</v>
      </c>
      <c r="CS3236" s="36" t="s">
        <v>3153</v>
      </c>
      <c r="JD3236" s="230"/>
    </row>
    <row r="3237" spans="1:264" s="126" customFormat="1" x14ac:dyDescent="0.25">
      <c r="A3237" s="126">
        <v>153</v>
      </c>
      <c r="B3237" s="478" t="s">
        <v>4420</v>
      </c>
      <c r="C3237" s="126" t="s">
        <v>3142</v>
      </c>
      <c r="D3237" s="126" t="s">
        <v>3141</v>
      </c>
      <c r="E3237" s="126">
        <v>1999</v>
      </c>
      <c r="F3237" s="126">
        <v>1986</v>
      </c>
      <c r="G3237" s="126" t="s">
        <v>3145</v>
      </c>
      <c r="H3237" s="126" t="s">
        <v>3144</v>
      </c>
      <c r="I3237" s="126" t="s">
        <v>3146</v>
      </c>
      <c r="J3237" s="126">
        <v>11.1</v>
      </c>
      <c r="K3237" s="126">
        <f t="shared" si="446"/>
        <v>-4.3833333333333337</v>
      </c>
      <c r="L3237" s="126">
        <v>405</v>
      </c>
      <c r="P3237" s="126">
        <f t="shared" si="447"/>
        <v>1050</v>
      </c>
      <c r="R3237" s="478" t="s">
        <v>1858</v>
      </c>
      <c r="S3237" s="478" t="s">
        <v>1858</v>
      </c>
      <c r="T3237" s="478"/>
      <c r="U3237" s="478" t="s">
        <v>3143</v>
      </c>
      <c r="V3237" s="478" t="s">
        <v>1400</v>
      </c>
      <c r="W3237" s="478" t="s">
        <v>1727</v>
      </c>
      <c r="X3237" s="478" t="s">
        <v>1400</v>
      </c>
      <c r="Y3237" s="478" t="s">
        <v>1400</v>
      </c>
      <c r="AA3237" s="479"/>
      <c r="AB3237" s="479"/>
      <c r="AG3237" s="126" t="s">
        <v>3147</v>
      </c>
      <c r="AH3237" s="126" t="s">
        <v>2326</v>
      </c>
      <c r="AI3237" s="126" t="s">
        <v>577</v>
      </c>
      <c r="AJ3237" s="126" t="s">
        <v>1645</v>
      </c>
      <c r="AK3237" s="126" t="s">
        <v>132</v>
      </c>
      <c r="AT3237" s="126" t="s">
        <v>3157</v>
      </c>
      <c r="AU3237" s="126" t="s">
        <v>3157</v>
      </c>
      <c r="AV3237" s="126" t="s">
        <v>177</v>
      </c>
      <c r="AW3237" s="126" t="s">
        <v>3148</v>
      </c>
      <c r="BP3237" s="481"/>
      <c r="BQ3237" s="481"/>
      <c r="BU3237" s="481">
        <v>0.37</v>
      </c>
      <c r="BV3237" s="481">
        <v>0.35</v>
      </c>
      <c r="BZ3237" s="481"/>
      <c r="CA3237" s="481"/>
      <c r="CE3237" s="605">
        <v>0.37</v>
      </c>
      <c r="CF3237" s="605">
        <v>0.35</v>
      </c>
      <c r="CG3237" s="605"/>
      <c r="CH3237" s="605"/>
      <c r="CI3237" s="126" t="s">
        <v>4546</v>
      </c>
      <c r="CJ3237" s="126">
        <v>0.35</v>
      </c>
      <c r="CK3237" s="126">
        <v>0.37</v>
      </c>
      <c r="CN3237" s="126" t="s">
        <v>381</v>
      </c>
      <c r="CO3237" s="126">
        <v>3.2</v>
      </c>
      <c r="CP3237" s="126">
        <v>3.73</v>
      </c>
      <c r="CS3237" s="126" t="s">
        <v>3153</v>
      </c>
      <c r="JD3237" s="480"/>
    </row>
    <row r="3238" spans="1:264" s="126" customFormat="1" x14ac:dyDescent="0.25">
      <c r="A3238" s="126">
        <v>153</v>
      </c>
      <c r="B3238" s="478" t="s">
        <v>4420</v>
      </c>
      <c r="C3238" s="126" t="s">
        <v>3142</v>
      </c>
      <c r="D3238" s="126" t="s">
        <v>3141</v>
      </c>
      <c r="E3238" s="126">
        <v>1999</v>
      </c>
      <c r="F3238" s="126">
        <v>1986</v>
      </c>
      <c r="G3238" s="126" t="s">
        <v>3145</v>
      </c>
      <c r="H3238" s="126" t="s">
        <v>3144</v>
      </c>
      <c r="I3238" s="126" t="s">
        <v>3146</v>
      </c>
      <c r="J3238" s="126">
        <v>11.1</v>
      </c>
      <c r="K3238" s="126">
        <f t="shared" si="446"/>
        <v>-4.3833333333333337</v>
      </c>
      <c r="L3238" s="126">
        <v>405</v>
      </c>
      <c r="P3238" s="126">
        <f t="shared" si="447"/>
        <v>1050</v>
      </c>
      <c r="R3238" s="478" t="s">
        <v>1858</v>
      </c>
      <c r="S3238" s="478" t="s">
        <v>1858</v>
      </c>
      <c r="T3238" s="478"/>
      <c r="U3238" s="478" t="s">
        <v>3143</v>
      </c>
      <c r="V3238" s="478" t="s">
        <v>1400</v>
      </c>
      <c r="W3238" s="478" t="s">
        <v>1727</v>
      </c>
      <c r="X3238" s="478" t="s">
        <v>1400</v>
      </c>
      <c r="Y3238" s="478" t="s">
        <v>1400</v>
      </c>
      <c r="AA3238" s="479"/>
      <c r="AB3238" s="479"/>
      <c r="AG3238" s="126" t="s">
        <v>3147</v>
      </c>
      <c r="AH3238" s="126" t="s">
        <v>2326</v>
      </c>
      <c r="AI3238" s="126" t="s">
        <v>577</v>
      </c>
      <c r="AJ3238" s="126" t="s">
        <v>1645</v>
      </c>
      <c r="AK3238" s="126" t="s">
        <v>132</v>
      </c>
      <c r="AT3238" s="126" t="s">
        <v>3157</v>
      </c>
      <c r="AU3238" s="126" t="s">
        <v>3157</v>
      </c>
      <c r="AV3238" s="126" t="s">
        <v>177</v>
      </c>
      <c r="AW3238" s="126" t="s">
        <v>3148</v>
      </c>
      <c r="BP3238" s="481"/>
      <c r="BQ3238" s="481"/>
      <c r="BU3238" s="481">
        <v>0.37</v>
      </c>
      <c r="BV3238" s="481">
        <v>0.41</v>
      </c>
      <c r="BZ3238" s="481"/>
      <c r="CA3238" s="481"/>
      <c r="CE3238" s="605">
        <v>0.37</v>
      </c>
      <c r="CF3238" s="605">
        <v>0.41</v>
      </c>
      <c r="CG3238" s="605"/>
      <c r="CH3238" s="605"/>
      <c r="CI3238" s="126" t="s">
        <v>4546</v>
      </c>
      <c r="CJ3238" s="126">
        <v>0.35</v>
      </c>
      <c r="CK3238" s="126">
        <v>0.38</v>
      </c>
      <c r="CN3238" s="126" t="s">
        <v>381</v>
      </c>
      <c r="CO3238" s="126">
        <v>3.2</v>
      </c>
      <c r="CP3238" s="126">
        <v>5.04</v>
      </c>
      <c r="CS3238" s="126" t="s">
        <v>3153</v>
      </c>
      <c r="JD3238" s="480"/>
    </row>
    <row r="3239" spans="1:264" s="126" customFormat="1" x14ac:dyDescent="0.25">
      <c r="A3239" s="126">
        <v>153</v>
      </c>
      <c r="B3239" s="478" t="s">
        <v>4420</v>
      </c>
      <c r="C3239" s="126" t="s">
        <v>3142</v>
      </c>
      <c r="D3239" s="126" t="s">
        <v>3141</v>
      </c>
      <c r="E3239" s="126">
        <v>1999</v>
      </c>
      <c r="F3239" s="126">
        <v>1986</v>
      </c>
      <c r="G3239" s="126" t="s">
        <v>3145</v>
      </c>
      <c r="H3239" s="126" t="s">
        <v>3144</v>
      </c>
      <c r="I3239" s="126" t="s">
        <v>3146</v>
      </c>
      <c r="J3239" s="126">
        <v>11.1</v>
      </c>
      <c r="K3239" s="126">
        <f t="shared" si="446"/>
        <v>-4.3833333333333337</v>
      </c>
      <c r="L3239" s="126">
        <v>405</v>
      </c>
      <c r="P3239" s="126">
        <f t="shared" si="447"/>
        <v>1050</v>
      </c>
      <c r="R3239" s="478" t="s">
        <v>1858</v>
      </c>
      <c r="S3239" s="478" t="s">
        <v>1858</v>
      </c>
      <c r="T3239" s="478"/>
      <c r="U3239" s="478" t="s">
        <v>3143</v>
      </c>
      <c r="V3239" s="478" t="s">
        <v>1400</v>
      </c>
      <c r="W3239" s="478" t="s">
        <v>1727</v>
      </c>
      <c r="X3239" s="478" t="s">
        <v>1400</v>
      </c>
      <c r="Y3239" s="478" t="s">
        <v>1400</v>
      </c>
      <c r="AA3239" s="479"/>
      <c r="AB3239" s="479"/>
      <c r="AG3239" s="126" t="s">
        <v>3147</v>
      </c>
      <c r="AH3239" s="126" t="s">
        <v>2326</v>
      </c>
      <c r="AI3239" s="126" t="s">
        <v>577</v>
      </c>
      <c r="AJ3239" s="126" t="s">
        <v>1645</v>
      </c>
      <c r="AK3239" s="126" t="s">
        <v>132</v>
      </c>
      <c r="AT3239" s="126" t="s">
        <v>3157</v>
      </c>
      <c r="AU3239" s="126" t="s">
        <v>3157</v>
      </c>
      <c r="AV3239" s="126" t="s">
        <v>177</v>
      </c>
      <c r="AW3239" s="126" t="s">
        <v>3148</v>
      </c>
      <c r="BP3239" s="481"/>
      <c r="BQ3239" s="481"/>
      <c r="BU3239" s="481">
        <v>0.37</v>
      </c>
      <c r="BV3239" s="481">
        <v>0.37</v>
      </c>
      <c r="BZ3239" s="481"/>
      <c r="CA3239" s="481"/>
      <c r="CE3239" s="605">
        <v>0.37</v>
      </c>
      <c r="CF3239" s="605">
        <v>0.37</v>
      </c>
      <c r="CG3239" s="605"/>
      <c r="CH3239" s="605"/>
      <c r="CI3239" s="126" t="s">
        <v>4546</v>
      </c>
      <c r="CJ3239" s="126">
        <v>0.35</v>
      </c>
      <c r="CK3239" s="126">
        <v>0.3</v>
      </c>
      <c r="CN3239" s="126" t="s">
        <v>381</v>
      </c>
      <c r="CO3239" s="126">
        <v>3.2</v>
      </c>
      <c r="CP3239" s="126">
        <v>3.36</v>
      </c>
      <c r="CS3239" s="126" t="s">
        <v>3153</v>
      </c>
      <c r="JD3239" s="480"/>
    </row>
    <row r="3240" spans="1:264" s="126" customFormat="1" x14ac:dyDescent="0.25">
      <c r="A3240" s="126">
        <v>153</v>
      </c>
      <c r="B3240" s="478" t="s">
        <v>4420</v>
      </c>
      <c r="C3240" s="126" t="s">
        <v>3142</v>
      </c>
      <c r="D3240" s="126" t="s">
        <v>3141</v>
      </c>
      <c r="E3240" s="126">
        <v>1999</v>
      </c>
      <c r="F3240" s="126">
        <v>1986</v>
      </c>
      <c r="G3240" s="126" t="s">
        <v>3145</v>
      </c>
      <c r="H3240" s="126" t="s">
        <v>3144</v>
      </c>
      <c r="I3240" s="126" t="s">
        <v>3146</v>
      </c>
      <c r="J3240" s="126">
        <v>11.1</v>
      </c>
      <c r="K3240" s="126">
        <f t="shared" si="446"/>
        <v>-4.3833333333333337</v>
      </c>
      <c r="L3240" s="126">
        <v>405</v>
      </c>
      <c r="P3240" s="126">
        <f t="shared" si="447"/>
        <v>1050</v>
      </c>
      <c r="R3240" s="478" t="s">
        <v>1858</v>
      </c>
      <c r="S3240" s="478" t="s">
        <v>1858</v>
      </c>
      <c r="T3240" s="478"/>
      <c r="U3240" s="478" t="s">
        <v>3143</v>
      </c>
      <c r="V3240" s="478" t="s">
        <v>1400</v>
      </c>
      <c r="W3240" s="478" t="s">
        <v>1727</v>
      </c>
      <c r="X3240" s="478" t="s">
        <v>1400</v>
      </c>
      <c r="Y3240" s="478" t="s">
        <v>1400</v>
      </c>
      <c r="AA3240" s="479"/>
      <c r="AB3240" s="479"/>
      <c r="AG3240" s="126" t="s">
        <v>3147</v>
      </c>
      <c r="AH3240" s="126" t="s">
        <v>2326</v>
      </c>
      <c r="AI3240" s="126" t="s">
        <v>577</v>
      </c>
      <c r="AJ3240" s="126" t="s">
        <v>1645</v>
      </c>
      <c r="AK3240" s="126" t="s">
        <v>132</v>
      </c>
      <c r="AT3240" s="126" t="s">
        <v>3157</v>
      </c>
      <c r="AU3240" s="126" t="s">
        <v>3157</v>
      </c>
      <c r="AV3240" s="126" t="s">
        <v>177</v>
      </c>
      <c r="AW3240" s="126" t="s">
        <v>3148</v>
      </c>
      <c r="BP3240" s="481"/>
      <c r="BQ3240" s="481"/>
      <c r="BU3240" s="481">
        <v>0.37</v>
      </c>
      <c r="BV3240" s="481">
        <v>0.32</v>
      </c>
      <c r="BZ3240" s="481"/>
      <c r="CA3240" s="481"/>
      <c r="CE3240" s="605">
        <v>0.37</v>
      </c>
      <c r="CF3240" s="605">
        <v>0.32</v>
      </c>
      <c r="CG3240" s="605"/>
      <c r="CH3240" s="605"/>
      <c r="CI3240" s="126" t="s">
        <v>4546</v>
      </c>
      <c r="CJ3240" s="126">
        <v>0.35</v>
      </c>
      <c r="CK3240" s="126">
        <v>0.27</v>
      </c>
      <c r="CN3240" s="126" t="s">
        <v>381</v>
      </c>
      <c r="CO3240" s="126">
        <v>3.2</v>
      </c>
      <c r="CP3240" s="126">
        <v>3.53</v>
      </c>
      <c r="CS3240" s="126" t="s">
        <v>3153</v>
      </c>
      <c r="JD3240" s="480"/>
    </row>
    <row r="3241" spans="1:264" s="126" customFormat="1" x14ac:dyDescent="0.25">
      <c r="A3241" s="126">
        <v>153</v>
      </c>
      <c r="B3241" s="478" t="s">
        <v>4420</v>
      </c>
      <c r="C3241" s="126" t="s">
        <v>3142</v>
      </c>
      <c r="D3241" s="126" t="s">
        <v>3141</v>
      </c>
      <c r="E3241" s="126">
        <v>1999</v>
      </c>
      <c r="F3241" s="126">
        <v>1986</v>
      </c>
      <c r="G3241" s="126" t="s">
        <v>3145</v>
      </c>
      <c r="H3241" s="126" t="s">
        <v>3144</v>
      </c>
      <c r="I3241" s="126" t="s">
        <v>3146</v>
      </c>
      <c r="J3241" s="126">
        <v>11.1</v>
      </c>
      <c r="K3241" s="126">
        <f t="shared" si="446"/>
        <v>-4.3833333333333337</v>
      </c>
      <c r="L3241" s="126">
        <v>405</v>
      </c>
      <c r="P3241" s="126">
        <f t="shared" si="447"/>
        <v>1050</v>
      </c>
      <c r="R3241" s="478" t="s">
        <v>1858</v>
      </c>
      <c r="S3241" s="478" t="s">
        <v>1858</v>
      </c>
      <c r="T3241" s="478"/>
      <c r="U3241" s="478" t="s">
        <v>3143</v>
      </c>
      <c r="V3241" s="478" t="s">
        <v>1400</v>
      </c>
      <c r="W3241" s="478" t="s">
        <v>1727</v>
      </c>
      <c r="X3241" s="478" t="s">
        <v>1400</v>
      </c>
      <c r="Y3241" s="478" t="s">
        <v>1400</v>
      </c>
      <c r="AA3241" s="479"/>
      <c r="AB3241" s="479"/>
      <c r="AG3241" s="126" t="s">
        <v>3147</v>
      </c>
      <c r="AH3241" s="126" t="s">
        <v>2744</v>
      </c>
      <c r="AI3241" s="126" t="s">
        <v>577</v>
      </c>
      <c r="AJ3241" s="126" t="s">
        <v>1645</v>
      </c>
      <c r="AK3241" s="126" t="s">
        <v>132</v>
      </c>
      <c r="AT3241" s="126" t="s">
        <v>3157</v>
      </c>
      <c r="AU3241" s="126" t="s">
        <v>3157</v>
      </c>
      <c r="AV3241" s="126" t="s">
        <v>177</v>
      </c>
      <c r="AW3241" s="126" t="s">
        <v>3148</v>
      </c>
      <c r="BP3241" s="481"/>
      <c r="BQ3241" s="481"/>
      <c r="BU3241" s="481">
        <v>0.37</v>
      </c>
      <c r="BV3241" s="481">
        <v>0.37</v>
      </c>
      <c r="BZ3241" s="481"/>
      <c r="CA3241" s="481"/>
      <c r="CE3241" s="605">
        <v>0.37</v>
      </c>
      <c r="CF3241" s="605">
        <v>0.37</v>
      </c>
      <c r="CG3241" s="605"/>
      <c r="CH3241" s="605"/>
      <c r="CI3241" s="126" t="s">
        <v>4546</v>
      </c>
      <c r="CJ3241" s="126">
        <v>0.35</v>
      </c>
      <c r="CK3241" s="126">
        <v>0.34</v>
      </c>
      <c r="CN3241" s="126" t="s">
        <v>381</v>
      </c>
      <c r="CO3241" s="126">
        <v>3.2</v>
      </c>
      <c r="CP3241" s="126">
        <v>2.17</v>
      </c>
      <c r="CS3241" s="126" t="s">
        <v>3153</v>
      </c>
      <c r="JD3241" s="480"/>
    </row>
    <row r="3242" spans="1:264" s="126" customFormat="1" x14ac:dyDescent="0.25">
      <c r="A3242" s="126">
        <v>153</v>
      </c>
      <c r="B3242" s="478" t="s">
        <v>4420</v>
      </c>
      <c r="C3242" s="126" t="s">
        <v>3142</v>
      </c>
      <c r="D3242" s="126" t="s">
        <v>3141</v>
      </c>
      <c r="E3242" s="126">
        <v>1999</v>
      </c>
      <c r="F3242" s="126">
        <v>1986</v>
      </c>
      <c r="G3242" s="126" t="s">
        <v>3145</v>
      </c>
      <c r="H3242" s="126" t="s">
        <v>3144</v>
      </c>
      <c r="I3242" s="126" t="s">
        <v>3146</v>
      </c>
      <c r="J3242" s="126">
        <v>11.1</v>
      </c>
      <c r="K3242" s="126">
        <f t="shared" si="446"/>
        <v>-4.3833333333333337</v>
      </c>
      <c r="L3242" s="126">
        <v>405</v>
      </c>
      <c r="P3242" s="126">
        <f t="shared" si="447"/>
        <v>1050</v>
      </c>
      <c r="R3242" s="478" t="s">
        <v>1858</v>
      </c>
      <c r="S3242" s="478" t="s">
        <v>1858</v>
      </c>
      <c r="T3242" s="478"/>
      <c r="U3242" s="478" t="s">
        <v>3143</v>
      </c>
      <c r="V3242" s="478" t="s">
        <v>1400</v>
      </c>
      <c r="W3242" s="478" t="s">
        <v>1727</v>
      </c>
      <c r="X3242" s="478" t="s">
        <v>1400</v>
      </c>
      <c r="Y3242" s="478" t="s">
        <v>1400</v>
      </c>
      <c r="AA3242" s="479"/>
      <c r="AB3242" s="479"/>
      <c r="AG3242" s="126" t="s">
        <v>3147</v>
      </c>
      <c r="AH3242" s="126" t="s">
        <v>2744</v>
      </c>
      <c r="AI3242" s="126" t="s">
        <v>577</v>
      </c>
      <c r="AJ3242" s="126" t="s">
        <v>1645</v>
      </c>
      <c r="AK3242" s="126" t="s">
        <v>132</v>
      </c>
      <c r="AT3242" s="126" t="s">
        <v>3157</v>
      </c>
      <c r="AU3242" s="126" t="s">
        <v>3157</v>
      </c>
      <c r="AV3242" s="126" t="s">
        <v>177</v>
      </c>
      <c r="AW3242" s="126" t="s">
        <v>3148</v>
      </c>
      <c r="BP3242" s="481"/>
      <c r="BQ3242" s="481"/>
      <c r="BU3242" s="481">
        <v>0.37</v>
      </c>
      <c r="BV3242" s="481">
        <v>0.36</v>
      </c>
      <c r="BZ3242" s="481"/>
      <c r="CA3242" s="481"/>
      <c r="CE3242" s="605">
        <v>0.37</v>
      </c>
      <c r="CF3242" s="605">
        <v>0.36</v>
      </c>
      <c r="CG3242" s="605"/>
      <c r="CH3242" s="605"/>
      <c r="CI3242" s="126" t="s">
        <v>4546</v>
      </c>
      <c r="CJ3242" s="126">
        <v>0.35</v>
      </c>
      <c r="CK3242" s="126">
        <v>0.34</v>
      </c>
      <c r="CN3242" s="126" t="s">
        <v>381</v>
      </c>
      <c r="CO3242" s="126">
        <v>3.2</v>
      </c>
      <c r="CP3242" s="126">
        <v>3.52</v>
      </c>
      <c r="CS3242" s="126" t="s">
        <v>3153</v>
      </c>
      <c r="JD3242" s="480"/>
    </row>
    <row r="3243" spans="1:264" s="36" customFormat="1" x14ac:dyDescent="0.25">
      <c r="A3243" s="36">
        <v>153</v>
      </c>
      <c r="B3243" s="51" t="s">
        <v>4419</v>
      </c>
      <c r="C3243" s="36" t="s">
        <v>3142</v>
      </c>
      <c r="D3243" s="36" t="s">
        <v>3141</v>
      </c>
      <c r="E3243" s="36">
        <v>1999</v>
      </c>
      <c r="F3243" s="36">
        <v>1986</v>
      </c>
      <c r="G3243" s="36" t="s">
        <v>3145</v>
      </c>
      <c r="H3243" s="36" t="s">
        <v>3144</v>
      </c>
      <c r="I3243" s="36" t="s">
        <v>3146</v>
      </c>
      <c r="J3243" s="36">
        <v>11.1</v>
      </c>
      <c r="K3243" s="36">
        <f t="shared" si="446"/>
        <v>-4.3833333333333337</v>
      </c>
      <c r="L3243" s="36">
        <v>405</v>
      </c>
      <c r="P3243" s="36">
        <f t="shared" si="447"/>
        <v>1050</v>
      </c>
      <c r="R3243" s="51" t="s">
        <v>1858</v>
      </c>
      <c r="S3243" s="51" t="s">
        <v>1858</v>
      </c>
      <c r="T3243" s="51"/>
      <c r="U3243" s="51" t="s">
        <v>3143</v>
      </c>
      <c r="V3243" s="51" t="s">
        <v>1400</v>
      </c>
      <c r="W3243" s="51" t="s">
        <v>1727</v>
      </c>
      <c r="X3243" s="51" t="s">
        <v>1400</v>
      </c>
      <c r="Y3243" s="51" t="s">
        <v>1400</v>
      </c>
      <c r="AA3243" s="331"/>
      <c r="AB3243" s="331"/>
      <c r="AG3243" s="36" t="s">
        <v>3147</v>
      </c>
      <c r="AH3243" s="36" t="s">
        <v>2326</v>
      </c>
      <c r="AI3243" s="36" t="s">
        <v>577</v>
      </c>
      <c r="AJ3243" s="36" t="s">
        <v>1645</v>
      </c>
      <c r="AK3243" s="36" t="s">
        <v>132</v>
      </c>
      <c r="AT3243" s="36" t="s">
        <v>3154</v>
      </c>
      <c r="AU3243" s="36" t="s">
        <v>3154</v>
      </c>
      <c r="AV3243" s="36" t="s">
        <v>177</v>
      </c>
      <c r="AW3243" s="36" t="s">
        <v>3148</v>
      </c>
      <c r="BK3243" s="36">
        <v>1166</v>
      </c>
      <c r="BL3243" s="36">
        <v>3565</v>
      </c>
      <c r="BP3243" s="407"/>
      <c r="BQ3243" s="407"/>
      <c r="BU3243" s="407">
        <v>0.35</v>
      </c>
      <c r="BV3243" s="407">
        <v>0.35</v>
      </c>
      <c r="BZ3243" s="407"/>
      <c r="CA3243" s="407"/>
      <c r="CE3243" s="560">
        <v>0.35</v>
      </c>
      <c r="CF3243" s="560">
        <v>0.35</v>
      </c>
      <c r="CG3243" s="560"/>
      <c r="CH3243" s="560"/>
      <c r="CI3243" s="36" t="s">
        <v>4546</v>
      </c>
      <c r="CJ3243" s="36">
        <v>0.37</v>
      </c>
      <c r="CK3243" s="36">
        <v>0.36</v>
      </c>
      <c r="CN3243" s="36" t="s">
        <v>381</v>
      </c>
      <c r="CO3243" s="36">
        <v>1.23</v>
      </c>
      <c r="CP3243" s="36">
        <v>2.75</v>
      </c>
      <c r="CS3243" s="36" t="s">
        <v>3153</v>
      </c>
      <c r="JD3243" s="230"/>
    </row>
    <row r="3244" spans="1:264" s="36" customFormat="1" x14ac:dyDescent="0.25">
      <c r="A3244" s="36">
        <v>153</v>
      </c>
      <c r="B3244" s="51" t="s">
        <v>4419</v>
      </c>
      <c r="C3244" s="36" t="s">
        <v>3142</v>
      </c>
      <c r="D3244" s="36" t="s">
        <v>3141</v>
      </c>
      <c r="E3244" s="36">
        <v>1999</v>
      </c>
      <c r="F3244" s="36">
        <v>1986</v>
      </c>
      <c r="G3244" s="36" t="s">
        <v>3145</v>
      </c>
      <c r="H3244" s="36" t="s">
        <v>3144</v>
      </c>
      <c r="I3244" s="36" t="s">
        <v>3146</v>
      </c>
      <c r="J3244" s="36">
        <v>11.1</v>
      </c>
      <c r="K3244" s="36">
        <f t="shared" si="446"/>
        <v>-4.3833333333333337</v>
      </c>
      <c r="L3244" s="36">
        <v>405</v>
      </c>
      <c r="P3244" s="36">
        <f t="shared" si="447"/>
        <v>1050</v>
      </c>
      <c r="R3244" s="51" t="s">
        <v>1858</v>
      </c>
      <c r="S3244" s="51" t="s">
        <v>1858</v>
      </c>
      <c r="T3244" s="51"/>
      <c r="U3244" s="51" t="s">
        <v>3143</v>
      </c>
      <c r="V3244" s="51" t="s">
        <v>1400</v>
      </c>
      <c r="W3244" s="51" t="s">
        <v>1727</v>
      </c>
      <c r="X3244" s="51" t="s">
        <v>1400</v>
      </c>
      <c r="Y3244" s="51" t="s">
        <v>1400</v>
      </c>
      <c r="AA3244" s="331"/>
      <c r="AB3244" s="331"/>
      <c r="AG3244" s="36" t="s">
        <v>3147</v>
      </c>
      <c r="AH3244" s="36" t="s">
        <v>2326</v>
      </c>
      <c r="AI3244" s="36" t="s">
        <v>577</v>
      </c>
      <c r="AJ3244" s="36" t="s">
        <v>1645</v>
      </c>
      <c r="AK3244" s="36" t="s">
        <v>132</v>
      </c>
      <c r="AT3244" s="36" t="s">
        <v>3154</v>
      </c>
      <c r="AU3244" s="36" t="s">
        <v>3154</v>
      </c>
      <c r="AV3244" s="36" t="s">
        <v>177</v>
      </c>
      <c r="AW3244" s="36" t="s">
        <v>3148</v>
      </c>
      <c r="BK3244" s="36">
        <v>1166</v>
      </c>
      <c r="BL3244" s="36">
        <v>2589</v>
      </c>
      <c r="BP3244" s="407"/>
      <c r="BQ3244" s="407"/>
      <c r="BU3244" s="407">
        <v>0.35</v>
      </c>
      <c r="BV3244" s="407">
        <v>0.38</v>
      </c>
      <c r="BZ3244" s="407"/>
      <c r="CA3244" s="407"/>
      <c r="CE3244" s="560">
        <v>0.35</v>
      </c>
      <c r="CF3244" s="560">
        <v>0.38</v>
      </c>
      <c r="CG3244" s="560"/>
      <c r="CH3244" s="560"/>
      <c r="CI3244" s="36" t="s">
        <v>4546</v>
      </c>
      <c r="CJ3244" s="36">
        <v>0.37</v>
      </c>
      <c r="CK3244" s="36">
        <v>0.39</v>
      </c>
      <c r="CN3244" s="36" t="s">
        <v>381</v>
      </c>
      <c r="CO3244" s="36">
        <v>1.23</v>
      </c>
      <c r="CP3244" s="36">
        <v>2.42</v>
      </c>
      <c r="CS3244" s="36" t="s">
        <v>3153</v>
      </c>
      <c r="JD3244" s="230"/>
    </row>
    <row r="3245" spans="1:264" s="36" customFormat="1" x14ac:dyDescent="0.25">
      <c r="A3245" s="36">
        <v>153</v>
      </c>
      <c r="B3245" s="51" t="s">
        <v>4419</v>
      </c>
      <c r="C3245" s="36" t="s">
        <v>3142</v>
      </c>
      <c r="D3245" s="36" t="s">
        <v>3141</v>
      </c>
      <c r="E3245" s="36">
        <v>1999</v>
      </c>
      <c r="F3245" s="36">
        <v>1986</v>
      </c>
      <c r="G3245" s="36" t="s">
        <v>3145</v>
      </c>
      <c r="H3245" s="36" t="s">
        <v>3144</v>
      </c>
      <c r="I3245" s="36" t="s">
        <v>3146</v>
      </c>
      <c r="J3245" s="36">
        <v>11.1</v>
      </c>
      <c r="K3245" s="36">
        <f t="shared" si="446"/>
        <v>-4.3833333333333337</v>
      </c>
      <c r="L3245" s="36">
        <v>405</v>
      </c>
      <c r="P3245" s="36">
        <f t="shared" si="447"/>
        <v>1050</v>
      </c>
      <c r="R3245" s="51" t="s">
        <v>1858</v>
      </c>
      <c r="S3245" s="51" t="s">
        <v>1858</v>
      </c>
      <c r="T3245" s="51"/>
      <c r="U3245" s="51" t="s">
        <v>3143</v>
      </c>
      <c r="V3245" s="51" t="s">
        <v>1400</v>
      </c>
      <c r="W3245" s="51" t="s">
        <v>1727</v>
      </c>
      <c r="X3245" s="51" t="s">
        <v>1400</v>
      </c>
      <c r="Y3245" s="51" t="s">
        <v>1400</v>
      </c>
      <c r="AA3245" s="331"/>
      <c r="AB3245" s="331"/>
      <c r="AG3245" s="36" t="s">
        <v>3147</v>
      </c>
      <c r="AH3245" s="36" t="s">
        <v>2326</v>
      </c>
      <c r="AI3245" s="36" t="s">
        <v>577</v>
      </c>
      <c r="AJ3245" s="36" t="s">
        <v>1645</v>
      </c>
      <c r="AK3245" s="36" t="s">
        <v>132</v>
      </c>
      <c r="AT3245" s="36" t="s">
        <v>3154</v>
      </c>
      <c r="AU3245" s="36" t="s">
        <v>3154</v>
      </c>
      <c r="AV3245" s="36" t="s">
        <v>177</v>
      </c>
      <c r="AW3245" s="36" t="s">
        <v>3148</v>
      </c>
      <c r="BK3245" s="36">
        <v>1166</v>
      </c>
      <c r="BL3245" s="36">
        <v>1951</v>
      </c>
      <c r="BP3245" s="407"/>
      <c r="BQ3245" s="407"/>
      <c r="BU3245" s="407">
        <v>0.35</v>
      </c>
      <c r="BV3245" s="407">
        <v>0.25</v>
      </c>
      <c r="BZ3245" s="407"/>
      <c r="CA3245" s="407"/>
      <c r="CE3245" s="560">
        <v>0.35</v>
      </c>
      <c r="CF3245" s="560">
        <v>0.25</v>
      </c>
      <c r="CG3245" s="560"/>
      <c r="CH3245" s="560"/>
      <c r="CI3245" s="36" t="s">
        <v>4546</v>
      </c>
      <c r="CJ3245" s="36">
        <v>0.37</v>
      </c>
      <c r="CK3245" s="36">
        <v>0.33</v>
      </c>
      <c r="CN3245" s="36" t="s">
        <v>381</v>
      </c>
      <c r="CO3245" s="36">
        <v>1.23</v>
      </c>
      <c r="CP3245" s="36">
        <v>1.76</v>
      </c>
      <c r="CS3245" s="36" t="s">
        <v>3153</v>
      </c>
      <c r="JD3245" s="230"/>
    </row>
    <row r="3246" spans="1:264" s="36" customFormat="1" x14ac:dyDescent="0.25">
      <c r="A3246" s="36">
        <v>153</v>
      </c>
      <c r="B3246" s="51" t="s">
        <v>4419</v>
      </c>
      <c r="C3246" s="36" t="s">
        <v>3142</v>
      </c>
      <c r="D3246" s="36" t="s">
        <v>3141</v>
      </c>
      <c r="E3246" s="36">
        <v>1999</v>
      </c>
      <c r="F3246" s="36">
        <v>1986</v>
      </c>
      <c r="G3246" s="36" t="s">
        <v>3145</v>
      </c>
      <c r="H3246" s="36" t="s">
        <v>3144</v>
      </c>
      <c r="I3246" s="36" t="s">
        <v>3146</v>
      </c>
      <c r="J3246" s="36">
        <v>11.1</v>
      </c>
      <c r="K3246" s="36">
        <f t="shared" si="446"/>
        <v>-4.3833333333333337</v>
      </c>
      <c r="L3246" s="36">
        <v>405</v>
      </c>
      <c r="P3246" s="36">
        <f t="shared" si="447"/>
        <v>1050</v>
      </c>
      <c r="R3246" s="51" t="s">
        <v>1858</v>
      </c>
      <c r="S3246" s="51" t="s">
        <v>1858</v>
      </c>
      <c r="T3246" s="51"/>
      <c r="U3246" s="51" t="s">
        <v>3143</v>
      </c>
      <c r="V3246" s="51" t="s">
        <v>1400</v>
      </c>
      <c r="W3246" s="51" t="s">
        <v>1727</v>
      </c>
      <c r="X3246" s="51" t="s">
        <v>1400</v>
      </c>
      <c r="Y3246" s="51" t="s">
        <v>1400</v>
      </c>
      <c r="AA3246" s="331"/>
      <c r="AB3246" s="331"/>
      <c r="AG3246" s="36" t="s">
        <v>3147</v>
      </c>
      <c r="AH3246" s="36" t="s">
        <v>2326</v>
      </c>
      <c r="AI3246" s="36" t="s">
        <v>577</v>
      </c>
      <c r="AJ3246" s="36" t="s">
        <v>1645</v>
      </c>
      <c r="AK3246" s="36" t="s">
        <v>132</v>
      </c>
      <c r="AT3246" s="36" t="s">
        <v>3154</v>
      </c>
      <c r="AU3246" s="36" t="s">
        <v>3154</v>
      </c>
      <c r="AV3246" s="36" t="s">
        <v>177</v>
      </c>
      <c r="AW3246" s="36" t="s">
        <v>3148</v>
      </c>
      <c r="BK3246" s="36">
        <v>1166</v>
      </c>
      <c r="BL3246" s="36">
        <v>1748</v>
      </c>
      <c r="BP3246" s="407"/>
      <c r="BQ3246" s="407"/>
      <c r="BU3246" s="407">
        <v>0.35</v>
      </c>
      <c r="BV3246" s="407">
        <v>0.33</v>
      </c>
      <c r="BZ3246" s="407"/>
      <c r="CA3246" s="407"/>
      <c r="CE3246" s="560">
        <v>0.35</v>
      </c>
      <c r="CF3246" s="560">
        <v>0.33</v>
      </c>
      <c r="CG3246" s="560"/>
      <c r="CH3246" s="560"/>
      <c r="CI3246" s="36" t="s">
        <v>4546</v>
      </c>
      <c r="CJ3246" s="36">
        <v>0.37</v>
      </c>
      <c r="CK3246" s="36">
        <v>0.27</v>
      </c>
      <c r="CN3246" s="36" t="s">
        <v>381</v>
      </c>
      <c r="CO3246" s="36">
        <v>1.23</v>
      </c>
      <c r="CP3246" s="36">
        <v>2.38</v>
      </c>
      <c r="CS3246" s="36" t="s">
        <v>3153</v>
      </c>
      <c r="JD3246" s="230"/>
    </row>
    <row r="3247" spans="1:264" s="36" customFormat="1" x14ac:dyDescent="0.25">
      <c r="A3247" s="36">
        <v>153</v>
      </c>
      <c r="B3247" s="51" t="s">
        <v>4419</v>
      </c>
      <c r="C3247" s="36" t="s">
        <v>3142</v>
      </c>
      <c r="D3247" s="36" t="s">
        <v>3141</v>
      </c>
      <c r="E3247" s="36">
        <v>1999</v>
      </c>
      <c r="F3247" s="36">
        <v>1986</v>
      </c>
      <c r="G3247" s="36" t="s">
        <v>3145</v>
      </c>
      <c r="H3247" s="36" t="s">
        <v>3144</v>
      </c>
      <c r="I3247" s="36" t="s">
        <v>3146</v>
      </c>
      <c r="J3247" s="36">
        <v>11.1</v>
      </c>
      <c r="K3247" s="36">
        <f t="shared" si="446"/>
        <v>-4.3833333333333337</v>
      </c>
      <c r="L3247" s="36">
        <v>405</v>
      </c>
      <c r="P3247" s="36">
        <f t="shared" si="447"/>
        <v>1050</v>
      </c>
      <c r="R3247" s="51" t="s">
        <v>1858</v>
      </c>
      <c r="S3247" s="51" t="s">
        <v>1858</v>
      </c>
      <c r="T3247" s="51"/>
      <c r="U3247" s="51" t="s">
        <v>3143</v>
      </c>
      <c r="V3247" s="51" t="s">
        <v>1400</v>
      </c>
      <c r="W3247" s="51" t="s">
        <v>1727</v>
      </c>
      <c r="X3247" s="51" t="s">
        <v>1400</v>
      </c>
      <c r="Y3247" s="51" t="s">
        <v>1400</v>
      </c>
      <c r="AA3247" s="331"/>
      <c r="AB3247" s="331"/>
      <c r="AG3247" s="36" t="s">
        <v>3147</v>
      </c>
      <c r="AH3247" s="36" t="s">
        <v>2744</v>
      </c>
      <c r="AI3247" s="36" t="s">
        <v>577</v>
      </c>
      <c r="AJ3247" s="36" t="s">
        <v>1645</v>
      </c>
      <c r="AK3247" s="36" t="s">
        <v>132</v>
      </c>
      <c r="AT3247" s="36" t="s">
        <v>3154</v>
      </c>
      <c r="AU3247" s="36" t="s">
        <v>3154</v>
      </c>
      <c r="AV3247" s="36" t="s">
        <v>177</v>
      </c>
      <c r="AW3247" s="36" t="s">
        <v>3148</v>
      </c>
      <c r="BK3247" s="36">
        <v>1166</v>
      </c>
      <c r="BL3247" s="36">
        <v>2187</v>
      </c>
      <c r="BP3247" s="407"/>
      <c r="BQ3247" s="407"/>
      <c r="BU3247" s="407">
        <v>0.35</v>
      </c>
      <c r="BV3247" s="407">
        <v>0.32</v>
      </c>
      <c r="BZ3247" s="407"/>
      <c r="CA3247" s="407"/>
      <c r="CE3247" s="560">
        <v>0.35</v>
      </c>
      <c r="CF3247" s="560">
        <v>0.32</v>
      </c>
      <c r="CG3247" s="560"/>
      <c r="CH3247" s="560"/>
      <c r="CI3247" s="36" t="s">
        <v>4546</v>
      </c>
      <c r="CJ3247" s="36">
        <v>0.37</v>
      </c>
      <c r="CK3247" s="36">
        <v>0.36</v>
      </c>
      <c r="CN3247" s="36" t="s">
        <v>381</v>
      </c>
      <c r="CO3247" s="36">
        <v>1.23</v>
      </c>
      <c r="CP3247" s="36">
        <v>1.68</v>
      </c>
      <c r="CS3247" s="36" t="s">
        <v>3153</v>
      </c>
      <c r="JD3247" s="230"/>
    </row>
    <row r="3248" spans="1:264" s="36" customFormat="1" x14ac:dyDescent="0.25">
      <c r="A3248" s="36">
        <v>153</v>
      </c>
      <c r="B3248" s="51" t="s">
        <v>4419</v>
      </c>
      <c r="C3248" s="36" t="s">
        <v>3142</v>
      </c>
      <c r="D3248" s="36" t="s">
        <v>3141</v>
      </c>
      <c r="E3248" s="36">
        <v>1999</v>
      </c>
      <c r="F3248" s="36">
        <v>1986</v>
      </c>
      <c r="G3248" s="36" t="s">
        <v>3145</v>
      </c>
      <c r="H3248" s="36" t="s">
        <v>3144</v>
      </c>
      <c r="I3248" s="36" t="s">
        <v>3146</v>
      </c>
      <c r="J3248" s="36">
        <v>11.1</v>
      </c>
      <c r="K3248" s="36">
        <f t="shared" si="446"/>
        <v>-4.3833333333333337</v>
      </c>
      <c r="L3248" s="36">
        <v>405</v>
      </c>
      <c r="P3248" s="36">
        <f t="shared" si="447"/>
        <v>1050</v>
      </c>
      <c r="R3248" s="51" t="s">
        <v>1858</v>
      </c>
      <c r="S3248" s="51" t="s">
        <v>1858</v>
      </c>
      <c r="T3248" s="51"/>
      <c r="U3248" s="51" t="s">
        <v>3143</v>
      </c>
      <c r="V3248" s="51" t="s">
        <v>1400</v>
      </c>
      <c r="W3248" s="51" t="s">
        <v>1727</v>
      </c>
      <c r="X3248" s="51" t="s">
        <v>1400</v>
      </c>
      <c r="Y3248" s="51" t="s">
        <v>1400</v>
      </c>
      <c r="AA3248" s="331"/>
      <c r="AB3248" s="331"/>
      <c r="AG3248" s="36" t="s">
        <v>3147</v>
      </c>
      <c r="AH3248" s="36" t="s">
        <v>2744</v>
      </c>
      <c r="AI3248" s="36" t="s">
        <v>577</v>
      </c>
      <c r="AJ3248" s="36" t="s">
        <v>1645</v>
      </c>
      <c r="AK3248" s="36" t="s">
        <v>132</v>
      </c>
      <c r="AT3248" s="36" t="s">
        <v>3154</v>
      </c>
      <c r="AU3248" s="36" t="s">
        <v>3154</v>
      </c>
      <c r="AV3248" s="36" t="s">
        <v>177</v>
      </c>
      <c r="AW3248" s="36" t="s">
        <v>3148</v>
      </c>
      <c r="BK3248" s="36">
        <v>1166</v>
      </c>
      <c r="BL3248" s="36">
        <v>2205</v>
      </c>
      <c r="BP3248" s="407"/>
      <c r="BQ3248" s="407"/>
      <c r="BU3248" s="407">
        <v>0.35</v>
      </c>
      <c r="BV3248" s="407">
        <v>0.21</v>
      </c>
      <c r="BZ3248" s="407"/>
      <c r="CA3248" s="407"/>
      <c r="CE3248" s="560">
        <v>0.35</v>
      </c>
      <c r="CF3248" s="560">
        <v>0.21</v>
      </c>
      <c r="CG3248" s="560"/>
      <c r="CH3248" s="560"/>
      <c r="CI3248" s="36" t="s">
        <v>4546</v>
      </c>
      <c r="CJ3248" s="36">
        <v>0.37</v>
      </c>
      <c r="CK3248" s="36">
        <v>0.34</v>
      </c>
      <c r="CN3248" s="36" t="s">
        <v>381</v>
      </c>
      <c r="CO3248" s="36">
        <v>1.23</v>
      </c>
      <c r="CP3248" s="36">
        <v>1.23</v>
      </c>
      <c r="CS3248" s="36" t="s">
        <v>3153</v>
      </c>
      <c r="JD3248" s="230"/>
    </row>
    <row r="3249" spans="1:264" s="126" customFormat="1" x14ac:dyDescent="0.25">
      <c r="A3249" s="126">
        <v>153</v>
      </c>
      <c r="B3249" s="478" t="s">
        <v>4419</v>
      </c>
      <c r="C3249" s="126" t="s">
        <v>3142</v>
      </c>
      <c r="D3249" s="126" t="s">
        <v>3141</v>
      </c>
      <c r="E3249" s="126">
        <v>1999</v>
      </c>
      <c r="F3249" s="126">
        <v>1986</v>
      </c>
      <c r="G3249" s="126" t="s">
        <v>3145</v>
      </c>
      <c r="H3249" s="126" t="s">
        <v>3144</v>
      </c>
      <c r="I3249" s="126" t="s">
        <v>3146</v>
      </c>
      <c r="J3249" s="126">
        <v>11.1</v>
      </c>
      <c r="K3249" s="126">
        <f t="shared" si="446"/>
        <v>-4.3833333333333337</v>
      </c>
      <c r="L3249" s="126">
        <v>405</v>
      </c>
      <c r="P3249" s="126">
        <f t="shared" si="447"/>
        <v>1050</v>
      </c>
      <c r="R3249" s="478" t="s">
        <v>1858</v>
      </c>
      <c r="S3249" s="478" t="s">
        <v>1858</v>
      </c>
      <c r="T3249" s="478"/>
      <c r="U3249" s="478" t="s">
        <v>3143</v>
      </c>
      <c r="V3249" s="478" t="s">
        <v>1400</v>
      </c>
      <c r="W3249" s="478" t="s">
        <v>1727</v>
      </c>
      <c r="X3249" s="478" t="s">
        <v>1400</v>
      </c>
      <c r="Y3249" s="478" t="s">
        <v>1400</v>
      </c>
      <c r="AA3249" s="479"/>
      <c r="AB3249" s="479"/>
      <c r="AG3249" s="126" t="s">
        <v>3147</v>
      </c>
      <c r="AH3249" s="126" t="s">
        <v>2326</v>
      </c>
      <c r="AI3249" s="126" t="s">
        <v>577</v>
      </c>
      <c r="AJ3249" s="126" t="s">
        <v>1645</v>
      </c>
      <c r="AK3249" s="126" t="s">
        <v>132</v>
      </c>
      <c r="AT3249" s="126" t="s">
        <v>3155</v>
      </c>
      <c r="AU3249" s="126" t="s">
        <v>3155</v>
      </c>
      <c r="AV3249" s="126" t="s">
        <v>177</v>
      </c>
      <c r="AW3249" s="126" t="s">
        <v>3148</v>
      </c>
      <c r="BP3249" s="481"/>
      <c r="BQ3249" s="481"/>
      <c r="BU3249" s="481">
        <v>0.34</v>
      </c>
      <c r="BV3249" s="481">
        <v>0.31</v>
      </c>
      <c r="BZ3249" s="481"/>
      <c r="CA3249" s="481"/>
      <c r="CE3249" s="605">
        <v>0.34</v>
      </c>
      <c r="CF3249" s="605">
        <v>0.31</v>
      </c>
      <c r="CG3249" s="605"/>
      <c r="CH3249" s="605"/>
      <c r="CI3249" s="126" t="s">
        <v>4546</v>
      </c>
      <c r="CJ3249" s="126">
        <v>0.31</v>
      </c>
      <c r="CK3249" s="126">
        <v>0.35</v>
      </c>
      <c r="CN3249" s="126" t="s">
        <v>381</v>
      </c>
      <c r="CO3249" s="126">
        <v>2.67</v>
      </c>
      <c r="CP3249" s="126">
        <v>2.34</v>
      </c>
      <c r="CS3249" s="126" t="s">
        <v>3153</v>
      </c>
      <c r="JD3249" s="480"/>
    </row>
    <row r="3250" spans="1:264" s="126" customFormat="1" x14ac:dyDescent="0.25">
      <c r="A3250" s="126">
        <v>153</v>
      </c>
      <c r="B3250" s="478" t="s">
        <v>4419</v>
      </c>
      <c r="C3250" s="126" t="s">
        <v>3142</v>
      </c>
      <c r="D3250" s="126" t="s">
        <v>3141</v>
      </c>
      <c r="E3250" s="126">
        <v>1999</v>
      </c>
      <c r="F3250" s="126">
        <v>1986</v>
      </c>
      <c r="G3250" s="126" t="s">
        <v>3145</v>
      </c>
      <c r="H3250" s="126" t="s">
        <v>3144</v>
      </c>
      <c r="I3250" s="126" t="s">
        <v>3146</v>
      </c>
      <c r="J3250" s="126">
        <v>11.1</v>
      </c>
      <c r="K3250" s="126">
        <f t="shared" si="446"/>
        <v>-4.3833333333333337</v>
      </c>
      <c r="L3250" s="126">
        <v>405</v>
      </c>
      <c r="P3250" s="126">
        <f t="shared" si="447"/>
        <v>1050</v>
      </c>
      <c r="R3250" s="478" t="s">
        <v>1858</v>
      </c>
      <c r="S3250" s="478" t="s">
        <v>1858</v>
      </c>
      <c r="T3250" s="478"/>
      <c r="U3250" s="478" t="s">
        <v>3143</v>
      </c>
      <c r="V3250" s="478" t="s">
        <v>1400</v>
      </c>
      <c r="W3250" s="478" t="s">
        <v>1727</v>
      </c>
      <c r="X3250" s="478" t="s">
        <v>1400</v>
      </c>
      <c r="Y3250" s="478" t="s">
        <v>1400</v>
      </c>
      <c r="AA3250" s="479"/>
      <c r="AB3250" s="479"/>
      <c r="AG3250" s="126" t="s">
        <v>3147</v>
      </c>
      <c r="AH3250" s="126" t="s">
        <v>2326</v>
      </c>
      <c r="AI3250" s="126" t="s">
        <v>577</v>
      </c>
      <c r="AJ3250" s="126" t="s">
        <v>1645</v>
      </c>
      <c r="AK3250" s="126" t="s">
        <v>132</v>
      </c>
      <c r="AT3250" s="126" t="s">
        <v>3155</v>
      </c>
      <c r="AU3250" s="126" t="s">
        <v>3155</v>
      </c>
      <c r="AV3250" s="126" t="s">
        <v>177</v>
      </c>
      <c r="AW3250" s="126" t="s">
        <v>3148</v>
      </c>
      <c r="BP3250" s="481"/>
      <c r="BQ3250" s="481"/>
      <c r="BU3250" s="481">
        <v>0.34</v>
      </c>
      <c r="BV3250" s="481">
        <v>0.37</v>
      </c>
      <c r="BZ3250" s="481"/>
      <c r="CA3250" s="481"/>
      <c r="CE3250" s="605">
        <v>0.34</v>
      </c>
      <c r="CF3250" s="605">
        <v>0.37</v>
      </c>
      <c r="CG3250" s="605"/>
      <c r="CH3250" s="605"/>
      <c r="CI3250" s="126" t="s">
        <v>4546</v>
      </c>
      <c r="CJ3250" s="126">
        <v>0.31</v>
      </c>
      <c r="CK3250" s="126">
        <v>0.37</v>
      </c>
      <c r="CN3250" s="126" t="s">
        <v>381</v>
      </c>
      <c r="CO3250" s="126">
        <v>2.67</v>
      </c>
      <c r="CP3250" s="126">
        <v>4.0199999999999996</v>
      </c>
      <c r="CS3250" s="126" t="s">
        <v>3153</v>
      </c>
      <c r="JD3250" s="480"/>
    </row>
    <row r="3251" spans="1:264" s="126" customFormat="1" x14ac:dyDescent="0.25">
      <c r="A3251" s="126">
        <v>153</v>
      </c>
      <c r="B3251" s="478" t="s">
        <v>4419</v>
      </c>
      <c r="C3251" s="126" t="s">
        <v>3142</v>
      </c>
      <c r="D3251" s="126" t="s">
        <v>3141</v>
      </c>
      <c r="E3251" s="126">
        <v>1999</v>
      </c>
      <c r="F3251" s="126">
        <v>1986</v>
      </c>
      <c r="G3251" s="126" t="s">
        <v>3145</v>
      </c>
      <c r="H3251" s="126" t="s">
        <v>3144</v>
      </c>
      <c r="I3251" s="126" t="s">
        <v>3146</v>
      </c>
      <c r="J3251" s="126">
        <v>11.1</v>
      </c>
      <c r="K3251" s="126">
        <f t="shared" si="446"/>
        <v>-4.3833333333333337</v>
      </c>
      <c r="L3251" s="126">
        <v>405</v>
      </c>
      <c r="P3251" s="126">
        <f t="shared" si="447"/>
        <v>1050</v>
      </c>
      <c r="R3251" s="478" t="s">
        <v>1858</v>
      </c>
      <c r="S3251" s="478" t="s">
        <v>1858</v>
      </c>
      <c r="T3251" s="478"/>
      <c r="U3251" s="478" t="s">
        <v>3143</v>
      </c>
      <c r="V3251" s="478" t="s">
        <v>1400</v>
      </c>
      <c r="W3251" s="478" t="s">
        <v>1727</v>
      </c>
      <c r="X3251" s="478" t="s">
        <v>1400</v>
      </c>
      <c r="Y3251" s="478" t="s">
        <v>1400</v>
      </c>
      <c r="AA3251" s="479"/>
      <c r="AB3251" s="479"/>
      <c r="AG3251" s="126" t="s">
        <v>3147</v>
      </c>
      <c r="AH3251" s="126" t="s">
        <v>2326</v>
      </c>
      <c r="AI3251" s="126" t="s">
        <v>577</v>
      </c>
      <c r="AJ3251" s="126" t="s">
        <v>1645</v>
      </c>
      <c r="AK3251" s="126" t="s">
        <v>132</v>
      </c>
      <c r="AT3251" s="126" t="s">
        <v>3155</v>
      </c>
      <c r="AU3251" s="126" t="s">
        <v>3155</v>
      </c>
      <c r="AV3251" s="126" t="s">
        <v>177</v>
      </c>
      <c r="AW3251" s="126" t="s">
        <v>3148</v>
      </c>
      <c r="BP3251" s="481"/>
      <c r="BQ3251" s="481"/>
      <c r="BU3251" s="481">
        <v>0.34</v>
      </c>
      <c r="BV3251" s="481">
        <v>0.32</v>
      </c>
      <c r="BZ3251" s="481"/>
      <c r="CA3251" s="481"/>
      <c r="CE3251" s="605">
        <v>0.34</v>
      </c>
      <c r="CF3251" s="605">
        <v>0.32</v>
      </c>
      <c r="CG3251" s="605"/>
      <c r="CH3251" s="605"/>
      <c r="CI3251" s="126" t="s">
        <v>4546</v>
      </c>
      <c r="CJ3251" s="126">
        <v>0.31</v>
      </c>
      <c r="CK3251" s="126">
        <v>0.33</v>
      </c>
      <c r="CN3251" s="126" t="s">
        <v>381</v>
      </c>
      <c r="CO3251" s="126">
        <v>2.67</v>
      </c>
      <c r="CP3251" s="126">
        <v>3.16</v>
      </c>
      <c r="CS3251" s="126" t="s">
        <v>3153</v>
      </c>
      <c r="JD3251" s="480"/>
    </row>
    <row r="3252" spans="1:264" s="126" customFormat="1" x14ac:dyDescent="0.25">
      <c r="A3252" s="126">
        <v>153</v>
      </c>
      <c r="B3252" s="478" t="s">
        <v>4419</v>
      </c>
      <c r="C3252" s="126" t="s">
        <v>3142</v>
      </c>
      <c r="D3252" s="126" t="s">
        <v>3141</v>
      </c>
      <c r="E3252" s="126">
        <v>1999</v>
      </c>
      <c r="F3252" s="126">
        <v>1986</v>
      </c>
      <c r="G3252" s="126" t="s">
        <v>3145</v>
      </c>
      <c r="H3252" s="126" t="s">
        <v>3144</v>
      </c>
      <c r="I3252" s="126" t="s">
        <v>3146</v>
      </c>
      <c r="J3252" s="126">
        <v>11.1</v>
      </c>
      <c r="K3252" s="126">
        <f t="shared" si="446"/>
        <v>-4.3833333333333337</v>
      </c>
      <c r="L3252" s="126">
        <v>405</v>
      </c>
      <c r="P3252" s="126">
        <f t="shared" si="447"/>
        <v>1050</v>
      </c>
      <c r="R3252" s="478" t="s">
        <v>1858</v>
      </c>
      <c r="S3252" s="478" t="s">
        <v>1858</v>
      </c>
      <c r="T3252" s="478"/>
      <c r="U3252" s="478" t="s">
        <v>3143</v>
      </c>
      <c r="V3252" s="478" t="s">
        <v>1400</v>
      </c>
      <c r="W3252" s="478" t="s">
        <v>1727</v>
      </c>
      <c r="X3252" s="478" t="s">
        <v>1400</v>
      </c>
      <c r="Y3252" s="478" t="s">
        <v>1400</v>
      </c>
      <c r="AA3252" s="479"/>
      <c r="AB3252" s="479"/>
      <c r="AG3252" s="126" t="s">
        <v>3147</v>
      </c>
      <c r="AH3252" s="126" t="s">
        <v>2326</v>
      </c>
      <c r="AI3252" s="126" t="s">
        <v>577</v>
      </c>
      <c r="AJ3252" s="126" t="s">
        <v>1645</v>
      </c>
      <c r="AK3252" s="126" t="s">
        <v>132</v>
      </c>
      <c r="AT3252" s="126" t="s">
        <v>3155</v>
      </c>
      <c r="AU3252" s="126" t="s">
        <v>3155</v>
      </c>
      <c r="AV3252" s="126" t="s">
        <v>177</v>
      </c>
      <c r="AW3252" s="126" t="s">
        <v>3148</v>
      </c>
      <c r="BP3252" s="481"/>
      <c r="BQ3252" s="481"/>
      <c r="BU3252" s="481">
        <v>0.34</v>
      </c>
      <c r="BV3252" s="481">
        <v>0.35</v>
      </c>
      <c r="BZ3252" s="481"/>
      <c r="CA3252" s="481"/>
      <c r="CE3252" s="605">
        <v>0.34</v>
      </c>
      <c r="CF3252" s="605">
        <v>0.35</v>
      </c>
      <c r="CG3252" s="605"/>
      <c r="CH3252" s="605"/>
      <c r="CI3252" s="126" t="s">
        <v>4546</v>
      </c>
      <c r="CJ3252" s="126">
        <v>0.31</v>
      </c>
      <c r="CK3252" s="126">
        <v>0.26</v>
      </c>
      <c r="CN3252" s="126" t="s">
        <v>381</v>
      </c>
      <c r="CO3252" s="126">
        <v>2.67</v>
      </c>
      <c r="CP3252" s="126">
        <v>3.85</v>
      </c>
      <c r="CS3252" s="126" t="s">
        <v>3153</v>
      </c>
      <c r="JD3252" s="480"/>
    </row>
    <row r="3253" spans="1:264" s="126" customFormat="1" x14ac:dyDescent="0.25">
      <c r="A3253" s="126">
        <v>153</v>
      </c>
      <c r="B3253" s="478" t="s">
        <v>4419</v>
      </c>
      <c r="C3253" s="126" t="s">
        <v>3142</v>
      </c>
      <c r="D3253" s="126" t="s">
        <v>3141</v>
      </c>
      <c r="E3253" s="126">
        <v>1999</v>
      </c>
      <c r="F3253" s="126">
        <v>1986</v>
      </c>
      <c r="G3253" s="126" t="s">
        <v>3145</v>
      </c>
      <c r="H3253" s="126" t="s">
        <v>3144</v>
      </c>
      <c r="I3253" s="126" t="s">
        <v>3146</v>
      </c>
      <c r="J3253" s="126">
        <v>11.1</v>
      </c>
      <c r="K3253" s="126">
        <f t="shared" si="446"/>
        <v>-4.3833333333333337</v>
      </c>
      <c r="L3253" s="126">
        <v>405</v>
      </c>
      <c r="P3253" s="126">
        <f t="shared" si="447"/>
        <v>1050</v>
      </c>
      <c r="R3253" s="478" t="s">
        <v>1858</v>
      </c>
      <c r="S3253" s="478" t="s">
        <v>1858</v>
      </c>
      <c r="T3253" s="478"/>
      <c r="U3253" s="478" t="s">
        <v>3143</v>
      </c>
      <c r="V3253" s="478" t="s">
        <v>1400</v>
      </c>
      <c r="W3253" s="478" t="s">
        <v>1727</v>
      </c>
      <c r="X3253" s="478" t="s">
        <v>1400</v>
      </c>
      <c r="Y3253" s="478" t="s">
        <v>1400</v>
      </c>
      <c r="AA3253" s="479"/>
      <c r="AB3253" s="479"/>
      <c r="AG3253" s="126" t="s">
        <v>3147</v>
      </c>
      <c r="AH3253" s="126" t="s">
        <v>2744</v>
      </c>
      <c r="AI3253" s="126" t="s">
        <v>577</v>
      </c>
      <c r="AJ3253" s="126" t="s">
        <v>1645</v>
      </c>
      <c r="AK3253" s="126" t="s">
        <v>132</v>
      </c>
      <c r="AT3253" s="126" t="s">
        <v>3155</v>
      </c>
      <c r="AU3253" s="126" t="s">
        <v>3155</v>
      </c>
      <c r="AV3253" s="126" t="s">
        <v>177</v>
      </c>
      <c r="AW3253" s="126" t="s">
        <v>3148</v>
      </c>
      <c r="BP3253" s="481"/>
      <c r="BQ3253" s="481"/>
      <c r="BU3253" s="481">
        <v>0.34</v>
      </c>
      <c r="BV3253" s="481">
        <v>0.38</v>
      </c>
      <c r="BZ3253" s="481"/>
      <c r="CA3253" s="481"/>
      <c r="CE3253" s="605">
        <v>0.34</v>
      </c>
      <c r="CF3253" s="605">
        <v>0.38</v>
      </c>
      <c r="CG3253" s="605"/>
      <c r="CH3253" s="605"/>
      <c r="CI3253" s="126" t="s">
        <v>4546</v>
      </c>
      <c r="CJ3253" s="126">
        <v>0.31</v>
      </c>
      <c r="CK3253" s="126">
        <v>0.34</v>
      </c>
      <c r="CN3253" s="126" t="s">
        <v>381</v>
      </c>
      <c r="CO3253" s="126">
        <v>2.67</v>
      </c>
      <c r="CP3253" s="126">
        <v>2.23</v>
      </c>
      <c r="CS3253" s="126" t="s">
        <v>3153</v>
      </c>
      <c r="JD3253" s="480"/>
    </row>
    <row r="3254" spans="1:264" s="126" customFormat="1" x14ac:dyDescent="0.25">
      <c r="A3254" s="126">
        <v>153</v>
      </c>
      <c r="B3254" s="478" t="s">
        <v>4419</v>
      </c>
      <c r="C3254" s="126" t="s">
        <v>3142</v>
      </c>
      <c r="D3254" s="126" t="s">
        <v>3141</v>
      </c>
      <c r="E3254" s="126">
        <v>1999</v>
      </c>
      <c r="F3254" s="126">
        <v>1986</v>
      </c>
      <c r="G3254" s="126" t="s">
        <v>3145</v>
      </c>
      <c r="H3254" s="126" t="s">
        <v>3144</v>
      </c>
      <c r="I3254" s="126" t="s">
        <v>3146</v>
      </c>
      <c r="J3254" s="126">
        <v>11.1</v>
      </c>
      <c r="K3254" s="126">
        <f t="shared" si="446"/>
        <v>-4.3833333333333337</v>
      </c>
      <c r="L3254" s="126">
        <v>405</v>
      </c>
      <c r="P3254" s="126">
        <f t="shared" si="447"/>
        <v>1050</v>
      </c>
      <c r="R3254" s="478" t="s">
        <v>1858</v>
      </c>
      <c r="S3254" s="478" t="s">
        <v>1858</v>
      </c>
      <c r="T3254" s="478"/>
      <c r="U3254" s="478" t="s">
        <v>3143</v>
      </c>
      <c r="V3254" s="478" t="s">
        <v>1400</v>
      </c>
      <c r="W3254" s="478" t="s">
        <v>1727</v>
      </c>
      <c r="X3254" s="478" t="s">
        <v>1400</v>
      </c>
      <c r="Y3254" s="478" t="s">
        <v>1400</v>
      </c>
      <c r="AA3254" s="479"/>
      <c r="AB3254" s="479"/>
      <c r="AG3254" s="126" t="s">
        <v>3147</v>
      </c>
      <c r="AH3254" s="126" t="s">
        <v>2744</v>
      </c>
      <c r="AI3254" s="126" t="s">
        <v>577</v>
      </c>
      <c r="AJ3254" s="126" t="s">
        <v>1645</v>
      </c>
      <c r="AK3254" s="126" t="s">
        <v>132</v>
      </c>
      <c r="AT3254" s="126" t="s">
        <v>3155</v>
      </c>
      <c r="AU3254" s="126" t="s">
        <v>3155</v>
      </c>
      <c r="AV3254" s="126" t="s">
        <v>177</v>
      </c>
      <c r="AW3254" s="126" t="s">
        <v>3148</v>
      </c>
      <c r="BP3254" s="481"/>
      <c r="BQ3254" s="481"/>
      <c r="BU3254" s="481">
        <v>0.34</v>
      </c>
      <c r="BV3254" s="481">
        <v>0.33</v>
      </c>
      <c r="BZ3254" s="481"/>
      <c r="CA3254" s="481"/>
      <c r="CE3254" s="605">
        <v>0.34</v>
      </c>
      <c r="CF3254" s="605">
        <v>0.33</v>
      </c>
      <c r="CG3254" s="605"/>
      <c r="CH3254" s="605"/>
      <c r="CI3254" s="126" t="s">
        <v>4546</v>
      </c>
      <c r="CJ3254" s="126">
        <v>0.31</v>
      </c>
      <c r="CK3254" s="126">
        <v>0.33</v>
      </c>
      <c r="CN3254" s="126" t="s">
        <v>381</v>
      </c>
      <c r="CO3254" s="126">
        <v>2.67</v>
      </c>
      <c r="CP3254" s="126">
        <v>1.56</v>
      </c>
      <c r="CS3254" s="126" t="s">
        <v>3153</v>
      </c>
      <c r="JD3254" s="480"/>
    </row>
    <row r="3255" spans="1:264" s="36" customFormat="1" x14ac:dyDescent="0.25">
      <c r="A3255" s="36">
        <v>153</v>
      </c>
      <c r="B3255" s="51" t="s">
        <v>4420</v>
      </c>
      <c r="C3255" s="36" t="s">
        <v>3142</v>
      </c>
      <c r="D3255" s="36" t="s">
        <v>3141</v>
      </c>
      <c r="E3255" s="36">
        <v>1999</v>
      </c>
      <c r="F3255" s="36">
        <v>1986</v>
      </c>
      <c r="G3255" s="36" t="s">
        <v>3145</v>
      </c>
      <c r="H3255" s="36" t="s">
        <v>3144</v>
      </c>
      <c r="I3255" s="36" t="s">
        <v>3146</v>
      </c>
      <c r="J3255" s="36">
        <v>11.1</v>
      </c>
      <c r="K3255" s="36">
        <f t="shared" si="446"/>
        <v>-4.3833333333333337</v>
      </c>
      <c r="L3255" s="36">
        <v>405</v>
      </c>
      <c r="P3255" s="36">
        <f t="shared" si="447"/>
        <v>1050</v>
      </c>
      <c r="R3255" s="51" t="s">
        <v>1858</v>
      </c>
      <c r="S3255" s="51" t="s">
        <v>1858</v>
      </c>
      <c r="T3255" s="51"/>
      <c r="U3255" s="51" t="s">
        <v>3143</v>
      </c>
      <c r="V3255" s="51" t="s">
        <v>1400</v>
      </c>
      <c r="W3255" s="51" t="s">
        <v>1727</v>
      </c>
      <c r="X3255" s="51" t="s">
        <v>1400</v>
      </c>
      <c r="Y3255" s="51" t="s">
        <v>1400</v>
      </c>
      <c r="AA3255" s="331"/>
      <c r="AB3255" s="331"/>
      <c r="AG3255" s="36" t="s">
        <v>3147</v>
      </c>
      <c r="AH3255" s="36" t="s">
        <v>2326</v>
      </c>
      <c r="AI3255" s="36" t="s">
        <v>577</v>
      </c>
      <c r="AJ3255" s="36" t="s">
        <v>1645</v>
      </c>
      <c r="AK3255" s="36" t="s">
        <v>132</v>
      </c>
      <c r="AT3255" s="36" t="s">
        <v>3156</v>
      </c>
      <c r="AU3255" s="36" t="s">
        <v>3156</v>
      </c>
      <c r="AV3255" s="36" t="s">
        <v>177</v>
      </c>
      <c r="AW3255" s="36" t="s">
        <v>3148</v>
      </c>
      <c r="BP3255" s="407"/>
      <c r="BQ3255" s="407"/>
      <c r="BU3255" s="407">
        <v>0.33</v>
      </c>
      <c r="BV3255" s="407">
        <v>0.34</v>
      </c>
      <c r="BZ3255" s="407"/>
      <c r="CA3255" s="407"/>
      <c r="CE3255" s="560">
        <v>0.33</v>
      </c>
      <c r="CF3255" s="560">
        <v>0.34</v>
      </c>
      <c r="CG3255" s="560"/>
      <c r="CH3255" s="560"/>
      <c r="CI3255" s="36" t="s">
        <v>4546</v>
      </c>
      <c r="CJ3255" s="36">
        <v>0.33</v>
      </c>
      <c r="CK3255" s="36">
        <v>0.38</v>
      </c>
      <c r="CN3255" s="36" t="s">
        <v>381</v>
      </c>
      <c r="CO3255" s="36">
        <v>1.39</v>
      </c>
      <c r="CP3255" s="36">
        <v>2.99</v>
      </c>
      <c r="CS3255" s="36" t="s">
        <v>3153</v>
      </c>
      <c r="JD3255" s="230"/>
    </row>
    <row r="3256" spans="1:264" s="36" customFormat="1" x14ac:dyDescent="0.25">
      <c r="A3256" s="36">
        <v>153</v>
      </c>
      <c r="B3256" s="51" t="s">
        <v>4420</v>
      </c>
      <c r="C3256" s="36" t="s">
        <v>3142</v>
      </c>
      <c r="D3256" s="36" t="s">
        <v>3141</v>
      </c>
      <c r="E3256" s="36">
        <v>1999</v>
      </c>
      <c r="F3256" s="36">
        <v>1986</v>
      </c>
      <c r="G3256" s="36" t="s">
        <v>3145</v>
      </c>
      <c r="H3256" s="36" t="s">
        <v>3144</v>
      </c>
      <c r="I3256" s="36" t="s">
        <v>3146</v>
      </c>
      <c r="J3256" s="36">
        <v>11.1</v>
      </c>
      <c r="K3256" s="36">
        <f t="shared" si="446"/>
        <v>-4.3833333333333337</v>
      </c>
      <c r="L3256" s="36">
        <v>405</v>
      </c>
      <c r="P3256" s="36">
        <f t="shared" si="447"/>
        <v>1050</v>
      </c>
      <c r="R3256" s="51" t="s">
        <v>1858</v>
      </c>
      <c r="S3256" s="51" t="s">
        <v>1858</v>
      </c>
      <c r="T3256" s="51"/>
      <c r="U3256" s="51" t="s">
        <v>3143</v>
      </c>
      <c r="V3256" s="51" t="s">
        <v>1400</v>
      </c>
      <c r="W3256" s="51" t="s">
        <v>1727</v>
      </c>
      <c r="X3256" s="51" t="s">
        <v>1400</v>
      </c>
      <c r="Y3256" s="51" t="s">
        <v>1400</v>
      </c>
      <c r="AA3256" s="331"/>
      <c r="AB3256" s="331"/>
      <c r="AG3256" s="36" t="s">
        <v>3147</v>
      </c>
      <c r="AH3256" s="36" t="s">
        <v>2326</v>
      </c>
      <c r="AI3256" s="36" t="s">
        <v>577</v>
      </c>
      <c r="AJ3256" s="36" t="s">
        <v>1645</v>
      </c>
      <c r="AK3256" s="36" t="s">
        <v>132</v>
      </c>
      <c r="AT3256" s="36" t="s">
        <v>3156</v>
      </c>
      <c r="AU3256" s="36" t="s">
        <v>3156</v>
      </c>
      <c r="AV3256" s="36" t="s">
        <v>177</v>
      </c>
      <c r="AW3256" s="36" t="s">
        <v>3148</v>
      </c>
      <c r="BP3256" s="407"/>
      <c r="BQ3256" s="407"/>
      <c r="BU3256" s="407">
        <v>0.33</v>
      </c>
      <c r="BV3256" s="407">
        <v>0.35</v>
      </c>
      <c r="BZ3256" s="407"/>
      <c r="CA3256" s="407"/>
      <c r="CE3256" s="560">
        <v>0.33</v>
      </c>
      <c r="CF3256" s="560">
        <v>0.35</v>
      </c>
      <c r="CG3256" s="560"/>
      <c r="CH3256" s="560"/>
      <c r="CI3256" s="36" t="s">
        <v>4546</v>
      </c>
      <c r="CJ3256" s="36">
        <v>0.33</v>
      </c>
      <c r="CK3256" s="36">
        <v>0.33</v>
      </c>
      <c r="CN3256" s="36" t="s">
        <v>381</v>
      </c>
      <c r="CO3256" s="36">
        <v>1.39</v>
      </c>
      <c r="CP3256" s="36">
        <v>2.2599999999999998</v>
      </c>
      <c r="CS3256" s="36" t="s">
        <v>3153</v>
      </c>
      <c r="JD3256" s="230"/>
    </row>
    <row r="3257" spans="1:264" s="36" customFormat="1" x14ac:dyDescent="0.25">
      <c r="A3257" s="36">
        <v>153</v>
      </c>
      <c r="B3257" s="51" t="s">
        <v>4420</v>
      </c>
      <c r="C3257" s="36" t="s">
        <v>3142</v>
      </c>
      <c r="D3257" s="36" t="s">
        <v>3141</v>
      </c>
      <c r="E3257" s="36">
        <v>1999</v>
      </c>
      <c r="F3257" s="36">
        <v>1986</v>
      </c>
      <c r="G3257" s="36" t="s">
        <v>3145</v>
      </c>
      <c r="H3257" s="36" t="s">
        <v>3144</v>
      </c>
      <c r="I3257" s="36" t="s">
        <v>3146</v>
      </c>
      <c r="J3257" s="36">
        <v>11.1</v>
      </c>
      <c r="K3257" s="36">
        <f t="shared" si="446"/>
        <v>-4.3833333333333337</v>
      </c>
      <c r="L3257" s="36">
        <v>405</v>
      </c>
      <c r="P3257" s="36">
        <f t="shared" si="447"/>
        <v>1050</v>
      </c>
      <c r="R3257" s="51" t="s">
        <v>1858</v>
      </c>
      <c r="S3257" s="51" t="s">
        <v>1858</v>
      </c>
      <c r="T3257" s="51"/>
      <c r="U3257" s="51" t="s">
        <v>3143</v>
      </c>
      <c r="V3257" s="51" t="s">
        <v>1400</v>
      </c>
      <c r="W3257" s="51" t="s">
        <v>1727</v>
      </c>
      <c r="X3257" s="51" t="s">
        <v>1400</v>
      </c>
      <c r="Y3257" s="51" t="s">
        <v>1400</v>
      </c>
      <c r="AA3257" s="331"/>
      <c r="AB3257" s="331"/>
      <c r="AG3257" s="36" t="s">
        <v>3147</v>
      </c>
      <c r="AH3257" s="36" t="s">
        <v>2326</v>
      </c>
      <c r="AI3257" s="36" t="s">
        <v>577</v>
      </c>
      <c r="AJ3257" s="36" t="s">
        <v>1645</v>
      </c>
      <c r="AK3257" s="36" t="s">
        <v>132</v>
      </c>
      <c r="AT3257" s="36" t="s">
        <v>3156</v>
      </c>
      <c r="AU3257" s="36" t="s">
        <v>3156</v>
      </c>
      <c r="AV3257" s="36" t="s">
        <v>177</v>
      </c>
      <c r="AW3257" s="36" t="s">
        <v>3148</v>
      </c>
      <c r="BP3257" s="407"/>
      <c r="BQ3257" s="407"/>
      <c r="BU3257" s="407">
        <v>0.33</v>
      </c>
      <c r="BV3257" s="407">
        <v>0.36</v>
      </c>
      <c r="BZ3257" s="407"/>
      <c r="CA3257" s="407"/>
      <c r="CE3257" s="560">
        <v>0.33</v>
      </c>
      <c r="CF3257" s="560">
        <v>0.36</v>
      </c>
      <c r="CG3257" s="560"/>
      <c r="CH3257" s="560"/>
      <c r="CI3257" s="36" t="s">
        <v>4546</v>
      </c>
      <c r="CJ3257" s="36">
        <v>0.33</v>
      </c>
      <c r="CK3257" s="36">
        <v>0.33</v>
      </c>
      <c r="CN3257" s="36" t="s">
        <v>381</v>
      </c>
      <c r="CO3257" s="36">
        <v>1.39</v>
      </c>
      <c r="CP3257" s="36">
        <v>2.09</v>
      </c>
      <c r="CS3257" s="36" t="s">
        <v>3153</v>
      </c>
      <c r="JD3257" s="230"/>
    </row>
    <row r="3258" spans="1:264" s="36" customFormat="1" x14ac:dyDescent="0.25">
      <c r="A3258" s="36">
        <v>153</v>
      </c>
      <c r="B3258" s="51" t="s">
        <v>4420</v>
      </c>
      <c r="C3258" s="36" t="s">
        <v>3142</v>
      </c>
      <c r="D3258" s="36" t="s">
        <v>3141</v>
      </c>
      <c r="E3258" s="36">
        <v>1999</v>
      </c>
      <c r="F3258" s="36">
        <v>1986</v>
      </c>
      <c r="G3258" s="36" t="s">
        <v>3145</v>
      </c>
      <c r="H3258" s="36" t="s">
        <v>3144</v>
      </c>
      <c r="I3258" s="36" t="s">
        <v>3146</v>
      </c>
      <c r="J3258" s="36">
        <v>11.1</v>
      </c>
      <c r="K3258" s="36">
        <f t="shared" si="446"/>
        <v>-4.3833333333333337</v>
      </c>
      <c r="L3258" s="36">
        <v>405</v>
      </c>
      <c r="P3258" s="36">
        <f t="shared" si="447"/>
        <v>1050</v>
      </c>
      <c r="R3258" s="51" t="s">
        <v>1858</v>
      </c>
      <c r="S3258" s="51" t="s">
        <v>1858</v>
      </c>
      <c r="T3258" s="51"/>
      <c r="U3258" s="51" t="s">
        <v>3143</v>
      </c>
      <c r="V3258" s="51" t="s">
        <v>1400</v>
      </c>
      <c r="W3258" s="51" t="s">
        <v>1727</v>
      </c>
      <c r="X3258" s="51" t="s">
        <v>1400</v>
      </c>
      <c r="Y3258" s="51" t="s">
        <v>1400</v>
      </c>
      <c r="AA3258" s="331"/>
      <c r="AB3258" s="331"/>
      <c r="AG3258" s="36" t="s">
        <v>3147</v>
      </c>
      <c r="AH3258" s="36" t="s">
        <v>2326</v>
      </c>
      <c r="AI3258" s="36" t="s">
        <v>577</v>
      </c>
      <c r="AJ3258" s="36" t="s">
        <v>1645</v>
      </c>
      <c r="AK3258" s="36" t="s">
        <v>132</v>
      </c>
      <c r="AT3258" s="36" t="s">
        <v>3156</v>
      </c>
      <c r="AU3258" s="36" t="s">
        <v>3156</v>
      </c>
      <c r="AV3258" s="36" t="s">
        <v>177</v>
      </c>
      <c r="AW3258" s="36" t="s">
        <v>3148</v>
      </c>
      <c r="BP3258" s="407"/>
      <c r="BQ3258" s="407"/>
      <c r="BU3258" s="407">
        <v>0.33</v>
      </c>
      <c r="BV3258" s="407">
        <v>0.32</v>
      </c>
      <c r="BZ3258" s="407"/>
      <c r="CA3258" s="407"/>
      <c r="CE3258" s="560">
        <v>0.33</v>
      </c>
      <c r="CF3258" s="560">
        <v>0.32</v>
      </c>
      <c r="CG3258" s="560"/>
      <c r="CH3258" s="560"/>
      <c r="CI3258" s="36" t="s">
        <v>4546</v>
      </c>
      <c r="CJ3258" s="36">
        <v>0.33</v>
      </c>
      <c r="CK3258" s="36">
        <v>0.27</v>
      </c>
      <c r="CN3258" s="36" t="s">
        <v>381</v>
      </c>
      <c r="CO3258" s="36">
        <v>1.39</v>
      </c>
      <c r="CP3258" s="36">
        <v>2.87</v>
      </c>
      <c r="CS3258" s="36" t="s">
        <v>3153</v>
      </c>
      <c r="JD3258" s="230"/>
    </row>
    <row r="3259" spans="1:264" s="36" customFormat="1" x14ac:dyDescent="0.25">
      <c r="A3259" s="36">
        <v>153</v>
      </c>
      <c r="B3259" s="51" t="s">
        <v>4420</v>
      </c>
      <c r="C3259" s="36" t="s">
        <v>3142</v>
      </c>
      <c r="D3259" s="36" t="s">
        <v>3141</v>
      </c>
      <c r="E3259" s="36">
        <v>1999</v>
      </c>
      <c r="F3259" s="36">
        <v>1986</v>
      </c>
      <c r="G3259" s="36" t="s">
        <v>3145</v>
      </c>
      <c r="H3259" s="36" t="s">
        <v>3144</v>
      </c>
      <c r="I3259" s="36" t="s">
        <v>3146</v>
      </c>
      <c r="J3259" s="36">
        <v>11.1</v>
      </c>
      <c r="K3259" s="36">
        <f t="shared" si="446"/>
        <v>-4.3833333333333337</v>
      </c>
      <c r="L3259" s="36">
        <v>405</v>
      </c>
      <c r="P3259" s="36">
        <f t="shared" si="447"/>
        <v>1050</v>
      </c>
      <c r="R3259" s="51" t="s">
        <v>1858</v>
      </c>
      <c r="S3259" s="51" t="s">
        <v>1858</v>
      </c>
      <c r="T3259" s="51"/>
      <c r="U3259" s="51" t="s">
        <v>3143</v>
      </c>
      <c r="V3259" s="51" t="s">
        <v>1400</v>
      </c>
      <c r="W3259" s="51" t="s">
        <v>1727</v>
      </c>
      <c r="X3259" s="51" t="s">
        <v>1400</v>
      </c>
      <c r="Y3259" s="51" t="s">
        <v>1400</v>
      </c>
      <c r="AA3259" s="331"/>
      <c r="AB3259" s="331"/>
      <c r="AG3259" s="36" t="s">
        <v>3147</v>
      </c>
      <c r="AH3259" s="36" t="s">
        <v>2744</v>
      </c>
      <c r="AI3259" s="36" t="s">
        <v>577</v>
      </c>
      <c r="AJ3259" s="36" t="s">
        <v>1645</v>
      </c>
      <c r="AK3259" s="36" t="s">
        <v>132</v>
      </c>
      <c r="AT3259" s="36" t="s">
        <v>3156</v>
      </c>
      <c r="AU3259" s="36" t="s">
        <v>3156</v>
      </c>
      <c r="AV3259" s="36" t="s">
        <v>177</v>
      </c>
      <c r="AW3259" s="36" t="s">
        <v>3148</v>
      </c>
      <c r="BP3259" s="407"/>
      <c r="BQ3259" s="407"/>
      <c r="BU3259" s="407">
        <v>0.33</v>
      </c>
      <c r="BV3259" s="407">
        <v>0.38</v>
      </c>
      <c r="BZ3259" s="407"/>
      <c r="CA3259" s="407"/>
      <c r="CE3259" s="560">
        <v>0.33</v>
      </c>
      <c r="CF3259" s="560">
        <v>0.38</v>
      </c>
      <c r="CG3259" s="560"/>
      <c r="CH3259" s="560"/>
      <c r="CI3259" s="36" t="s">
        <v>4546</v>
      </c>
      <c r="CJ3259" s="36">
        <v>0.33</v>
      </c>
      <c r="CK3259" s="36">
        <v>0.34</v>
      </c>
      <c r="CN3259" s="36" t="s">
        <v>381</v>
      </c>
      <c r="CO3259" s="36">
        <v>1.39</v>
      </c>
      <c r="CP3259" s="36">
        <v>0.82</v>
      </c>
      <c r="CS3259" s="36" t="s">
        <v>3153</v>
      </c>
      <c r="JD3259" s="230"/>
    </row>
    <row r="3260" spans="1:264" s="36" customFormat="1" x14ac:dyDescent="0.25">
      <c r="A3260" s="36">
        <v>153</v>
      </c>
      <c r="B3260" s="51" t="s">
        <v>4420</v>
      </c>
      <c r="C3260" s="36" t="s">
        <v>3142</v>
      </c>
      <c r="D3260" s="36" t="s">
        <v>3141</v>
      </c>
      <c r="E3260" s="36">
        <v>1999</v>
      </c>
      <c r="F3260" s="36">
        <v>1986</v>
      </c>
      <c r="G3260" s="36" t="s">
        <v>3145</v>
      </c>
      <c r="H3260" s="36" t="s">
        <v>3144</v>
      </c>
      <c r="I3260" s="36" t="s">
        <v>3146</v>
      </c>
      <c r="J3260" s="36">
        <v>11.1</v>
      </c>
      <c r="K3260" s="36">
        <f t="shared" si="446"/>
        <v>-4.3833333333333337</v>
      </c>
      <c r="L3260" s="36">
        <v>405</v>
      </c>
      <c r="P3260" s="36">
        <f t="shared" si="447"/>
        <v>1050</v>
      </c>
      <c r="R3260" s="51" t="s">
        <v>1858</v>
      </c>
      <c r="S3260" s="51" t="s">
        <v>1858</v>
      </c>
      <c r="T3260" s="51"/>
      <c r="U3260" s="51" t="s">
        <v>3143</v>
      </c>
      <c r="V3260" s="51" t="s">
        <v>1400</v>
      </c>
      <c r="W3260" s="51" t="s">
        <v>1727</v>
      </c>
      <c r="X3260" s="51" t="s">
        <v>1400</v>
      </c>
      <c r="Y3260" s="51" t="s">
        <v>1400</v>
      </c>
      <c r="AA3260" s="331"/>
      <c r="AB3260" s="331"/>
      <c r="AG3260" s="36" t="s">
        <v>3147</v>
      </c>
      <c r="AH3260" s="36" t="s">
        <v>2744</v>
      </c>
      <c r="AI3260" s="36" t="s">
        <v>577</v>
      </c>
      <c r="AJ3260" s="36" t="s">
        <v>1645</v>
      </c>
      <c r="AK3260" s="36" t="s">
        <v>132</v>
      </c>
      <c r="AT3260" s="36" t="s">
        <v>3156</v>
      </c>
      <c r="AU3260" s="36" t="s">
        <v>3156</v>
      </c>
      <c r="AV3260" s="36" t="s">
        <v>177</v>
      </c>
      <c r="AW3260" s="36" t="s">
        <v>3148</v>
      </c>
      <c r="BP3260" s="407"/>
      <c r="BQ3260" s="407"/>
      <c r="BU3260" s="407">
        <v>0.33</v>
      </c>
      <c r="BV3260" s="407">
        <v>0.35</v>
      </c>
      <c r="BZ3260" s="407"/>
      <c r="CA3260" s="407"/>
      <c r="CE3260" s="560">
        <v>0.33</v>
      </c>
      <c r="CF3260" s="560">
        <v>0.35</v>
      </c>
      <c r="CG3260" s="560"/>
      <c r="CH3260" s="560"/>
      <c r="CI3260" s="36" t="s">
        <v>4546</v>
      </c>
      <c r="CJ3260" s="36">
        <v>0.33</v>
      </c>
      <c r="CK3260" s="36">
        <v>0.31</v>
      </c>
      <c r="CN3260" s="36" t="s">
        <v>381</v>
      </c>
      <c r="CO3260" s="36">
        <v>1.39</v>
      </c>
      <c r="CP3260" s="36">
        <v>1.52</v>
      </c>
      <c r="CS3260" s="36" t="s">
        <v>3153</v>
      </c>
      <c r="JD3260" s="230"/>
    </row>
    <row r="3261" spans="1:264" s="126" customFormat="1" x14ac:dyDescent="0.25">
      <c r="A3261" s="126">
        <v>153</v>
      </c>
      <c r="B3261" s="478" t="s">
        <v>4420</v>
      </c>
      <c r="C3261" s="126" t="s">
        <v>3142</v>
      </c>
      <c r="D3261" s="126" t="s">
        <v>3141</v>
      </c>
      <c r="E3261" s="126">
        <v>1999</v>
      </c>
      <c r="F3261" s="126">
        <v>1986</v>
      </c>
      <c r="G3261" s="126" t="s">
        <v>3145</v>
      </c>
      <c r="H3261" s="126" t="s">
        <v>3144</v>
      </c>
      <c r="I3261" s="126" t="s">
        <v>3146</v>
      </c>
      <c r="J3261" s="126">
        <v>11.1</v>
      </c>
      <c r="K3261" s="126">
        <f t="shared" si="446"/>
        <v>-4.3833333333333337</v>
      </c>
      <c r="L3261" s="126">
        <v>405</v>
      </c>
      <c r="P3261" s="126">
        <f t="shared" si="447"/>
        <v>1050</v>
      </c>
      <c r="R3261" s="478" t="s">
        <v>1858</v>
      </c>
      <c r="S3261" s="478" t="s">
        <v>1858</v>
      </c>
      <c r="T3261" s="478"/>
      <c r="U3261" s="478" t="s">
        <v>3143</v>
      </c>
      <c r="V3261" s="478" t="s">
        <v>1400</v>
      </c>
      <c r="W3261" s="478" t="s">
        <v>1727</v>
      </c>
      <c r="X3261" s="478" t="s">
        <v>1400</v>
      </c>
      <c r="Y3261" s="478" t="s">
        <v>1400</v>
      </c>
      <c r="AA3261" s="479"/>
      <c r="AB3261" s="479"/>
      <c r="AG3261" s="126" t="s">
        <v>3147</v>
      </c>
      <c r="AH3261" s="126" t="s">
        <v>2326</v>
      </c>
      <c r="AI3261" s="126" t="s">
        <v>577</v>
      </c>
      <c r="AJ3261" s="126" t="s">
        <v>1645</v>
      </c>
      <c r="AK3261" s="126" t="s">
        <v>132</v>
      </c>
      <c r="AT3261" s="126" t="s">
        <v>3157</v>
      </c>
      <c r="AU3261" s="126" t="s">
        <v>3157</v>
      </c>
      <c r="AV3261" s="126" t="s">
        <v>177</v>
      </c>
      <c r="AW3261" s="126" t="s">
        <v>3148</v>
      </c>
      <c r="BP3261" s="481"/>
      <c r="BQ3261" s="481"/>
      <c r="BU3261" s="481">
        <v>0.36</v>
      </c>
      <c r="BV3261" s="481">
        <v>0.35</v>
      </c>
      <c r="BZ3261" s="481"/>
      <c r="CA3261" s="481"/>
      <c r="CE3261" s="605">
        <v>0.36</v>
      </c>
      <c r="CF3261" s="605">
        <v>0.35</v>
      </c>
      <c r="CG3261" s="605"/>
      <c r="CH3261" s="605"/>
      <c r="CI3261" s="126" t="s">
        <v>4546</v>
      </c>
      <c r="CJ3261" s="126">
        <v>0.32</v>
      </c>
      <c r="CK3261" s="126">
        <v>0.37</v>
      </c>
      <c r="CN3261" s="126" t="s">
        <v>381</v>
      </c>
      <c r="CO3261" s="126">
        <v>6.51</v>
      </c>
      <c r="CP3261" s="126">
        <v>3.73</v>
      </c>
      <c r="CS3261" s="126" t="s">
        <v>3153</v>
      </c>
      <c r="JD3261" s="480"/>
    </row>
    <row r="3262" spans="1:264" s="126" customFormat="1" x14ac:dyDescent="0.25">
      <c r="A3262" s="126">
        <v>153</v>
      </c>
      <c r="B3262" s="478" t="s">
        <v>4420</v>
      </c>
      <c r="C3262" s="126" t="s">
        <v>3142</v>
      </c>
      <c r="D3262" s="126" t="s">
        <v>3141</v>
      </c>
      <c r="E3262" s="126">
        <v>1999</v>
      </c>
      <c r="F3262" s="126">
        <v>1986</v>
      </c>
      <c r="G3262" s="126" t="s">
        <v>3145</v>
      </c>
      <c r="H3262" s="126" t="s">
        <v>3144</v>
      </c>
      <c r="I3262" s="126" t="s">
        <v>3146</v>
      </c>
      <c r="J3262" s="126">
        <v>11.1</v>
      </c>
      <c r="K3262" s="126">
        <f t="shared" si="446"/>
        <v>-4.3833333333333337</v>
      </c>
      <c r="L3262" s="126">
        <v>405</v>
      </c>
      <c r="P3262" s="126">
        <f t="shared" si="447"/>
        <v>1050</v>
      </c>
      <c r="R3262" s="478" t="s">
        <v>1858</v>
      </c>
      <c r="S3262" s="478" t="s">
        <v>1858</v>
      </c>
      <c r="T3262" s="478"/>
      <c r="U3262" s="478" t="s">
        <v>3143</v>
      </c>
      <c r="V3262" s="478" t="s">
        <v>1400</v>
      </c>
      <c r="W3262" s="478" t="s">
        <v>1727</v>
      </c>
      <c r="X3262" s="478" t="s">
        <v>1400</v>
      </c>
      <c r="Y3262" s="478" t="s">
        <v>1400</v>
      </c>
      <c r="AA3262" s="479"/>
      <c r="AB3262" s="479"/>
      <c r="AG3262" s="126" t="s">
        <v>3147</v>
      </c>
      <c r="AH3262" s="126" t="s">
        <v>2326</v>
      </c>
      <c r="AI3262" s="126" t="s">
        <v>577</v>
      </c>
      <c r="AJ3262" s="126" t="s">
        <v>1645</v>
      </c>
      <c r="AK3262" s="126" t="s">
        <v>132</v>
      </c>
      <c r="AT3262" s="126" t="s">
        <v>3157</v>
      </c>
      <c r="AU3262" s="126" t="s">
        <v>3157</v>
      </c>
      <c r="AV3262" s="126" t="s">
        <v>177</v>
      </c>
      <c r="AW3262" s="126" t="s">
        <v>3148</v>
      </c>
      <c r="BP3262" s="481"/>
      <c r="BQ3262" s="481"/>
      <c r="BU3262" s="481">
        <v>0.36</v>
      </c>
      <c r="BV3262" s="481">
        <v>0.41</v>
      </c>
      <c r="BZ3262" s="481"/>
      <c r="CA3262" s="481"/>
      <c r="CE3262" s="605">
        <v>0.36</v>
      </c>
      <c r="CF3262" s="605">
        <v>0.41</v>
      </c>
      <c r="CG3262" s="605"/>
      <c r="CH3262" s="605"/>
      <c r="CI3262" s="126" t="s">
        <v>4546</v>
      </c>
      <c r="CJ3262" s="126">
        <v>0.32</v>
      </c>
      <c r="CK3262" s="126">
        <v>0.38</v>
      </c>
      <c r="CN3262" s="126" t="s">
        <v>381</v>
      </c>
      <c r="CO3262" s="126">
        <v>6.51</v>
      </c>
      <c r="CP3262" s="126">
        <v>5.04</v>
      </c>
      <c r="CS3262" s="126" t="s">
        <v>3153</v>
      </c>
      <c r="JD3262" s="480"/>
    </row>
    <row r="3263" spans="1:264" s="126" customFormat="1" x14ac:dyDescent="0.25">
      <c r="A3263" s="126">
        <v>153</v>
      </c>
      <c r="B3263" s="478" t="s">
        <v>4420</v>
      </c>
      <c r="C3263" s="126" t="s">
        <v>3142</v>
      </c>
      <c r="D3263" s="126" t="s">
        <v>3141</v>
      </c>
      <c r="E3263" s="126">
        <v>1999</v>
      </c>
      <c r="F3263" s="126">
        <v>1986</v>
      </c>
      <c r="G3263" s="126" t="s">
        <v>3145</v>
      </c>
      <c r="H3263" s="126" t="s">
        <v>3144</v>
      </c>
      <c r="I3263" s="126" t="s">
        <v>3146</v>
      </c>
      <c r="J3263" s="126">
        <v>11.1</v>
      </c>
      <c r="K3263" s="126">
        <f t="shared" si="446"/>
        <v>-4.3833333333333337</v>
      </c>
      <c r="L3263" s="126">
        <v>405</v>
      </c>
      <c r="P3263" s="126">
        <f t="shared" si="447"/>
        <v>1050</v>
      </c>
      <c r="R3263" s="478" t="s">
        <v>1858</v>
      </c>
      <c r="S3263" s="478" t="s">
        <v>1858</v>
      </c>
      <c r="T3263" s="478"/>
      <c r="U3263" s="478" t="s">
        <v>3143</v>
      </c>
      <c r="V3263" s="478" t="s">
        <v>1400</v>
      </c>
      <c r="W3263" s="478" t="s">
        <v>1727</v>
      </c>
      <c r="X3263" s="478" t="s">
        <v>1400</v>
      </c>
      <c r="Y3263" s="478" t="s">
        <v>1400</v>
      </c>
      <c r="AA3263" s="479"/>
      <c r="AB3263" s="479"/>
      <c r="AG3263" s="126" t="s">
        <v>3147</v>
      </c>
      <c r="AH3263" s="126" t="s">
        <v>2326</v>
      </c>
      <c r="AI3263" s="126" t="s">
        <v>577</v>
      </c>
      <c r="AJ3263" s="126" t="s">
        <v>1645</v>
      </c>
      <c r="AK3263" s="126" t="s">
        <v>132</v>
      </c>
      <c r="AT3263" s="126" t="s">
        <v>3157</v>
      </c>
      <c r="AU3263" s="126" t="s">
        <v>3157</v>
      </c>
      <c r="AV3263" s="126" t="s">
        <v>177</v>
      </c>
      <c r="AW3263" s="126" t="s">
        <v>3148</v>
      </c>
      <c r="BP3263" s="481"/>
      <c r="BQ3263" s="481"/>
      <c r="BU3263" s="481">
        <v>0.36</v>
      </c>
      <c r="BV3263" s="481">
        <v>0.37</v>
      </c>
      <c r="BZ3263" s="481"/>
      <c r="CA3263" s="481"/>
      <c r="CE3263" s="605">
        <v>0.36</v>
      </c>
      <c r="CF3263" s="605">
        <v>0.37</v>
      </c>
      <c r="CG3263" s="605"/>
      <c r="CH3263" s="605"/>
      <c r="CI3263" s="126" t="s">
        <v>4546</v>
      </c>
      <c r="CJ3263" s="126">
        <v>0.32</v>
      </c>
      <c r="CK3263" s="126">
        <v>0.3</v>
      </c>
      <c r="CN3263" s="126" t="s">
        <v>381</v>
      </c>
      <c r="CO3263" s="126">
        <v>6.51</v>
      </c>
      <c r="CP3263" s="126">
        <v>3.36</v>
      </c>
      <c r="CS3263" s="126" t="s">
        <v>3153</v>
      </c>
      <c r="JD3263" s="480"/>
    </row>
    <row r="3264" spans="1:264" s="126" customFormat="1" x14ac:dyDescent="0.25">
      <c r="A3264" s="126">
        <v>153</v>
      </c>
      <c r="B3264" s="478" t="s">
        <v>4420</v>
      </c>
      <c r="C3264" s="126" t="s">
        <v>3142</v>
      </c>
      <c r="D3264" s="126" t="s">
        <v>3141</v>
      </c>
      <c r="E3264" s="126">
        <v>1999</v>
      </c>
      <c r="F3264" s="126">
        <v>1986</v>
      </c>
      <c r="G3264" s="126" t="s">
        <v>3145</v>
      </c>
      <c r="H3264" s="126" t="s">
        <v>3144</v>
      </c>
      <c r="I3264" s="126" t="s">
        <v>3146</v>
      </c>
      <c r="J3264" s="126">
        <v>11.1</v>
      </c>
      <c r="K3264" s="126">
        <f t="shared" si="446"/>
        <v>-4.3833333333333337</v>
      </c>
      <c r="L3264" s="126">
        <v>405</v>
      </c>
      <c r="P3264" s="126">
        <f t="shared" si="447"/>
        <v>1050</v>
      </c>
      <c r="R3264" s="478" t="s">
        <v>1858</v>
      </c>
      <c r="S3264" s="478" t="s">
        <v>1858</v>
      </c>
      <c r="T3264" s="478"/>
      <c r="U3264" s="478" t="s">
        <v>3143</v>
      </c>
      <c r="V3264" s="478" t="s">
        <v>1400</v>
      </c>
      <c r="W3264" s="478" t="s">
        <v>1727</v>
      </c>
      <c r="X3264" s="478" t="s">
        <v>1400</v>
      </c>
      <c r="Y3264" s="478" t="s">
        <v>1400</v>
      </c>
      <c r="AA3264" s="479"/>
      <c r="AB3264" s="479"/>
      <c r="AG3264" s="126" t="s">
        <v>3147</v>
      </c>
      <c r="AH3264" s="126" t="s">
        <v>2326</v>
      </c>
      <c r="AI3264" s="126" t="s">
        <v>577</v>
      </c>
      <c r="AJ3264" s="126" t="s">
        <v>1645</v>
      </c>
      <c r="AK3264" s="126" t="s">
        <v>132</v>
      </c>
      <c r="AT3264" s="126" t="s">
        <v>3157</v>
      </c>
      <c r="AU3264" s="126" t="s">
        <v>3157</v>
      </c>
      <c r="AV3264" s="126" t="s">
        <v>177</v>
      </c>
      <c r="AW3264" s="126" t="s">
        <v>3148</v>
      </c>
      <c r="BP3264" s="481"/>
      <c r="BQ3264" s="481"/>
      <c r="BU3264" s="481">
        <v>0.36</v>
      </c>
      <c r="BV3264" s="481">
        <v>0.32</v>
      </c>
      <c r="BZ3264" s="481"/>
      <c r="CA3264" s="481"/>
      <c r="CE3264" s="605">
        <v>0.36</v>
      </c>
      <c r="CF3264" s="605">
        <v>0.32</v>
      </c>
      <c r="CG3264" s="605"/>
      <c r="CH3264" s="605"/>
      <c r="CI3264" s="126" t="s">
        <v>4546</v>
      </c>
      <c r="CJ3264" s="126">
        <v>0.32</v>
      </c>
      <c r="CK3264" s="126">
        <v>0.27</v>
      </c>
      <c r="CN3264" s="126" t="s">
        <v>381</v>
      </c>
      <c r="CO3264" s="126">
        <v>6.51</v>
      </c>
      <c r="CP3264" s="126">
        <v>3.53</v>
      </c>
      <c r="CS3264" s="126" t="s">
        <v>3153</v>
      </c>
      <c r="JD3264" s="480"/>
    </row>
    <row r="3265" spans="1:264" s="126" customFormat="1" x14ac:dyDescent="0.25">
      <c r="A3265" s="126">
        <v>153</v>
      </c>
      <c r="B3265" s="478" t="s">
        <v>4420</v>
      </c>
      <c r="C3265" s="126" t="s">
        <v>3142</v>
      </c>
      <c r="D3265" s="126" t="s">
        <v>3141</v>
      </c>
      <c r="E3265" s="126">
        <v>1999</v>
      </c>
      <c r="F3265" s="126">
        <v>1986</v>
      </c>
      <c r="G3265" s="126" t="s">
        <v>3145</v>
      </c>
      <c r="H3265" s="126" t="s">
        <v>3144</v>
      </c>
      <c r="I3265" s="126" t="s">
        <v>3146</v>
      </c>
      <c r="J3265" s="126">
        <v>11.1</v>
      </c>
      <c r="K3265" s="126">
        <f t="shared" si="446"/>
        <v>-4.3833333333333337</v>
      </c>
      <c r="L3265" s="126">
        <v>405</v>
      </c>
      <c r="P3265" s="126">
        <f t="shared" si="447"/>
        <v>1050</v>
      </c>
      <c r="R3265" s="478" t="s">
        <v>1858</v>
      </c>
      <c r="S3265" s="478" t="s">
        <v>1858</v>
      </c>
      <c r="T3265" s="478"/>
      <c r="U3265" s="478" t="s">
        <v>3143</v>
      </c>
      <c r="V3265" s="478" t="s">
        <v>1400</v>
      </c>
      <c r="W3265" s="478" t="s">
        <v>1727</v>
      </c>
      <c r="X3265" s="478" t="s">
        <v>1400</v>
      </c>
      <c r="Y3265" s="478" t="s">
        <v>1400</v>
      </c>
      <c r="AA3265" s="479"/>
      <c r="AB3265" s="479"/>
      <c r="AG3265" s="126" t="s">
        <v>3147</v>
      </c>
      <c r="AH3265" s="126" t="s">
        <v>2744</v>
      </c>
      <c r="AI3265" s="126" t="s">
        <v>577</v>
      </c>
      <c r="AJ3265" s="126" t="s">
        <v>1645</v>
      </c>
      <c r="AK3265" s="126" t="s">
        <v>132</v>
      </c>
      <c r="AT3265" s="126" t="s">
        <v>3157</v>
      </c>
      <c r="AU3265" s="126" t="s">
        <v>3157</v>
      </c>
      <c r="AV3265" s="126" t="s">
        <v>177</v>
      </c>
      <c r="AW3265" s="126" t="s">
        <v>3148</v>
      </c>
      <c r="BP3265" s="481"/>
      <c r="BQ3265" s="481"/>
      <c r="BU3265" s="481">
        <v>0.36</v>
      </c>
      <c r="BV3265" s="481">
        <v>0.37</v>
      </c>
      <c r="BZ3265" s="481"/>
      <c r="CA3265" s="481"/>
      <c r="CE3265" s="605">
        <v>0.36</v>
      </c>
      <c r="CF3265" s="605">
        <v>0.37</v>
      </c>
      <c r="CG3265" s="605"/>
      <c r="CH3265" s="605"/>
      <c r="CI3265" s="126" t="s">
        <v>4546</v>
      </c>
      <c r="CJ3265" s="126">
        <v>0.32</v>
      </c>
      <c r="CK3265" s="126">
        <v>0.34</v>
      </c>
      <c r="CN3265" s="126" t="s">
        <v>381</v>
      </c>
      <c r="CO3265" s="126">
        <v>6.51</v>
      </c>
      <c r="CP3265" s="126">
        <v>2.17</v>
      </c>
      <c r="CS3265" s="126" t="s">
        <v>3153</v>
      </c>
      <c r="JD3265" s="480"/>
    </row>
    <row r="3266" spans="1:264" s="126" customFormat="1" x14ac:dyDescent="0.25">
      <c r="A3266" s="126">
        <v>153</v>
      </c>
      <c r="B3266" s="478" t="s">
        <v>4420</v>
      </c>
      <c r="C3266" s="126" t="s">
        <v>3142</v>
      </c>
      <c r="D3266" s="126" t="s">
        <v>3141</v>
      </c>
      <c r="E3266" s="126">
        <v>1999</v>
      </c>
      <c r="F3266" s="126">
        <v>1986</v>
      </c>
      <c r="G3266" s="126" t="s">
        <v>3145</v>
      </c>
      <c r="H3266" s="126" t="s">
        <v>3144</v>
      </c>
      <c r="I3266" s="126" t="s">
        <v>3146</v>
      </c>
      <c r="J3266" s="126">
        <v>11.1</v>
      </c>
      <c r="K3266" s="126">
        <f t="shared" si="446"/>
        <v>-4.3833333333333337</v>
      </c>
      <c r="L3266" s="126">
        <v>405</v>
      </c>
      <c r="P3266" s="126">
        <f t="shared" si="447"/>
        <v>1050</v>
      </c>
      <c r="R3266" s="478" t="s">
        <v>1858</v>
      </c>
      <c r="S3266" s="478" t="s">
        <v>1858</v>
      </c>
      <c r="T3266" s="478"/>
      <c r="U3266" s="478" t="s">
        <v>3143</v>
      </c>
      <c r="V3266" s="478" t="s">
        <v>1400</v>
      </c>
      <c r="W3266" s="478" t="s">
        <v>1727</v>
      </c>
      <c r="X3266" s="478" t="s">
        <v>1400</v>
      </c>
      <c r="Y3266" s="478" t="s">
        <v>1400</v>
      </c>
      <c r="AA3266" s="479"/>
      <c r="AB3266" s="479"/>
      <c r="AG3266" s="126" t="s">
        <v>3147</v>
      </c>
      <c r="AH3266" s="126" t="s">
        <v>2744</v>
      </c>
      <c r="AI3266" s="126" t="s">
        <v>577</v>
      </c>
      <c r="AJ3266" s="126" t="s">
        <v>1645</v>
      </c>
      <c r="AK3266" s="126" t="s">
        <v>132</v>
      </c>
      <c r="AT3266" s="126" t="s">
        <v>3157</v>
      </c>
      <c r="AU3266" s="126" t="s">
        <v>3157</v>
      </c>
      <c r="AV3266" s="126" t="s">
        <v>177</v>
      </c>
      <c r="AW3266" s="126" t="s">
        <v>3148</v>
      </c>
      <c r="BP3266" s="481"/>
      <c r="BQ3266" s="481"/>
      <c r="BU3266" s="481">
        <v>0.36</v>
      </c>
      <c r="BV3266" s="481">
        <v>0.36</v>
      </c>
      <c r="BZ3266" s="481"/>
      <c r="CA3266" s="481"/>
      <c r="CE3266" s="605">
        <v>0.36</v>
      </c>
      <c r="CF3266" s="605">
        <v>0.36</v>
      </c>
      <c r="CG3266" s="605"/>
      <c r="CH3266" s="605"/>
      <c r="CI3266" s="126" t="s">
        <v>4546</v>
      </c>
      <c r="CJ3266" s="126">
        <v>0.32</v>
      </c>
      <c r="CK3266" s="126">
        <v>0.34</v>
      </c>
      <c r="CN3266" s="126" t="s">
        <v>381</v>
      </c>
      <c r="CO3266" s="126">
        <v>6.51</v>
      </c>
      <c r="CP3266" s="126">
        <v>3.52</v>
      </c>
      <c r="CS3266" s="126" t="s">
        <v>3153</v>
      </c>
      <c r="JD3266" s="480"/>
    </row>
    <row r="3267" spans="1:264" s="24" customFormat="1" x14ac:dyDescent="0.25">
      <c r="A3267" s="24">
        <v>154</v>
      </c>
      <c r="B3267" s="42" t="s">
        <v>3251</v>
      </c>
      <c r="C3267" s="24" t="s">
        <v>3158</v>
      </c>
      <c r="D3267" s="24" t="s">
        <v>3159</v>
      </c>
      <c r="E3267" s="24">
        <v>2002</v>
      </c>
      <c r="F3267" s="24">
        <v>1995</v>
      </c>
      <c r="G3267" s="24" t="s">
        <v>2766</v>
      </c>
      <c r="H3267" s="24" t="s">
        <v>3160</v>
      </c>
      <c r="I3267" s="24" t="s">
        <v>2836</v>
      </c>
      <c r="J3267" s="24">
        <v>0.1</v>
      </c>
      <c r="K3267" s="24">
        <f t="shared" ref="K3267:K3300" si="448">34+34/60</f>
        <v>34.56666666666667</v>
      </c>
      <c r="L3267" s="24">
        <v>1430</v>
      </c>
      <c r="P3267" s="24">
        <v>1800</v>
      </c>
      <c r="R3267" s="42" t="s">
        <v>1847</v>
      </c>
      <c r="S3267" s="42" t="s">
        <v>1728</v>
      </c>
      <c r="T3267" s="42"/>
      <c r="U3267" s="42" t="s">
        <v>1999</v>
      </c>
      <c r="V3267" s="42"/>
      <c r="W3267" s="42"/>
      <c r="X3267" s="42"/>
      <c r="Y3267" s="42"/>
      <c r="AA3267" s="321">
        <v>35</v>
      </c>
      <c r="AB3267" s="321">
        <v>31</v>
      </c>
      <c r="AC3267" s="24" t="s">
        <v>672</v>
      </c>
      <c r="AD3267" s="24">
        <v>5.6</v>
      </c>
      <c r="AE3267" s="24">
        <v>1.79</v>
      </c>
      <c r="AG3267" s="24" t="s">
        <v>3161</v>
      </c>
      <c r="AH3267" s="24" t="s">
        <v>2920</v>
      </c>
      <c r="AI3267" s="24" t="s">
        <v>577</v>
      </c>
      <c r="AJ3267" s="24" t="s">
        <v>1645</v>
      </c>
      <c r="AK3267" s="24" t="s">
        <v>132</v>
      </c>
      <c r="AW3267" s="24" t="s">
        <v>2780</v>
      </c>
      <c r="AX3267" s="24">
        <v>3</v>
      </c>
      <c r="AZ3267" s="24" t="s">
        <v>141</v>
      </c>
      <c r="BB3267" s="24">
        <v>9100</v>
      </c>
      <c r="BC3267" s="24">
        <f>BB3267/111.1</f>
        <v>81.908190819081909</v>
      </c>
      <c r="BE3267" s="24" t="s">
        <v>3186</v>
      </c>
      <c r="BK3267" s="24">
        <v>2000</v>
      </c>
      <c r="BL3267" s="24">
        <v>4200</v>
      </c>
      <c r="BM3267" s="24">
        <v>600</v>
      </c>
      <c r="BN3267" s="24">
        <v>600</v>
      </c>
      <c r="BO3267" s="24" t="s">
        <v>3162</v>
      </c>
      <c r="BP3267" s="395"/>
      <c r="BQ3267" s="395"/>
      <c r="BU3267" s="395"/>
      <c r="BV3267" s="395"/>
      <c r="BZ3267" s="395"/>
      <c r="CA3267" s="395"/>
      <c r="CE3267" s="548"/>
      <c r="CF3267" s="548"/>
      <c r="CG3267" s="548"/>
      <c r="CH3267" s="548"/>
      <c r="JD3267" s="249"/>
    </row>
    <row r="3268" spans="1:264" s="24" customFormat="1" x14ac:dyDescent="0.25">
      <c r="A3268" s="24">
        <v>154</v>
      </c>
      <c r="B3268" s="42" t="s">
        <v>3251</v>
      </c>
      <c r="C3268" s="24" t="s">
        <v>3158</v>
      </c>
      <c r="D3268" s="24" t="s">
        <v>3159</v>
      </c>
      <c r="E3268" s="24">
        <v>2002</v>
      </c>
      <c r="F3268" s="24">
        <v>1995</v>
      </c>
      <c r="G3268" s="24" t="s">
        <v>2766</v>
      </c>
      <c r="H3268" s="24" t="s">
        <v>3160</v>
      </c>
      <c r="I3268" s="24" t="s">
        <v>2836</v>
      </c>
      <c r="J3268" s="24">
        <v>0.1</v>
      </c>
      <c r="K3268" s="24">
        <f t="shared" si="448"/>
        <v>34.56666666666667</v>
      </c>
      <c r="L3268" s="24">
        <v>1430</v>
      </c>
      <c r="P3268" s="24">
        <v>1800</v>
      </c>
      <c r="R3268" s="42" t="s">
        <v>1847</v>
      </c>
      <c r="S3268" s="42" t="s">
        <v>1728</v>
      </c>
      <c r="T3268" s="42"/>
      <c r="U3268" s="42" t="s">
        <v>1999</v>
      </c>
      <c r="V3268" s="42"/>
      <c r="W3268" s="42"/>
      <c r="X3268" s="42"/>
      <c r="Y3268" s="42"/>
      <c r="AA3268" s="321">
        <v>35</v>
      </c>
      <c r="AB3268" s="321">
        <v>31</v>
      </c>
      <c r="AC3268" s="24" t="s">
        <v>672</v>
      </c>
      <c r="AD3268" s="24">
        <v>5.6</v>
      </c>
      <c r="AE3268" s="24">
        <v>1.79</v>
      </c>
      <c r="AG3268" s="24" t="s">
        <v>3161</v>
      </c>
      <c r="AH3268" s="24" t="s">
        <v>2920</v>
      </c>
      <c r="AI3268" s="24" t="s">
        <v>577</v>
      </c>
      <c r="AJ3268" s="24" t="s">
        <v>1645</v>
      </c>
      <c r="AK3268" s="24" t="s">
        <v>132</v>
      </c>
      <c r="AW3268" s="24" t="s">
        <v>2780</v>
      </c>
      <c r="AX3268" s="24">
        <v>3</v>
      </c>
      <c r="AZ3268" s="24" t="s">
        <v>141</v>
      </c>
      <c r="BB3268" s="24">
        <v>10900</v>
      </c>
      <c r="BC3268" s="24">
        <f>BB3268/102</f>
        <v>106.86274509803921</v>
      </c>
      <c r="BE3268" s="24" t="s">
        <v>3186</v>
      </c>
      <c r="BK3268" s="24">
        <v>2000</v>
      </c>
      <c r="BL3268" s="24">
        <v>4800</v>
      </c>
      <c r="BM3268" s="24">
        <v>600</v>
      </c>
      <c r="BN3268" s="24">
        <v>600</v>
      </c>
      <c r="BO3268" s="24" t="s">
        <v>3162</v>
      </c>
      <c r="BP3268" s="395"/>
      <c r="BQ3268" s="395"/>
      <c r="BU3268" s="395"/>
      <c r="BV3268" s="395"/>
      <c r="BZ3268" s="395"/>
      <c r="CA3268" s="395"/>
      <c r="CE3268" s="548"/>
      <c r="CF3268" s="548"/>
      <c r="CG3268" s="548"/>
      <c r="CH3268" s="548"/>
      <c r="JD3268" s="249"/>
    </row>
    <row r="3269" spans="1:264" s="24" customFormat="1" x14ac:dyDescent="0.25">
      <c r="A3269" s="24">
        <v>154</v>
      </c>
      <c r="B3269" s="42" t="s">
        <v>3251</v>
      </c>
      <c r="C3269" s="24" t="s">
        <v>3158</v>
      </c>
      <c r="D3269" s="24" t="s">
        <v>3159</v>
      </c>
      <c r="E3269" s="24">
        <v>2002</v>
      </c>
      <c r="F3269" s="24">
        <v>1995</v>
      </c>
      <c r="G3269" s="24" t="s">
        <v>2766</v>
      </c>
      <c r="H3269" s="24" t="s">
        <v>3160</v>
      </c>
      <c r="I3269" s="24" t="s">
        <v>2836</v>
      </c>
      <c r="J3269" s="24">
        <v>0.1</v>
      </c>
      <c r="K3269" s="24">
        <f t="shared" si="448"/>
        <v>34.56666666666667</v>
      </c>
      <c r="L3269" s="24">
        <v>1430</v>
      </c>
      <c r="P3269" s="24">
        <v>1800</v>
      </c>
      <c r="R3269" s="42" t="s">
        <v>1847</v>
      </c>
      <c r="S3269" s="42" t="s">
        <v>1728</v>
      </c>
      <c r="T3269" s="42"/>
      <c r="U3269" s="42" t="s">
        <v>1999</v>
      </c>
      <c r="V3269" s="42"/>
      <c r="W3269" s="42"/>
      <c r="X3269" s="42"/>
      <c r="Y3269" s="42"/>
      <c r="AA3269" s="321">
        <v>35</v>
      </c>
      <c r="AB3269" s="321">
        <v>31</v>
      </c>
      <c r="AC3269" s="24" t="s">
        <v>672</v>
      </c>
      <c r="AD3269" s="24">
        <v>5.6</v>
      </c>
      <c r="AE3269" s="24">
        <v>1.79</v>
      </c>
      <c r="AG3269" s="24" t="s">
        <v>3161</v>
      </c>
      <c r="AH3269" s="24" t="s">
        <v>2918</v>
      </c>
      <c r="AI3269" s="24" t="s">
        <v>577</v>
      </c>
      <c r="AJ3269" s="24" t="s">
        <v>1645</v>
      </c>
      <c r="AK3269" s="24" t="s">
        <v>132</v>
      </c>
      <c r="AW3269" s="24" t="s">
        <v>2780</v>
      </c>
      <c r="AX3269" s="24">
        <v>3</v>
      </c>
      <c r="AZ3269" s="24" t="s">
        <v>141</v>
      </c>
      <c r="BB3269" s="24">
        <v>7800</v>
      </c>
      <c r="BC3269" s="24">
        <f>BB3269/68.8</f>
        <v>113.37209302325581</v>
      </c>
      <c r="BE3269" s="24" t="s">
        <v>3186</v>
      </c>
      <c r="BK3269" s="24">
        <v>2000</v>
      </c>
      <c r="BL3269" s="24">
        <v>5100</v>
      </c>
      <c r="BM3269" s="24">
        <v>600</v>
      </c>
      <c r="BN3269" s="24">
        <v>600</v>
      </c>
      <c r="BO3269" s="24" t="s">
        <v>3162</v>
      </c>
      <c r="BP3269" s="395"/>
      <c r="BQ3269" s="395"/>
      <c r="BU3269" s="395"/>
      <c r="BV3269" s="395"/>
      <c r="BZ3269" s="395"/>
      <c r="CA3269" s="395"/>
      <c r="CE3269" s="548"/>
      <c r="CF3269" s="548"/>
      <c r="CG3269" s="548"/>
      <c r="CH3269" s="548"/>
      <c r="JD3269" s="249"/>
    </row>
    <row r="3270" spans="1:264" s="24" customFormat="1" x14ac:dyDescent="0.25">
      <c r="A3270" s="24">
        <v>154</v>
      </c>
      <c r="B3270" s="42" t="s">
        <v>3251</v>
      </c>
      <c r="C3270" s="24" t="s">
        <v>3158</v>
      </c>
      <c r="D3270" s="24" t="s">
        <v>3159</v>
      </c>
      <c r="E3270" s="24">
        <v>2002</v>
      </c>
      <c r="F3270" s="24">
        <v>1995</v>
      </c>
      <c r="G3270" s="24" t="s">
        <v>2766</v>
      </c>
      <c r="H3270" s="24" t="s">
        <v>3160</v>
      </c>
      <c r="I3270" s="24" t="s">
        <v>2836</v>
      </c>
      <c r="J3270" s="24">
        <v>0.1</v>
      </c>
      <c r="K3270" s="24">
        <f t="shared" si="448"/>
        <v>34.56666666666667</v>
      </c>
      <c r="L3270" s="24">
        <v>1430</v>
      </c>
      <c r="P3270" s="24">
        <v>1800</v>
      </c>
      <c r="R3270" s="42" t="s">
        <v>1847</v>
      </c>
      <c r="S3270" s="42" t="s">
        <v>1728</v>
      </c>
      <c r="T3270" s="42"/>
      <c r="U3270" s="42" t="s">
        <v>1999</v>
      </c>
      <c r="V3270" s="42"/>
      <c r="W3270" s="42"/>
      <c r="X3270" s="42"/>
      <c r="Y3270" s="42"/>
      <c r="AA3270" s="321">
        <v>35</v>
      </c>
      <c r="AB3270" s="321">
        <v>31</v>
      </c>
      <c r="AC3270" s="24" t="s">
        <v>672</v>
      </c>
      <c r="AD3270" s="24">
        <v>5.6</v>
      </c>
      <c r="AE3270" s="24">
        <v>1.79</v>
      </c>
      <c r="AG3270" s="24" t="s">
        <v>3161</v>
      </c>
      <c r="AH3270" s="24" t="s">
        <v>2918</v>
      </c>
      <c r="AI3270" s="24" t="s">
        <v>577</v>
      </c>
      <c r="AJ3270" s="24" t="s">
        <v>1645</v>
      </c>
      <c r="AK3270" s="24" t="s">
        <v>132</v>
      </c>
      <c r="AW3270" s="24" t="s">
        <v>2780</v>
      </c>
      <c r="AX3270" s="24">
        <v>3</v>
      </c>
      <c r="AZ3270" s="24" t="s">
        <v>141</v>
      </c>
      <c r="BB3270" s="24">
        <v>12600</v>
      </c>
      <c r="BC3270" s="24">
        <f>BB3270/86</f>
        <v>146.51162790697674</v>
      </c>
      <c r="BE3270" s="24" t="s">
        <v>3186</v>
      </c>
      <c r="BK3270" s="24">
        <v>2000</v>
      </c>
      <c r="BL3270" s="24">
        <v>3800</v>
      </c>
      <c r="BM3270" s="24">
        <v>600</v>
      </c>
      <c r="BN3270" s="24">
        <v>600</v>
      </c>
      <c r="BO3270" s="24" t="s">
        <v>3162</v>
      </c>
      <c r="BP3270" s="395"/>
      <c r="BQ3270" s="395"/>
      <c r="BU3270" s="395"/>
      <c r="BV3270" s="395"/>
      <c r="BZ3270" s="395"/>
      <c r="CA3270" s="395"/>
      <c r="CE3270" s="548"/>
      <c r="CF3270" s="548"/>
      <c r="CG3270" s="548"/>
      <c r="CH3270" s="548"/>
      <c r="JD3270" s="249"/>
    </row>
    <row r="3271" spans="1:264" s="24" customFormat="1" x14ac:dyDescent="0.25">
      <c r="A3271" s="24">
        <v>154</v>
      </c>
      <c r="B3271" s="42" t="s">
        <v>3252</v>
      </c>
      <c r="C3271" s="24" t="s">
        <v>3158</v>
      </c>
      <c r="D3271" s="24" t="s">
        <v>3159</v>
      </c>
      <c r="E3271" s="24">
        <v>2002</v>
      </c>
      <c r="F3271" s="24">
        <v>1995</v>
      </c>
      <c r="G3271" s="24" t="s">
        <v>2766</v>
      </c>
      <c r="H3271" s="24" t="s">
        <v>3160</v>
      </c>
      <c r="I3271" s="24" t="s">
        <v>2836</v>
      </c>
      <c r="J3271" s="24">
        <v>0.1</v>
      </c>
      <c r="K3271" s="24">
        <f t="shared" si="448"/>
        <v>34.56666666666667</v>
      </c>
      <c r="L3271" s="24">
        <v>1430</v>
      </c>
      <c r="P3271" s="24">
        <v>1800</v>
      </c>
      <c r="R3271" s="42" t="s">
        <v>1847</v>
      </c>
      <c r="S3271" s="42" t="s">
        <v>1728</v>
      </c>
      <c r="T3271" s="42"/>
      <c r="U3271" s="42" t="s">
        <v>1999</v>
      </c>
      <c r="V3271" s="42"/>
      <c r="W3271" s="42"/>
      <c r="X3271" s="42"/>
      <c r="Y3271" s="42"/>
      <c r="AA3271" s="321">
        <v>35</v>
      </c>
      <c r="AB3271" s="321">
        <v>31</v>
      </c>
      <c r="AC3271" s="24" t="s">
        <v>672</v>
      </c>
      <c r="AD3271" s="24">
        <v>5.6</v>
      </c>
      <c r="AE3271" s="24">
        <v>1.79</v>
      </c>
      <c r="AG3271" s="24" t="s">
        <v>3161</v>
      </c>
      <c r="AH3271" s="24" t="s">
        <v>2916</v>
      </c>
      <c r="AI3271" s="24" t="s">
        <v>1129</v>
      </c>
      <c r="AJ3271" s="24" t="s">
        <v>1645</v>
      </c>
      <c r="AK3271" s="24" t="s">
        <v>132</v>
      </c>
      <c r="AW3271" s="24" t="s">
        <v>2780</v>
      </c>
      <c r="AX3271" s="24">
        <v>3</v>
      </c>
      <c r="AZ3271" s="24" t="s">
        <v>141</v>
      </c>
      <c r="BB3271" s="24">
        <v>13300</v>
      </c>
      <c r="BC3271" s="24">
        <f>BB3271/94.4</f>
        <v>140.88983050847457</v>
      </c>
      <c r="BE3271" s="24" t="s">
        <v>3186</v>
      </c>
      <c r="BK3271" s="24">
        <v>2000</v>
      </c>
      <c r="BL3271" s="24">
        <v>2300</v>
      </c>
      <c r="BM3271" s="24">
        <v>600</v>
      </c>
      <c r="BN3271" s="24">
        <v>600</v>
      </c>
      <c r="BO3271" s="24" t="s">
        <v>3162</v>
      </c>
      <c r="BP3271" s="395"/>
      <c r="BQ3271" s="395"/>
      <c r="BU3271" s="395"/>
      <c r="BV3271" s="395"/>
      <c r="BZ3271" s="395"/>
      <c r="CA3271" s="395"/>
      <c r="CE3271" s="548"/>
      <c r="CF3271" s="548"/>
      <c r="CG3271" s="548"/>
      <c r="CH3271" s="548"/>
      <c r="JD3271" s="249"/>
    </row>
    <row r="3272" spans="1:264" s="24" customFormat="1" x14ac:dyDescent="0.25">
      <c r="A3272" s="24">
        <v>154</v>
      </c>
      <c r="B3272" s="42" t="s">
        <v>3251</v>
      </c>
      <c r="C3272" s="24" t="s">
        <v>3158</v>
      </c>
      <c r="D3272" s="24" t="s">
        <v>3159</v>
      </c>
      <c r="E3272" s="24">
        <v>2002</v>
      </c>
      <c r="F3272" s="24">
        <v>1995</v>
      </c>
      <c r="G3272" s="24" t="s">
        <v>2766</v>
      </c>
      <c r="H3272" s="24" t="s">
        <v>3160</v>
      </c>
      <c r="I3272" s="24" t="s">
        <v>2836</v>
      </c>
      <c r="J3272" s="24">
        <v>0.1</v>
      </c>
      <c r="K3272" s="24">
        <f t="shared" si="448"/>
        <v>34.56666666666667</v>
      </c>
      <c r="L3272" s="24">
        <v>1430</v>
      </c>
      <c r="P3272" s="24">
        <v>1800</v>
      </c>
      <c r="R3272" s="42" t="s">
        <v>1847</v>
      </c>
      <c r="S3272" s="42" t="s">
        <v>1728</v>
      </c>
      <c r="T3272" s="42"/>
      <c r="U3272" s="42" t="s">
        <v>1999</v>
      </c>
      <c r="V3272" s="42"/>
      <c r="W3272" s="42"/>
      <c r="X3272" s="42"/>
      <c r="Y3272" s="42"/>
      <c r="AA3272" s="321">
        <v>35</v>
      </c>
      <c r="AB3272" s="321">
        <v>31</v>
      </c>
      <c r="AC3272" s="24" t="s">
        <v>672</v>
      </c>
      <c r="AD3272" s="24">
        <v>5.6</v>
      </c>
      <c r="AE3272" s="24">
        <v>1.79</v>
      </c>
      <c r="AG3272" s="24" t="s">
        <v>3161</v>
      </c>
      <c r="AH3272" s="24" t="s">
        <v>2917</v>
      </c>
      <c r="AI3272" s="24" t="s">
        <v>577</v>
      </c>
      <c r="AJ3272" s="24" t="s">
        <v>1645</v>
      </c>
      <c r="AK3272" s="24" t="s">
        <v>132</v>
      </c>
      <c r="AW3272" s="24" t="s">
        <v>2780</v>
      </c>
      <c r="AX3272" s="24">
        <v>3</v>
      </c>
      <c r="AZ3272" s="24" t="s">
        <v>141</v>
      </c>
      <c r="BB3272" s="24">
        <v>9800</v>
      </c>
      <c r="BC3272" s="24">
        <f>BB3272/80</f>
        <v>122.5</v>
      </c>
      <c r="BE3272" s="24" t="s">
        <v>3186</v>
      </c>
      <c r="BK3272" s="24">
        <v>2000</v>
      </c>
      <c r="BL3272" s="24">
        <v>3200</v>
      </c>
      <c r="BM3272" s="24">
        <v>600</v>
      </c>
      <c r="BN3272" s="24">
        <v>600</v>
      </c>
      <c r="BO3272" s="24" t="s">
        <v>3162</v>
      </c>
      <c r="BP3272" s="395"/>
      <c r="BQ3272" s="395"/>
      <c r="BU3272" s="395"/>
      <c r="BV3272" s="395"/>
      <c r="BZ3272" s="395"/>
      <c r="CA3272" s="395"/>
      <c r="CE3272" s="548"/>
      <c r="CF3272" s="548"/>
      <c r="CG3272" s="548"/>
      <c r="CH3272" s="548"/>
      <c r="JD3272" s="249"/>
    </row>
    <row r="3273" spans="1:264" s="32" customFormat="1" x14ac:dyDescent="0.25">
      <c r="A3273" s="32">
        <v>154</v>
      </c>
      <c r="B3273" s="44" t="s">
        <v>3251</v>
      </c>
      <c r="C3273" s="32" t="s">
        <v>3158</v>
      </c>
      <c r="D3273" s="32" t="s">
        <v>3159</v>
      </c>
      <c r="E3273" s="32">
        <v>2002</v>
      </c>
      <c r="F3273" s="32">
        <v>1996</v>
      </c>
      <c r="G3273" s="32" t="s">
        <v>2766</v>
      </c>
      <c r="H3273" s="32" t="s">
        <v>3160</v>
      </c>
      <c r="I3273" s="32" t="s">
        <v>2836</v>
      </c>
      <c r="J3273" s="32">
        <v>0.1</v>
      </c>
      <c r="K3273" s="32">
        <f t="shared" si="448"/>
        <v>34.56666666666667</v>
      </c>
      <c r="L3273" s="32">
        <v>1430</v>
      </c>
      <c r="P3273" s="32">
        <v>1800</v>
      </c>
      <c r="R3273" s="44" t="s">
        <v>1728</v>
      </c>
      <c r="S3273" s="44" t="s">
        <v>1728</v>
      </c>
      <c r="T3273" s="44"/>
      <c r="U3273" s="44" t="s">
        <v>1999</v>
      </c>
      <c r="V3273" s="44"/>
      <c r="W3273" s="44"/>
      <c r="X3273" s="44"/>
      <c r="Y3273" s="44"/>
      <c r="AA3273" s="323">
        <v>35</v>
      </c>
      <c r="AB3273" s="323">
        <v>31</v>
      </c>
      <c r="AC3273" s="32" t="s">
        <v>672</v>
      </c>
      <c r="AD3273" s="32">
        <v>5.6</v>
      </c>
      <c r="AE3273" s="32">
        <v>1.79</v>
      </c>
      <c r="AG3273" s="32" t="s">
        <v>3161</v>
      </c>
      <c r="AH3273" s="32" t="s">
        <v>2920</v>
      </c>
      <c r="AI3273" s="32" t="s">
        <v>577</v>
      </c>
      <c r="AJ3273" s="32" t="s">
        <v>1645</v>
      </c>
      <c r="AK3273" s="32" t="s">
        <v>132</v>
      </c>
      <c r="AW3273" s="32" t="s">
        <v>2780</v>
      </c>
      <c r="AX3273" s="32">
        <v>3</v>
      </c>
      <c r="AZ3273" s="32" t="s">
        <v>141</v>
      </c>
      <c r="BE3273" s="32" t="s">
        <v>3185</v>
      </c>
      <c r="BK3273" s="32">
        <v>1900</v>
      </c>
      <c r="BL3273" s="32">
        <v>2000</v>
      </c>
      <c r="BM3273" s="32">
        <v>700</v>
      </c>
      <c r="BN3273" s="32">
        <v>700</v>
      </c>
      <c r="BO3273" s="32" t="s">
        <v>3162</v>
      </c>
      <c r="BP3273" s="397"/>
      <c r="BQ3273" s="397"/>
      <c r="BU3273" s="397"/>
      <c r="BV3273" s="397"/>
      <c r="BZ3273" s="397"/>
      <c r="CA3273" s="397"/>
      <c r="CE3273" s="550"/>
      <c r="CF3273" s="550"/>
      <c r="CG3273" s="550"/>
      <c r="CH3273" s="550"/>
      <c r="JD3273" s="243"/>
    </row>
    <row r="3274" spans="1:264" s="32" customFormat="1" x14ac:dyDescent="0.25">
      <c r="A3274" s="32">
        <v>154</v>
      </c>
      <c r="B3274" s="44" t="s">
        <v>3251</v>
      </c>
      <c r="C3274" s="32" t="s">
        <v>3158</v>
      </c>
      <c r="D3274" s="32" t="s">
        <v>3159</v>
      </c>
      <c r="E3274" s="32">
        <v>2002</v>
      </c>
      <c r="F3274" s="32">
        <v>1996</v>
      </c>
      <c r="G3274" s="32" t="s">
        <v>2766</v>
      </c>
      <c r="H3274" s="32" t="s">
        <v>3160</v>
      </c>
      <c r="I3274" s="32" t="s">
        <v>2836</v>
      </c>
      <c r="J3274" s="32">
        <v>0.1</v>
      </c>
      <c r="K3274" s="32">
        <f t="shared" si="448"/>
        <v>34.56666666666667</v>
      </c>
      <c r="L3274" s="32">
        <v>1430</v>
      </c>
      <c r="P3274" s="32">
        <v>1800</v>
      </c>
      <c r="R3274" s="44" t="s">
        <v>1728</v>
      </c>
      <c r="S3274" s="44" t="s">
        <v>1728</v>
      </c>
      <c r="T3274" s="44"/>
      <c r="U3274" s="44" t="s">
        <v>1999</v>
      </c>
      <c r="V3274" s="44"/>
      <c r="W3274" s="44"/>
      <c r="X3274" s="44"/>
      <c r="Y3274" s="44"/>
      <c r="AA3274" s="323">
        <v>35</v>
      </c>
      <c r="AB3274" s="323">
        <v>31</v>
      </c>
      <c r="AC3274" s="32" t="s">
        <v>672</v>
      </c>
      <c r="AD3274" s="32">
        <v>5.6</v>
      </c>
      <c r="AE3274" s="32">
        <v>1.79</v>
      </c>
      <c r="AG3274" s="32" t="s">
        <v>3161</v>
      </c>
      <c r="AH3274" s="32" t="s">
        <v>2920</v>
      </c>
      <c r="AI3274" s="32" t="s">
        <v>577</v>
      </c>
      <c r="AJ3274" s="32" t="s">
        <v>1645</v>
      </c>
      <c r="AK3274" s="32" t="s">
        <v>132</v>
      </c>
      <c r="AW3274" s="32" t="s">
        <v>2780</v>
      </c>
      <c r="AX3274" s="32">
        <v>3</v>
      </c>
      <c r="AZ3274" s="32" t="s">
        <v>141</v>
      </c>
      <c r="BE3274" s="32" t="s">
        <v>3185</v>
      </c>
      <c r="BK3274" s="32">
        <v>1900</v>
      </c>
      <c r="BL3274" s="32">
        <v>2800</v>
      </c>
      <c r="BM3274" s="32">
        <v>700</v>
      </c>
      <c r="BN3274" s="32">
        <v>700</v>
      </c>
      <c r="BO3274" s="32" t="s">
        <v>3162</v>
      </c>
      <c r="BP3274" s="397"/>
      <c r="BQ3274" s="397"/>
      <c r="BU3274" s="397"/>
      <c r="BV3274" s="397"/>
      <c r="BZ3274" s="397"/>
      <c r="CA3274" s="397"/>
      <c r="CE3274" s="550"/>
      <c r="CF3274" s="550"/>
      <c r="CG3274" s="550"/>
      <c r="CH3274" s="550"/>
      <c r="JD3274" s="243"/>
    </row>
    <row r="3275" spans="1:264" s="32" customFormat="1" x14ac:dyDescent="0.25">
      <c r="A3275" s="32">
        <v>154</v>
      </c>
      <c r="B3275" s="44" t="s">
        <v>3251</v>
      </c>
      <c r="C3275" s="32" t="s">
        <v>3158</v>
      </c>
      <c r="D3275" s="32" t="s">
        <v>3159</v>
      </c>
      <c r="E3275" s="32">
        <v>2002</v>
      </c>
      <c r="F3275" s="32">
        <v>1996</v>
      </c>
      <c r="G3275" s="32" t="s">
        <v>2766</v>
      </c>
      <c r="H3275" s="32" t="s">
        <v>3160</v>
      </c>
      <c r="I3275" s="32" t="s">
        <v>2836</v>
      </c>
      <c r="J3275" s="32">
        <v>0.1</v>
      </c>
      <c r="K3275" s="32">
        <f t="shared" si="448"/>
        <v>34.56666666666667</v>
      </c>
      <c r="L3275" s="32">
        <v>1430</v>
      </c>
      <c r="P3275" s="32">
        <v>1800</v>
      </c>
      <c r="R3275" s="44" t="s">
        <v>1728</v>
      </c>
      <c r="S3275" s="44" t="s">
        <v>1728</v>
      </c>
      <c r="T3275" s="44"/>
      <c r="U3275" s="44" t="s">
        <v>1999</v>
      </c>
      <c r="V3275" s="44"/>
      <c r="W3275" s="44"/>
      <c r="X3275" s="44"/>
      <c r="Y3275" s="44"/>
      <c r="AA3275" s="323">
        <v>35</v>
      </c>
      <c r="AB3275" s="323">
        <v>31</v>
      </c>
      <c r="AC3275" s="32" t="s">
        <v>672</v>
      </c>
      <c r="AD3275" s="32">
        <v>5.6</v>
      </c>
      <c r="AE3275" s="32">
        <v>1.79</v>
      </c>
      <c r="AG3275" s="32" t="s">
        <v>3161</v>
      </c>
      <c r="AH3275" s="32" t="s">
        <v>2918</v>
      </c>
      <c r="AI3275" s="32" t="s">
        <v>577</v>
      </c>
      <c r="AJ3275" s="32" t="s">
        <v>1645</v>
      </c>
      <c r="AK3275" s="32" t="s">
        <v>132</v>
      </c>
      <c r="AW3275" s="32" t="s">
        <v>2780</v>
      </c>
      <c r="AX3275" s="32">
        <v>3</v>
      </c>
      <c r="AZ3275" s="32" t="s">
        <v>141</v>
      </c>
      <c r="BE3275" s="32" t="s">
        <v>3185</v>
      </c>
      <c r="BK3275" s="32">
        <v>1900</v>
      </c>
      <c r="BL3275" s="32">
        <v>3700</v>
      </c>
      <c r="BM3275" s="32">
        <v>700</v>
      </c>
      <c r="BN3275" s="32">
        <v>700</v>
      </c>
      <c r="BO3275" s="32" t="s">
        <v>3162</v>
      </c>
      <c r="BP3275" s="397"/>
      <c r="BQ3275" s="397"/>
      <c r="BU3275" s="397"/>
      <c r="BV3275" s="397"/>
      <c r="BZ3275" s="397"/>
      <c r="CA3275" s="397"/>
      <c r="CE3275" s="550"/>
      <c r="CF3275" s="550"/>
      <c r="CG3275" s="550"/>
      <c r="CH3275" s="550"/>
      <c r="JD3275" s="243"/>
    </row>
    <row r="3276" spans="1:264" s="32" customFormat="1" x14ac:dyDescent="0.25">
      <c r="A3276" s="32">
        <v>154</v>
      </c>
      <c r="B3276" s="44" t="s">
        <v>3251</v>
      </c>
      <c r="C3276" s="32" t="s">
        <v>3158</v>
      </c>
      <c r="D3276" s="32" t="s">
        <v>3159</v>
      </c>
      <c r="E3276" s="32">
        <v>2002</v>
      </c>
      <c r="F3276" s="32">
        <v>1996</v>
      </c>
      <c r="G3276" s="32" t="s">
        <v>2766</v>
      </c>
      <c r="H3276" s="32" t="s">
        <v>3160</v>
      </c>
      <c r="I3276" s="32" t="s">
        <v>2836</v>
      </c>
      <c r="J3276" s="32">
        <v>0.1</v>
      </c>
      <c r="K3276" s="32">
        <f t="shared" si="448"/>
        <v>34.56666666666667</v>
      </c>
      <c r="L3276" s="32">
        <v>1430</v>
      </c>
      <c r="P3276" s="32">
        <v>1800</v>
      </c>
      <c r="R3276" s="44" t="s">
        <v>1728</v>
      </c>
      <c r="S3276" s="44" t="s">
        <v>1728</v>
      </c>
      <c r="T3276" s="44"/>
      <c r="U3276" s="44" t="s">
        <v>1999</v>
      </c>
      <c r="V3276" s="44"/>
      <c r="W3276" s="44"/>
      <c r="X3276" s="44"/>
      <c r="Y3276" s="44"/>
      <c r="AA3276" s="323">
        <v>35</v>
      </c>
      <c r="AB3276" s="323">
        <v>31</v>
      </c>
      <c r="AC3276" s="32" t="s">
        <v>672</v>
      </c>
      <c r="AD3276" s="32">
        <v>5.6</v>
      </c>
      <c r="AE3276" s="32">
        <v>1.79</v>
      </c>
      <c r="AG3276" s="32" t="s">
        <v>3161</v>
      </c>
      <c r="AH3276" s="32" t="s">
        <v>2918</v>
      </c>
      <c r="AI3276" s="32" t="s">
        <v>577</v>
      </c>
      <c r="AJ3276" s="32" t="s">
        <v>1645</v>
      </c>
      <c r="AK3276" s="32" t="s">
        <v>132</v>
      </c>
      <c r="AW3276" s="32" t="s">
        <v>2780</v>
      </c>
      <c r="AX3276" s="32">
        <v>3</v>
      </c>
      <c r="AZ3276" s="32" t="s">
        <v>141</v>
      </c>
      <c r="BE3276" s="32" t="s">
        <v>3185</v>
      </c>
      <c r="BK3276" s="32">
        <v>1900</v>
      </c>
      <c r="BL3276" s="32">
        <v>3300</v>
      </c>
      <c r="BM3276" s="32">
        <v>700</v>
      </c>
      <c r="BN3276" s="32">
        <v>700</v>
      </c>
      <c r="BO3276" s="32" t="s">
        <v>3162</v>
      </c>
      <c r="BP3276" s="397"/>
      <c r="BQ3276" s="397"/>
      <c r="BU3276" s="397"/>
      <c r="BV3276" s="397"/>
      <c r="BZ3276" s="397"/>
      <c r="CA3276" s="397"/>
      <c r="CE3276" s="550"/>
      <c r="CF3276" s="550"/>
      <c r="CG3276" s="550"/>
      <c r="CH3276" s="550"/>
      <c r="JD3276" s="243"/>
    </row>
    <row r="3277" spans="1:264" s="32" customFormat="1" x14ac:dyDescent="0.25">
      <c r="A3277" s="32">
        <v>154</v>
      </c>
      <c r="B3277" s="44" t="s">
        <v>3252</v>
      </c>
      <c r="C3277" s="32" t="s">
        <v>3158</v>
      </c>
      <c r="D3277" s="32" t="s">
        <v>3159</v>
      </c>
      <c r="E3277" s="32">
        <v>2002</v>
      </c>
      <c r="F3277" s="32">
        <v>1996</v>
      </c>
      <c r="G3277" s="32" t="s">
        <v>2766</v>
      </c>
      <c r="H3277" s="32" t="s">
        <v>3160</v>
      </c>
      <c r="I3277" s="32" t="s">
        <v>2836</v>
      </c>
      <c r="J3277" s="32">
        <v>0.1</v>
      </c>
      <c r="K3277" s="32">
        <f t="shared" si="448"/>
        <v>34.56666666666667</v>
      </c>
      <c r="L3277" s="32">
        <v>1430</v>
      </c>
      <c r="P3277" s="32">
        <v>1800</v>
      </c>
      <c r="R3277" s="44" t="s">
        <v>1728</v>
      </c>
      <c r="S3277" s="44" t="s">
        <v>1728</v>
      </c>
      <c r="T3277" s="44"/>
      <c r="U3277" s="44" t="s">
        <v>1999</v>
      </c>
      <c r="V3277" s="44"/>
      <c r="W3277" s="44"/>
      <c r="X3277" s="44"/>
      <c r="Y3277" s="44"/>
      <c r="AA3277" s="323">
        <v>35</v>
      </c>
      <c r="AB3277" s="323">
        <v>31</v>
      </c>
      <c r="AC3277" s="32" t="s">
        <v>672</v>
      </c>
      <c r="AD3277" s="32">
        <v>5.6</v>
      </c>
      <c r="AE3277" s="32">
        <v>1.79</v>
      </c>
      <c r="AG3277" s="32" t="s">
        <v>3161</v>
      </c>
      <c r="AH3277" s="32" t="s">
        <v>2916</v>
      </c>
      <c r="AI3277" s="32" t="s">
        <v>1129</v>
      </c>
      <c r="AJ3277" s="32" t="s">
        <v>1645</v>
      </c>
      <c r="AK3277" s="32" t="s">
        <v>132</v>
      </c>
      <c r="AW3277" s="32" t="s">
        <v>2780</v>
      </c>
      <c r="AX3277" s="32">
        <v>3</v>
      </c>
      <c r="AZ3277" s="32" t="s">
        <v>141</v>
      </c>
      <c r="BE3277" s="32" t="s">
        <v>3185</v>
      </c>
      <c r="BK3277" s="32">
        <v>1900</v>
      </c>
      <c r="BL3277" s="32">
        <v>3200</v>
      </c>
      <c r="BM3277" s="32">
        <v>700</v>
      </c>
      <c r="BN3277" s="32">
        <v>700</v>
      </c>
      <c r="BO3277" s="32" t="s">
        <v>3162</v>
      </c>
      <c r="BP3277" s="397"/>
      <c r="BQ3277" s="397"/>
      <c r="BU3277" s="397"/>
      <c r="BV3277" s="397"/>
      <c r="BZ3277" s="397"/>
      <c r="CA3277" s="397"/>
      <c r="CE3277" s="550"/>
      <c r="CF3277" s="550"/>
      <c r="CG3277" s="550"/>
      <c r="CH3277" s="550"/>
      <c r="JD3277" s="243"/>
    </row>
    <row r="3278" spans="1:264" s="32" customFormat="1" x14ac:dyDescent="0.25">
      <c r="A3278" s="32">
        <v>154</v>
      </c>
      <c r="B3278" s="44" t="s">
        <v>3251</v>
      </c>
      <c r="C3278" s="32" t="s">
        <v>3158</v>
      </c>
      <c r="D3278" s="32" t="s">
        <v>3159</v>
      </c>
      <c r="E3278" s="32">
        <v>2002</v>
      </c>
      <c r="F3278" s="32">
        <v>1996</v>
      </c>
      <c r="G3278" s="32" t="s">
        <v>2766</v>
      </c>
      <c r="H3278" s="32" t="s">
        <v>3160</v>
      </c>
      <c r="I3278" s="32" t="s">
        <v>2836</v>
      </c>
      <c r="J3278" s="32">
        <v>0.1</v>
      </c>
      <c r="K3278" s="32">
        <f t="shared" si="448"/>
        <v>34.56666666666667</v>
      </c>
      <c r="L3278" s="32">
        <v>1430</v>
      </c>
      <c r="P3278" s="32">
        <v>1800</v>
      </c>
      <c r="R3278" s="44" t="s">
        <v>1728</v>
      </c>
      <c r="S3278" s="44" t="s">
        <v>1728</v>
      </c>
      <c r="T3278" s="44"/>
      <c r="U3278" s="44" t="s">
        <v>1999</v>
      </c>
      <c r="V3278" s="44"/>
      <c r="W3278" s="44"/>
      <c r="X3278" s="44"/>
      <c r="Y3278" s="44"/>
      <c r="AA3278" s="323">
        <v>35</v>
      </c>
      <c r="AB3278" s="323">
        <v>31</v>
      </c>
      <c r="AC3278" s="32" t="s">
        <v>672</v>
      </c>
      <c r="AD3278" s="32">
        <v>5.6</v>
      </c>
      <c r="AE3278" s="32">
        <v>1.79</v>
      </c>
      <c r="AG3278" s="32" t="s">
        <v>3161</v>
      </c>
      <c r="AH3278" s="32" t="s">
        <v>2917</v>
      </c>
      <c r="AI3278" s="32" t="s">
        <v>577</v>
      </c>
      <c r="AJ3278" s="32" t="s">
        <v>1645</v>
      </c>
      <c r="AK3278" s="32" t="s">
        <v>132</v>
      </c>
      <c r="AW3278" s="32" t="s">
        <v>2780</v>
      </c>
      <c r="AX3278" s="32">
        <v>3</v>
      </c>
      <c r="AZ3278" s="32" t="s">
        <v>141</v>
      </c>
      <c r="BE3278" s="32" t="s">
        <v>3185</v>
      </c>
      <c r="BK3278" s="32">
        <v>1900</v>
      </c>
      <c r="BL3278" s="32">
        <v>2200</v>
      </c>
      <c r="BM3278" s="32">
        <v>700</v>
      </c>
      <c r="BN3278" s="32">
        <v>700</v>
      </c>
      <c r="BO3278" s="32" t="s">
        <v>3162</v>
      </c>
      <c r="BP3278" s="397"/>
      <c r="BQ3278" s="397"/>
      <c r="BU3278" s="397"/>
      <c r="BV3278" s="397"/>
      <c r="BZ3278" s="397"/>
      <c r="CA3278" s="397"/>
      <c r="CE3278" s="550"/>
      <c r="CF3278" s="550"/>
      <c r="CG3278" s="550"/>
      <c r="CH3278" s="550"/>
      <c r="JD3278" s="243"/>
    </row>
    <row r="3279" spans="1:264" s="24" customFormat="1" x14ac:dyDescent="0.25">
      <c r="A3279" s="24">
        <v>154</v>
      </c>
      <c r="B3279" s="42" t="s">
        <v>3252</v>
      </c>
      <c r="C3279" s="24" t="s">
        <v>3158</v>
      </c>
      <c r="D3279" s="24" t="s">
        <v>3159</v>
      </c>
      <c r="E3279" s="24">
        <v>2002</v>
      </c>
      <c r="F3279" s="24">
        <v>1996</v>
      </c>
      <c r="G3279" s="24" t="s">
        <v>2766</v>
      </c>
      <c r="H3279" s="24" t="s">
        <v>3160</v>
      </c>
      <c r="I3279" s="24" t="s">
        <v>2836</v>
      </c>
      <c r="J3279" s="24">
        <v>0.1</v>
      </c>
      <c r="K3279" s="24">
        <f t="shared" si="448"/>
        <v>34.56666666666667</v>
      </c>
      <c r="L3279" s="24">
        <v>1430</v>
      </c>
      <c r="P3279" s="24">
        <v>1800</v>
      </c>
      <c r="R3279" s="42" t="s">
        <v>1728</v>
      </c>
      <c r="S3279" s="42" t="s">
        <v>1728</v>
      </c>
      <c r="T3279" s="42"/>
      <c r="U3279" s="42" t="s">
        <v>1999</v>
      </c>
      <c r="V3279" s="42"/>
      <c r="W3279" s="42"/>
      <c r="X3279" s="42"/>
      <c r="Y3279" s="42"/>
      <c r="AA3279" s="321">
        <v>35</v>
      </c>
      <c r="AB3279" s="321">
        <v>31</v>
      </c>
      <c r="AC3279" s="24" t="s">
        <v>672</v>
      </c>
      <c r="AD3279" s="24">
        <v>5.6</v>
      </c>
      <c r="AE3279" s="24">
        <v>1.79</v>
      </c>
      <c r="AG3279" s="24" t="s">
        <v>3161</v>
      </c>
      <c r="AH3279" s="24" t="s">
        <v>3167</v>
      </c>
      <c r="AI3279" s="24" t="s">
        <v>1129</v>
      </c>
      <c r="AJ3279" s="24" t="s">
        <v>1645</v>
      </c>
      <c r="AK3279" s="24" t="s">
        <v>132</v>
      </c>
      <c r="AW3279" s="24" t="s">
        <v>2780</v>
      </c>
      <c r="AX3279" s="24">
        <v>3</v>
      </c>
      <c r="AZ3279" s="24" t="s">
        <v>141</v>
      </c>
      <c r="BB3279" s="24">
        <v>15600</v>
      </c>
      <c r="BC3279" s="24">
        <f>BB3279/190.7</f>
        <v>81.803880440482445</v>
      </c>
      <c r="BE3279" s="24" t="s">
        <v>3186</v>
      </c>
      <c r="BK3279" s="24">
        <v>3500</v>
      </c>
      <c r="BL3279" s="24">
        <v>4500</v>
      </c>
      <c r="BM3279" s="24">
        <v>800</v>
      </c>
      <c r="BN3279" s="24">
        <v>800</v>
      </c>
      <c r="BO3279" s="24" t="s">
        <v>3163</v>
      </c>
      <c r="BP3279" s="395"/>
      <c r="BQ3279" s="395"/>
      <c r="BU3279" s="395"/>
      <c r="BV3279" s="395"/>
      <c r="BZ3279" s="395"/>
      <c r="CA3279" s="395"/>
      <c r="CE3279" s="548"/>
      <c r="CF3279" s="548"/>
      <c r="CG3279" s="548"/>
      <c r="CH3279" s="548"/>
      <c r="JD3279" s="249"/>
    </row>
    <row r="3280" spans="1:264" s="24" customFormat="1" x14ac:dyDescent="0.25">
      <c r="A3280" s="24">
        <v>154</v>
      </c>
      <c r="B3280" s="42" t="s">
        <v>3252</v>
      </c>
      <c r="C3280" s="24" t="s">
        <v>3158</v>
      </c>
      <c r="D3280" s="24" t="s">
        <v>3159</v>
      </c>
      <c r="E3280" s="24">
        <v>2002</v>
      </c>
      <c r="F3280" s="24">
        <v>1996</v>
      </c>
      <c r="G3280" s="24" t="s">
        <v>2766</v>
      </c>
      <c r="H3280" s="24" t="s">
        <v>3160</v>
      </c>
      <c r="I3280" s="24" t="s">
        <v>2836</v>
      </c>
      <c r="J3280" s="24">
        <v>0.1</v>
      </c>
      <c r="K3280" s="24">
        <f t="shared" si="448"/>
        <v>34.56666666666667</v>
      </c>
      <c r="L3280" s="24">
        <v>1430</v>
      </c>
      <c r="P3280" s="24">
        <v>1800</v>
      </c>
      <c r="R3280" s="42" t="s">
        <v>1728</v>
      </c>
      <c r="S3280" s="42" t="s">
        <v>1728</v>
      </c>
      <c r="T3280" s="42"/>
      <c r="U3280" s="42" t="s">
        <v>1999</v>
      </c>
      <c r="V3280" s="42"/>
      <c r="W3280" s="42"/>
      <c r="X3280" s="42"/>
      <c r="Y3280" s="42"/>
      <c r="AA3280" s="321">
        <v>35</v>
      </c>
      <c r="AB3280" s="321">
        <v>31</v>
      </c>
      <c r="AC3280" s="24" t="s">
        <v>672</v>
      </c>
      <c r="AD3280" s="24">
        <v>5.6</v>
      </c>
      <c r="AE3280" s="24">
        <v>1.79</v>
      </c>
      <c r="AG3280" s="24" t="s">
        <v>3161</v>
      </c>
      <c r="AH3280" s="24" t="s">
        <v>2921</v>
      </c>
      <c r="AI3280" s="24" t="s">
        <v>577</v>
      </c>
      <c r="AJ3280" s="24" t="s">
        <v>1645</v>
      </c>
      <c r="AK3280" s="24" t="s">
        <v>132</v>
      </c>
      <c r="AW3280" s="24" t="s">
        <v>2780</v>
      </c>
      <c r="AX3280" s="24">
        <v>3</v>
      </c>
      <c r="AZ3280" s="24" t="s">
        <v>141</v>
      </c>
      <c r="BB3280" s="24">
        <v>23200</v>
      </c>
      <c r="BC3280" s="24">
        <f>BB3280/330.4</f>
        <v>70.217917675544797</v>
      </c>
      <c r="BE3280" s="24" t="s">
        <v>3186</v>
      </c>
      <c r="BK3280" s="24">
        <v>3500</v>
      </c>
      <c r="BL3280" s="24">
        <v>4900</v>
      </c>
      <c r="BM3280" s="24">
        <v>800</v>
      </c>
      <c r="BN3280" s="24">
        <v>800</v>
      </c>
      <c r="BO3280" s="24" t="s">
        <v>3163</v>
      </c>
      <c r="BP3280" s="395"/>
      <c r="BQ3280" s="395"/>
      <c r="BU3280" s="395"/>
      <c r="BV3280" s="395"/>
      <c r="BZ3280" s="395"/>
      <c r="CA3280" s="395"/>
      <c r="CE3280" s="548"/>
      <c r="CF3280" s="548"/>
      <c r="CG3280" s="548"/>
      <c r="CH3280" s="548"/>
      <c r="JD3280" s="249"/>
    </row>
    <row r="3281" spans="1:264" s="24" customFormat="1" x14ac:dyDescent="0.25">
      <c r="A3281" s="24">
        <v>154</v>
      </c>
      <c r="B3281" s="42" t="s">
        <v>3252</v>
      </c>
      <c r="C3281" s="24" t="s">
        <v>3158</v>
      </c>
      <c r="D3281" s="24" t="s">
        <v>3159</v>
      </c>
      <c r="E3281" s="24">
        <v>2002</v>
      </c>
      <c r="F3281" s="24">
        <v>1996</v>
      </c>
      <c r="G3281" s="24" t="s">
        <v>2766</v>
      </c>
      <c r="H3281" s="24" t="s">
        <v>3160</v>
      </c>
      <c r="I3281" s="24" t="s">
        <v>2836</v>
      </c>
      <c r="J3281" s="24">
        <v>0.1</v>
      </c>
      <c r="K3281" s="24">
        <f t="shared" si="448"/>
        <v>34.56666666666667</v>
      </c>
      <c r="L3281" s="24">
        <v>1430</v>
      </c>
      <c r="P3281" s="24">
        <v>1800</v>
      </c>
      <c r="R3281" s="42" t="s">
        <v>1728</v>
      </c>
      <c r="S3281" s="42" t="s">
        <v>1728</v>
      </c>
      <c r="T3281" s="42"/>
      <c r="U3281" s="42" t="s">
        <v>1999</v>
      </c>
      <c r="V3281" s="42"/>
      <c r="W3281" s="42"/>
      <c r="X3281" s="42"/>
      <c r="Y3281" s="42"/>
      <c r="AA3281" s="321">
        <v>35</v>
      </c>
      <c r="AB3281" s="321">
        <v>31</v>
      </c>
      <c r="AC3281" s="24" t="s">
        <v>672</v>
      </c>
      <c r="AD3281" s="24">
        <v>5.6</v>
      </c>
      <c r="AE3281" s="24">
        <v>1.79</v>
      </c>
      <c r="AG3281" s="24" t="s">
        <v>3161</v>
      </c>
      <c r="AH3281" s="24" t="s">
        <v>3168</v>
      </c>
      <c r="AI3281" s="24" t="s">
        <v>577</v>
      </c>
      <c r="AJ3281" s="24" t="s">
        <v>1645</v>
      </c>
      <c r="AK3281" s="24" t="s">
        <v>132</v>
      </c>
      <c r="AW3281" s="24" t="s">
        <v>2780</v>
      </c>
      <c r="AX3281" s="24">
        <v>3</v>
      </c>
      <c r="AZ3281" s="24" t="s">
        <v>141</v>
      </c>
      <c r="BB3281" s="24">
        <v>7000</v>
      </c>
      <c r="BC3281" s="24">
        <f>BB3281/60.4</f>
        <v>115.89403973509934</v>
      </c>
      <c r="BE3281" s="24" t="s">
        <v>3186</v>
      </c>
      <c r="BK3281" s="24">
        <v>3500</v>
      </c>
      <c r="BL3281" s="24">
        <v>4400</v>
      </c>
      <c r="BM3281" s="24">
        <v>800</v>
      </c>
      <c r="BN3281" s="24">
        <v>800</v>
      </c>
      <c r="BO3281" s="24" t="s">
        <v>3163</v>
      </c>
      <c r="BP3281" s="395"/>
      <c r="BQ3281" s="395"/>
      <c r="BU3281" s="395"/>
      <c r="BV3281" s="395"/>
      <c r="BZ3281" s="395"/>
      <c r="CA3281" s="395"/>
      <c r="CE3281" s="548"/>
      <c r="CF3281" s="548"/>
      <c r="CG3281" s="548"/>
      <c r="CH3281" s="548"/>
      <c r="JD3281" s="249"/>
    </row>
    <row r="3282" spans="1:264" s="24" customFormat="1" x14ac:dyDescent="0.25">
      <c r="A3282" s="24">
        <v>154</v>
      </c>
      <c r="B3282" s="42" t="s">
        <v>3252</v>
      </c>
      <c r="C3282" s="24" t="s">
        <v>3158</v>
      </c>
      <c r="D3282" s="24" t="s">
        <v>3159</v>
      </c>
      <c r="E3282" s="24">
        <v>2002</v>
      </c>
      <c r="F3282" s="24">
        <v>1996</v>
      </c>
      <c r="G3282" s="24" t="s">
        <v>2766</v>
      </c>
      <c r="H3282" s="24" t="s">
        <v>3160</v>
      </c>
      <c r="I3282" s="24" t="s">
        <v>2836</v>
      </c>
      <c r="J3282" s="24">
        <v>0.1</v>
      </c>
      <c r="K3282" s="24">
        <f t="shared" si="448"/>
        <v>34.56666666666667</v>
      </c>
      <c r="L3282" s="24">
        <v>1430</v>
      </c>
      <c r="P3282" s="24">
        <v>1800</v>
      </c>
      <c r="R3282" s="42" t="s">
        <v>1728</v>
      </c>
      <c r="S3282" s="42" t="s">
        <v>1728</v>
      </c>
      <c r="T3282" s="42"/>
      <c r="U3282" s="42" t="s">
        <v>1999</v>
      </c>
      <c r="V3282" s="42"/>
      <c r="W3282" s="42"/>
      <c r="X3282" s="42"/>
      <c r="Y3282" s="42"/>
      <c r="AA3282" s="321">
        <v>35</v>
      </c>
      <c r="AB3282" s="321">
        <v>31</v>
      </c>
      <c r="AC3282" s="24" t="s">
        <v>672</v>
      </c>
      <c r="AD3282" s="24">
        <v>5.6</v>
      </c>
      <c r="AE3282" s="24">
        <v>1.79</v>
      </c>
      <c r="AG3282" s="24" t="s">
        <v>3161</v>
      </c>
      <c r="AH3282" s="24" t="s">
        <v>2922</v>
      </c>
      <c r="AI3282" s="24" t="s">
        <v>577</v>
      </c>
      <c r="AJ3282" s="24" t="s">
        <v>1645</v>
      </c>
      <c r="AK3282" s="24" t="s">
        <v>132</v>
      </c>
      <c r="AW3282" s="24" t="s">
        <v>2780</v>
      </c>
      <c r="AX3282" s="24">
        <v>3</v>
      </c>
      <c r="AZ3282" s="24" t="s">
        <v>141</v>
      </c>
      <c r="BB3282" s="24">
        <v>12800</v>
      </c>
      <c r="BC3282" s="24">
        <f>BB3282/56.7</f>
        <v>225.7495590828924</v>
      </c>
      <c r="BE3282" s="24" t="s">
        <v>3186</v>
      </c>
      <c r="BK3282" s="24">
        <v>3500</v>
      </c>
      <c r="BL3282" s="24">
        <v>4500</v>
      </c>
      <c r="BM3282" s="24">
        <v>800</v>
      </c>
      <c r="BN3282" s="24">
        <v>800</v>
      </c>
      <c r="BO3282" s="24" t="s">
        <v>3163</v>
      </c>
      <c r="BP3282" s="395"/>
      <c r="BQ3282" s="395"/>
      <c r="BU3282" s="395"/>
      <c r="BV3282" s="395"/>
      <c r="BZ3282" s="395"/>
      <c r="CA3282" s="395"/>
      <c r="CE3282" s="548"/>
      <c r="CF3282" s="548"/>
      <c r="CG3282" s="548"/>
      <c r="CH3282" s="548"/>
      <c r="JD3282" s="249"/>
    </row>
    <row r="3283" spans="1:264" s="24" customFormat="1" x14ac:dyDescent="0.25">
      <c r="A3283" s="24">
        <v>154</v>
      </c>
      <c r="B3283" s="42" t="s">
        <v>3252</v>
      </c>
      <c r="C3283" s="24" t="s">
        <v>3158</v>
      </c>
      <c r="D3283" s="24" t="s">
        <v>3159</v>
      </c>
      <c r="E3283" s="24">
        <v>2002</v>
      </c>
      <c r="F3283" s="24">
        <v>1996</v>
      </c>
      <c r="G3283" s="24" t="s">
        <v>2766</v>
      </c>
      <c r="H3283" s="24" t="s">
        <v>3160</v>
      </c>
      <c r="I3283" s="24" t="s">
        <v>2836</v>
      </c>
      <c r="J3283" s="24">
        <v>0.1</v>
      </c>
      <c r="K3283" s="24">
        <f t="shared" si="448"/>
        <v>34.56666666666667</v>
      </c>
      <c r="L3283" s="24">
        <v>1430</v>
      </c>
      <c r="P3283" s="24">
        <v>1800</v>
      </c>
      <c r="R3283" s="42" t="s">
        <v>1728</v>
      </c>
      <c r="S3283" s="42" t="s">
        <v>1728</v>
      </c>
      <c r="T3283" s="42"/>
      <c r="U3283" s="42" t="s">
        <v>1999</v>
      </c>
      <c r="V3283" s="42"/>
      <c r="W3283" s="42"/>
      <c r="X3283" s="42"/>
      <c r="Y3283" s="42"/>
      <c r="AA3283" s="321">
        <v>35</v>
      </c>
      <c r="AB3283" s="321">
        <v>31</v>
      </c>
      <c r="AC3283" s="24" t="s">
        <v>672</v>
      </c>
      <c r="AD3283" s="24">
        <v>5.6</v>
      </c>
      <c r="AE3283" s="24">
        <v>1.79</v>
      </c>
      <c r="AG3283" s="24" t="s">
        <v>3161</v>
      </c>
      <c r="AH3283" s="24" t="s">
        <v>3166</v>
      </c>
      <c r="AI3283" s="24" t="s">
        <v>1586</v>
      </c>
      <c r="AJ3283" s="24" t="s">
        <v>1645</v>
      </c>
      <c r="AK3283" s="24" t="s">
        <v>132</v>
      </c>
      <c r="AW3283" s="24" t="s">
        <v>2780</v>
      </c>
      <c r="AX3283" s="24">
        <v>3</v>
      </c>
      <c r="AZ3283" s="24" t="s">
        <v>141</v>
      </c>
      <c r="BB3283" s="24">
        <v>6300</v>
      </c>
      <c r="BC3283" s="24">
        <f>BB3283/60.4</f>
        <v>104.30463576158941</v>
      </c>
      <c r="BE3283" s="24" t="s">
        <v>3186</v>
      </c>
      <c r="BK3283" s="24">
        <v>3500</v>
      </c>
      <c r="BL3283" s="24">
        <v>2300</v>
      </c>
      <c r="BM3283" s="24">
        <v>800</v>
      </c>
      <c r="BN3283" s="24">
        <v>800</v>
      </c>
      <c r="BO3283" s="24" t="s">
        <v>3163</v>
      </c>
      <c r="BP3283" s="395"/>
      <c r="BQ3283" s="395"/>
      <c r="BU3283" s="395"/>
      <c r="BV3283" s="395"/>
      <c r="BZ3283" s="395"/>
      <c r="CA3283" s="395"/>
      <c r="CE3283" s="548"/>
      <c r="CF3283" s="548"/>
      <c r="CG3283" s="548"/>
      <c r="CH3283" s="548"/>
      <c r="JD3283" s="249"/>
    </row>
    <row r="3284" spans="1:264" s="24" customFormat="1" x14ac:dyDescent="0.25">
      <c r="A3284" s="24">
        <v>154</v>
      </c>
      <c r="B3284" s="42" t="s">
        <v>3252</v>
      </c>
      <c r="C3284" s="24" t="s">
        <v>3158</v>
      </c>
      <c r="D3284" s="24" t="s">
        <v>3159</v>
      </c>
      <c r="E3284" s="24">
        <v>2002</v>
      </c>
      <c r="F3284" s="24">
        <v>1996</v>
      </c>
      <c r="G3284" s="24" t="s">
        <v>2766</v>
      </c>
      <c r="H3284" s="24" t="s">
        <v>3160</v>
      </c>
      <c r="I3284" s="24" t="s">
        <v>2836</v>
      </c>
      <c r="J3284" s="24">
        <v>0.1</v>
      </c>
      <c r="K3284" s="24">
        <f t="shared" si="448"/>
        <v>34.56666666666667</v>
      </c>
      <c r="L3284" s="24">
        <v>1430</v>
      </c>
      <c r="P3284" s="24">
        <v>1800</v>
      </c>
      <c r="R3284" s="42" t="s">
        <v>1728</v>
      </c>
      <c r="S3284" s="42" t="s">
        <v>1728</v>
      </c>
      <c r="T3284" s="42"/>
      <c r="U3284" s="42" t="s">
        <v>1999</v>
      </c>
      <c r="V3284" s="42"/>
      <c r="W3284" s="42"/>
      <c r="X3284" s="42"/>
      <c r="Y3284" s="42"/>
      <c r="AA3284" s="321">
        <v>35</v>
      </c>
      <c r="AB3284" s="321">
        <v>31</v>
      </c>
      <c r="AC3284" s="24" t="s">
        <v>672</v>
      </c>
      <c r="AD3284" s="24">
        <v>5.6</v>
      </c>
      <c r="AE3284" s="24">
        <v>1.79</v>
      </c>
      <c r="AG3284" s="24" t="s">
        <v>3161</v>
      </c>
      <c r="AH3284" s="24" t="s">
        <v>3165</v>
      </c>
      <c r="AI3284" s="24" t="s">
        <v>577</v>
      </c>
      <c r="AJ3284" s="24" t="s">
        <v>1645</v>
      </c>
      <c r="AK3284" s="24" t="s">
        <v>132</v>
      </c>
      <c r="AW3284" s="24" t="s">
        <v>2780</v>
      </c>
      <c r="AX3284" s="24">
        <v>3</v>
      </c>
      <c r="AZ3284" s="24" t="s">
        <v>141</v>
      </c>
      <c r="BB3284" s="24">
        <v>9900</v>
      </c>
      <c r="BC3284" s="24">
        <f>BB3284/139.6</f>
        <v>70.916905444126073</v>
      </c>
      <c r="BE3284" s="24" t="s">
        <v>3186</v>
      </c>
      <c r="BK3284" s="24">
        <v>3500</v>
      </c>
      <c r="BL3284" s="24">
        <v>5900</v>
      </c>
      <c r="BM3284" s="24">
        <v>800</v>
      </c>
      <c r="BN3284" s="24">
        <v>800</v>
      </c>
      <c r="BO3284" s="24" t="s">
        <v>3163</v>
      </c>
      <c r="BP3284" s="395"/>
      <c r="BQ3284" s="395"/>
      <c r="BU3284" s="395"/>
      <c r="BV3284" s="395"/>
      <c r="BZ3284" s="395"/>
      <c r="CA3284" s="395"/>
      <c r="CE3284" s="548"/>
      <c r="CF3284" s="548"/>
      <c r="CG3284" s="548"/>
      <c r="CH3284" s="548"/>
      <c r="JD3284" s="249"/>
    </row>
    <row r="3285" spans="1:264" s="32" customFormat="1" x14ac:dyDescent="0.25">
      <c r="A3285" s="32">
        <v>154</v>
      </c>
      <c r="B3285" s="44" t="s">
        <v>3252</v>
      </c>
      <c r="C3285" s="32" t="s">
        <v>3158</v>
      </c>
      <c r="D3285" s="32" t="s">
        <v>3159</v>
      </c>
      <c r="E3285" s="32">
        <v>2002</v>
      </c>
      <c r="F3285" s="32">
        <v>1996</v>
      </c>
      <c r="G3285" s="32" t="s">
        <v>2766</v>
      </c>
      <c r="H3285" s="32" t="s">
        <v>3160</v>
      </c>
      <c r="I3285" s="32" t="s">
        <v>2836</v>
      </c>
      <c r="J3285" s="32">
        <v>0.1</v>
      </c>
      <c r="K3285" s="32">
        <f t="shared" si="448"/>
        <v>34.56666666666667</v>
      </c>
      <c r="L3285" s="32">
        <v>1430</v>
      </c>
      <c r="P3285" s="32">
        <v>1800</v>
      </c>
      <c r="R3285" s="44" t="s">
        <v>1728</v>
      </c>
      <c r="S3285" s="44" t="s">
        <v>1728</v>
      </c>
      <c r="T3285" s="44"/>
      <c r="U3285" s="44" t="s">
        <v>1999</v>
      </c>
      <c r="V3285" s="44"/>
      <c r="W3285" s="44"/>
      <c r="X3285" s="44"/>
      <c r="Y3285" s="44"/>
      <c r="AA3285" s="323">
        <v>35</v>
      </c>
      <c r="AB3285" s="323">
        <v>31</v>
      </c>
      <c r="AC3285" s="32" t="s">
        <v>672</v>
      </c>
      <c r="AD3285" s="32">
        <v>5.6</v>
      </c>
      <c r="AE3285" s="32">
        <v>1.79</v>
      </c>
      <c r="AG3285" s="32" t="s">
        <v>3161</v>
      </c>
      <c r="AH3285" s="32" t="s">
        <v>3167</v>
      </c>
      <c r="AI3285" s="32" t="s">
        <v>1129</v>
      </c>
      <c r="AJ3285" s="32" t="s">
        <v>1645</v>
      </c>
      <c r="AK3285" s="32" t="s">
        <v>132</v>
      </c>
      <c r="AW3285" s="32" t="s">
        <v>2780</v>
      </c>
      <c r="AX3285" s="32">
        <v>3</v>
      </c>
      <c r="AZ3285" s="32" t="s">
        <v>141</v>
      </c>
      <c r="BB3285" s="32">
        <v>15700</v>
      </c>
      <c r="BC3285" s="32">
        <f>BB3285/67.2</f>
        <v>233.63095238095238</v>
      </c>
      <c r="BE3285" s="32" t="s">
        <v>3185</v>
      </c>
      <c r="BK3285" s="32">
        <v>3000</v>
      </c>
      <c r="BL3285" s="32">
        <v>3000</v>
      </c>
      <c r="BM3285" s="32">
        <v>300</v>
      </c>
      <c r="BN3285" s="32">
        <v>300</v>
      </c>
      <c r="BO3285" s="32" t="s">
        <v>3163</v>
      </c>
      <c r="BP3285" s="397"/>
      <c r="BQ3285" s="397"/>
      <c r="BU3285" s="397"/>
      <c r="BV3285" s="397"/>
      <c r="BZ3285" s="397"/>
      <c r="CA3285" s="397"/>
      <c r="CE3285" s="550"/>
      <c r="CF3285" s="550"/>
      <c r="CG3285" s="550"/>
      <c r="CH3285" s="550"/>
      <c r="JD3285" s="243"/>
    </row>
    <row r="3286" spans="1:264" s="32" customFormat="1" x14ac:dyDescent="0.25">
      <c r="A3286" s="32">
        <v>154</v>
      </c>
      <c r="B3286" s="44" t="s">
        <v>3252</v>
      </c>
      <c r="C3286" s="32" t="s">
        <v>3158</v>
      </c>
      <c r="D3286" s="32" t="s">
        <v>3159</v>
      </c>
      <c r="E3286" s="32">
        <v>2002</v>
      </c>
      <c r="F3286" s="32">
        <v>1996</v>
      </c>
      <c r="G3286" s="32" t="s">
        <v>2766</v>
      </c>
      <c r="H3286" s="32" t="s">
        <v>3160</v>
      </c>
      <c r="I3286" s="32" t="s">
        <v>2836</v>
      </c>
      <c r="J3286" s="32">
        <v>0.1</v>
      </c>
      <c r="K3286" s="32">
        <f t="shared" si="448"/>
        <v>34.56666666666667</v>
      </c>
      <c r="L3286" s="32">
        <v>1430</v>
      </c>
      <c r="P3286" s="32">
        <v>1800</v>
      </c>
      <c r="R3286" s="44" t="s">
        <v>1728</v>
      </c>
      <c r="S3286" s="44" t="s">
        <v>1728</v>
      </c>
      <c r="T3286" s="44"/>
      <c r="U3286" s="44" t="s">
        <v>1999</v>
      </c>
      <c r="V3286" s="44"/>
      <c r="W3286" s="44"/>
      <c r="X3286" s="44"/>
      <c r="Y3286" s="44"/>
      <c r="AA3286" s="323">
        <v>35</v>
      </c>
      <c r="AB3286" s="323">
        <v>31</v>
      </c>
      <c r="AC3286" s="32" t="s">
        <v>672</v>
      </c>
      <c r="AD3286" s="32">
        <v>5.6</v>
      </c>
      <c r="AE3286" s="32">
        <v>1.79</v>
      </c>
      <c r="AG3286" s="32" t="s">
        <v>3161</v>
      </c>
      <c r="AH3286" s="32" t="s">
        <v>2921</v>
      </c>
      <c r="AI3286" s="32" t="s">
        <v>577</v>
      </c>
      <c r="AJ3286" s="32" t="s">
        <v>1645</v>
      </c>
      <c r="AK3286" s="32" t="s">
        <v>132</v>
      </c>
      <c r="AW3286" s="32" t="s">
        <v>2780</v>
      </c>
      <c r="AX3286" s="32">
        <v>3</v>
      </c>
      <c r="AZ3286" s="32" t="s">
        <v>141</v>
      </c>
      <c r="BB3286" s="32">
        <v>29900</v>
      </c>
      <c r="BC3286" s="32">
        <f>BB3286/312.8</f>
        <v>95.588235294117638</v>
      </c>
      <c r="BE3286" s="32" t="s">
        <v>3185</v>
      </c>
      <c r="BK3286" s="32">
        <v>3000</v>
      </c>
      <c r="BL3286" s="32">
        <v>3200</v>
      </c>
      <c r="BM3286" s="32">
        <v>300</v>
      </c>
      <c r="BN3286" s="32">
        <v>300</v>
      </c>
      <c r="BO3286" s="32" t="s">
        <v>3163</v>
      </c>
      <c r="BP3286" s="397"/>
      <c r="BQ3286" s="397"/>
      <c r="BU3286" s="397"/>
      <c r="BV3286" s="397"/>
      <c r="BZ3286" s="397"/>
      <c r="CA3286" s="397"/>
      <c r="CE3286" s="550"/>
      <c r="CF3286" s="550"/>
      <c r="CG3286" s="550"/>
      <c r="CH3286" s="550"/>
      <c r="JD3286" s="243"/>
    </row>
    <row r="3287" spans="1:264" s="32" customFormat="1" x14ac:dyDescent="0.25">
      <c r="A3287" s="32">
        <v>154</v>
      </c>
      <c r="B3287" s="44" t="s">
        <v>3252</v>
      </c>
      <c r="C3287" s="32" t="s">
        <v>3158</v>
      </c>
      <c r="D3287" s="32" t="s">
        <v>3159</v>
      </c>
      <c r="E3287" s="32">
        <v>2002</v>
      </c>
      <c r="F3287" s="32">
        <v>1996</v>
      </c>
      <c r="G3287" s="32" t="s">
        <v>2766</v>
      </c>
      <c r="H3287" s="32" t="s">
        <v>3160</v>
      </c>
      <c r="I3287" s="32" t="s">
        <v>2836</v>
      </c>
      <c r="J3287" s="32">
        <v>0.1</v>
      </c>
      <c r="K3287" s="32">
        <f t="shared" si="448"/>
        <v>34.56666666666667</v>
      </c>
      <c r="L3287" s="32">
        <v>1430</v>
      </c>
      <c r="P3287" s="32">
        <v>1800</v>
      </c>
      <c r="R3287" s="44" t="s">
        <v>1728</v>
      </c>
      <c r="S3287" s="44" t="s">
        <v>1728</v>
      </c>
      <c r="T3287" s="44"/>
      <c r="U3287" s="44" t="s">
        <v>1999</v>
      </c>
      <c r="V3287" s="44"/>
      <c r="W3287" s="44"/>
      <c r="X3287" s="44"/>
      <c r="Y3287" s="44"/>
      <c r="AA3287" s="323">
        <v>35</v>
      </c>
      <c r="AB3287" s="323">
        <v>31</v>
      </c>
      <c r="AC3287" s="32" t="s">
        <v>672</v>
      </c>
      <c r="AD3287" s="32">
        <v>5.6</v>
      </c>
      <c r="AE3287" s="32">
        <v>1.79</v>
      </c>
      <c r="AG3287" s="32" t="s">
        <v>3161</v>
      </c>
      <c r="AH3287" s="32" t="s">
        <v>3168</v>
      </c>
      <c r="AI3287" s="32" t="s">
        <v>577</v>
      </c>
      <c r="AJ3287" s="32" t="s">
        <v>1645</v>
      </c>
      <c r="AK3287" s="32" t="s">
        <v>132</v>
      </c>
      <c r="AW3287" s="32" t="s">
        <v>2780</v>
      </c>
      <c r="AX3287" s="32">
        <v>3</v>
      </c>
      <c r="AZ3287" s="32" t="s">
        <v>141</v>
      </c>
      <c r="BB3287" s="32">
        <v>11400</v>
      </c>
      <c r="BC3287" s="32">
        <f>BB3287/92.2</f>
        <v>123.64425162689804</v>
      </c>
      <c r="BE3287" s="32" t="s">
        <v>3185</v>
      </c>
      <c r="BK3287" s="32">
        <v>3000</v>
      </c>
      <c r="BL3287" s="32">
        <v>2900</v>
      </c>
      <c r="BM3287" s="32">
        <v>300</v>
      </c>
      <c r="BN3287" s="32">
        <v>300</v>
      </c>
      <c r="BO3287" s="32" t="s">
        <v>3163</v>
      </c>
      <c r="BP3287" s="397"/>
      <c r="BQ3287" s="397"/>
      <c r="BU3287" s="397"/>
      <c r="BV3287" s="397"/>
      <c r="BZ3287" s="397"/>
      <c r="CA3287" s="397"/>
      <c r="CE3287" s="550"/>
      <c r="CF3287" s="550"/>
      <c r="CG3287" s="550"/>
      <c r="CH3287" s="550"/>
      <c r="JD3287" s="243"/>
    </row>
    <row r="3288" spans="1:264" s="32" customFormat="1" x14ac:dyDescent="0.25">
      <c r="A3288" s="32">
        <v>154</v>
      </c>
      <c r="B3288" s="44" t="s">
        <v>3252</v>
      </c>
      <c r="C3288" s="32" t="s">
        <v>3158</v>
      </c>
      <c r="D3288" s="32" t="s">
        <v>3159</v>
      </c>
      <c r="E3288" s="32">
        <v>2002</v>
      </c>
      <c r="F3288" s="32">
        <v>1996</v>
      </c>
      <c r="G3288" s="32" t="s">
        <v>2766</v>
      </c>
      <c r="H3288" s="32" t="s">
        <v>3160</v>
      </c>
      <c r="I3288" s="32" t="s">
        <v>2836</v>
      </c>
      <c r="J3288" s="32">
        <v>0.1</v>
      </c>
      <c r="K3288" s="32">
        <f t="shared" si="448"/>
        <v>34.56666666666667</v>
      </c>
      <c r="L3288" s="32">
        <v>1430</v>
      </c>
      <c r="P3288" s="32">
        <v>1800</v>
      </c>
      <c r="R3288" s="44" t="s">
        <v>1728</v>
      </c>
      <c r="S3288" s="44" t="s">
        <v>1728</v>
      </c>
      <c r="T3288" s="44"/>
      <c r="U3288" s="44" t="s">
        <v>1999</v>
      </c>
      <c r="V3288" s="44"/>
      <c r="W3288" s="44"/>
      <c r="X3288" s="44"/>
      <c r="Y3288" s="44"/>
      <c r="AA3288" s="323">
        <v>35</v>
      </c>
      <c r="AB3288" s="323">
        <v>31</v>
      </c>
      <c r="AC3288" s="32" t="s">
        <v>672</v>
      </c>
      <c r="AD3288" s="32">
        <v>5.6</v>
      </c>
      <c r="AE3288" s="32">
        <v>1.79</v>
      </c>
      <c r="AG3288" s="32" t="s">
        <v>3161</v>
      </c>
      <c r="AH3288" s="32" t="s">
        <v>2922</v>
      </c>
      <c r="AI3288" s="32" t="s">
        <v>577</v>
      </c>
      <c r="AJ3288" s="32" t="s">
        <v>1645</v>
      </c>
      <c r="AK3288" s="32" t="s">
        <v>132</v>
      </c>
      <c r="AW3288" s="32" t="s">
        <v>2780</v>
      </c>
      <c r="AX3288" s="32">
        <v>3</v>
      </c>
      <c r="AZ3288" s="32" t="s">
        <v>141</v>
      </c>
      <c r="BB3288" s="32">
        <v>18000</v>
      </c>
      <c r="BC3288" s="32">
        <f>BB3288/85.7</f>
        <v>210.03500583430571</v>
      </c>
      <c r="BE3288" s="32" t="s">
        <v>3185</v>
      </c>
      <c r="BK3288" s="32">
        <v>3000</v>
      </c>
      <c r="BL3288" s="32">
        <v>3000</v>
      </c>
      <c r="BM3288" s="32">
        <v>300</v>
      </c>
      <c r="BN3288" s="32">
        <v>300</v>
      </c>
      <c r="BO3288" s="32" t="s">
        <v>3163</v>
      </c>
      <c r="BP3288" s="397"/>
      <c r="BQ3288" s="397"/>
      <c r="BU3288" s="397"/>
      <c r="BV3288" s="397"/>
      <c r="BZ3288" s="397"/>
      <c r="CA3288" s="397"/>
      <c r="CE3288" s="550"/>
      <c r="CF3288" s="550"/>
      <c r="CG3288" s="550"/>
      <c r="CH3288" s="550"/>
      <c r="JD3288" s="243"/>
    </row>
    <row r="3289" spans="1:264" s="32" customFormat="1" x14ac:dyDescent="0.25">
      <c r="A3289" s="32">
        <v>154</v>
      </c>
      <c r="B3289" s="44" t="s">
        <v>3252</v>
      </c>
      <c r="C3289" s="32" t="s">
        <v>3158</v>
      </c>
      <c r="D3289" s="32" t="s">
        <v>3159</v>
      </c>
      <c r="E3289" s="32">
        <v>2002</v>
      </c>
      <c r="F3289" s="32">
        <v>1996</v>
      </c>
      <c r="G3289" s="32" t="s">
        <v>2766</v>
      </c>
      <c r="H3289" s="32" t="s">
        <v>3160</v>
      </c>
      <c r="I3289" s="32" t="s">
        <v>2836</v>
      </c>
      <c r="J3289" s="32">
        <v>0.1</v>
      </c>
      <c r="K3289" s="32">
        <f t="shared" si="448"/>
        <v>34.56666666666667</v>
      </c>
      <c r="L3289" s="32">
        <v>1430</v>
      </c>
      <c r="P3289" s="32">
        <v>1800</v>
      </c>
      <c r="R3289" s="44" t="s">
        <v>1728</v>
      </c>
      <c r="S3289" s="44" t="s">
        <v>1728</v>
      </c>
      <c r="T3289" s="44"/>
      <c r="U3289" s="44" t="s">
        <v>1999</v>
      </c>
      <c r="V3289" s="44"/>
      <c r="W3289" s="44"/>
      <c r="X3289" s="44"/>
      <c r="Y3289" s="44"/>
      <c r="AA3289" s="323">
        <v>35</v>
      </c>
      <c r="AB3289" s="323">
        <v>31</v>
      </c>
      <c r="AC3289" s="32" t="s">
        <v>672</v>
      </c>
      <c r="AD3289" s="32">
        <v>5.6</v>
      </c>
      <c r="AE3289" s="32">
        <v>1.79</v>
      </c>
      <c r="AG3289" s="32" t="s">
        <v>3161</v>
      </c>
      <c r="AH3289" s="32" t="s">
        <v>3166</v>
      </c>
      <c r="AI3289" s="32" t="s">
        <v>1586</v>
      </c>
      <c r="AJ3289" s="32" t="s">
        <v>1645</v>
      </c>
      <c r="AK3289" s="32" t="s">
        <v>132</v>
      </c>
      <c r="AW3289" s="32" t="s">
        <v>2780</v>
      </c>
      <c r="AX3289" s="32">
        <v>3</v>
      </c>
      <c r="AZ3289" s="32" t="s">
        <v>141</v>
      </c>
      <c r="BB3289" s="32">
        <v>18800</v>
      </c>
      <c r="BC3289" s="32">
        <f>BB3289/187.6</f>
        <v>100.2132196162047</v>
      </c>
      <c r="BE3289" s="32" t="s">
        <v>3185</v>
      </c>
      <c r="BK3289" s="32">
        <v>3000</v>
      </c>
      <c r="BL3289" s="32">
        <v>2300</v>
      </c>
      <c r="BM3289" s="32">
        <v>300</v>
      </c>
      <c r="BN3289" s="32">
        <v>300</v>
      </c>
      <c r="BO3289" s="32" t="s">
        <v>3163</v>
      </c>
      <c r="BP3289" s="397"/>
      <c r="BQ3289" s="397"/>
      <c r="BU3289" s="397"/>
      <c r="BV3289" s="397"/>
      <c r="BZ3289" s="397"/>
      <c r="CA3289" s="397"/>
      <c r="CE3289" s="550"/>
      <c r="CF3289" s="550"/>
      <c r="CG3289" s="550"/>
      <c r="CH3289" s="550"/>
      <c r="JD3289" s="243"/>
    </row>
    <row r="3290" spans="1:264" s="32" customFormat="1" x14ac:dyDescent="0.25">
      <c r="A3290" s="32">
        <v>154</v>
      </c>
      <c r="B3290" s="44" t="s">
        <v>3252</v>
      </c>
      <c r="C3290" s="32" t="s">
        <v>3158</v>
      </c>
      <c r="D3290" s="32" t="s">
        <v>3159</v>
      </c>
      <c r="E3290" s="32">
        <v>2002</v>
      </c>
      <c r="F3290" s="32">
        <v>1996</v>
      </c>
      <c r="G3290" s="32" t="s">
        <v>2766</v>
      </c>
      <c r="H3290" s="32" t="s">
        <v>3160</v>
      </c>
      <c r="I3290" s="32" t="s">
        <v>2836</v>
      </c>
      <c r="J3290" s="32">
        <v>0.1</v>
      </c>
      <c r="K3290" s="32">
        <f t="shared" si="448"/>
        <v>34.56666666666667</v>
      </c>
      <c r="L3290" s="32">
        <v>1430</v>
      </c>
      <c r="P3290" s="32">
        <v>1800</v>
      </c>
      <c r="R3290" s="44" t="s">
        <v>1728</v>
      </c>
      <c r="S3290" s="44" t="s">
        <v>1728</v>
      </c>
      <c r="T3290" s="44"/>
      <c r="U3290" s="44" t="s">
        <v>1999</v>
      </c>
      <c r="V3290" s="44"/>
      <c r="W3290" s="44"/>
      <c r="X3290" s="44"/>
      <c r="Y3290" s="44"/>
      <c r="AA3290" s="323">
        <v>35</v>
      </c>
      <c r="AB3290" s="323">
        <v>31</v>
      </c>
      <c r="AC3290" s="32" t="s">
        <v>672</v>
      </c>
      <c r="AD3290" s="32">
        <v>5.6</v>
      </c>
      <c r="AE3290" s="32">
        <v>1.79</v>
      </c>
      <c r="AG3290" s="32" t="s">
        <v>3161</v>
      </c>
      <c r="AH3290" s="32" t="s">
        <v>3165</v>
      </c>
      <c r="AI3290" s="32" t="s">
        <v>577</v>
      </c>
      <c r="AJ3290" s="32" t="s">
        <v>1645</v>
      </c>
      <c r="AK3290" s="32" t="s">
        <v>132</v>
      </c>
      <c r="AW3290" s="32" t="s">
        <v>2780</v>
      </c>
      <c r="AX3290" s="32">
        <v>3</v>
      </c>
      <c r="AZ3290" s="32" t="s">
        <v>141</v>
      </c>
      <c r="BB3290" s="32">
        <v>16200</v>
      </c>
      <c r="BC3290" s="32">
        <f>BB3290/206</f>
        <v>78.640776699029132</v>
      </c>
      <c r="BE3290" s="32" t="s">
        <v>3185</v>
      </c>
      <c r="BK3290" s="32">
        <v>3000</v>
      </c>
      <c r="BL3290" s="32">
        <v>2800</v>
      </c>
      <c r="BM3290" s="32">
        <v>300</v>
      </c>
      <c r="BN3290" s="32">
        <v>300</v>
      </c>
      <c r="BO3290" s="32" t="s">
        <v>3163</v>
      </c>
      <c r="BP3290" s="397"/>
      <c r="BQ3290" s="397"/>
      <c r="BU3290" s="397"/>
      <c r="BV3290" s="397"/>
      <c r="BZ3290" s="397"/>
      <c r="CA3290" s="397"/>
      <c r="CE3290" s="550"/>
      <c r="CF3290" s="550"/>
      <c r="CG3290" s="550"/>
      <c r="CH3290" s="550"/>
      <c r="JD3290" s="243"/>
    </row>
    <row r="3291" spans="1:264" s="24" customFormat="1" x14ac:dyDescent="0.25">
      <c r="A3291" s="24">
        <v>154</v>
      </c>
      <c r="B3291" s="42" t="s">
        <v>3253</v>
      </c>
      <c r="C3291" s="24" t="s">
        <v>3158</v>
      </c>
      <c r="D3291" s="24" t="s">
        <v>3159</v>
      </c>
      <c r="E3291" s="24">
        <v>2002</v>
      </c>
      <c r="F3291" s="24">
        <v>1996</v>
      </c>
      <c r="G3291" s="24" t="s">
        <v>2766</v>
      </c>
      <c r="H3291" s="24" t="s">
        <v>3160</v>
      </c>
      <c r="I3291" s="24" t="s">
        <v>2836</v>
      </c>
      <c r="J3291" s="24">
        <v>0.1</v>
      </c>
      <c r="K3291" s="24">
        <f t="shared" si="448"/>
        <v>34.56666666666667</v>
      </c>
      <c r="L3291" s="24">
        <v>1430</v>
      </c>
      <c r="P3291" s="24">
        <v>1800</v>
      </c>
      <c r="R3291" s="42" t="s">
        <v>1728</v>
      </c>
      <c r="S3291" s="42" t="s">
        <v>1728</v>
      </c>
      <c r="T3291" s="42"/>
      <c r="U3291" s="42" t="s">
        <v>1999</v>
      </c>
      <c r="V3291" s="42"/>
      <c r="W3291" s="42"/>
      <c r="X3291" s="42"/>
      <c r="Y3291" s="42"/>
      <c r="AA3291" s="321">
        <v>35</v>
      </c>
      <c r="AB3291" s="321">
        <v>31</v>
      </c>
      <c r="AC3291" s="24" t="s">
        <v>672</v>
      </c>
      <c r="AD3291" s="24">
        <v>5.6</v>
      </c>
      <c r="AE3291" s="24">
        <v>1.79</v>
      </c>
      <c r="AG3291" s="24" t="s">
        <v>3161</v>
      </c>
      <c r="AH3291" s="24" t="s">
        <v>3169</v>
      </c>
      <c r="AI3291" s="24" t="s">
        <v>577</v>
      </c>
      <c r="AJ3291" s="24" t="s">
        <v>1645</v>
      </c>
      <c r="AK3291" s="24" t="s">
        <v>132</v>
      </c>
      <c r="AW3291" s="24" t="s">
        <v>2780</v>
      </c>
      <c r="AX3291" s="24">
        <v>3</v>
      </c>
      <c r="AZ3291" s="24" t="s">
        <v>141</v>
      </c>
      <c r="BB3291" s="24">
        <v>7600</v>
      </c>
      <c r="BC3291" s="24">
        <f>BB3291/195</f>
        <v>38.974358974358971</v>
      </c>
      <c r="BE3291" s="24" t="s">
        <v>3186</v>
      </c>
      <c r="BK3291" s="24">
        <v>3100</v>
      </c>
      <c r="BL3291" s="24">
        <v>4200</v>
      </c>
      <c r="BM3291" s="24">
        <v>1000</v>
      </c>
      <c r="BN3291" s="24">
        <v>1000</v>
      </c>
      <c r="BO3291" s="24" t="s">
        <v>3164</v>
      </c>
      <c r="BP3291" s="395"/>
      <c r="BQ3291" s="395"/>
      <c r="BU3291" s="395"/>
      <c r="BV3291" s="395"/>
      <c r="BZ3291" s="395"/>
      <c r="CA3291" s="395"/>
      <c r="CE3291" s="548"/>
      <c r="CF3291" s="548"/>
      <c r="CG3291" s="548"/>
      <c r="CH3291" s="548"/>
      <c r="JD3291" s="249"/>
    </row>
    <row r="3292" spans="1:264" s="24" customFormat="1" x14ac:dyDescent="0.25">
      <c r="A3292" s="24">
        <v>154</v>
      </c>
      <c r="B3292" s="42" t="s">
        <v>3253</v>
      </c>
      <c r="C3292" s="24" t="s">
        <v>3158</v>
      </c>
      <c r="D3292" s="24" t="s">
        <v>3159</v>
      </c>
      <c r="E3292" s="24">
        <v>2002</v>
      </c>
      <c r="F3292" s="24">
        <v>1996</v>
      </c>
      <c r="G3292" s="24" t="s">
        <v>2766</v>
      </c>
      <c r="H3292" s="24" t="s">
        <v>3160</v>
      </c>
      <c r="I3292" s="24" t="s">
        <v>2836</v>
      </c>
      <c r="J3292" s="24">
        <v>0.1</v>
      </c>
      <c r="K3292" s="24">
        <f t="shared" si="448"/>
        <v>34.56666666666667</v>
      </c>
      <c r="L3292" s="24">
        <v>1430</v>
      </c>
      <c r="P3292" s="24">
        <v>1800</v>
      </c>
      <c r="R3292" s="42" t="s">
        <v>1728</v>
      </c>
      <c r="S3292" s="42" t="s">
        <v>1728</v>
      </c>
      <c r="T3292" s="42"/>
      <c r="U3292" s="42" t="s">
        <v>1999</v>
      </c>
      <c r="V3292" s="42"/>
      <c r="W3292" s="42"/>
      <c r="X3292" s="42"/>
      <c r="Y3292" s="42"/>
      <c r="AA3292" s="321">
        <v>35</v>
      </c>
      <c r="AB3292" s="321">
        <v>31</v>
      </c>
      <c r="AC3292" s="24" t="s">
        <v>672</v>
      </c>
      <c r="AD3292" s="24">
        <v>5.6</v>
      </c>
      <c r="AE3292" s="24">
        <v>1.79</v>
      </c>
      <c r="AG3292" s="24" t="s">
        <v>3161</v>
      </c>
      <c r="AH3292" s="24" t="s">
        <v>3170</v>
      </c>
      <c r="AI3292" s="24" t="s">
        <v>577</v>
      </c>
      <c r="AJ3292" s="24" t="s">
        <v>1645</v>
      </c>
      <c r="AK3292" s="24" t="s">
        <v>132</v>
      </c>
      <c r="AW3292" s="24" t="s">
        <v>2780</v>
      </c>
      <c r="AX3292" s="24">
        <v>3</v>
      </c>
      <c r="AZ3292" s="24" t="s">
        <v>141</v>
      </c>
      <c r="BB3292" s="24">
        <v>3500</v>
      </c>
      <c r="BC3292" s="24">
        <f>BB3292/91.2</f>
        <v>38.377192982456137</v>
      </c>
      <c r="BE3292" s="24" t="s">
        <v>3186</v>
      </c>
      <c r="BK3292" s="24">
        <v>3100</v>
      </c>
      <c r="BL3292" s="24">
        <v>3500</v>
      </c>
      <c r="BM3292" s="24">
        <v>1000</v>
      </c>
      <c r="BN3292" s="24">
        <v>1000</v>
      </c>
      <c r="BO3292" s="24" t="s">
        <v>3164</v>
      </c>
      <c r="BP3292" s="395"/>
      <c r="BQ3292" s="395"/>
      <c r="BU3292" s="395"/>
      <c r="BV3292" s="395"/>
      <c r="BZ3292" s="395"/>
      <c r="CA3292" s="395"/>
      <c r="CE3292" s="548"/>
      <c r="CF3292" s="548"/>
      <c r="CG3292" s="548"/>
      <c r="CH3292" s="548"/>
      <c r="JD3292" s="249"/>
    </row>
    <row r="3293" spans="1:264" s="24" customFormat="1" x14ac:dyDescent="0.25">
      <c r="A3293" s="24">
        <v>154</v>
      </c>
      <c r="B3293" s="42" t="s">
        <v>3253</v>
      </c>
      <c r="C3293" s="24" t="s">
        <v>3158</v>
      </c>
      <c r="D3293" s="24" t="s">
        <v>3159</v>
      </c>
      <c r="E3293" s="24">
        <v>2002</v>
      </c>
      <c r="F3293" s="24">
        <v>1996</v>
      </c>
      <c r="G3293" s="24" t="s">
        <v>2766</v>
      </c>
      <c r="H3293" s="24" t="s">
        <v>3160</v>
      </c>
      <c r="I3293" s="24" t="s">
        <v>2836</v>
      </c>
      <c r="J3293" s="24">
        <v>0.1</v>
      </c>
      <c r="K3293" s="24">
        <f t="shared" si="448"/>
        <v>34.56666666666667</v>
      </c>
      <c r="L3293" s="24">
        <v>1430</v>
      </c>
      <c r="P3293" s="24">
        <v>1800</v>
      </c>
      <c r="R3293" s="42" t="s">
        <v>1728</v>
      </c>
      <c r="S3293" s="42" t="s">
        <v>1728</v>
      </c>
      <c r="T3293" s="42"/>
      <c r="U3293" s="42" t="s">
        <v>1999</v>
      </c>
      <c r="V3293" s="42"/>
      <c r="W3293" s="42"/>
      <c r="X3293" s="42"/>
      <c r="Y3293" s="42"/>
      <c r="AA3293" s="321">
        <v>35</v>
      </c>
      <c r="AB3293" s="321">
        <v>31</v>
      </c>
      <c r="AC3293" s="24" t="s">
        <v>672</v>
      </c>
      <c r="AD3293" s="24">
        <v>5.6</v>
      </c>
      <c r="AE3293" s="24">
        <v>1.79</v>
      </c>
      <c r="AG3293" s="24" t="s">
        <v>3161</v>
      </c>
      <c r="AH3293" s="24" t="s">
        <v>3171</v>
      </c>
      <c r="AI3293" s="24" t="s">
        <v>577</v>
      </c>
      <c r="AJ3293" s="24" t="s">
        <v>1645</v>
      </c>
      <c r="AK3293" s="24" t="s">
        <v>132</v>
      </c>
      <c r="AW3293" s="24" t="s">
        <v>2780</v>
      </c>
      <c r="AX3293" s="24">
        <v>3</v>
      </c>
      <c r="AZ3293" s="24" t="s">
        <v>141</v>
      </c>
      <c r="BB3293" s="24">
        <v>7700</v>
      </c>
      <c r="BC3293" s="24">
        <f>BB3293/247.7</f>
        <v>31.085991118288252</v>
      </c>
      <c r="BE3293" s="24" t="s">
        <v>3186</v>
      </c>
      <c r="BK3293" s="24">
        <v>3100</v>
      </c>
      <c r="BL3293" s="24">
        <v>6600</v>
      </c>
      <c r="BM3293" s="24">
        <v>1000</v>
      </c>
      <c r="BN3293" s="24">
        <v>1000</v>
      </c>
      <c r="BO3293" s="24" t="s">
        <v>3164</v>
      </c>
      <c r="BP3293" s="395"/>
      <c r="BQ3293" s="395"/>
      <c r="BU3293" s="395"/>
      <c r="BV3293" s="395"/>
      <c r="BZ3293" s="395"/>
      <c r="CA3293" s="395"/>
      <c r="CE3293" s="548"/>
      <c r="CF3293" s="548"/>
      <c r="CG3293" s="548"/>
      <c r="CH3293" s="548"/>
      <c r="JD3293" s="249"/>
    </row>
    <row r="3294" spans="1:264" s="24" customFormat="1" x14ac:dyDescent="0.25">
      <c r="A3294" s="24">
        <v>154</v>
      </c>
      <c r="B3294" s="42" t="s">
        <v>3253</v>
      </c>
      <c r="C3294" s="24" t="s">
        <v>3158</v>
      </c>
      <c r="D3294" s="24" t="s">
        <v>3159</v>
      </c>
      <c r="E3294" s="24">
        <v>2002</v>
      </c>
      <c r="F3294" s="24">
        <v>1996</v>
      </c>
      <c r="G3294" s="24" t="s">
        <v>2766</v>
      </c>
      <c r="H3294" s="24" t="s">
        <v>3160</v>
      </c>
      <c r="I3294" s="24" t="s">
        <v>2836</v>
      </c>
      <c r="J3294" s="24">
        <v>0.1</v>
      </c>
      <c r="K3294" s="24">
        <f t="shared" si="448"/>
        <v>34.56666666666667</v>
      </c>
      <c r="L3294" s="24">
        <v>1430</v>
      </c>
      <c r="P3294" s="24">
        <v>1800</v>
      </c>
      <c r="R3294" s="42" t="s">
        <v>1728</v>
      </c>
      <c r="S3294" s="42" t="s">
        <v>1728</v>
      </c>
      <c r="T3294" s="42"/>
      <c r="U3294" s="42" t="s">
        <v>1999</v>
      </c>
      <c r="V3294" s="42"/>
      <c r="W3294" s="42"/>
      <c r="X3294" s="42"/>
      <c r="Y3294" s="42"/>
      <c r="AA3294" s="321">
        <v>35</v>
      </c>
      <c r="AB3294" s="321">
        <v>31</v>
      </c>
      <c r="AC3294" s="24" t="s">
        <v>672</v>
      </c>
      <c r="AD3294" s="24">
        <v>5.6</v>
      </c>
      <c r="AE3294" s="24">
        <v>1.79</v>
      </c>
      <c r="AG3294" s="24" t="s">
        <v>3161</v>
      </c>
      <c r="AH3294" s="24" t="s">
        <v>3172</v>
      </c>
      <c r="AI3294" s="24" t="s">
        <v>577</v>
      </c>
      <c r="AJ3294" s="24" t="s">
        <v>1645</v>
      </c>
      <c r="AK3294" s="24" t="s">
        <v>132</v>
      </c>
      <c r="AW3294" s="24" t="s">
        <v>2780</v>
      </c>
      <c r="AX3294" s="24">
        <v>3</v>
      </c>
      <c r="AZ3294" s="24" t="s">
        <v>141</v>
      </c>
      <c r="BB3294" s="24">
        <v>5800</v>
      </c>
      <c r="BC3294" s="24">
        <f>BB3294/155.1</f>
        <v>37.395228884590587</v>
      </c>
      <c r="BE3294" s="24" t="s">
        <v>3186</v>
      </c>
      <c r="BK3294" s="24">
        <v>3100</v>
      </c>
      <c r="BL3294" s="24">
        <v>5300</v>
      </c>
      <c r="BM3294" s="24">
        <v>1000</v>
      </c>
      <c r="BN3294" s="24">
        <v>1000</v>
      </c>
      <c r="BO3294" s="24" t="s">
        <v>3164</v>
      </c>
      <c r="BP3294" s="395"/>
      <c r="BQ3294" s="395"/>
      <c r="BU3294" s="395"/>
      <c r="BV3294" s="395"/>
      <c r="BZ3294" s="395"/>
      <c r="CA3294" s="395"/>
      <c r="CE3294" s="548"/>
      <c r="CF3294" s="548"/>
      <c r="CG3294" s="548"/>
      <c r="CH3294" s="548"/>
      <c r="JD3294" s="249"/>
    </row>
    <row r="3295" spans="1:264" s="24" customFormat="1" x14ac:dyDescent="0.25">
      <c r="A3295" s="24">
        <v>154</v>
      </c>
      <c r="B3295" s="42" t="s">
        <v>3253</v>
      </c>
      <c r="C3295" s="24" t="s">
        <v>3158</v>
      </c>
      <c r="D3295" s="24" t="s">
        <v>3159</v>
      </c>
      <c r="E3295" s="24">
        <v>2002</v>
      </c>
      <c r="F3295" s="24">
        <v>1996</v>
      </c>
      <c r="G3295" s="24" t="s">
        <v>2766</v>
      </c>
      <c r="H3295" s="24" t="s">
        <v>3160</v>
      </c>
      <c r="I3295" s="24" t="s">
        <v>2836</v>
      </c>
      <c r="J3295" s="24">
        <v>0.1</v>
      </c>
      <c r="K3295" s="24">
        <f t="shared" si="448"/>
        <v>34.56666666666667</v>
      </c>
      <c r="L3295" s="24">
        <v>1430</v>
      </c>
      <c r="P3295" s="24">
        <v>1800</v>
      </c>
      <c r="R3295" s="42" t="s">
        <v>1728</v>
      </c>
      <c r="S3295" s="42" t="s">
        <v>1728</v>
      </c>
      <c r="T3295" s="42"/>
      <c r="U3295" s="42" t="s">
        <v>1999</v>
      </c>
      <c r="V3295" s="42"/>
      <c r="W3295" s="42"/>
      <c r="X3295" s="42"/>
      <c r="Y3295" s="42"/>
      <c r="AA3295" s="321">
        <v>35</v>
      </c>
      <c r="AB3295" s="321">
        <v>31</v>
      </c>
      <c r="AC3295" s="24" t="s">
        <v>672</v>
      </c>
      <c r="AD3295" s="24">
        <v>5.6</v>
      </c>
      <c r="AE3295" s="24">
        <v>1.79</v>
      </c>
      <c r="AG3295" s="24" t="s">
        <v>3161</v>
      </c>
      <c r="AH3295" s="24" t="s">
        <v>3173</v>
      </c>
      <c r="AI3295" s="24" t="s">
        <v>577</v>
      </c>
      <c r="AJ3295" s="24" t="s">
        <v>1645</v>
      </c>
      <c r="AK3295" s="24" t="s">
        <v>132</v>
      </c>
      <c r="AW3295" s="24" t="s">
        <v>2780</v>
      </c>
      <c r="AX3295" s="24">
        <v>3</v>
      </c>
      <c r="AZ3295" s="24" t="s">
        <v>141</v>
      </c>
      <c r="BB3295" s="24">
        <v>4900</v>
      </c>
      <c r="BC3295" s="24">
        <f>BB3295/119.7</f>
        <v>40.935672514619881</v>
      </c>
      <c r="BE3295" s="24" t="s">
        <v>3186</v>
      </c>
      <c r="BK3295" s="24">
        <v>3100</v>
      </c>
      <c r="BL3295" s="24">
        <v>4200</v>
      </c>
      <c r="BM3295" s="24">
        <v>1000</v>
      </c>
      <c r="BN3295" s="24">
        <v>1000</v>
      </c>
      <c r="BO3295" s="24" t="s">
        <v>3164</v>
      </c>
      <c r="BP3295" s="395"/>
      <c r="BQ3295" s="395"/>
      <c r="BU3295" s="395"/>
      <c r="BV3295" s="395"/>
      <c r="BZ3295" s="395"/>
      <c r="CA3295" s="395"/>
      <c r="CE3295" s="548"/>
      <c r="CF3295" s="548"/>
      <c r="CG3295" s="548"/>
      <c r="CH3295" s="548"/>
      <c r="JD3295" s="249"/>
    </row>
    <row r="3296" spans="1:264" s="32" customFormat="1" x14ac:dyDescent="0.25">
      <c r="A3296" s="32">
        <v>154</v>
      </c>
      <c r="B3296" s="44" t="s">
        <v>3253</v>
      </c>
      <c r="C3296" s="32" t="s">
        <v>3158</v>
      </c>
      <c r="D3296" s="32" t="s">
        <v>3159</v>
      </c>
      <c r="E3296" s="32">
        <v>2002</v>
      </c>
      <c r="F3296" s="32">
        <v>1996</v>
      </c>
      <c r="G3296" s="32" t="s">
        <v>2766</v>
      </c>
      <c r="H3296" s="32" t="s">
        <v>3160</v>
      </c>
      <c r="I3296" s="32" t="s">
        <v>2836</v>
      </c>
      <c r="J3296" s="32">
        <v>0.1</v>
      </c>
      <c r="K3296" s="32">
        <f t="shared" si="448"/>
        <v>34.56666666666667</v>
      </c>
      <c r="L3296" s="32">
        <v>1430</v>
      </c>
      <c r="P3296" s="32">
        <v>1800</v>
      </c>
      <c r="R3296" s="44" t="s">
        <v>1728</v>
      </c>
      <c r="S3296" s="44" t="s">
        <v>1728</v>
      </c>
      <c r="T3296" s="44"/>
      <c r="U3296" s="44" t="s">
        <v>1999</v>
      </c>
      <c r="V3296" s="44"/>
      <c r="W3296" s="44"/>
      <c r="X3296" s="44"/>
      <c r="Y3296" s="44"/>
      <c r="AA3296" s="323">
        <v>35</v>
      </c>
      <c r="AB3296" s="323">
        <v>31</v>
      </c>
      <c r="AC3296" s="32" t="s">
        <v>672</v>
      </c>
      <c r="AD3296" s="32">
        <v>5.6</v>
      </c>
      <c r="AE3296" s="32">
        <v>1.79</v>
      </c>
      <c r="AG3296" s="32" t="s">
        <v>3161</v>
      </c>
      <c r="AH3296" s="32" t="s">
        <v>3169</v>
      </c>
      <c r="AI3296" s="32" t="s">
        <v>577</v>
      </c>
      <c r="AJ3296" s="32" t="s">
        <v>1645</v>
      </c>
      <c r="AK3296" s="32" t="s">
        <v>132</v>
      </c>
      <c r="AW3296" s="32" t="s">
        <v>2780</v>
      </c>
      <c r="AX3296" s="32">
        <v>3</v>
      </c>
      <c r="AZ3296" s="32" t="s">
        <v>141</v>
      </c>
      <c r="BB3296" s="32">
        <v>7600</v>
      </c>
      <c r="BC3296" s="32">
        <f>BB3296/194.2</f>
        <v>39.134912461380026</v>
      </c>
      <c r="BE3296" s="32" t="s">
        <v>3185</v>
      </c>
      <c r="BK3296" s="32">
        <v>2700</v>
      </c>
      <c r="BL3296" s="32">
        <v>2200</v>
      </c>
      <c r="BM3296" s="32">
        <v>400</v>
      </c>
      <c r="BN3296" s="32">
        <v>400</v>
      </c>
      <c r="BO3296" s="32" t="s">
        <v>3164</v>
      </c>
      <c r="BP3296" s="397"/>
      <c r="BQ3296" s="397"/>
      <c r="BU3296" s="397"/>
      <c r="BV3296" s="397"/>
      <c r="BZ3296" s="397"/>
      <c r="CA3296" s="397"/>
      <c r="CE3296" s="550"/>
      <c r="CF3296" s="550"/>
      <c r="CG3296" s="550"/>
      <c r="CH3296" s="550"/>
      <c r="JD3296" s="243"/>
    </row>
    <row r="3297" spans="1:264" s="32" customFormat="1" x14ac:dyDescent="0.25">
      <c r="A3297" s="32">
        <v>154</v>
      </c>
      <c r="B3297" s="44" t="s">
        <v>3253</v>
      </c>
      <c r="C3297" s="32" t="s">
        <v>3158</v>
      </c>
      <c r="D3297" s="32" t="s">
        <v>3159</v>
      </c>
      <c r="E3297" s="32">
        <v>2002</v>
      </c>
      <c r="F3297" s="32">
        <v>1996</v>
      </c>
      <c r="G3297" s="32" t="s">
        <v>2766</v>
      </c>
      <c r="H3297" s="32" t="s">
        <v>3160</v>
      </c>
      <c r="I3297" s="32" t="s">
        <v>2836</v>
      </c>
      <c r="J3297" s="32">
        <v>0.1</v>
      </c>
      <c r="K3297" s="32">
        <f t="shared" si="448"/>
        <v>34.56666666666667</v>
      </c>
      <c r="L3297" s="32">
        <v>1430</v>
      </c>
      <c r="P3297" s="32">
        <v>1800</v>
      </c>
      <c r="R3297" s="44" t="s">
        <v>1728</v>
      </c>
      <c r="S3297" s="44" t="s">
        <v>1728</v>
      </c>
      <c r="T3297" s="44"/>
      <c r="U3297" s="44" t="s">
        <v>1999</v>
      </c>
      <c r="V3297" s="44"/>
      <c r="W3297" s="44"/>
      <c r="X3297" s="44"/>
      <c r="Y3297" s="44"/>
      <c r="AA3297" s="323">
        <v>35</v>
      </c>
      <c r="AB3297" s="323">
        <v>31</v>
      </c>
      <c r="AC3297" s="32" t="s">
        <v>672</v>
      </c>
      <c r="AD3297" s="32">
        <v>5.6</v>
      </c>
      <c r="AE3297" s="32">
        <v>1.79</v>
      </c>
      <c r="AG3297" s="32" t="s">
        <v>3161</v>
      </c>
      <c r="AH3297" s="32" t="s">
        <v>3170</v>
      </c>
      <c r="AI3297" s="32" t="s">
        <v>577</v>
      </c>
      <c r="AJ3297" s="32" t="s">
        <v>1645</v>
      </c>
      <c r="AK3297" s="32" t="s">
        <v>132</v>
      </c>
      <c r="AW3297" s="32" t="s">
        <v>2780</v>
      </c>
      <c r="AX3297" s="32">
        <v>3</v>
      </c>
      <c r="AZ3297" s="32" t="s">
        <v>141</v>
      </c>
      <c r="BB3297" s="32">
        <v>3700</v>
      </c>
      <c r="BC3297" s="32">
        <f>BB3297/95.5</f>
        <v>38.7434554973822</v>
      </c>
      <c r="BE3297" s="32" t="s">
        <v>3185</v>
      </c>
      <c r="BK3297" s="32">
        <v>2700</v>
      </c>
      <c r="BL3297" s="32">
        <v>2300</v>
      </c>
      <c r="BM3297" s="32">
        <v>400</v>
      </c>
      <c r="BN3297" s="32">
        <v>400</v>
      </c>
      <c r="BO3297" s="32" t="s">
        <v>3164</v>
      </c>
      <c r="BP3297" s="397"/>
      <c r="BQ3297" s="397"/>
      <c r="BU3297" s="397"/>
      <c r="BV3297" s="397"/>
      <c r="BZ3297" s="397"/>
      <c r="CA3297" s="397"/>
      <c r="CE3297" s="550"/>
      <c r="CF3297" s="550"/>
      <c r="CG3297" s="550"/>
      <c r="CH3297" s="550"/>
      <c r="JD3297" s="243"/>
    </row>
    <row r="3298" spans="1:264" s="32" customFormat="1" x14ac:dyDescent="0.25">
      <c r="A3298" s="32">
        <v>154</v>
      </c>
      <c r="B3298" s="44" t="s">
        <v>3253</v>
      </c>
      <c r="C3298" s="32" t="s">
        <v>3158</v>
      </c>
      <c r="D3298" s="32" t="s">
        <v>3159</v>
      </c>
      <c r="E3298" s="32">
        <v>2002</v>
      </c>
      <c r="F3298" s="32">
        <v>1996</v>
      </c>
      <c r="G3298" s="32" t="s">
        <v>2766</v>
      </c>
      <c r="H3298" s="32" t="s">
        <v>3160</v>
      </c>
      <c r="I3298" s="32" t="s">
        <v>2836</v>
      </c>
      <c r="J3298" s="32">
        <v>0.1</v>
      </c>
      <c r="K3298" s="32">
        <f t="shared" si="448"/>
        <v>34.56666666666667</v>
      </c>
      <c r="L3298" s="32">
        <v>1430</v>
      </c>
      <c r="P3298" s="32">
        <v>1800</v>
      </c>
      <c r="R3298" s="44" t="s">
        <v>1728</v>
      </c>
      <c r="S3298" s="44" t="s">
        <v>1728</v>
      </c>
      <c r="T3298" s="44"/>
      <c r="U3298" s="44" t="s">
        <v>1999</v>
      </c>
      <c r="V3298" s="44"/>
      <c r="W3298" s="44"/>
      <c r="X3298" s="44"/>
      <c r="Y3298" s="44"/>
      <c r="AA3298" s="323">
        <v>35</v>
      </c>
      <c r="AB3298" s="323">
        <v>31</v>
      </c>
      <c r="AC3298" s="32" t="s">
        <v>672</v>
      </c>
      <c r="AD3298" s="32">
        <v>5.6</v>
      </c>
      <c r="AE3298" s="32">
        <v>1.79</v>
      </c>
      <c r="AG3298" s="32" t="s">
        <v>3161</v>
      </c>
      <c r="AH3298" s="32" t="s">
        <v>3171</v>
      </c>
      <c r="AI3298" s="32" t="s">
        <v>577</v>
      </c>
      <c r="AJ3298" s="32" t="s">
        <v>1645</v>
      </c>
      <c r="AK3298" s="32" t="s">
        <v>132</v>
      </c>
      <c r="AW3298" s="32" t="s">
        <v>2780</v>
      </c>
      <c r="AX3298" s="32">
        <v>3</v>
      </c>
      <c r="AZ3298" s="32" t="s">
        <v>141</v>
      </c>
      <c r="BB3298" s="32">
        <v>7800</v>
      </c>
      <c r="BC3298" s="32">
        <f>BB3298/249.2</f>
        <v>31.300160513643661</v>
      </c>
      <c r="BE3298" s="32" t="s">
        <v>3185</v>
      </c>
      <c r="BK3298" s="32">
        <v>2700</v>
      </c>
      <c r="BL3298" s="32">
        <v>3700</v>
      </c>
      <c r="BM3298" s="32">
        <v>400</v>
      </c>
      <c r="BN3298" s="32">
        <v>400</v>
      </c>
      <c r="BO3298" s="32" t="s">
        <v>3164</v>
      </c>
      <c r="BP3298" s="397"/>
      <c r="BQ3298" s="397"/>
      <c r="BU3298" s="397"/>
      <c r="BV3298" s="397"/>
      <c r="BZ3298" s="397"/>
      <c r="CA3298" s="397"/>
      <c r="CE3298" s="550"/>
      <c r="CF3298" s="550"/>
      <c r="CG3298" s="550"/>
      <c r="CH3298" s="550"/>
      <c r="JD3298" s="243"/>
    </row>
    <row r="3299" spans="1:264" s="32" customFormat="1" x14ac:dyDescent="0.25">
      <c r="A3299" s="32">
        <v>154</v>
      </c>
      <c r="B3299" s="44" t="s">
        <v>3253</v>
      </c>
      <c r="C3299" s="32" t="s">
        <v>3158</v>
      </c>
      <c r="D3299" s="32" t="s">
        <v>3159</v>
      </c>
      <c r="E3299" s="32">
        <v>2002</v>
      </c>
      <c r="F3299" s="32">
        <v>1996</v>
      </c>
      <c r="G3299" s="32" t="s">
        <v>2766</v>
      </c>
      <c r="H3299" s="32" t="s">
        <v>3160</v>
      </c>
      <c r="I3299" s="32" t="s">
        <v>2836</v>
      </c>
      <c r="J3299" s="32">
        <v>0.1</v>
      </c>
      <c r="K3299" s="32">
        <f t="shared" si="448"/>
        <v>34.56666666666667</v>
      </c>
      <c r="L3299" s="32">
        <v>1430</v>
      </c>
      <c r="P3299" s="32">
        <v>1800</v>
      </c>
      <c r="R3299" s="44" t="s">
        <v>1728</v>
      </c>
      <c r="S3299" s="44" t="s">
        <v>1728</v>
      </c>
      <c r="T3299" s="44"/>
      <c r="U3299" s="44" t="s">
        <v>1999</v>
      </c>
      <c r="V3299" s="44"/>
      <c r="W3299" s="44"/>
      <c r="X3299" s="44"/>
      <c r="Y3299" s="44"/>
      <c r="AA3299" s="323">
        <v>35</v>
      </c>
      <c r="AB3299" s="323">
        <v>31</v>
      </c>
      <c r="AC3299" s="32" t="s">
        <v>672</v>
      </c>
      <c r="AD3299" s="32">
        <v>5.6</v>
      </c>
      <c r="AE3299" s="32">
        <v>1.79</v>
      </c>
      <c r="AG3299" s="32" t="s">
        <v>3161</v>
      </c>
      <c r="AH3299" s="32" t="s">
        <v>3172</v>
      </c>
      <c r="AI3299" s="32" t="s">
        <v>577</v>
      </c>
      <c r="AJ3299" s="32" t="s">
        <v>1645</v>
      </c>
      <c r="AK3299" s="32" t="s">
        <v>132</v>
      </c>
      <c r="AW3299" s="32" t="s">
        <v>2780</v>
      </c>
      <c r="AX3299" s="32">
        <v>3</v>
      </c>
      <c r="AZ3299" s="32" t="s">
        <v>141</v>
      </c>
      <c r="BB3299" s="32">
        <v>7600</v>
      </c>
      <c r="BC3299" s="32">
        <f>BB3299/203.1</f>
        <v>37.41999015263417</v>
      </c>
      <c r="BE3299" s="32" t="s">
        <v>3185</v>
      </c>
      <c r="BK3299" s="32">
        <v>2700</v>
      </c>
      <c r="BL3299" s="32">
        <v>2800</v>
      </c>
      <c r="BM3299" s="32">
        <v>400</v>
      </c>
      <c r="BN3299" s="32">
        <v>400</v>
      </c>
      <c r="BO3299" s="32" t="s">
        <v>3164</v>
      </c>
      <c r="BP3299" s="397"/>
      <c r="BQ3299" s="397"/>
      <c r="BU3299" s="397"/>
      <c r="BV3299" s="397"/>
      <c r="BZ3299" s="397"/>
      <c r="CA3299" s="397"/>
      <c r="CE3299" s="550"/>
      <c r="CF3299" s="550"/>
      <c r="CG3299" s="550"/>
      <c r="CH3299" s="550"/>
      <c r="JD3299" s="243"/>
    </row>
    <row r="3300" spans="1:264" s="32" customFormat="1" x14ac:dyDescent="0.25">
      <c r="A3300" s="32">
        <v>154</v>
      </c>
      <c r="B3300" s="44" t="s">
        <v>3253</v>
      </c>
      <c r="C3300" s="32" t="s">
        <v>3158</v>
      </c>
      <c r="D3300" s="32" t="s">
        <v>3159</v>
      </c>
      <c r="E3300" s="32">
        <v>2002</v>
      </c>
      <c r="F3300" s="32">
        <v>1996</v>
      </c>
      <c r="G3300" s="32" t="s">
        <v>2766</v>
      </c>
      <c r="H3300" s="32" t="s">
        <v>3160</v>
      </c>
      <c r="I3300" s="32" t="s">
        <v>2836</v>
      </c>
      <c r="J3300" s="32">
        <v>0.1</v>
      </c>
      <c r="K3300" s="32">
        <f t="shared" si="448"/>
        <v>34.56666666666667</v>
      </c>
      <c r="L3300" s="32">
        <v>1430</v>
      </c>
      <c r="P3300" s="32">
        <v>1800</v>
      </c>
      <c r="R3300" s="44" t="s">
        <v>1728</v>
      </c>
      <c r="S3300" s="44" t="s">
        <v>1728</v>
      </c>
      <c r="T3300" s="44"/>
      <c r="U3300" s="44" t="s">
        <v>1999</v>
      </c>
      <c r="V3300" s="44"/>
      <c r="W3300" s="44"/>
      <c r="X3300" s="44"/>
      <c r="Y3300" s="44"/>
      <c r="AA3300" s="323">
        <v>35</v>
      </c>
      <c r="AB3300" s="323">
        <v>31</v>
      </c>
      <c r="AC3300" s="32" t="s">
        <v>672</v>
      </c>
      <c r="AD3300" s="32">
        <v>5.6</v>
      </c>
      <c r="AE3300" s="32">
        <v>1.79</v>
      </c>
      <c r="AG3300" s="32" t="s">
        <v>3161</v>
      </c>
      <c r="AH3300" s="32" t="s">
        <v>3173</v>
      </c>
      <c r="AI3300" s="32" t="s">
        <v>577</v>
      </c>
      <c r="AJ3300" s="32" t="s">
        <v>1645</v>
      </c>
      <c r="AK3300" s="32" t="s">
        <v>132</v>
      </c>
      <c r="AW3300" s="32" t="s">
        <v>2780</v>
      </c>
      <c r="AX3300" s="32">
        <v>3</v>
      </c>
      <c r="AZ3300" s="32" t="s">
        <v>141</v>
      </c>
      <c r="BB3300" s="32">
        <v>7000</v>
      </c>
      <c r="BC3300" s="32">
        <f>BB3300/175.9</f>
        <v>39.79533826037521</v>
      </c>
      <c r="BE3300" s="32" t="s">
        <v>3185</v>
      </c>
      <c r="BK3300" s="32">
        <v>2700</v>
      </c>
      <c r="BL3300" s="32">
        <v>2800</v>
      </c>
      <c r="BM3300" s="32">
        <v>400</v>
      </c>
      <c r="BN3300" s="32">
        <v>400</v>
      </c>
      <c r="BO3300" s="32" t="s">
        <v>3164</v>
      </c>
      <c r="BP3300" s="397"/>
      <c r="BQ3300" s="397"/>
      <c r="BU3300" s="397"/>
      <c r="BV3300" s="397"/>
      <c r="BZ3300" s="397"/>
      <c r="CA3300" s="397"/>
      <c r="CE3300" s="550"/>
      <c r="CF3300" s="550"/>
      <c r="CG3300" s="550"/>
      <c r="CH3300" s="550"/>
      <c r="JD3300" s="243"/>
    </row>
    <row r="3301" spans="1:264" s="126" customFormat="1" x14ac:dyDescent="0.25">
      <c r="A3301" s="126">
        <v>155</v>
      </c>
      <c r="B3301" s="478" t="s">
        <v>3181</v>
      </c>
      <c r="C3301" s="126" t="s">
        <v>3174</v>
      </c>
      <c r="D3301" s="126" t="s">
        <v>3175</v>
      </c>
      <c r="E3301" s="126">
        <v>2003</v>
      </c>
      <c r="F3301" s="126">
        <v>1999</v>
      </c>
      <c r="G3301" s="126" t="s">
        <v>3176</v>
      </c>
      <c r="H3301" s="126" t="s">
        <v>3177</v>
      </c>
      <c r="I3301" s="126" t="s">
        <v>2836</v>
      </c>
      <c r="J3301" s="126">
        <v>-3.94</v>
      </c>
      <c r="K3301" s="126">
        <v>39.75</v>
      </c>
      <c r="L3301" s="126">
        <v>24.1</v>
      </c>
      <c r="R3301" s="478" t="s">
        <v>1977</v>
      </c>
      <c r="S3301" s="478" t="s">
        <v>1847</v>
      </c>
      <c r="T3301" s="478"/>
      <c r="U3301" s="478" t="s">
        <v>2903</v>
      </c>
      <c r="V3301" s="478"/>
      <c r="W3301" s="478"/>
      <c r="X3301" s="478"/>
      <c r="Y3301" s="478"/>
      <c r="AA3301" s="479"/>
      <c r="AB3301" s="479"/>
      <c r="AC3301" s="126" t="s">
        <v>240</v>
      </c>
      <c r="AH3301" s="126" t="s">
        <v>3178</v>
      </c>
      <c r="AI3301" s="126" t="s">
        <v>577</v>
      </c>
      <c r="AJ3301" s="126" t="s">
        <v>1645</v>
      </c>
      <c r="AK3301" s="126" t="s">
        <v>132</v>
      </c>
      <c r="AT3301" s="126" t="s">
        <v>3180</v>
      </c>
      <c r="AU3301" s="126" t="s">
        <v>3180</v>
      </c>
      <c r="AV3301" s="126" t="s">
        <v>177</v>
      </c>
      <c r="AW3301" s="126" t="s">
        <v>160</v>
      </c>
      <c r="BE3301" s="126" t="s">
        <v>3185</v>
      </c>
      <c r="BK3301" s="126">
        <v>6100</v>
      </c>
      <c r="BL3301" s="126">
        <v>4640</v>
      </c>
      <c r="BM3301" s="126">
        <v>700</v>
      </c>
      <c r="BN3301" s="126">
        <v>700</v>
      </c>
      <c r="BO3301" s="126" t="s">
        <v>3162</v>
      </c>
      <c r="BP3301" s="481"/>
      <c r="BQ3301" s="481"/>
      <c r="BU3301" s="481"/>
      <c r="BV3301" s="481"/>
      <c r="BZ3301" s="481"/>
      <c r="CA3301" s="481"/>
      <c r="CE3301" s="605"/>
      <c r="CF3301" s="605"/>
      <c r="CG3301" s="605"/>
      <c r="CH3301" s="605"/>
      <c r="JD3301" s="480"/>
    </row>
    <row r="3302" spans="1:264" s="126" customFormat="1" x14ac:dyDescent="0.25">
      <c r="A3302" s="126">
        <v>155</v>
      </c>
      <c r="B3302" s="478" t="s">
        <v>3181</v>
      </c>
      <c r="C3302" s="126" t="s">
        <v>3174</v>
      </c>
      <c r="D3302" s="126" t="s">
        <v>3175</v>
      </c>
      <c r="E3302" s="126">
        <v>2003</v>
      </c>
      <c r="F3302" s="126">
        <v>1999</v>
      </c>
      <c r="G3302" s="126" t="s">
        <v>3176</v>
      </c>
      <c r="H3302" s="126" t="s">
        <v>3177</v>
      </c>
      <c r="I3302" s="126" t="s">
        <v>2836</v>
      </c>
      <c r="J3302" s="126">
        <v>-3.94</v>
      </c>
      <c r="K3302" s="126">
        <v>39.75</v>
      </c>
      <c r="L3302" s="126">
        <v>24.1</v>
      </c>
      <c r="R3302" s="478" t="s">
        <v>1977</v>
      </c>
      <c r="S3302" s="478" t="s">
        <v>1847</v>
      </c>
      <c r="T3302" s="478"/>
      <c r="U3302" s="478" t="s">
        <v>2903</v>
      </c>
      <c r="V3302" s="478"/>
      <c r="W3302" s="478"/>
      <c r="X3302" s="478"/>
      <c r="Y3302" s="478"/>
      <c r="AA3302" s="479"/>
      <c r="AB3302" s="479"/>
      <c r="AC3302" s="126" t="s">
        <v>240</v>
      </c>
      <c r="AH3302" s="126" t="s">
        <v>3178</v>
      </c>
      <c r="AI3302" s="126" t="s">
        <v>577</v>
      </c>
      <c r="AJ3302" s="126" t="s">
        <v>1645</v>
      </c>
      <c r="AK3302" s="126" t="s">
        <v>132</v>
      </c>
      <c r="AT3302" s="126" t="s">
        <v>3180</v>
      </c>
      <c r="AU3302" s="126" t="s">
        <v>3180</v>
      </c>
      <c r="AV3302" s="126" t="s">
        <v>177</v>
      </c>
      <c r="AW3302" s="126" t="s">
        <v>160</v>
      </c>
      <c r="BE3302" s="126" t="s">
        <v>3185</v>
      </c>
      <c r="BK3302" s="126">
        <v>6100</v>
      </c>
      <c r="BL3302" s="126">
        <v>4700</v>
      </c>
      <c r="BM3302" s="126">
        <v>700</v>
      </c>
      <c r="BN3302" s="126">
        <v>700</v>
      </c>
      <c r="BO3302" s="126" t="s">
        <v>3162</v>
      </c>
      <c r="BP3302" s="481"/>
      <c r="BQ3302" s="481"/>
      <c r="BU3302" s="481"/>
      <c r="BV3302" s="481"/>
      <c r="BZ3302" s="481"/>
      <c r="CA3302" s="481"/>
      <c r="CE3302" s="605"/>
      <c r="CF3302" s="605"/>
      <c r="CG3302" s="605"/>
      <c r="CH3302" s="605"/>
      <c r="JD3302" s="480"/>
    </row>
    <row r="3303" spans="1:264" s="126" customFormat="1" x14ac:dyDescent="0.25">
      <c r="A3303" s="126">
        <v>155</v>
      </c>
      <c r="B3303" s="478" t="s">
        <v>3181</v>
      </c>
      <c r="C3303" s="126" t="s">
        <v>3174</v>
      </c>
      <c r="D3303" s="126" t="s">
        <v>3175</v>
      </c>
      <c r="E3303" s="126">
        <v>2003</v>
      </c>
      <c r="F3303" s="126">
        <v>1999</v>
      </c>
      <c r="G3303" s="126" t="s">
        <v>3176</v>
      </c>
      <c r="H3303" s="126" t="s">
        <v>3177</v>
      </c>
      <c r="I3303" s="126" t="s">
        <v>2836</v>
      </c>
      <c r="J3303" s="126">
        <v>-3.94</v>
      </c>
      <c r="K3303" s="126">
        <v>39.75</v>
      </c>
      <c r="L3303" s="126">
        <v>24.1</v>
      </c>
      <c r="R3303" s="478" t="s">
        <v>1977</v>
      </c>
      <c r="S3303" s="478" t="s">
        <v>1847</v>
      </c>
      <c r="T3303" s="478"/>
      <c r="U3303" s="478" t="s">
        <v>2903</v>
      </c>
      <c r="V3303" s="478"/>
      <c r="W3303" s="478"/>
      <c r="X3303" s="478"/>
      <c r="Y3303" s="478"/>
      <c r="AA3303" s="479"/>
      <c r="AB3303" s="479"/>
      <c r="AC3303" s="126" t="s">
        <v>240</v>
      </c>
      <c r="AH3303" s="126" t="s">
        <v>3178</v>
      </c>
      <c r="AI3303" s="126" t="s">
        <v>577</v>
      </c>
      <c r="AJ3303" s="126" t="s">
        <v>1645</v>
      </c>
      <c r="AK3303" s="126" t="s">
        <v>1616</v>
      </c>
      <c r="AL3303" s="126" t="s">
        <v>3179</v>
      </c>
      <c r="AM3303" s="126" t="s">
        <v>3179</v>
      </c>
      <c r="AN3303" s="126" t="s">
        <v>177</v>
      </c>
      <c r="AT3303" s="126" t="s">
        <v>3180</v>
      </c>
      <c r="AU3303" s="126" t="s">
        <v>3180</v>
      </c>
      <c r="AV3303" s="126" t="s">
        <v>177</v>
      </c>
      <c r="AW3303" s="126" t="s">
        <v>160</v>
      </c>
      <c r="BE3303" s="126" t="s">
        <v>3185</v>
      </c>
      <c r="BK3303" s="126">
        <v>3140</v>
      </c>
      <c r="BL3303" s="126">
        <v>3220</v>
      </c>
      <c r="BM3303" s="126">
        <v>650</v>
      </c>
      <c r="BN3303" s="126">
        <v>650</v>
      </c>
      <c r="BO3303" s="126" t="s">
        <v>3162</v>
      </c>
      <c r="BP3303" s="481"/>
      <c r="BQ3303" s="481"/>
      <c r="BU3303" s="481"/>
      <c r="BV3303" s="481"/>
      <c r="BZ3303" s="481"/>
      <c r="CA3303" s="481"/>
      <c r="CE3303" s="605"/>
      <c r="CF3303" s="605"/>
      <c r="CG3303" s="605"/>
      <c r="CH3303" s="605"/>
      <c r="JD3303" s="480"/>
    </row>
    <row r="3304" spans="1:264" s="126" customFormat="1" x14ac:dyDescent="0.25">
      <c r="A3304" s="126">
        <v>155</v>
      </c>
      <c r="B3304" s="478" t="s">
        <v>3181</v>
      </c>
      <c r="C3304" s="126" t="s">
        <v>3174</v>
      </c>
      <c r="D3304" s="126" t="s">
        <v>3175</v>
      </c>
      <c r="E3304" s="126">
        <v>2003</v>
      </c>
      <c r="F3304" s="126">
        <v>1999</v>
      </c>
      <c r="G3304" s="126" t="s">
        <v>3176</v>
      </c>
      <c r="H3304" s="126" t="s">
        <v>3177</v>
      </c>
      <c r="I3304" s="126" t="s">
        <v>2836</v>
      </c>
      <c r="J3304" s="126">
        <v>-3.94</v>
      </c>
      <c r="K3304" s="126">
        <v>39.75</v>
      </c>
      <c r="L3304" s="126">
        <v>24.1</v>
      </c>
      <c r="R3304" s="478" t="s">
        <v>1977</v>
      </c>
      <c r="S3304" s="478" t="s">
        <v>1847</v>
      </c>
      <c r="T3304" s="478"/>
      <c r="U3304" s="478" t="s">
        <v>2903</v>
      </c>
      <c r="V3304" s="478"/>
      <c r="W3304" s="478"/>
      <c r="X3304" s="478"/>
      <c r="Y3304" s="478"/>
      <c r="AA3304" s="479"/>
      <c r="AB3304" s="479"/>
      <c r="AC3304" s="126" t="s">
        <v>240</v>
      </c>
      <c r="AH3304" s="126" t="s">
        <v>3178</v>
      </c>
      <c r="AI3304" s="126" t="s">
        <v>577</v>
      </c>
      <c r="AJ3304" s="126" t="s">
        <v>1645</v>
      </c>
      <c r="AK3304" s="126" t="s">
        <v>1616</v>
      </c>
      <c r="AL3304" s="126" t="s">
        <v>3179</v>
      </c>
      <c r="AM3304" s="126" t="s">
        <v>3179</v>
      </c>
      <c r="AN3304" s="126" t="s">
        <v>177</v>
      </c>
      <c r="AT3304" s="126" t="s">
        <v>3180</v>
      </c>
      <c r="AU3304" s="126" t="s">
        <v>3180</v>
      </c>
      <c r="AV3304" s="126" t="s">
        <v>177</v>
      </c>
      <c r="AW3304" s="126" t="s">
        <v>160</v>
      </c>
      <c r="BE3304" s="126" t="s">
        <v>3185</v>
      </c>
      <c r="BK3304" s="126">
        <v>3140</v>
      </c>
      <c r="BL3304" s="126">
        <v>2250</v>
      </c>
      <c r="BM3304" s="126">
        <v>650</v>
      </c>
      <c r="BN3304" s="126">
        <v>650</v>
      </c>
      <c r="BO3304" s="126" t="s">
        <v>3162</v>
      </c>
      <c r="BP3304" s="481"/>
      <c r="BQ3304" s="481"/>
      <c r="BU3304" s="481"/>
      <c r="BV3304" s="481"/>
      <c r="BZ3304" s="481"/>
      <c r="CA3304" s="481"/>
      <c r="CE3304" s="605"/>
      <c r="CF3304" s="605"/>
      <c r="CG3304" s="605"/>
      <c r="CH3304" s="605"/>
      <c r="JD3304" s="480"/>
    </row>
    <row r="3305" spans="1:264" s="126" customFormat="1" x14ac:dyDescent="0.25">
      <c r="A3305" s="126">
        <v>155</v>
      </c>
      <c r="B3305" s="478" t="s">
        <v>3182</v>
      </c>
      <c r="C3305" s="126" t="s">
        <v>3174</v>
      </c>
      <c r="D3305" s="126" t="s">
        <v>3175</v>
      </c>
      <c r="E3305" s="126">
        <v>2003</v>
      </c>
      <c r="F3305" s="126">
        <v>1999</v>
      </c>
      <c r="G3305" s="126" t="s">
        <v>3176</v>
      </c>
      <c r="H3305" s="126" t="s">
        <v>3177</v>
      </c>
      <c r="I3305" s="126" t="s">
        <v>2836</v>
      </c>
      <c r="J3305" s="126">
        <v>-3.94</v>
      </c>
      <c r="K3305" s="126">
        <v>39.75</v>
      </c>
      <c r="L3305" s="126">
        <v>24.1</v>
      </c>
      <c r="R3305" s="478" t="s">
        <v>1977</v>
      </c>
      <c r="S3305" s="478" t="s">
        <v>1847</v>
      </c>
      <c r="T3305" s="478"/>
      <c r="U3305" s="478" t="s">
        <v>2903</v>
      </c>
      <c r="V3305" s="478"/>
      <c r="W3305" s="478"/>
      <c r="X3305" s="478"/>
      <c r="Y3305" s="478"/>
      <c r="AA3305" s="479"/>
      <c r="AB3305" s="479"/>
      <c r="AC3305" s="126" t="s">
        <v>240</v>
      </c>
      <c r="AH3305" s="126" t="s">
        <v>3178</v>
      </c>
      <c r="AI3305" s="126" t="s">
        <v>577</v>
      </c>
      <c r="AJ3305" s="126" t="s">
        <v>2327</v>
      </c>
      <c r="AK3305" s="126" t="s">
        <v>229</v>
      </c>
      <c r="AT3305" s="126" t="s">
        <v>3180</v>
      </c>
      <c r="AU3305" s="126" t="s">
        <v>3180</v>
      </c>
      <c r="AV3305" s="126" t="s">
        <v>177</v>
      </c>
      <c r="AW3305" s="126" t="s">
        <v>160</v>
      </c>
      <c r="BK3305" s="126">
        <v>16360</v>
      </c>
      <c r="BL3305" s="126">
        <v>21140</v>
      </c>
      <c r="BM3305" s="126">
        <v>3370</v>
      </c>
      <c r="BN3305" s="126">
        <v>3370</v>
      </c>
      <c r="BO3305" s="126" t="s">
        <v>3162</v>
      </c>
      <c r="BP3305" s="481"/>
      <c r="BQ3305" s="481"/>
      <c r="BU3305" s="481"/>
      <c r="BV3305" s="481"/>
      <c r="BZ3305" s="481"/>
      <c r="CA3305" s="481"/>
      <c r="CE3305" s="605"/>
      <c r="CF3305" s="605"/>
      <c r="CG3305" s="605"/>
      <c r="CH3305" s="605"/>
      <c r="JD3305" s="480"/>
    </row>
    <row r="3306" spans="1:264" s="126" customFormat="1" x14ac:dyDescent="0.25">
      <c r="A3306" s="126">
        <v>155</v>
      </c>
      <c r="B3306" s="478" t="s">
        <v>3182</v>
      </c>
      <c r="C3306" s="126" t="s">
        <v>3174</v>
      </c>
      <c r="D3306" s="126" t="s">
        <v>3175</v>
      </c>
      <c r="E3306" s="126">
        <v>2003</v>
      </c>
      <c r="F3306" s="126">
        <v>1999</v>
      </c>
      <c r="G3306" s="126" t="s">
        <v>3176</v>
      </c>
      <c r="H3306" s="126" t="s">
        <v>3177</v>
      </c>
      <c r="I3306" s="126" t="s">
        <v>2836</v>
      </c>
      <c r="J3306" s="126">
        <v>-3.94</v>
      </c>
      <c r="K3306" s="126">
        <v>39.75</v>
      </c>
      <c r="L3306" s="126">
        <v>24.1</v>
      </c>
      <c r="R3306" s="478" t="s">
        <v>1977</v>
      </c>
      <c r="S3306" s="478" t="s">
        <v>1847</v>
      </c>
      <c r="T3306" s="478"/>
      <c r="U3306" s="478" t="s">
        <v>2903</v>
      </c>
      <c r="V3306" s="478"/>
      <c r="W3306" s="478"/>
      <c r="X3306" s="478"/>
      <c r="Y3306" s="478"/>
      <c r="AA3306" s="479"/>
      <c r="AB3306" s="479"/>
      <c r="AC3306" s="126" t="s">
        <v>240</v>
      </c>
      <c r="AH3306" s="126" t="s">
        <v>3178</v>
      </c>
      <c r="AI3306" s="126" t="s">
        <v>577</v>
      </c>
      <c r="AJ3306" s="126" t="s">
        <v>2327</v>
      </c>
      <c r="AK3306" s="126" t="s">
        <v>229</v>
      </c>
      <c r="AT3306" s="126" t="s">
        <v>3180</v>
      </c>
      <c r="AU3306" s="126" t="s">
        <v>3180</v>
      </c>
      <c r="AV3306" s="126" t="s">
        <v>177</v>
      </c>
      <c r="AW3306" s="126" t="s">
        <v>160</v>
      </c>
      <c r="BK3306" s="126">
        <v>16360</v>
      </c>
      <c r="BL3306" s="126">
        <v>22310</v>
      </c>
      <c r="BM3306" s="126">
        <v>3370</v>
      </c>
      <c r="BN3306" s="126">
        <v>3370</v>
      </c>
      <c r="BO3306" s="126" t="s">
        <v>3162</v>
      </c>
      <c r="BP3306" s="481"/>
      <c r="BQ3306" s="481"/>
      <c r="BU3306" s="481"/>
      <c r="BV3306" s="481"/>
      <c r="BZ3306" s="481"/>
      <c r="CA3306" s="481"/>
      <c r="CE3306" s="605"/>
      <c r="CF3306" s="605"/>
      <c r="CG3306" s="605"/>
      <c r="CH3306" s="605"/>
      <c r="JD3306" s="480"/>
    </row>
    <row r="3307" spans="1:264" s="126" customFormat="1" x14ac:dyDescent="0.25">
      <c r="A3307" s="126">
        <v>155</v>
      </c>
      <c r="B3307" s="478" t="s">
        <v>3182</v>
      </c>
      <c r="C3307" s="126" t="s">
        <v>3174</v>
      </c>
      <c r="D3307" s="126" t="s">
        <v>3175</v>
      </c>
      <c r="E3307" s="126">
        <v>2003</v>
      </c>
      <c r="F3307" s="126">
        <v>1999</v>
      </c>
      <c r="G3307" s="126" t="s">
        <v>3176</v>
      </c>
      <c r="H3307" s="126" t="s">
        <v>3177</v>
      </c>
      <c r="I3307" s="126" t="s">
        <v>2836</v>
      </c>
      <c r="J3307" s="126">
        <v>-3.94</v>
      </c>
      <c r="K3307" s="126">
        <v>39.75</v>
      </c>
      <c r="L3307" s="126">
        <v>24.1</v>
      </c>
      <c r="R3307" s="478" t="s">
        <v>1977</v>
      </c>
      <c r="S3307" s="478" t="s">
        <v>1847</v>
      </c>
      <c r="T3307" s="478"/>
      <c r="U3307" s="478" t="s">
        <v>2903</v>
      </c>
      <c r="V3307" s="478"/>
      <c r="W3307" s="478"/>
      <c r="X3307" s="478"/>
      <c r="Y3307" s="478"/>
      <c r="AA3307" s="479"/>
      <c r="AB3307" s="479"/>
      <c r="AC3307" s="126" t="s">
        <v>240</v>
      </c>
      <c r="AH3307" s="126" t="s">
        <v>3178</v>
      </c>
      <c r="AI3307" s="126" t="s">
        <v>577</v>
      </c>
      <c r="AJ3307" s="126" t="s">
        <v>2327</v>
      </c>
      <c r="AK3307" s="126" t="s">
        <v>229</v>
      </c>
      <c r="AT3307" s="126" t="s">
        <v>3180</v>
      </c>
      <c r="AU3307" s="126" t="s">
        <v>3180</v>
      </c>
      <c r="AV3307" s="126" t="s">
        <v>177</v>
      </c>
      <c r="AW3307" s="126" t="s">
        <v>160</v>
      </c>
      <c r="BK3307" s="126">
        <v>16360</v>
      </c>
      <c r="BL3307" s="126">
        <v>19460</v>
      </c>
      <c r="BM3307" s="126">
        <v>3370</v>
      </c>
      <c r="BN3307" s="126">
        <v>3370</v>
      </c>
      <c r="BO3307" s="126" t="s">
        <v>3162</v>
      </c>
      <c r="BP3307" s="481"/>
      <c r="BQ3307" s="481"/>
      <c r="BU3307" s="481"/>
      <c r="BV3307" s="481"/>
      <c r="BZ3307" s="481"/>
      <c r="CA3307" s="481"/>
      <c r="CE3307" s="605"/>
      <c r="CF3307" s="605"/>
      <c r="CG3307" s="605"/>
      <c r="CH3307" s="605"/>
      <c r="JD3307" s="480"/>
    </row>
    <row r="3308" spans="1:264" s="126" customFormat="1" x14ac:dyDescent="0.25">
      <c r="A3308" s="126">
        <v>155</v>
      </c>
      <c r="B3308" s="478" t="s">
        <v>3182</v>
      </c>
      <c r="C3308" s="126" t="s">
        <v>3174</v>
      </c>
      <c r="D3308" s="126" t="s">
        <v>3175</v>
      </c>
      <c r="E3308" s="126">
        <v>2003</v>
      </c>
      <c r="F3308" s="126">
        <v>1999</v>
      </c>
      <c r="G3308" s="126" t="s">
        <v>3176</v>
      </c>
      <c r="H3308" s="126" t="s">
        <v>3177</v>
      </c>
      <c r="I3308" s="126" t="s">
        <v>2836</v>
      </c>
      <c r="J3308" s="126">
        <v>-3.94</v>
      </c>
      <c r="K3308" s="126">
        <v>39.75</v>
      </c>
      <c r="L3308" s="126">
        <v>24.1</v>
      </c>
      <c r="R3308" s="478" t="s">
        <v>1977</v>
      </c>
      <c r="S3308" s="478" t="s">
        <v>1847</v>
      </c>
      <c r="T3308" s="478"/>
      <c r="U3308" s="478" t="s">
        <v>2903</v>
      </c>
      <c r="V3308" s="478"/>
      <c r="W3308" s="478"/>
      <c r="X3308" s="478"/>
      <c r="Y3308" s="478"/>
      <c r="AA3308" s="479"/>
      <c r="AB3308" s="479"/>
      <c r="AC3308" s="126" t="s">
        <v>240</v>
      </c>
      <c r="AH3308" s="126" t="s">
        <v>3178</v>
      </c>
      <c r="AI3308" s="126" t="s">
        <v>577</v>
      </c>
      <c r="AJ3308" s="126" t="s">
        <v>2327</v>
      </c>
      <c r="AK3308" s="126" t="s">
        <v>229</v>
      </c>
      <c r="AT3308" s="126" t="s">
        <v>3180</v>
      </c>
      <c r="AU3308" s="126" t="s">
        <v>3180</v>
      </c>
      <c r="AV3308" s="126" t="s">
        <v>177</v>
      </c>
      <c r="AW3308" s="126" t="s">
        <v>160</v>
      </c>
      <c r="BK3308" s="126">
        <v>16360</v>
      </c>
      <c r="BL3308" s="126">
        <v>19220</v>
      </c>
      <c r="BM3308" s="126">
        <v>3370</v>
      </c>
      <c r="BN3308" s="126">
        <v>3370</v>
      </c>
      <c r="BO3308" s="126" t="s">
        <v>3162</v>
      </c>
      <c r="BP3308" s="481"/>
      <c r="BQ3308" s="481"/>
      <c r="BU3308" s="481"/>
      <c r="BV3308" s="481"/>
      <c r="BZ3308" s="481"/>
      <c r="CA3308" s="481"/>
      <c r="CE3308" s="605"/>
      <c r="CF3308" s="605"/>
      <c r="CG3308" s="605"/>
      <c r="CH3308" s="605"/>
      <c r="JD3308" s="480"/>
    </row>
    <row r="3309" spans="1:264" s="36" customFormat="1" x14ac:dyDescent="0.25">
      <c r="A3309" s="36">
        <v>155</v>
      </c>
      <c r="B3309" s="51" t="s">
        <v>3183</v>
      </c>
      <c r="C3309" s="36" t="s">
        <v>3174</v>
      </c>
      <c r="D3309" s="36" t="s">
        <v>3175</v>
      </c>
      <c r="E3309" s="36">
        <v>2003</v>
      </c>
      <c r="F3309" s="36">
        <v>1999</v>
      </c>
      <c r="G3309" s="36" t="s">
        <v>3176</v>
      </c>
      <c r="H3309" s="36" t="s">
        <v>3177</v>
      </c>
      <c r="I3309" s="36" t="s">
        <v>2836</v>
      </c>
      <c r="J3309" s="36">
        <v>-3.94</v>
      </c>
      <c r="K3309" s="36">
        <v>39.75</v>
      </c>
      <c r="L3309" s="36">
        <v>24.1</v>
      </c>
      <c r="R3309" s="51" t="s">
        <v>1977</v>
      </c>
      <c r="S3309" s="51" t="s">
        <v>1847</v>
      </c>
      <c r="T3309" s="51"/>
      <c r="U3309" s="51" t="s">
        <v>2903</v>
      </c>
      <c r="V3309" s="51"/>
      <c r="W3309" s="51"/>
      <c r="X3309" s="51"/>
      <c r="Y3309" s="51"/>
      <c r="AA3309" s="331"/>
      <c r="AB3309" s="331"/>
      <c r="AC3309" s="36" t="s">
        <v>240</v>
      </c>
      <c r="AH3309" s="36" t="s">
        <v>3178</v>
      </c>
      <c r="AI3309" s="36" t="s">
        <v>577</v>
      </c>
      <c r="AJ3309" s="36" t="s">
        <v>1645</v>
      </c>
      <c r="AK3309" s="36" t="s">
        <v>132</v>
      </c>
      <c r="AT3309" s="36" t="s">
        <v>3180</v>
      </c>
      <c r="AU3309" s="36" t="s">
        <v>3180</v>
      </c>
      <c r="AV3309" s="36" t="s">
        <v>177</v>
      </c>
      <c r="AW3309" s="36" t="s">
        <v>160</v>
      </c>
      <c r="BE3309" s="36" t="s">
        <v>3185</v>
      </c>
      <c r="BK3309" s="36">
        <v>2810</v>
      </c>
      <c r="BL3309" s="36">
        <v>2060</v>
      </c>
      <c r="BM3309" s="36">
        <f>(58+870)/2</f>
        <v>464</v>
      </c>
      <c r="BN3309" s="36">
        <f>(58+870)/2</f>
        <v>464</v>
      </c>
      <c r="BO3309" s="36" t="s">
        <v>3163</v>
      </c>
      <c r="BP3309" s="407"/>
      <c r="BQ3309" s="407"/>
      <c r="BU3309" s="407"/>
      <c r="BV3309" s="407"/>
      <c r="BZ3309" s="407"/>
      <c r="CA3309" s="407"/>
      <c r="CE3309" s="560"/>
      <c r="CF3309" s="560"/>
      <c r="CG3309" s="560"/>
      <c r="CH3309" s="560"/>
      <c r="JD3309" s="230"/>
    </row>
    <row r="3310" spans="1:264" s="36" customFormat="1" x14ac:dyDescent="0.25">
      <c r="A3310" s="36">
        <v>155</v>
      </c>
      <c r="B3310" s="51" t="s">
        <v>3183</v>
      </c>
      <c r="C3310" s="36" t="s">
        <v>3174</v>
      </c>
      <c r="D3310" s="36" t="s">
        <v>3175</v>
      </c>
      <c r="E3310" s="36">
        <v>2003</v>
      </c>
      <c r="F3310" s="36">
        <v>1999</v>
      </c>
      <c r="G3310" s="36" t="s">
        <v>3176</v>
      </c>
      <c r="H3310" s="36" t="s">
        <v>3177</v>
      </c>
      <c r="I3310" s="36" t="s">
        <v>2836</v>
      </c>
      <c r="J3310" s="36">
        <v>-3.94</v>
      </c>
      <c r="K3310" s="36">
        <v>39.75</v>
      </c>
      <c r="L3310" s="36">
        <v>24.1</v>
      </c>
      <c r="R3310" s="51" t="s">
        <v>1977</v>
      </c>
      <c r="S3310" s="51" t="s">
        <v>1847</v>
      </c>
      <c r="T3310" s="51"/>
      <c r="U3310" s="51" t="s">
        <v>2903</v>
      </c>
      <c r="V3310" s="51"/>
      <c r="W3310" s="51"/>
      <c r="X3310" s="51"/>
      <c r="Y3310" s="51"/>
      <c r="AA3310" s="331"/>
      <c r="AB3310" s="331"/>
      <c r="AC3310" s="36" t="s">
        <v>240</v>
      </c>
      <c r="AH3310" s="36" t="s">
        <v>3178</v>
      </c>
      <c r="AI3310" s="36" t="s">
        <v>577</v>
      </c>
      <c r="AJ3310" s="36" t="s">
        <v>1645</v>
      </c>
      <c r="AK3310" s="36" t="s">
        <v>132</v>
      </c>
      <c r="AT3310" s="36" t="s">
        <v>3180</v>
      </c>
      <c r="AU3310" s="36" t="s">
        <v>3180</v>
      </c>
      <c r="AV3310" s="36" t="s">
        <v>177</v>
      </c>
      <c r="AW3310" s="36" t="s">
        <v>160</v>
      </c>
      <c r="BE3310" s="36" t="s">
        <v>3185</v>
      </c>
      <c r="BK3310" s="36">
        <v>2810</v>
      </c>
      <c r="BL3310" s="36">
        <v>1460</v>
      </c>
      <c r="BM3310" s="36">
        <f t="shared" ref="BM3310:BN3313" si="449">(58+870)/2</f>
        <v>464</v>
      </c>
      <c r="BN3310" s="36">
        <f t="shared" si="449"/>
        <v>464</v>
      </c>
      <c r="BO3310" s="36" t="s">
        <v>3163</v>
      </c>
      <c r="BP3310" s="407"/>
      <c r="BQ3310" s="407"/>
      <c r="BU3310" s="407"/>
      <c r="BV3310" s="407"/>
      <c r="BZ3310" s="407"/>
      <c r="CA3310" s="407"/>
      <c r="CE3310" s="560"/>
      <c r="CF3310" s="560"/>
      <c r="CG3310" s="560"/>
      <c r="CH3310" s="560"/>
      <c r="JD3310" s="230"/>
    </row>
    <row r="3311" spans="1:264" s="36" customFormat="1" x14ac:dyDescent="0.25">
      <c r="A3311" s="36">
        <v>155</v>
      </c>
      <c r="B3311" s="51" t="s">
        <v>3183</v>
      </c>
      <c r="C3311" s="36" t="s">
        <v>3174</v>
      </c>
      <c r="D3311" s="36" t="s">
        <v>3175</v>
      </c>
      <c r="E3311" s="36">
        <v>2003</v>
      </c>
      <c r="F3311" s="36">
        <v>1999</v>
      </c>
      <c r="G3311" s="36" t="s">
        <v>3176</v>
      </c>
      <c r="H3311" s="36" t="s">
        <v>3177</v>
      </c>
      <c r="I3311" s="36" t="s">
        <v>2836</v>
      </c>
      <c r="J3311" s="36">
        <v>-3.94</v>
      </c>
      <c r="K3311" s="36">
        <v>39.75</v>
      </c>
      <c r="L3311" s="36">
        <v>24.1</v>
      </c>
      <c r="R3311" s="51" t="s">
        <v>1977</v>
      </c>
      <c r="S3311" s="51" t="s">
        <v>1847</v>
      </c>
      <c r="T3311" s="51"/>
      <c r="U3311" s="51" t="s">
        <v>2903</v>
      </c>
      <c r="V3311" s="51"/>
      <c r="W3311" s="51"/>
      <c r="X3311" s="51"/>
      <c r="Y3311" s="51"/>
      <c r="AA3311" s="331"/>
      <c r="AB3311" s="331"/>
      <c r="AC3311" s="36" t="s">
        <v>240</v>
      </c>
      <c r="AH3311" s="36" t="s">
        <v>3178</v>
      </c>
      <c r="AI3311" s="36" t="s">
        <v>577</v>
      </c>
      <c r="AJ3311" s="36" t="s">
        <v>1645</v>
      </c>
      <c r="AK3311" s="36" t="s">
        <v>1616</v>
      </c>
      <c r="AL3311" s="36" t="s">
        <v>3179</v>
      </c>
      <c r="AM3311" s="36" t="s">
        <v>3179</v>
      </c>
      <c r="AN3311" s="36" t="s">
        <v>177</v>
      </c>
      <c r="AT3311" s="36" t="s">
        <v>3180</v>
      </c>
      <c r="AU3311" s="36" t="s">
        <v>3180</v>
      </c>
      <c r="AV3311" s="36" t="s">
        <v>177</v>
      </c>
      <c r="AW3311" s="36" t="s">
        <v>160</v>
      </c>
      <c r="BE3311" s="36" t="s">
        <v>3185</v>
      </c>
      <c r="BK3311" s="36">
        <v>1880</v>
      </c>
      <c r="BL3311" s="36">
        <v>1300</v>
      </c>
      <c r="BM3311" s="36">
        <f t="shared" si="449"/>
        <v>464</v>
      </c>
      <c r="BN3311" s="36">
        <f t="shared" si="449"/>
        <v>464</v>
      </c>
      <c r="BO3311" s="36" t="s">
        <v>3163</v>
      </c>
      <c r="BP3311" s="407"/>
      <c r="BQ3311" s="407"/>
      <c r="BU3311" s="407"/>
      <c r="BV3311" s="407"/>
      <c r="BZ3311" s="407"/>
      <c r="CA3311" s="407"/>
      <c r="CE3311" s="560"/>
      <c r="CF3311" s="560"/>
      <c r="CG3311" s="560"/>
      <c r="CH3311" s="560"/>
      <c r="JD3311" s="230"/>
    </row>
    <row r="3312" spans="1:264" s="36" customFormat="1" x14ac:dyDescent="0.25">
      <c r="A3312" s="36">
        <v>155</v>
      </c>
      <c r="B3312" s="51" t="s">
        <v>3183</v>
      </c>
      <c r="C3312" s="36" t="s">
        <v>3174</v>
      </c>
      <c r="D3312" s="36" t="s">
        <v>3175</v>
      </c>
      <c r="E3312" s="36">
        <v>2003</v>
      </c>
      <c r="F3312" s="36">
        <v>1999</v>
      </c>
      <c r="G3312" s="36" t="s">
        <v>3176</v>
      </c>
      <c r="H3312" s="36" t="s">
        <v>3177</v>
      </c>
      <c r="I3312" s="36" t="s">
        <v>2836</v>
      </c>
      <c r="J3312" s="36">
        <v>-3.94</v>
      </c>
      <c r="K3312" s="36">
        <v>39.75</v>
      </c>
      <c r="L3312" s="36">
        <v>24.1</v>
      </c>
      <c r="R3312" s="51" t="s">
        <v>1977</v>
      </c>
      <c r="S3312" s="51" t="s">
        <v>1847</v>
      </c>
      <c r="T3312" s="51"/>
      <c r="U3312" s="51" t="s">
        <v>2903</v>
      </c>
      <c r="V3312" s="51"/>
      <c r="W3312" s="51"/>
      <c r="X3312" s="51"/>
      <c r="Y3312" s="51"/>
      <c r="AA3312" s="331"/>
      <c r="AB3312" s="331"/>
      <c r="AC3312" s="36" t="s">
        <v>240</v>
      </c>
      <c r="AH3312" s="36" t="s">
        <v>3178</v>
      </c>
      <c r="AI3312" s="36" t="s">
        <v>577</v>
      </c>
      <c r="AJ3312" s="36" t="s">
        <v>1645</v>
      </c>
      <c r="AK3312" s="36" t="s">
        <v>1616</v>
      </c>
      <c r="AL3312" s="36" t="s">
        <v>3179</v>
      </c>
      <c r="AM3312" s="36" t="s">
        <v>3179</v>
      </c>
      <c r="AN3312" s="36" t="s">
        <v>177</v>
      </c>
      <c r="AT3312" s="36" t="s">
        <v>3180</v>
      </c>
      <c r="AU3312" s="36" t="s">
        <v>3180</v>
      </c>
      <c r="AV3312" s="36" t="s">
        <v>177</v>
      </c>
      <c r="AW3312" s="36" t="s">
        <v>160</v>
      </c>
      <c r="BE3312" s="36" t="s">
        <v>3185</v>
      </c>
      <c r="BK3312" s="36">
        <v>1880</v>
      </c>
      <c r="BL3312" s="36">
        <v>1160</v>
      </c>
      <c r="BM3312" s="36">
        <f t="shared" si="449"/>
        <v>464</v>
      </c>
      <c r="BN3312" s="36">
        <f t="shared" si="449"/>
        <v>464</v>
      </c>
      <c r="BO3312" s="36" t="s">
        <v>3163</v>
      </c>
      <c r="BP3312" s="407"/>
      <c r="BQ3312" s="407"/>
      <c r="BU3312" s="407"/>
      <c r="BV3312" s="407"/>
      <c r="BZ3312" s="407"/>
      <c r="CA3312" s="407"/>
      <c r="CE3312" s="560"/>
      <c r="CF3312" s="560"/>
      <c r="CG3312" s="560"/>
      <c r="CH3312" s="560"/>
      <c r="JD3312" s="230"/>
    </row>
    <row r="3313" spans="1:264" s="36" customFormat="1" x14ac:dyDescent="0.25">
      <c r="A3313" s="36">
        <v>155</v>
      </c>
      <c r="B3313" s="51" t="s">
        <v>3183</v>
      </c>
      <c r="C3313" s="36" t="s">
        <v>3174</v>
      </c>
      <c r="D3313" s="36" t="s">
        <v>3175</v>
      </c>
      <c r="E3313" s="36">
        <v>2003</v>
      </c>
      <c r="F3313" s="36">
        <v>1999</v>
      </c>
      <c r="G3313" s="36" t="s">
        <v>3176</v>
      </c>
      <c r="H3313" s="36" t="s">
        <v>3177</v>
      </c>
      <c r="I3313" s="36" t="s">
        <v>2836</v>
      </c>
      <c r="J3313" s="36">
        <v>-3.94</v>
      </c>
      <c r="K3313" s="36">
        <v>39.75</v>
      </c>
      <c r="L3313" s="36">
        <v>24.1</v>
      </c>
      <c r="R3313" s="51" t="s">
        <v>1977</v>
      </c>
      <c r="S3313" s="51" t="s">
        <v>1847</v>
      </c>
      <c r="T3313" s="51"/>
      <c r="U3313" s="51" t="s">
        <v>2903</v>
      </c>
      <c r="V3313" s="51"/>
      <c r="W3313" s="51"/>
      <c r="X3313" s="51"/>
      <c r="Y3313" s="51"/>
      <c r="AA3313" s="331"/>
      <c r="AB3313" s="331"/>
      <c r="AC3313" s="36" t="s">
        <v>240</v>
      </c>
      <c r="AH3313" s="36" t="s">
        <v>3178</v>
      </c>
      <c r="AI3313" s="36" t="s">
        <v>577</v>
      </c>
      <c r="AJ3313" s="36" t="s">
        <v>1645</v>
      </c>
      <c r="AK3313" s="36" t="s">
        <v>1616</v>
      </c>
      <c r="AL3313" s="36" t="s">
        <v>3179</v>
      </c>
      <c r="AM3313" s="36" t="s">
        <v>3179</v>
      </c>
      <c r="AN3313" s="36" t="s">
        <v>177</v>
      </c>
      <c r="AT3313" s="36" t="s">
        <v>3180</v>
      </c>
      <c r="AU3313" s="36" t="s">
        <v>3180</v>
      </c>
      <c r="AV3313" s="36" t="s">
        <v>177</v>
      </c>
      <c r="AW3313" s="36" t="s">
        <v>160</v>
      </c>
      <c r="BE3313" s="36" t="s">
        <v>3185</v>
      </c>
      <c r="BK3313" s="36">
        <v>1880</v>
      </c>
      <c r="BL3313" s="36">
        <v>2400</v>
      </c>
      <c r="BM3313" s="36">
        <f t="shared" si="449"/>
        <v>464</v>
      </c>
      <c r="BN3313" s="36">
        <f t="shared" si="449"/>
        <v>464</v>
      </c>
      <c r="BO3313" s="36" t="s">
        <v>3163</v>
      </c>
      <c r="BP3313" s="407"/>
      <c r="BQ3313" s="407"/>
      <c r="BU3313" s="407"/>
      <c r="BV3313" s="407"/>
      <c r="BZ3313" s="407"/>
      <c r="CA3313" s="407"/>
      <c r="CE3313" s="560"/>
      <c r="CF3313" s="560"/>
      <c r="CG3313" s="560"/>
      <c r="CH3313" s="560"/>
      <c r="JD3313" s="230"/>
    </row>
    <row r="3314" spans="1:264" s="36" customFormat="1" x14ac:dyDescent="0.25">
      <c r="A3314" s="36">
        <v>155</v>
      </c>
      <c r="B3314" s="51" t="s">
        <v>3184</v>
      </c>
      <c r="C3314" s="36" t="s">
        <v>3174</v>
      </c>
      <c r="D3314" s="36" t="s">
        <v>3175</v>
      </c>
      <c r="E3314" s="36">
        <v>2003</v>
      </c>
      <c r="F3314" s="36">
        <v>1999</v>
      </c>
      <c r="G3314" s="36" t="s">
        <v>3176</v>
      </c>
      <c r="H3314" s="36" t="s">
        <v>3177</v>
      </c>
      <c r="I3314" s="36" t="s">
        <v>2836</v>
      </c>
      <c r="J3314" s="36">
        <v>-3.94</v>
      </c>
      <c r="K3314" s="36">
        <v>39.75</v>
      </c>
      <c r="L3314" s="36">
        <v>24.1</v>
      </c>
      <c r="R3314" s="51" t="s">
        <v>1977</v>
      </c>
      <c r="S3314" s="51" t="s">
        <v>1847</v>
      </c>
      <c r="T3314" s="51"/>
      <c r="U3314" s="51" t="s">
        <v>2903</v>
      </c>
      <c r="V3314" s="51"/>
      <c r="W3314" s="51"/>
      <c r="X3314" s="51"/>
      <c r="Y3314" s="51"/>
      <c r="AA3314" s="331"/>
      <c r="AB3314" s="331"/>
      <c r="AC3314" s="36" t="s">
        <v>240</v>
      </c>
      <c r="AH3314" s="36" t="s">
        <v>3178</v>
      </c>
      <c r="AI3314" s="36" t="s">
        <v>577</v>
      </c>
      <c r="AJ3314" s="36" t="s">
        <v>2327</v>
      </c>
      <c r="AK3314" s="36" t="s">
        <v>229</v>
      </c>
      <c r="AT3314" s="36" t="s">
        <v>3180</v>
      </c>
      <c r="AU3314" s="36" t="s">
        <v>3180</v>
      </c>
      <c r="AV3314" s="36" t="s">
        <v>177</v>
      </c>
      <c r="AW3314" s="36" t="s">
        <v>160</v>
      </c>
      <c r="BK3314" s="36">
        <v>22130</v>
      </c>
      <c r="BL3314" s="36">
        <v>19940</v>
      </c>
      <c r="BM3314" s="36">
        <v>3810</v>
      </c>
      <c r="BN3314" s="36">
        <v>3810</v>
      </c>
      <c r="BO3314" s="36" t="s">
        <v>3163</v>
      </c>
      <c r="BP3314" s="407"/>
      <c r="BQ3314" s="407"/>
      <c r="BU3314" s="407"/>
      <c r="BV3314" s="407"/>
      <c r="BZ3314" s="407"/>
      <c r="CA3314" s="407"/>
      <c r="CE3314" s="560"/>
      <c r="CF3314" s="560"/>
      <c r="CG3314" s="560"/>
      <c r="CH3314" s="560"/>
      <c r="JD3314" s="230"/>
    </row>
    <row r="3315" spans="1:264" s="36" customFormat="1" x14ac:dyDescent="0.25">
      <c r="A3315" s="36">
        <v>155</v>
      </c>
      <c r="B3315" s="51" t="s">
        <v>3184</v>
      </c>
      <c r="C3315" s="36" t="s">
        <v>3174</v>
      </c>
      <c r="D3315" s="36" t="s">
        <v>3175</v>
      </c>
      <c r="E3315" s="36">
        <v>2003</v>
      </c>
      <c r="F3315" s="36">
        <v>1999</v>
      </c>
      <c r="G3315" s="36" t="s">
        <v>3176</v>
      </c>
      <c r="H3315" s="36" t="s">
        <v>3177</v>
      </c>
      <c r="I3315" s="36" t="s">
        <v>2836</v>
      </c>
      <c r="J3315" s="36">
        <v>-3.94</v>
      </c>
      <c r="K3315" s="36">
        <v>39.75</v>
      </c>
      <c r="L3315" s="36">
        <v>24.1</v>
      </c>
      <c r="R3315" s="51" t="s">
        <v>1977</v>
      </c>
      <c r="S3315" s="51" t="s">
        <v>1847</v>
      </c>
      <c r="T3315" s="51"/>
      <c r="U3315" s="51" t="s">
        <v>2903</v>
      </c>
      <c r="V3315" s="51"/>
      <c r="W3315" s="51"/>
      <c r="X3315" s="51"/>
      <c r="Y3315" s="51"/>
      <c r="AA3315" s="331"/>
      <c r="AB3315" s="331"/>
      <c r="AC3315" s="36" t="s">
        <v>240</v>
      </c>
      <c r="AH3315" s="36" t="s">
        <v>3178</v>
      </c>
      <c r="AI3315" s="36" t="s">
        <v>577</v>
      </c>
      <c r="AJ3315" s="36" t="s">
        <v>2327</v>
      </c>
      <c r="AK3315" s="36" t="s">
        <v>229</v>
      </c>
      <c r="AT3315" s="36" t="s">
        <v>3180</v>
      </c>
      <c r="AU3315" s="36" t="s">
        <v>3180</v>
      </c>
      <c r="AV3315" s="36" t="s">
        <v>177</v>
      </c>
      <c r="AW3315" s="36" t="s">
        <v>160</v>
      </c>
      <c r="BK3315" s="36">
        <v>22130</v>
      </c>
      <c r="BL3315" s="36">
        <v>11860</v>
      </c>
      <c r="BM3315" s="36">
        <v>3810</v>
      </c>
      <c r="BN3315" s="36">
        <v>3810</v>
      </c>
      <c r="BO3315" s="36" t="s">
        <v>3163</v>
      </c>
      <c r="BP3315" s="407"/>
      <c r="BQ3315" s="407"/>
      <c r="BU3315" s="407"/>
      <c r="BV3315" s="407"/>
      <c r="BZ3315" s="407"/>
      <c r="CA3315" s="407"/>
      <c r="CE3315" s="560"/>
      <c r="CF3315" s="560"/>
      <c r="CG3315" s="560"/>
      <c r="CH3315" s="560"/>
      <c r="JD3315" s="230"/>
    </row>
    <row r="3316" spans="1:264" s="36" customFormat="1" x14ac:dyDescent="0.25">
      <c r="A3316" s="36">
        <v>155</v>
      </c>
      <c r="B3316" s="51" t="s">
        <v>3184</v>
      </c>
      <c r="C3316" s="36" t="s">
        <v>3174</v>
      </c>
      <c r="D3316" s="36" t="s">
        <v>3175</v>
      </c>
      <c r="E3316" s="36">
        <v>2003</v>
      </c>
      <c r="F3316" s="36">
        <v>1999</v>
      </c>
      <c r="G3316" s="36" t="s">
        <v>3176</v>
      </c>
      <c r="H3316" s="36" t="s">
        <v>3177</v>
      </c>
      <c r="I3316" s="36" t="s">
        <v>2836</v>
      </c>
      <c r="J3316" s="36">
        <v>-3.94</v>
      </c>
      <c r="K3316" s="36">
        <v>39.75</v>
      </c>
      <c r="L3316" s="36">
        <v>24.1</v>
      </c>
      <c r="R3316" s="51" t="s">
        <v>1977</v>
      </c>
      <c r="S3316" s="51" t="s">
        <v>1847</v>
      </c>
      <c r="T3316" s="51"/>
      <c r="U3316" s="51" t="s">
        <v>2903</v>
      </c>
      <c r="V3316" s="51"/>
      <c r="W3316" s="51"/>
      <c r="X3316" s="51"/>
      <c r="Y3316" s="51"/>
      <c r="AA3316" s="331"/>
      <c r="AB3316" s="331"/>
      <c r="AC3316" s="36" t="s">
        <v>240</v>
      </c>
      <c r="AH3316" s="36" t="s">
        <v>3178</v>
      </c>
      <c r="AI3316" s="36" t="s">
        <v>577</v>
      </c>
      <c r="AJ3316" s="36" t="s">
        <v>2327</v>
      </c>
      <c r="AK3316" s="36" t="s">
        <v>229</v>
      </c>
      <c r="AT3316" s="36" t="s">
        <v>3180</v>
      </c>
      <c r="AU3316" s="36" t="s">
        <v>3180</v>
      </c>
      <c r="AV3316" s="36" t="s">
        <v>177</v>
      </c>
      <c r="AW3316" s="36" t="s">
        <v>160</v>
      </c>
      <c r="BK3316" s="36">
        <v>22130</v>
      </c>
      <c r="BL3316" s="36">
        <v>17030</v>
      </c>
      <c r="BM3316" s="36">
        <v>3810</v>
      </c>
      <c r="BN3316" s="36">
        <v>3810</v>
      </c>
      <c r="BO3316" s="36" t="s">
        <v>3163</v>
      </c>
      <c r="BP3316" s="407"/>
      <c r="BQ3316" s="407"/>
      <c r="BU3316" s="407"/>
      <c r="BV3316" s="407"/>
      <c r="BZ3316" s="407"/>
      <c r="CA3316" s="407"/>
      <c r="CE3316" s="560"/>
      <c r="CF3316" s="560"/>
      <c r="CG3316" s="560"/>
      <c r="CH3316" s="560"/>
      <c r="JD3316" s="230"/>
    </row>
    <row r="3317" spans="1:264" s="36" customFormat="1" x14ac:dyDescent="0.25">
      <c r="A3317" s="36">
        <v>155</v>
      </c>
      <c r="B3317" s="51" t="s">
        <v>3184</v>
      </c>
      <c r="C3317" s="36" t="s">
        <v>3174</v>
      </c>
      <c r="D3317" s="36" t="s">
        <v>3175</v>
      </c>
      <c r="E3317" s="36">
        <v>2003</v>
      </c>
      <c r="F3317" s="36">
        <v>1999</v>
      </c>
      <c r="G3317" s="36" t="s">
        <v>3176</v>
      </c>
      <c r="H3317" s="36" t="s">
        <v>3177</v>
      </c>
      <c r="I3317" s="36" t="s">
        <v>2836</v>
      </c>
      <c r="J3317" s="36">
        <v>-3.94</v>
      </c>
      <c r="K3317" s="36">
        <v>39.75</v>
      </c>
      <c r="L3317" s="36">
        <v>24.1</v>
      </c>
      <c r="R3317" s="51" t="s">
        <v>1977</v>
      </c>
      <c r="S3317" s="51" t="s">
        <v>1847</v>
      </c>
      <c r="T3317" s="51"/>
      <c r="U3317" s="51" t="s">
        <v>2903</v>
      </c>
      <c r="V3317" s="51"/>
      <c r="W3317" s="51"/>
      <c r="X3317" s="51"/>
      <c r="Y3317" s="51"/>
      <c r="AA3317" s="331"/>
      <c r="AB3317" s="331"/>
      <c r="AC3317" s="36" t="s">
        <v>240</v>
      </c>
      <c r="AH3317" s="36" t="s">
        <v>3178</v>
      </c>
      <c r="AI3317" s="36" t="s">
        <v>577</v>
      </c>
      <c r="AJ3317" s="36" t="s">
        <v>2327</v>
      </c>
      <c r="AK3317" s="36" t="s">
        <v>229</v>
      </c>
      <c r="AT3317" s="36" t="s">
        <v>3180</v>
      </c>
      <c r="AU3317" s="36" t="s">
        <v>3180</v>
      </c>
      <c r="AV3317" s="36" t="s">
        <v>177</v>
      </c>
      <c r="AW3317" s="36" t="s">
        <v>160</v>
      </c>
      <c r="BK3317" s="36">
        <v>22130</v>
      </c>
      <c r="BL3317" s="36">
        <v>10310</v>
      </c>
      <c r="BM3317" s="36">
        <v>3810</v>
      </c>
      <c r="BN3317" s="36">
        <v>3810</v>
      </c>
      <c r="BO3317" s="36" t="s">
        <v>3163</v>
      </c>
      <c r="BP3317" s="407"/>
      <c r="BQ3317" s="407"/>
      <c r="BU3317" s="407"/>
      <c r="BV3317" s="407"/>
      <c r="BZ3317" s="407"/>
      <c r="CA3317" s="407"/>
      <c r="CE3317" s="560"/>
      <c r="CF3317" s="560"/>
      <c r="CG3317" s="560"/>
      <c r="CH3317" s="560"/>
      <c r="JD3317" s="230"/>
    </row>
    <row r="3318" spans="1:264" s="36" customFormat="1" x14ac:dyDescent="0.25">
      <c r="A3318" s="36">
        <v>155</v>
      </c>
      <c r="B3318" s="51" t="s">
        <v>3184</v>
      </c>
      <c r="C3318" s="36" t="s">
        <v>3174</v>
      </c>
      <c r="D3318" s="36" t="s">
        <v>3175</v>
      </c>
      <c r="E3318" s="36">
        <v>2003</v>
      </c>
      <c r="F3318" s="36">
        <v>1999</v>
      </c>
      <c r="G3318" s="36" t="s">
        <v>3176</v>
      </c>
      <c r="H3318" s="36" t="s">
        <v>3177</v>
      </c>
      <c r="I3318" s="36" t="s">
        <v>2836</v>
      </c>
      <c r="J3318" s="36">
        <v>-3.94</v>
      </c>
      <c r="K3318" s="36">
        <v>39.75</v>
      </c>
      <c r="L3318" s="36">
        <v>24.1</v>
      </c>
      <c r="R3318" s="51" t="s">
        <v>1977</v>
      </c>
      <c r="S3318" s="51" t="s">
        <v>1847</v>
      </c>
      <c r="T3318" s="51"/>
      <c r="U3318" s="51" t="s">
        <v>2903</v>
      </c>
      <c r="V3318" s="51"/>
      <c r="W3318" s="51"/>
      <c r="X3318" s="51"/>
      <c r="Y3318" s="51"/>
      <c r="AA3318" s="331"/>
      <c r="AB3318" s="331"/>
      <c r="AC3318" s="36" t="s">
        <v>240</v>
      </c>
      <c r="AH3318" s="36" t="s">
        <v>3178</v>
      </c>
      <c r="AI3318" s="36" t="s">
        <v>577</v>
      </c>
      <c r="AJ3318" s="36" t="s">
        <v>2327</v>
      </c>
      <c r="AK3318" s="36" t="s">
        <v>229</v>
      </c>
      <c r="AT3318" s="36" t="s">
        <v>3180</v>
      </c>
      <c r="AU3318" s="36" t="s">
        <v>3180</v>
      </c>
      <c r="AV3318" s="36" t="s">
        <v>177</v>
      </c>
      <c r="AW3318" s="36" t="s">
        <v>160</v>
      </c>
      <c r="BK3318" s="36">
        <v>22130</v>
      </c>
      <c r="BL3318" s="36">
        <v>21140</v>
      </c>
      <c r="BM3318" s="36">
        <v>3810</v>
      </c>
      <c r="BN3318" s="36">
        <v>3810</v>
      </c>
      <c r="BO3318" s="36" t="s">
        <v>3163</v>
      </c>
      <c r="BP3318" s="407"/>
      <c r="BQ3318" s="407"/>
      <c r="BU3318" s="407"/>
      <c r="BV3318" s="407"/>
      <c r="BZ3318" s="407"/>
      <c r="CA3318" s="407"/>
      <c r="CE3318" s="560"/>
      <c r="CF3318" s="560"/>
      <c r="CG3318" s="560"/>
      <c r="CH3318" s="560"/>
      <c r="JD3318" s="230"/>
    </row>
    <row r="3319" spans="1:264" s="24" customFormat="1" x14ac:dyDescent="0.25">
      <c r="A3319" s="24">
        <v>156</v>
      </c>
      <c r="B3319" s="42" t="s">
        <v>3201</v>
      </c>
      <c r="C3319" s="24" t="s">
        <v>3187</v>
      </c>
      <c r="D3319" s="24" t="s">
        <v>3188</v>
      </c>
      <c r="E3319" s="24">
        <v>2003</v>
      </c>
      <c r="F3319" s="24">
        <v>1996</v>
      </c>
      <c r="G3319" s="24" t="s">
        <v>2766</v>
      </c>
      <c r="H3319" s="24" t="s">
        <v>3190</v>
      </c>
      <c r="I3319" s="24" t="s">
        <v>3189</v>
      </c>
      <c r="J3319" s="24">
        <v>-5.04</v>
      </c>
      <c r="K3319" s="24">
        <v>32.82</v>
      </c>
      <c r="L3319" s="24">
        <v>1235</v>
      </c>
      <c r="O3319" s="24">
        <v>663</v>
      </c>
      <c r="P3319" s="24">
        <v>928</v>
      </c>
      <c r="R3319" s="42" t="s">
        <v>1977</v>
      </c>
      <c r="S3319" s="42" t="s">
        <v>1843</v>
      </c>
      <c r="T3319" s="42"/>
      <c r="U3319" s="42" t="s">
        <v>3195</v>
      </c>
      <c r="V3319" s="42" t="s">
        <v>1389</v>
      </c>
      <c r="W3319" s="42" t="s">
        <v>1720</v>
      </c>
      <c r="X3319" s="42" t="s">
        <v>1389</v>
      </c>
      <c r="Y3319" s="42" t="s">
        <v>1389</v>
      </c>
      <c r="AA3319" s="321"/>
      <c r="AB3319" s="321"/>
      <c r="AC3319" s="24" t="s">
        <v>2428</v>
      </c>
      <c r="AD3319" s="24">
        <f t="shared" ref="AD3319:AD3343" si="450">(5.7+6.1)/2</f>
        <v>5.9</v>
      </c>
      <c r="AE3319" s="24">
        <f t="shared" ref="AE3319:AE3343" si="451">(1.4+2.2)/2</f>
        <v>1.8</v>
      </c>
      <c r="AG3319" s="24" t="s">
        <v>3193</v>
      </c>
      <c r="AH3319" s="24" t="s">
        <v>3196</v>
      </c>
      <c r="AI3319" s="24" t="s">
        <v>1586</v>
      </c>
      <c r="AJ3319" s="24" t="s">
        <v>1645</v>
      </c>
      <c r="AK3319" s="24" t="s">
        <v>132</v>
      </c>
      <c r="AW3319" s="24" t="s">
        <v>3194</v>
      </c>
      <c r="AX3319" s="24">
        <v>3</v>
      </c>
      <c r="AZ3319" s="24" t="s">
        <v>141</v>
      </c>
      <c r="BK3319" s="24">
        <v>1008.8</v>
      </c>
      <c r="BL3319" s="24">
        <v>1395.9</v>
      </c>
      <c r="BM3319" s="24">
        <f>1906-1700</f>
        <v>206</v>
      </c>
      <c r="BN3319" s="24">
        <f>1906-1700</f>
        <v>206</v>
      </c>
      <c r="BO3319" s="24" t="s">
        <v>3210</v>
      </c>
      <c r="BP3319" s="395"/>
      <c r="BQ3319" s="395"/>
      <c r="BU3319" s="395"/>
      <c r="BV3319" s="395"/>
      <c r="BZ3319" s="395"/>
      <c r="CA3319" s="395"/>
      <c r="CE3319" s="548"/>
      <c r="CF3319" s="548"/>
      <c r="CG3319" s="548"/>
      <c r="CH3319" s="548"/>
      <c r="JD3319" s="249"/>
    </row>
    <row r="3320" spans="1:264" s="24" customFormat="1" x14ac:dyDescent="0.25">
      <c r="A3320" s="24">
        <v>156</v>
      </c>
      <c r="B3320" s="42" t="s">
        <v>3201</v>
      </c>
      <c r="C3320" s="24" t="s">
        <v>3187</v>
      </c>
      <c r="D3320" s="24" t="s">
        <v>3188</v>
      </c>
      <c r="E3320" s="24">
        <v>2003</v>
      </c>
      <c r="F3320" s="24">
        <v>1996</v>
      </c>
      <c r="G3320" s="24" t="s">
        <v>2766</v>
      </c>
      <c r="H3320" s="24" t="s">
        <v>3190</v>
      </c>
      <c r="I3320" s="24" t="s">
        <v>3189</v>
      </c>
      <c r="J3320" s="24">
        <v>-5.04</v>
      </c>
      <c r="K3320" s="24">
        <v>32.82</v>
      </c>
      <c r="L3320" s="24">
        <v>1235</v>
      </c>
      <c r="O3320" s="24">
        <v>663</v>
      </c>
      <c r="P3320" s="24">
        <v>928</v>
      </c>
      <c r="R3320" s="42" t="s">
        <v>1977</v>
      </c>
      <c r="S3320" s="42" t="s">
        <v>1843</v>
      </c>
      <c r="T3320" s="42"/>
      <c r="U3320" s="42" t="s">
        <v>3195</v>
      </c>
      <c r="V3320" s="42" t="s">
        <v>1389</v>
      </c>
      <c r="W3320" s="42" t="s">
        <v>1720</v>
      </c>
      <c r="X3320" s="42" t="s">
        <v>1389</v>
      </c>
      <c r="Y3320" s="42" t="s">
        <v>1389</v>
      </c>
      <c r="AA3320" s="321"/>
      <c r="AB3320" s="321"/>
      <c r="AC3320" s="24" t="s">
        <v>2428</v>
      </c>
      <c r="AD3320" s="24">
        <f t="shared" si="450"/>
        <v>5.9</v>
      </c>
      <c r="AE3320" s="24">
        <f t="shared" si="451"/>
        <v>1.8</v>
      </c>
      <c r="AG3320" s="24" t="s">
        <v>3193</v>
      </c>
      <c r="AH3320" s="24" t="s">
        <v>3197</v>
      </c>
      <c r="AI3320" s="24" t="s">
        <v>1586</v>
      </c>
      <c r="AJ3320" s="24" t="s">
        <v>1645</v>
      </c>
      <c r="AK3320" s="24" t="s">
        <v>132</v>
      </c>
      <c r="AW3320" s="24" t="s">
        <v>3194</v>
      </c>
      <c r="AX3320" s="24">
        <v>3</v>
      </c>
      <c r="AZ3320" s="24" t="s">
        <v>141</v>
      </c>
      <c r="BK3320" s="24">
        <v>1008.8</v>
      </c>
      <c r="BL3320" s="24">
        <v>1198.2</v>
      </c>
      <c r="BM3320" s="24">
        <f t="shared" ref="BM3320:BN3323" si="452">1906-1700</f>
        <v>206</v>
      </c>
      <c r="BN3320" s="24">
        <f t="shared" si="452"/>
        <v>206</v>
      </c>
      <c r="BO3320" s="24" t="s">
        <v>3210</v>
      </c>
      <c r="BP3320" s="395"/>
      <c r="BQ3320" s="395"/>
      <c r="BU3320" s="395"/>
      <c r="BV3320" s="395"/>
      <c r="BZ3320" s="395"/>
      <c r="CA3320" s="395"/>
      <c r="CE3320" s="548"/>
      <c r="CF3320" s="548"/>
      <c r="CG3320" s="548"/>
      <c r="CH3320" s="548"/>
      <c r="JD3320" s="249"/>
    </row>
    <row r="3321" spans="1:264" s="24" customFormat="1" x14ac:dyDescent="0.25">
      <c r="A3321" s="24">
        <v>156</v>
      </c>
      <c r="B3321" s="42" t="s">
        <v>3201</v>
      </c>
      <c r="C3321" s="24" t="s">
        <v>3187</v>
      </c>
      <c r="D3321" s="24" t="s">
        <v>3188</v>
      </c>
      <c r="E3321" s="24">
        <v>2003</v>
      </c>
      <c r="F3321" s="24">
        <v>1996</v>
      </c>
      <c r="G3321" s="24" t="s">
        <v>2766</v>
      </c>
      <c r="H3321" s="24" t="s">
        <v>3190</v>
      </c>
      <c r="I3321" s="24" t="s">
        <v>3189</v>
      </c>
      <c r="J3321" s="24">
        <v>-5.04</v>
      </c>
      <c r="K3321" s="24">
        <v>32.82</v>
      </c>
      <c r="L3321" s="24">
        <v>1235</v>
      </c>
      <c r="O3321" s="24">
        <v>663</v>
      </c>
      <c r="P3321" s="24">
        <v>928</v>
      </c>
      <c r="R3321" s="42" t="s">
        <v>1977</v>
      </c>
      <c r="S3321" s="42" t="s">
        <v>1843</v>
      </c>
      <c r="T3321" s="42"/>
      <c r="U3321" s="42" t="s">
        <v>3195</v>
      </c>
      <c r="V3321" s="42" t="s">
        <v>1389</v>
      </c>
      <c r="W3321" s="42" t="s">
        <v>1720</v>
      </c>
      <c r="X3321" s="42" t="s">
        <v>1389</v>
      </c>
      <c r="Y3321" s="42" t="s">
        <v>1389</v>
      </c>
      <c r="AA3321" s="321"/>
      <c r="AB3321" s="321"/>
      <c r="AC3321" s="24" t="s">
        <v>2428</v>
      </c>
      <c r="AD3321" s="24">
        <f t="shared" si="450"/>
        <v>5.9</v>
      </c>
      <c r="AE3321" s="24">
        <f t="shared" si="451"/>
        <v>1.8</v>
      </c>
      <c r="AG3321" s="24" t="s">
        <v>3193</v>
      </c>
      <c r="AH3321" s="24" t="s">
        <v>3198</v>
      </c>
      <c r="AI3321" s="24" t="s">
        <v>1586</v>
      </c>
      <c r="AJ3321" s="24" t="s">
        <v>1645</v>
      </c>
      <c r="AK3321" s="24" t="s">
        <v>132</v>
      </c>
      <c r="AW3321" s="24" t="s">
        <v>3194</v>
      </c>
      <c r="AX3321" s="24">
        <v>3</v>
      </c>
      <c r="AZ3321" s="24" t="s">
        <v>141</v>
      </c>
      <c r="BK3321" s="24">
        <v>1008.8</v>
      </c>
      <c r="BL3321" s="24">
        <v>1305.3</v>
      </c>
      <c r="BM3321" s="24">
        <f t="shared" si="452"/>
        <v>206</v>
      </c>
      <c r="BN3321" s="24">
        <f t="shared" si="452"/>
        <v>206</v>
      </c>
      <c r="BO3321" s="24" t="s">
        <v>3210</v>
      </c>
      <c r="BP3321" s="395"/>
      <c r="BQ3321" s="395"/>
      <c r="BU3321" s="395"/>
      <c r="BV3321" s="395"/>
      <c r="BZ3321" s="395"/>
      <c r="CA3321" s="395"/>
      <c r="CE3321" s="548"/>
      <c r="CF3321" s="548"/>
      <c r="CG3321" s="548"/>
      <c r="CH3321" s="548"/>
      <c r="JD3321" s="249"/>
    </row>
    <row r="3322" spans="1:264" s="24" customFormat="1" x14ac:dyDescent="0.25">
      <c r="A3322" s="24">
        <v>156</v>
      </c>
      <c r="B3322" s="42" t="s">
        <v>3202</v>
      </c>
      <c r="C3322" s="24" t="s">
        <v>3187</v>
      </c>
      <c r="D3322" s="24" t="s">
        <v>3188</v>
      </c>
      <c r="E3322" s="24">
        <v>2003</v>
      </c>
      <c r="F3322" s="24">
        <v>1996</v>
      </c>
      <c r="G3322" s="24" t="s">
        <v>2766</v>
      </c>
      <c r="H3322" s="24" t="s">
        <v>3190</v>
      </c>
      <c r="I3322" s="24" t="s">
        <v>3189</v>
      </c>
      <c r="J3322" s="24">
        <v>-5.04</v>
      </c>
      <c r="K3322" s="24">
        <v>32.82</v>
      </c>
      <c r="L3322" s="24">
        <v>1235</v>
      </c>
      <c r="O3322" s="24">
        <v>663</v>
      </c>
      <c r="P3322" s="24">
        <v>928</v>
      </c>
      <c r="R3322" s="42" t="s">
        <v>1977</v>
      </c>
      <c r="S3322" s="42" t="s">
        <v>1843</v>
      </c>
      <c r="T3322" s="42"/>
      <c r="U3322" s="42" t="s">
        <v>3195</v>
      </c>
      <c r="V3322" s="42" t="s">
        <v>1389</v>
      </c>
      <c r="W3322" s="42" t="s">
        <v>1720</v>
      </c>
      <c r="X3322" s="42" t="s">
        <v>1389</v>
      </c>
      <c r="Y3322" s="42" t="s">
        <v>1389</v>
      </c>
      <c r="AA3322" s="321"/>
      <c r="AB3322" s="321"/>
      <c r="AC3322" s="24" t="s">
        <v>2428</v>
      </c>
      <c r="AD3322" s="24">
        <f t="shared" si="450"/>
        <v>5.9</v>
      </c>
      <c r="AE3322" s="24">
        <f t="shared" si="451"/>
        <v>1.8</v>
      </c>
      <c r="AG3322" s="24" t="s">
        <v>3193</v>
      </c>
      <c r="AH3322" s="24" t="s">
        <v>3199</v>
      </c>
      <c r="AI3322" s="24" t="s">
        <v>577</v>
      </c>
      <c r="AJ3322" s="24" t="s">
        <v>1645</v>
      </c>
      <c r="AK3322" s="24" t="s">
        <v>132</v>
      </c>
      <c r="AW3322" s="24" t="s">
        <v>3194</v>
      </c>
      <c r="AX3322" s="24">
        <v>3</v>
      </c>
      <c r="AZ3322" s="24" t="s">
        <v>141</v>
      </c>
      <c r="BK3322" s="24">
        <v>1008.8</v>
      </c>
      <c r="BL3322" s="24">
        <v>1198.2</v>
      </c>
      <c r="BM3322" s="24">
        <f t="shared" si="452"/>
        <v>206</v>
      </c>
      <c r="BN3322" s="24">
        <f t="shared" si="452"/>
        <v>206</v>
      </c>
      <c r="BO3322" s="24" t="s">
        <v>3210</v>
      </c>
      <c r="BP3322" s="395"/>
      <c r="BQ3322" s="395"/>
      <c r="BU3322" s="395"/>
      <c r="BV3322" s="395"/>
      <c r="BZ3322" s="395"/>
      <c r="CA3322" s="395"/>
      <c r="CE3322" s="548"/>
      <c r="CF3322" s="548"/>
      <c r="CG3322" s="548"/>
      <c r="CH3322" s="548"/>
      <c r="JD3322" s="249"/>
    </row>
    <row r="3323" spans="1:264" s="24" customFormat="1" x14ac:dyDescent="0.25">
      <c r="A3323" s="24">
        <v>156</v>
      </c>
      <c r="B3323" s="42" t="s">
        <v>3201</v>
      </c>
      <c r="C3323" s="24" t="s">
        <v>3187</v>
      </c>
      <c r="D3323" s="24" t="s">
        <v>3188</v>
      </c>
      <c r="E3323" s="24">
        <v>2003</v>
      </c>
      <c r="F3323" s="24">
        <v>1996</v>
      </c>
      <c r="G3323" s="24" t="s">
        <v>2766</v>
      </c>
      <c r="H3323" s="24" t="s">
        <v>3190</v>
      </c>
      <c r="I3323" s="24" t="s">
        <v>3189</v>
      </c>
      <c r="J3323" s="24">
        <v>-5.04</v>
      </c>
      <c r="K3323" s="24">
        <v>32.82</v>
      </c>
      <c r="L3323" s="24">
        <v>1235</v>
      </c>
      <c r="O3323" s="24">
        <v>663</v>
      </c>
      <c r="P3323" s="24">
        <v>928</v>
      </c>
      <c r="R3323" s="42" t="s">
        <v>1977</v>
      </c>
      <c r="S3323" s="42" t="s">
        <v>1843</v>
      </c>
      <c r="T3323" s="42"/>
      <c r="U3323" s="42" t="s">
        <v>3195</v>
      </c>
      <c r="V3323" s="42" t="s">
        <v>1389</v>
      </c>
      <c r="W3323" s="42" t="s">
        <v>1720</v>
      </c>
      <c r="X3323" s="42" t="s">
        <v>1389</v>
      </c>
      <c r="Y3323" s="42" t="s">
        <v>1389</v>
      </c>
      <c r="AA3323" s="321"/>
      <c r="AB3323" s="321"/>
      <c r="AC3323" s="24" t="s">
        <v>2428</v>
      </c>
      <c r="AD3323" s="24">
        <f t="shared" si="450"/>
        <v>5.9</v>
      </c>
      <c r="AE3323" s="24">
        <f t="shared" si="451"/>
        <v>1.8</v>
      </c>
      <c r="AG3323" s="24" t="s">
        <v>3193</v>
      </c>
      <c r="AH3323" s="24" t="s">
        <v>3200</v>
      </c>
      <c r="AI3323" s="24" t="s">
        <v>1586</v>
      </c>
      <c r="AJ3323" s="24" t="s">
        <v>1645</v>
      </c>
      <c r="AK3323" s="24" t="s">
        <v>132</v>
      </c>
      <c r="AW3323" s="24" t="s">
        <v>3194</v>
      </c>
      <c r="AX3323" s="24">
        <v>3</v>
      </c>
      <c r="AZ3323" s="24" t="s">
        <v>141</v>
      </c>
      <c r="BK3323" s="24">
        <v>1008.8</v>
      </c>
      <c r="BL3323" s="24">
        <v>1297</v>
      </c>
      <c r="BM3323" s="24">
        <f t="shared" si="452"/>
        <v>206</v>
      </c>
      <c r="BN3323" s="24">
        <f t="shared" si="452"/>
        <v>206</v>
      </c>
      <c r="BO3323" s="24" t="s">
        <v>3210</v>
      </c>
      <c r="BP3323" s="395"/>
      <c r="BQ3323" s="395"/>
      <c r="BU3323" s="395"/>
      <c r="BV3323" s="395"/>
      <c r="BZ3323" s="395"/>
      <c r="CA3323" s="395"/>
      <c r="CE3323" s="548"/>
      <c r="CF3323" s="548"/>
      <c r="CG3323" s="548"/>
      <c r="CH3323" s="548"/>
      <c r="JD3323" s="249"/>
    </row>
    <row r="3324" spans="1:264" s="32" customFormat="1" x14ac:dyDescent="0.25">
      <c r="A3324" s="32">
        <v>156</v>
      </c>
      <c r="B3324" s="44" t="s">
        <v>3201</v>
      </c>
      <c r="C3324" s="32" t="s">
        <v>3187</v>
      </c>
      <c r="D3324" s="32" t="s">
        <v>3188</v>
      </c>
      <c r="E3324" s="32">
        <v>2003</v>
      </c>
      <c r="F3324" s="32">
        <v>1997</v>
      </c>
      <c r="G3324" s="32" t="s">
        <v>2766</v>
      </c>
      <c r="H3324" s="32" t="s">
        <v>3190</v>
      </c>
      <c r="I3324" s="32" t="s">
        <v>3189</v>
      </c>
      <c r="J3324" s="32">
        <v>-5.04</v>
      </c>
      <c r="K3324" s="32">
        <v>32.82</v>
      </c>
      <c r="L3324" s="32">
        <v>1235</v>
      </c>
      <c r="O3324" s="32">
        <v>1396</v>
      </c>
      <c r="P3324" s="32">
        <v>928</v>
      </c>
      <c r="R3324" s="44" t="s">
        <v>1847</v>
      </c>
      <c r="S3324" s="44" t="s">
        <v>1843</v>
      </c>
      <c r="T3324" s="44"/>
      <c r="U3324" s="44" t="s">
        <v>3195</v>
      </c>
      <c r="V3324" s="44" t="s">
        <v>1389</v>
      </c>
      <c r="W3324" s="44" t="s">
        <v>1720</v>
      </c>
      <c r="X3324" s="44" t="s">
        <v>1389</v>
      </c>
      <c r="Y3324" s="44" t="s">
        <v>1389</v>
      </c>
      <c r="AA3324" s="323"/>
      <c r="AB3324" s="323"/>
      <c r="AC3324" s="32" t="s">
        <v>2428</v>
      </c>
      <c r="AD3324" s="32">
        <f t="shared" si="450"/>
        <v>5.9</v>
      </c>
      <c r="AE3324" s="32">
        <f t="shared" si="451"/>
        <v>1.8</v>
      </c>
      <c r="AG3324" s="32" t="s">
        <v>3193</v>
      </c>
      <c r="AH3324" s="32" t="s">
        <v>3196</v>
      </c>
      <c r="AI3324" s="32" t="s">
        <v>1586</v>
      </c>
      <c r="AJ3324" s="32" t="s">
        <v>1645</v>
      </c>
      <c r="AK3324" s="32" t="s">
        <v>132</v>
      </c>
      <c r="AW3324" s="32" t="s">
        <v>3194</v>
      </c>
      <c r="AX3324" s="32">
        <v>3</v>
      </c>
      <c r="AZ3324" s="32" t="s">
        <v>141</v>
      </c>
      <c r="BK3324" s="32">
        <v>2202.9</v>
      </c>
      <c r="BL3324" s="32">
        <v>2713.5</v>
      </c>
      <c r="BM3324" s="32">
        <f>2153.5-1470</f>
        <v>683.5</v>
      </c>
      <c r="BN3324" s="32">
        <f>2153.5-1470</f>
        <v>683.5</v>
      </c>
      <c r="BO3324" s="32" t="s">
        <v>3210</v>
      </c>
      <c r="BP3324" s="397"/>
      <c r="BQ3324" s="397"/>
      <c r="BU3324" s="397"/>
      <c r="BV3324" s="397"/>
      <c r="BZ3324" s="397"/>
      <c r="CA3324" s="397"/>
      <c r="CE3324" s="550"/>
      <c r="CF3324" s="550"/>
      <c r="CG3324" s="550"/>
      <c r="CH3324" s="550"/>
      <c r="JD3324" s="243"/>
    </row>
    <row r="3325" spans="1:264" s="32" customFormat="1" x14ac:dyDescent="0.25">
      <c r="A3325" s="32">
        <v>156</v>
      </c>
      <c r="B3325" s="44" t="s">
        <v>3201</v>
      </c>
      <c r="C3325" s="32" t="s">
        <v>3187</v>
      </c>
      <c r="D3325" s="32" t="s">
        <v>3188</v>
      </c>
      <c r="E3325" s="32">
        <v>2003</v>
      </c>
      <c r="F3325" s="32">
        <v>1997</v>
      </c>
      <c r="G3325" s="32" t="s">
        <v>2766</v>
      </c>
      <c r="H3325" s="32" t="s">
        <v>3190</v>
      </c>
      <c r="I3325" s="32" t="s">
        <v>3189</v>
      </c>
      <c r="J3325" s="32">
        <v>-5.04</v>
      </c>
      <c r="K3325" s="32">
        <v>32.82</v>
      </c>
      <c r="L3325" s="32">
        <v>1235</v>
      </c>
      <c r="O3325" s="32">
        <v>1396</v>
      </c>
      <c r="P3325" s="32">
        <v>928</v>
      </c>
      <c r="R3325" s="44" t="s">
        <v>1847</v>
      </c>
      <c r="S3325" s="44" t="s">
        <v>1843</v>
      </c>
      <c r="T3325" s="44"/>
      <c r="U3325" s="44" t="s">
        <v>3195</v>
      </c>
      <c r="V3325" s="44" t="s">
        <v>1389</v>
      </c>
      <c r="W3325" s="44" t="s">
        <v>1720</v>
      </c>
      <c r="X3325" s="44" t="s">
        <v>1389</v>
      </c>
      <c r="Y3325" s="44" t="s">
        <v>1389</v>
      </c>
      <c r="AA3325" s="323"/>
      <c r="AB3325" s="323"/>
      <c r="AC3325" s="32" t="s">
        <v>2428</v>
      </c>
      <c r="AD3325" s="32">
        <f t="shared" si="450"/>
        <v>5.9</v>
      </c>
      <c r="AE3325" s="32">
        <f t="shared" si="451"/>
        <v>1.8</v>
      </c>
      <c r="AG3325" s="32" t="s">
        <v>3193</v>
      </c>
      <c r="AH3325" s="32" t="s">
        <v>3197</v>
      </c>
      <c r="AI3325" s="32" t="s">
        <v>1586</v>
      </c>
      <c r="AJ3325" s="32" t="s">
        <v>1645</v>
      </c>
      <c r="AK3325" s="32" t="s">
        <v>132</v>
      </c>
      <c r="AW3325" s="32" t="s">
        <v>3194</v>
      </c>
      <c r="AX3325" s="32">
        <v>3</v>
      </c>
      <c r="AZ3325" s="32" t="s">
        <v>141</v>
      </c>
      <c r="BK3325" s="32">
        <v>2202.9</v>
      </c>
      <c r="BL3325" s="32">
        <v>2375.9</v>
      </c>
      <c r="BM3325" s="32">
        <f t="shared" ref="BM3325:BN3328" si="453">2153.5-1470</f>
        <v>683.5</v>
      </c>
      <c r="BN3325" s="32">
        <f t="shared" si="453"/>
        <v>683.5</v>
      </c>
      <c r="BO3325" s="32" t="s">
        <v>3210</v>
      </c>
      <c r="BP3325" s="397"/>
      <c r="BQ3325" s="397"/>
      <c r="BU3325" s="397"/>
      <c r="BV3325" s="397"/>
      <c r="BZ3325" s="397"/>
      <c r="CA3325" s="397"/>
      <c r="CE3325" s="550"/>
      <c r="CF3325" s="550"/>
      <c r="CG3325" s="550"/>
      <c r="CH3325" s="550"/>
      <c r="JD3325" s="243"/>
    </row>
    <row r="3326" spans="1:264" s="32" customFormat="1" x14ac:dyDescent="0.25">
      <c r="A3326" s="32">
        <v>156</v>
      </c>
      <c r="B3326" s="44" t="s">
        <v>3201</v>
      </c>
      <c r="C3326" s="32" t="s">
        <v>3187</v>
      </c>
      <c r="D3326" s="32" t="s">
        <v>3188</v>
      </c>
      <c r="E3326" s="32">
        <v>2003</v>
      </c>
      <c r="F3326" s="32">
        <v>1997</v>
      </c>
      <c r="G3326" s="32" t="s">
        <v>2766</v>
      </c>
      <c r="H3326" s="32" t="s">
        <v>3190</v>
      </c>
      <c r="I3326" s="32" t="s">
        <v>3189</v>
      </c>
      <c r="J3326" s="32">
        <v>-5.04</v>
      </c>
      <c r="K3326" s="32">
        <v>32.82</v>
      </c>
      <c r="L3326" s="32">
        <v>1235</v>
      </c>
      <c r="O3326" s="32">
        <v>1396</v>
      </c>
      <c r="P3326" s="32">
        <v>928</v>
      </c>
      <c r="R3326" s="44" t="s">
        <v>1847</v>
      </c>
      <c r="S3326" s="44" t="s">
        <v>1843</v>
      </c>
      <c r="T3326" s="44"/>
      <c r="U3326" s="44" t="s">
        <v>3195</v>
      </c>
      <c r="V3326" s="44" t="s">
        <v>1389</v>
      </c>
      <c r="W3326" s="44" t="s">
        <v>1720</v>
      </c>
      <c r="X3326" s="44" t="s">
        <v>1389</v>
      </c>
      <c r="Y3326" s="44" t="s">
        <v>1389</v>
      </c>
      <c r="AA3326" s="323"/>
      <c r="AB3326" s="323"/>
      <c r="AC3326" s="32" t="s">
        <v>2428</v>
      </c>
      <c r="AD3326" s="32">
        <f t="shared" si="450"/>
        <v>5.9</v>
      </c>
      <c r="AE3326" s="32">
        <f t="shared" si="451"/>
        <v>1.8</v>
      </c>
      <c r="AG3326" s="32" t="s">
        <v>3193</v>
      </c>
      <c r="AH3326" s="32" t="s">
        <v>3198</v>
      </c>
      <c r="AI3326" s="32" t="s">
        <v>1586</v>
      </c>
      <c r="AJ3326" s="32" t="s">
        <v>1645</v>
      </c>
      <c r="AK3326" s="32" t="s">
        <v>132</v>
      </c>
      <c r="AW3326" s="32" t="s">
        <v>3194</v>
      </c>
      <c r="AX3326" s="32">
        <v>3</v>
      </c>
      <c r="AZ3326" s="32" t="s">
        <v>141</v>
      </c>
      <c r="BK3326" s="32">
        <v>2202.9</v>
      </c>
      <c r="BL3326" s="32">
        <v>1890</v>
      </c>
      <c r="BM3326" s="32">
        <f t="shared" si="453"/>
        <v>683.5</v>
      </c>
      <c r="BN3326" s="32">
        <f t="shared" si="453"/>
        <v>683.5</v>
      </c>
      <c r="BO3326" s="32" t="s">
        <v>3210</v>
      </c>
      <c r="BP3326" s="397"/>
      <c r="BQ3326" s="397"/>
      <c r="BU3326" s="397"/>
      <c r="BV3326" s="397"/>
      <c r="BZ3326" s="397"/>
      <c r="CA3326" s="397"/>
      <c r="CE3326" s="550"/>
      <c r="CF3326" s="550"/>
      <c r="CG3326" s="550"/>
      <c r="CH3326" s="550"/>
      <c r="JD3326" s="243"/>
    </row>
    <row r="3327" spans="1:264" s="32" customFormat="1" x14ac:dyDescent="0.25">
      <c r="A3327" s="32">
        <v>156</v>
      </c>
      <c r="B3327" s="44" t="s">
        <v>3202</v>
      </c>
      <c r="C3327" s="32" t="s">
        <v>3187</v>
      </c>
      <c r="D3327" s="32" t="s">
        <v>3188</v>
      </c>
      <c r="E3327" s="32">
        <v>2003</v>
      </c>
      <c r="F3327" s="32">
        <v>1997</v>
      </c>
      <c r="G3327" s="32" t="s">
        <v>2766</v>
      </c>
      <c r="H3327" s="32" t="s">
        <v>3190</v>
      </c>
      <c r="I3327" s="32" t="s">
        <v>3189</v>
      </c>
      <c r="J3327" s="32">
        <v>-5.04</v>
      </c>
      <c r="K3327" s="32">
        <v>32.82</v>
      </c>
      <c r="L3327" s="32">
        <v>1235</v>
      </c>
      <c r="O3327" s="32">
        <v>1396</v>
      </c>
      <c r="P3327" s="32">
        <v>928</v>
      </c>
      <c r="R3327" s="44" t="s">
        <v>1847</v>
      </c>
      <c r="S3327" s="44" t="s">
        <v>1843</v>
      </c>
      <c r="T3327" s="44"/>
      <c r="U3327" s="44" t="s">
        <v>3195</v>
      </c>
      <c r="V3327" s="44" t="s">
        <v>1389</v>
      </c>
      <c r="W3327" s="44" t="s">
        <v>1720</v>
      </c>
      <c r="X3327" s="44" t="s">
        <v>1389</v>
      </c>
      <c r="Y3327" s="44" t="s">
        <v>1389</v>
      </c>
      <c r="AA3327" s="323"/>
      <c r="AB3327" s="323"/>
      <c r="AC3327" s="32" t="s">
        <v>2428</v>
      </c>
      <c r="AD3327" s="32">
        <f t="shared" si="450"/>
        <v>5.9</v>
      </c>
      <c r="AE3327" s="32">
        <f t="shared" si="451"/>
        <v>1.8</v>
      </c>
      <c r="AG3327" s="32" t="s">
        <v>3193</v>
      </c>
      <c r="AH3327" s="32" t="s">
        <v>3199</v>
      </c>
      <c r="AI3327" s="32" t="s">
        <v>577</v>
      </c>
      <c r="AJ3327" s="32" t="s">
        <v>1645</v>
      </c>
      <c r="AK3327" s="32" t="s">
        <v>132</v>
      </c>
      <c r="AW3327" s="32" t="s">
        <v>3194</v>
      </c>
      <c r="AX3327" s="32">
        <v>3</v>
      </c>
      <c r="AZ3327" s="32" t="s">
        <v>141</v>
      </c>
      <c r="BK3327" s="32">
        <v>2202.9</v>
      </c>
      <c r="BL3327" s="32">
        <v>2071</v>
      </c>
      <c r="BM3327" s="32">
        <f t="shared" si="453"/>
        <v>683.5</v>
      </c>
      <c r="BN3327" s="32">
        <f t="shared" si="453"/>
        <v>683.5</v>
      </c>
      <c r="BO3327" s="32" t="s">
        <v>3210</v>
      </c>
      <c r="BP3327" s="397"/>
      <c r="BQ3327" s="397"/>
      <c r="BU3327" s="397"/>
      <c r="BV3327" s="397"/>
      <c r="BZ3327" s="397"/>
      <c r="CA3327" s="397"/>
      <c r="CE3327" s="550"/>
      <c r="CF3327" s="550"/>
      <c r="CG3327" s="550"/>
      <c r="CH3327" s="550"/>
      <c r="JD3327" s="243"/>
    </row>
    <row r="3328" spans="1:264" s="32" customFormat="1" x14ac:dyDescent="0.25">
      <c r="A3328" s="32">
        <v>156</v>
      </c>
      <c r="B3328" s="44" t="s">
        <v>3201</v>
      </c>
      <c r="C3328" s="32" t="s">
        <v>3187</v>
      </c>
      <c r="D3328" s="32" t="s">
        <v>3188</v>
      </c>
      <c r="E3328" s="32">
        <v>2003</v>
      </c>
      <c r="F3328" s="32">
        <v>1997</v>
      </c>
      <c r="G3328" s="32" t="s">
        <v>2766</v>
      </c>
      <c r="H3328" s="32" t="s">
        <v>3190</v>
      </c>
      <c r="I3328" s="32" t="s">
        <v>3189</v>
      </c>
      <c r="J3328" s="32">
        <v>-5.04</v>
      </c>
      <c r="K3328" s="32">
        <v>32.82</v>
      </c>
      <c r="L3328" s="32">
        <v>1235</v>
      </c>
      <c r="O3328" s="32">
        <v>1396</v>
      </c>
      <c r="P3328" s="32">
        <v>928</v>
      </c>
      <c r="R3328" s="44" t="s">
        <v>1847</v>
      </c>
      <c r="S3328" s="44" t="s">
        <v>1843</v>
      </c>
      <c r="T3328" s="44"/>
      <c r="U3328" s="44" t="s">
        <v>3195</v>
      </c>
      <c r="V3328" s="44" t="s">
        <v>1389</v>
      </c>
      <c r="W3328" s="44" t="s">
        <v>1720</v>
      </c>
      <c r="X3328" s="44" t="s">
        <v>1389</v>
      </c>
      <c r="Y3328" s="44" t="s">
        <v>1389</v>
      </c>
      <c r="AA3328" s="323"/>
      <c r="AB3328" s="323"/>
      <c r="AC3328" s="32" t="s">
        <v>2428</v>
      </c>
      <c r="AD3328" s="32">
        <f t="shared" si="450"/>
        <v>5.9</v>
      </c>
      <c r="AE3328" s="32">
        <f t="shared" si="451"/>
        <v>1.8</v>
      </c>
      <c r="AG3328" s="32" t="s">
        <v>3193</v>
      </c>
      <c r="AH3328" s="32" t="s">
        <v>3200</v>
      </c>
      <c r="AI3328" s="32" t="s">
        <v>1586</v>
      </c>
      <c r="AJ3328" s="32" t="s">
        <v>1645</v>
      </c>
      <c r="AK3328" s="32" t="s">
        <v>132</v>
      </c>
      <c r="AW3328" s="32" t="s">
        <v>3194</v>
      </c>
      <c r="AX3328" s="32">
        <v>3</v>
      </c>
      <c r="AZ3328" s="32" t="s">
        <v>141</v>
      </c>
      <c r="BK3328" s="32">
        <v>2202.9</v>
      </c>
      <c r="BL3328" s="32">
        <v>1857</v>
      </c>
      <c r="BM3328" s="32">
        <f t="shared" si="453"/>
        <v>683.5</v>
      </c>
      <c r="BN3328" s="32">
        <f t="shared" si="453"/>
        <v>683.5</v>
      </c>
      <c r="BO3328" s="32" t="s">
        <v>3210</v>
      </c>
      <c r="BP3328" s="397"/>
      <c r="BQ3328" s="397"/>
      <c r="BU3328" s="397"/>
      <c r="BV3328" s="397"/>
      <c r="BZ3328" s="397"/>
      <c r="CA3328" s="397"/>
      <c r="CE3328" s="550"/>
      <c r="CF3328" s="550"/>
      <c r="CG3328" s="550"/>
      <c r="CH3328" s="550"/>
      <c r="JD3328" s="243"/>
    </row>
    <row r="3329" spans="1:264" s="24" customFormat="1" x14ac:dyDescent="0.25">
      <c r="A3329" s="24">
        <v>156</v>
      </c>
      <c r="B3329" s="42" t="s">
        <v>3201</v>
      </c>
      <c r="C3329" s="24" t="s">
        <v>3187</v>
      </c>
      <c r="D3329" s="24" t="s">
        <v>3188</v>
      </c>
      <c r="E3329" s="24">
        <v>2003</v>
      </c>
      <c r="F3329" s="24">
        <v>1998</v>
      </c>
      <c r="G3329" s="24" t="s">
        <v>2766</v>
      </c>
      <c r="H3329" s="24" t="s">
        <v>3190</v>
      </c>
      <c r="I3329" s="24" t="s">
        <v>3189</v>
      </c>
      <c r="J3329" s="24">
        <v>-5.04</v>
      </c>
      <c r="K3329" s="24">
        <v>32.82</v>
      </c>
      <c r="L3329" s="24">
        <v>1235</v>
      </c>
      <c r="O3329" s="24">
        <v>642</v>
      </c>
      <c r="P3329" s="24">
        <v>928</v>
      </c>
      <c r="R3329" s="42" t="s">
        <v>1728</v>
      </c>
      <c r="S3329" s="42" t="s">
        <v>1843</v>
      </c>
      <c r="T3329" s="42"/>
      <c r="U3329" s="42" t="s">
        <v>3195</v>
      </c>
      <c r="V3329" s="42" t="s">
        <v>1389</v>
      </c>
      <c r="W3329" s="42" t="s">
        <v>1720</v>
      </c>
      <c r="X3329" s="42" t="s">
        <v>1389</v>
      </c>
      <c r="Y3329" s="42" t="s">
        <v>1389</v>
      </c>
      <c r="AA3329" s="321"/>
      <c r="AB3329" s="321"/>
      <c r="AC3329" s="24" t="s">
        <v>2428</v>
      </c>
      <c r="AD3329" s="24">
        <f t="shared" si="450"/>
        <v>5.9</v>
      </c>
      <c r="AE3329" s="24">
        <f t="shared" si="451"/>
        <v>1.8</v>
      </c>
      <c r="AG3329" s="24" t="s">
        <v>3193</v>
      </c>
      <c r="AH3329" s="24" t="s">
        <v>3196</v>
      </c>
      <c r="AI3329" s="24" t="s">
        <v>1586</v>
      </c>
      <c r="AJ3329" s="24" t="s">
        <v>1645</v>
      </c>
      <c r="AK3329" s="24" t="s">
        <v>132</v>
      </c>
      <c r="AW3329" s="24" t="s">
        <v>3194</v>
      </c>
      <c r="AX3329" s="24">
        <v>3</v>
      </c>
      <c r="AZ3329" s="24" t="s">
        <v>141</v>
      </c>
      <c r="BK3329" s="24">
        <v>1058.2</v>
      </c>
      <c r="BL3329" s="24">
        <v>78</v>
      </c>
      <c r="BO3329" s="24" t="s">
        <v>3210</v>
      </c>
      <c r="BP3329" s="395"/>
      <c r="BQ3329" s="395"/>
      <c r="BU3329" s="395"/>
      <c r="BV3329" s="395"/>
      <c r="BZ3329" s="395"/>
      <c r="CA3329" s="395"/>
      <c r="CE3329" s="548"/>
      <c r="CF3329" s="548"/>
      <c r="CG3329" s="548"/>
      <c r="CH3329" s="548"/>
      <c r="JD3329" s="249"/>
    </row>
    <row r="3330" spans="1:264" s="24" customFormat="1" x14ac:dyDescent="0.25">
      <c r="A3330" s="24">
        <v>156</v>
      </c>
      <c r="B3330" s="42" t="s">
        <v>3201</v>
      </c>
      <c r="C3330" s="24" t="s">
        <v>3187</v>
      </c>
      <c r="D3330" s="24" t="s">
        <v>3188</v>
      </c>
      <c r="E3330" s="24">
        <v>2003</v>
      </c>
      <c r="F3330" s="24">
        <v>1998</v>
      </c>
      <c r="G3330" s="24" t="s">
        <v>2766</v>
      </c>
      <c r="H3330" s="24" t="s">
        <v>3190</v>
      </c>
      <c r="I3330" s="24" t="s">
        <v>3189</v>
      </c>
      <c r="J3330" s="24">
        <v>-5.04</v>
      </c>
      <c r="K3330" s="24">
        <v>32.82</v>
      </c>
      <c r="L3330" s="24">
        <v>1235</v>
      </c>
      <c r="O3330" s="24">
        <v>642</v>
      </c>
      <c r="P3330" s="24">
        <v>928</v>
      </c>
      <c r="R3330" s="42" t="s">
        <v>1728</v>
      </c>
      <c r="S3330" s="42" t="s">
        <v>1843</v>
      </c>
      <c r="T3330" s="42"/>
      <c r="U3330" s="42" t="s">
        <v>3195</v>
      </c>
      <c r="V3330" s="42" t="s">
        <v>1389</v>
      </c>
      <c r="W3330" s="42" t="s">
        <v>1720</v>
      </c>
      <c r="X3330" s="42" t="s">
        <v>1389</v>
      </c>
      <c r="Y3330" s="42" t="s">
        <v>1389</v>
      </c>
      <c r="AA3330" s="321"/>
      <c r="AB3330" s="321"/>
      <c r="AC3330" s="24" t="s">
        <v>2428</v>
      </c>
      <c r="AD3330" s="24">
        <f t="shared" si="450"/>
        <v>5.9</v>
      </c>
      <c r="AE3330" s="24">
        <f t="shared" si="451"/>
        <v>1.8</v>
      </c>
      <c r="AG3330" s="24" t="s">
        <v>3193</v>
      </c>
      <c r="AH3330" s="24" t="s">
        <v>3197</v>
      </c>
      <c r="AI3330" s="24" t="s">
        <v>1586</v>
      </c>
      <c r="AJ3330" s="24" t="s">
        <v>1645</v>
      </c>
      <c r="AK3330" s="24" t="s">
        <v>132</v>
      </c>
      <c r="AW3330" s="24" t="s">
        <v>3194</v>
      </c>
      <c r="AX3330" s="24">
        <v>3</v>
      </c>
      <c r="AZ3330" s="24" t="s">
        <v>141</v>
      </c>
      <c r="BK3330" s="24">
        <v>1058.2</v>
      </c>
      <c r="BL3330" s="24">
        <v>358</v>
      </c>
      <c r="BO3330" s="24" t="s">
        <v>3210</v>
      </c>
      <c r="BP3330" s="395"/>
      <c r="BQ3330" s="395"/>
      <c r="BU3330" s="395"/>
      <c r="BV3330" s="395"/>
      <c r="BZ3330" s="395"/>
      <c r="CA3330" s="395"/>
      <c r="CE3330" s="548"/>
      <c r="CF3330" s="548"/>
      <c r="CG3330" s="548"/>
      <c r="CH3330" s="548"/>
      <c r="JD3330" s="249"/>
    </row>
    <row r="3331" spans="1:264" s="24" customFormat="1" x14ac:dyDescent="0.25">
      <c r="A3331" s="24">
        <v>156</v>
      </c>
      <c r="B3331" s="42" t="s">
        <v>3201</v>
      </c>
      <c r="C3331" s="24" t="s">
        <v>3187</v>
      </c>
      <c r="D3331" s="24" t="s">
        <v>3188</v>
      </c>
      <c r="E3331" s="24">
        <v>2003</v>
      </c>
      <c r="F3331" s="24">
        <v>1998</v>
      </c>
      <c r="G3331" s="24" t="s">
        <v>2766</v>
      </c>
      <c r="H3331" s="24" t="s">
        <v>3190</v>
      </c>
      <c r="I3331" s="24" t="s">
        <v>3189</v>
      </c>
      <c r="J3331" s="24">
        <v>-5.04</v>
      </c>
      <c r="K3331" s="24">
        <v>32.82</v>
      </c>
      <c r="L3331" s="24">
        <v>1235</v>
      </c>
      <c r="O3331" s="24">
        <v>642</v>
      </c>
      <c r="P3331" s="24">
        <v>928</v>
      </c>
      <c r="R3331" s="42" t="s">
        <v>1728</v>
      </c>
      <c r="S3331" s="42" t="s">
        <v>1843</v>
      </c>
      <c r="T3331" s="42"/>
      <c r="U3331" s="42" t="s">
        <v>3195</v>
      </c>
      <c r="V3331" s="42" t="s">
        <v>1389</v>
      </c>
      <c r="W3331" s="42" t="s">
        <v>1720</v>
      </c>
      <c r="X3331" s="42" t="s">
        <v>1389</v>
      </c>
      <c r="Y3331" s="42" t="s">
        <v>1389</v>
      </c>
      <c r="AA3331" s="321"/>
      <c r="AB3331" s="321"/>
      <c r="AC3331" s="24" t="s">
        <v>2428</v>
      </c>
      <c r="AD3331" s="24">
        <f t="shared" si="450"/>
        <v>5.9</v>
      </c>
      <c r="AE3331" s="24">
        <f t="shared" si="451"/>
        <v>1.8</v>
      </c>
      <c r="AG3331" s="24" t="s">
        <v>3193</v>
      </c>
      <c r="AH3331" s="24" t="s">
        <v>3198</v>
      </c>
      <c r="AI3331" s="24" t="s">
        <v>1586</v>
      </c>
      <c r="AJ3331" s="24" t="s">
        <v>1645</v>
      </c>
      <c r="AK3331" s="24" t="s">
        <v>132</v>
      </c>
      <c r="AW3331" s="24" t="s">
        <v>3194</v>
      </c>
      <c r="AX3331" s="24">
        <v>3</v>
      </c>
      <c r="AZ3331" s="24" t="s">
        <v>141</v>
      </c>
      <c r="BK3331" s="24">
        <v>1058.2</v>
      </c>
      <c r="BL3331" s="24">
        <v>193.5</v>
      </c>
      <c r="BO3331" s="24" t="s">
        <v>3210</v>
      </c>
      <c r="BP3331" s="395"/>
      <c r="BQ3331" s="395"/>
      <c r="BU3331" s="395"/>
      <c r="BV3331" s="395"/>
      <c r="BZ3331" s="395"/>
      <c r="CA3331" s="395"/>
      <c r="CE3331" s="548"/>
      <c r="CF3331" s="548"/>
      <c r="CG3331" s="548"/>
      <c r="CH3331" s="548"/>
      <c r="JD3331" s="249"/>
    </row>
    <row r="3332" spans="1:264" s="24" customFormat="1" x14ac:dyDescent="0.25">
      <c r="A3332" s="24">
        <v>156</v>
      </c>
      <c r="B3332" s="42" t="s">
        <v>3202</v>
      </c>
      <c r="C3332" s="24" t="s">
        <v>3187</v>
      </c>
      <c r="D3332" s="24" t="s">
        <v>3188</v>
      </c>
      <c r="E3332" s="24">
        <v>2003</v>
      </c>
      <c r="F3332" s="24">
        <v>1998</v>
      </c>
      <c r="G3332" s="24" t="s">
        <v>2766</v>
      </c>
      <c r="H3332" s="24" t="s">
        <v>3190</v>
      </c>
      <c r="I3332" s="24" t="s">
        <v>3189</v>
      </c>
      <c r="J3332" s="24">
        <v>-5.04</v>
      </c>
      <c r="K3332" s="24">
        <v>32.82</v>
      </c>
      <c r="L3332" s="24">
        <v>1235</v>
      </c>
      <c r="O3332" s="24">
        <v>642</v>
      </c>
      <c r="P3332" s="24">
        <v>928</v>
      </c>
      <c r="R3332" s="42" t="s">
        <v>1728</v>
      </c>
      <c r="S3332" s="42" t="s">
        <v>1843</v>
      </c>
      <c r="T3332" s="42"/>
      <c r="U3332" s="42" t="s">
        <v>3195</v>
      </c>
      <c r="V3332" s="42" t="s">
        <v>1389</v>
      </c>
      <c r="W3332" s="42" t="s">
        <v>1720</v>
      </c>
      <c r="X3332" s="42" t="s">
        <v>1389</v>
      </c>
      <c r="Y3332" s="42" t="s">
        <v>1389</v>
      </c>
      <c r="AA3332" s="321"/>
      <c r="AB3332" s="321"/>
      <c r="AC3332" s="24" t="s">
        <v>2428</v>
      </c>
      <c r="AD3332" s="24">
        <f t="shared" si="450"/>
        <v>5.9</v>
      </c>
      <c r="AE3332" s="24">
        <f t="shared" si="451"/>
        <v>1.8</v>
      </c>
      <c r="AG3332" s="24" t="s">
        <v>3193</v>
      </c>
      <c r="AH3332" s="24" t="s">
        <v>3199</v>
      </c>
      <c r="AI3332" s="24" t="s">
        <v>577</v>
      </c>
      <c r="AJ3332" s="24" t="s">
        <v>1645</v>
      </c>
      <c r="AK3332" s="24" t="s">
        <v>132</v>
      </c>
      <c r="AW3332" s="24" t="s">
        <v>3194</v>
      </c>
      <c r="AX3332" s="24">
        <v>3</v>
      </c>
      <c r="AZ3332" s="24" t="s">
        <v>141</v>
      </c>
      <c r="BK3332" s="24">
        <v>1058.2</v>
      </c>
      <c r="BL3332" s="24">
        <v>29</v>
      </c>
      <c r="BO3332" s="24" t="s">
        <v>3210</v>
      </c>
      <c r="BP3332" s="395"/>
      <c r="BQ3332" s="395"/>
      <c r="BU3332" s="395"/>
      <c r="BV3332" s="395"/>
      <c r="BZ3332" s="395"/>
      <c r="CA3332" s="395"/>
      <c r="CE3332" s="548"/>
      <c r="CF3332" s="548"/>
      <c r="CG3332" s="548"/>
      <c r="CH3332" s="548"/>
      <c r="JD3332" s="249"/>
    </row>
    <row r="3333" spans="1:264" s="24" customFormat="1" x14ac:dyDescent="0.25">
      <c r="A3333" s="24">
        <v>156</v>
      </c>
      <c r="B3333" s="42" t="s">
        <v>3201</v>
      </c>
      <c r="C3333" s="24" t="s">
        <v>3187</v>
      </c>
      <c r="D3333" s="24" t="s">
        <v>3188</v>
      </c>
      <c r="E3333" s="24">
        <v>2003</v>
      </c>
      <c r="F3333" s="24">
        <v>1998</v>
      </c>
      <c r="G3333" s="24" t="s">
        <v>2766</v>
      </c>
      <c r="H3333" s="24" t="s">
        <v>3190</v>
      </c>
      <c r="I3333" s="24" t="s">
        <v>3189</v>
      </c>
      <c r="J3333" s="24">
        <v>-5.04</v>
      </c>
      <c r="K3333" s="24">
        <v>32.82</v>
      </c>
      <c r="L3333" s="24">
        <v>1235</v>
      </c>
      <c r="O3333" s="24">
        <v>642</v>
      </c>
      <c r="P3333" s="24">
        <v>928</v>
      </c>
      <c r="R3333" s="42" t="s">
        <v>1728</v>
      </c>
      <c r="S3333" s="42" t="s">
        <v>1843</v>
      </c>
      <c r="T3333" s="42"/>
      <c r="U3333" s="42" t="s">
        <v>3195</v>
      </c>
      <c r="V3333" s="42" t="s">
        <v>1389</v>
      </c>
      <c r="W3333" s="42" t="s">
        <v>1720</v>
      </c>
      <c r="X3333" s="42" t="s">
        <v>1389</v>
      </c>
      <c r="Y3333" s="42" t="s">
        <v>1389</v>
      </c>
      <c r="AA3333" s="321"/>
      <c r="AB3333" s="321"/>
      <c r="AC3333" s="24" t="s">
        <v>2428</v>
      </c>
      <c r="AD3333" s="24">
        <f t="shared" si="450"/>
        <v>5.9</v>
      </c>
      <c r="AE3333" s="24">
        <f t="shared" si="451"/>
        <v>1.8</v>
      </c>
      <c r="AG3333" s="24" t="s">
        <v>3193</v>
      </c>
      <c r="AH3333" s="24" t="s">
        <v>3200</v>
      </c>
      <c r="AI3333" s="24" t="s">
        <v>1586</v>
      </c>
      <c r="AJ3333" s="24" t="s">
        <v>1645</v>
      </c>
      <c r="AK3333" s="24" t="s">
        <v>132</v>
      </c>
      <c r="AW3333" s="24" t="s">
        <v>3194</v>
      </c>
      <c r="AX3333" s="24">
        <v>3</v>
      </c>
      <c r="AZ3333" s="24" t="s">
        <v>141</v>
      </c>
      <c r="BK3333" s="24">
        <v>1058.2</v>
      </c>
      <c r="BL3333" s="24">
        <v>300.58999999999997</v>
      </c>
      <c r="BO3333" s="24" t="s">
        <v>3210</v>
      </c>
      <c r="BP3333" s="395"/>
      <c r="BQ3333" s="395"/>
      <c r="BU3333" s="395"/>
      <c r="BV3333" s="395"/>
      <c r="BZ3333" s="395"/>
      <c r="CA3333" s="395"/>
      <c r="CE3333" s="548"/>
      <c r="CF3333" s="548"/>
      <c r="CG3333" s="548"/>
      <c r="CH3333" s="548"/>
      <c r="JD3333" s="249"/>
    </row>
    <row r="3334" spans="1:264" s="32" customFormat="1" x14ac:dyDescent="0.25">
      <c r="A3334" s="32">
        <v>156</v>
      </c>
      <c r="B3334" s="44" t="s">
        <v>3201</v>
      </c>
      <c r="C3334" s="32" t="s">
        <v>3187</v>
      </c>
      <c r="D3334" s="32" t="s">
        <v>3188</v>
      </c>
      <c r="E3334" s="32">
        <v>2003</v>
      </c>
      <c r="F3334" s="32">
        <v>2001</v>
      </c>
      <c r="G3334" s="32" t="s">
        <v>2766</v>
      </c>
      <c r="H3334" s="32" t="s">
        <v>3190</v>
      </c>
      <c r="I3334" s="32" t="s">
        <v>3189</v>
      </c>
      <c r="J3334" s="32">
        <v>-5.04</v>
      </c>
      <c r="K3334" s="32">
        <v>32.82</v>
      </c>
      <c r="L3334" s="32">
        <v>1235</v>
      </c>
      <c r="O3334" s="32">
        <v>975</v>
      </c>
      <c r="P3334" s="32">
        <v>928</v>
      </c>
      <c r="R3334" s="44" t="s">
        <v>1847</v>
      </c>
      <c r="S3334" s="44" t="s">
        <v>1843</v>
      </c>
      <c r="T3334" s="44"/>
      <c r="U3334" s="44" t="s">
        <v>3195</v>
      </c>
      <c r="V3334" s="44" t="s">
        <v>1389</v>
      </c>
      <c r="W3334" s="44" t="s">
        <v>1720</v>
      </c>
      <c r="X3334" s="44" t="s">
        <v>1389</v>
      </c>
      <c r="Y3334" s="44" t="s">
        <v>1389</v>
      </c>
      <c r="AA3334" s="323"/>
      <c r="AB3334" s="323"/>
      <c r="AC3334" s="32" t="s">
        <v>2428</v>
      </c>
      <c r="AD3334" s="32">
        <f t="shared" si="450"/>
        <v>5.9</v>
      </c>
      <c r="AE3334" s="32">
        <f t="shared" si="451"/>
        <v>1.8</v>
      </c>
      <c r="AG3334" s="32" t="s">
        <v>3193</v>
      </c>
      <c r="AH3334" s="32" t="s">
        <v>3196</v>
      </c>
      <c r="AI3334" s="32" t="s">
        <v>1586</v>
      </c>
      <c r="AJ3334" s="32" t="s">
        <v>1645</v>
      </c>
      <c r="AK3334" s="32" t="s">
        <v>132</v>
      </c>
      <c r="AW3334" s="32" t="s">
        <v>3194</v>
      </c>
      <c r="AX3334" s="32">
        <v>3</v>
      </c>
      <c r="AZ3334" s="32" t="s">
        <v>141</v>
      </c>
      <c r="BK3334" s="32">
        <v>621.76</v>
      </c>
      <c r="BL3334" s="32">
        <v>2021.77</v>
      </c>
      <c r="BM3334" s="32">
        <f>2013.5-1585</f>
        <v>428.5</v>
      </c>
      <c r="BN3334" s="32">
        <f>2013.5-1585</f>
        <v>428.5</v>
      </c>
      <c r="BO3334" s="32" t="s">
        <v>3210</v>
      </c>
      <c r="BP3334" s="397"/>
      <c r="BQ3334" s="397"/>
      <c r="BU3334" s="397"/>
      <c r="BV3334" s="397"/>
      <c r="BZ3334" s="397"/>
      <c r="CA3334" s="397"/>
      <c r="CE3334" s="550"/>
      <c r="CF3334" s="550"/>
      <c r="CG3334" s="550"/>
      <c r="CH3334" s="550"/>
      <c r="JD3334" s="243"/>
    </row>
    <row r="3335" spans="1:264" s="32" customFormat="1" x14ac:dyDescent="0.25">
      <c r="A3335" s="32">
        <v>156</v>
      </c>
      <c r="B3335" s="44" t="s">
        <v>3201</v>
      </c>
      <c r="C3335" s="32" t="s">
        <v>3187</v>
      </c>
      <c r="D3335" s="32" t="s">
        <v>3188</v>
      </c>
      <c r="E3335" s="32">
        <v>2003</v>
      </c>
      <c r="F3335" s="32">
        <v>2001</v>
      </c>
      <c r="G3335" s="32" t="s">
        <v>2766</v>
      </c>
      <c r="H3335" s="32" t="s">
        <v>3190</v>
      </c>
      <c r="I3335" s="32" t="s">
        <v>3189</v>
      </c>
      <c r="J3335" s="32">
        <v>-5.04</v>
      </c>
      <c r="K3335" s="32">
        <v>32.82</v>
      </c>
      <c r="L3335" s="32">
        <v>1235</v>
      </c>
      <c r="O3335" s="32">
        <v>975</v>
      </c>
      <c r="P3335" s="32">
        <v>928</v>
      </c>
      <c r="R3335" s="44" t="s">
        <v>1847</v>
      </c>
      <c r="S3335" s="44" t="s">
        <v>1843</v>
      </c>
      <c r="T3335" s="44"/>
      <c r="U3335" s="44" t="s">
        <v>3195</v>
      </c>
      <c r="V3335" s="44" t="s">
        <v>1389</v>
      </c>
      <c r="W3335" s="44" t="s">
        <v>1720</v>
      </c>
      <c r="X3335" s="44" t="s">
        <v>1389</v>
      </c>
      <c r="Y3335" s="44" t="s">
        <v>1389</v>
      </c>
      <c r="AA3335" s="323"/>
      <c r="AB3335" s="323"/>
      <c r="AC3335" s="32" t="s">
        <v>2428</v>
      </c>
      <c r="AD3335" s="32">
        <f t="shared" si="450"/>
        <v>5.9</v>
      </c>
      <c r="AE3335" s="32">
        <f t="shared" si="451"/>
        <v>1.8</v>
      </c>
      <c r="AG3335" s="32" t="s">
        <v>3193</v>
      </c>
      <c r="AH3335" s="32" t="s">
        <v>3197</v>
      </c>
      <c r="AI3335" s="32" t="s">
        <v>1586</v>
      </c>
      <c r="AJ3335" s="32" t="s">
        <v>1645</v>
      </c>
      <c r="AK3335" s="32" t="s">
        <v>132</v>
      </c>
      <c r="AW3335" s="32" t="s">
        <v>3194</v>
      </c>
      <c r="AX3335" s="32">
        <v>3</v>
      </c>
      <c r="AZ3335" s="32" t="s">
        <v>141</v>
      </c>
      <c r="BK3335" s="32">
        <v>621.76</v>
      </c>
      <c r="BL3335" s="32">
        <v>1700.59</v>
      </c>
      <c r="BM3335" s="32">
        <f t="shared" ref="BM3335:BN3338" si="454">2013.5-1585</f>
        <v>428.5</v>
      </c>
      <c r="BN3335" s="32">
        <f t="shared" si="454"/>
        <v>428.5</v>
      </c>
      <c r="BO3335" s="32" t="s">
        <v>3210</v>
      </c>
      <c r="BP3335" s="397"/>
      <c r="BQ3335" s="397"/>
      <c r="BU3335" s="397"/>
      <c r="BV3335" s="397"/>
      <c r="BZ3335" s="397"/>
      <c r="CA3335" s="397"/>
      <c r="CE3335" s="550"/>
      <c r="CF3335" s="550"/>
      <c r="CG3335" s="550"/>
      <c r="CH3335" s="550"/>
      <c r="JD3335" s="243"/>
    </row>
    <row r="3336" spans="1:264" s="32" customFormat="1" x14ac:dyDescent="0.25">
      <c r="A3336" s="32">
        <v>156</v>
      </c>
      <c r="B3336" s="44" t="s">
        <v>3201</v>
      </c>
      <c r="C3336" s="32" t="s">
        <v>3187</v>
      </c>
      <c r="D3336" s="32" t="s">
        <v>3188</v>
      </c>
      <c r="E3336" s="32">
        <v>2003</v>
      </c>
      <c r="F3336" s="32">
        <v>2001</v>
      </c>
      <c r="G3336" s="32" t="s">
        <v>2766</v>
      </c>
      <c r="H3336" s="32" t="s">
        <v>3190</v>
      </c>
      <c r="I3336" s="32" t="s">
        <v>3189</v>
      </c>
      <c r="J3336" s="32">
        <v>-5.04</v>
      </c>
      <c r="K3336" s="32">
        <v>32.82</v>
      </c>
      <c r="L3336" s="32">
        <v>1235</v>
      </c>
      <c r="O3336" s="32">
        <v>975</v>
      </c>
      <c r="P3336" s="32">
        <v>928</v>
      </c>
      <c r="R3336" s="44" t="s">
        <v>1847</v>
      </c>
      <c r="S3336" s="44" t="s">
        <v>1843</v>
      </c>
      <c r="T3336" s="44"/>
      <c r="U3336" s="44" t="s">
        <v>3195</v>
      </c>
      <c r="V3336" s="44" t="s">
        <v>1389</v>
      </c>
      <c r="W3336" s="44" t="s">
        <v>1720</v>
      </c>
      <c r="X3336" s="44" t="s">
        <v>1389</v>
      </c>
      <c r="Y3336" s="44" t="s">
        <v>1389</v>
      </c>
      <c r="AA3336" s="323"/>
      <c r="AB3336" s="323"/>
      <c r="AC3336" s="32" t="s">
        <v>2428</v>
      </c>
      <c r="AD3336" s="32">
        <f t="shared" si="450"/>
        <v>5.9</v>
      </c>
      <c r="AE3336" s="32">
        <f t="shared" si="451"/>
        <v>1.8</v>
      </c>
      <c r="AG3336" s="32" t="s">
        <v>3193</v>
      </c>
      <c r="AH3336" s="32" t="s">
        <v>3198</v>
      </c>
      <c r="AI3336" s="32" t="s">
        <v>1586</v>
      </c>
      <c r="AJ3336" s="32" t="s">
        <v>1645</v>
      </c>
      <c r="AK3336" s="32" t="s">
        <v>132</v>
      </c>
      <c r="AW3336" s="32" t="s">
        <v>3194</v>
      </c>
      <c r="AX3336" s="32">
        <v>3</v>
      </c>
      <c r="AZ3336" s="32" t="s">
        <v>141</v>
      </c>
      <c r="BK3336" s="32">
        <v>621.76</v>
      </c>
      <c r="BL3336" s="32">
        <v>1091.17</v>
      </c>
      <c r="BM3336" s="32">
        <f t="shared" si="454"/>
        <v>428.5</v>
      </c>
      <c r="BN3336" s="32">
        <f t="shared" si="454"/>
        <v>428.5</v>
      </c>
      <c r="BO3336" s="32" t="s">
        <v>3210</v>
      </c>
      <c r="BP3336" s="397"/>
      <c r="BQ3336" s="397"/>
      <c r="BU3336" s="397"/>
      <c r="BV3336" s="397"/>
      <c r="BZ3336" s="397"/>
      <c r="CA3336" s="397"/>
      <c r="CE3336" s="550"/>
      <c r="CF3336" s="550"/>
      <c r="CG3336" s="550"/>
      <c r="CH3336" s="550"/>
      <c r="JD3336" s="243"/>
    </row>
    <row r="3337" spans="1:264" s="32" customFormat="1" x14ac:dyDescent="0.25">
      <c r="A3337" s="32">
        <v>156</v>
      </c>
      <c r="B3337" s="44" t="s">
        <v>3202</v>
      </c>
      <c r="C3337" s="32" t="s">
        <v>3187</v>
      </c>
      <c r="D3337" s="32" t="s">
        <v>3188</v>
      </c>
      <c r="E3337" s="32">
        <v>2003</v>
      </c>
      <c r="F3337" s="32">
        <v>2001</v>
      </c>
      <c r="G3337" s="32" t="s">
        <v>2766</v>
      </c>
      <c r="H3337" s="32" t="s">
        <v>3190</v>
      </c>
      <c r="I3337" s="32" t="s">
        <v>3189</v>
      </c>
      <c r="J3337" s="32">
        <v>-5.04</v>
      </c>
      <c r="K3337" s="32">
        <v>32.82</v>
      </c>
      <c r="L3337" s="32">
        <v>1235</v>
      </c>
      <c r="O3337" s="32">
        <v>975</v>
      </c>
      <c r="P3337" s="32">
        <v>928</v>
      </c>
      <c r="R3337" s="44" t="s">
        <v>1847</v>
      </c>
      <c r="S3337" s="44" t="s">
        <v>1843</v>
      </c>
      <c r="T3337" s="44"/>
      <c r="U3337" s="44" t="s">
        <v>3195</v>
      </c>
      <c r="V3337" s="44" t="s">
        <v>1389</v>
      </c>
      <c r="W3337" s="44" t="s">
        <v>1720</v>
      </c>
      <c r="X3337" s="44" t="s">
        <v>1389</v>
      </c>
      <c r="Y3337" s="44" t="s">
        <v>1389</v>
      </c>
      <c r="AA3337" s="323"/>
      <c r="AB3337" s="323"/>
      <c r="AC3337" s="32" t="s">
        <v>2428</v>
      </c>
      <c r="AD3337" s="32">
        <f t="shared" si="450"/>
        <v>5.9</v>
      </c>
      <c r="AE3337" s="32">
        <f t="shared" si="451"/>
        <v>1.8</v>
      </c>
      <c r="AG3337" s="32" t="s">
        <v>3193</v>
      </c>
      <c r="AH3337" s="32" t="s">
        <v>3199</v>
      </c>
      <c r="AI3337" s="32" t="s">
        <v>577</v>
      </c>
      <c r="AJ3337" s="32" t="s">
        <v>1645</v>
      </c>
      <c r="AK3337" s="32" t="s">
        <v>132</v>
      </c>
      <c r="AW3337" s="32" t="s">
        <v>3194</v>
      </c>
      <c r="AX3337" s="32">
        <v>3</v>
      </c>
      <c r="AZ3337" s="32" t="s">
        <v>141</v>
      </c>
      <c r="BK3337" s="32">
        <v>621.76</v>
      </c>
      <c r="BL3337" s="32">
        <v>827.64</v>
      </c>
      <c r="BM3337" s="32">
        <f t="shared" si="454"/>
        <v>428.5</v>
      </c>
      <c r="BN3337" s="32">
        <f t="shared" si="454"/>
        <v>428.5</v>
      </c>
      <c r="BO3337" s="32" t="s">
        <v>3210</v>
      </c>
      <c r="BP3337" s="397"/>
      <c r="BQ3337" s="397"/>
      <c r="BU3337" s="397"/>
      <c r="BV3337" s="397"/>
      <c r="BZ3337" s="397"/>
      <c r="CA3337" s="397"/>
      <c r="CE3337" s="550"/>
      <c r="CF3337" s="550"/>
      <c r="CG3337" s="550"/>
      <c r="CH3337" s="550"/>
      <c r="JD3337" s="243"/>
    </row>
    <row r="3338" spans="1:264" s="32" customFormat="1" x14ac:dyDescent="0.25">
      <c r="A3338" s="32">
        <v>156</v>
      </c>
      <c r="B3338" s="44" t="s">
        <v>3201</v>
      </c>
      <c r="C3338" s="32" t="s">
        <v>3187</v>
      </c>
      <c r="D3338" s="32" t="s">
        <v>3188</v>
      </c>
      <c r="E3338" s="32">
        <v>2003</v>
      </c>
      <c r="F3338" s="32">
        <v>2001</v>
      </c>
      <c r="G3338" s="32" t="s">
        <v>2766</v>
      </c>
      <c r="H3338" s="32" t="s">
        <v>3190</v>
      </c>
      <c r="I3338" s="32" t="s">
        <v>3189</v>
      </c>
      <c r="J3338" s="32">
        <v>-5.04</v>
      </c>
      <c r="K3338" s="32">
        <v>32.82</v>
      </c>
      <c r="L3338" s="32">
        <v>1235</v>
      </c>
      <c r="O3338" s="32">
        <v>975</v>
      </c>
      <c r="P3338" s="32">
        <v>928</v>
      </c>
      <c r="R3338" s="44" t="s">
        <v>1847</v>
      </c>
      <c r="S3338" s="44" t="s">
        <v>1843</v>
      </c>
      <c r="T3338" s="44"/>
      <c r="U3338" s="44" t="s">
        <v>3195</v>
      </c>
      <c r="V3338" s="44" t="s">
        <v>1389</v>
      </c>
      <c r="W3338" s="44" t="s">
        <v>1720</v>
      </c>
      <c r="X3338" s="44" t="s">
        <v>1389</v>
      </c>
      <c r="Y3338" s="44" t="s">
        <v>1389</v>
      </c>
      <c r="AA3338" s="323"/>
      <c r="AB3338" s="323"/>
      <c r="AC3338" s="32" t="s">
        <v>2428</v>
      </c>
      <c r="AD3338" s="32">
        <f t="shared" si="450"/>
        <v>5.9</v>
      </c>
      <c r="AE3338" s="32">
        <f t="shared" si="451"/>
        <v>1.8</v>
      </c>
      <c r="AG3338" s="32" t="s">
        <v>3193</v>
      </c>
      <c r="AH3338" s="32" t="s">
        <v>3200</v>
      </c>
      <c r="AI3338" s="32" t="s">
        <v>1586</v>
      </c>
      <c r="AJ3338" s="32" t="s">
        <v>1645</v>
      </c>
      <c r="AK3338" s="32" t="s">
        <v>132</v>
      </c>
      <c r="AW3338" s="32" t="s">
        <v>3194</v>
      </c>
      <c r="AX3338" s="32">
        <v>3</v>
      </c>
      <c r="AZ3338" s="32" t="s">
        <v>141</v>
      </c>
      <c r="BK3338" s="32">
        <v>621.76</v>
      </c>
      <c r="BL3338" s="32">
        <v>901.76</v>
      </c>
      <c r="BM3338" s="32">
        <f t="shared" si="454"/>
        <v>428.5</v>
      </c>
      <c r="BN3338" s="32">
        <f t="shared" si="454"/>
        <v>428.5</v>
      </c>
      <c r="BO3338" s="32" t="s">
        <v>3210</v>
      </c>
      <c r="BP3338" s="397"/>
      <c r="BQ3338" s="397"/>
      <c r="BU3338" s="397"/>
      <c r="BV3338" s="397"/>
      <c r="BZ3338" s="397"/>
      <c r="CA3338" s="397"/>
      <c r="CE3338" s="550"/>
      <c r="CF3338" s="550"/>
      <c r="CG3338" s="550"/>
      <c r="CH3338" s="550"/>
      <c r="JD3338" s="243"/>
    </row>
    <row r="3339" spans="1:264" s="24" customFormat="1" x14ac:dyDescent="0.25">
      <c r="A3339" s="24">
        <v>156</v>
      </c>
      <c r="B3339" s="42" t="s">
        <v>3203</v>
      </c>
      <c r="C3339" s="24" t="s">
        <v>3187</v>
      </c>
      <c r="D3339" s="24" t="s">
        <v>3188</v>
      </c>
      <c r="E3339" s="24">
        <v>2003</v>
      </c>
      <c r="F3339" s="24">
        <v>2001</v>
      </c>
      <c r="G3339" s="24" t="s">
        <v>2766</v>
      </c>
      <c r="H3339" s="24" t="s">
        <v>3190</v>
      </c>
      <c r="I3339" s="24" t="s">
        <v>3189</v>
      </c>
      <c r="J3339" s="24">
        <v>-5.04</v>
      </c>
      <c r="K3339" s="24">
        <v>32.82</v>
      </c>
      <c r="L3339" s="24">
        <v>1235</v>
      </c>
      <c r="O3339" s="24">
        <v>975</v>
      </c>
      <c r="P3339" s="24">
        <v>928</v>
      </c>
      <c r="R3339" s="42" t="s">
        <v>1728</v>
      </c>
      <c r="S3339" s="42" t="s">
        <v>1843</v>
      </c>
      <c r="T3339" s="42"/>
      <c r="U3339" s="42" t="s">
        <v>3195</v>
      </c>
      <c r="V3339" s="42" t="s">
        <v>1389</v>
      </c>
      <c r="W3339" s="42" t="s">
        <v>1720</v>
      </c>
      <c r="X3339" s="42" t="s">
        <v>1389</v>
      </c>
      <c r="Y3339" s="42" t="s">
        <v>1389</v>
      </c>
      <c r="AA3339" s="321"/>
      <c r="AB3339" s="321"/>
      <c r="AC3339" s="24" t="s">
        <v>2428</v>
      </c>
      <c r="AD3339" s="24">
        <f t="shared" si="450"/>
        <v>5.9</v>
      </c>
      <c r="AE3339" s="24">
        <f t="shared" si="451"/>
        <v>1.8</v>
      </c>
      <c r="AG3339" s="24" t="s">
        <v>3193</v>
      </c>
      <c r="AH3339" s="24" t="s">
        <v>3196</v>
      </c>
      <c r="AI3339" s="24" t="s">
        <v>1586</v>
      </c>
      <c r="AJ3339" s="24" t="s">
        <v>1645</v>
      </c>
      <c r="AK3339" s="24" t="s">
        <v>132</v>
      </c>
      <c r="AW3339" s="24" t="s">
        <v>2780</v>
      </c>
      <c r="AX3339" s="24">
        <v>3</v>
      </c>
      <c r="AZ3339" s="24" t="s">
        <v>141</v>
      </c>
      <c r="BK3339" s="24">
        <v>819.4</v>
      </c>
      <c r="BL3339" s="24">
        <v>2021.77</v>
      </c>
      <c r="BM3339" s="24">
        <v>428.5</v>
      </c>
      <c r="BN3339" s="24">
        <v>428.5</v>
      </c>
      <c r="BO3339" s="24" t="s">
        <v>3210</v>
      </c>
      <c r="BP3339" s="395"/>
      <c r="BQ3339" s="395"/>
      <c r="BU3339" s="395"/>
      <c r="BV3339" s="395"/>
      <c r="BZ3339" s="395"/>
      <c r="CA3339" s="395"/>
      <c r="CE3339" s="548"/>
      <c r="CF3339" s="548"/>
      <c r="CG3339" s="548"/>
      <c r="CH3339" s="548"/>
      <c r="JD3339" s="249"/>
    </row>
    <row r="3340" spans="1:264" s="24" customFormat="1" x14ac:dyDescent="0.25">
      <c r="A3340" s="24">
        <v>156</v>
      </c>
      <c r="B3340" s="42" t="s">
        <v>3203</v>
      </c>
      <c r="C3340" s="24" t="s">
        <v>3187</v>
      </c>
      <c r="D3340" s="24" t="s">
        <v>3188</v>
      </c>
      <c r="E3340" s="24">
        <v>2003</v>
      </c>
      <c r="F3340" s="24">
        <v>2001</v>
      </c>
      <c r="G3340" s="24" t="s">
        <v>2766</v>
      </c>
      <c r="H3340" s="24" t="s">
        <v>3190</v>
      </c>
      <c r="I3340" s="24" t="s">
        <v>3189</v>
      </c>
      <c r="J3340" s="24">
        <v>-5.04</v>
      </c>
      <c r="K3340" s="24">
        <v>32.82</v>
      </c>
      <c r="L3340" s="24">
        <v>1235</v>
      </c>
      <c r="O3340" s="24">
        <v>975</v>
      </c>
      <c r="P3340" s="24">
        <v>928</v>
      </c>
      <c r="R3340" s="42" t="s">
        <v>1728</v>
      </c>
      <c r="S3340" s="42" t="s">
        <v>1843</v>
      </c>
      <c r="T3340" s="42"/>
      <c r="U3340" s="42" t="s">
        <v>3195</v>
      </c>
      <c r="V3340" s="42" t="s">
        <v>1389</v>
      </c>
      <c r="W3340" s="42" t="s">
        <v>1720</v>
      </c>
      <c r="X3340" s="42" t="s">
        <v>1389</v>
      </c>
      <c r="Y3340" s="42" t="s">
        <v>1389</v>
      </c>
      <c r="AA3340" s="321"/>
      <c r="AB3340" s="321"/>
      <c r="AC3340" s="24" t="s">
        <v>2428</v>
      </c>
      <c r="AD3340" s="24">
        <f t="shared" si="450"/>
        <v>5.9</v>
      </c>
      <c r="AE3340" s="24">
        <f t="shared" si="451"/>
        <v>1.8</v>
      </c>
      <c r="AG3340" s="24" t="s">
        <v>3193</v>
      </c>
      <c r="AH3340" s="24" t="s">
        <v>3197</v>
      </c>
      <c r="AI3340" s="24" t="s">
        <v>1586</v>
      </c>
      <c r="AJ3340" s="24" t="s">
        <v>1645</v>
      </c>
      <c r="AK3340" s="24" t="s">
        <v>132</v>
      </c>
      <c r="AW3340" s="24" t="s">
        <v>2780</v>
      </c>
      <c r="AX3340" s="24">
        <v>3</v>
      </c>
      <c r="AZ3340" s="24" t="s">
        <v>141</v>
      </c>
      <c r="BK3340" s="24">
        <v>819.4</v>
      </c>
      <c r="BL3340" s="24">
        <v>1700.59</v>
      </c>
      <c r="BM3340" s="24">
        <v>428.5</v>
      </c>
      <c r="BN3340" s="24">
        <v>428.5</v>
      </c>
      <c r="BO3340" s="24" t="s">
        <v>3210</v>
      </c>
      <c r="BP3340" s="395"/>
      <c r="BQ3340" s="395"/>
      <c r="BU3340" s="395"/>
      <c r="BV3340" s="395"/>
      <c r="BZ3340" s="395"/>
      <c r="CA3340" s="395"/>
      <c r="CE3340" s="548"/>
      <c r="CF3340" s="548"/>
      <c r="CG3340" s="548"/>
      <c r="CH3340" s="548"/>
      <c r="JD3340" s="249"/>
    </row>
    <row r="3341" spans="1:264" s="24" customFormat="1" x14ac:dyDescent="0.25">
      <c r="A3341" s="24">
        <v>156</v>
      </c>
      <c r="B3341" s="42" t="s">
        <v>3203</v>
      </c>
      <c r="C3341" s="24" t="s">
        <v>3187</v>
      </c>
      <c r="D3341" s="24" t="s">
        <v>3188</v>
      </c>
      <c r="E3341" s="24">
        <v>2003</v>
      </c>
      <c r="F3341" s="24">
        <v>2001</v>
      </c>
      <c r="G3341" s="24" t="s">
        <v>2766</v>
      </c>
      <c r="H3341" s="24" t="s">
        <v>3190</v>
      </c>
      <c r="I3341" s="24" t="s">
        <v>3189</v>
      </c>
      <c r="J3341" s="24">
        <v>-5.04</v>
      </c>
      <c r="K3341" s="24">
        <v>32.82</v>
      </c>
      <c r="L3341" s="24">
        <v>1235</v>
      </c>
      <c r="O3341" s="24">
        <v>975</v>
      </c>
      <c r="P3341" s="24">
        <v>928</v>
      </c>
      <c r="R3341" s="42" t="s">
        <v>1728</v>
      </c>
      <c r="S3341" s="42" t="s">
        <v>1843</v>
      </c>
      <c r="T3341" s="42"/>
      <c r="U3341" s="42" t="s">
        <v>3195</v>
      </c>
      <c r="V3341" s="42" t="s">
        <v>1389</v>
      </c>
      <c r="W3341" s="42" t="s">
        <v>1720</v>
      </c>
      <c r="X3341" s="42" t="s">
        <v>1389</v>
      </c>
      <c r="Y3341" s="42" t="s">
        <v>1389</v>
      </c>
      <c r="AA3341" s="321"/>
      <c r="AB3341" s="321"/>
      <c r="AC3341" s="24" t="s">
        <v>2428</v>
      </c>
      <c r="AD3341" s="24">
        <f t="shared" si="450"/>
        <v>5.9</v>
      </c>
      <c r="AE3341" s="24">
        <f t="shared" si="451"/>
        <v>1.8</v>
      </c>
      <c r="AG3341" s="24" t="s">
        <v>3193</v>
      </c>
      <c r="AH3341" s="24" t="s">
        <v>3198</v>
      </c>
      <c r="AI3341" s="24" t="s">
        <v>1586</v>
      </c>
      <c r="AJ3341" s="24" t="s">
        <v>1645</v>
      </c>
      <c r="AK3341" s="24" t="s">
        <v>132</v>
      </c>
      <c r="AW3341" s="24" t="s">
        <v>2780</v>
      </c>
      <c r="AX3341" s="24">
        <v>3</v>
      </c>
      <c r="AZ3341" s="24" t="s">
        <v>141</v>
      </c>
      <c r="BK3341" s="24">
        <v>819.4</v>
      </c>
      <c r="BL3341" s="24">
        <v>1091.17</v>
      </c>
      <c r="BM3341" s="24">
        <v>428.5</v>
      </c>
      <c r="BN3341" s="24">
        <v>428.5</v>
      </c>
      <c r="BO3341" s="24" t="s">
        <v>3210</v>
      </c>
      <c r="BP3341" s="395"/>
      <c r="BQ3341" s="395"/>
      <c r="BU3341" s="395"/>
      <c r="BV3341" s="395"/>
      <c r="BZ3341" s="395"/>
      <c r="CA3341" s="395"/>
      <c r="CE3341" s="548"/>
      <c r="CF3341" s="548"/>
      <c r="CG3341" s="548"/>
      <c r="CH3341" s="548"/>
      <c r="JD3341" s="249"/>
    </row>
    <row r="3342" spans="1:264" s="24" customFormat="1" x14ac:dyDescent="0.25">
      <c r="A3342" s="24">
        <v>156</v>
      </c>
      <c r="B3342" s="42" t="s">
        <v>3204</v>
      </c>
      <c r="C3342" s="24" t="s">
        <v>3187</v>
      </c>
      <c r="D3342" s="24" t="s">
        <v>3188</v>
      </c>
      <c r="E3342" s="24">
        <v>2003</v>
      </c>
      <c r="F3342" s="24">
        <v>2001</v>
      </c>
      <c r="G3342" s="24" t="s">
        <v>2766</v>
      </c>
      <c r="H3342" s="24" t="s">
        <v>3190</v>
      </c>
      <c r="I3342" s="24" t="s">
        <v>3189</v>
      </c>
      <c r="J3342" s="24">
        <v>-5.04</v>
      </c>
      <c r="K3342" s="24">
        <v>32.82</v>
      </c>
      <c r="L3342" s="24">
        <v>1235</v>
      </c>
      <c r="O3342" s="24">
        <v>975</v>
      </c>
      <c r="P3342" s="24">
        <v>928</v>
      </c>
      <c r="R3342" s="42" t="s">
        <v>1728</v>
      </c>
      <c r="S3342" s="42" t="s">
        <v>1843</v>
      </c>
      <c r="T3342" s="42"/>
      <c r="U3342" s="42" t="s">
        <v>3195</v>
      </c>
      <c r="V3342" s="42" t="s">
        <v>1389</v>
      </c>
      <c r="W3342" s="42" t="s">
        <v>1720</v>
      </c>
      <c r="X3342" s="42" t="s">
        <v>1389</v>
      </c>
      <c r="Y3342" s="42" t="s">
        <v>1389</v>
      </c>
      <c r="AA3342" s="321"/>
      <c r="AB3342" s="321"/>
      <c r="AC3342" s="24" t="s">
        <v>2428</v>
      </c>
      <c r="AD3342" s="24">
        <f t="shared" si="450"/>
        <v>5.9</v>
      </c>
      <c r="AE3342" s="24">
        <f t="shared" si="451"/>
        <v>1.8</v>
      </c>
      <c r="AG3342" s="24" t="s">
        <v>3193</v>
      </c>
      <c r="AH3342" s="24" t="s">
        <v>3199</v>
      </c>
      <c r="AI3342" s="24" t="s">
        <v>577</v>
      </c>
      <c r="AJ3342" s="24" t="s">
        <v>1645</v>
      </c>
      <c r="AK3342" s="24" t="s">
        <v>132</v>
      </c>
      <c r="AW3342" s="24" t="s">
        <v>2780</v>
      </c>
      <c r="AX3342" s="24">
        <v>3</v>
      </c>
      <c r="AZ3342" s="24" t="s">
        <v>141</v>
      </c>
      <c r="BK3342" s="24">
        <v>819.4</v>
      </c>
      <c r="BL3342" s="24">
        <v>827.64</v>
      </c>
      <c r="BM3342" s="24">
        <v>428.5</v>
      </c>
      <c r="BN3342" s="24">
        <v>428.5</v>
      </c>
      <c r="BO3342" s="24" t="s">
        <v>3210</v>
      </c>
      <c r="BP3342" s="395"/>
      <c r="BQ3342" s="395"/>
      <c r="BU3342" s="395"/>
      <c r="BV3342" s="395"/>
      <c r="BZ3342" s="395"/>
      <c r="CA3342" s="395"/>
      <c r="CE3342" s="548"/>
      <c r="CF3342" s="548"/>
      <c r="CG3342" s="548"/>
      <c r="CH3342" s="548"/>
      <c r="JD3342" s="249"/>
    </row>
    <row r="3343" spans="1:264" s="24" customFormat="1" x14ac:dyDescent="0.25">
      <c r="A3343" s="24">
        <v>156</v>
      </c>
      <c r="B3343" s="42" t="s">
        <v>3203</v>
      </c>
      <c r="C3343" s="24" t="s">
        <v>3187</v>
      </c>
      <c r="D3343" s="24" t="s">
        <v>3188</v>
      </c>
      <c r="E3343" s="24">
        <v>2003</v>
      </c>
      <c r="F3343" s="24">
        <v>2001</v>
      </c>
      <c r="G3343" s="24" t="s">
        <v>2766</v>
      </c>
      <c r="H3343" s="24" t="s">
        <v>3190</v>
      </c>
      <c r="I3343" s="24" t="s">
        <v>3189</v>
      </c>
      <c r="J3343" s="24">
        <v>-5.04</v>
      </c>
      <c r="K3343" s="24">
        <v>32.82</v>
      </c>
      <c r="L3343" s="24">
        <v>1235</v>
      </c>
      <c r="O3343" s="24">
        <v>975</v>
      </c>
      <c r="P3343" s="24">
        <v>928</v>
      </c>
      <c r="R3343" s="42" t="s">
        <v>1728</v>
      </c>
      <c r="S3343" s="42" t="s">
        <v>1843</v>
      </c>
      <c r="T3343" s="42"/>
      <c r="U3343" s="42" t="s">
        <v>3195</v>
      </c>
      <c r="V3343" s="42" t="s">
        <v>1389</v>
      </c>
      <c r="W3343" s="42" t="s">
        <v>1720</v>
      </c>
      <c r="X3343" s="42" t="s">
        <v>1389</v>
      </c>
      <c r="Y3343" s="42" t="s">
        <v>1389</v>
      </c>
      <c r="AA3343" s="321"/>
      <c r="AB3343" s="321"/>
      <c r="AC3343" s="24" t="s">
        <v>2428</v>
      </c>
      <c r="AD3343" s="24">
        <f t="shared" si="450"/>
        <v>5.9</v>
      </c>
      <c r="AE3343" s="24">
        <f t="shared" si="451"/>
        <v>1.8</v>
      </c>
      <c r="AG3343" s="24" t="s">
        <v>3193</v>
      </c>
      <c r="AH3343" s="24" t="s">
        <v>3200</v>
      </c>
      <c r="AI3343" s="24" t="s">
        <v>1586</v>
      </c>
      <c r="AJ3343" s="24" t="s">
        <v>1645</v>
      </c>
      <c r="AK3343" s="24" t="s">
        <v>132</v>
      </c>
      <c r="AW3343" s="24" t="s">
        <v>2780</v>
      </c>
      <c r="AX3343" s="24">
        <v>3</v>
      </c>
      <c r="AZ3343" s="24" t="s">
        <v>141</v>
      </c>
      <c r="BK3343" s="24">
        <v>819.4</v>
      </c>
      <c r="BL3343" s="24">
        <v>901.76</v>
      </c>
      <c r="BM3343" s="24">
        <v>428.5</v>
      </c>
      <c r="BN3343" s="24">
        <v>428.5</v>
      </c>
      <c r="BO3343" s="24" t="s">
        <v>3210</v>
      </c>
      <c r="BP3343" s="395"/>
      <c r="BQ3343" s="395"/>
      <c r="BU3343" s="395"/>
      <c r="BV3343" s="395"/>
      <c r="BZ3343" s="395"/>
      <c r="CA3343" s="395"/>
      <c r="CE3343" s="548"/>
      <c r="CF3343" s="548"/>
      <c r="CG3343" s="548"/>
      <c r="CH3343" s="548"/>
      <c r="JD3343" s="249"/>
    </row>
    <row r="3344" spans="1:264" s="517" customFormat="1" x14ac:dyDescent="0.25">
      <c r="A3344" s="517">
        <v>156</v>
      </c>
      <c r="B3344" s="518" t="s">
        <v>3205</v>
      </c>
      <c r="C3344" s="517" t="s">
        <v>3187</v>
      </c>
      <c r="D3344" s="517" t="s">
        <v>3188</v>
      </c>
      <c r="E3344" s="517">
        <v>2003</v>
      </c>
      <c r="F3344" s="517">
        <v>1991</v>
      </c>
      <c r="G3344" s="517" t="s">
        <v>2766</v>
      </c>
      <c r="H3344" s="517" t="s">
        <v>3191</v>
      </c>
      <c r="I3344" s="517" t="s">
        <v>3189</v>
      </c>
      <c r="J3344" s="517">
        <v>-3.68</v>
      </c>
      <c r="K3344" s="517">
        <v>33.43</v>
      </c>
      <c r="L3344" s="517">
        <v>1127</v>
      </c>
      <c r="O3344" s="517">
        <v>714</v>
      </c>
      <c r="P3344" s="517">
        <v>700</v>
      </c>
      <c r="R3344" s="518" t="s">
        <v>1977</v>
      </c>
      <c r="S3344" s="518" t="s">
        <v>1860</v>
      </c>
      <c r="T3344" s="518"/>
      <c r="U3344" s="518" t="s">
        <v>2231</v>
      </c>
      <c r="V3344" s="518" t="s">
        <v>1389</v>
      </c>
      <c r="W3344" s="518" t="s">
        <v>1720</v>
      </c>
      <c r="X3344" s="518" t="s">
        <v>1389</v>
      </c>
      <c r="Y3344" s="518" t="s">
        <v>1389</v>
      </c>
      <c r="AA3344" s="519"/>
      <c r="AB3344" s="519"/>
      <c r="AC3344" s="517" t="s">
        <v>518</v>
      </c>
      <c r="AD3344" s="517">
        <f t="shared" ref="AD3344:AD3361" si="455">(7.5+8.3)/2</f>
        <v>7.9</v>
      </c>
      <c r="AE3344" s="517">
        <v>0.6</v>
      </c>
      <c r="AG3344" s="517" t="s">
        <v>3192</v>
      </c>
      <c r="AH3344" s="517" t="s">
        <v>3206</v>
      </c>
      <c r="AI3344" s="517" t="s">
        <v>577</v>
      </c>
      <c r="AJ3344" s="517" t="s">
        <v>1645</v>
      </c>
      <c r="AK3344" s="517" t="s">
        <v>132</v>
      </c>
      <c r="AW3344" s="517" t="s">
        <v>3194</v>
      </c>
      <c r="AX3344" s="517">
        <v>3</v>
      </c>
      <c r="AZ3344" s="517" t="s">
        <v>141</v>
      </c>
      <c r="BK3344" s="517">
        <v>1327.7</v>
      </c>
      <c r="BL3344" s="517">
        <v>1506</v>
      </c>
      <c r="BM3344" s="517">
        <f>1665.55-1337</f>
        <v>328.54999999999995</v>
      </c>
      <c r="BN3344" s="517">
        <f>1665.55-1337</f>
        <v>328.54999999999995</v>
      </c>
      <c r="BO3344" s="517" t="s">
        <v>3211</v>
      </c>
      <c r="BP3344" s="520"/>
      <c r="BQ3344" s="520"/>
      <c r="BU3344" s="520"/>
      <c r="BV3344" s="520"/>
      <c r="BZ3344" s="520"/>
      <c r="CA3344" s="520"/>
      <c r="CE3344" s="608"/>
      <c r="CF3344" s="608"/>
      <c r="CG3344" s="608"/>
      <c r="CH3344" s="608"/>
      <c r="JD3344" s="521"/>
    </row>
    <row r="3345" spans="1:264" s="517" customFormat="1" x14ac:dyDescent="0.25">
      <c r="A3345" s="517">
        <v>156</v>
      </c>
      <c r="B3345" s="518" t="s">
        <v>3205</v>
      </c>
      <c r="C3345" s="517" t="s">
        <v>3187</v>
      </c>
      <c r="D3345" s="517" t="s">
        <v>3188</v>
      </c>
      <c r="E3345" s="517">
        <v>2003</v>
      </c>
      <c r="F3345" s="517">
        <v>1991</v>
      </c>
      <c r="G3345" s="517" t="s">
        <v>2766</v>
      </c>
      <c r="H3345" s="517" t="s">
        <v>3191</v>
      </c>
      <c r="I3345" s="517" t="s">
        <v>3189</v>
      </c>
      <c r="J3345" s="517">
        <v>-3.68</v>
      </c>
      <c r="K3345" s="517">
        <v>33.43</v>
      </c>
      <c r="L3345" s="517">
        <v>1127</v>
      </c>
      <c r="O3345" s="517">
        <v>714</v>
      </c>
      <c r="P3345" s="517">
        <v>700</v>
      </c>
      <c r="R3345" s="518" t="s">
        <v>1977</v>
      </c>
      <c r="S3345" s="518" t="s">
        <v>1860</v>
      </c>
      <c r="T3345" s="518"/>
      <c r="U3345" s="518" t="s">
        <v>2231</v>
      </c>
      <c r="V3345" s="518" t="s">
        <v>1389</v>
      </c>
      <c r="W3345" s="518" t="s">
        <v>1720</v>
      </c>
      <c r="X3345" s="518" t="s">
        <v>1389</v>
      </c>
      <c r="Y3345" s="518" t="s">
        <v>1389</v>
      </c>
      <c r="AA3345" s="519"/>
      <c r="AB3345" s="519"/>
      <c r="AC3345" s="517" t="s">
        <v>518</v>
      </c>
      <c r="AD3345" s="517">
        <f t="shared" si="455"/>
        <v>7.9</v>
      </c>
      <c r="AE3345" s="517">
        <v>0.6</v>
      </c>
      <c r="AG3345" s="517" t="s">
        <v>3192</v>
      </c>
      <c r="AH3345" s="517" t="s">
        <v>3207</v>
      </c>
      <c r="AI3345" s="517" t="s">
        <v>577</v>
      </c>
      <c r="AJ3345" s="517" t="s">
        <v>1645</v>
      </c>
      <c r="AK3345" s="517" t="s">
        <v>132</v>
      </c>
      <c r="AW3345" s="517" t="s">
        <v>3194</v>
      </c>
      <c r="AX3345" s="517">
        <v>3</v>
      </c>
      <c r="AZ3345" s="517" t="s">
        <v>141</v>
      </c>
      <c r="BK3345" s="517">
        <v>1327.7</v>
      </c>
      <c r="BL3345" s="517">
        <v>962</v>
      </c>
      <c r="BM3345" s="517">
        <f t="shared" ref="BM3345:BN3346" si="456">1665.55-1337</f>
        <v>328.54999999999995</v>
      </c>
      <c r="BN3345" s="517">
        <f t="shared" si="456"/>
        <v>328.54999999999995</v>
      </c>
      <c r="BO3345" s="517" t="s">
        <v>3211</v>
      </c>
      <c r="BP3345" s="520"/>
      <c r="BQ3345" s="520"/>
      <c r="BU3345" s="520"/>
      <c r="BV3345" s="520"/>
      <c r="BZ3345" s="520"/>
      <c r="CA3345" s="520"/>
      <c r="CE3345" s="608"/>
      <c r="CF3345" s="608"/>
      <c r="CG3345" s="608"/>
      <c r="CH3345" s="608"/>
      <c r="JD3345" s="521"/>
    </row>
    <row r="3346" spans="1:264" s="517" customFormat="1" x14ac:dyDescent="0.25">
      <c r="A3346" s="517">
        <v>156</v>
      </c>
      <c r="B3346" s="518" t="s">
        <v>3205</v>
      </c>
      <c r="C3346" s="517" t="s">
        <v>3187</v>
      </c>
      <c r="D3346" s="517" t="s">
        <v>3188</v>
      </c>
      <c r="E3346" s="517">
        <v>2003</v>
      </c>
      <c r="F3346" s="517">
        <v>1991</v>
      </c>
      <c r="G3346" s="517" t="s">
        <v>2766</v>
      </c>
      <c r="H3346" s="517" t="s">
        <v>3191</v>
      </c>
      <c r="I3346" s="517" t="s">
        <v>3189</v>
      </c>
      <c r="J3346" s="517">
        <v>-3.68</v>
      </c>
      <c r="K3346" s="517">
        <v>33.43</v>
      </c>
      <c r="L3346" s="517">
        <v>1127</v>
      </c>
      <c r="O3346" s="517">
        <v>714</v>
      </c>
      <c r="P3346" s="517">
        <v>700</v>
      </c>
      <c r="R3346" s="518" t="s">
        <v>1977</v>
      </c>
      <c r="S3346" s="518" t="s">
        <v>1860</v>
      </c>
      <c r="T3346" s="518"/>
      <c r="U3346" s="518" t="s">
        <v>2231</v>
      </c>
      <c r="V3346" s="518" t="s">
        <v>1389</v>
      </c>
      <c r="W3346" s="518" t="s">
        <v>1720</v>
      </c>
      <c r="X3346" s="518" t="s">
        <v>1389</v>
      </c>
      <c r="Y3346" s="518" t="s">
        <v>1389</v>
      </c>
      <c r="AA3346" s="519"/>
      <c r="AB3346" s="519"/>
      <c r="AC3346" s="517" t="s">
        <v>518</v>
      </c>
      <c r="AD3346" s="517">
        <f t="shared" si="455"/>
        <v>7.9</v>
      </c>
      <c r="AE3346" s="517">
        <v>0.6</v>
      </c>
      <c r="AG3346" s="517" t="s">
        <v>3192</v>
      </c>
      <c r="AH3346" s="517" t="s">
        <v>3208</v>
      </c>
      <c r="AI3346" s="517" t="s">
        <v>577</v>
      </c>
      <c r="AJ3346" s="517" t="s">
        <v>1645</v>
      </c>
      <c r="AK3346" s="517" t="s">
        <v>132</v>
      </c>
      <c r="AW3346" s="517" t="s">
        <v>3194</v>
      </c>
      <c r="AX3346" s="517">
        <v>3</v>
      </c>
      <c r="AZ3346" s="517" t="s">
        <v>141</v>
      </c>
      <c r="BK3346" s="517">
        <v>1327.7</v>
      </c>
      <c r="BL3346" s="517">
        <v>1234</v>
      </c>
      <c r="BM3346" s="517">
        <f t="shared" si="456"/>
        <v>328.54999999999995</v>
      </c>
      <c r="BN3346" s="517">
        <f t="shared" si="456"/>
        <v>328.54999999999995</v>
      </c>
      <c r="BO3346" s="517" t="s">
        <v>3211</v>
      </c>
      <c r="BP3346" s="520"/>
      <c r="BQ3346" s="520"/>
      <c r="BU3346" s="520"/>
      <c r="BV3346" s="520"/>
      <c r="BZ3346" s="520"/>
      <c r="CA3346" s="520"/>
      <c r="CE3346" s="608"/>
      <c r="CF3346" s="608"/>
      <c r="CG3346" s="608"/>
      <c r="CH3346" s="608"/>
      <c r="JD3346" s="521"/>
    </row>
    <row r="3347" spans="1:264" s="32" customFormat="1" x14ac:dyDescent="0.25">
      <c r="A3347" s="32">
        <v>156</v>
      </c>
      <c r="B3347" s="44" t="s">
        <v>3205</v>
      </c>
      <c r="C3347" s="32" t="s">
        <v>3187</v>
      </c>
      <c r="D3347" s="32" t="s">
        <v>3188</v>
      </c>
      <c r="E3347" s="32">
        <v>2003</v>
      </c>
      <c r="F3347" s="32">
        <v>1992</v>
      </c>
      <c r="G3347" s="32" t="s">
        <v>2766</v>
      </c>
      <c r="H3347" s="32" t="s">
        <v>3191</v>
      </c>
      <c r="I3347" s="32" t="s">
        <v>3189</v>
      </c>
      <c r="J3347" s="32">
        <v>-3.68</v>
      </c>
      <c r="K3347" s="32">
        <v>33.43</v>
      </c>
      <c r="L3347" s="32">
        <v>1127</v>
      </c>
      <c r="O3347" s="32">
        <v>850</v>
      </c>
      <c r="P3347" s="32">
        <v>700</v>
      </c>
      <c r="R3347" s="44" t="s">
        <v>1847</v>
      </c>
      <c r="S3347" s="44" t="s">
        <v>1860</v>
      </c>
      <c r="T3347" s="44"/>
      <c r="U3347" s="44" t="s">
        <v>2231</v>
      </c>
      <c r="V3347" s="44" t="s">
        <v>1389</v>
      </c>
      <c r="W3347" s="44" t="s">
        <v>1720</v>
      </c>
      <c r="X3347" s="44" t="s">
        <v>1389</v>
      </c>
      <c r="Y3347" s="44" t="s">
        <v>1389</v>
      </c>
      <c r="AA3347" s="323"/>
      <c r="AB3347" s="323"/>
      <c r="AC3347" s="32" t="s">
        <v>518</v>
      </c>
      <c r="AD3347" s="32">
        <f t="shared" si="455"/>
        <v>7.9</v>
      </c>
      <c r="AE3347" s="32">
        <v>0.6</v>
      </c>
      <c r="AG3347" s="32" t="s">
        <v>3192</v>
      </c>
      <c r="AH3347" s="32" t="s">
        <v>3206</v>
      </c>
      <c r="AI3347" s="32" t="s">
        <v>577</v>
      </c>
      <c r="AJ3347" s="32" t="s">
        <v>1645</v>
      </c>
      <c r="AK3347" s="32" t="s">
        <v>132</v>
      </c>
      <c r="AW3347" s="32" t="s">
        <v>3194</v>
      </c>
      <c r="AX3347" s="32">
        <v>3</v>
      </c>
      <c r="AZ3347" s="32" t="s">
        <v>141</v>
      </c>
      <c r="BK3347" s="32">
        <v>1646.8</v>
      </c>
      <c r="BL3347" s="32">
        <v>1130.7</v>
      </c>
      <c r="BM3347" s="32">
        <f>1600-1412</f>
        <v>188</v>
      </c>
      <c r="BN3347" s="32">
        <f>1600-1412</f>
        <v>188</v>
      </c>
      <c r="BO3347" s="32" t="s">
        <v>3211</v>
      </c>
      <c r="BP3347" s="397"/>
      <c r="BQ3347" s="397"/>
      <c r="BU3347" s="397"/>
      <c r="BV3347" s="397"/>
      <c r="BZ3347" s="397"/>
      <c r="CA3347" s="397"/>
      <c r="CE3347" s="550"/>
      <c r="CF3347" s="550"/>
      <c r="CG3347" s="550"/>
      <c r="CH3347" s="550"/>
      <c r="JD3347" s="243"/>
    </row>
    <row r="3348" spans="1:264" s="32" customFormat="1" x14ac:dyDescent="0.25">
      <c r="A3348" s="32">
        <v>156</v>
      </c>
      <c r="B3348" s="44" t="s">
        <v>3205</v>
      </c>
      <c r="C3348" s="32" t="s">
        <v>3187</v>
      </c>
      <c r="D3348" s="32" t="s">
        <v>3188</v>
      </c>
      <c r="E3348" s="32">
        <v>2003</v>
      </c>
      <c r="F3348" s="32">
        <v>1992</v>
      </c>
      <c r="G3348" s="32" t="s">
        <v>2766</v>
      </c>
      <c r="H3348" s="32" t="s">
        <v>3191</v>
      </c>
      <c r="I3348" s="32" t="s">
        <v>3189</v>
      </c>
      <c r="J3348" s="32">
        <v>-3.68</v>
      </c>
      <c r="K3348" s="32">
        <v>33.43</v>
      </c>
      <c r="L3348" s="32">
        <v>1127</v>
      </c>
      <c r="O3348" s="32">
        <v>850</v>
      </c>
      <c r="P3348" s="32">
        <v>700</v>
      </c>
      <c r="R3348" s="44" t="s">
        <v>1847</v>
      </c>
      <c r="S3348" s="44" t="s">
        <v>1860</v>
      </c>
      <c r="T3348" s="44"/>
      <c r="U3348" s="44" t="s">
        <v>2231</v>
      </c>
      <c r="V3348" s="44" t="s">
        <v>1389</v>
      </c>
      <c r="W3348" s="44" t="s">
        <v>1720</v>
      </c>
      <c r="X3348" s="44" t="s">
        <v>1389</v>
      </c>
      <c r="Y3348" s="44" t="s">
        <v>1389</v>
      </c>
      <c r="AA3348" s="323"/>
      <c r="AB3348" s="323"/>
      <c r="AC3348" s="32" t="s">
        <v>518</v>
      </c>
      <c r="AD3348" s="32">
        <f t="shared" si="455"/>
        <v>7.9</v>
      </c>
      <c r="AE3348" s="32">
        <v>0.6</v>
      </c>
      <c r="AG3348" s="32" t="s">
        <v>3192</v>
      </c>
      <c r="AH3348" s="32" t="s">
        <v>3207</v>
      </c>
      <c r="AI3348" s="32" t="s">
        <v>577</v>
      </c>
      <c r="AJ3348" s="32" t="s">
        <v>1645</v>
      </c>
      <c r="AK3348" s="32" t="s">
        <v>132</v>
      </c>
      <c r="AW3348" s="32" t="s">
        <v>3194</v>
      </c>
      <c r="AX3348" s="32">
        <v>3</v>
      </c>
      <c r="AZ3348" s="32" t="s">
        <v>141</v>
      </c>
      <c r="BK3348" s="32">
        <v>1646.8</v>
      </c>
      <c r="BL3348" s="32">
        <v>1468.5</v>
      </c>
      <c r="BM3348" s="32">
        <f t="shared" ref="BM3348:BN3349" si="457">1600-1412</f>
        <v>188</v>
      </c>
      <c r="BN3348" s="32">
        <f t="shared" si="457"/>
        <v>188</v>
      </c>
      <c r="BO3348" s="32" t="s">
        <v>3211</v>
      </c>
      <c r="BP3348" s="397"/>
      <c r="BQ3348" s="397"/>
      <c r="BU3348" s="397"/>
      <c r="BV3348" s="397"/>
      <c r="BZ3348" s="397"/>
      <c r="CA3348" s="397"/>
      <c r="CE3348" s="550"/>
      <c r="CF3348" s="550"/>
      <c r="CG3348" s="550"/>
      <c r="CH3348" s="550"/>
      <c r="JD3348" s="243"/>
    </row>
    <row r="3349" spans="1:264" s="32" customFormat="1" x14ac:dyDescent="0.25">
      <c r="A3349" s="32">
        <v>156</v>
      </c>
      <c r="B3349" s="44" t="s">
        <v>3205</v>
      </c>
      <c r="C3349" s="32" t="s">
        <v>3187</v>
      </c>
      <c r="D3349" s="32" t="s">
        <v>3188</v>
      </c>
      <c r="E3349" s="32">
        <v>2003</v>
      </c>
      <c r="F3349" s="32">
        <v>1992</v>
      </c>
      <c r="G3349" s="32" t="s">
        <v>2766</v>
      </c>
      <c r="H3349" s="32" t="s">
        <v>3191</v>
      </c>
      <c r="I3349" s="32" t="s">
        <v>3189</v>
      </c>
      <c r="J3349" s="32">
        <v>-3.68</v>
      </c>
      <c r="K3349" s="32">
        <v>33.43</v>
      </c>
      <c r="L3349" s="32">
        <v>1127</v>
      </c>
      <c r="O3349" s="32">
        <v>850</v>
      </c>
      <c r="P3349" s="32">
        <v>700</v>
      </c>
      <c r="R3349" s="44" t="s">
        <v>1847</v>
      </c>
      <c r="S3349" s="44" t="s">
        <v>1860</v>
      </c>
      <c r="T3349" s="44"/>
      <c r="U3349" s="44" t="s">
        <v>2231</v>
      </c>
      <c r="V3349" s="44" t="s">
        <v>1389</v>
      </c>
      <c r="W3349" s="44" t="s">
        <v>1720</v>
      </c>
      <c r="X3349" s="44" t="s">
        <v>1389</v>
      </c>
      <c r="Y3349" s="44" t="s">
        <v>1389</v>
      </c>
      <c r="AA3349" s="323"/>
      <c r="AB3349" s="323"/>
      <c r="AC3349" s="32" t="s">
        <v>518</v>
      </c>
      <c r="AD3349" s="32">
        <f t="shared" si="455"/>
        <v>7.9</v>
      </c>
      <c r="AE3349" s="32">
        <v>0.6</v>
      </c>
      <c r="AG3349" s="32" t="s">
        <v>3192</v>
      </c>
      <c r="AH3349" s="32" t="s">
        <v>3208</v>
      </c>
      <c r="AI3349" s="32" t="s">
        <v>577</v>
      </c>
      <c r="AJ3349" s="32" t="s">
        <v>1645</v>
      </c>
      <c r="AK3349" s="32" t="s">
        <v>132</v>
      </c>
      <c r="AW3349" s="32" t="s">
        <v>3194</v>
      </c>
      <c r="AX3349" s="32">
        <v>3</v>
      </c>
      <c r="AZ3349" s="32" t="s">
        <v>141</v>
      </c>
      <c r="BK3349" s="32">
        <v>1646.8</v>
      </c>
      <c r="BL3349" s="32">
        <v>1112</v>
      </c>
      <c r="BM3349" s="32">
        <f t="shared" si="457"/>
        <v>188</v>
      </c>
      <c r="BN3349" s="32">
        <f t="shared" si="457"/>
        <v>188</v>
      </c>
      <c r="BO3349" s="32" t="s">
        <v>3211</v>
      </c>
      <c r="BP3349" s="397"/>
      <c r="BQ3349" s="397"/>
      <c r="BU3349" s="397"/>
      <c r="BV3349" s="397"/>
      <c r="BZ3349" s="397"/>
      <c r="CA3349" s="397"/>
      <c r="CE3349" s="550"/>
      <c r="CF3349" s="550"/>
      <c r="CG3349" s="550"/>
      <c r="CH3349" s="550"/>
      <c r="JD3349" s="243"/>
    </row>
    <row r="3350" spans="1:264" s="24" customFormat="1" x14ac:dyDescent="0.25">
      <c r="A3350" s="24">
        <v>156</v>
      </c>
      <c r="B3350" s="42" t="s">
        <v>3205</v>
      </c>
      <c r="C3350" s="24" t="s">
        <v>3187</v>
      </c>
      <c r="D3350" s="24" t="s">
        <v>3188</v>
      </c>
      <c r="E3350" s="24">
        <v>2003</v>
      </c>
      <c r="F3350" s="24">
        <v>1993</v>
      </c>
      <c r="G3350" s="24" t="s">
        <v>2766</v>
      </c>
      <c r="H3350" s="24" t="s">
        <v>3191</v>
      </c>
      <c r="I3350" s="24" t="s">
        <v>3189</v>
      </c>
      <c r="J3350" s="24">
        <v>-3.68</v>
      </c>
      <c r="K3350" s="24">
        <v>33.43</v>
      </c>
      <c r="L3350" s="24">
        <v>1127</v>
      </c>
      <c r="O3350" s="24">
        <v>520</v>
      </c>
      <c r="P3350" s="24">
        <v>700</v>
      </c>
      <c r="R3350" s="42" t="s">
        <v>1728</v>
      </c>
      <c r="S3350" s="42" t="s">
        <v>1860</v>
      </c>
      <c r="T3350" s="42"/>
      <c r="U3350" s="42" t="s">
        <v>2231</v>
      </c>
      <c r="V3350" s="42" t="s">
        <v>1389</v>
      </c>
      <c r="W3350" s="42" t="s">
        <v>1720</v>
      </c>
      <c r="X3350" s="42" t="s">
        <v>1389</v>
      </c>
      <c r="Y3350" s="42" t="s">
        <v>1389</v>
      </c>
      <c r="AA3350" s="321"/>
      <c r="AB3350" s="321"/>
      <c r="AC3350" s="24" t="s">
        <v>518</v>
      </c>
      <c r="AD3350" s="24">
        <f t="shared" si="455"/>
        <v>7.9</v>
      </c>
      <c r="AE3350" s="24">
        <v>0.6</v>
      </c>
      <c r="AG3350" s="24" t="s">
        <v>3192</v>
      </c>
      <c r="AH3350" s="24" t="s">
        <v>3206</v>
      </c>
      <c r="AI3350" s="24" t="s">
        <v>577</v>
      </c>
      <c r="AJ3350" s="24" t="s">
        <v>1645</v>
      </c>
      <c r="AK3350" s="24" t="s">
        <v>132</v>
      </c>
      <c r="AW3350" s="24" t="s">
        <v>3194</v>
      </c>
      <c r="AX3350" s="24">
        <v>3</v>
      </c>
      <c r="AZ3350" s="24" t="s">
        <v>141</v>
      </c>
      <c r="BK3350" s="24">
        <v>849.2</v>
      </c>
      <c r="BL3350" s="24">
        <v>380</v>
      </c>
      <c r="BM3350" s="24">
        <f>1562-1459</f>
        <v>103</v>
      </c>
      <c r="BN3350" s="24">
        <f>1562-1459</f>
        <v>103</v>
      </c>
      <c r="BO3350" s="24" t="s">
        <v>3211</v>
      </c>
      <c r="BP3350" s="395"/>
      <c r="BQ3350" s="395"/>
      <c r="BU3350" s="395"/>
      <c r="BV3350" s="395"/>
      <c r="BZ3350" s="395"/>
      <c r="CA3350" s="395"/>
      <c r="CE3350" s="548"/>
      <c r="CF3350" s="548"/>
      <c r="CG3350" s="548"/>
      <c r="CH3350" s="548"/>
      <c r="JD3350" s="249"/>
    </row>
    <row r="3351" spans="1:264" s="24" customFormat="1" x14ac:dyDescent="0.25">
      <c r="A3351" s="24">
        <v>156</v>
      </c>
      <c r="B3351" s="42" t="s">
        <v>3205</v>
      </c>
      <c r="C3351" s="24" t="s">
        <v>3187</v>
      </c>
      <c r="D3351" s="24" t="s">
        <v>3188</v>
      </c>
      <c r="E3351" s="24">
        <v>2003</v>
      </c>
      <c r="F3351" s="24">
        <v>1993</v>
      </c>
      <c r="G3351" s="24" t="s">
        <v>2766</v>
      </c>
      <c r="H3351" s="24" t="s">
        <v>3191</v>
      </c>
      <c r="I3351" s="24" t="s">
        <v>3189</v>
      </c>
      <c r="J3351" s="24">
        <v>-3.68</v>
      </c>
      <c r="K3351" s="24">
        <v>33.43</v>
      </c>
      <c r="L3351" s="24">
        <v>1127</v>
      </c>
      <c r="O3351" s="24">
        <v>520</v>
      </c>
      <c r="P3351" s="24">
        <v>700</v>
      </c>
      <c r="R3351" s="42" t="s">
        <v>1728</v>
      </c>
      <c r="S3351" s="42" t="s">
        <v>1860</v>
      </c>
      <c r="T3351" s="42"/>
      <c r="U3351" s="42" t="s">
        <v>2231</v>
      </c>
      <c r="V3351" s="42" t="s">
        <v>1389</v>
      </c>
      <c r="W3351" s="42" t="s">
        <v>1720</v>
      </c>
      <c r="X3351" s="42" t="s">
        <v>1389</v>
      </c>
      <c r="Y3351" s="42" t="s">
        <v>1389</v>
      </c>
      <c r="AA3351" s="321"/>
      <c r="AB3351" s="321"/>
      <c r="AC3351" s="24" t="s">
        <v>518</v>
      </c>
      <c r="AD3351" s="24">
        <f t="shared" si="455"/>
        <v>7.9</v>
      </c>
      <c r="AE3351" s="24">
        <v>0.6</v>
      </c>
      <c r="AG3351" s="24" t="s">
        <v>3192</v>
      </c>
      <c r="AH3351" s="24" t="s">
        <v>3207</v>
      </c>
      <c r="AI3351" s="24" t="s">
        <v>577</v>
      </c>
      <c r="AJ3351" s="24" t="s">
        <v>1645</v>
      </c>
      <c r="AK3351" s="24" t="s">
        <v>132</v>
      </c>
      <c r="AW3351" s="24" t="s">
        <v>3194</v>
      </c>
      <c r="AX3351" s="24">
        <v>3</v>
      </c>
      <c r="AZ3351" s="24" t="s">
        <v>141</v>
      </c>
      <c r="BK3351" s="24">
        <v>849.2</v>
      </c>
      <c r="BL3351" s="24">
        <v>352</v>
      </c>
      <c r="BM3351" s="24">
        <f t="shared" ref="BM3351:BN3352" si="458">1562-1459</f>
        <v>103</v>
      </c>
      <c r="BN3351" s="24">
        <f t="shared" si="458"/>
        <v>103</v>
      </c>
      <c r="BO3351" s="24" t="s">
        <v>3211</v>
      </c>
      <c r="BP3351" s="395"/>
      <c r="BQ3351" s="395"/>
      <c r="BU3351" s="395"/>
      <c r="BV3351" s="395"/>
      <c r="BZ3351" s="395"/>
      <c r="CA3351" s="395"/>
      <c r="CE3351" s="548"/>
      <c r="CF3351" s="548"/>
      <c r="CG3351" s="548"/>
      <c r="CH3351" s="548"/>
      <c r="JD3351" s="249"/>
    </row>
    <row r="3352" spans="1:264" s="24" customFormat="1" x14ac:dyDescent="0.25">
      <c r="A3352" s="24">
        <v>156</v>
      </c>
      <c r="B3352" s="42" t="s">
        <v>3205</v>
      </c>
      <c r="C3352" s="24" t="s">
        <v>3187</v>
      </c>
      <c r="D3352" s="24" t="s">
        <v>3188</v>
      </c>
      <c r="E3352" s="24">
        <v>2003</v>
      </c>
      <c r="F3352" s="24">
        <v>1993</v>
      </c>
      <c r="G3352" s="24" t="s">
        <v>2766</v>
      </c>
      <c r="H3352" s="24" t="s">
        <v>3191</v>
      </c>
      <c r="I3352" s="24" t="s">
        <v>3189</v>
      </c>
      <c r="J3352" s="24">
        <v>-3.68</v>
      </c>
      <c r="K3352" s="24">
        <v>33.43</v>
      </c>
      <c r="L3352" s="24">
        <v>1127</v>
      </c>
      <c r="O3352" s="24">
        <v>520</v>
      </c>
      <c r="P3352" s="24">
        <v>700</v>
      </c>
      <c r="R3352" s="42" t="s">
        <v>1728</v>
      </c>
      <c r="S3352" s="42" t="s">
        <v>1860</v>
      </c>
      <c r="T3352" s="42"/>
      <c r="U3352" s="42" t="s">
        <v>2231</v>
      </c>
      <c r="V3352" s="42" t="s">
        <v>1389</v>
      </c>
      <c r="W3352" s="42" t="s">
        <v>1720</v>
      </c>
      <c r="X3352" s="42" t="s">
        <v>1389</v>
      </c>
      <c r="Y3352" s="42" t="s">
        <v>1389</v>
      </c>
      <c r="AA3352" s="321"/>
      <c r="AB3352" s="321"/>
      <c r="AC3352" s="24" t="s">
        <v>518</v>
      </c>
      <c r="AD3352" s="24">
        <f t="shared" si="455"/>
        <v>7.9</v>
      </c>
      <c r="AE3352" s="24">
        <v>0.6</v>
      </c>
      <c r="AG3352" s="24" t="s">
        <v>3192</v>
      </c>
      <c r="AH3352" s="24" t="s">
        <v>3208</v>
      </c>
      <c r="AI3352" s="24" t="s">
        <v>577</v>
      </c>
      <c r="AJ3352" s="24" t="s">
        <v>1645</v>
      </c>
      <c r="AK3352" s="24" t="s">
        <v>132</v>
      </c>
      <c r="AW3352" s="24" t="s">
        <v>3194</v>
      </c>
      <c r="AX3352" s="24">
        <v>3</v>
      </c>
      <c r="AZ3352" s="24" t="s">
        <v>141</v>
      </c>
      <c r="BK3352" s="24">
        <v>849.2</v>
      </c>
      <c r="BL3352" s="24">
        <v>398.8</v>
      </c>
      <c r="BM3352" s="24">
        <f t="shared" si="458"/>
        <v>103</v>
      </c>
      <c r="BN3352" s="24">
        <f t="shared" si="458"/>
        <v>103</v>
      </c>
      <c r="BO3352" s="24" t="s">
        <v>3211</v>
      </c>
      <c r="BP3352" s="395"/>
      <c r="BQ3352" s="395"/>
      <c r="BU3352" s="395"/>
      <c r="BV3352" s="395"/>
      <c r="BZ3352" s="395"/>
      <c r="CA3352" s="395"/>
      <c r="CE3352" s="548"/>
      <c r="CF3352" s="548"/>
      <c r="CG3352" s="548"/>
      <c r="CH3352" s="548"/>
      <c r="JD3352" s="249"/>
    </row>
    <row r="3353" spans="1:264" s="32" customFormat="1" x14ac:dyDescent="0.25">
      <c r="A3353" s="32">
        <v>156</v>
      </c>
      <c r="B3353" s="44" t="s">
        <v>3209</v>
      </c>
      <c r="C3353" s="32" t="s">
        <v>3187</v>
      </c>
      <c r="D3353" s="32" t="s">
        <v>3188</v>
      </c>
      <c r="E3353" s="32">
        <v>2003</v>
      </c>
      <c r="F3353" s="32">
        <v>1998</v>
      </c>
      <c r="G3353" s="32" t="s">
        <v>2766</v>
      </c>
      <c r="H3353" s="32" t="s">
        <v>3191</v>
      </c>
      <c r="I3353" s="32" t="s">
        <v>3189</v>
      </c>
      <c r="J3353" s="32">
        <v>-3.68</v>
      </c>
      <c r="K3353" s="32">
        <v>33.43</v>
      </c>
      <c r="L3353" s="32">
        <v>1127</v>
      </c>
      <c r="O3353" s="32">
        <v>513</v>
      </c>
      <c r="P3353" s="32">
        <v>700</v>
      </c>
      <c r="R3353" s="44" t="s">
        <v>1982</v>
      </c>
      <c r="S3353" s="44" t="s">
        <v>1860</v>
      </c>
      <c r="T3353" s="44"/>
      <c r="U3353" s="44" t="s">
        <v>2231</v>
      </c>
      <c r="V3353" s="44" t="s">
        <v>1389</v>
      </c>
      <c r="W3353" s="44" t="s">
        <v>1720</v>
      </c>
      <c r="X3353" s="44" t="s">
        <v>1389</v>
      </c>
      <c r="Y3353" s="44" t="s">
        <v>1389</v>
      </c>
      <c r="AA3353" s="323"/>
      <c r="AB3353" s="323"/>
      <c r="AC3353" s="32" t="s">
        <v>518</v>
      </c>
      <c r="AD3353" s="32">
        <f t="shared" si="455"/>
        <v>7.9</v>
      </c>
      <c r="AE3353" s="32">
        <v>0.6</v>
      </c>
      <c r="AG3353" s="32" t="s">
        <v>3192</v>
      </c>
      <c r="AH3353" s="32" t="s">
        <v>3206</v>
      </c>
      <c r="AI3353" s="32" t="s">
        <v>577</v>
      </c>
      <c r="AJ3353" s="32" t="s">
        <v>1645</v>
      </c>
      <c r="AK3353" s="32" t="s">
        <v>132</v>
      </c>
      <c r="AW3353" s="32" t="s">
        <v>2780</v>
      </c>
      <c r="AX3353" s="32">
        <v>3</v>
      </c>
      <c r="AZ3353" s="32" t="s">
        <v>141</v>
      </c>
      <c r="BK3353" s="32">
        <v>2003.35</v>
      </c>
      <c r="BL3353" s="32">
        <v>3214</v>
      </c>
      <c r="BM3353" s="32">
        <f>2097.19-1909.52</f>
        <v>187.67000000000007</v>
      </c>
      <c r="BN3353" s="32">
        <f>2097.19-1909.52</f>
        <v>187.67000000000007</v>
      </c>
      <c r="BO3353" s="32" t="s">
        <v>3211</v>
      </c>
      <c r="BP3353" s="397"/>
      <c r="BQ3353" s="397"/>
      <c r="BU3353" s="397"/>
      <c r="BV3353" s="397"/>
      <c r="BZ3353" s="397"/>
      <c r="CA3353" s="397"/>
      <c r="CE3353" s="550"/>
      <c r="CF3353" s="550"/>
      <c r="CG3353" s="550"/>
      <c r="CH3353" s="550"/>
      <c r="CJ3353" s="32">
        <v>50.68</v>
      </c>
      <c r="CK3353" s="32">
        <v>81.66</v>
      </c>
      <c r="CL3353" s="32">
        <f>63.45-56.66</f>
        <v>6.7900000000000063</v>
      </c>
      <c r="CM3353" s="32">
        <f>63.45-56.66</f>
        <v>6.7900000000000063</v>
      </c>
      <c r="CN3353" s="32" t="s">
        <v>3212</v>
      </c>
      <c r="JD3353" s="243"/>
    </row>
    <row r="3354" spans="1:264" s="32" customFormat="1" x14ac:dyDescent="0.25">
      <c r="A3354" s="32">
        <v>156</v>
      </c>
      <c r="B3354" s="44" t="s">
        <v>3209</v>
      </c>
      <c r="C3354" s="32" t="s">
        <v>3187</v>
      </c>
      <c r="D3354" s="32" t="s">
        <v>3188</v>
      </c>
      <c r="E3354" s="32">
        <v>2003</v>
      </c>
      <c r="F3354" s="32">
        <v>1998</v>
      </c>
      <c r="G3354" s="32" t="s">
        <v>2766</v>
      </c>
      <c r="H3354" s="32" t="s">
        <v>3191</v>
      </c>
      <c r="I3354" s="32" t="s">
        <v>3189</v>
      </c>
      <c r="J3354" s="32">
        <v>-3.68</v>
      </c>
      <c r="K3354" s="32">
        <v>33.43</v>
      </c>
      <c r="L3354" s="32">
        <v>1127</v>
      </c>
      <c r="O3354" s="32">
        <v>513</v>
      </c>
      <c r="P3354" s="32">
        <v>700</v>
      </c>
      <c r="R3354" s="44" t="s">
        <v>1982</v>
      </c>
      <c r="S3354" s="44" t="s">
        <v>1860</v>
      </c>
      <c r="T3354" s="44"/>
      <c r="U3354" s="44" t="s">
        <v>2231</v>
      </c>
      <c r="V3354" s="44" t="s">
        <v>1389</v>
      </c>
      <c r="W3354" s="44" t="s">
        <v>1720</v>
      </c>
      <c r="X3354" s="44" t="s">
        <v>1389</v>
      </c>
      <c r="Y3354" s="44" t="s">
        <v>1389</v>
      </c>
      <c r="AA3354" s="323"/>
      <c r="AB3354" s="323"/>
      <c r="AC3354" s="32" t="s">
        <v>518</v>
      </c>
      <c r="AD3354" s="32">
        <f t="shared" si="455"/>
        <v>7.9</v>
      </c>
      <c r="AE3354" s="32">
        <v>0.6</v>
      </c>
      <c r="AG3354" s="32" t="s">
        <v>3192</v>
      </c>
      <c r="AH3354" s="32" t="s">
        <v>3207</v>
      </c>
      <c r="AI3354" s="32" t="s">
        <v>577</v>
      </c>
      <c r="AJ3354" s="32" t="s">
        <v>1645</v>
      </c>
      <c r="AK3354" s="32" t="s">
        <v>132</v>
      </c>
      <c r="AW3354" s="32" t="s">
        <v>2780</v>
      </c>
      <c r="AX3354" s="32">
        <v>3</v>
      </c>
      <c r="AZ3354" s="32" t="s">
        <v>141</v>
      </c>
      <c r="BK3354" s="32">
        <v>2003.35</v>
      </c>
      <c r="BL3354" s="32">
        <v>2801</v>
      </c>
      <c r="BM3354" s="32">
        <f t="shared" ref="BM3354:BN3355" si="459">2097.19-1909.52</f>
        <v>187.67000000000007</v>
      </c>
      <c r="BN3354" s="32">
        <f t="shared" si="459"/>
        <v>187.67000000000007</v>
      </c>
      <c r="BO3354" s="32" t="s">
        <v>3211</v>
      </c>
      <c r="BP3354" s="397"/>
      <c r="BQ3354" s="397"/>
      <c r="BU3354" s="397"/>
      <c r="BV3354" s="397"/>
      <c r="BZ3354" s="397"/>
      <c r="CA3354" s="397"/>
      <c r="CE3354" s="550"/>
      <c r="CF3354" s="550"/>
      <c r="CG3354" s="550"/>
      <c r="CH3354" s="550"/>
      <c r="CJ3354" s="32">
        <v>50.68</v>
      </c>
      <c r="CK3354" s="32">
        <v>87.36</v>
      </c>
      <c r="CL3354" s="32">
        <f t="shared" ref="CL3354:CM3355" si="460">63.45-56.66</f>
        <v>6.7900000000000063</v>
      </c>
      <c r="CM3354" s="32">
        <f t="shared" si="460"/>
        <v>6.7900000000000063</v>
      </c>
      <c r="CN3354" s="32" t="s">
        <v>3212</v>
      </c>
      <c r="JD3354" s="243"/>
    </row>
    <row r="3355" spans="1:264" s="32" customFormat="1" x14ac:dyDescent="0.25">
      <c r="A3355" s="32">
        <v>156</v>
      </c>
      <c r="B3355" s="44" t="s">
        <v>3209</v>
      </c>
      <c r="C3355" s="32" t="s">
        <v>3187</v>
      </c>
      <c r="D3355" s="32" t="s">
        <v>3188</v>
      </c>
      <c r="E3355" s="32">
        <v>2003</v>
      </c>
      <c r="F3355" s="32">
        <v>1998</v>
      </c>
      <c r="G3355" s="32" t="s">
        <v>2766</v>
      </c>
      <c r="H3355" s="32" t="s">
        <v>3191</v>
      </c>
      <c r="I3355" s="32" t="s">
        <v>3189</v>
      </c>
      <c r="J3355" s="32">
        <v>-3.68</v>
      </c>
      <c r="K3355" s="32">
        <v>33.43</v>
      </c>
      <c r="L3355" s="32">
        <v>1127</v>
      </c>
      <c r="O3355" s="32">
        <v>513</v>
      </c>
      <c r="P3355" s="32">
        <v>700</v>
      </c>
      <c r="R3355" s="44" t="s">
        <v>1982</v>
      </c>
      <c r="S3355" s="44" t="s">
        <v>1860</v>
      </c>
      <c r="T3355" s="44"/>
      <c r="U3355" s="44" t="s">
        <v>2231</v>
      </c>
      <c r="V3355" s="44" t="s">
        <v>1389</v>
      </c>
      <c r="W3355" s="44" t="s">
        <v>1720</v>
      </c>
      <c r="X3355" s="44" t="s">
        <v>1389</v>
      </c>
      <c r="Y3355" s="44" t="s">
        <v>1389</v>
      </c>
      <c r="AA3355" s="323"/>
      <c r="AB3355" s="323"/>
      <c r="AC3355" s="32" t="s">
        <v>518</v>
      </c>
      <c r="AD3355" s="32">
        <f t="shared" si="455"/>
        <v>7.9</v>
      </c>
      <c r="AE3355" s="32">
        <v>0.6</v>
      </c>
      <c r="AG3355" s="32" t="s">
        <v>3192</v>
      </c>
      <c r="AH3355" s="32" t="s">
        <v>3208</v>
      </c>
      <c r="AI3355" s="32" t="s">
        <v>577</v>
      </c>
      <c r="AJ3355" s="32" t="s">
        <v>1645</v>
      </c>
      <c r="AK3355" s="32" t="s">
        <v>132</v>
      </c>
      <c r="AW3355" s="32" t="s">
        <v>2780</v>
      </c>
      <c r="AX3355" s="32">
        <v>3</v>
      </c>
      <c r="AZ3355" s="32" t="s">
        <v>141</v>
      </c>
      <c r="BK3355" s="32">
        <v>2003.35</v>
      </c>
      <c r="BL3355" s="32">
        <v>2500.6999999999998</v>
      </c>
      <c r="BM3355" s="32">
        <f t="shared" si="459"/>
        <v>187.67000000000007</v>
      </c>
      <c r="BN3355" s="32">
        <f t="shared" si="459"/>
        <v>187.67000000000007</v>
      </c>
      <c r="BO3355" s="32" t="s">
        <v>3211</v>
      </c>
      <c r="BP3355" s="397"/>
      <c r="BQ3355" s="397"/>
      <c r="BU3355" s="397"/>
      <c r="BV3355" s="397"/>
      <c r="BZ3355" s="397"/>
      <c r="CA3355" s="397"/>
      <c r="CE3355" s="550"/>
      <c r="CF3355" s="550"/>
      <c r="CG3355" s="550"/>
      <c r="CH3355" s="550"/>
      <c r="CJ3355" s="32">
        <v>50.68</v>
      </c>
      <c r="CK3355" s="32">
        <v>72.959999999999994</v>
      </c>
      <c r="CL3355" s="32">
        <f t="shared" si="460"/>
        <v>6.7900000000000063</v>
      </c>
      <c r="CM3355" s="32">
        <f t="shared" si="460"/>
        <v>6.7900000000000063</v>
      </c>
      <c r="CN3355" s="32" t="s">
        <v>3212</v>
      </c>
      <c r="JD3355" s="243"/>
    </row>
    <row r="3356" spans="1:264" s="24" customFormat="1" x14ac:dyDescent="0.25">
      <c r="A3356" s="24">
        <v>156</v>
      </c>
      <c r="B3356" s="42" t="s">
        <v>3209</v>
      </c>
      <c r="C3356" s="24" t="s">
        <v>3187</v>
      </c>
      <c r="D3356" s="24" t="s">
        <v>3188</v>
      </c>
      <c r="E3356" s="24">
        <v>2003</v>
      </c>
      <c r="F3356" s="24">
        <v>1999</v>
      </c>
      <c r="G3356" s="24" t="s">
        <v>2766</v>
      </c>
      <c r="H3356" s="24" t="s">
        <v>3191</v>
      </c>
      <c r="I3356" s="24" t="s">
        <v>3189</v>
      </c>
      <c r="J3356" s="24">
        <v>-3.68</v>
      </c>
      <c r="K3356" s="24">
        <v>33.43</v>
      </c>
      <c r="L3356" s="24">
        <v>1127</v>
      </c>
      <c r="O3356" s="24">
        <v>463</v>
      </c>
      <c r="P3356" s="24">
        <v>700</v>
      </c>
      <c r="R3356" s="42" t="s">
        <v>1975</v>
      </c>
      <c r="S3356" s="42" t="s">
        <v>1860</v>
      </c>
      <c r="T3356" s="42"/>
      <c r="U3356" s="42" t="s">
        <v>2231</v>
      </c>
      <c r="V3356" s="42" t="s">
        <v>1389</v>
      </c>
      <c r="W3356" s="42" t="s">
        <v>1720</v>
      </c>
      <c r="X3356" s="42" t="s">
        <v>1389</v>
      </c>
      <c r="Y3356" s="42" t="s">
        <v>1389</v>
      </c>
      <c r="AA3356" s="321"/>
      <c r="AB3356" s="321"/>
      <c r="AC3356" s="24" t="s">
        <v>518</v>
      </c>
      <c r="AD3356" s="24">
        <f t="shared" si="455"/>
        <v>7.9</v>
      </c>
      <c r="AE3356" s="24">
        <v>0.6</v>
      </c>
      <c r="AG3356" s="24" t="s">
        <v>3192</v>
      </c>
      <c r="AH3356" s="24" t="s">
        <v>3206</v>
      </c>
      <c r="AI3356" s="24" t="s">
        <v>577</v>
      </c>
      <c r="AJ3356" s="24" t="s">
        <v>1645</v>
      </c>
      <c r="AK3356" s="24" t="s">
        <v>132</v>
      </c>
      <c r="AW3356" s="24" t="s">
        <v>2780</v>
      </c>
      <c r="AX3356" s="24">
        <v>3</v>
      </c>
      <c r="AZ3356" s="24" t="s">
        <v>141</v>
      </c>
      <c r="BK3356" s="24">
        <v>1205.76</v>
      </c>
      <c r="BL3356" s="24">
        <v>1909.5</v>
      </c>
      <c r="BM3356" s="24">
        <f>2116-1881</f>
        <v>235</v>
      </c>
      <c r="BN3356" s="24">
        <f>2116-1881</f>
        <v>235</v>
      </c>
      <c r="BO3356" s="24" t="s">
        <v>3211</v>
      </c>
      <c r="BP3356" s="395"/>
      <c r="BQ3356" s="395"/>
      <c r="BU3356" s="395"/>
      <c r="BV3356" s="395"/>
      <c r="BZ3356" s="395"/>
      <c r="CA3356" s="395"/>
      <c r="CE3356" s="548"/>
      <c r="CF3356" s="548"/>
      <c r="CG3356" s="548"/>
      <c r="CH3356" s="548"/>
      <c r="CJ3356" s="24">
        <v>34.65</v>
      </c>
      <c r="CK3356" s="24">
        <v>47.96</v>
      </c>
      <c r="CL3356" s="24">
        <f>53.12-46.88</f>
        <v>6.2399999999999949</v>
      </c>
      <c r="CM3356" s="24">
        <f>53.12-46.88</f>
        <v>6.2399999999999949</v>
      </c>
      <c r="CN3356" s="24" t="s">
        <v>3212</v>
      </c>
      <c r="JD3356" s="249"/>
    </row>
    <row r="3357" spans="1:264" s="24" customFormat="1" x14ac:dyDescent="0.25">
      <c r="A3357" s="24">
        <v>156</v>
      </c>
      <c r="B3357" s="42" t="s">
        <v>3209</v>
      </c>
      <c r="C3357" s="24" t="s">
        <v>3187</v>
      </c>
      <c r="D3357" s="24" t="s">
        <v>3188</v>
      </c>
      <c r="E3357" s="24">
        <v>2003</v>
      </c>
      <c r="F3357" s="24">
        <v>1999</v>
      </c>
      <c r="G3357" s="24" t="s">
        <v>2766</v>
      </c>
      <c r="H3357" s="24" t="s">
        <v>3191</v>
      </c>
      <c r="I3357" s="24" t="s">
        <v>3189</v>
      </c>
      <c r="J3357" s="24">
        <v>-3.68</v>
      </c>
      <c r="K3357" s="24">
        <v>33.43</v>
      </c>
      <c r="L3357" s="24">
        <v>1127</v>
      </c>
      <c r="O3357" s="24">
        <v>463</v>
      </c>
      <c r="P3357" s="24">
        <v>700</v>
      </c>
      <c r="R3357" s="42" t="s">
        <v>1975</v>
      </c>
      <c r="S3357" s="42" t="s">
        <v>1860</v>
      </c>
      <c r="T3357" s="42"/>
      <c r="U3357" s="42" t="s">
        <v>2231</v>
      </c>
      <c r="V3357" s="42" t="s">
        <v>1389</v>
      </c>
      <c r="W3357" s="42" t="s">
        <v>1720</v>
      </c>
      <c r="X3357" s="42" t="s">
        <v>1389</v>
      </c>
      <c r="Y3357" s="42" t="s">
        <v>1389</v>
      </c>
      <c r="AA3357" s="321"/>
      <c r="AB3357" s="321"/>
      <c r="AC3357" s="24" t="s">
        <v>518</v>
      </c>
      <c r="AD3357" s="24">
        <f t="shared" si="455"/>
        <v>7.9</v>
      </c>
      <c r="AE3357" s="24">
        <v>0.6</v>
      </c>
      <c r="AG3357" s="24" t="s">
        <v>3192</v>
      </c>
      <c r="AH3357" s="24" t="s">
        <v>3207</v>
      </c>
      <c r="AI3357" s="24" t="s">
        <v>577</v>
      </c>
      <c r="AJ3357" s="24" t="s">
        <v>1645</v>
      </c>
      <c r="AK3357" s="24" t="s">
        <v>132</v>
      </c>
      <c r="AW3357" s="24" t="s">
        <v>2780</v>
      </c>
      <c r="AX3357" s="24">
        <v>3</v>
      </c>
      <c r="AZ3357" s="24" t="s">
        <v>141</v>
      </c>
      <c r="BK3357" s="24">
        <v>1205.76</v>
      </c>
      <c r="BL3357" s="24">
        <v>2200.4</v>
      </c>
      <c r="BM3357" s="24">
        <f t="shared" ref="BM3357:BN3358" si="461">2116-1881</f>
        <v>235</v>
      </c>
      <c r="BN3357" s="24">
        <f t="shared" si="461"/>
        <v>235</v>
      </c>
      <c r="BO3357" s="24" t="s">
        <v>3211</v>
      </c>
      <c r="BP3357" s="395"/>
      <c r="BQ3357" s="395"/>
      <c r="BU3357" s="395"/>
      <c r="BV3357" s="395"/>
      <c r="BZ3357" s="395"/>
      <c r="CA3357" s="395"/>
      <c r="CE3357" s="548"/>
      <c r="CF3357" s="548"/>
      <c r="CG3357" s="548"/>
      <c r="CH3357" s="548"/>
      <c r="CJ3357" s="24">
        <v>34.65</v>
      </c>
      <c r="CK3357" s="24">
        <v>56.93</v>
      </c>
      <c r="CL3357" s="24">
        <f t="shared" ref="CL3357:CM3358" si="462">53.12-46.88</f>
        <v>6.2399999999999949</v>
      </c>
      <c r="CM3357" s="24">
        <f t="shared" si="462"/>
        <v>6.2399999999999949</v>
      </c>
      <c r="CN3357" s="24" t="s">
        <v>3212</v>
      </c>
      <c r="JD3357" s="249"/>
    </row>
    <row r="3358" spans="1:264" s="24" customFormat="1" x14ac:dyDescent="0.25">
      <c r="A3358" s="24">
        <v>156</v>
      </c>
      <c r="B3358" s="42" t="s">
        <v>3209</v>
      </c>
      <c r="C3358" s="24" t="s">
        <v>3187</v>
      </c>
      <c r="D3358" s="24" t="s">
        <v>3188</v>
      </c>
      <c r="E3358" s="24">
        <v>2003</v>
      </c>
      <c r="F3358" s="24">
        <v>1999</v>
      </c>
      <c r="G3358" s="24" t="s">
        <v>2766</v>
      </c>
      <c r="H3358" s="24" t="s">
        <v>3191</v>
      </c>
      <c r="I3358" s="24" t="s">
        <v>3189</v>
      </c>
      <c r="J3358" s="24">
        <v>-3.68</v>
      </c>
      <c r="K3358" s="24">
        <v>33.43</v>
      </c>
      <c r="L3358" s="24">
        <v>1127</v>
      </c>
      <c r="O3358" s="24">
        <v>463</v>
      </c>
      <c r="P3358" s="24">
        <v>700</v>
      </c>
      <c r="R3358" s="42" t="s">
        <v>1975</v>
      </c>
      <c r="S3358" s="42" t="s">
        <v>1860</v>
      </c>
      <c r="T3358" s="42"/>
      <c r="U3358" s="42" t="s">
        <v>2231</v>
      </c>
      <c r="V3358" s="42" t="s">
        <v>1389</v>
      </c>
      <c r="W3358" s="42" t="s">
        <v>1720</v>
      </c>
      <c r="X3358" s="42" t="s">
        <v>1389</v>
      </c>
      <c r="Y3358" s="42" t="s">
        <v>1389</v>
      </c>
      <c r="AA3358" s="321"/>
      <c r="AB3358" s="321"/>
      <c r="AC3358" s="24" t="s">
        <v>518</v>
      </c>
      <c r="AD3358" s="24">
        <f t="shared" si="455"/>
        <v>7.9</v>
      </c>
      <c r="AE3358" s="24">
        <v>0.6</v>
      </c>
      <c r="AG3358" s="24" t="s">
        <v>3192</v>
      </c>
      <c r="AH3358" s="24" t="s">
        <v>3208</v>
      </c>
      <c r="AI3358" s="24" t="s">
        <v>577</v>
      </c>
      <c r="AJ3358" s="24" t="s">
        <v>1645</v>
      </c>
      <c r="AK3358" s="24" t="s">
        <v>132</v>
      </c>
      <c r="AW3358" s="24" t="s">
        <v>2780</v>
      </c>
      <c r="AX3358" s="24">
        <v>3</v>
      </c>
      <c r="AZ3358" s="24" t="s">
        <v>141</v>
      </c>
      <c r="BK3358" s="24">
        <v>1205.76</v>
      </c>
      <c r="BL3358" s="24">
        <v>1599.9</v>
      </c>
      <c r="BM3358" s="24">
        <f t="shared" si="461"/>
        <v>235</v>
      </c>
      <c r="BN3358" s="24">
        <f t="shared" si="461"/>
        <v>235</v>
      </c>
      <c r="BO3358" s="24" t="s">
        <v>3211</v>
      </c>
      <c r="BP3358" s="395"/>
      <c r="BQ3358" s="395"/>
      <c r="BU3358" s="395"/>
      <c r="BV3358" s="395"/>
      <c r="BZ3358" s="395"/>
      <c r="CA3358" s="395"/>
      <c r="CE3358" s="548"/>
      <c r="CF3358" s="548"/>
      <c r="CG3358" s="548"/>
      <c r="CH3358" s="548"/>
      <c r="CJ3358" s="24">
        <v>34.65</v>
      </c>
      <c r="CK3358" s="24">
        <v>46.88</v>
      </c>
      <c r="CL3358" s="24">
        <f t="shared" si="462"/>
        <v>6.2399999999999949</v>
      </c>
      <c r="CM3358" s="24">
        <f t="shared" si="462"/>
        <v>6.2399999999999949</v>
      </c>
      <c r="CN3358" s="24" t="s">
        <v>3212</v>
      </c>
      <c r="JD3358" s="249"/>
    </row>
    <row r="3359" spans="1:264" s="32" customFormat="1" x14ac:dyDescent="0.25">
      <c r="A3359" s="32">
        <v>156</v>
      </c>
      <c r="B3359" s="44" t="s">
        <v>3209</v>
      </c>
      <c r="C3359" s="32" t="s">
        <v>3187</v>
      </c>
      <c r="D3359" s="32" t="s">
        <v>3188</v>
      </c>
      <c r="E3359" s="32">
        <v>2003</v>
      </c>
      <c r="F3359" s="32">
        <v>2000</v>
      </c>
      <c r="G3359" s="32" t="s">
        <v>2766</v>
      </c>
      <c r="H3359" s="32" t="s">
        <v>3191</v>
      </c>
      <c r="I3359" s="32" t="s">
        <v>3189</v>
      </c>
      <c r="J3359" s="32">
        <v>-3.68</v>
      </c>
      <c r="K3359" s="32">
        <v>33.43</v>
      </c>
      <c r="L3359" s="32">
        <v>1127</v>
      </c>
      <c r="O3359" s="32">
        <v>560</v>
      </c>
      <c r="P3359" s="32">
        <v>700</v>
      </c>
      <c r="R3359" s="44" t="s">
        <v>1719</v>
      </c>
      <c r="S3359" s="44" t="s">
        <v>1860</v>
      </c>
      <c r="T3359" s="44"/>
      <c r="U3359" s="44" t="s">
        <v>2231</v>
      </c>
      <c r="V3359" s="44" t="s">
        <v>1389</v>
      </c>
      <c r="W3359" s="44" t="s">
        <v>1720</v>
      </c>
      <c r="X3359" s="44" t="s">
        <v>1389</v>
      </c>
      <c r="Y3359" s="44" t="s">
        <v>1389</v>
      </c>
      <c r="AA3359" s="323"/>
      <c r="AB3359" s="323"/>
      <c r="AC3359" s="32" t="s">
        <v>518</v>
      </c>
      <c r="AD3359" s="32">
        <f t="shared" si="455"/>
        <v>7.9</v>
      </c>
      <c r="AE3359" s="32">
        <v>0.6</v>
      </c>
      <c r="AG3359" s="32" t="s">
        <v>3192</v>
      </c>
      <c r="AH3359" s="32" t="s">
        <v>3206</v>
      </c>
      <c r="AI3359" s="32" t="s">
        <v>577</v>
      </c>
      <c r="AJ3359" s="32" t="s">
        <v>1645</v>
      </c>
      <c r="AK3359" s="32" t="s">
        <v>132</v>
      </c>
      <c r="AW3359" s="32" t="s">
        <v>2780</v>
      </c>
      <c r="AX3359" s="32">
        <v>3</v>
      </c>
      <c r="AZ3359" s="32" t="s">
        <v>141</v>
      </c>
      <c r="BK3359" s="32">
        <v>1093.1600000000001</v>
      </c>
      <c r="BL3359" s="32">
        <v>1806</v>
      </c>
      <c r="BM3359" s="32">
        <f>2097-1900</f>
        <v>197</v>
      </c>
      <c r="BN3359" s="32">
        <f>2097-1900</f>
        <v>197</v>
      </c>
      <c r="BO3359" s="32" t="s">
        <v>3211</v>
      </c>
      <c r="BP3359" s="397"/>
      <c r="BQ3359" s="397"/>
      <c r="BU3359" s="397"/>
      <c r="BV3359" s="397"/>
      <c r="BZ3359" s="397"/>
      <c r="CA3359" s="397"/>
      <c r="CE3359" s="550"/>
      <c r="CF3359" s="550"/>
      <c r="CG3359" s="550"/>
      <c r="CH3359" s="550"/>
      <c r="CJ3359" s="32">
        <v>22.23</v>
      </c>
      <c r="CK3359" s="32">
        <v>35.19</v>
      </c>
      <c r="CL3359" s="32">
        <f>52.31-48.51</f>
        <v>3.8000000000000043</v>
      </c>
      <c r="CM3359" s="32">
        <f>52.31-48.51</f>
        <v>3.8000000000000043</v>
      </c>
      <c r="CN3359" s="32" t="s">
        <v>3212</v>
      </c>
      <c r="JD3359" s="243"/>
    </row>
    <row r="3360" spans="1:264" s="32" customFormat="1" x14ac:dyDescent="0.25">
      <c r="A3360" s="32">
        <v>156</v>
      </c>
      <c r="B3360" s="44" t="s">
        <v>3209</v>
      </c>
      <c r="C3360" s="32" t="s">
        <v>3187</v>
      </c>
      <c r="D3360" s="32" t="s">
        <v>3188</v>
      </c>
      <c r="E3360" s="32">
        <v>2003</v>
      </c>
      <c r="F3360" s="32">
        <v>2000</v>
      </c>
      <c r="G3360" s="32" t="s">
        <v>2766</v>
      </c>
      <c r="H3360" s="32" t="s">
        <v>3191</v>
      </c>
      <c r="I3360" s="32" t="s">
        <v>3189</v>
      </c>
      <c r="J3360" s="32">
        <v>-3.68</v>
      </c>
      <c r="K3360" s="32">
        <v>33.43</v>
      </c>
      <c r="L3360" s="32">
        <v>1127</v>
      </c>
      <c r="O3360" s="32">
        <v>560</v>
      </c>
      <c r="P3360" s="32">
        <v>700</v>
      </c>
      <c r="R3360" s="44" t="s">
        <v>1719</v>
      </c>
      <c r="S3360" s="44" t="s">
        <v>1860</v>
      </c>
      <c r="T3360" s="44"/>
      <c r="U3360" s="44" t="s">
        <v>2231</v>
      </c>
      <c r="V3360" s="44" t="s">
        <v>1389</v>
      </c>
      <c r="W3360" s="44" t="s">
        <v>1720</v>
      </c>
      <c r="X3360" s="44" t="s">
        <v>1389</v>
      </c>
      <c r="Y3360" s="44" t="s">
        <v>1389</v>
      </c>
      <c r="AA3360" s="323"/>
      <c r="AB3360" s="323"/>
      <c r="AC3360" s="32" t="s">
        <v>518</v>
      </c>
      <c r="AD3360" s="32">
        <f t="shared" si="455"/>
        <v>7.9</v>
      </c>
      <c r="AE3360" s="32">
        <v>0.6</v>
      </c>
      <c r="AG3360" s="32" t="s">
        <v>3192</v>
      </c>
      <c r="AH3360" s="32" t="s">
        <v>3207</v>
      </c>
      <c r="AI3360" s="32" t="s">
        <v>577</v>
      </c>
      <c r="AJ3360" s="32" t="s">
        <v>1645</v>
      </c>
      <c r="AK3360" s="32" t="s">
        <v>132</v>
      </c>
      <c r="AW3360" s="32" t="s">
        <v>2780</v>
      </c>
      <c r="AX3360" s="32">
        <v>3</v>
      </c>
      <c r="AZ3360" s="32" t="s">
        <v>141</v>
      </c>
      <c r="BK3360" s="32">
        <v>1093.1600000000001</v>
      </c>
      <c r="BL3360" s="32">
        <v>1600</v>
      </c>
      <c r="BM3360" s="32">
        <f t="shared" ref="BM3360:BN3361" si="463">2097-1900</f>
        <v>197</v>
      </c>
      <c r="BN3360" s="32">
        <f t="shared" si="463"/>
        <v>197</v>
      </c>
      <c r="BO3360" s="32" t="s">
        <v>3211</v>
      </c>
      <c r="BP3360" s="397"/>
      <c r="BQ3360" s="397"/>
      <c r="BU3360" s="397"/>
      <c r="BV3360" s="397"/>
      <c r="BZ3360" s="397"/>
      <c r="CA3360" s="397"/>
      <c r="CE3360" s="550"/>
      <c r="CF3360" s="550"/>
      <c r="CG3360" s="550"/>
      <c r="CH3360" s="550"/>
      <c r="CJ3360" s="32">
        <v>22.23</v>
      </c>
      <c r="CK3360" s="32">
        <v>31.66</v>
      </c>
      <c r="CL3360" s="32">
        <f t="shared" ref="CL3360:CM3361" si="464">52.31-48.51</f>
        <v>3.8000000000000043</v>
      </c>
      <c r="CM3360" s="32">
        <f t="shared" si="464"/>
        <v>3.8000000000000043</v>
      </c>
      <c r="CN3360" s="32" t="s">
        <v>3212</v>
      </c>
      <c r="JD3360" s="243"/>
    </row>
    <row r="3361" spans="1:264" s="32" customFormat="1" x14ac:dyDescent="0.25">
      <c r="A3361" s="32">
        <v>156</v>
      </c>
      <c r="B3361" s="44" t="s">
        <v>3209</v>
      </c>
      <c r="C3361" s="32" t="s">
        <v>3187</v>
      </c>
      <c r="D3361" s="32" t="s">
        <v>3188</v>
      </c>
      <c r="E3361" s="32">
        <v>2003</v>
      </c>
      <c r="F3361" s="32">
        <v>2000</v>
      </c>
      <c r="G3361" s="32" t="s">
        <v>2766</v>
      </c>
      <c r="H3361" s="32" t="s">
        <v>3191</v>
      </c>
      <c r="I3361" s="32" t="s">
        <v>3189</v>
      </c>
      <c r="J3361" s="32">
        <v>-3.68</v>
      </c>
      <c r="K3361" s="32">
        <v>33.43</v>
      </c>
      <c r="L3361" s="32">
        <v>1127</v>
      </c>
      <c r="O3361" s="32">
        <v>560</v>
      </c>
      <c r="P3361" s="32">
        <v>700</v>
      </c>
      <c r="R3361" s="44" t="s">
        <v>1719</v>
      </c>
      <c r="S3361" s="44" t="s">
        <v>1860</v>
      </c>
      <c r="T3361" s="44"/>
      <c r="U3361" s="44" t="s">
        <v>2231</v>
      </c>
      <c r="V3361" s="44" t="s">
        <v>1389</v>
      </c>
      <c r="W3361" s="44" t="s">
        <v>1720</v>
      </c>
      <c r="X3361" s="44" t="s">
        <v>1389</v>
      </c>
      <c r="Y3361" s="44" t="s">
        <v>1389</v>
      </c>
      <c r="AA3361" s="323"/>
      <c r="AB3361" s="323"/>
      <c r="AC3361" s="32" t="s">
        <v>518</v>
      </c>
      <c r="AD3361" s="32">
        <f t="shared" si="455"/>
        <v>7.9</v>
      </c>
      <c r="AE3361" s="32">
        <v>0.6</v>
      </c>
      <c r="AG3361" s="32" t="s">
        <v>3192</v>
      </c>
      <c r="AH3361" s="32" t="s">
        <v>3208</v>
      </c>
      <c r="AI3361" s="32" t="s">
        <v>577</v>
      </c>
      <c r="AJ3361" s="32" t="s">
        <v>1645</v>
      </c>
      <c r="AK3361" s="32" t="s">
        <v>132</v>
      </c>
      <c r="AW3361" s="32" t="s">
        <v>2780</v>
      </c>
      <c r="AX3361" s="32">
        <v>3</v>
      </c>
      <c r="AZ3361" s="32" t="s">
        <v>141</v>
      </c>
      <c r="BK3361" s="32">
        <v>1093.1600000000001</v>
      </c>
      <c r="BL3361" s="32">
        <v>1600</v>
      </c>
      <c r="BM3361" s="32">
        <f t="shared" si="463"/>
        <v>197</v>
      </c>
      <c r="BN3361" s="32">
        <f t="shared" si="463"/>
        <v>197</v>
      </c>
      <c r="BO3361" s="32" t="s">
        <v>3211</v>
      </c>
      <c r="BP3361" s="397"/>
      <c r="BQ3361" s="397"/>
      <c r="BU3361" s="397"/>
      <c r="BV3361" s="397"/>
      <c r="BZ3361" s="397"/>
      <c r="CA3361" s="397"/>
      <c r="CE3361" s="550"/>
      <c r="CF3361" s="550"/>
      <c r="CG3361" s="550"/>
      <c r="CH3361" s="550"/>
      <c r="CJ3361" s="32">
        <v>22.23</v>
      </c>
      <c r="CK3361" s="32">
        <v>28.13</v>
      </c>
      <c r="CL3361" s="32">
        <f t="shared" si="464"/>
        <v>3.8000000000000043</v>
      </c>
      <c r="CM3361" s="32">
        <f t="shared" si="464"/>
        <v>3.8000000000000043</v>
      </c>
      <c r="CN3361" s="32" t="s">
        <v>3212</v>
      </c>
      <c r="JD3361" s="243"/>
    </row>
    <row r="3362" spans="1:264" s="126" customFormat="1" x14ac:dyDescent="0.25">
      <c r="A3362" s="126">
        <v>157</v>
      </c>
      <c r="B3362" s="478" t="s">
        <v>3222</v>
      </c>
      <c r="C3362" s="126" t="s">
        <v>3213</v>
      </c>
      <c r="D3362" s="126" t="s">
        <v>3214</v>
      </c>
      <c r="E3362" s="126">
        <v>1990</v>
      </c>
      <c r="F3362" s="126">
        <v>1986</v>
      </c>
      <c r="G3362" s="126" t="s">
        <v>2766</v>
      </c>
      <c r="H3362" s="126" t="s">
        <v>3215</v>
      </c>
      <c r="I3362" s="126" t="s">
        <v>2836</v>
      </c>
      <c r="J3362" s="126">
        <v>-7.0000000000000001E-3</v>
      </c>
      <c r="K3362" s="126">
        <v>34.6</v>
      </c>
      <c r="L3362" s="126">
        <v>1523.8</v>
      </c>
      <c r="R3362" s="478" t="s">
        <v>1847</v>
      </c>
      <c r="S3362" s="478" t="s">
        <v>1728</v>
      </c>
      <c r="T3362" s="478"/>
      <c r="U3362" s="478" t="s">
        <v>1946</v>
      </c>
      <c r="V3362" s="478" t="s">
        <v>1389</v>
      </c>
      <c r="W3362" s="478" t="s">
        <v>1720</v>
      </c>
      <c r="X3362" s="478" t="s">
        <v>1389</v>
      </c>
      <c r="Y3362" s="478" t="s">
        <v>1389</v>
      </c>
      <c r="AA3362" s="479"/>
      <c r="AB3362" s="479"/>
      <c r="AC3362" s="126" t="s">
        <v>139</v>
      </c>
      <c r="AH3362" s="126" t="s">
        <v>2734</v>
      </c>
      <c r="AI3362" s="126" t="s">
        <v>577</v>
      </c>
      <c r="AJ3362" s="126" t="s">
        <v>3218</v>
      </c>
      <c r="AK3362" s="126" t="s">
        <v>3217</v>
      </c>
      <c r="AT3362" s="126" t="s">
        <v>2778</v>
      </c>
      <c r="AU3362" s="126" t="s">
        <v>2778</v>
      </c>
      <c r="AV3362" s="126" t="s">
        <v>177</v>
      </c>
      <c r="AW3362" s="126" t="s">
        <v>119</v>
      </c>
      <c r="AX3362" s="126">
        <v>4</v>
      </c>
      <c r="AZ3362" s="126" t="s">
        <v>141</v>
      </c>
      <c r="BF3362" s="126">
        <v>4770</v>
      </c>
      <c r="BG3362" s="126">
        <v>8290</v>
      </c>
      <c r="BJ3362" s="126" t="s">
        <v>3219</v>
      </c>
      <c r="BK3362" s="126">
        <v>9118</v>
      </c>
      <c r="BL3362" s="126">
        <v>14324</v>
      </c>
      <c r="BP3362" s="481"/>
      <c r="BQ3362" s="481"/>
      <c r="BU3362" s="481">
        <f>1+0.144</f>
        <v>1.1439999999999999</v>
      </c>
      <c r="BV3362" s="481">
        <f>1+0.122</f>
        <v>1.1219999999999999</v>
      </c>
      <c r="BY3362" s="126" t="s">
        <v>3223</v>
      </c>
      <c r="BZ3362" s="481"/>
      <c r="CA3362" s="481"/>
      <c r="CE3362" s="605">
        <v>1.1439999999999999</v>
      </c>
      <c r="CF3362" s="605">
        <v>1.1219999999999999</v>
      </c>
      <c r="CG3362" s="605"/>
      <c r="CH3362" s="605"/>
      <c r="CI3362" s="126" t="s">
        <v>992</v>
      </c>
      <c r="JD3362" s="480"/>
    </row>
    <row r="3363" spans="1:264" s="126" customFormat="1" x14ac:dyDescent="0.25">
      <c r="A3363" s="126">
        <v>157</v>
      </c>
      <c r="B3363" s="478" t="s">
        <v>3222</v>
      </c>
      <c r="C3363" s="126" t="s">
        <v>3213</v>
      </c>
      <c r="D3363" s="126" t="s">
        <v>3214</v>
      </c>
      <c r="E3363" s="126">
        <v>1990</v>
      </c>
      <c r="F3363" s="126">
        <v>1986</v>
      </c>
      <c r="G3363" s="126" t="s">
        <v>2766</v>
      </c>
      <c r="H3363" s="126" t="s">
        <v>3215</v>
      </c>
      <c r="I3363" s="126" t="s">
        <v>2836</v>
      </c>
      <c r="J3363" s="126">
        <v>-7.0000000000000001E-3</v>
      </c>
      <c r="K3363" s="126">
        <v>34.6</v>
      </c>
      <c r="L3363" s="126">
        <v>1523.8</v>
      </c>
      <c r="R3363" s="478" t="s">
        <v>1847</v>
      </c>
      <c r="S3363" s="478" t="s">
        <v>1728</v>
      </c>
      <c r="T3363" s="478"/>
      <c r="U3363" s="478" t="s">
        <v>1946</v>
      </c>
      <c r="V3363" s="478" t="s">
        <v>1389</v>
      </c>
      <c r="W3363" s="478" t="s">
        <v>1720</v>
      </c>
      <c r="X3363" s="478" t="s">
        <v>1389</v>
      </c>
      <c r="Y3363" s="478" t="s">
        <v>1389</v>
      </c>
      <c r="AA3363" s="479"/>
      <c r="AB3363" s="479"/>
      <c r="AC3363" s="126" t="s">
        <v>139</v>
      </c>
      <c r="AH3363" s="126" t="s">
        <v>2770</v>
      </c>
      <c r="AI3363" s="126" t="s">
        <v>577</v>
      </c>
      <c r="AJ3363" s="126" t="s">
        <v>3218</v>
      </c>
      <c r="AK3363" s="126" t="s">
        <v>3217</v>
      </c>
      <c r="AT3363" s="126" t="s">
        <v>2778</v>
      </c>
      <c r="AU3363" s="126" t="s">
        <v>2778</v>
      </c>
      <c r="AV3363" s="126" t="s">
        <v>177</v>
      </c>
      <c r="AW3363" s="126" t="s">
        <v>119</v>
      </c>
      <c r="AX3363" s="126">
        <v>4</v>
      </c>
      <c r="AZ3363" s="126" t="s">
        <v>141</v>
      </c>
      <c r="BF3363" s="126">
        <v>4770</v>
      </c>
      <c r="BG3363" s="126">
        <v>8500</v>
      </c>
      <c r="BJ3363" s="126" t="s">
        <v>3219</v>
      </c>
      <c r="BK3363" s="126">
        <v>9118</v>
      </c>
      <c r="BL3363" s="126">
        <v>15936</v>
      </c>
      <c r="BP3363" s="481"/>
      <c r="BQ3363" s="481"/>
      <c r="BU3363" s="481">
        <f t="shared" ref="BU3363:BU3364" si="465">1+0.144</f>
        <v>1.1439999999999999</v>
      </c>
      <c r="BV3363" s="481">
        <f>1+0.37</f>
        <v>1.37</v>
      </c>
      <c r="BY3363" s="126" t="s">
        <v>3223</v>
      </c>
      <c r="BZ3363" s="481"/>
      <c r="CA3363" s="481"/>
      <c r="CE3363" s="605">
        <v>1.1439999999999999</v>
      </c>
      <c r="CF3363" s="605">
        <v>1.37</v>
      </c>
      <c r="CG3363" s="605"/>
      <c r="CH3363" s="605"/>
      <c r="CI3363" s="126" t="s">
        <v>992</v>
      </c>
      <c r="JD3363" s="480"/>
    </row>
    <row r="3364" spans="1:264" s="126" customFormat="1" x14ac:dyDescent="0.25">
      <c r="A3364" s="126">
        <v>157</v>
      </c>
      <c r="B3364" s="478" t="s">
        <v>3222</v>
      </c>
      <c r="C3364" s="126" t="s">
        <v>3213</v>
      </c>
      <c r="D3364" s="126" t="s">
        <v>3214</v>
      </c>
      <c r="E3364" s="126">
        <v>1990</v>
      </c>
      <c r="F3364" s="126">
        <v>1986</v>
      </c>
      <c r="G3364" s="126" t="s">
        <v>2766</v>
      </c>
      <c r="H3364" s="126" t="s">
        <v>3215</v>
      </c>
      <c r="I3364" s="126" t="s">
        <v>2836</v>
      </c>
      <c r="J3364" s="126">
        <v>-7.0000000000000001E-3</v>
      </c>
      <c r="K3364" s="126">
        <v>34.6</v>
      </c>
      <c r="L3364" s="126">
        <v>1523.8</v>
      </c>
      <c r="R3364" s="478" t="s">
        <v>1847</v>
      </c>
      <c r="S3364" s="478" t="s">
        <v>1728</v>
      </c>
      <c r="T3364" s="478"/>
      <c r="U3364" s="478" t="s">
        <v>1946</v>
      </c>
      <c r="V3364" s="478" t="s">
        <v>1389</v>
      </c>
      <c r="W3364" s="478" t="s">
        <v>1720</v>
      </c>
      <c r="X3364" s="478" t="s">
        <v>1389</v>
      </c>
      <c r="Y3364" s="478" t="s">
        <v>1389</v>
      </c>
      <c r="AA3364" s="479"/>
      <c r="AB3364" s="479"/>
      <c r="AC3364" s="126" t="s">
        <v>139</v>
      </c>
      <c r="AH3364" s="126" t="s">
        <v>2771</v>
      </c>
      <c r="AI3364" s="126" t="s">
        <v>577</v>
      </c>
      <c r="AJ3364" s="126" t="s">
        <v>3218</v>
      </c>
      <c r="AK3364" s="126" t="s">
        <v>3217</v>
      </c>
      <c r="AT3364" s="126" t="s">
        <v>2778</v>
      </c>
      <c r="AU3364" s="126" t="s">
        <v>2778</v>
      </c>
      <c r="AV3364" s="126" t="s">
        <v>177</v>
      </c>
      <c r="AW3364" s="126" t="s">
        <v>119</v>
      </c>
      <c r="AX3364" s="126">
        <v>4</v>
      </c>
      <c r="AZ3364" s="126" t="s">
        <v>141</v>
      </c>
      <c r="BF3364" s="126">
        <v>4770</v>
      </c>
      <c r="BG3364" s="126">
        <v>9270</v>
      </c>
      <c r="BJ3364" s="126" t="s">
        <v>3219</v>
      </c>
      <c r="BK3364" s="126">
        <v>9118</v>
      </c>
      <c r="BL3364" s="126">
        <v>16432</v>
      </c>
      <c r="BP3364" s="481"/>
      <c r="BQ3364" s="481"/>
      <c r="BU3364" s="481">
        <f t="shared" si="465"/>
        <v>1.1439999999999999</v>
      </c>
      <c r="BV3364" s="481">
        <f>1+0.273</f>
        <v>1.2730000000000001</v>
      </c>
      <c r="BY3364" s="126" t="s">
        <v>3223</v>
      </c>
      <c r="BZ3364" s="481"/>
      <c r="CA3364" s="481"/>
      <c r="CE3364" s="605">
        <v>1.1439999999999999</v>
      </c>
      <c r="CF3364" s="605">
        <v>1.2730000000000001</v>
      </c>
      <c r="CG3364" s="605"/>
      <c r="CH3364" s="605"/>
      <c r="CI3364" s="126" t="s">
        <v>992</v>
      </c>
      <c r="JD3364" s="480"/>
    </row>
    <row r="3365" spans="1:264" s="36" customFormat="1" x14ac:dyDescent="0.25">
      <c r="A3365" s="36">
        <v>157</v>
      </c>
      <c r="B3365" s="51" t="s">
        <v>3272</v>
      </c>
      <c r="C3365" s="36" t="s">
        <v>3213</v>
      </c>
      <c r="D3365" s="36" t="s">
        <v>3214</v>
      </c>
      <c r="E3365" s="36">
        <v>1990</v>
      </c>
      <c r="F3365" s="36">
        <v>1986</v>
      </c>
      <c r="G3365" s="36" t="s">
        <v>2766</v>
      </c>
      <c r="H3365" s="36" t="s">
        <v>3215</v>
      </c>
      <c r="I3365" s="36" t="s">
        <v>2836</v>
      </c>
      <c r="J3365" s="36">
        <v>-7.0000000000000001E-3</v>
      </c>
      <c r="K3365" s="36">
        <v>34.6</v>
      </c>
      <c r="L3365" s="36">
        <v>1523.8</v>
      </c>
      <c r="R3365" s="51" t="s">
        <v>1847</v>
      </c>
      <c r="S3365" s="51" t="s">
        <v>1728</v>
      </c>
      <c r="T3365" s="51"/>
      <c r="U3365" s="51" t="s">
        <v>1946</v>
      </c>
      <c r="V3365" s="51" t="s">
        <v>1389</v>
      </c>
      <c r="W3365" s="51" t="s">
        <v>1720</v>
      </c>
      <c r="X3365" s="51" t="s">
        <v>1389</v>
      </c>
      <c r="Y3365" s="51" t="s">
        <v>1389</v>
      </c>
      <c r="AA3365" s="331"/>
      <c r="AB3365" s="331"/>
      <c r="AC3365" s="36" t="s">
        <v>139</v>
      </c>
      <c r="AH3365" s="36" t="s">
        <v>2734</v>
      </c>
      <c r="AI3365" s="36" t="s">
        <v>577</v>
      </c>
      <c r="AJ3365" s="36" t="s">
        <v>3216</v>
      </c>
      <c r="AK3365" s="36" t="s">
        <v>229</v>
      </c>
      <c r="AT3365" s="36" t="s">
        <v>2778</v>
      </c>
      <c r="AU3365" s="36" t="s">
        <v>2778</v>
      </c>
      <c r="AV3365" s="36" t="s">
        <v>177</v>
      </c>
      <c r="AW3365" s="36" t="s">
        <v>119</v>
      </c>
      <c r="AX3365" s="36">
        <v>4</v>
      </c>
      <c r="AZ3365" s="36" t="s">
        <v>141</v>
      </c>
      <c r="BF3365" s="36">
        <v>3060</v>
      </c>
      <c r="BG3365" s="36">
        <v>3960</v>
      </c>
      <c r="BH3365" s="36">
        <v>1440</v>
      </c>
      <c r="BI3365" s="36">
        <v>1440</v>
      </c>
      <c r="BJ3365" s="36" t="s">
        <v>3220</v>
      </c>
      <c r="BK3365" s="36">
        <v>5000</v>
      </c>
      <c r="BL3365" s="36">
        <v>6075</v>
      </c>
      <c r="BP3365" s="407"/>
      <c r="BQ3365" s="407"/>
      <c r="BU3365" s="407"/>
      <c r="BV3365" s="407"/>
      <c r="BZ3365" s="407"/>
      <c r="CA3365" s="407"/>
      <c r="CE3365" s="560"/>
      <c r="CF3365" s="560"/>
      <c r="CG3365" s="560"/>
      <c r="CH3365" s="560"/>
      <c r="JD3365" s="230"/>
    </row>
    <row r="3366" spans="1:264" s="36" customFormat="1" x14ac:dyDescent="0.25">
      <c r="A3366" s="36">
        <v>157</v>
      </c>
      <c r="B3366" s="51" t="s">
        <v>3272</v>
      </c>
      <c r="C3366" s="36" t="s">
        <v>3213</v>
      </c>
      <c r="D3366" s="36" t="s">
        <v>3214</v>
      </c>
      <c r="E3366" s="36">
        <v>1990</v>
      </c>
      <c r="F3366" s="36">
        <v>1986</v>
      </c>
      <c r="G3366" s="36" t="s">
        <v>2766</v>
      </c>
      <c r="H3366" s="36" t="s">
        <v>3215</v>
      </c>
      <c r="I3366" s="36" t="s">
        <v>2836</v>
      </c>
      <c r="J3366" s="36">
        <v>-7.0000000000000001E-3</v>
      </c>
      <c r="K3366" s="36">
        <v>34.6</v>
      </c>
      <c r="L3366" s="36">
        <v>1523.8</v>
      </c>
      <c r="R3366" s="51" t="s">
        <v>1847</v>
      </c>
      <c r="S3366" s="51" t="s">
        <v>1728</v>
      </c>
      <c r="T3366" s="51"/>
      <c r="U3366" s="51" t="s">
        <v>1946</v>
      </c>
      <c r="V3366" s="51" t="s">
        <v>1389</v>
      </c>
      <c r="W3366" s="51" t="s">
        <v>1720</v>
      </c>
      <c r="X3366" s="51" t="s">
        <v>1389</v>
      </c>
      <c r="Y3366" s="51" t="s">
        <v>1389</v>
      </c>
      <c r="AA3366" s="331"/>
      <c r="AB3366" s="331"/>
      <c r="AC3366" s="36" t="s">
        <v>139</v>
      </c>
      <c r="AH3366" s="36" t="s">
        <v>2770</v>
      </c>
      <c r="AI3366" s="36" t="s">
        <v>577</v>
      </c>
      <c r="AJ3366" s="36" t="s">
        <v>3216</v>
      </c>
      <c r="AK3366" s="36" t="s">
        <v>229</v>
      </c>
      <c r="AT3366" s="36" t="s">
        <v>2778</v>
      </c>
      <c r="AU3366" s="36" t="s">
        <v>2778</v>
      </c>
      <c r="AV3366" s="36" t="s">
        <v>177</v>
      </c>
      <c r="AW3366" s="36" t="s">
        <v>119</v>
      </c>
      <c r="AX3366" s="36">
        <v>4</v>
      </c>
      <c r="AZ3366" s="36" t="s">
        <v>141</v>
      </c>
      <c r="BF3366" s="36">
        <v>3060</v>
      </c>
      <c r="BG3366" s="36">
        <v>4920</v>
      </c>
      <c r="BH3366" s="36">
        <v>1440</v>
      </c>
      <c r="BI3366" s="36">
        <v>1440</v>
      </c>
      <c r="BJ3366" s="36" t="s">
        <v>3220</v>
      </c>
      <c r="BK3366" s="36">
        <v>5000</v>
      </c>
      <c r="BL3366" s="36">
        <v>7934</v>
      </c>
      <c r="BP3366" s="407"/>
      <c r="BQ3366" s="407"/>
      <c r="BU3366" s="407"/>
      <c r="BV3366" s="407"/>
      <c r="BZ3366" s="407"/>
      <c r="CA3366" s="407"/>
      <c r="CE3366" s="560"/>
      <c r="CF3366" s="560"/>
      <c r="CG3366" s="560"/>
      <c r="CH3366" s="560"/>
      <c r="JD3366" s="230"/>
    </row>
    <row r="3367" spans="1:264" s="36" customFormat="1" x14ac:dyDescent="0.25">
      <c r="A3367" s="36">
        <v>157</v>
      </c>
      <c r="B3367" s="51" t="s">
        <v>3272</v>
      </c>
      <c r="C3367" s="36" t="s">
        <v>3213</v>
      </c>
      <c r="D3367" s="36" t="s">
        <v>3214</v>
      </c>
      <c r="E3367" s="36">
        <v>1990</v>
      </c>
      <c r="F3367" s="36">
        <v>1986</v>
      </c>
      <c r="G3367" s="36" t="s">
        <v>2766</v>
      </c>
      <c r="H3367" s="36" t="s">
        <v>3215</v>
      </c>
      <c r="I3367" s="36" t="s">
        <v>2836</v>
      </c>
      <c r="J3367" s="36">
        <v>-7.0000000000000001E-3</v>
      </c>
      <c r="K3367" s="36">
        <v>34.6</v>
      </c>
      <c r="L3367" s="36">
        <v>1523.8</v>
      </c>
      <c r="R3367" s="51" t="s">
        <v>1847</v>
      </c>
      <c r="S3367" s="51" t="s">
        <v>1728</v>
      </c>
      <c r="T3367" s="51"/>
      <c r="U3367" s="51" t="s">
        <v>1946</v>
      </c>
      <c r="V3367" s="51" t="s">
        <v>1389</v>
      </c>
      <c r="W3367" s="51" t="s">
        <v>1720</v>
      </c>
      <c r="X3367" s="51" t="s">
        <v>1389</v>
      </c>
      <c r="Y3367" s="51" t="s">
        <v>1389</v>
      </c>
      <c r="AA3367" s="331"/>
      <c r="AB3367" s="331"/>
      <c r="AC3367" s="36" t="s">
        <v>139</v>
      </c>
      <c r="AH3367" s="36" t="s">
        <v>2771</v>
      </c>
      <c r="AI3367" s="36" t="s">
        <v>577</v>
      </c>
      <c r="AJ3367" s="36" t="s">
        <v>3216</v>
      </c>
      <c r="AK3367" s="36" t="s">
        <v>229</v>
      </c>
      <c r="AT3367" s="36" t="s">
        <v>2778</v>
      </c>
      <c r="AU3367" s="36" t="s">
        <v>2778</v>
      </c>
      <c r="AV3367" s="36" t="s">
        <v>177</v>
      </c>
      <c r="AW3367" s="36" t="s">
        <v>119</v>
      </c>
      <c r="AX3367" s="36">
        <v>4</v>
      </c>
      <c r="AZ3367" s="36" t="s">
        <v>141</v>
      </c>
      <c r="BF3367" s="36">
        <v>3060</v>
      </c>
      <c r="BG3367" s="36">
        <v>3630</v>
      </c>
      <c r="BH3367" s="36">
        <v>1440</v>
      </c>
      <c r="BI3367" s="36">
        <v>1440</v>
      </c>
      <c r="BJ3367" s="36" t="s">
        <v>3220</v>
      </c>
      <c r="BK3367" s="36">
        <v>5000</v>
      </c>
      <c r="BL3367" s="36">
        <v>6448</v>
      </c>
      <c r="BP3367" s="407"/>
      <c r="BQ3367" s="407"/>
      <c r="BU3367" s="407"/>
      <c r="BV3367" s="407"/>
      <c r="BZ3367" s="407"/>
      <c r="CA3367" s="407"/>
      <c r="CE3367" s="560"/>
      <c r="CF3367" s="560"/>
      <c r="CG3367" s="560"/>
      <c r="CH3367" s="560"/>
      <c r="JD3367" s="230"/>
    </row>
    <row r="3368" spans="1:264" s="126" customFormat="1" x14ac:dyDescent="0.25">
      <c r="A3368" s="126">
        <v>157</v>
      </c>
      <c r="B3368" s="478" t="s">
        <v>3273</v>
      </c>
      <c r="C3368" s="126" t="s">
        <v>3213</v>
      </c>
      <c r="D3368" s="126" t="s">
        <v>3214</v>
      </c>
      <c r="E3368" s="126">
        <v>1990</v>
      </c>
      <c r="F3368" s="126">
        <v>1986</v>
      </c>
      <c r="G3368" s="126" t="s">
        <v>2766</v>
      </c>
      <c r="H3368" s="126" t="s">
        <v>3215</v>
      </c>
      <c r="I3368" s="126" t="s">
        <v>2836</v>
      </c>
      <c r="J3368" s="126">
        <v>-7.0000000000000001E-3</v>
      </c>
      <c r="K3368" s="126">
        <v>34.6</v>
      </c>
      <c r="L3368" s="126">
        <v>1523.8</v>
      </c>
      <c r="R3368" s="478" t="s">
        <v>1847</v>
      </c>
      <c r="S3368" s="478" t="s">
        <v>1728</v>
      </c>
      <c r="T3368" s="478"/>
      <c r="U3368" s="478" t="s">
        <v>1946</v>
      </c>
      <c r="V3368" s="478" t="s">
        <v>1389</v>
      </c>
      <c r="W3368" s="478" t="s">
        <v>1720</v>
      </c>
      <c r="X3368" s="478" t="s">
        <v>1389</v>
      </c>
      <c r="Y3368" s="478" t="s">
        <v>1389</v>
      </c>
      <c r="AA3368" s="479"/>
      <c r="AB3368" s="479"/>
      <c r="AC3368" s="126" t="s">
        <v>139</v>
      </c>
      <c r="AH3368" s="126" t="s">
        <v>2734</v>
      </c>
      <c r="AI3368" s="126" t="s">
        <v>577</v>
      </c>
      <c r="AJ3368" s="126" t="s">
        <v>1645</v>
      </c>
      <c r="AK3368" s="126" t="s">
        <v>132</v>
      </c>
      <c r="AT3368" s="126" t="s">
        <v>2778</v>
      </c>
      <c r="AU3368" s="126" t="s">
        <v>2778</v>
      </c>
      <c r="AV3368" s="126" t="s">
        <v>177</v>
      </c>
      <c r="AW3368" s="126" t="s">
        <v>119</v>
      </c>
      <c r="AX3368" s="126">
        <v>4</v>
      </c>
      <c r="AZ3368" s="126" t="s">
        <v>141</v>
      </c>
      <c r="BF3368" s="126">
        <v>497</v>
      </c>
      <c r="BG3368" s="126">
        <v>330</v>
      </c>
      <c r="BH3368" s="126">
        <v>124</v>
      </c>
      <c r="BI3368" s="126">
        <v>124</v>
      </c>
      <c r="BJ3368" s="126" t="s">
        <v>3221</v>
      </c>
      <c r="BK3368" s="126">
        <v>841</v>
      </c>
      <c r="BL3368" s="126">
        <v>470</v>
      </c>
      <c r="BP3368" s="481"/>
      <c r="BQ3368" s="481"/>
      <c r="BU3368" s="481"/>
      <c r="BV3368" s="481"/>
      <c r="BZ3368" s="481"/>
      <c r="CA3368" s="481"/>
      <c r="CE3368" s="605"/>
      <c r="CF3368" s="605"/>
      <c r="CG3368" s="605"/>
      <c r="CH3368" s="605"/>
      <c r="JD3368" s="480"/>
    </row>
    <row r="3369" spans="1:264" s="126" customFormat="1" x14ac:dyDescent="0.25">
      <c r="A3369" s="126">
        <v>157</v>
      </c>
      <c r="B3369" s="478" t="s">
        <v>3273</v>
      </c>
      <c r="C3369" s="126" t="s">
        <v>3213</v>
      </c>
      <c r="D3369" s="126" t="s">
        <v>3214</v>
      </c>
      <c r="E3369" s="126">
        <v>1990</v>
      </c>
      <c r="F3369" s="126">
        <v>1986</v>
      </c>
      <c r="G3369" s="126" t="s">
        <v>2766</v>
      </c>
      <c r="H3369" s="126" t="s">
        <v>3215</v>
      </c>
      <c r="I3369" s="126" t="s">
        <v>2836</v>
      </c>
      <c r="J3369" s="126">
        <v>-7.0000000000000001E-3</v>
      </c>
      <c r="K3369" s="126">
        <v>34.6</v>
      </c>
      <c r="L3369" s="126">
        <v>1523.8</v>
      </c>
      <c r="R3369" s="478" t="s">
        <v>1847</v>
      </c>
      <c r="S3369" s="478" t="s">
        <v>1728</v>
      </c>
      <c r="T3369" s="478"/>
      <c r="U3369" s="478" t="s">
        <v>1946</v>
      </c>
      <c r="V3369" s="478" t="s">
        <v>1389</v>
      </c>
      <c r="W3369" s="478" t="s">
        <v>1720</v>
      </c>
      <c r="X3369" s="478" t="s">
        <v>1389</v>
      </c>
      <c r="Y3369" s="478" t="s">
        <v>1389</v>
      </c>
      <c r="AA3369" s="479"/>
      <c r="AB3369" s="479"/>
      <c r="AC3369" s="126" t="s">
        <v>139</v>
      </c>
      <c r="AH3369" s="126" t="s">
        <v>2770</v>
      </c>
      <c r="AI3369" s="126" t="s">
        <v>577</v>
      </c>
      <c r="AJ3369" s="126" t="s">
        <v>1645</v>
      </c>
      <c r="AK3369" s="126" t="s">
        <v>132</v>
      </c>
      <c r="AT3369" s="126" t="s">
        <v>2778</v>
      </c>
      <c r="AU3369" s="126" t="s">
        <v>2778</v>
      </c>
      <c r="AV3369" s="126" t="s">
        <v>177</v>
      </c>
      <c r="AW3369" s="126" t="s">
        <v>119</v>
      </c>
      <c r="AX3369" s="126">
        <v>4</v>
      </c>
      <c r="AZ3369" s="126" t="s">
        <v>141</v>
      </c>
      <c r="BF3369" s="126">
        <v>497</v>
      </c>
      <c r="BG3369" s="126">
        <v>620</v>
      </c>
      <c r="BH3369" s="126">
        <v>124</v>
      </c>
      <c r="BI3369" s="126">
        <v>124</v>
      </c>
      <c r="BJ3369" s="126" t="s">
        <v>3221</v>
      </c>
      <c r="BK3369" s="126">
        <v>841</v>
      </c>
      <c r="BL3369" s="126">
        <v>1213</v>
      </c>
      <c r="BP3369" s="481"/>
      <c r="BQ3369" s="481"/>
      <c r="BU3369" s="481"/>
      <c r="BV3369" s="481"/>
      <c r="BZ3369" s="481"/>
      <c r="CA3369" s="481"/>
      <c r="CE3369" s="605"/>
      <c r="CF3369" s="605"/>
      <c r="CG3369" s="605"/>
      <c r="CH3369" s="605"/>
      <c r="JD3369" s="480"/>
    </row>
    <row r="3370" spans="1:264" s="126" customFormat="1" x14ac:dyDescent="0.25">
      <c r="A3370" s="126">
        <v>157</v>
      </c>
      <c r="B3370" s="478" t="s">
        <v>3273</v>
      </c>
      <c r="C3370" s="126" t="s">
        <v>3213</v>
      </c>
      <c r="D3370" s="126" t="s">
        <v>3214</v>
      </c>
      <c r="E3370" s="126">
        <v>1990</v>
      </c>
      <c r="F3370" s="126">
        <v>1986</v>
      </c>
      <c r="G3370" s="126" t="s">
        <v>2766</v>
      </c>
      <c r="H3370" s="126" t="s">
        <v>3215</v>
      </c>
      <c r="I3370" s="126" t="s">
        <v>2836</v>
      </c>
      <c r="J3370" s="126">
        <v>-7.0000000000000001E-3</v>
      </c>
      <c r="K3370" s="126">
        <v>34.6</v>
      </c>
      <c r="L3370" s="126">
        <v>1523.8</v>
      </c>
      <c r="R3370" s="478" t="s">
        <v>1847</v>
      </c>
      <c r="S3370" s="478" t="s">
        <v>1728</v>
      </c>
      <c r="T3370" s="478"/>
      <c r="U3370" s="478" t="s">
        <v>1946</v>
      </c>
      <c r="V3370" s="478" t="s">
        <v>1389</v>
      </c>
      <c r="W3370" s="478" t="s">
        <v>1720</v>
      </c>
      <c r="X3370" s="478" t="s">
        <v>1389</v>
      </c>
      <c r="Y3370" s="478" t="s">
        <v>1389</v>
      </c>
      <c r="AA3370" s="479"/>
      <c r="AB3370" s="479"/>
      <c r="AC3370" s="126" t="s">
        <v>139</v>
      </c>
      <c r="AH3370" s="126" t="s">
        <v>2771</v>
      </c>
      <c r="AI3370" s="126" t="s">
        <v>577</v>
      </c>
      <c r="AJ3370" s="126" t="s">
        <v>1645</v>
      </c>
      <c r="AK3370" s="126" t="s">
        <v>132</v>
      </c>
      <c r="AT3370" s="126" t="s">
        <v>2778</v>
      </c>
      <c r="AU3370" s="126" t="s">
        <v>2778</v>
      </c>
      <c r="AV3370" s="126" t="s">
        <v>177</v>
      </c>
      <c r="AW3370" s="126" t="s">
        <v>119</v>
      </c>
      <c r="AX3370" s="126">
        <v>4</v>
      </c>
      <c r="AZ3370" s="126" t="s">
        <v>141</v>
      </c>
      <c r="BF3370" s="126">
        <v>497</v>
      </c>
      <c r="BG3370" s="126">
        <v>544</v>
      </c>
      <c r="BH3370" s="126">
        <v>124</v>
      </c>
      <c r="BI3370" s="126">
        <v>124</v>
      </c>
      <c r="BJ3370" s="126" t="s">
        <v>3221</v>
      </c>
      <c r="BK3370" s="126">
        <v>841</v>
      </c>
      <c r="BL3370" s="126">
        <v>800</v>
      </c>
      <c r="BP3370" s="481"/>
      <c r="BQ3370" s="481"/>
      <c r="BU3370" s="481"/>
      <c r="BV3370" s="481"/>
      <c r="BZ3370" s="481"/>
      <c r="CA3370" s="481"/>
      <c r="CE3370" s="605"/>
      <c r="CF3370" s="605"/>
      <c r="CG3370" s="605"/>
      <c r="CH3370" s="605"/>
      <c r="JD3370" s="480"/>
    </row>
    <row r="3371" spans="1:264" s="24" customFormat="1" x14ac:dyDescent="0.25">
      <c r="A3371" s="24">
        <v>158</v>
      </c>
      <c r="B3371" s="42" t="s">
        <v>3230</v>
      </c>
      <c r="C3371" s="24" t="s">
        <v>3226</v>
      </c>
      <c r="D3371" s="24" t="s">
        <v>3227</v>
      </c>
      <c r="E3371" s="24">
        <v>1999</v>
      </c>
      <c r="F3371" s="24">
        <v>1995</v>
      </c>
      <c r="G3371" s="24" t="s">
        <v>2766</v>
      </c>
      <c r="H3371" s="24" t="s">
        <v>3224</v>
      </c>
      <c r="I3371" s="24" t="s">
        <v>3225</v>
      </c>
      <c r="J3371" s="24">
        <f t="shared" ref="J3371:J3403" si="466">-15-18.5/60</f>
        <v>-15.308333333333334</v>
      </c>
      <c r="K3371" s="24">
        <f t="shared" ref="K3371:K3403" si="467">35+23.5/60</f>
        <v>35.391666666666666</v>
      </c>
      <c r="L3371" s="24">
        <v>800</v>
      </c>
      <c r="P3371" s="24">
        <v>1150</v>
      </c>
      <c r="R3371" s="42" t="s">
        <v>1977</v>
      </c>
      <c r="S3371" s="42" t="s">
        <v>1728</v>
      </c>
      <c r="T3371" s="42"/>
      <c r="U3371" s="42" t="s">
        <v>3228</v>
      </c>
      <c r="V3371" s="42" t="s">
        <v>1382</v>
      </c>
      <c r="W3371" s="42" t="s">
        <v>1717</v>
      </c>
      <c r="X3371" s="42" t="s">
        <v>1382</v>
      </c>
      <c r="Y3371" s="42" t="s">
        <v>1382</v>
      </c>
      <c r="Z3371" s="24">
        <v>1.3</v>
      </c>
      <c r="AA3371" s="321">
        <v>45</v>
      </c>
      <c r="AB3371" s="321">
        <v>37</v>
      </c>
      <c r="AC3371" s="24" t="s">
        <v>139</v>
      </c>
      <c r="AD3371" s="24">
        <v>6.5</v>
      </c>
      <c r="AE3371" s="24">
        <v>2.11</v>
      </c>
      <c r="AF3371" s="24">
        <v>5.4</v>
      </c>
      <c r="AH3371" s="24" t="s">
        <v>2770</v>
      </c>
      <c r="AI3371" s="24" t="s">
        <v>577</v>
      </c>
      <c r="AJ3371" s="24" t="s">
        <v>1645</v>
      </c>
      <c r="AK3371" s="24" t="s">
        <v>132</v>
      </c>
      <c r="AT3371" s="24" t="s">
        <v>2778</v>
      </c>
      <c r="AU3371" s="24" t="s">
        <v>2778</v>
      </c>
      <c r="AV3371" s="24" t="s">
        <v>177</v>
      </c>
      <c r="AW3371" s="24" t="s">
        <v>160</v>
      </c>
      <c r="BB3371" s="24">
        <v>2150</v>
      </c>
      <c r="BE3371" s="24" t="s">
        <v>3232</v>
      </c>
      <c r="BK3371" s="24">
        <v>1030</v>
      </c>
      <c r="BL3371" s="24">
        <v>1650</v>
      </c>
      <c r="BM3371" s="24">
        <v>170</v>
      </c>
      <c r="BN3371" s="24">
        <v>170</v>
      </c>
      <c r="BO3371" s="24" t="s">
        <v>3232</v>
      </c>
      <c r="BP3371" s="395"/>
      <c r="BQ3371" s="395"/>
      <c r="BU3371" s="395"/>
      <c r="BV3371" s="395"/>
      <c r="BZ3371" s="395"/>
      <c r="CA3371" s="395"/>
      <c r="CE3371" s="548"/>
      <c r="CF3371" s="548"/>
      <c r="CG3371" s="548"/>
      <c r="CH3371" s="548"/>
      <c r="JD3371" s="249"/>
    </row>
    <row r="3372" spans="1:264" s="24" customFormat="1" x14ac:dyDescent="0.25">
      <c r="A3372" s="24">
        <v>158</v>
      </c>
      <c r="B3372" s="42" t="s">
        <v>3230</v>
      </c>
      <c r="C3372" s="24" t="s">
        <v>3226</v>
      </c>
      <c r="D3372" s="24" t="s">
        <v>3227</v>
      </c>
      <c r="E3372" s="24">
        <v>1999</v>
      </c>
      <c r="F3372" s="24">
        <v>1995</v>
      </c>
      <c r="G3372" s="24" t="s">
        <v>2766</v>
      </c>
      <c r="H3372" s="24" t="s">
        <v>3224</v>
      </c>
      <c r="I3372" s="24" t="s">
        <v>3225</v>
      </c>
      <c r="J3372" s="24">
        <f t="shared" si="466"/>
        <v>-15.308333333333334</v>
      </c>
      <c r="K3372" s="24">
        <f t="shared" si="467"/>
        <v>35.391666666666666</v>
      </c>
      <c r="L3372" s="24">
        <v>800</v>
      </c>
      <c r="P3372" s="24">
        <v>1150</v>
      </c>
      <c r="R3372" s="42" t="s">
        <v>1977</v>
      </c>
      <c r="S3372" s="42" t="s">
        <v>1728</v>
      </c>
      <c r="T3372" s="42"/>
      <c r="U3372" s="42" t="s">
        <v>3228</v>
      </c>
      <c r="V3372" s="42" t="s">
        <v>1382</v>
      </c>
      <c r="W3372" s="42" t="s">
        <v>1717</v>
      </c>
      <c r="X3372" s="42" t="s">
        <v>1382</v>
      </c>
      <c r="Y3372" s="42" t="s">
        <v>1382</v>
      </c>
      <c r="Z3372" s="24">
        <v>1.2</v>
      </c>
      <c r="AA3372" s="321">
        <v>40</v>
      </c>
      <c r="AB3372" s="321">
        <v>32</v>
      </c>
      <c r="AC3372" s="24" t="s">
        <v>139</v>
      </c>
      <c r="AD3372" s="24">
        <v>6.1</v>
      </c>
      <c r="AE3372" s="24">
        <v>1.53</v>
      </c>
      <c r="AF3372" s="24">
        <v>7.2</v>
      </c>
      <c r="AH3372" s="24" t="s">
        <v>2770</v>
      </c>
      <c r="AI3372" s="24" t="s">
        <v>577</v>
      </c>
      <c r="AJ3372" s="24" t="s">
        <v>1645</v>
      </c>
      <c r="AK3372" s="24" t="s">
        <v>132</v>
      </c>
      <c r="AT3372" s="24" t="s">
        <v>2778</v>
      </c>
      <c r="AU3372" s="24" t="s">
        <v>2778</v>
      </c>
      <c r="AV3372" s="24" t="s">
        <v>177</v>
      </c>
      <c r="AW3372" s="24" t="s">
        <v>160</v>
      </c>
      <c r="BB3372" s="24">
        <v>1240</v>
      </c>
      <c r="BE3372" s="24" t="s">
        <v>3232</v>
      </c>
      <c r="BK3372" s="24">
        <v>1030</v>
      </c>
      <c r="BL3372" s="24">
        <v>1360</v>
      </c>
      <c r="BM3372" s="24">
        <v>170</v>
      </c>
      <c r="BN3372" s="24">
        <v>170</v>
      </c>
      <c r="BO3372" s="24" t="s">
        <v>3232</v>
      </c>
      <c r="BP3372" s="395"/>
      <c r="BQ3372" s="395"/>
      <c r="BU3372" s="395"/>
      <c r="BV3372" s="395"/>
      <c r="BZ3372" s="395"/>
      <c r="CA3372" s="395"/>
      <c r="CE3372" s="548"/>
      <c r="CF3372" s="548"/>
      <c r="CG3372" s="548"/>
      <c r="CH3372" s="548"/>
      <c r="JD3372" s="249"/>
    </row>
    <row r="3373" spans="1:264" s="24" customFormat="1" x14ac:dyDescent="0.25">
      <c r="A3373" s="24">
        <v>158</v>
      </c>
      <c r="B3373" s="42" t="s">
        <v>3230</v>
      </c>
      <c r="C3373" s="24" t="s">
        <v>3226</v>
      </c>
      <c r="D3373" s="24" t="s">
        <v>3227</v>
      </c>
      <c r="E3373" s="24">
        <v>1999</v>
      </c>
      <c r="F3373" s="24">
        <v>1995</v>
      </c>
      <c r="G3373" s="24" t="s">
        <v>2766</v>
      </c>
      <c r="H3373" s="24" t="s">
        <v>3224</v>
      </c>
      <c r="I3373" s="24" t="s">
        <v>3225</v>
      </c>
      <c r="J3373" s="24">
        <f t="shared" si="466"/>
        <v>-15.308333333333334</v>
      </c>
      <c r="K3373" s="24">
        <f t="shared" si="467"/>
        <v>35.391666666666666</v>
      </c>
      <c r="L3373" s="24">
        <v>800</v>
      </c>
      <c r="P3373" s="24">
        <v>1150</v>
      </c>
      <c r="R3373" s="42" t="s">
        <v>1977</v>
      </c>
      <c r="S3373" s="42" t="s">
        <v>1728</v>
      </c>
      <c r="T3373" s="42"/>
      <c r="U3373" s="42" t="s">
        <v>3228</v>
      </c>
      <c r="V3373" s="42" t="s">
        <v>1382</v>
      </c>
      <c r="W3373" s="42" t="s">
        <v>1717</v>
      </c>
      <c r="X3373" s="42" t="s">
        <v>1382</v>
      </c>
      <c r="Y3373" s="42" t="s">
        <v>1382</v>
      </c>
      <c r="Z3373" s="24">
        <v>1.4</v>
      </c>
      <c r="AA3373" s="321">
        <v>36</v>
      </c>
      <c r="AB3373" s="321">
        <v>42</v>
      </c>
      <c r="AC3373" s="24" t="s">
        <v>139</v>
      </c>
      <c r="AD3373" s="24">
        <v>5.3</v>
      </c>
      <c r="AE3373" s="24">
        <v>0.87</v>
      </c>
      <c r="AF3373" s="24">
        <v>7.2</v>
      </c>
      <c r="AH3373" s="24" t="s">
        <v>2770</v>
      </c>
      <c r="AI3373" s="24" t="s">
        <v>577</v>
      </c>
      <c r="AJ3373" s="24" t="s">
        <v>1645</v>
      </c>
      <c r="AK3373" s="24" t="s">
        <v>132</v>
      </c>
      <c r="AT3373" s="24" t="s">
        <v>2778</v>
      </c>
      <c r="AU3373" s="24" t="s">
        <v>2778</v>
      </c>
      <c r="AV3373" s="24" t="s">
        <v>177</v>
      </c>
      <c r="AW3373" s="24" t="s">
        <v>160</v>
      </c>
      <c r="BB3373" s="24">
        <v>680</v>
      </c>
      <c r="BE3373" s="24" t="s">
        <v>3232</v>
      </c>
      <c r="BK3373" s="24">
        <v>950</v>
      </c>
      <c r="BL3373" s="24">
        <v>950</v>
      </c>
      <c r="BM3373" s="24">
        <v>170</v>
      </c>
      <c r="BN3373" s="24">
        <v>170</v>
      </c>
      <c r="BO3373" s="24" t="s">
        <v>3232</v>
      </c>
      <c r="BP3373" s="395"/>
      <c r="BQ3373" s="395"/>
      <c r="BU3373" s="395"/>
      <c r="BV3373" s="395"/>
      <c r="BZ3373" s="395"/>
      <c r="CA3373" s="395"/>
      <c r="CE3373" s="548"/>
      <c r="CF3373" s="548"/>
      <c r="CG3373" s="548"/>
      <c r="CH3373" s="548"/>
      <c r="JD3373" s="249"/>
    </row>
    <row r="3374" spans="1:264" s="32" customFormat="1" x14ac:dyDescent="0.25">
      <c r="A3374" s="32">
        <v>158</v>
      </c>
      <c r="B3374" s="44" t="s">
        <v>3230</v>
      </c>
      <c r="C3374" s="32" t="s">
        <v>3226</v>
      </c>
      <c r="D3374" s="32" t="s">
        <v>3227</v>
      </c>
      <c r="E3374" s="32">
        <v>1999</v>
      </c>
      <c r="F3374" s="32">
        <v>1996</v>
      </c>
      <c r="G3374" s="32" t="s">
        <v>2766</v>
      </c>
      <c r="H3374" s="32" t="s">
        <v>3224</v>
      </c>
      <c r="I3374" s="32" t="s">
        <v>3225</v>
      </c>
      <c r="J3374" s="32">
        <f t="shared" si="466"/>
        <v>-15.308333333333334</v>
      </c>
      <c r="K3374" s="32">
        <f t="shared" si="467"/>
        <v>35.391666666666666</v>
      </c>
      <c r="L3374" s="32">
        <v>800</v>
      </c>
      <c r="P3374" s="32">
        <v>1150</v>
      </c>
      <c r="R3374" s="44" t="s">
        <v>1847</v>
      </c>
      <c r="S3374" s="44" t="s">
        <v>1728</v>
      </c>
      <c r="T3374" s="44"/>
      <c r="U3374" s="44" t="s">
        <v>3228</v>
      </c>
      <c r="V3374" s="44" t="s">
        <v>1382</v>
      </c>
      <c r="W3374" s="44" t="s">
        <v>1717</v>
      </c>
      <c r="X3374" s="44" t="s">
        <v>1382</v>
      </c>
      <c r="Y3374" s="44" t="s">
        <v>1382</v>
      </c>
      <c r="Z3374" s="32">
        <v>1.3</v>
      </c>
      <c r="AA3374" s="323">
        <v>45</v>
      </c>
      <c r="AB3374" s="323">
        <v>37</v>
      </c>
      <c r="AC3374" s="32" t="s">
        <v>139</v>
      </c>
      <c r="AD3374" s="32">
        <v>6.5</v>
      </c>
      <c r="AE3374" s="32">
        <v>2.11</v>
      </c>
      <c r="AF3374" s="32">
        <v>5.4</v>
      </c>
      <c r="AH3374" s="32" t="s">
        <v>2770</v>
      </c>
      <c r="AI3374" s="32" t="s">
        <v>577</v>
      </c>
      <c r="AJ3374" s="32" t="s">
        <v>1645</v>
      </c>
      <c r="AK3374" s="32" t="s">
        <v>132</v>
      </c>
      <c r="AT3374" s="32" t="s">
        <v>2778</v>
      </c>
      <c r="AU3374" s="32" t="s">
        <v>2778</v>
      </c>
      <c r="AV3374" s="32" t="s">
        <v>177</v>
      </c>
      <c r="AW3374" s="32" t="s">
        <v>160</v>
      </c>
      <c r="BB3374" s="32">
        <v>2310</v>
      </c>
      <c r="BE3374" s="32" t="s">
        <v>3233</v>
      </c>
      <c r="BF3374" s="32">
        <v>1720</v>
      </c>
      <c r="BG3374" s="32">
        <v>1650</v>
      </c>
      <c r="BH3374" s="32">
        <v>410</v>
      </c>
      <c r="BI3374" s="32">
        <v>410</v>
      </c>
      <c r="BK3374" s="32">
        <v>1300</v>
      </c>
      <c r="BL3374" s="32">
        <v>1370</v>
      </c>
      <c r="BM3374" s="32">
        <v>470</v>
      </c>
      <c r="BN3374" s="32">
        <v>470</v>
      </c>
      <c r="BO3374" s="32" t="s">
        <v>3233</v>
      </c>
      <c r="BP3374" s="397"/>
      <c r="BQ3374" s="397"/>
      <c r="BU3374" s="397"/>
      <c r="BV3374" s="397"/>
      <c r="BZ3374" s="397"/>
      <c r="CA3374" s="397"/>
      <c r="CE3374" s="550"/>
      <c r="CF3374" s="550"/>
      <c r="CG3374" s="550"/>
      <c r="CH3374" s="550"/>
      <c r="JD3374" s="243"/>
    </row>
    <row r="3375" spans="1:264" s="32" customFormat="1" x14ac:dyDescent="0.25">
      <c r="A3375" s="32">
        <v>158</v>
      </c>
      <c r="B3375" s="44" t="s">
        <v>3230</v>
      </c>
      <c r="C3375" s="32" t="s">
        <v>3226</v>
      </c>
      <c r="D3375" s="32" t="s">
        <v>3227</v>
      </c>
      <c r="E3375" s="32">
        <v>1999</v>
      </c>
      <c r="F3375" s="32">
        <v>1996</v>
      </c>
      <c r="G3375" s="32" t="s">
        <v>2766</v>
      </c>
      <c r="H3375" s="32" t="s">
        <v>3224</v>
      </c>
      <c r="I3375" s="32" t="s">
        <v>3225</v>
      </c>
      <c r="J3375" s="32">
        <f t="shared" si="466"/>
        <v>-15.308333333333334</v>
      </c>
      <c r="K3375" s="32">
        <f t="shared" si="467"/>
        <v>35.391666666666666</v>
      </c>
      <c r="L3375" s="32">
        <v>800</v>
      </c>
      <c r="P3375" s="32">
        <v>1150</v>
      </c>
      <c r="R3375" s="44" t="s">
        <v>1847</v>
      </c>
      <c r="S3375" s="44" t="s">
        <v>1728</v>
      </c>
      <c r="T3375" s="44"/>
      <c r="U3375" s="44" t="s">
        <v>3228</v>
      </c>
      <c r="V3375" s="44" t="s">
        <v>1382</v>
      </c>
      <c r="W3375" s="44" t="s">
        <v>1717</v>
      </c>
      <c r="X3375" s="44" t="s">
        <v>1382</v>
      </c>
      <c r="Y3375" s="44" t="s">
        <v>1382</v>
      </c>
      <c r="Z3375" s="32">
        <v>1.2</v>
      </c>
      <c r="AA3375" s="323">
        <v>40</v>
      </c>
      <c r="AB3375" s="323">
        <v>32</v>
      </c>
      <c r="AC3375" s="32" t="s">
        <v>139</v>
      </c>
      <c r="AD3375" s="32">
        <v>6.1</v>
      </c>
      <c r="AE3375" s="32">
        <v>1.53</v>
      </c>
      <c r="AF3375" s="32">
        <v>7.2</v>
      </c>
      <c r="AH3375" s="32" t="s">
        <v>2770</v>
      </c>
      <c r="AI3375" s="32" t="s">
        <v>577</v>
      </c>
      <c r="AJ3375" s="32" t="s">
        <v>1645</v>
      </c>
      <c r="AK3375" s="32" t="s">
        <v>132</v>
      </c>
      <c r="AT3375" s="32" t="s">
        <v>2778</v>
      </c>
      <c r="AU3375" s="32" t="s">
        <v>2778</v>
      </c>
      <c r="AV3375" s="32" t="s">
        <v>177</v>
      </c>
      <c r="AW3375" s="32" t="s">
        <v>160</v>
      </c>
      <c r="BB3375" s="32">
        <v>2690</v>
      </c>
      <c r="BE3375" s="32" t="s">
        <v>3233</v>
      </c>
      <c r="BF3375" s="32">
        <v>1820</v>
      </c>
      <c r="BG3375" s="32">
        <v>1760</v>
      </c>
      <c r="BH3375" s="32">
        <v>410</v>
      </c>
      <c r="BI3375" s="32">
        <v>410</v>
      </c>
      <c r="BK3375" s="32">
        <v>1090</v>
      </c>
      <c r="BL3375" s="32">
        <v>1100</v>
      </c>
      <c r="BM3375" s="32">
        <v>470</v>
      </c>
      <c r="BN3375" s="32">
        <v>470</v>
      </c>
      <c r="BO3375" s="32" t="s">
        <v>3233</v>
      </c>
      <c r="BP3375" s="397"/>
      <c r="BQ3375" s="397"/>
      <c r="BU3375" s="397"/>
      <c r="BV3375" s="397"/>
      <c r="BZ3375" s="397"/>
      <c r="CA3375" s="397"/>
      <c r="CE3375" s="550"/>
      <c r="CF3375" s="550"/>
      <c r="CG3375" s="550"/>
      <c r="CH3375" s="550"/>
      <c r="JD3375" s="243"/>
    </row>
    <row r="3376" spans="1:264" s="32" customFormat="1" x14ac:dyDescent="0.25">
      <c r="A3376" s="32">
        <v>158</v>
      </c>
      <c r="B3376" s="44" t="s">
        <v>3230</v>
      </c>
      <c r="C3376" s="32" t="s">
        <v>3226</v>
      </c>
      <c r="D3376" s="32" t="s">
        <v>3227</v>
      </c>
      <c r="E3376" s="32">
        <v>1999</v>
      </c>
      <c r="F3376" s="32">
        <v>1996</v>
      </c>
      <c r="G3376" s="32" t="s">
        <v>2766</v>
      </c>
      <c r="H3376" s="32" t="s">
        <v>3224</v>
      </c>
      <c r="I3376" s="32" t="s">
        <v>3225</v>
      </c>
      <c r="J3376" s="32">
        <f t="shared" si="466"/>
        <v>-15.308333333333334</v>
      </c>
      <c r="K3376" s="32">
        <f t="shared" si="467"/>
        <v>35.391666666666666</v>
      </c>
      <c r="L3376" s="32">
        <v>800</v>
      </c>
      <c r="P3376" s="32">
        <v>1150</v>
      </c>
      <c r="R3376" s="44" t="s">
        <v>1847</v>
      </c>
      <c r="S3376" s="44" t="s">
        <v>1728</v>
      </c>
      <c r="T3376" s="44"/>
      <c r="U3376" s="44" t="s">
        <v>3228</v>
      </c>
      <c r="V3376" s="44" t="s">
        <v>1382</v>
      </c>
      <c r="W3376" s="44" t="s">
        <v>1717</v>
      </c>
      <c r="X3376" s="44" t="s">
        <v>1382</v>
      </c>
      <c r="Y3376" s="44" t="s">
        <v>1382</v>
      </c>
      <c r="Z3376" s="32">
        <v>1.4</v>
      </c>
      <c r="AA3376" s="323">
        <v>36</v>
      </c>
      <c r="AB3376" s="323">
        <v>42</v>
      </c>
      <c r="AC3376" s="32" t="s">
        <v>139</v>
      </c>
      <c r="AD3376" s="32">
        <v>5.3</v>
      </c>
      <c r="AE3376" s="32">
        <v>0.87</v>
      </c>
      <c r="AF3376" s="32">
        <v>7.2</v>
      </c>
      <c r="AH3376" s="32" t="s">
        <v>2770</v>
      </c>
      <c r="AI3376" s="32" t="s">
        <v>577</v>
      </c>
      <c r="AJ3376" s="32" t="s">
        <v>1645</v>
      </c>
      <c r="AK3376" s="32" t="s">
        <v>132</v>
      </c>
      <c r="AT3376" s="32" t="s">
        <v>2778</v>
      </c>
      <c r="AU3376" s="32" t="s">
        <v>2778</v>
      </c>
      <c r="AV3376" s="32" t="s">
        <v>177</v>
      </c>
      <c r="AW3376" s="32" t="s">
        <v>160</v>
      </c>
      <c r="BB3376" s="32">
        <v>1080</v>
      </c>
      <c r="BE3376" s="32" t="s">
        <v>3233</v>
      </c>
      <c r="BF3376" s="32">
        <v>980</v>
      </c>
      <c r="BG3376" s="32">
        <v>1060</v>
      </c>
      <c r="BH3376" s="32">
        <v>410</v>
      </c>
      <c r="BI3376" s="32">
        <v>410</v>
      </c>
      <c r="BK3376" s="32">
        <v>510</v>
      </c>
      <c r="BL3376" s="32">
        <v>520</v>
      </c>
      <c r="BM3376" s="32">
        <v>470</v>
      </c>
      <c r="BN3376" s="32">
        <v>470</v>
      </c>
      <c r="BO3376" s="32" t="s">
        <v>3233</v>
      </c>
      <c r="BP3376" s="397"/>
      <c r="BQ3376" s="397"/>
      <c r="BU3376" s="397"/>
      <c r="BV3376" s="397"/>
      <c r="BZ3376" s="397"/>
      <c r="CA3376" s="397"/>
      <c r="CE3376" s="550"/>
      <c r="CF3376" s="550"/>
      <c r="CG3376" s="550"/>
      <c r="CH3376" s="550"/>
      <c r="JD3376" s="243"/>
    </row>
    <row r="3377" spans="1:264" s="24" customFormat="1" x14ac:dyDescent="0.25">
      <c r="A3377" s="24">
        <v>158</v>
      </c>
      <c r="B3377" s="42" t="s">
        <v>3230</v>
      </c>
      <c r="C3377" s="24" t="s">
        <v>3226</v>
      </c>
      <c r="D3377" s="24" t="s">
        <v>3227</v>
      </c>
      <c r="E3377" s="24">
        <v>1999</v>
      </c>
      <c r="F3377" s="24">
        <v>1997</v>
      </c>
      <c r="G3377" s="24" t="s">
        <v>2766</v>
      </c>
      <c r="H3377" s="24" t="s">
        <v>3224</v>
      </c>
      <c r="I3377" s="24" t="s">
        <v>3225</v>
      </c>
      <c r="J3377" s="24">
        <f t="shared" si="466"/>
        <v>-15.308333333333334</v>
      </c>
      <c r="K3377" s="24">
        <f t="shared" si="467"/>
        <v>35.391666666666666</v>
      </c>
      <c r="L3377" s="24">
        <v>800</v>
      </c>
      <c r="P3377" s="24">
        <v>1150</v>
      </c>
      <c r="R3377" s="42" t="s">
        <v>1728</v>
      </c>
      <c r="S3377" s="42" t="s">
        <v>1728</v>
      </c>
      <c r="T3377" s="42"/>
      <c r="U3377" s="42" t="s">
        <v>3228</v>
      </c>
      <c r="V3377" s="42" t="s">
        <v>1382</v>
      </c>
      <c r="W3377" s="42" t="s">
        <v>1717</v>
      </c>
      <c r="X3377" s="42" t="s">
        <v>1382</v>
      </c>
      <c r="Y3377" s="42" t="s">
        <v>1382</v>
      </c>
      <c r="Z3377" s="24">
        <v>1.3</v>
      </c>
      <c r="AA3377" s="321">
        <v>45</v>
      </c>
      <c r="AB3377" s="321">
        <v>37</v>
      </c>
      <c r="AC3377" s="24" t="s">
        <v>139</v>
      </c>
      <c r="AD3377" s="24">
        <v>6.5</v>
      </c>
      <c r="AE3377" s="24">
        <v>2.11</v>
      </c>
      <c r="AF3377" s="24">
        <v>5.4</v>
      </c>
      <c r="AH3377" s="24" t="s">
        <v>2770</v>
      </c>
      <c r="AI3377" s="24" t="s">
        <v>577</v>
      </c>
      <c r="AJ3377" s="24" t="s">
        <v>1645</v>
      </c>
      <c r="AK3377" s="24" t="s">
        <v>132</v>
      </c>
      <c r="AT3377" s="24" t="s">
        <v>2778</v>
      </c>
      <c r="AU3377" s="24" t="s">
        <v>2778</v>
      </c>
      <c r="AV3377" s="24" t="s">
        <v>177</v>
      </c>
      <c r="AW3377" s="24" t="s">
        <v>160</v>
      </c>
      <c r="BE3377" s="24" t="s">
        <v>3234</v>
      </c>
      <c r="BF3377" s="24">
        <v>810</v>
      </c>
      <c r="BG3377" s="24">
        <v>1980</v>
      </c>
      <c r="BH3377" s="24">
        <v>310</v>
      </c>
      <c r="BI3377" s="24">
        <v>310</v>
      </c>
      <c r="BK3377" s="24">
        <v>670</v>
      </c>
      <c r="BL3377" s="24">
        <v>1100</v>
      </c>
      <c r="BM3377" s="24">
        <v>320</v>
      </c>
      <c r="BN3377" s="24">
        <v>320</v>
      </c>
      <c r="BO3377" s="24" t="s">
        <v>3234</v>
      </c>
      <c r="BP3377" s="395"/>
      <c r="BQ3377" s="395"/>
      <c r="BU3377" s="395"/>
      <c r="BV3377" s="395"/>
      <c r="BZ3377" s="395"/>
      <c r="CA3377" s="395"/>
      <c r="CE3377" s="548"/>
      <c r="CF3377" s="548"/>
      <c r="CG3377" s="548"/>
      <c r="CH3377" s="548"/>
      <c r="JD3377" s="249"/>
    </row>
    <row r="3378" spans="1:264" s="24" customFormat="1" x14ac:dyDescent="0.25">
      <c r="A3378" s="24">
        <v>158</v>
      </c>
      <c r="B3378" s="42" t="s">
        <v>3230</v>
      </c>
      <c r="C3378" s="24" t="s">
        <v>3226</v>
      </c>
      <c r="D3378" s="24" t="s">
        <v>3227</v>
      </c>
      <c r="E3378" s="24">
        <v>1999</v>
      </c>
      <c r="F3378" s="24">
        <v>1997</v>
      </c>
      <c r="G3378" s="24" t="s">
        <v>2766</v>
      </c>
      <c r="H3378" s="24" t="s">
        <v>3224</v>
      </c>
      <c r="I3378" s="24" t="s">
        <v>3225</v>
      </c>
      <c r="J3378" s="24">
        <f t="shared" si="466"/>
        <v>-15.308333333333334</v>
      </c>
      <c r="K3378" s="24">
        <f t="shared" si="467"/>
        <v>35.391666666666666</v>
      </c>
      <c r="L3378" s="24">
        <v>800</v>
      </c>
      <c r="P3378" s="24">
        <v>1150</v>
      </c>
      <c r="R3378" s="42" t="s">
        <v>1728</v>
      </c>
      <c r="S3378" s="42" t="s">
        <v>1728</v>
      </c>
      <c r="T3378" s="42"/>
      <c r="U3378" s="42" t="s">
        <v>3228</v>
      </c>
      <c r="V3378" s="42" t="s">
        <v>1382</v>
      </c>
      <c r="W3378" s="42" t="s">
        <v>1717</v>
      </c>
      <c r="X3378" s="42" t="s">
        <v>1382</v>
      </c>
      <c r="Y3378" s="42" t="s">
        <v>1382</v>
      </c>
      <c r="Z3378" s="24">
        <v>1.2</v>
      </c>
      <c r="AA3378" s="321">
        <v>40</v>
      </c>
      <c r="AB3378" s="321">
        <v>32</v>
      </c>
      <c r="AC3378" s="24" t="s">
        <v>139</v>
      </c>
      <c r="AD3378" s="24">
        <v>6.1</v>
      </c>
      <c r="AE3378" s="24">
        <v>1.53</v>
      </c>
      <c r="AF3378" s="24">
        <v>7.2</v>
      </c>
      <c r="AH3378" s="24" t="s">
        <v>2770</v>
      </c>
      <c r="AI3378" s="24" t="s">
        <v>577</v>
      </c>
      <c r="AJ3378" s="24" t="s">
        <v>1645</v>
      </c>
      <c r="AK3378" s="24" t="s">
        <v>132</v>
      </c>
      <c r="AT3378" s="24" t="s">
        <v>2778</v>
      </c>
      <c r="AU3378" s="24" t="s">
        <v>2778</v>
      </c>
      <c r="AV3378" s="24" t="s">
        <v>177</v>
      </c>
      <c r="AW3378" s="24" t="s">
        <v>160</v>
      </c>
      <c r="BE3378" s="24" t="s">
        <v>3234</v>
      </c>
      <c r="BF3378" s="24">
        <v>630</v>
      </c>
      <c r="BG3378" s="24">
        <v>1340</v>
      </c>
      <c r="BH3378" s="24">
        <v>310</v>
      </c>
      <c r="BI3378" s="24">
        <v>310</v>
      </c>
      <c r="BK3378" s="24">
        <v>440</v>
      </c>
      <c r="BL3378" s="24">
        <v>1180</v>
      </c>
      <c r="BM3378" s="24">
        <v>320</v>
      </c>
      <c r="BN3378" s="24">
        <v>320</v>
      </c>
      <c r="BO3378" s="24" t="s">
        <v>3234</v>
      </c>
      <c r="BP3378" s="395"/>
      <c r="BQ3378" s="395"/>
      <c r="BU3378" s="395"/>
      <c r="BV3378" s="395"/>
      <c r="BZ3378" s="395"/>
      <c r="CA3378" s="395"/>
      <c r="CE3378" s="548"/>
      <c r="CF3378" s="548"/>
      <c r="CG3378" s="548"/>
      <c r="CH3378" s="548"/>
      <c r="JD3378" s="249"/>
    </row>
    <row r="3379" spans="1:264" s="24" customFormat="1" x14ac:dyDescent="0.25">
      <c r="A3379" s="24">
        <v>158</v>
      </c>
      <c r="B3379" s="42" t="s">
        <v>3230</v>
      </c>
      <c r="C3379" s="24" t="s">
        <v>3226</v>
      </c>
      <c r="D3379" s="24" t="s">
        <v>3227</v>
      </c>
      <c r="E3379" s="24">
        <v>1999</v>
      </c>
      <c r="F3379" s="24">
        <v>1997</v>
      </c>
      <c r="G3379" s="24" t="s">
        <v>2766</v>
      </c>
      <c r="H3379" s="24" t="s">
        <v>3224</v>
      </c>
      <c r="I3379" s="24" t="s">
        <v>3225</v>
      </c>
      <c r="J3379" s="24">
        <f t="shared" si="466"/>
        <v>-15.308333333333334</v>
      </c>
      <c r="K3379" s="24">
        <f t="shared" si="467"/>
        <v>35.391666666666666</v>
      </c>
      <c r="L3379" s="24">
        <v>800</v>
      </c>
      <c r="P3379" s="24">
        <v>1150</v>
      </c>
      <c r="R3379" s="42" t="s">
        <v>1728</v>
      </c>
      <c r="S3379" s="42" t="s">
        <v>1728</v>
      </c>
      <c r="T3379" s="42"/>
      <c r="U3379" s="42" t="s">
        <v>3228</v>
      </c>
      <c r="V3379" s="42" t="s">
        <v>1382</v>
      </c>
      <c r="W3379" s="42" t="s">
        <v>1717</v>
      </c>
      <c r="X3379" s="42" t="s">
        <v>1382</v>
      </c>
      <c r="Y3379" s="42" t="s">
        <v>1382</v>
      </c>
      <c r="Z3379" s="24">
        <v>1.4</v>
      </c>
      <c r="AA3379" s="321">
        <v>36</v>
      </c>
      <c r="AB3379" s="321">
        <v>42</v>
      </c>
      <c r="AC3379" s="24" t="s">
        <v>139</v>
      </c>
      <c r="AD3379" s="24">
        <v>5.3</v>
      </c>
      <c r="AE3379" s="24">
        <v>0.87</v>
      </c>
      <c r="AF3379" s="24">
        <v>7.2</v>
      </c>
      <c r="AH3379" s="24" t="s">
        <v>2770</v>
      </c>
      <c r="AI3379" s="24" t="s">
        <v>577</v>
      </c>
      <c r="AJ3379" s="24" t="s">
        <v>1645</v>
      </c>
      <c r="AK3379" s="24" t="s">
        <v>132</v>
      </c>
      <c r="AT3379" s="24" t="s">
        <v>2778</v>
      </c>
      <c r="AU3379" s="24" t="s">
        <v>2778</v>
      </c>
      <c r="AV3379" s="24" t="s">
        <v>177</v>
      </c>
      <c r="AW3379" s="24" t="s">
        <v>160</v>
      </c>
      <c r="BE3379" s="24" t="s">
        <v>3234</v>
      </c>
      <c r="BF3379" s="24">
        <v>530</v>
      </c>
      <c r="BG3379" s="24">
        <v>1070</v>
      </c>
      <c r="BH3379" s="24">
        <v>310</v>
      </c>
      <c r="BI3379" s="24">
        <v>310</v>
      </c>
      <c r="BK3379" s="24">
        <v>290</v>
      </c>
      <c r="BL3379" s="24">
        <v>880</v>
      </c>
      <c r="BM3379" s="24">
        <v>320</v>
      </c>
      <c r="BN3379" s="24">
        <v>320</v>
      </c>
      <c r="BO3379" s="24" t="s">
        <v>3234</v>
      </c>
      <c r="BP3379" s="395"/>
      <c r="BQ3379" s="395"/>
      <c r="BU3379" s="395"/>
      <c r="BV3379" s="395"/>
      <c r="BZ3379" s="395"/>
      <c r="CA3379" s="395"/>
      <c r="CE3379" s="548"/>
      <c r="CF3379" s="548"/>
      <c r="CG3379" s="548"/>
      <c r="CH3379" s="548"/>
      <c r="JD3379" s="249"/>
    </row>
    <row r="3380" spans="1:264" s="126" customFormat="1" x14ac:dyDescent="0.25">
      <c r="A3380" s="126">
        <v>159</v>
      </c>
      <c r="B3380" s="478" t="s">
        <v>3230</v>
      </c>
      <c r="C3380" s="126" t="s">
        <v>3226</v>
      </c>
      <c r="D3380" s="126" t="s">
        <v>3227</v>
      </c>
      <c r="E3380" s="126">
        <v>1999</v>
      </c>
      <c r="F3380" s="126">
        <v>1996</v>
      </c>
      <c r="G3380" s="126" t="s">
        <v>2766</v>
      </c>
      <c r="H3380" s="126" t="s">
        <v>3224</v>
      </c>
      <c r="I3380" s="126" t="s">
        <v>3225</v>
      </c>
      <c r="J3380" s="126">
        <f t="shared" si="466"/>
        <v>-15.308333333333334</v>
      </c>
      <c r="K3380" s="126">
        <f t="shared" si="467"/>
        <v>35.391666666666666</v>
      </c>
      <c r="L3380" s="126">
        <v>800</v>
      </c>
      <c r="P3380" s="126">
        <v>1150</v>
      </c>
      <c r="R3380" s="478" t="s">
        <v>1847</v>
      </c>
      <c r="S3380" s="478" t="s">
        <v>1728</v>
      </c>
      <c r="T3380" s="478"/>
      <c r="U3380" s="478" t="s">
        <v>3228</v>
      </c>
      <c r="V3380" s="478" t="s">
        <v>1382</v>
      </c>
      <c r="W3380" s="478" t="s">
        <v>1717</v>
      </c>
      <c r="X3380" s="478" t="s">
        <v>1382</v>
      </c>
      <c r="Y3380" s="478" t="s">
        <v>1382</v>
      </c>
      <c r="Z3380" s="126">
        <v>1.3</v>
      </c>
      <c r="AA3380" s="479">
        <v>45</v>
      </c>
      <c r="AB3380" s="479">
        <v>37</v>
      </c>
      <c r="AC3380" s="126" t="s">
        <v>139</v>
      </c>
      <c r="AD3380" s="126">
        <v>6.5</v>
      </c>
      <c r="AE3380" s="126">
        <v>2.11</v>
      </c>
      <c r="AF3380" s="126">
        <v>5.4</v>
      </c>
      <c r="AH3380" s="126" t="s">
        <v>2770</v>
      </c>
      <c r="AI3380" s="126" t="s">
        <v>577</v>
      </c>
      <c r="AJ3380" s="126" t="s">
        <v>1645</v>
      </c>
      <c r="AK3380" s="126" t="s">
        <v>132</v>
      </c>
      <c r="AT3380" s="126" t="s">
        <v>2778</v>
      </c>
      <c r="AU3380" s="126" t="s">
        <v>2778</v>
      </c>
      <c r="AV3380" s="126" t="s">
        <v>177</v>
      </c>
      <c r="AW3380" s="126" t="s">
        <v>160</v>
      </c>
      <c r="BB3380" s="126">
        <v>2310</v>
      </c>
      <c r="BD3380" s="126" t="s">
        <v>3235</v>
      </c>
      <c r="BE3380" s="126" t="s">
        <v>3232</v>
      </c>
      <c r="BP3380" s="481"/>
      <c r="BQ3380" s="481"/>
      <c r="BU3380" s="481"/>
      <c r="BV3380" s="481"/>
      <c r="BZ3380" s="481"/>
      <c r="CA3380" s="481"/>
      <c r="CE3380" s="605"/>
      <c r="CF3380" s="605"/>
      <c r="CG3380" s="605"/>
      <c r="CH3380" s="605"/>
      <c r="CJ3380" s="126">
        <v>25</v>
      </c>
      <c r="CK3380" s="126">
        <v>17</v>
      </c>
      <c r="CL3380" s="126">
        <v>9</v>
      </c>
      <c r="CM3380" s="126">
        <v>12</v>
      </c>
      <c r="CN3380" s="126" t="s">
        <v>3239</v>
      </c>
      <c r="JD3380" s="480"/>
    </row>
    <row r="3381" spans="1:264" s="126" customFormat="1" x14ac:dyDescent="0.25">
      <c r="A3381" s="126">
        <v>159</v>
      </c>
      <c r="B3381" s="478" t="s">
        <v>3230</v>
      </c>
      <c r="C3381" s="126" t="s">
        <v>3226</v>
      </c>
      <c r="D3381" s="126" t="s">
        <v>3227</v>
      </c>
      <c r="E3381" s="126">
        <v>1999</v>
      </c>
      <c r="F3381" s="126">
        <v>1996</v>
      </c>
      <c r="G3381" s="126" t="s">
        <v>2766</v>
      </c>
      <c r="H3381" s="126" t="s">
        <v>3224</v>
      </c>
      <c r="I3381" s="126" t="s">
        <v>3225</v>
      </c>
      <c r="J3381" s="126">
        <f t="shared" si="466"/>
        <v>-15.308333333333334</v>
      </c>
      <c r="K3381" s="126">
        <f t="shared" si="467"/>
        <v>35.391666666666666</v>
      </c>
      <c r="L3381" s="126">
        <v>800</v>
      </c>
      <c r="P3381" s="126">
        <v>1150</v>
      </c>
      <c r="R3381" s="478" t="s">
        <v>1847</v>
      </c>
      <c r="S3381" s="478" t="s">
        <v>1728</v>
      </c>
      <c r="T3381" s="478"/>
      <c r="U3381" s="478" t="s">
        <v>3228</v>
      </c>
      <c r="V3381" s="478" t="s">
        <v>1382</v>
      </c>
      <c r="W3381" s="478" t="s">
        <v>1717</v>
      </c>
      <c r="X3381" s="478" t="s">
        <v>1382</v>
      </c>
      <c r="Y3381" s="478" t="s">
        <v>1382</v>
      </c>
      <c r="Z3381" s="126">
        <v>1.2</v>
      </c>
      <c r="AA3381" s="479">
        <v>40</v>
      </c>
      <c r="AB3381" s="479">
        <v>32</v>
      </c>
      <c r="AC3381" s="126" t="s">
        <v>139</v>
      </c>
      <c r="AD3381" s="126">
        <v>6.1</v>
      </c>
      <c r="AE3381" s="126">
        <v>1.53</v>
      </c>
      <c r="AF3381" s="126">
        <v>7.2</v>
      </c>
      <c r="AH3381" s="126" t="s">
        <v>2770</v>
      </c>
      <c r="AI3381" s="126" t="s">
        <v>577</v>
      </c>
      <c r="AJ3381" s="126" t="s">
        <v>1645</v>
      </c>
      <c r="AK3381" s="126" t="s">
        <v>132</v>
      </c>
      <c r="AT3381" s="126" t="s">
        <v>2778</v>
      </c>
      <c r="AU3381" s="126" t="s">
        <v>2778</v>
      </c>
      <c r="AV3381" s="126" t="s">
        <v>177</v>
      </c>
      <c r="AW3381" s="126" t="s">
        <v>160</v>
      </c>
      <c r="BB3381" s="126">
        <v>2690</v>
      </c>
      <c r="BD3381" s="126" t="s">
        <v>3235</v>
      </c>
      <c r="BE3381" s="126" t="s">
        <v>3233</v>
      </c>
      <c r="BP3381" s="481"/>
      <c r="BQ3381" s="481"/>
      <c r="BU3381" s="481"/>
      <c r="BV3381" s="481"/>
      <c r="BZ3381" s="481"/>
      <c r="CA3381" s="481"/>
      <c r="CE3381" s="605"/>
      <c r="CF3381" s="605"/>
      <c r="CG3381" s="605"/>
      <c r="CH3381" s="605"/>
      <c r="CJ3381" s="126">
        <v>15</v>
      </c>
      <c r="CK3381" s="126">
        <v>15</v>
      </c>
      <c r="CL3381" s="126">
        <v>7</v>
      </c>
      <c r="CM3381" s="126">
        <v>9</v>
      </c>
      <c r="CN3381" s="126" t="s">
        <v>3239</v>
      </c>
      <c r="JD3381" s="480"/>
    </row>
    <row r="3382" spans="1:264" s="126" customFormat="1" x14ac:dyDescent="0.25">
      <c r="A3382" s="126">
        <v>159</v>
      </c>
      <c r="B3382" s="478" t="s">
        <v>3230</v>
      </c>
      <c r="C3382" s="126" t="s">
        <v>3226</v>
      </c>
      <c r="D3382" s="126" t="s">
        <v>3227</v>
      </c>
      <c r="E3382" s="126">
        <v>1999</v>
      </c>
      <c r="F3382" s="126">
        <v>1996</v>
      </c>
      <c r="G3382" s="126" t="s">
        <v>2766</v>
      </c>
      <c r="H3382" s="126" t="s">
        <v>3224</v>
      </c>
      <c r="I3382" s="126" t="s">
        <v>3225</v>
      </c>
      <c r="J3382" s="126">
        <f t="shared" si="466"/>
        <v>-15.308333333333334</v>
      </c>
      <c r="K3382" s="126">
        <f t="shared" si="467"/>
        <v>35.391666666666666</v>
      </c>
      <c r="L3382" s="126">
        <v>800</v>
      </c>
      <c r="P3382" s="126">
        <v>1150</v>
      </c>
      <c r="R3382" s="478" t="s">
        <v>1847</v>
      </c>
      <c r="S3382" s="478" t="s">
        <v>1728</v>
      </c>
      <c r="T3382" s="478"/>
      <c r="U3382" s="478" t="s">
        <v>3228</v>
      </c>
      <c r="V3382" s="478" t="s">
        <v>1382</v>
      </c>
      <c r="W3382" s="478" t="s">
        <v>1717</v>
      </c>
      <c r="X3382" s="478" t="s">
        <v>1382</v>
      </c>
      <c r="Y3382" s="478" t="s">
        <v>1382</v>
      </c>
      <c r="Z3382" s="126">
        <v>1.4</v>
      </c>
      <c r="AA3382" s="479">
        <v>36</v>
      </c>
      <c r="AB3382" s="479">
        <v>42</v>
      </c>
      <c r="AC3382" s="126" t="s">
        <v>139</v>
      </c>
      <c r="AD3382" s="126">
        <v>5.3</v>
      </c>
      <c r="AE3382" s="126">
        <v>0.87</v>
      </c>
      <c r="AF3382" s="126">
        <v>7.2</v>
      </c>
      <c r="AH3382" s="126" t="s">
        <v>2770</v>
      </c>
      <c r="AI3382" s="126" t="s">
        <v>577</v>
      </c>
      <c r="AJ3382" s="126" t="s">
        <v>1645</v>
      </c>
      <c r="AK3382" s="126" t="s">
        <v>132</v>
      </c>
      <c r="AT3382" s="126" t="s">
        <v>2778</v>
      </c>
      <c r="AU3382" s="126" t="s">
        <v>2778</v>
      </c>
      <c r="AV3382" s="126" t="s">
        <v>177</v>
      </c>
      <c r="AW3382" s="126" t="s">
        <v>160</v>
      </c>
      <c r="BB3382" s="126">
        <v>1080</v>
      </c>
      <c r="BD3382" s="126" t="s">
        <v>3235</v>
      </c>
      <c r="BE3382" s="126" t="s">
        <v>3234</v>
      </c>
      <c r="BP3382" s="481"/>
      <c r="BQ3382" s="481"/>
      <c r="BU3382" s="481"/>
      <c r="BV3382" s="481"/>
      <c r="BZ3382" s="481"/>
      <c r="CA3382" s="481"/>
      <c r="CE3382" s="605"/>
      <c r="CF3382" s="605"/>
      <c r="CG3382" s="605"/>
      <c r="CH3382" s="605"/>
      <c r="CJ3382" s="126">
        <v>17</v>
      </c>
      <c r="CK3382" s="126">
        <v>21</v>
      </c>
      <c r="CL3382" s="126">
        <v>6</v>
      </c>
      <c r="CM3382" s="126">
        <v>9</v>
      </c>
      <c r="CN3382" s="126" t="s">
        <v>3239</v>
      </c>
      <c r="JD3382" s="480"/>
    </row>
    <row r="3383" spans="1:264" s="36" customFormat="1" x14ac:dyDescent="0.25">
      <c r="A3383" s="36">
        <v>159</v>
      </c>
      <c r="B3383" s="51" t="s">
        <v>3230</v>
      </c>
      <c r="C3383" s="36" t="s">
        <v>3226</v>
      </c>
      <c r="D3383" s="36" t="s">
        <v>3227</v>
      </c>
      <c r="E3383" s="36">
        <v>1999</v>
      </c>
      <c r="F3383" s="36">
        <v>1996</v>
      </c>
      <c r="G3383" s="36" t="s">
        <v>2766</v>
      </c>
      <c r="H3383" s="36" t="s">
        <v>3224</v>
      </c>
      <c r="I3383" s="36" t="s">
        <v>3225</v>
      </c>
      <c r="J3383" s="36">
        <f t="shared" si="466"/>
        <v>-15.308333333333334</v>
      </c>
      <c r="K3383" s="36">
        <f t="shared" si="467"/>
        <v>35.391666666666666</v>
      </c>
      <c r="L3383" s="36">
        <v>800</v>
      </c>
      <c r="P3383" s="36">
        <v>1150</v>
      </c>
      <c r="R3383" s="51" t="s">
        <v>1847</v>
      </c>
      <c r="S3383" s="51" t="s">
        <v>1728</v>
      </c>
      <c r="T3383" s="51"/>
      <c r="U3383" s="51" t="s">
        <v>3228</v>
      </c>
      <c r="V3383" s="51" t="s">
        <v>1382</v>
      </c>
      <c r="W3383" s="51" t="s">
        <v>1717</v>
      </c>
      <c r="X3383" s="51" t="s">
        <v>1382</v>
      </c>
      <c r="Y3383" s="51" t="s">
        <v>1382</v>
      </c>
      <c r="Z3383" s="36">
        <v>1.3</v>
      </c>
      <c r="AA3383" s="331">
        <v>45</v>
      </c>
      <c r="AB3383" s="331">
        <v>37</v>
      </c>
      <c r="AC3383" s="36" t="s">
        <v>139</v>
      </c>
      <c r="AD3383" s="36">
        <v>6.5</v>
      </c>
      <c r="AE3383" s="36">
        <v>2.11</v>
      </c>
      <c r="AF3383" s="36">
        <v>5.4</v>
      </c>
      <c r="AH3383" s="36" t="s">
        <v>2770</v>
      </c>
      <c r="AI3383" s="36" t="s">
        <v>577</v>
      </c>
      <c r="AJ3383" s="36" t="s">
        <v>1645</v>
      </c>
      <c r="AK3383" s="36" t="s">
        <v>132</v>
      </c>
      <c r="AT3383" s="36" t="s">
        <v>2778</v>
      </c>
      <c r="AU3383" s="36" t="s">
        <v>2778</v>
      </c>
      <c r="AV3383" s="36" t="s">
        <v>177</v>
      </c>
      <c r="AW3383" s="36" t="s">
        <v>160</v>
      </c>
      <c r="BB3383" s="36">
        <v>2310</v>
      </c>
      <c r="BD3383" s="36" t="s">
        <v>3236</v>
      </c>
      <c r="BE3383" s="36" t="s">
        <v>3232</v>
      </c>
      <c r="BP3383" s="407"/>
      <c r="BQ3383" s="407"/>
      <c r="BU3383" s="407"/>
      <c r="BV3383" s="407"/>
      <c r="BZ3383" s="407"/>
      <c r="CA3383" s="407"/>
      <c r="CE3383" s="560"/>
      <c r="CF3383" s="560"/>
      <c r="CG3383" s="560"/>
      <c r="CH3383" s="560"/>
      <c r="CJ3383" s="36">
        <v>14</v>
      </c>
      <c r="CK3383" s="36">
        <v>18</v>
      </c>
      <c r="CL3383" s="36">
        <v>12</v>
      </c>
      <c r="CM3383" s="36">
        <v>14</v>
      </c>
      <c r="CN3383" s="36" t="s">
        <v>3239</v>
      </c>
      <c r="JD3383" s="230"/>
    </row>
    <row r="3384" spans="1:264" s="36" customFormat="1" x14ac:dyDescent="0.25">
      <c r="A3384" s="36">
        <v>159</v>
      </c>
      <c r="B3384" s="51" t="s">
        <v>3230</v>
      </c>
      <c r="C3384" s="36" t="s">
        <v>3226</v>
      </c>
      <c r="D3384" s="36" t="s">
        <v>3227</v>
      </c>
      <c r="E3384" s="36">
        <v>1999</v>
      </c>
      <c r="F3384" s="36">
        <v>1996</v>
      </c>
      <c r="G3384" s="36" t="s">
        <v>2766</v>
      </c>
      <c r="H3384" s="36" t="s">
        <v>3224</v>
      </c>
      <c r="I3384" s="36" t="s">
        <v>3225</v>
      </c>
      <c r="J3384" s="36">
        <f t="shared" si="466"/>
        <v>-15.308333333333334</v>
      </c>
      <c r="K3384" s="36">
        <f t="shared" si="467"/>
        <v>35.391666666666666</v>
      </c>
      <c r="L3384" s="36">
        <v>800</v>
      </c>
      <c r="P3384" s="36">
        <v>1150</v>
      </c>
      <c r="R3384" s="51" t="s">
        <v>1847</v>
      </c>
      <c r="S3384" s="51" t="s">
        <v>1728</v>
      </c>
      <c r="T3384" s="51"/>
      <c r="U3384" s="51" t="s">
        <v>3228</v>
      </c>
      <c r="V3384" s="51" t="s">
        <v>1382</v>
      </c>
      <c r="W3384" s="51" t="s">
        <v>1717</v>
      </c>
      <c r="X3384" s="51" t="s">
        <v>1382</v>
      </c>
      <c r="Y3384" s="51" t="s">
        <v>1382</v>
      </c>
      <c r="Z3384" s="36">
        <v>1.2</v>
      </c>
      <c r="AA3384" s="331">
        <v>40</v>
      </c>
      <c r="AB3384" s="331">
        <v>32</v>
      </c>
      <c r="AC3384" s="36" t="s">
        <v>139</v>
      </c>
      <c r="AD3384" s="36">
        <v>6.1</v>
      </c>
      <c r="AE3384" s="36">
        <v>1.53</v>
      </c>
      <c r="AF3384" s="36">
        <v>7.2</v>
      </c>
      <c r="AH3384" s="36" t="s">
        <v>2770</v>
      </c>
      <c r="AI3384" s="36" t="s">
        <v>577</v>
      </c>
      <c r="AJ3384" s="36" t="s">
        <v>1645</v>
      </c>
      <c r="AK3384" s="36" t="s">
        <v>132</v>
      </c>
      <c r="AT3384" s="36" t="s">
        <v>2778</v>
      </c>
      <c r="AU3384" s="36" t="s">
        <v>2778</v>
      </c>
      <c r="AV3384" s="36" t="s">
        <v>177</v>
      </c>
      <c r="AW3384" s="36" t="s">
        <v>160</v>
      </c>
      <c r="BB3384" s="36">
        <v>2690</v>
      </c>
      <c r="BD3384" s="36" t="s">
        <v>3236</v>
      </c>
      <c r="BE3384" s="36" t="s">
        <v>3233</v>
      </c>
      <c r="BP3384" s="407"/>
      <c r="BQ3384" s="407"/>
      <c r="BU3384" s="407"/>
      <c r="BV3384" s="407"/>
      <c r="BZ3384" s="407"/>
      <c r="CA3384" s="407"/>
      <c r="CE3384" s="560"/>
      <c r="CF3384" s="560"/>
      <c r="CG3384" s="560"/>
      <c r="CH3384" s="560"/>
      <c r="CJ3384" s="36">
        <v>16</v>
      </c>
      <c r="CK3384" s="36">
        <v>20</v>
      </c>
      <c r="CL3384" s="36">
        <v>14</v>
      </c>
      <c r="CM3384" s="36">
        <v>16</v>
      </c>
      <c r="CN3384" s="36" t="s">
        <v>3239</v>
      </c>
      <c r="JD3384" s="230"/>
    </row>
    <row r="3385" spans="1:264" s="36" customFormat="1" x14ac:dyDescent="0.25">
      <c r="A3385" s="36">
        <v>159</v>
      </c>
      <c r="B3385" s="51" t="s">
        <v>3230</v>
      </c>
      <c r="C3385" s="36" t="s">
        <v>3226</v>
      </c>
      <c r="D3385" s="36" t="s">
        <v>3227</v>
      </c>
      <c r="E3385" s="36">
        <v>1999</v>
      </c>
      <c r="F3385" s="36">
        <v>1996</v>
      </c>
      <c r="G3385" s="36" t="s">
        <v>2766</v>
      </c>
      <c r="H3385" s="36" t="s">
        <v>3224</v>
      </c>
      <c r="I3385" s="36" t="s">
        <v>3225</v>
      </c>
      <c r="J3385" s="36">
        <f t="shared" si="466"/>
        <v>-15.308333333333334</v>
      </c>
      <c r="K3385" s="36">
        <f t="shared" si="467"/>
        <v>35.391666666666666</v>
      </c>
      <c r="L3385" s="36">
        <v>800</v>
      </c>
      <c r="P3385" s="36">
        <v>1150</v>
      </c>
      <c r="R3385" s="51" t="s">
        <v>1847</v>
      </c>
      <c r="S3385" s="51" t="s">
        <v>1728</v>
      </c>
      <c r="T3385" s="51"/>
      <c r="U3385" s="51" t="s">
        <v>3228</v>
      </c>
      <c r="V3385" s="51" t="s">
        <v>1382</v>
      </c>
      <c r="W3385" s="51" t="s">
        <v>1717</v>
      </c>
      <c r="X3385" s="51" t="s">
        <v>1382</v>
      </c>
      <c r="Y3385" s="51" t="s">
        <v>1382</v>
      </c>
      <c r="Z3385" s="36">
        <v>1.4</v>
      </c>
      <c r="AA3385" s="331">
        <v>36</v>
      </c>
      <c r="AB3385" s="331">
        <v>42</v>
      </c>
      <c r="AC3385" s="36" t="s">
        <v>139</v>
      </c>
      <c r="AD3385" s="36">
        <v>5.3</v>
      </c>
      <c r="AE3385" s="36">
        <v>0.87</v>
      </c>
      <c r="AF3385" s="36">
        <v>7.2</v>
      </c>
      <c r="AH3385" s="36" t="s">
        <v>2770</v>
      </c>
      <c r="AI3385" s="36" t="s">
        <v>577</v>
      </c>
      <c r="AJ3385" s="36" t="s">
        <v>1645</v>
      </c>
      <c r="AK3385" s="36" t="s">
        <v>132</v>
      </c>
      <c r="AT3385" s="36" t="s">
        <v>2778</v>
      </c>
      <c r="AU3385" s="36" t="s">
        <v>2778</v>
      </c>
      <c r="AV3385" s="36" t="s">
        <v>177</v>
      </c>
      <c r="AW3385" s="36" t="s">
        <v>160</v>
      </c>
      <c r="BB3385" s="36">
        <v>1080</v>
      </c>
      <c r="BD3385" s="36" t="s">
        <v>3236</v>
      </c>
      <c r="BE3385" s="36" t="s">
        <v>3234</v>
      </c>
      <c r="BP3385" s="407"/>
      <c r="BQ3385" s="407"/>
      <c r="BU3385" s="407"/>
      <c r="BV3385" s="407"/>
      <c r="BZ3385" s="407"/>
      <c r="CA3385" s="407"/>
      <c r="CE3385" s="560"/>
      <c r="CF3385" s="560"/>
      <c r="CG3385" s="560"/>
      <c r="CH3385" s="560"/>
      <c r="CJ3385" s="36">
        <v>17</v>
      </c>
      <c r="CK3385" s="36">
        <v>24</v>
      </c>
      <c r="CL3385" s="36">
        <v>15</v>
      </c>
      <c r="CM3385" s="36">
        <v>19</v>
      </c>
      <c r="CN3385" s="36" t="s">
        <v>3239</v>
      </c>
      <c r="JD3385" s="230"/>
    </row>
    <row r="3386" spans="1:264" s="126" customFormat="1" x14ac:dyDescent="0.25">
      <c r="A3386" s="126">
        <v>159</v>
      </c>
      <c r="B3386" s="478" t="s">
        <v>3230</v>
      </c>
      <c r="C3386" s="126" t="s">
        <v>3226</v>
      </c>
      <c r="D3386" s="126" t="s">
        <v>3227</v>
      </c>
      <c r="E3386" s="126">
        <v>1999</v>
      </c>
      <c r="F3386" s="126">
        <v>1996</v>
      </c>
      <c r="G3386" s="126" t="s">
        <v>2766</v>
      </c>
      <c r="H3386" s="126" t="s">
        <v>3224</v>
      </c>
      <c r="I3386" s="126" t="s">
        <v>3225</v>
      </c>
      <c r="J3386" s="126">
        <f t="shared" si="466"/>
        <v>-15.308333333333334</v>
      </c>
      <c r="K3386" s="126">
        <f t="shared" si="467"/>
        <v>35.391666666666666</v>
      </c>
      <c r="L3386" s="126">
        <v>800</v>
      </c>
      <c r="P3386" s="126">
        <v>1150</v>
      </c>
      <c r="R3386" s="478" t="s">
        <v>1847</v>
      </c>
      <c r="S3386" s="478" t="s">
        <v>1728</v>
      </c>
      <c r="T3386" s="478"/>
      <c r="U3386" s="478" t="s">
        <v>3228</v>
      </c>
      <c r="V3386" s="478" t="s">
        <v>1382</v>
      </c>
      <c r="W3386" s="478" t="s">
        <v>1717</v>
      </c>
      <c r="X3386" s="478" t="s">
        <v>1382</v>
      </c>
      <c r="Y3386" s="478" t="s">
        <v>1382</v>
      </c>
      <c r="Z3386" s="126">
        <v>1.3</v>
      </c>
      <c r="AA3386" s="479">
        <v>45</v>
      </c>
      <c r="AB3386" s="479">
        <v>37</v>
      </c>
      <c r="AC3386" s="126" t="s">
        <v>139</v>
      </c>
      <c r="AD3386" s="126">
        <v>6.5</v>
      </c>
      <c r="AE3386" s="126">
        <v>2.11</v>
      </c>
      <c r="AF3386" s="126">
        <v>5.4</v>
      </c>
      <c r="AH3386" s="126" t="s">
        <v>2770</v>
      </c>
      <c r="AI3386" s="126" t="s">
        <v>577</v>
      </c>
      <c r="AJ3386" s="126" t="s">
        <v>1645</v>
      </c>
      <c r="AK3386" s="126" t="s">
        <v>132</v>
      </c>
      <c r="AT3386" s="126" t="s">
        <v>2778</v>
      </c>
      <c r="AU3386" s="126" t="s">
        <v>2778</v>
      </c>
      <c r="AV3386" s="126" t="s">
        <v>177</v>
      </c>
      <c r="AW3386" s="126" t="s">
        <v>160</v>
      </c>
      <c r="BB3386" s="126">
        <v>2310</v>
      </c>
      <c r="BD3386" s="126" t="s">
        <v>3237</v>
      </c>
      <c r="BE3386" s="126" t="s">
        <v>3232</v>
      </c>
      <c r="BP3386" s="481"/>
      <c r="BQ3386" s="481"/>
      <c r="BU3386" s="481"/>
      <c r="BV3386" s="481"/>
      <c r="BZ3386" s="481"/>
      <c r="CA3386" s="481"/>
      <c r="CE3386" s="605"/>
      <c r="CF3386" s="605"/>
      <c r="CG3386" s="605"/>
      <c r="CH3386" s="605"/>
      <c r="CJ3386" s="126">
        <v>24</v>
      </c>
      <c r="CK3386" s="126">
        <v>65</v>
      </c>
      <c r="CL3386" s="126">
        <v>15</v>
      </c>
      <c r="CM3386" s="126">
        <v>32</v>
      </c>
      <c r="CN3386" s="126" t="s">
        <v>3239</v>
      </c>
      <c r="JD3386" s="480"/>
    </row>
    <row r="3387" spans="1:264" s="126" customFormat="1" x14ac:dyDescent="0.25">
      <c r="A3387" s="126">
        <v>159</v>
      </c>
      <c r="B3387" s="478" t="s">
        <v>3230</v>
      </c>
      <c r="C3387" s="126" t="s">
        <v>3226</v>
      </c>
      <c r="D3387" s="126" t="s">
        <v>3227</v>
      </c>
      <c r="E3387" s="126">
        <v>1999</v>
      </c>
      <c r="F3387" s="126">
        <v>1996</v>
      </c>
      <c r="G3387" s="126" t="s">
        <v>2766</v>
      </c>
      <c r="H3387" s="126" t="s">
        <v>3224</v>
      </c>
      <c r="I3387" s="126" t="s">
        <v>3225</v>
      </c>
      <c r="J3387" s="126">
        <f t="shared" si="466"/>
        <v>-15.308333333333334</v>
      </c>
      <c r="K3387" s="126">
        <f t="shared" si="467"/>
        <v>35.391666666666666</v>
      </c>
      <c r="L3387" s="126">
        <v>800</v>
      </c>
      <c r="P3387" s="126">
        <v>1150</v>
      </c>
      <c r="R3387" s="478" t="s">
        <v>1847</v>
      </c>
      <c r="S3387" s="478" t="s">
        <v>1728</v>
      </c>
      <c r="T3387" s="478"/>
      <c r="U3387" s="478" t="s">
        <v>3228</v>
      </c>
      <c r="V3387" s="478" t="s">
        <v>1382</v>
      </c>
      <c r="W3387" s="478" t="s">
        <v>1717</v>
      </c>
      <c r="X3387" s="478" t="s">
        <v>1382</v>
      </c>
      <c r="Y3387" s="478" t="s">
        <v>1382</v>
      </c>
      <c r="Z3387" s="126">
        <v>1.2</v>
      </c>
      <c r="AA3387" s="479">
        <v>40</v>
      </c>
      <c r="AB3387" s="479">
        <v>32</v>
      </c>
      <c r="AC3387" s="126" t="s">
        <v>139</v>
      </c>
      <c r="AD3387" s="126">
        <v>6.1</v>
      </c>
      <c r="AE3387" s="126">
        <v>1.53</v>
      </c>
      <c r="AF3387" s="126">
        <v>7.2</v>
      </c>
      <c r="AH3387" s="126" t="s">
        <v>2770</v>
      </c>
      <c r="AI3387" s="126" t="s">
        <v>577</v>
      </c>
      <c r="AJ3387" s="126" t="s">
        <v>1645</v>
      </c>
      <c r="AK3387" s="126" t="s">
        <v>132</v>
      </c>
      <c r="AT3387" s="126" t="s">
        <v>2778</v>
      </c>
      <c r="AU3387" s="126" t="s">
        <v>2778</v>
      </c>
      <c r="AV3387" s="126" t="s">
        <v>177</v>
      </c>
      <c r="AW3387" s="126" t="s">
        <v>160</v>
      </c>
      <c r="BB3387" s="126">
        <v>2690</v>
      </c>
      <c r="BD3387" s="126" t="s">
        <v>3237</v>
      </c>
      <c r="BE3387" s="126" t="s">
        <v>3233</v>
      </c>
      <c r="BP3387" s="481"/>
      <c r="BQ3387" s="481"/>
      <c r="BU3387" s="481"/>
      <c r="BV3387" s="481"/>
      <c r="BZ3387" s="481"/>
      <c r="CA3387" s="481"/>
      <c r="CE3387" s="605"/>
      <c r="CF3387" s="605"/>
      <c r="CG3387" s="605"/>
      <c r="CH3387" s="605"/>
      <c r="CJ3387" s="126">
        <v>19</v>
      </c>
      <c r="CK3387" s="126">
        <v>53</v>
      </c>
      <c r="CL3387" s="126">
        <v>13</v>
      </c>
      <c r="CM3387" s="126">
        <v>20</v>
      </c>
      <c r="CN3387" s="126" t="s">
        <v>3239</v>
      </c>
      <c r="JD3387" s="480"/>
    </row>
    <row r="3388" spans="1:264" s="126" customFormat="1" x14ac:dyDescent="0.25">
      <c r="A3388" s="126">
        <v>159</v>
      </c>
      <c r="B3388" s="478" t="s">
        <v>3230</v>
      </c>
      <c r="C3388" s="126" t="s">
        <v>3226</v>
      </c>
      <c r="D3388" s="126" t="s">
        <v>3227</v>
      </c>
      <c r="E3388" s="126">
        <v>1999</v>
      </c>
      <c r="F3388" s="126">
        <v>1996</v>
      </c>
      <c r="G3388" s="126" t="s">
        <v>2766</v>
      </c>
      <c r="H3388" s="126" t="s">
        <v>3224</v>
      </c>
      <c r="I3388" s="126" t="s">
        <v>3225</v>
      </c>
      <c r="J3388" s="126">
        <f t="shared" si="466"/>
        <v>-15.308333333333334</v>
      </c>
      <c r="K3388" s="126">
        <f t="shared" si="467"/>
        <v>35.391666666666666</v>
      </c>
      <c r="L3388" s="126">
        <v>800</v>
      </c>
      <c r="P3388" s="126">
        <v>1150</v>
      </c>
      <c r="R3388" s="478" t="s">
        <v>1847</v>
      </c>
      <c r="S3388" s="478" t="s">
        <v>1728</v>
      </c>
      <c r="T3388" s="478"/>
      <c r="U3388" s="478" t="s">
        <v>3228</v>
      </c>
      <c r="V3388" s="478" t="s">
        <v>1382</v>
      </c>
      <c r="W3388" s="478" t="s">
        <v>1717</v>
      </c>
      <c r="X3388" s="478" t="s">
        <v>1382</v>
      </c>
      <c r="Y3388" s="478" t="s">
        <v>1382</v>
      </c>
      <c r="Z3388" s="126">
        <v>1.4</v>
      </c>
      <c r="AA3388" s="479">
        <v>36</v>
      </c>
      <c r="AB3388" s="479">
        <v>42</v>
      </c>
      <c r="AC3388" s="126" t="s">
        <v>139</v>
      </c>
      <c r="AD3388" s="126">
        <v>5.3</v>
      </c>
      <c r="AE3388" s="126">
        <v>0.87</v>
      </c>
      <c r="AF3388" s="126">
        <v>7.2</v>
      </c>
      <c r="AH3388" s="126" t="s">
        <v>2770</v>
      </c>
      <c r="AI3388" s="126" t="s">
        <v>577</v>
      </c>
      <c r="AJ3388" s="126" t="s">
        <v>1645</v>
      </c>
      <c r="AK3388" s="126" t="s">
        <v>132</v>
      </c>
      <c r="AT3388" s="126" t="s">
        <v>2778</v>
      </c>
      <c r="AU3388" s="126" t="s">
        <v>2778</v>
      </c>
      <c r="AV3388" s="126" t="s">
        <v>177</v>
      </c>
      <c r="AW3388" s="126" t="s">
        <v>160</v>
      </c>
      <c r="BB3388" s="126">
        <v>1080</v>
      </c>
      <c r="BD3388" s="126" t="s">
        <v>3237</v>
      </c>
      <c r="BE3388" s="126" t="s">
        <v>3234</v>
      </c>
      <c r="BP3388" s="481"/>
      <c r="BQ3388" s="481"/>
      <c r="BU3388" s="481"/>
      <c r="BV3388" s="481"/>
      <c r="BZ3388" s="481"/>
      <c r="CA3388" s="481"/>
      <c r="CE3388" s="605"/>
      <c r="CF3388" s="605"/>
      <c r="CG3388" s="605"/>
      <c r="CH3388" s="605"/>
      <c r="CJ3388" s="126">
        <v>22</v>
      </c>
      <c r="CK3388" s="126">
        <v>33</v>
      </c>
      <c r="CL3388" s="126">
        <v>16</v>
      </c>
      <c r="CM3388" s="126">
        <v>4</v>
      </c>
      <c r="CN3388" s="126" t="s">
        <v>3239</v>
      </c>
      <c r="JD3388" s="480"/>
    </row>
    <row r="3389" spans="1:264" s="36" customFormat="1" x14ac:dyDescent="0.25">
      <c r="A3389" s="36">
        <v>159</v>
      </c>
      <c r="B3389" s="51" t="s">
        <v>3230</v>
      </c>
      <c r="C3389" s="36" t="s">
        <v>3226</v>
      </c>
      <c r="D3389" s="36" t="s">
        <v>3227</v>
      </c>
      <c r="E3389" s="36">
        <v>1999</v>
      </c>
      <c r="F3389" s="36">
        <v>1996</v>
      </c>
      <c r="G3389" s="36" t="s">
        <v>2766</v>
      </c>
      <c r="H3389" s="36" t="s">
        <v>3224</v>
      </c>
      <c r="I3389" s="36" t="s">
        <v>3225</v>
      </c>
      <c r="J3389" s="36">
        <f t="shared" si="466"/>
        <v>-15.308333333333334</v>
      </c>
      <c r="K3389" s="36">
        <f t="shared" si="467"/>
        <v>35.391666666666666</v>
      </c>
      <c r="L3389" s="36">
        <v>800</v>
      </c>
      <c r="P3389" s="36">
        <v>1150</v>
      </c>
      <c r="R3389" s="51" t="s">
        <v>1847</v>
      </c>
      <c r="S3389" s="51" t="s">
        <v>1728</v>
      </c>
      <c r="T3389" s="51"/>
      <c r="U3389" s="51" t="s">
        <v>3228</v>
      </c>
      <c r="V3389" s="51" t="s">
        <v>1382</v>
      </c>
      <c r="W3389" s="51" t="s">
        <v>1717</v>
      </c>
      <c r="X3389" s="51" t="s">
        <v>1382</v>
      </c>
      <c r="Y3389" s="51" t="s">
        <v>1382</v>
      </c>
      <c r="Z3389" s="36">
        <v>1.3</v>
      </c>
      <c r="AA3389" s="331">
        <v>45</v>
      </c>
      <c r="AB3389" s="331">
        <v>37</v>
      </c>
      <c r="AC3389" s="36" t="s">
        <v>139</v>
      </c>
      <c r="AD3389" s="36">
        <v>6.5</v>
      </c>
      <c r="AE3389" s="36">
        <v>2.11</v>
      </c>
      <c r="AF3389" s="36">
        <v>5.4</v>
      </c>
      <c r="AH3389" s="36" t="s">
        <v>2770</v>
      </c>
      <c r="AI3389" s="36" t="s">
        <v>577</v>
      </c>
      <c r="AJ3389" s="36" t="s">
        <v>1645</v>
      </c>
      <c r="AK3389" s="36" t="s">
        <v>132</v>
      </c>
      <c r="AT3389" s="36" t="s">
        <v>2778</v>
      </c>
      <c r="AU3389" s="36" t="s">
        <v>2778</v>
      </c>
      <c r="AV3389" s="36" t="s">
        <v>177</v>
      </c>
      <c r="AW3389" s="36" t="s">
        <v>160</v>
      </c>
      <c r="BB3389" s="36">
        <v>2310</v>
      </c>
      <c r="BD3389" s="36" t="s">
        <v>3238</v>
      </c>
      <c r="BE3389" s="36" t="s">
        <v>3232</v>
      </c>
      <c r="BP3389" s="407"/>
      <c r="BQ3389" s="407"/>
      <c r="BU3389" s="407"/>
      <c r="BV3389" s="407"/>
      <c r="BZ3389" s="407"/>
      <c r="CA3389" s="407"/>
      <c r="CE3389" s="560"/>
      <c r="CF3389" s="560"/>
      <c r="CG3389" s="560"/>
      <c r="CH3389" s="560"/>
      <c r="CJ3389" s="36">
        <v>7</v>
      </c>
      <c r="CK3389" s="36">
        <v>6</v>
      </c>
      <c r="CL3389" s="36">
        <v>4</v>
      </c>
      <c r="CM3389" s="36">
        <v>2</v>
      </c>
      <c r="CN3389" s="36" t="s">
        <v>3239</v>
      </c>
      <c r="JD3389" s="230"/>
    </row>
    <row r="3390" spans="1:264" s="36" customFormat="1" x14ac:dyDescent="0.25">
      <c r="A3390" s="36">
        <v>159</v>
      </c>
      <c r="B3390" s="51" t="s">
        <v>3230</v>
      </c>
      <c r="C3390" s="36" t="s">
        <v>3226</v>
      </c>
      <c r="D3390" s="36" t="s">
        <v>3227</v>
      </c>
      <c r="E3390" s="36">
        <v>1999</v>
      </c>
      <c r="F3390" s="36">
        <v>1996</v>
      </c>
      <c r="G3390" s="36" t="s">
        <v>2766</v>
      </c>
      <c r="H3390" s="36" t="s">
        <v>3224</v>
      </c>
      <c r="I3390" s="36" t="s">
        <v>3225</v>
      </c>
      <c r="J3390" s="36">
        <f t="shared" si="466"/>
        <v>-15.308333333333334</v>
      </c>
      <c r="K3390" s="36">
        <f t="shared" si="467"/>
        <v>35.391666666666666</v>
      </c>
      <c r="L3390" s="36">
        <v>800</v>
      </c>
      <c r="P3390" s="36">
        <v>1150</v>
      </c>
      <c r="R3390" s="51" t="s">
        <v>1847</v>
      </c>
      <c r="S3390" s="51" t="s">
        <v>1728</v>
      </c>
      <c r="T3390" s="51"/>
      <c r="U3390" s="51" t="s">
        <v>3228</v>
      </c>
      <c r="V3390" s="51" t="s">
        <v>1382</v>
      </c>
      <c r="W3390" s="51" t="s">
        <v>1717</v>
      </c>
      <c r="X3390" s="51" t="s">
        <v>1382</v>
      </c>
      <c r="Y3390" s="51" t="s">
        <v>1382</v>
      </c>
      <c r="Z3390" s="36">
        <v>1.2</v>
      </c>
      <c r="AA3390" s="331">
        <v>40</v>
      </c>
      <c r="AB3390" s="331">
        <v>32</v>
      </c>
      <c r="AC3390" s="36" t="s">
        <v>139</v>
      </c>
      <c r="AD3390" s="36">
        <v>6.1</v>
      </c>
      <c r="AE3390" s="36">
        <v>1.53</v>
      </c>
      <c r="AF3390" s="36">
        <v>7.2</v>
      </c>
      <c r="AH3390" s="36" t="s">
        <v>2770</v>
      </c>
      <c r="AI3390" s="36" t="s">
        <v>577</v>
      </c>
      <c r="AJ3390" s="36" t="s">
        <v>1645</v>
      </c>
      <c r="AK3390" s="36" t="s">
        <v>132</v>
      </c>
      <c r="AT3390" s="36" t="s">
        <v>2778</v>
      </c>
      <c r="AU3390" s="36" t="s">
        <v>2778</v>
      </c>
      <c r="AV3390" s="36" t="s">
        <v>177</v>
      </c>
      <c r="AW3390" s="36" t="s">
        <v>160</v>
      </c>
      <c r="BB3390" s="36">
        <v>2690</v>
      </c>
      <c r="BD3390" s="36" t="s">
        <v>3238</v>
      </c>
      <c r="BE3390" s="36" t="s">
        <v>3233</v>
      </c>
      <c r="BP3390" s="407"/>
      <c r="BQ3390" s="407"/>
      <c r="BU3390" s="407"/>
      <c r="BV3390" s="407"/>
      <c r="BZ3390" s="407"/>
      <c r="CA3390" s="407"/>
      <c r="CE3390" s="560"/>
      <c r="CF3390" s="560"/>
      <c r="CG3390" s="560"/>
      <c r="CH3390" s="560"/>
      <c r="CJ3390" s="36">
        <v>4</v>
      </c>
      <c r="CK3390" s="36">
        <v>4</v>
      </c>
      <c r="CL3390" s="36">
        <v>3</v>
      </c>
      <c r="CM3390" s="36">
        <v>2</v>
      </c>
      <c r="CN3390" s="36" t="s">
        <v>3239</v>
      </c>
      <c r="JD3390" s="230"/>
    </row>
    <row r="3391" spans="1:264" s="36" customFormat="1" x14ac:dyDescent="0.25">
      <c r="A3391" s="36">
        <v>159</v>
      </c>
      <c r="B3391" s="51" t="s">
        <v>3230</v>
      </c>
      <c r="C3391" s="36" t="s">
        <v>3226</v>
      </c>
      <c r="D3391" s="36" t="s">
        <v>3227</v>
      </c>
      <c r="E3391" s="36">
        <v>1999</v>
      </c>
      <c r="F3391" s="36">
        <v>1996</v>
      </c>
      <c r="G3391" s="36" t="s">
        <v>2766</v>
      </c>
      <c r="H3391" s="36" t="s">
        <v>3224</v>
      </c>
      <c r="I3391" s="36" t="s">
        <v>3225</v>
      </c>
      <c r="J3391" s="36">
        <f t="shared" si="466"/>
        <v>-15.308333333333334</v>
      </c>
      <c r="K3391" s="36">
        <f t="shared" si="467"/>
        <v>35.391666666666666</v>
      </c>
      <c r="L3391" s="36">
        <v>800</v>
      </c>
      <c r="P3391" s="36">
        <v>1150</v>
      </c>
      <c r="R3391" s="51" t="s">
        <v>1847</v>
      </c>
      <c r="S3391" s="51" t="s">
        <v>1728</v>
      </c>
      <c r="T3391" s="51"/>
      <c r="U3391" s="51" t="s">
        <v>3228</v>
      </c>
      <c r="V3391" s="51" t="s">
        <v>1382</v>
      </c>
      <c r="W3391" s="51" t="s">
        <v>1717</v>
      </c>
      <c r="X3391" s="51" t="s">
        <v>1382</v>
      </c>
      <c r="Y3391" s="51" t="s">
        <v>1382</v>
      </c>
      <c r="Z3391" s="36">
        <v>1.4</v>
      </c>
      <c r="AA3391" s="331">
        <v>36</v>
      </c>
      <c r="AB3391" s="331">
        <v>42</v>
      </c>
      <c r="AC3391" s="36" t="s">
        <v>139</v>
      </c>
      <c r="AD3391" s="36">
        <v>5.3</v>
      </c>
      <c r="AE3391" s="36">
        <v>0.87</v>
      </c>
      <c r="AF3391" s="36">
        <v>7.2</v>
      </c>
      <c r="AH3391" s="36" t="s">
        <v>2770</v>
      </c>
      <c r="AI3391" s="36" t="s">
        <v>577</v>
      </c>
      <c r="AJ3391" s="36" t="s">
        <v>1645</v>
      </c>
      <c r="AK3391" s="36" t="s">
        <v>132</v>
      </c>
      <c r="AT3391" s="36" t="s">
        <v>2778</v>
      </c>
      <c r="AU3391" s="36" t="s">
        <v>2778</v>
      </c>
      <c r="AV3391" s="36" t="s">
        <v>177</v>
      </c>
      <c r="AW3391" s="36" t="s">
        <v>160</v>
      </c>
      <c r="BB3391" s="36">
        <v>1080</v>
      </c>
      <c r="BD3391" s="36" t="s">
        <v>3238</v>
      </c>
      <c r="BE3391" s="36" t="s">
        <v>3234</v>
      </c>
      <c r="BP3391" s="407"/>
      <c r="BQ3391" s="407"/>
      <c r="BU3391" s="407"/>
      <c r="BV3391" s="407"/>
      <c r="BZ3391" s="407"/>
      <c r="CA3391" s="407"/>
      <c r="CE3391" s="560"/>
      <c r="CF3391" s="560"/>
      <c r="CG3391" s="560"/>
      <c r="CH3391" s="560"/>
      <c r="CJ3391" s="36">
        <v>5</v>
      </c>
      <c r="CK3391" s="36">
        <v>7</v>
      </c>
      <c r="CL3391" s="36">
        <v>3</v>
      </c>
      <c r="CM3391" s="36">
        <v>5</v>
      </c>
      <c r="CN3391" s="36" t="s">
        <v>3239</v>
      </c>
      <c r="JD3391" s="230"/>
    </row>
    <row r="3392" spans="1:264" s="126" customFormat="1" x14ac:dyDescent="0.25">
      <c r="A3392" s="126">
        <v>159</v>
      </c>
      <c r="B3392" s="478" t="s">
        <v>3231</v>
      </c>
      <c r="C3392" s="126" t="s">
        <v>3226</v>
      </c>
      <c r="D3392" s="126" t="s">
        <v>3227</v>
      </c>
      <c r="E3392" s="126">
        <v>1999</v>
      </c>
      <c r="F3392" s="126">
        <v>1996</v>
      </c>
      <c r="G3392" s="126" t="s">
        <v>2766</v>
      </c>
      <c r="H3392" s="126" t="s">
        <v>3224</v>
      </c>
      <c r="I3392" s="126" t="s">
        <v>3225</v>
      </c>
      <c r="J3392" s="126">
        <f t="shared" si="466"/>
        <v>-15.308333333333334</v>
      </c>
      <c r="K3392" s="126">
        <f t="shared" si="467"/>
        <v>35.391666666666666</v>
      </c>
      <c r="L3392" s="126">
        <v>800</v>
      </c>
      <c r="P3392" s="126">
        <v>1150</v>
      </c>
      <c r="R3392" s="478" t="s">
        <v>1847</v>
      </c>
      <c r="S3392" s="478" t="s">
        <v>1728</v>
      </c>
      <c r="T3392" s="478"/>
      <c r="U3392" s="478" t="s">
        <v>3228</v>
      </c>
      <c r="V3392" s="478" t="s">
        <v>1395</v>
      </c>
      <c r="W3392" s="478" t="s">
        <v>1723</v>
      </c>
      <c r="X3392" s="478" t="s">
        <v>1395</v>
      </c>
      <c r="Y3392" s="478" t="s">
        <v>1395</v>
      </c>
      <c r="Z3392" s="126">
        <v>1.3</v>
      </c>
      <c r="AA3392" s="479">
        <v>45</v>
      </c>
      <c r="AB3392" s="479">
        <v>37</v>
      </c>
      <c r="AC3392" s="126" t="s">
        <v>139</v>
      </c>
      <c r="AD3392" s="126">
        <v>6.5</v>
      </c>
      <c r="AE3392" s="126">
        <v>2.11</v>
      </c>
      <c r="AF3392" s="126">
        <v>5.4</v>
      </c>
      <c r="AH3392" s="126" t="s">
        <v>2770</v>
      </c>
      <c r="AI3392" s="126" t="s">
        <v>577</v>
      </c>
      <c r="AJ3392" s="126" t="s">
        <v>1645</v>
      </c>
      <c r="AK3392" s="126" t="s">
        <v>132</v>
      </c>
      <c r="AT3392" s="126" t="s">
        <v>2778</v>
      </c>
      <c r="AU3392" s="126" t="s">
        <v>2778</v>
      </c>
      <c r="AV3392" s="126" t="s">
        <v>177</v>
      </c>
      <c r="AW3392" s="126" t="s">
        <v>160</v>
      </c>
      <c r="BB3392" s="126">
        <v>2310</v>
      </c>
      <c r="BD3392" s="126" t="s">
        <v>3235</v>
      </c>
      <c r="BE3392" s="126" t="s">
        <v>3232</v>
      </c>
      <c r="BP3392" s="481"/>
      <c r="BQ3392" s="481"/>
      <c r="BU3392" s="481"/>
      <c r="BV3392" s="481"/>
      <c r="BZ3392" s="481"/>
      <c r="CA3392" s="481"/>
      <c r="CE3392" s="605"/>
      <c r="CF3392" s="605"/>
      <c r="CG3392" s="605"/>
      <c r="CH3392" s="605"/>
      <c r="CJ3392" s="126">
        <v>34</v>
      </c>
      <c r="CK3392" s="126">
        <v>36</v>
      </c>
      <c r="CL3392" s="126">
        <v>9</v>
      </c>
      <c r="CM3392" s="126">
        <v>12</v>
      </c>
      <c r="CN3392" s="126" t="s">
        <v>3239</v>
      </c>
      <c r="JD3392" s="480"/>
    </row>
    <row r="3393" spans="1:264" s="126" customFormat="1" x14ac:dyDescent="0.25">
      <c r="A3393" s="126">
        <v>159</v>
      </c>
      <c r="B3393" s="478" t="s">
        <v>3231</v>
      </c>
      <c r="C3393" s="126" t="s">
        <v>3226</v>
      </c>
      <c r="D3393" s="126" t="s">
        <v>3227</v>
      </c>
      <c r="E3393" s="126">
        <v>1999</v>
      </c>
      <c r="F3393" s="126">
        <v>1996</v>
      </c>
      <c r="G3393" s="126" t="s">
        <v>2766</v>
      </c>
      <c r="H3393" s="126" t="s">
        <v>3224</v>
      </c>
      <c r="I3393" s="126" t="s">
        <v>3225</v>
      </c>
      <c r="J3393" s="126">
        <f t="shared" si="466"/>
        <v>-15.308333333333334</v>
      </c>
      <c r="K3393" s="126">
        <f t="shared" si="467"/>
        <v>35.391666666666666</v>
      </c>
      <c r="L3393" s="126">
        <v>800</v>
      </c>
      <c r="P3393" s="126">
        <v>1150</v>
      </c>
      <c r="R3393" s="478" t="s">
        <v>1847</v>
      </c>
      <c r="S3393" s="478" t="s">
        <v>1728</v>
      </c>
      <c r="T3393" s="478"/>
      <c r="U3393" s="478" t="s">
        <v>3228</v>
      </c>
      <c r="V3393" s="478" t="s">
        <v>1395</v>
      </c>
      <c r="W3393" s="478" t="s">
        <v>1723</v>
      </c>
      <c r="X3393" s="478" t="s">
        <v>1395</v>
      </c>
      <c r="Y3393" s="478" t="s">
        <v>1395</v>
      </c>
      <c r="Z3393" s="126">
        <v>1.2</v>
      </c>
      <c r="AA3393" s="479">
        <v>40</v>
      </c>
      <c r="AB3393" s="479">
        <v>32</v>
      </c>
      <c r="AC3393" s="126" t="s">
        <v>139</v>
      </c>
      <c r="AD3393" s="126">
        <v>6.1</v>
      </c>
      <c r="AE3393" s="126">
        <v>1.53</v>
      </c>
      <c r="AF3393" s="126">
        <v>7.2</v>
      </c>
      <c r="AH3393" s="126" t="s">
        <v>2770</v>
      </c>
      <c r="AI3393" s="126" t="s">
        <v>577</v>
      </c>
      <c r="AJ3393" s="126" t="s">
        <v>1645</v>
      </c>
      <c r="AK3393" s="126" t="s">
        <v>132</v>
      </c>
      <c r="AT3393" s="126" t="s">
        <v>2778</v>
      </c>
      <c r="AU3393" s="126" t="s">
        <v>2778</v>
      </c>
      <c r="AV3393" s="126" t="s">
        <v>177</v>
      </c>
      <c r="AW3393" s="126" t="s">
        <v>160</v>
      </c>
      <c r="BB3393" s="126">
        <v>2690</v>
      </c>
      <c r="BD3393" s="126" t="s">
        <v>3235</v>
      </c>
      <c r="BE3393" s="126" t="s">
        <v>3233</v>
      </c>
      <c r="BP3393" s="481"/>
      <c r="BQ3393" s="481"/>
      <c r="BU3393" s="481"/>
      <c r="BV3393" s="481"/>
      <c r="BZ3393" s="481"/>
      <c r="CA3393" s="481"/>
      <c r="CE3393" s="605"/>
      <c r="CF3393" s="605"/>
      <c r="CG3393" s="605"/>
      <c r="CH3393" s="605"/>
      <c r="CJ3393" s="126">
        <v>23</v>
      </c>
      <c r="CK3393" s="126">
        <v>35</v>
      </c>
      <c r="CL3393" s="126">
        <v>9</v>
      </c>
      <c r="CM3393" s="126">
        <v>15</v>
      </c>
      <c r="CN3393" s="126" t="s">
        <v>3239</v>
      </c>
      <c r="JD3393" s="480"/>
    </row>
    <row r="3394" spans="1:264" s="126" customFormat="1" x14ac:dyDescent="0.25">
      <c r="A3394" s="126">
        <v>159</v>
      </c>
      <c r="B3394" s="478" t="s">
        <v>3231</v>
      </c>
      <c r="C3394" s="126" t="s">
        <v>3226</v>
      </c>
      <c r="D3394" s="126" t="s">
        <v>3227</v>
      </c>
      <c r="E3394" s="126">
        <v>1999</v>
      </c>
      <c r="F3394" s="126">
        <v>1996</v>
      </c>
      <c r="G3394" s="126" t="s">
        <v>2766</v>
      </c>
      <c r="H3394" s="126" t="s">
        <v>3224</v>
      </c>
      <c r="I3394" s="126" t="s">
        <v>3225</v>
      </c>
      <c r="J3394" s="126">
        <f t="shared" si="466"/>
        <v>-15.308333333333334</v>
      </c>
      <c r="K3394" s="126">
        <f t="shared" si="467"/>
        <v>35.391666666666666</v>
      </c>
      <c r="L3394" s="126">
        <v>800</v>
      </c>
      <c r="P3394" s="126">
        <v>1150</v>
      </c>
      <c r="R3394" s="478" t="s">
        <v>1847</v>
      </c>
      <c r="S3394" s="478" t="s">
        <v>1728</v>
      </c>
      <c r="T3394" s="478"/>
      <c r="U3394" s="478" t="s">
        <v>3228</v>
      </c>
      <c r="V3394" s="478" t="s">
        <v>1395</v>
      </c>
      <c r="W3394" s="478" t="s">
        <v>1723</v>
      </c>
      <c r="X3394" s="478" t="s">
        <v>1395</v>
      </c>
      <c r="Y3394" s="478" t="s">
        <v>1395</v>
      </c>
      <c r="Z3394" s="126">
        <v>1.4</v>
      </c>
      <c r="AA3394" s="479">
        <v>36</v>
      </c>
      <c r="AB3394" s="479">
        <v>42</v>
      </c>
      <c r="AC3394" s="126" t="s">
        <v>139</v>
      </c>
      <c r="AD3394" s="126">
        <v>5.3</v>
      </c>
      <c r="AE3394" s="126">
        <v>0.87</v>
      </c>
      <c r="AF3394" s="126">
        <v>7.2</v>
      </c>
      <c r="AH3394" s="126" t="s">
        <v>2770</v>
      </c>
      <c r="AI3394" s="126" t="s">
        <v>577</v>
      </c>
      <c r="AJ3394" s="126" t="s">
        <v>1645</v>
      </c>
      <c r="AK3394" s="126" t="s">
        <v>132</v>
      </c>
      <c r="AT3394" s="126" t="s">
        <v>2778</v>
      </c>
      <c r="AU3394" s="126" t="s">
        <v>2778</v>
      </c>
      <c r="AV3394" s="126" t="s">
        <v>177</v>
      </c>
      <c r="AW3394" s="126" t="s">
        <v>160</v>
      </c>
      <c r="BB3394" s="126">
        <v>1080</v>
      </c>
      <c r="BD3394" s="126" t="s">
        <v>3235</v>
      </c>
      <c r="BE3394" s="126" t="s">
        <v>3234</v>
      </c>
      <c r="BP3394" s="481"/>
      <c r="BQ3394" s="481"/>
      <c r="BU3394" s="481"/>
      <c r="BV3394" s="481"/>
      <c r="BZ3394" s="481"/>
      <c r="CA3394" s="481"/>
      <c r="CE3394" s="605"/>
      <c r="CF3394" s="605"/>
      <c r="CG3394" s="605"/>
      <c r="CH3394" s="605"/>
      <c r="CJ3394" s="126">
        <v>19</v>
      </c>
      <c r="CK3394" s="126">
        <v>36</v>
      </c>
      <c r="CL3394" s="126">
        <v>2</v>
      </c>
      <c r="CM3394" s="126">
        <v>14</v>
      </c>
      <c r="CN3394" s="126" t="s">
        <v>3239</v>
      </c>
      <c r="JD3394" s="480"/>
    </row>
    <row r="3395" spans="1:264" s="36" customFormat="1" x14ac:dyDescent="0.25">
      <c r="A3395" s="36">
        <v>159</v>
      </c>
      <c r="B3395" s="51" t="s">
        <v>3231</v>
      </c>
      <c r="C3395" s="36" t="s">
        <v>3226</v>
      </c>
      <c r="D3395" s="36" t="s">
        <v>3227</v>
      </c>
      <c r="E3395" s="36">
        <v>1999</v>
      </c>
      <c r="F3395" s="36">
        <v>1996</v>
      </c>
      <c r="G3395" s="36" t="s">
        <v>2766</v>
      </c>
      <c r="H3395" s="36" t="s">
        <v>3224</v>
      </c>
      <c r="I3395" s="36" t="s">
        <v>3225</v>
      </c>
      <c r="J3395" s="36">
        <f t="shared" si="466"/>
        <v>-15.308333333333334</v>
      </c>
      <c r="K3395" s="36">
        <f t="shared" si="467"/>
        <v>35.391666666666666</v>
      </c>
      <c r="L3395" s="36">
        <v>800</v>
      </c>
      <c r="P3395" s="36">
        <v>1150</v>
      </c>
      <c r="R3395" s="51" t="s">
        <v>1847</v>
      </c>
      <c r="S3395" s="51" t="s">
        <v>1728</v>
      </c>
      <c r="T3395" s="51"/>
      <c r="U3395" s="51" t="s">
        <v>3228</v>
      </c>
      <c r="V3395" s="51" t="s">
        <v>1395</v>
      </c>
      <c r="W3395" s="51" t="s">
        <v>1723</v>
      </c>
      <c r="X3395" s="51" t="s">
        <v>1395</v>
      </c>
      <c r="Y3395" s="51" t="s">
        <v>1395</v>
      </c>
      <c r="Z3395" s="36">
        <v>1.3</v>
      </c>
      <c r="AA3395" s="331">
        <v>45</v>
      </c>
      <c r="AB3395" s="331">
        <v>37</v>
      </c>
      <c r="AC3395" s="36" t="s">
        <v>139</v>
      </c>
      <c r="AD3395" s="36">
        <v>6.5</v>
      </c>
      <c r="AE3395" s="36">
        <v>2.11</v>
      </c>
      <c r="AF3395" s="36">
        <v>5.4</v>
      </c>
      <c r="AH3395" s="36" t="s">
        <v>2770</v>
      </c>
      <c r="AI3395" s="36" t="s">
        <v>577</v>
      </c>
      <c r="AJ3395" s="36" t="s">
        <v>1645</v>
      </c>
      <c r="AK3395" s="36" t="s">
        <v>132</v>
      </c>
      <c r="AT3395" s="36" t="s">
        <v>2778</v>
      </c>
      <c r="AU3395" s="36" t="s">
        <v>2778</v>
      </c>
      <c r="AV3395" s="36" t="s">
        <v>177</v>
      </c>
      <c r="AW3395" s="36" t="s">
        <v>160</v>
      </c>
      <c r="BB3395" s="36">
        <v>2310</v>
      </c>
      <c r="BD3395" s="36" t="s">
        <v>3236</v>
      </c>
      <c r="BE3395" s="36" t="s">
        <v>3232</v>
      </c>
      <c r="BP3395" s="407"/>
      <c r="BQ3395" s="407"/>
      <c r="BU3395" s="407"/>
      <c r="BV3395" s="407"/>
      <c r="BZ3395" s="407"/>
      <c r="CA3395" s="407"/>
      <c r="CE3395" s="560"/>
      <c r="CF3395" s="560"/>
      <c r="CG3395" s="560"/>
      <c r="CH3395" s="560"/>
      <c r="CJ3395" s="36">
        <v>40</v>
      </c>
      <c r="CK3395" s="36">
        <v>64</v>
      </c>
      <c r="CL3395" s="36">
        <v>36</v>
      </c>
      <c r="CM3395" s="36">
        <v>62</v>
      </c>
      <c r="CN3395" s="36" t="s">
        <v>3239</v>
      </c>
      <c r="JD3395" s="230"/>
    </row>
    <row r="3396" spans="1:264" s="36" customFormat="1" x14ac:dyDescent="0.25">
      <c r="A3396" s="36">
        <v>159</v>
      </c>
      <c r="B3396" s="51" t="s">
        <v>3231</v>
      </c>
      <c r="C3396" s="36" t="s">
        <v>3226</v>
      </c>
      <c r="D3396" s="36" t="s">
        <v>3227</v>
      </c>
      <c r="E3396" s="36">
        <v>1999</v>
      </c>
      <c r="F3396" s="36">
        <v>1996</v>
      </c>
      <c r="G3396" s="36" t="s">
        <v>2766</v>
      </c>
      <c r="H3396" s="36" t="s">
        <v>3224</v>
      </c>
      <c r="I3396" s="36" t="s">
        <v>3225</v>
      </c>
      <c r="J3396" s="36">
        <f t="shared" si="466"/>
        <v>-15.308333333333334</v>
      </c>
      <c r="K3396" s="36">
        <f t="shared" si="467"/>
        <v>35.391666666666666</v>
      </c>
      <c r="L3396" s="36">
        <v>800</v>
      </c>
      <c r="P3396" s="36">
        <v>1150</v>
      </c>
      <c r="R3396" s="51" t="s">
        <v>1847</v>
      </c>
      <c r="S3396" s="51" t="s">
        <v>1728</v>
      </c>
      <c r="T3396" s="51"/>
      <c r="U3396" s="51" t="s">
        <v>3228</v>
      </c>
      <c r="V3396" s="51" t="s">
        <v>1395</v>
      </c>
      <c r="W3396" s="51" t="s">
        <v>1723</v>
      </c>
      <c r="X3396" s="51" t="s">
        <v>1395</v>
      </c>
      <c r="Y3396" s="51" t="s">
        <v>1395</v>
      </c>
      <c r="Z3396" s="36">
        <v>1.2</v>
      </c>
      <c r="AA3396" s="331">
        <v>40</v>
      </c>
      <c r="AB3396" s="331">
        <v>32</v>
      </c>
      <c r="AC3396" s="36" t="s">
        <v>139</v>
      </c>
      <c r="AD3396" s="36">
        <v>6.1</v>
      </c>
      <c r="AE3396" s="36">
        <v>1.53</v>
      </c>
      <c r="AF3396" s="36">
        <v>7.2</v>
      </c>
      <c r="AH3396" s="36" t="s">
        <v>2770</v>
      </c>
      <c r="AI3396" s="36" t="s">
        <v>577</v>
      </c>
      <c r="AJ3396" s="36" t="s">
        <v>1645</v>
      </c>
      <c r="AK3396" s="36" t="s">
        <v>132</v>
      </c>
      <c r="AT3396" s="36" t="s">
        <v>2778</v>
      </c>
      <c r="AU3396" s="36" t="s">
        <v>2778</v>
      </c>
      <c r="AV3396" s="36" t="s">
        <v>177</v>
      </c>
      <c r="AW3396" s="36" t="s">
        <v>160</v>
      </c>
      <c r="BB3396" s="36">
        <v>2690</v>
      </c>
      <c r="BD3396" s="36" t="s">
        <v>3236</v>
      </c>
      <c r="BE3396" s="36" t="s">
        <v>3233</v>
      </c>
      <c r="BP3396" s="407"/>
      <c r="BQ3396" s="407"/>
      <c r="BU3396" s="407"/>
      <c r="BV3396" s="407"/>
      <c r="BZ3396" s="407"/>
      <c r="CA3396" s="407"/>
      <c r="CE3396" s="560"/>
      <c r="CF3396" s="560"/>
      <c r="CG3396" s="560"/>
      <c r="CH3396" s="560"/>
      <c r="CJ3396" s="36">
        <v>46</v>
      </c>
      <c r="CK3396" s="36">
        <v>54</v>
      </c>
      <c r="CL3396" s="36">
        <v>38</v>
      </c>
      <c r="CM3396" s="36">
        <v>42</v>
      </c>
      <c r="CN3396" s="36" t="s">
        <v>3239</v>
      </c>
      <c r="JD3396" s="230"/>
    </row>
    <row r="3397" spans="1:264" s="36" customFormat="1" x14ac:dyDescent="0.25">
      <c r="A3397" s="36">
        <v>159</v>
      </c>
      <c r="B3397" s="51" t="s">
        <v>3231</v>
      </c>
      <c r="C3397" s="36" t="s">
        <v>3226</v>
      </c>
      <c r="D3397" s="36" t="s">
        <v>3227</v>
      </c>
      <c r="E3397" s="36">
        <v>1999</v>
      </c>
      <c r="F3397" s="36">
        <v>1996</v>
      </c>
      <c r="G3397" s="36" t="s">
        <v>2766</v>
      </c>
      <c r="H3397" s="36" t="s">
        <v>3224</v>
      </c>
      <c r="I3397" s="36" t="s">
        <v>3225</v>
      </c>
      <c r="J3397" s="36">
        <f t="shared" si="466"/>
        <v>-15.308333333333334</v>
      </c>
      <c r="K3397" s="36">
        <f t="shared" si="467"/>
        <v>35.391666666666666</v>
      </c>
      <c r="L3397" s="36">
        <v>800</v>
      </c>
      <c r="P3397" s="36">
        <v>1150</v>
      </c>
      <c r="R3397" s="51" t="s">
        <v>1847</v>
      </c>
      <c r="S3397" s="51" t="s">
        <v>1728</v>
      </c>
      <c r="T3397" s="51"/>
      <c r="U3397" s="51" t="s">
        <v>3228</v>
      </c>
      <c r="V3397" s="51" t="s">
        <v>1395</v>
      </c>
      <c r="W3397" s="51" t="s">
        <v>1723</v>
      </c>
      <c r="X3397" s="51" t="s">
        <v>1395</v>
      </c>
      <c r="Y3397" s="51" t="s">
        <v>1395</v>
      </c>
      <c r="Z3397" s="36">
        <v>1.4</v>
      </c>
      <c r="AA3397" s="331">
        <v>36</v>
      </c>
      <c r="AB3397" s="331">
        <v>42</v>
      </c>
      <c r="AC3397" s="36" t="s">
        <v>139</v>
      </c>
      <c r="AD3397" s="36">
        <v>5.3</v>
      </c>
      <c r="AE3397" s="36">
        <v>0.87</v>
      </c>
      <c r="AF3397" s="36">
        <v>7.2</v>
      </c>
      <c r="AH3397" s="36" t="s">
        <v>2770</v>
      </c>
      <c r="AI3397" s="36" t="s">
        <v>577</v>
      </c>
      <c r="AJ3397" s="36" t="s">
        <v>1645</v>
      </c>
      <c r="AK3397" s="36" t="s">
        <v>132</v>
      </c>
      <c r="AT3397" s="36" t="s">
        <v>2778</v>
      </c>
      <c r="AU3397" s="36" t="s">
        <v>2778</v>
      </c>
      <c r="AV3397" s="36" t="s">
        <v>177</v>
      </c>
      <c r="AW3397" s="36" t="s">
        <v>160</v>
      </c>
      <c r="BB3397" s="36">
        <v>1080</v>
      </c>
      <c r="BD3397" s="36" t="s">
        <v>3236</v>
      </c>
      <c r="BE3397" s="36" t="s">
        <v>3234</v>
      </c>
      <c r="BP3397" s="407"/>
      <c r="BQ3397" s="407"/>
      <c r="BU3397" s="407"/>
      <c r="BV3397" s="407"/>
      <c r="BZ3397" s="407"/>
      <c r="CA3397" s="407"/>
      <c r="CE3397" s="560"/>
      <c r="CF3397" s="560"/>
      <c r="CG3397" s="560"/>
      <c r="CH3397" s="560"/>
      <c r="CJ3397" s="36">
        <v>46</v>
      </c>
      <c r="CK3397" s="36">
        <v>55</v>
      </c>
      <c r="CL3397" s="36">
        <v>47</v>
      </c>
      <c r="CM3397" s="36">
        <v>14</v>
      </c>
      <c r="CN3397" s="36" t="s">
        <v>3239</v>
      </c>
      <c r="JD3397" s="230"/>
    </row>
    <row r="3398" spans="1:264" s="126" customFormat="1" x14ac:dyDescent="0.25">
      <c r="A3398" s="126">
        <v>159</v>
      </c>
      <c r="B3398" s="478" t="s">
        <v>3231</v>
      </c>
      <c r="C3398" s="126" t="s">
        <v>3226</v>
      </c>
      <c r="D3398" s="126" t="s">
        <v>3227</v>
      </c>
      <c r="E3398" s="126">
        <v>1999</v>
      </c>
      <c r="F3398" s="126">
        <v>1996</v>
      </c>
      <c r="G3398" s="126" t="s">
        <v>2766</v>
      </c>
      <c r="H3398" s="126" t="s">
        <v>3224</v>
      </c>
      <c r="I3398" s="126" t="s">
        <v>3225</v>
      </c>
      <c r="J3398" s="126">
        <f t="shared" si="466"/>
        <v>-15.308333333333334</v>
      </c>
      <c r="K3398" s="126">
        <f t="shared" si="467"/>
        <v>35.391666666666666</v>
      </c>
      <c r="L3398" s="126">
        <v>800</v>
      </c>
      <c r="P3398" s="126">
        <v>1150</v>
      </c>
      <c r="R3398" s="478" t="s">
        <v>1847</v>
      </c>
      <c r="S3398" s="478" t="s">
        <v>1728</v>
      </c>
      <c r="T3398" s="478"/>
      <c r="U3398" s="478" t="s">
        <v>3228</v>
      </c>
      <c r="V3398" s="478" t="s">
        <v>1395</v>
      </c>
      <c r="W3398" s="478" t="s">
        <v>1723</v>
      </c>
      <c r="X3398" s="478" t="s">
        <v>1395</v>
      </c>
      <c r="Y3398" s="478" t="s">
        <v>1395</v>
      </c>
      <c r="Z3398" s="126">
        <v>1.3</v>
      </c>
      <c r="AA3398" s="479">
        <v>45</v>
      </c>
      <c r="AB3398" s="479">
        <v>37</v>
      </c>
      <c r="AC3398" s="126" t="s">
        <v>139</v>
      </c>
      <c r="AD3398" s="126">
        <v>6.5</v>
      </c>
      <c r="AE3398" s="126">
        <v>2.11</v>
      </c>
      <c r="AF3398" s="126">
        <v>5.4</v>
      </c>
      <c r="AH3398" s="126" t="s">
        <v>2770</v>
      </c>
      <c r="AI3398" s="126" t="s">
        <v>577</v>
      </c>
      <c r="AJ3398" s="126" t="s">
        <v>1645</v>
      </c>
      <c r="AK3398" s="126" t="s">
        <v>132</v>
      </c>
      <c r="AT3398" s="126" t="s">
        <v>2778</v>
      </c>
      <c r="AU3398" s="126" t="s">
        <v>2778</v>
      </c>
      <c r="AV3398" s="126" t="s">
        <v>177</v>
      </c>
      <c r="AW3398" s="126" t="s">
        <v>160</v>
      </c>
      <c r="BB3398" s="126">
        <v>2310</v>
      </c>
      <c r="BD3398" s="126" t="s">
        <v>3237</v>
      </c>
      <c r="BE3398" s="126" t="s">
        <v>3232</v>
      </c>
      <c r="BP3398" s="481"/>
      <c r="BQ3398" s="481"/>
      <c r="BU3398" s="481"/>
      <c r="BV3398" s="481"/>
      <c r="BZ3398" s="481"/>
      <c r="CA3398" s="481"/>
      <c r="CE3398" s="605"/>
      <c r="CF3398" s="605"/>
      <c r="CG3398" s="605"/>
      <c r="CH3398" s="605"/>
      <c r="CJ3398" s="126">
        <v>40</v>
      </c>
      <c r="CK3398" s="126">
        <v>104</v>
      </c>
      <c r="CL3398" s="126">
        <v>10</v>
      </c>
      <c r="CM3398" s="126">
        <v>44</v>
      </c>
      <c r="CN3398" s="126" t="s">
        <v>3239</v>
      </c>
      <c r="JD3398" s="480"/>
    </row>
    <row r="3399" spans="1:264" s="126" customFormat="1" x14ac:dyDescent="0.25">
      <c r="A3399" s="126">
        <v>159</v>
      </c>
      <c r="B3399" s="478" t="s">
        <v>3231</v>
      </c>
      <c r="C3399" s="126" t="s">
        <v>3226</v>
      </c>
      <c r="D3399" s="126" t="s">
        <v>3227</v>
      </c>
      <c r="E3399" s="126">
        <v>1999</v>
      </c>
      <c r="F3399" s="126">
        <v>1996</v>
      </c>
      <c r="G3399" s="126" t="s">
        <v>2766</v>
      </c>
      <c r="H3399" s="126" t="s">
        <v>3224</v>
      </c>
      <c r="I3399" s="126" t="s">
        <v>3225</v>
      </c>
      <c r="J3399" s="126">
        <f t="shared" si="466"/>
        <v>-15.308333333333334</v>
      </c>
      <c r="K3399" s="126">
        <f t="shared" si="467"/>
        <v>35.391666666666666</v>
      </c>
      <c r="L3399" s="126">
        <v>800</v>
      </c>
      <c r="P3399" s="126">
        <v>1150</v>
      </c>
      <c r="R3399" s="478" t="s">
        <v>1847</v>
      </c>
      <c r="S3399" s="478" t="s">
        <v>1728</v>
      </c>
      <c r="T3399" s="478"/>
      <c r="U3399" s="478" t="s">
        <v>3228</v>
      </c>
      <c r="V3399" s="478" t="s">
        <v>1395</v>
      </c>
      <c r="W3399" s="478" t="s">
        <v>1723</v>
      </c>
      <c r="X3399" s="478" t="s">
        <v>1395</v>
      </c>
      <c r="Y3399" s="478" t="s">
        <v>1395</v>
      </c>
      <c r="Z3399" s="126">
        <v>1.2</v>
      </c>
      <c r="AA3399" s="479">
        <v>40</v>
      </c>
      <c r="AB3399" s="479">
        <v>32</v>
      </c>
      <c r="AC3399" s="126" t="s">
        <v>139</v>
      </c>
      <c r="AD3399" s="126">
        <v>6.1</v>
      </c>
      <c r="AE3399" s="126">
        <v>1.53</v>
      </c>
      <c r="AF3399" s="126">
        <v>7.2</v>
      </c>
      <c r="AH3399" s="126" t="s">
        <v>2770</v>
      </c>
      <c r="AI3399" s="126" t="s">
        <v>577</v>
      </c>
      <c r="AJ3399" s="126" t="s">
        <v>1645</v>
      </c>
      <c r="AK3399" s="126" t="s">
        <v>132</v>
      </c>
      <c r="AT3399" s="126" t="s">
        <v>2778</v>
      </c>
      <c r="AU3399" s="126" t="s">
        <v>2778</v>
      </c>
      <c r="AV3399" s="126" t="s">
        <v>177</v>
      </c>
      <c r="AW3399" s="126" t="s">
        <v>160</v>
      </c>
      <c r="BB3399" s="126">
        <v>2690</v>
      </c>
      <c r="BD3399" s="126" t="s">
        <v>3237</v>
      </c>
      <c r="BE3399" s="126" t="s">
        <v>3233</v>
      </c>
      <c r="BP3399" s="481"/>
      <c r="BQ3399" s="481"/>
      <c r="BU3399" s="481"/>
      <c r="BV3399" s="481"/>
      <c r="BZ3399" s="481"/>
      <c r="CA3399" s="481"/>
      <c r="CE3399" s="605"/>
      <c r="CF3399" s="605"/>
      <c r="CG3399" s="605"/>
      <c r="CH3399" s="605"/>
      <c r="CJ3399" s="126">
        <v>37</v>
      </c>
      <c r="CK3399" s="126">
        <v>81</v>
      </c>
      <c r="CL3399" s="126">
        <v>16</v>
      </c>
      <c r="CM3399" s="126">
        <v>23</v>
      </c>
      <c r="CN3399" s="126" t="s">
        <v>3239</v>
      </c>
      <c r="JD3399" s="480"/>
    </row>
    <row r="3400" spans="1:264" s="126" customFormat="1" x14ac:dyDescent="0.25">
      <c r="A3400" s="126">
        <v>159</v>
      </c>
      <c r="B3400" s="478" t="s">
        <v>3231</v>
      </c>
      <c r="C3400" s="126" t="s">
        <v>3226</v>
      </c>
      <c r="D3400" s="126" t="s">
        <v>3227</v>
      </c>
      <c r="E3400" s="126">
        <v>1999</v>
      </c>
      <c r="F3400" s="126">
        <v>1996</v>
      </c>
      <c r="G3400" s="126" t="s">
        <v>2766</v>
      </c>
      <c r="H3400" s="126" t="s">
        <v>3224</v>
      </c>
      <c r="I3400" s="126" t="s">
        <v>3225</v>
      </c>
      <c r="J3400" s="126">
        <f t="shared" si="466"/>
        <v>-15.308333333333334</v>
      </c>
      <c r="K3400" s="126">
        <f t="shared" si="467"/>
        <v>35.391666666666666</v>
      </c>
      <c r="L3400" s="126">
        <v>800</v>
      </c>
      <c r="P3400" s="126">
        <v>1150</v>
      </c>
      <c r="R3400" s="478" t="s">
        <v>1847</v>
      </c>
      <c r="S3400" s="478" t="s">
        <v>1728</v>
      </c>
      <c r="T3400" s="478"/>
      <c r="U3400" s="478" t="s">
        <v>3228</v>
      </c>
      <c r="V3400" s="478" t="s">
        <v>1395</v>
      </c>
      <c r="W3400" s="478" t="s">
        <v>1723</v>
      </c>
      <c r="X3400" s="478" t="s">
        <v>1395</v>
      </c>
      <c r="Y3400" s="478" t="s">
        <v>1395</v>
      </c>
      <c r="Z3400" s="126">
        <v>1.4</v>
      </c>
      <c r="AA3400" s="479">
        <v>36</v>
      </c>
      <c r="AB3400" s="479">
        <v>42</v>
      </c>
      <c r="AC3400" s="126" t="s">
        <v>139</v>
      </c>
      <c r="AD3400" s="126">
        <v>5.3</v>
      </c>
      <c r="AE3400" s="126">
        <v>0.87</v>
      </c>
      <c r="AF3400" s="126">
        <v>7.2</v>
      </c>
      <c r="AH3400" s="126" t="s">
        <v>2770</v>
      </c>
      <c r="AI3400" s="126" t="s">
        <v>577</v>
      </c>
      <c r="AJ3400" s="126" t="s">
        <v>1645</v>
      </c>
      <c r="AK3400" s="126" t="s">
        <v>132</v>
      </c>
      <c r="AT3400" s="126" t="s">
        <v>2778</v>
      </c>
      <c r="AU3400" s="126" t="s">
        <v>2778</v>
      </c>
      <c r="AV3400" s="126" t="s">
        <v>177</v>
      </c>
      <c r="AW3400" s="126" t="s">
        <v>160</v>
      </c>
      <c r="BB3400" s="126">
        <v>1080</v>
      </c>
      <c r="BD3400" s="126" t="s">
        <v>3237</v>
      </c>
      <c r="BE3400" s="126" t="s">
        <v>3234</v>
      </c>
      <c r="BP3400" s="481"/>
      <c r="BQ3400" s="481"/>
      <c r="BU3400" s="481"/>
      <c r="BV3400" s="481"/>
      <c r="BZ3400" s="481"/>
      <c r="CA3400" s="481"/>
      <c r="CE3400" s="605"/>
      <c r="CF3400" s="605"/>
      <c r="CG3400" s="605"/>
      <c r="CH3400" s="605"/>
      <c r="CJ3400" s="126">
        <v>25</v>
      </c>
      <c r="CK3400" s="126">
        <v>87</v>
      </c>
      <c r="CL3400" s="126">
        <v>10</v>
      </c>
      <c r="CM3400" s="126">
        <v>40</v>
      </c>
      <c r="CN3400" s="126" t="s">
        <v>3239</v>
      </c>
      <c r="JD3400" s="480"/>
    </row>
    <row r="3401" spans="1:264" s="36" customFormat="1" x14ac:dyDescent="0.25">
      <c r="A3401" s="36">
        <v>159</v>
      </c>
      <c r="B3401" s="51" t="s">
        <v>3231</v>
      </c>
      <c r="C3401" s="36" t="s">
        <v>3226</v>
      </c>
      <c r="D3401" s="36" t="s">
        <v>3227</v>
      </c>
      <c r="E3401" s="36">
        <v>1999</v>
      </c>
      <c r="F3401" s="36">
        <v>1996</v>
      </c>
      <c r="G3401" s="36" t="s">
        <v>2766</v>
      </c>
      <c r="H3401" s="36" t="s">
        <v>3224</v>
      </c>
      <c r="I3401" s="36" t="s">
        <v>3225</v>
      </c>
      <c r="J3401" s="36">
        <f t="shared" si="466"/>
        <v>-15.308333333333334</v>
      </c>
      <c r="K3401" s="36">
        <f t="shared" si="467"/>
        <v>35.391666666666666</v>
      </c>
      <c r="L3401" s="36">
        <v>800</v>
      </c>
      <c r="P3401" s="36">
        <v>1150</v>
      </c>
      <c r="R3401" s="51" t="s">
        <v>1847</v>
      </c>
      <c r="S3401" s="51" t="s">
        <v>1728</v>
      </c>
      <c r="T3401" s="51"/>
      <c r="U3401" s="51" t="s">
        <v>3228</v>
      </c>
      <c r="V3401" s="51" t="s">
        <v>1395</v>
      </c>
      <c r="W3401" s="51" t="s">
        <v>1723</v>
      </c>
      <c r="X3401" s="51" t="s">
        <v>1395</v>
      </c>
      <c r="Y3401" s="51" t="s">
        <v>1395</v>
      </c>
      <c r="Z3401" s="36">
        <v>1.3</v>
      </c>
      <c r="AA3401" s="331">
        <v>45</v>
      </c>
      <c r="AB3401" s="331">
        <v>37</v>
      </c>
      <c r="AC3401" s="36" t="s">
        <v>139</v>
      </c>
      <c r="AD3401" s="36">
        <v>6.5</v>
      </c>
      <c r="AE3401" s="36">
        <v>2.11</v>
      </c>
      <c r="AF3401" s="36">
        <v>5.4</v>
      </c>
      <c r="AH3401" s="36" t="s">
        <v>2770</v>
      </c>
      <c r="AI3401" s="36" t="s">
        <v>577</v>
      </c>
      <c r="AJ3401" s="36" t="s">
        <v>1645</v>
      </c>
      <c r="AK3401" s="36" t="s">
        <v>132</v>
      </c>
      <c r="AT3401" s="36" t="s">
        <v>2778</v>
      </c>
      <c r="AU3401" s="36" t="s">
        <v>2778</v>
      </c>
      <c r="AV3401" s="36" t="s">
        <v>177</v>
      </c>
      <c r="AW3401" s="36" t="s">
        <v>160</v>
      </c>
      <c r="BB3401" s="36">
        <v>2310</v>
      </c>
      <c r="BD3401" s="36" t="s">
        <v>3238</v>
      </c>
      <c r="BE3401" s="36" t="s">
        <v>3232</v>
      </c>
      <c r="BP3401" s="407"/>
      <c r="BQ3401" s="407"/>
      <c r="BU3401" s="407"/>
      <c r="BV3401" s="407"/>
      <c r="BZ3401" s="407"/>
      <c r="CA3401" s="407"/>
      <c r="CE3401" s="560"/>
      <c r="CF3401" s="560"/>
      <c r="CG3401" s="560"/>
      <c r="CH3401" s="560"/>
      <c r="CJ3401" s="36">
        <v>8</v>
      </c>
      <c r="CK3401" s="36">
        <v>11</v>
      </c>
      <c r="CL3401" s="36">
        <v>2</v>
      </c>
      <c r="CM3401" s="36">
        <v>5</v>
      </c>
      <c r="CN3401" s="36" t="s">
        <v>3239</v>
      </c>
      <c r="JD3401" s="230"/>
    </row>
    <row r="3402" spans="1:264" s="36" customFormat="1" x14ac:dyDescent="0.25">
      <c r="A3402" s="36">
        <v>159</v>
      </c>
      <c r="B3402" s="51" t="s">
        <v>3231</v>
      </c>
      <c r="C3402" s="36" t="s">
        <v>3226</v>
      </c>
      <c r="D3402" s="36" t="s">
        <v>3227</v>
      </c>
      <c r="E3402" s="36">
        <v>1999</v>
      </c>
      <c r="F3402" s="36">
        <v>1996</v>
      </c>
      <c r="G3402" s="36" t="s">
        <v>2766</v>
      </c>
      <c r="H3402" s="36" t="s">
        <v>3224</v>
      </c>
      <c r="I3402" s="36" t="s">
        <v>3225</v>
      </c>
      <c r="J3402" s="36">
        <f t="shared" si="466"/>
        <v>-15.308333333333334</v>
      </c>
      <c r="K3402" s="36">
        <f t="shared" si="467"/>
        <v>35.391666666666666</v>
      </c>
      <c r="L3402" s="36">
        <v>800</v>
      </c>
      <c r="P3402" s="36">
        <v>1150</v>
      </c>
      <c r="R3402" s="51" t="s">
        <v>1847</v>
      </c>
      <c r="S3402" s="51" t="s">
        <v>1728</v>
      </c>
      <c r="T3402" s="51"/>
      <c r="U3402" s="51" t="s">
        <v>3228</v>
      </c>
      <c r="V3402" s="51" t="s">
        <v>1395</v>
      </c>
      <c r="W3402" s="51" t="s">
        <v>1723</v>
      </c>
      <c r="X3402" s="51" t="s">
        <v>1395</v>
      </c>
      <c r="Y3402" s="51" t="s">
        <v>1395</v>
      </c>
      <c r="Z3402" s="36">
        <v>1.2</v>
      </c>
      <c r="AA3402" s="331">
        <v>40</v>
      </c>
      <c r="AB3402" s="331">
        <v>32</v>
      </c>
      <c r="AC3402" s="36" t="s">
        <v>139</v>
      </c>
      <c r="AD3402" s="36">
        <v>6.1</v>
      </c>
      <c r="AE3402" s="36">
        <v>1.53</v>
      </c>
      <c r="AF3402" s="36">
        <v>7.2</v>
      </c>
      <c r="AH3402" s="36" t="s">
        <v>2770</v>
      </c>
      <c r="AI3402" s="36" t="s">
        <v>577</v>
      </c>
      <c r="AJ3402" s="36" t="s">
        <v>1645</v>
      </c>
      <c r="AK3402" s="36" t="s">
        <v>132</v>
      </c>
      <c r="AT3402" s="36" t="s">
        <v>2778</v>
      </c>
      <c r="AU3402" s="36" t="s">
        <v>2778</v>
      </c>
      <c r="AV3402" s="36" t="s">
        <v>177</v>
      </c>
      <c r="AW3402" s="36" t="s">
        <v>160</v>
      </c>
      <c r="BB3402" s="36">
        <v>2690</v>
      </c>
      <c r="BD3402" s="36" t="s">
        <v>3238</v>
      </c>
      <c r="BE3402" s="36" t="s">
        <v>3233</v>
      </c>
      <c r="BP3402" s="407"/>
      <c r="BQ3402" s="407"/>
      <c r="BU3402" s="407"/>
      <c r="BV3402" s="407"/>
      <c r="BZ3402" s="407"/>
      <c r="CA3402" s="407"/>
      <c r="CE3402" s="560"/>
      <c r="CF3402" s="560"/>
      <c r="CG3402" s="560"/>
      <c r="CH3402" s="560"/>
      <c r="CJ3402" s="36">
        <v>7</v>
      </c>
      <c r="CK3402" s="36">
        <v>9</v>
      </c>
      <c r="CL3402" s="36">
        <v>3</v>
      </c>
      <c r="CM3402" s="36">
        <v>4</v>
      </c>
      <c r="CN3402" s="36" t="s">
        <v>3239</v>
      </c>
      <c r="JD3402" s="230"/>
    </row>
    <row r="3403" spans="1:264" s="36" customFormat="1" x14ac:dyDescent="0.25">
      <c r="A3403" s="36">
        <v>159</v>
      </c>
      <c r="B3403" s="51" t="s">
        <v>3231</v>
      </c>
      <c r="C3403" s="36" t="s">
        <v>3226</v>
      </c>
      <c r="D3403" s="36" t="s">
        <v>3227</v>
      </c>
      <c r="E3403" s="36">
        <v>1999</v>
      </c>
      <c r="F3403" s="36">
        <v>1996</v>
      </c>
      <c r="G3403" s="36" t="s">
        <v>2766</v>
      </c>
      <c r="H3403" s="36" t="s">
        <v>3224</v>
      </c>
      <c r="I3403" s="36" t="s">
        <v>3225</v>
      </c>
      <c r="J3403" s="36">
        <f t="shared" si="466"/>
        <v>-15.308333333333334</v>
      </c>
      <c r="K3403" s="36">
        <f t="shared" si="467"/>
        <v>35.391666666666666</v>
      </c>
      <c r="L3403" s="36">
        <v>800</v>
      </c>
      <c r="P3403" s="36">
        <v>1150</v>
      </c>
      <c r="R3403" s="51" t="s">
        <v>1847</v>
      </c>
      <c r="S3403" s="51" t="s">
        <v>1728</v>
      </c>
      <c r="T3403" s="51"/>
      <c r="U3403" s="51" t="s">
        <v>3228</v>
      </c>
      <c r="V3403" s="51" t="s">
        <v>1395</v>
      </c>
      <c r="W3403" s="51" t="s">
        <v>1723</v>
      </c>
      <c r="X3403" s="51" t="s">
        <v>1395</v>
      </c>
      <c r="Y3403" s="51" t="s">
        <v>1395</v>
      </c>
      <c r="Z3403" s="36">
        <v>1.4</v>
      </c>
      <c r="AA3403" s="331">
        <v>36</v>
      </c>
      <c r="AB3403" s="331">
        <v>42</v>
      </c>
      <c r="AC3403" s="36" t="s">
        <v>139</v>
      </c>
      <c r="AD3403" s="36">
        <v>5.3</v>
      </c>
      <c r="AE3403" s="36">
        <v>0.87</v>
      </c>
      <c r="AF3403" s="36">
        <v>7.2</v>
      </c>
      <c r="AH3403" s="36" t="s">
        <v>2770</v>
      </c>
      <c r="AI3403" s="36" t="s">
        <v>577</v>
      </c>
      <c r="AJ3403" s="36" t="s">
        <v>1645</v>
      </c>
      <c r="AK3403" s="36" t="s">
        <v>132</v>
      </c>
      <c r="AT3403" s="36" t="s">
        <v>2778</v>
      </c>
      <c r="AU3403" s="36" t="s">
        <v>2778</v>
      </c>
      <c r="AV3403" s="36" t="s">
        <v>177</v>
      </c>
      <c r="AW3403" s="36" t="s">
        <v>160</v>
      </c>
      <c r="BB3403" s="36">
        <v>1080</v>
      </c>
      <c r="BD3403" s="36" t="s">
        <v>3238</v>
      </c>
      <c r="BE3403" s="36" t="s">
        <v>3234</v>
      </c>
      <c r="BP3403" s="407"/>
      <c r="BQ3403" s="407"/>
      <c r="BU3403" s="407"/>
      <c r="BV3403" s="407"/>
      <c r="BZ3403" s="407"/>
      <c r="CA3403" s="407"/>
      <c r="CE3403" s="560"/>
      <c r="CF3403" s="560"/>
      <c r="CG3403" s="560"/>
      <c r="CH3403" s="560"/>
      <c r="CJ3403" s="36">
        <v>10</v>
      </c>
      <c r="CK3403" s="36">
        <v>11</v>
      </c>
      <c r="CL3403" s="36">
        <v>3</v>
      </c>
      <c r="CM3403" s="36">
        <v>5</v>
      </c>
      <c r="CN3403" s="36" t="s">
        <v>3239</v>
      </c>
      <c r="JD3403" s="230"/>
    </row>
    <row r="3404" spans="1:264" s="24" customFormat="1" x14ac:dyDescent="0.25">
      <c r="A3404" s="24">
        <v>160</v>
      </c>
      <c r="B3404" s="42" t="s">
        <v>3242</v>
      </c>
      <c r="C3404" s="24" t="s">
        <v>3226</v>
      </c>
      <c r="D3404" s="24" t="s">
        <v>3227</v>
      </c>
      <c r="E3404" s="24">
        <v>2003</v>
      </c>
      <c r="F3404" s="24">
        <v>1998</v>
      </c>
      <c r="G3404" s="24" t="s">
        <v>2766</v>
      </c>
      <c r="H3404" s="24" t="s">
        <v>3241</v>
      </c>
      <c r="I3404" s="24" t="s">
        <v>2829</v>
      </c>
      <c r="J3404" s="24">
        <f t="shared" ref="J3404:J3446" si="468">-13-38/60</f>
        <v>-13.633333333333333</v>
      </c>
      <c r="K3404" s="24">
        <f t="shared" ref="K3404:K3446" si="469">32+34/60</f>
        <v>32.56666666666667</v>
      </c>
      <c r="L3404" s="24">
        <v>1025</v>
      </c>
      <c r="O3404" s="24">
        <v>1291</v>
      </c>
      <c r="P3404" s="24">
        <v>977</v>
      </c>
      <c r="R3404" s="42" t="s">
        <v>1977</v>
      </c>
      <c r="S3404" s="42" t="s">
        <v>1728</v>
      </c>
      <c r="T3404" s="42"/>
      <c r="U3404" s="42" t="s">
        <v>3117</v>
      </c>
      <c r="V3404" s="42" t="s">
        <v>1379</v>
      </c>
      <c r="W3404" s="42" t="s">
        <v>1715</v>
      </c>
      <c r="X3404" s="42" t="s">
        <v>1379</v>
      </c>
      <c r="Y3404" s="42" t="s">
        <v>1379</v>
      </c>
      <c r="Z3404" s="24">
        <v>1.61</v>
      </c>
      <c r="AA3404" s="321">
        <v>47</v>
      </c>
      <c r="AB3404" s="321">
        <v>10</v>
      </c>
      <c r="AC3404" s="24" t="s">
        <v>2695</v>
      </c>
      <c r="AD3404" s="24">
        <v>5.4</v>
      </c>
      <c r="AE3404" s="24">
        <v>0.4</v>
      </c>
      <c r="AF3404" s="24">
        <f t="shared" ref="AF3404:AF3446" si="470">0.39*0.4167</f>
        <v>0.16251300000000002</v>
      </c>
      <c r="AG3404" s="24" t="s">
        <v>3243</v>
      </c>
      <c r="AH3404" s="24" t="s">
        <v>2770</v>
      </c>
      <c r="AI3404" s="24" t="s">
        <v>577</v>
      </c>
      <c r="AJ3404" s="24" t="s">
        <v>1645</v>
      </c>
      <c r="AK3404" s="24" t="s">
        <v>132</v>
      </c>
      <c r="AT3404" s="24" t="s">
        <v>2778</v>
      </c>
      <c r="AU3404" s="24" t="s">
        <v>2778</v>
      </c>
      <c r="AV3404" s="24" t="s">
        <v>177</v>
      </c>
      <c r="AW3404" s="24" t="s">
        <v>3240</v>
      </c>
      <c r="AX3404" s="24">
        <v>3</v>
      </c>
      <c r="AZ3404" s="24" t="s">
        <v>141</v>
      </c>
      <c r="BF3404" s="24">
        <v>2550</v>
      </c>
      <c r="BG3404" s="24">
        <v>4860</v>
      </c>
      <c r="BJ3404" s="24" t="s">
        <v>2941</v>
      </c>
      <c r="BK3404" s="24">
        <v>1160</v>
      </c>
      <c r="BL3404" s="24">
        <v>3070</v>
      </c>
      <c r="BO3404" s="24" t="s">
        <v>3245</v>
      </c>
      <c r="BP3404" s="395"/>
      <c r="BQ3404" s="395"/>
      <c r="BU3404" s="395"/>
      <c r="BV3404" s="395"/>
      <c r="BZ3404" s="395"/>
      <c r="CA3404" s="395"/>
      <c r="CE3404" s="548"/>
      <c r="CF3404" s="548"/>
      <c r="CG3404" s="548"/>
      <c r="CH3404" s="548"/>
      <c r="EW3404" s="24">
        <f>1291-180</f>
        <v>1111</v>
      </c>
      <c r="EX3404" s="24">
        <f>1291-450</f>
        <v>841</v>
      </c>
      <c r="FA3404" s="24" t="s">
        <v>3247</v>
      </c>
      <c r="JB3404" s="24" t="s">
        <v>3246</v>
      </c>
      <c r="JD3404" s="249"/>
    </row>
    <row r="3405" spans="1:264" s="24" customFormat="1" x14ac:dyDescent="0.25">
      <c r="A3405" s="24">
        <v>160</v>
      </c>
      <c r="B3405" s="42" t="s">
        <v>3242</v>
      </c>
      <c r="C3405" s="24" t="s">
        <v>3226</v>
      </c>
      <c r="D3405" s="24" t="s">
        <v>3227</v>
      </c>
      <c r="E3405" s="24">
        <v>2003</v>
      </c>
      <c r="F3405" s="24">
        <v>1999</v>
      </c>
      <c r="G3405" s="24" t="s">
        <v>2766</v>
      </c>
      <c r="H3405" s="24" t="s">
        <v>3241</v>
      </c>
      <c r="I3405" s="24" t="s">
        <v>2829</v>
      </c>
      <c r="J3405" s="24">
        <f t="shared" si="468"/>
        <v>-13.633333333333333</v>
      </c>
      <c r="K3405" s="24">
        <f t="shared" si="469"/>
        <v>32.56666666666667</v>
      </c>
      <c r="L3405" s="24">
        <v>1025</v>
      </c>
      <c r="O3405" s="24">
        <v>813</v>
      </c>
      <c r="P3405" s="24">
        <v>977</v>
      </c>
      <c r="R3405" s="42" t="s">
        <v>1847</v>
      </c>
      <c r="S3405" s="42" t="s">
        <v>1728</v>
      </c>
      <c r="T3405" s="42"/>
      <c r="U3405" s="42" t="s">
        <v>3117</v>
      </c>
      <c r="V3405" s="42" t="s">
        <v>1379</v>
      </c>
      <c r="W3405" s="42" t="s">
        <v>1715</v>
      </c>
      <c r="X3405" s="42" t="s">
        <v>1379</v>
      </c>
      <c r="Y3405" s="42" t="s">
        <v>1379</v>
      </c>
      <c r="Z3405" s="24">
        <v>1.61</v>
      </c>
      <c r="AA3405" s="321">
        <v>47</v>
      </c>
      <c r="AB3405" s="321">
        <v>10</v>
      </c>
      <c r="AC3405" s="24" t="s">
        <v>2695</v>
      </c>
      <c r="AD3405" s="24">
        <v>5.4</v>
      </c>
      <c r="AE3405" s="24">
        <v>0.4</v>
      </c>
      <c r="AF3405" s="24">
        <f t="shared" si="470"/>
        <v>0.16251300000000002</v>
      </c>
      <c r="AG3405" s="24" t="s">
        <v>3243</v>
      </c>
      <c r="AH3405" s="24" t="s">
        <v>2770</v>
      </c>
      <c r="AI3405" s="24" t="s">
        <v>577</v>
      </c>
      <c r="AJ3405" s="24" t="s">
        <v>1645</v>
      </c>
      <c r="AK3405" s="24" t="s">
        <v>132</v>
      </c>
      <c r="AT3405" s="24" t="s">
        <v>2778</v>
      </c>
      <c r="AU3405" s="24" t="s">
        <v>2778</v>
      </c>
      <c r="AV3405" s="24" t="s">
        <v>177</v>
      </c>
      <c r="AW3405" s="24" t="s">
        <v>3240</v>
      </c>
      <c r="AX3405" s="24">
        <v>3</v>
      </c>
      <c r="AZ3405" s="24" t="s">
        <v>141</v>
      </c>
      <c r="BF3405" s="24">
        <v>4820</v>
      </c>
      <c r="BG3405" s="24">
        <v>6510</v>
      </c>
      <c r="BJ3405" s="24" t="s">
        <v>2941</v>
      </c>
      <c r="BK3405" s="24">
        <v>1480</v>
      </c>
      <c r="BL3405" s="24">
        <v>2980</v>
      </c>
      <c r="BO3405" s="24" t="s">
        <v>3245</v>
      </c>
      <c r="BP3405" s="395"/>
      <c r="BQ3405" s="395"/>
      <c r="BU3405" s="395"/>
      <c r="BV3405" s="395"/>
      <c r="BZ3405" s="395"/>
      <c r="CA3405" s="395"/>
      <c r="CE3405" s="548"/>
      <c r="CF3405" s="548"/>
      <c r="CG3405" s="548"/>
      <c r="CH3405" s="548"/>
      <c r="EW3405" s="24">
        <f>813-15</f>
        <v>798</v>
      </c>
      <c r="EX3405" s="24">
        <f>813-65</f>
        <v>748</v>
      </c>
      <c r="FA3405" s="24" t="s">
        <v>3247</v>
      </c>
      <c r="JB3405" s="24" t="s">
        <v>3246</v>
      </c>
      <c r="JD3405" s="249"/>
    </row>
    <row r="3406" spans="1:264" s="32" customFormat="1" x14ac:dyDescent="0.25">
      <c r="A3406" s="32">
        <v>160</v>
      </c>
      <c r="B3406" s="44" t="s">
        <v>3242</v>
      </c>
      <c r="C3406" s="32" t="s">
        <v>3226</v>
      </c>
      <c r="D3406" s="32" t="s">
        <v>3227</v>
      </c>
      <c r="E3406" s="32">
        <v>2003</v>
      </c>
      <c r="F3406" s="32">
        <v>1998</v>
      </c>
      <c r="G3406" s="32" t="s">
        <v>2766</v>
      </c>
      <c r="H3406" s="32" t="s">
        <v>3241</v>
      </c>
      <c r="I3406" s="32" t="s">
        <v>2829</v>
      </c>
      <c r="J3406" s="32">
        <f t="shared" si="468"/>
        <v>-13.633333333333333</v>
      </c>
      <c r="K3406" s="32">
        <f t="shared" si="469"/>
        <v>32.56666666666667</v>
      </c>
      <c r="L3406" s="32">
        <v>1025</v>
      </c>
      <c r="O3406" s="32">
        <v>1291</v>
      </c>
      <c r="P3406" s="32">
        <v>977</v>
      </c>
      <c r="R3406" s="44" t="s">
        <v>1977</v>
      </c>
      <c r="S3406" s="44" t="s">
        <v>1728</v>
      </c>
      <c r="T3406" s="44"/>
      <c r="U3406" s="44" t="s">
        <v>3117</v>
      </c>
      <c r="V3406" s="44" t="s">
        <v>1379</v>
      </c>
      <c r="W3406" s="44" t="s">
        <v>1715</v>
      </c>
      <c r="X3406" s="44" t="s">
        <v>1379</v>
      </c>
      <c r="Y3406" s="44" t="s">
        <v>1379</v>
      </c>
      <c r="Z3406" s="32">
        <v>1.61</v>
      </c>
      <c r="AA3406" s="323">
        <v>47</v>
      </c>
      <c r="AB3406" s="323">
        <v>10</v>
      </c>
      <c r="AC3406" s="32" t="s">
        <v>2695</v>
      </c>
      <c r="AD3406" s="32">
        <v>5.4</v>
      </c>
      <c r="AE3406" s="32">
        <v>0.4</v>
      </c>
      <c r="AF3406" s="32">
        <f t="shared" si="470"/>
        <v>0.16251300000000002</v>
      </c>
      <c r="AG3406" s="32" t="s">
        <v>3243</v>
      </c>
      <c r="AH3406" s="32" t="s">
        <v>2770</v>
      </c>
      <c r="AI3406" s="32" t="s">
        <v>577</v>
      </c>
      <c r="AJ3406" s="32" t="s">
        <v>1645</v>
      </c>
      <c r="AK3406" s="32" t="s">
        <v>132</v>
      </c>
      <c r="AT3406" s="32" t="s">
        <v>2778</v>
      </c>
      <c r="AU3406" s="32" t="s">
        <v>2778</v>
      </c>
      <c r="AV3406" s="32" t="s">
        <v>177</v>
      </c>
      <c r="AW3406" s="32" t="s">
        <v>3240</v>
      </c>
      <c r="AX3406" s="32">
        <v>3</v>
      </c>
      <c r="AZ3406" s="32" t="s">
        <v>141</v>
      </c>
      <c r="BP3406" s="397"/>
      <c r="BQ3406" s="397"/>
      <c r="BU3406" s="397"/>
      <c r="BV3406" s="397"/>
      <c r="BZ3406" s="397"/>
      <c r="CA3406" s="397"/>
      <c r="CE3406" s="550"/>
      <c r="CF3406" s="550"/>
      <c r="CG3406" s="550"/>
      <c r="CH3406" s="550"/>
      <c r="FL3406" s="32">
        <v>445</v>
      </c>
      <c r="FM3406" s="32">
        <v>500.36</v>
      </c>
      <c r="FP3406" s="32" t="s">
        <v>3248</v>
      </c>
      <c r="JB3406" s="32" t="s">
        <v>3246</v>
      </c>
      <c r="JD3406" s="243"/>
    </row>
    <row r="3407" spans="1:264" s="32" customFormat="1" x14ac:dyDescent="0.25">
      <c r="A3407" s="32">
        <v>160</v>
      </c>
      <c r="B3407" s="44" t="s">
        <v>3242</v>
      </c>
      <c r="C3407" s="32" t="s">
        <v>3226</v>
      </c>
      <c r="D3407" s="32" t="s">
        <v>3227</v>
      </c>
      <c r="E3407" s="32">
        <v>2003</v>
      </c>
      <c r="F3407" s="32">
        <v>1998</v>
      </c>
      <c r="G3407" s="32" t="s">
        <v>2766</v>
      </c>
      <c r="H3407" s="32" t="s">
        <v>3241</v>
      </c>
      <c r="I3407" s="32" t="s">
        <v>2829</v>
      </c>
      <c r="J3407" s="32">
        <f t="shared" si="468"/>
        <v>-13.633333333333333</v>
      </c>
      <c r="K3407" s="32">
        <f t="shared" si="469"/>
        <v>32.56666666666667</v>
      </c>
      <c r="L3407" s="32">
        <v>1025</v>
      </c>
      <c r="O3407" s="32">
        <v>1291</v>
      </c>
      <c r="P3407" s="32">
        <v>977</v>
      </c>
      <c r="R3407" s="44" t="s">
        <v>1977</v>
      </c>
      <c r="S3407" s="44" t="s">
        <v>1728</v>
      </c>
      <c r="T3407" s="44"/>
      <c r="U3407" s="44" t="s">
        <v>3117</v>
      </c>
      <c r="V3407" s="44" t="s">
        <v>1379</v>
      </c>
      <c r="W3407" s="44" t="s">
        <v>1715</v>
      </c>
      <c r="X3407" s="44" t="s">
        <v>1379</v>
      </c>
      <c r="Y3407" s="44" t="s">
        <v>1379</v>
      </c>
      <c r="Z3407" s="32">
        <v>1.61</v>
      </c>
      <c r="AA3407" s="323">
        <v>47</v>
      </c>
      <c r="AB3407" s="323">
        <v>10</v>
      </c>
      <c r="AC3407" s="32" t="s">
        <v>2695</v>
      </c>
      <c r="AD3407" s="32">
        <v>5.4</v>
      </c>
      <c r="AE3407" s="32">
        <v>0.4</v>
      </c>
      <c r="AF3407" s="32">
        <f t="shared" si="470"/>
        <v>0.16251300000000002</v>
      </c>
      <c r="AG3407" s="32" t="s">
        <v>3243</v>
      </c>
      <c r="AH3407" s="32" t="s">
        <v>2770</v>
      </c>
      <c r="AI3407" s="32" t="s">
        <v>577</v>
      </c>
      <c r="AJ3407" s="32" t="s">
        <v>1645</v>
      </c>
      <c r="AK3407" s="32" t="s">
        <v>132</v>
      </c>
      <c r="AT3407" s="32" t="s">
        <v>2778</v>
      </c>
      <c r="AU3407" s="32" t="s">
        <v>2778</v>
      </c>
      <c r="AV3407" s="32" t="s">
        <v>177</v>
      </c>
      <c r="AW3407" s="32" t="s">
        <v>3240</v>
      </c>
      <c r="AX3407" s="32">
        <v>3</v>
      </c>
      <c r="AZ3407" s="32" t="s">
        <v>141</v>
      </c>
      <c r="BP3407" s="397"/>
      <c r="BQ3407" s="397"/>
      <c r="BU3407" s="397"/>
      <c r="BV3407" s="397"/>
      <c r="BZ3407" s="397"/>
      <c r="CA3407" s="397"/>
      <c r="CE3407" s="550"/>
      <c r="CF3407" s="550"/>
      <c r="CG3407" s="550"/>
      <c r="CH3407" s="550"/>
      <c r="FL3407" s="32">
        <v>488.6</v>
      </c>
      <c r="FM3407" s="32">
        <v>515.07000000000005</v>
      </c>
      <c r="FP3407" s="32" t="s">
        <v>3248</v>
      </c>
      <c r="JB3407" s="32" t="s">
        <v>3246</v>
      </c>
      <c r="JD3407" s="243"/>
    </row>
    <row r="3408" spans="1:264" s="32" customFormat="1" x14ac:dyDescent="0.25">
      <c r="A3408" s="32">
        <v>160</v>
      </c>
      <c r="B3408" s="44" t="s">
        <v>3242</v>
      </c>
      <c r="C3408" s="32" t="s">
        <v>3226</v>
      </c>
      <c r="D3408" s="32" t="s">
        <v>3227</v>
      </c>
      <c r="E3408" s="32">
        <v>2003</v>
      </c>
      <c r="F3408" s="32">
        <v>1998</v>
      </c>
      <c r="G3408" s="32" t="s">
        <v>2766</v>
      </c>
      <c r="H3408" s="32" t="s">
        <v>3241</v>
      </c>
      <c r="I3408" s="32" t="s">
        <v>2829</v>
      </c>
      <c r="J3408" s="32">
        <f t="shared" si="468"/>
        <v>-13.633333333333333</v>
      </c>
      <c r="K3408" s="32">
        <f t="shared" si="469"/>
        <v>32.56666666666667</v>
      </c>
      <c r="L3408" s="32">
        <v>1025</v>
      </c>
      <c r="O3408" s="32">
        <v>1291</v>
      </c>
      <c r="P3408" s="32">
        <v>977</v>
      </c>
      <c r="R3408" s="44" t="s">
        <v>1977</v>
      </c>
      <c r="S3408" s="44" t="s">
        <v>1728</v>
      </c>
      <c r="T3408" s="44"/>
      <c r="U3408" s="44" t="s">
        <v>3117</v>
      </c>
      <c r="V3408" s="44" t="s">
        <v>1379</v>
      </c>
      <c r="W3408" s="44" t="s">
        <v>1715</v>
      </c>
      <c r="X3408" s="44" t="s">
        <v>1379</v>
      </c>
      <c r="Y3408" s="44" t="s">
        <v>1379</v>
      </c>
      <c r="Z3408" s="32">
        <v>1.61</v>
      </c>
      <c r="AA3408" s="323">
        <v>47</v>
      </c>
      <c r="AB3408" s="323">
        <v>10</v>
      </c>
      <c r="AC3408" s="32" t="s">
        <v>2695</v>
      </c>
      <c r="AD3408" s="32">
        <v>5.4</v>
      </c>
      <c r="AE3408" s="32">
        <v>0.4</v>
      </c>
      <c r="AF3408" s="32">
        <f t="shared" si="470"/>
        <v>0.16251300000000002</v>
      </c>
      <c r="AG3408" s="32" t="s">
        <v>3243</v>
      </c>
      <c r="AH3408" s="32" t="s">
        <v>2770</v>
      </c>
      <c r="AI3408" s="32" t="s">
        <v>577</v>
      </c>
      <c r="AJ3408" s="32" t="s">
        <v>1645</v>
      </c>
      <c r="AK3408" s="32" t="s">
        <v>132</v>
      </c>
      <c r="AT3408" s="32" t="s">
        <v>2778</v>
      </c>
      <c r="AU3408" s="32" t="s">
        <v>2778</v>
      </c>
      <c r="AV3408" s="32" t="s">
        <v>177</v>
      </c>
      <c r="AW3408" s="32" t="s">
        <v>3240</v>
      </c>
      <c r="AX3408" s="32">
        <v>3</v>
      </c>
      <c r="AZ3408" s="32" t="s">
        <v>141</v>
      </c>
      <c r="BP3408" s="397"/>
      <c r="BQ3408" s="397"/>
      <c r="BU3408" s="397"/>
      <c r="BV3408" s="397"/>
      <c r="BZ3408" s="397"/>
      <c r="CA3408" s="397"/>
      <c r="CE3408" s="550"/>
      <c r="CF3408" s="550"/>
      <c r="CG3408" s="550"/>
      <c r="CH3408" s="550"/>
      <c r="FL3408" s="32">
        <v>519.5</v>
      </c>
      <c r="FM3408" s="32">
        <v>542.28</v>
      </c>
      <c r="FP3408" s="32" t="s">
        <v>3248</v>
      </c>
      <c r="JB3408" s="32" t="s">
        <v>3246</v>
      </c>
      <c r="JD3408" s="243"/>
    </row>
    <row r="3409" spans="1:264" s="32" customFormat="1" x14ac:dyDescent="0.25">
      <c r="A3409" s="32">
        <v>160</v>
      </c>
      <c r="B3409" s="44" t="s">
        <v>3242</v>
      </c>
      <c r="C3409" s="32" t="s">
        <v>3226</v>
      </c>
      <c r="D3409" s="32" t="s">
        <v>3227</v>
      </c>
      <c r="E3409" s="32">
        <v>2003</v>
      </c>
      <c r="F3409" s="32">
        <v>1998</v>
      </c>
      <c r="G3409" s="32" t="s">
        <v>2766</v>
      </c>
      <c r="H3409" s="32" t="s">
        <v>3241</v>
      </c>
      <c r="I3409" s="32" t="s">
        <v>2829</v>
      </c>
      <c r="J3409" s="32">
        <f t="shared" si="468"/>
        <v>-13.633333333333333</v>
      </c>
      <c r="K3409" s="32">
        <f t="shared" si="469"/>
        <v>32.56666666666667</v>
      </c>
      <c r="L3409" s="32">
        <v>1025</v>
      </c>
      <c r="O3409" s="32">
        <v>1291</v>
      </c>
      <c r="P3409" s="32">
        <v>977</v>
      </c>
      <c r="R3409" s="44" t="s">
        <v>1977</v>
      </c>
      <c r="S3409" s="44" t="s">
        <v>1728</v>
      </c>
      <c r="T3409" s="44"/>
      <c r="U3409" s="44" t="s">
        <v>3117</v>
      </c>
      <c r="V3409" s="44" t="s">
        <v>1379</v>
      </c>
      <c r="W3409" s="44" t="s">
        <v>1715</v>
      </c>
      <c r="X3409" s="44" t="s">
        <v>1379</v>
      </c>
      <c r="Y3409" s="44" t="s">
        <v>1379</v>
      </c>
      <c r="Z3409" s="32">
        <v>1.61</v>
      </c>
      <c r="AA3409" s="323">
        <v>47</v>
      </c>
      <c r="AB3409" s="323">
        <v>10</v>
      </c>
      <c r="AC3409" s="32" t="s">
        <v>2695</v>
      </c>
      <c r="AD3409" s="32">
        <v>5.4</v>
      </c>
      <c r="AE3409" s="32">
        <v>0.4</v>
      </c>
      <c r="AF3409" s="32">
        <f t="shared" si="470"/>
        <v>0.16251300000000002</v>
      </c>
      <c r="AG3409" s="32" t="s">
        <v>3243</v>
      </c>
      <c r="AH3409" s="32" t="s">
        <v>2770</v>
      </c>
      <c r="AI3409" s="32" t="s">
        <v>577</v>
      </c>
      <c r="AJ3409" s="32" t="s">
        <v>1645</v>
      </c>
      <c r="AK3409" s="32" t="s">
        <v>132</v>
      </c>
      <c r="AT3409" s="32" t="s">
        <v>2778</v>
      </c>
      <c r="AU3409" s="32" t="s">
        <v>2778</v>
      </c>
      <c r="AV3409" s="32" t="s">
        <v>177</v>
      </c>
      <c r="AW3409" s="32" t="s">
        <v>3240</v>
      </c>
      <c r="AX3409" s="32">
        <v>3</v>
      </c>
      <c r="AZ3409" s="32" t="s">
        <v>141</v>
      </c>
      <c r="BP3409" s="397"/>
      <c r="BQ3409" s="397"/>
      <c r="BU3409" s="397"/>
      <c r="BV3409" s="397"/>
      <c r="BZ3409" s="397"/>
      <c r="CA3409" s="397"/>
      <c r="CE3409" s="550"/>
      <c r="CF3409" s="550"/>
      <c r="CG3409" s="550"/>
      <c r="CH3409" s="550"/>
      <c r="FL3409" s="32">
        <v>522.4</v>
      </c>
      <c r="FM3409" s="32">
        <v>540.80999999999995</v>
      </c>
      <c r="FP3409" s="32" t="s">
        <v>3248</v>
      </c>
      <c r="JB3409" s="32" t="s">
        <v>3246</v>
      </c>
      <c r="JD3409" s="243"/>
    </row>
    <row r="3410" spans="1:264" s="32" customFormat="1" x14ac:dyDescent="0.25">
      <c r="A3410" s="32">
        <v>160</v>
      </c>
      <c r="B3410" s="44" t="s">
        <v>3242</v>
      </c>
      <c r="C3410" s="32" t="s">
        <v>3226</v>
      </c>
      <c r="D3410" s="32" t="s">
        <v>3227</v>
      </c>
      <c r="E3410" s="32">
        <v>2003</v>
      </c>
      <c r="F3410" s="32">
        <v>1998</v>
      </c>
      <c r="G3410" s="32" t="s">
        <v>2766</v>
      </c>
      <c r="H3410" s="32" t="s">
        <v>3241</v>
      </c>
      <c r="I3410" s="32" t="s">
        <v>2829</v>
      </c>
      <c r="J3410" s="32">
        <f t="shared" si="468"/>
        <v>-13.633333333333333</v>
      </c>
      <c r="K3410" s="32">
        <f t="shared" si="469"/>
        <v>32.56666666666667</v>
      </c>
      <c r="L3410" s="32">
        <v>1025</v>
      </c>
      <c r="O3410" s="32">
        <v>1291</v>
      </c>
      <c r="P3410" s="32">
        <v>977</v>
      </c>
      <c r="R3410" s="44" t="s">
        <v>1977</v>
      </c>
      <c r="S3410" s="44" t="s">
        <v>1728</v>
      </c>
      <c r="T3410" s="44"/>
      <c r="U3410" s="44" t="s">
        <v>3117</v>
      </c>
      <c r="V3410" s="44" t="s">
        <v>1379</v>
      </c>
      <c r="W3410" s="44" t="s">
        <v>1715</v>
      </c>
      <c r="X3410" s="44" t="s">
        <v>1379</v>
      </c>
      <c r="Y3410" s="44" t="s">
        <v>1379</v>
      </c>
      <c r="Z3410" s="32">
        <v>1.61</v>
      </c>
      <c r="AA3410" s="323">
        <v>47</v>
      </c>
      <c r="AB3410" s="323">
        <v>10</v>
      </c>
      <c r="AC3410" s="32" t="s">
        <v>2695</v>
      </c>
      <c r="AD3410" s="32">
        <v>5.4</v>
      </c>
      <c r="AE3410" s="32">
        <v>0.4</v>
      </c>
      <c r="AF3410" s="32">
        <f t="shared" si="470"/>
        <v>0.16251300000000002</v>
      </c>
      <c r="AG3410" s="32" t="s">
        <v>3243</v>
      </c>
      <c r="AH3410" s="32" t="s">
        <v>2770</v>
      </c>
      <c r="AI3410" s="32" t="s">
        <v>577</v>
      </c>
      <c r="AJ3410" s="32" t="s">
        <v>1645</v>
      </c>
      <c r="AK3410" s="32" t="s">
        <v>132</v>
      </c>
      <c r="AT3410" s="32" t="s">
        <v>2778</v>
      </c>
      <c r="AU3410" s="32" t="s">
        <v>2778</v>
      </c>
      <c r="AV3410" s="32" t="s">
        <v>177</v>
      </c>
      <c r="AW3410" s="32" t="s">
        <v>3240</v>
      </c>
      <c r="AX3410" s="32">
        <v>3</v>
      </c>
      <c r="AZ3410" s="32" t="s">
        <v>141</v>
      </c>
      <c r="BP3410" s="397"/>
      <c r="BQ3410" s="397"/>
      <c r="BU3410" s="397"/>
      <c r="BV3410" s="397"/>
      <c r="BZ3410" s="397"/>
      <c r="CA3410" s="397"/>
      <c r="CE3410" s="550"/>
      <c r="CF3410" s="550"/>
      <c r="CG3410" s="550"/>
      <c r="CH3410" s="550"/>
      <c r="FL3410" s="32">
        <v>485</v>
      </c>
      <c r="FM3410" s="32">
        <v>505.5</v>
      </c>
      <c r="FP3410" s="32" t="s">
        <v>3248</v>
      </c>
      <c r="JB3410" s="32" t="s">
        <v>3246</v>
      </c>
      <c r="JD3410" s="243"/>
    </row>
    <row r="3411" spans="1:264" s="32" customFormat="1" x14ac:dyDescent="0.25">
      <c r="A3411" s="32">
        <v>160</v>
      </c>
      <c r="B3411" s="44" t="s">
        <v>3242</v>
      </c>
      <c r="C3411" s="32" t="s">
        <v>3226</v>
      </c>
      <c r="D3411" s="32" t="s">
        <v>3227</v>
      </c>
      <c r="E3411" s="32">
        <v>2003</v>
      </c>
      <c r="F3411" s="32">
        <v>1998</v>
      </c>
      <c r="G3411" s="32" t="s">
        <v>2766</v>
      </c>
      <c r="H3411" s="32" t="s">
        <v>3241</v>
      </c>
      <c r="I3411" s="32" t="s">
        <v>2829</v>
      </c>
      <c r="J3411" s="32">
        <f t="shared" si="468"/>
        <v>-13.633333333333333</v>
      </c>
      <c r="K3411" s="32">
        <f t="shared" si="469"/>
        <v>32.56666666666667</v>
      </c>
      <c r="L3411" s="32">
        <v>1025</v>
      </c>
      <c r="O3411" s="32">
        <v>1291</v>
      </c>
      <c r="P3411" s="32">
        <v>977</v>
      </c>
      <c r="R3411" s="44" t="s">
        <v>1977</v>
      </c>
      <c r="S3411" s="44" t="s">
        <v>1728</v>
      </c>
      <c r="T3411" s="44"/>
      <c r="U3411" s="44" t="s">
        <v>3117</v>
      </c>
      <c r="V3411" s="44" t="s">
        <v>1379</v>
      </c>
      <c r="W3411" s="44" t="s">
        <v>1715</v>
      </c>
      <c r="X3411" s="44" t="s">
        <v>1379</v>
      </c>
      <c r="Y3411" s="44" t="s">
        <v>1379</v>
      </c>
      <c r="Z3411" s="32">
        <v>1.61</v>
      </c>
      <c r="AA3411" s="323">
        <v>47</v>
      </c>
      <c r="AB3411" s="323">
        <v>10</v>
      </c>
      <c r="AC3411" s="32" t="s">
        <v>2695</v>
      </c>
      <c r="AD3411" s="32">
        <v>5.4</v>
      </c>
      <c r="AE3411" s="32">
        <v>0.4</v>
      </c>
      <c r="AF3411" s="32">
        <f t="shared" si="470"/>
        <v>0.16251300000000002</v>
      </c>
      <c r="AG3411" s="32" t="s">
        <v>3243</v>
      </c>
      <c r="AH3411" s="32" t="s">
        <v>2770</v>
      </c>
      <c r="AI3411" s="32" t="s">
        <v>577</v>
      </c>
      <c r="AJ3411" s="32" t="s">
        <v>1645</v>
      </c>
      <c r="AK3411" s="32" t="s">
        <v>132</v>
      </c>
      <c r="AT3411" s="32" t="s">
        <v>2778</v>
      </c>
      <c r="AU3411" s="32" t="s">
        <v>2778</v>
      </c>
      <c r="AV3411" s="32" t="s">
        <v>177</v>
      </c>
      <c r="AW3411" s="32" t="s">
        <v>3240</v>
      </c>
      <c r="AX3411" s="32">
        <v>3</v>
      </c>
      <c r="AZ3411" s="32" t="s">
        <v>141</v>
      </c>
      <c r="BP3411" s="397"/>
      <c r="BQ3411" s="397"/>
      <c r="BU3411" s="397"/>
      <c r="BV3411" s="397"/>
      <c r="BZ3411" s="397"/>
      <c r="CA3411" s="397"/>
      <c r="CE3411" s="550"/>
      <c r="CF3411" s="550"/>
      <c r="CG3411" s="550"/>
      <c r="CH3411" s="550"/>
      <c r="FL3411" s="32">
        <v>453.3</v>
      </c>
      <c r="FM3411" s="32">
        <v>476.1</v>
      </c>
      <c r="FP3411" s="32" t="s">
        <v>3248</v>
      </c>
      <c r="JB3411" s="32" t="s">
        <v>3246</v>
      </c>
      <c r="JD3411" s="243"/>
    </row>
    <row r="3412" spans="1:264" s="32" customFormat="1" x14ac:dyDescent="0.25">
      <c r="A3412" s="32">
        <v>160</v>
      </c>
      <c r="B3412" s="44" t="s">
        <v>3242</v>
      </c>
      <c r="C3412" s="32" t="s">
        <v>3226</v>
      </c>
      <c r="D3412" s="32" t="s">
        <v>3227</v>
      </c>
      <c r="E3412" s="32">
        <v>2003</v>
      </c>
      <c r="F3412" s="32">
        <v>1998</v>
      </c>
      <c r="G3412" s="32" t="s">
        <v>2766</v>
      </c>
      <c r="H3412" s="32" t="s">
        <v>3241</v>
      </c>
      <c r="I3412" s="32" t="s">
        <v>2829</v>
      </c>
      <c r="J3412" s="32">
        <f t="shared" si="468"/>
        <v>-13.633333333333333</v>
      </c>
      <c r="K3412" s="32">
        <f t="shared" si="469"/>
        <v>32.56666666666667</v>
      </c>
      <c r="L3412" s="32">
        <v>1025</v>
      </c>
      <c r="O3412" s="32">
        <v>1291</v>
      </c>
      <c r="P3412" s="32">
        <v>977</v>
      </c>
      <c r="R3412" s="44" t="s">
        <v>1977</v>
      </c>
      <c r="S3412" s="44" t="s">
        <v>1728</v>
      </c>
      <c r="T3412" s="44"/>
      <c r="U3412" s="44" t="s">
        <v>3117</v>
      </c>
      <c r="V3412" s="44" t="s">
        <v>1379</v>
      </c>
      <c r="W3412" s="44" t="s">
        <v>1715</v>
      </c>
      <c r="X3412" s="44" t="s">
        <v>1379</v>
      </c>
      <c r="Y3412" s="44" t="s">
        <v>1379</v>
      </c>
      <c r="Z3412" s="32">
        <v>1.61</v>
      </c>
      <c r="AA3412" s="323">
        <v>47</v>
      </c>
      <c r="AB3412" s="323">
        <v>10</v>
      </c>
      <c r="AC3412" s="32" t="s">
        <v>2695</v>
      </c>
      <c r="AD3412" s="32">
        <v>5.4</v>
      </c>
      <c r="AE3412" s="32">
        <v>0.4</v>
      </c>
      <c r="AF3412" s="32">
        <f t="shared" si="470"/>
        <v>0.16251300000000002</v>
      </c>
      <c r="AG3412" s="32" t="s">
        <v>3243</v>
      </c>
      <c r="AH3412" s="32" t="s">
        <v>2770</v>
      </c>
      <c r="AI3412" s="32" t="s">
        <v>577</v>
      </c>
      <c r="AJ3412" s="32" t="s">
        <v>1645</v>
      </c>
      <c r="AK3412" s="32" t="s">
        <v>132</v>
      </c>
      <c r="AT3412" s="32" t="s">
        <v>2778</v>
      </c>
      <c r="AU3412" s="32" t="s">
        <v>2778</v>
      </c>
      <c r="AV3412" s="32" t="s">
        <v>177</v>
      </c>
      <c r="AW3412" s="32" t="s">
        <v>3240</v>
      </c>
      <c r="AX3412" s="32">
        <v>3</v>
      </c>
      <c r="AZ3412" s="32" t="s">
        <v>141</v>
      </c>
      <c r="BP3412" s="397"/>
      <c r="BQ3412" s="397"/>
      <c r="BU3412" s="397"/>
      <c r="BV3412" s="397"/>
      <c r="BZ3412" s="397"/>
      <c r="CA3412" s="397"/>
      <c r="CE3412" s="550"/>
      <c r="CF3412" s="550"/>
      <c r="CG3412" s="550"/>
      <c r="CH3412" s="550"/>
      <c r="FL3412" s="32">
        <v>476</v>
      </c>
      <c r="FM3412" s="32">
        <v>506</v>
      </c>
      <c r="FP3412" s="32" t="s">
        <v>3248</v>
      </c>
      <c r="JB3412" s="32" t="s">
        <v>3246</v>
      </c>
      <c r="JD3412" s="243"/>
    </row>
    <row r="3413" spans="1:264" s="32" customFormat="1" x14ac:dyDescent="0.25">
      <c r="A3413" s="32">
        <v>160</v>
      </c>
      <c r="B3413" s="44" t="s">
        <v>3242</v>
      </c>
      <c r="C3413" s="32" t="s">
        <v>3226</v>
      </c>
      <c r="D3413" s="32" t="s">
        <v>3227</v>
      </c>
      <c r="E3413" s="32">
        <v>2003</v>
      </c>
      <c r="F3413" s="32">
        <v>1998</v>
      </c>
      <c r="G3413" s="32" t="s">
        <v>2766</v>
      </c>
      <c r="H3413" s="32" t="s">
        <v>3241</v>
      </c>
      <c r="I3413" s="32" t="s">
        <v>2829</v>
      </c>
      <c r="J3413" s="32">
        <f t="shared" si="468"/>
        <v>-13.633333333333333</v>
      </c>
      <c r="K3413" s="32">
        <f t="shared" si="469"/>
        <v>32.56666666666667</v>
      </c>
      <c r="L3413" s="32">
        <v>1025</v>
      </c>
      <c r="O3413" s="32">
        <v>1291</v>
      </c>
      <c r="P3413" s="32">
        <v>977</v>
      </c>
      <c r="R3413" s="44" t="s">
        <v>1977</v>
      </c>
      <c r="S3413" s="44" t="s">
        <v>1728</v>
      </c>
      <c r="T3413" s="44"/>
      <c r="U3413" s="44" t="s">
        <v>3117</v>
      </c>
      <c r="V3413" s="44" t="s">
        <v>1379</v>
      </c>
      <c r="W3413" s="44" t="s">
        <v>1715</v>
      </c>
      <c r="X3413" s="44" t="s">
        <v>1379</v>
      </c>
      <c r="Y3413" s="44" t="s">
        <v>1379</v>
      </c>
      <c r="Z3413" s="32">
        <v>1.61</v>
      </c>
      <c r="AA3413" s="323">
        <v>47</v>
      </c>
      <c r="AB3413" s="323">
        <v>10</v>
      </c>
      <c r="AC3413" s="32" t="s">
        <v>2695</v>
      </c>
      <c r="AD3413" s="32">
        <v>5.4</v>
      </c>
      <c r="AE3413" s="32">
        <v>0.4</v>
      </c>
      <c r="AF3413" s="32">
        <f t="shared" si="470"/>
        <v>0.16251300000000002</v>
      </c>
      <c r="AG3413" s="32" t="s">
        <v>3243</v>
      </c>
      <c r="AH3413" s="32" t="s">
        <v>2770</v>
      </c>
      <c r="AI3413" s="32" t="s">
        <v>577</v>
      </c>
      <c r="AJ3413" s="32" t="s">
        <v>1645</v>
      </c>
      <c r="AK3413" s="32" t="s">
        <v>132</v>
      </c>
      <c r="AT3413" s="32" t="s">
        <v>2778</v>
      </c>
      <c r="AU3413" s="32" t="s">
        <v>2778</v>
      </c>
      <c r="AV3413" s="32" t="s">
        <v>177</v>
      </c>
      <c r="AW3413" s="32" t="s">
        <v>3240</v>
      </c>
      <c r="AX3413" s="32">
        <v>3</v>
      </c>
      <c r="AZ3413" s="32" t="s">
        <v>141</v>
      </c>
      <c r="BP3413" s="397"/>
      <c r="BQ3413" s="397"/>
      <c r="BU3413" s="397"/>
      <c r="BV3413" s="397"/>
      <c r="BZ3413" s="397"/>
      <c r="CA3413" s="397"/>
      <c r="CE3413" s="550"/>
      <c r="CF3413" s="550"/>
      <c r="CG3413" s="550"/>
      <c r="CH3413" s="550"/>
      <c r="FL3413" s="32">
        <v>493.75</v>
      </c>
      <c r="FM3413" s="32">
        <v>527.57000000000005</v>
      </c>
      <c r="FP3413" s="32" t="s">
        <v>3248</v>
      </c>
      <c r="JB3413" s="32" t="s">
        <v>3246</v>
      </c>
      <c r="JD3413" s="243"/>
    </row>
    <row r="3414" spans="1:264" s="32" customFormat="1" x14ac:dyDescent="0.25">
      <c r="A3414" s="32">
        <v>160</v>
      </c>
      <c r="B3414" s="44" t="s">
        <v>3242</v>
      </c>
      <c r="C3414" s="32" t="s">
        <v>3226</v>
      </c>
      <c r="D3414" s="32" t="s">
        <v>3227</v>
      </c>
      <c r="E3414" s="32">
        <v>2003</v>
      </c>
      <c r="F3414" s="32">
        <v>1998</v>
      </c>
      <c r="G3414" s="32" t="s">
        <v>2766</v>
      </c>
      <c r="H3414" s="32" t="s">
        <v>3241</v>
      </c>
      <c r="I3414" s="32" t="s">
        <v>2829</v>
      </c>
      <c r="J3414" s="32">
        <f t="shared" si="468"/>
        <v>-13.633333333333333</v>
      </c>
      <c r="K3414" s="32">
        <f t="shared" si="469"/>
        <v>32.56666666666667</v>
      </c>
      <c r="L3414" s="32">
        <v>1025</v>
      </c>
      <c r="O3414" s="32">
        <v>1291</v>
      </c>
      <c r="P3414" s="32">
        <v>977</v>
      </c>
      <c r="R3414" s="44" t="s">
        <v>1977</v>
      </c>
      <c r="S3414" s="44" t="s">
        <v>1728</v>
      </c>
      <c r="T3414" s="44"/>
      <c r="U3414" s="44" t="s">
        <v>3117</v>
      </c>
      <c r="V3414" s="44" t="s">
        <v>1379</v>
      </c>
      <c r="W3414" s="44" t="s">
        <v>1715</v>
      </c>
      <c r="X3414" s="44" t="s">
        <v>1379</v>
      </c>
      <c r="Y3414" s="44" t="s">
        <v>1379</v>
      </c>
      <c r="Z3414" s="32">
        <v>1.61</v>
      </c>
      <c r="AA3414" s="323">
        <v>47</v>
      </c>
      <c r="AB3414" s="323">
        <v>10</v>
      </c>
      <c r="AC3414" s="32" t="s">
        <v>2695</v>
      </c>
      <c r="AD3414" s="32">
        <v>5.4</v>
      </c>
      <c r="AE3414" s="32">
        <v>0.4</v>
      </c>
      <c r="AF3414" s="32">
        <f t="shared" si="470"/>
        <v>0.16251300000000002</v>
      </c>
      <c r="AG3414" s="32" t="s">
        <v>3243</v>
      </c>
      <c r="AH3414" s="32" t="s">
        <v>2770</v>
      </c>
      <c r="AI3414" s="32" t="s">
        <v>577</v>
      </c>
      <c r="AJ3414" s="32" t="s">
        <v>1645</v>
      </c>
      <c r="AK3414" s="32" t="s">
        <v>132</v>
      </c>
      <c r="AT3414" s="32" t="s">
        <v>2778</v>
      </c>
      <c r="AU3414" s="32" t="s">
        <v>2778</v>
      </c>
      <c r="AV3414" s="32" t="s">
        <v>177</v>
      </c>
      <c r="AW3414" s="32" t="s">
        <v>3240</v>
      </c>
      <c r="AX3414" s="32">
        <v>3</v>
      </c>
      <c r="AZ3414" s="32" t="s">
        <v>141</v>
      </c>
      <c r="BP3414" s="397"/>
      <c r="BQ3414" s="397"/>
      <c r="BU3414" s="397"/>
      <c r="BV3414" s="397"/>
      <c r="BZ3414" s="397"/>
      <c r="CA3414" s="397"/>
      <c r="CE3414" s="550"/>
      <c r="CF3414" s="550"/>
      <c r="CG3414" s="550"/>
      <c r="CH3414" s="550"/>
      <c r="FL3414" s="32">
        <v>503</v>
      </c>
      <c r="FM3414" s="32">
        <v>536.39</v>
      </c>
      <c r="FP3414" s="32" t="s">
        <v>3248</v>
      </c>
      <c r="JB3414" s="32" t="s">
        <v>3246</v>
      </c>
      <c r="JD3414" s="243"/>
    </row>
    <row r="3415" spans="1:264" s="32" customFormat="1" x14ac:dyDescent="0.25">
      <c r="A3415" s="32">
        <v>160</v>
      </c>
      <c r="B3415" s="44" t="s">
        <v>3242</v>
      </c>
      <c r="C3415" s="32" t="s">
        <v>3226</v>
      </c>
      <c r="D3415" s="32" t="s">
        <v>3227</v>
      </c>
      <c r="E3415" s="32">
        <v>2003</v>
      </c>
      <c r="F3415" s="32">
        <v>1998</v>
      </c>
      <c r="G3415" s="32" t="s">
        <v>2766</v>
      </c>
      <c r="H3415" s="32" t="s">
        <v>3241</v>
      </c>
      <c r="I3415" s="32" t="s">
        <v>2829</v>
      </c>
      <c r="J3415" s="32">
        <f t="shared" si="468"/>
        <v>-13.633333333333333</v>
      </c>
      <c r="K3415" s="32">
        <f t="shared" si="469"/>
        <v>32.56666666666667</v>
      </c>
      <c r="L3415" s="32">
        <v>1025</v>
      </c>
      <c r="O3415" s="32">
        <v>1291</v>
      </c>
      <c r="P3415" s="32">
        <v>977</v>
      </c>
      <c r="R3415" s="44" t="s">
        <v>1977</v>
      </c>
      <c r="S3415" s="44" t="s">
        <v>1728</v>
      </c>
      <c r="T3415" s="44"/>
      <c r="U3415" s="44" t="s">
        <v>3117</v>
      </c>
      <c r="V3415" s="44" t="s">
        <v>1379</v>
      </c>
      <c r="W3415" s="44" t="s">
        <v>1715</v>
      </c>
      <c r="X3415" s="44" t="s">
        <v>1379</v>
      </c>
      <c r="Y3415" s="44" t="s">
        <v>1379</v>
      </c>
      <c r="Z3415" s="32">
        <v>1.61</v>
      </c>
      <c r="AA3415" s="323">
        <v>47</v>
      </c>
      <c r="AB3415" s="323">
        <v>10</v>
      </c>
      <c r="AC3415" s="32" t="s">
        <v>2695</v>
      </c>
      <c r="AD3415" s="32">
        <v>5.4</v>
      </c>
      <c r="AE3415" s="32">
        <v>0.4</v>
      </c>
      <c r="AF3415" s="32">
        <f t="shared" si="470"/>
        <v>0.16251300000000002</v>
      </c>
      <c r="AG3415" s="32" t="s">
        <v>3243</v>
      </c>
      <c r="AH3415" s="32" t="s">
        <v>2770</v>
      </c>
      <c r="AI3415" s="32" t="s">
        <v>577</v>
      </c>
      <c r="AJ3415" s="32" t="s">
        <v>1645</v>
      </c>
      <c r="AK3415" s="32" t="s">
        <v>132</v>
      </c>
      <c r="AT3415" s="32" t="s">
        <v>2778</v>
      </c>
      <c r="AU3415" s="32" t="s">
        <v>2778</v>
      </c>
      <c r="AV3415" s="32" t="s">
        <v>177</v>
      </c>
      <c r="AW3415" s="32" t="s">
        <v>3240</v>
      </c>
      <c r="AX3415" s="32">
        <v>3</v>
      </c>
      <c r="AZ3415" s="32" t="s">
        <v>141</v>
      </c>
      <c r="BP3415" s="397"/>
      <c r="BQ3415" s="397"/>
      <c r="BU3415" s="397"/>
      <c r="BV3415" s="397"/>
      <c r="BZ3415" s="397"/>
      <c r="CA3415" s="397"/>
      <c r="CE3415" s="550"/>
      <c r="CF3415" s="550"/>
      <c r="CG3415" s="550"/>
      <c r="CH3415" s="550"/>
      <c r="FL3415" s="32">
        <v>480.5</v>
      </c>
      <c r="FM3415" s="32">
        <v>509.19</v>
      </c>
      <c r="FP3415" s="32" t="s">
        <v>3248</v>
      </c>
      <c r="JB3415" s="32" t="s">
        <v>3246</v>
      </c>
      <c r="JD3415" s="243"/>
    </row>
    <row r="3416" spans="1:264" s="32" customFormat="1" x14ac:dyDescent="0.25">
      <c r="A3416" s="32">
        <v>160</v>
      </c>
      <c r="B3416" s="44" t="s">
        <v>3242</v>
      </c>
      <c r="C3416" s="32" t="s">
        <v>3226</v>
      </c>
      <c r="D3416" s="32" t="s">
        <v>3227</v>
      </c>
      <c r="E3416" s="32">
        <v>2003</v>
      </c>
      <c r="F3416" s="32">
        <v>1998</v>
      </c>
      <c r="G3416" s="32" t="s">
        <v>2766</v>
      </c>
      <c r="H3416" s="32" t="s">
        <v>3241</v>
      </c>
      <c r="I3416" s="32" t="s">
        <v>2829</v>
      </c>
      <c r="J3416" s="32">
        <f t="shared" si="468"/>
        <v>-13.633333333333333</v>
      </c>
      <c r="K3416" s="32">
        <f t="shared" si="469"/>
        <v>32.56666666666667</v>
      </c>
      <c r="L3416" s="32">
        <v>1025</v>
      </c>
      <c r="O3416" s="32">
        <v>1291</v>
      </c>
      <c r="P3416" s="32">
        <v>977</v>
      </c>
      <c r="R3416" s="44" t="s">
        <v>1977</v>
      </c>
      <c r="S3416" s="44" t="s">
        <v>1728</v>
      </c>
      <c r="T3416" s="44"/>
      <c r="U3416" s="44" t="s">
        <v>3117</v>
      </c>
      <c r="V3416" s="44" t="s">
        <v>1379</v>
      </c>
      <c r="W3416" s="44" t="s">
        <v>1715</v>
      </c>
      <c r="X3416" s="44" t="s">
        <v>1379</v>
      </c>
      <c r="Y3416" s="44" t="s">
        <v>1379</v>
      </c>
      <c r="Z3416" s="32">
        <v>1.61</v>
      </c>
      <c r="AA3416" s="323">
        <v>47</v>
      </c>
      <c r="AB3416" s="323">
        <v>10</v>
      </c>
      <c r="AC3416" s="32" t="s">
        <v>2695</v>
      </c>
      <c r="AD3416" s="32">
        <v>5.4</v>
      </c>
      <c r="AE3416" s="32">
        <v>0.4</v>
      </c>
      <c r="AF3416" s="32">
        <f t="shared" si="470"/>
        <v>0.16251300000000002</v>
      </c>
      <c r="AG3416" s="32" t="s">
        <v>3243</v>
      </c>
      <c r="AH3416" s="32" t="s">
        <v>2770</v>
      </c>
      <c r="AI3416" s="32" t="s">
        <v>577</v>
      </c>
      <c r="AJ3416" s="32" t="s">
        <v>1645</v>
      </c>
      <c r="AK3416" s="32" t="s">
        <v>132</v>
      </c>
      <c r="AT3416" s="32" t="s">
        <v>2778</v>
      </c>
      <c r="AU3416" s="32" t="s">
        <v>2778</v>
      </c>
      <c r="AV3416" s="32" t="s">
        <v>177</v>
      </c>
      <c r="AW3416" s="32" t="s">
        <v>3240</v>
      </c>
      <c r="AX3416" s="32">
        <v>3</v>
      </c>
      <c r="AZ3416" s="32" t="s">
        <v>141</v>
      </c>
      <c r="BP3416" s="397"/>
      <c r="BQ3416" s="397"/>
      <c r="BU3416" s="397"/>
      <c r="BV3416" s="397"/>
      <c r="BZ3416" s="397"/>
      <c r="CA3416" s="397"/>
      <c r="CE3416" s="550"/>
      <c r="CF3416" s="550"/>
      <c r="CG3416" s="550"/>
      <c r="CH3416" s="550"/>
      <c r="FL3416" s="32">
        <v>472</v>
      </c>
      <c r="FM3416" s="32">
        <v>503.31</v>
      </c>
      <c r="FP3416" s="32" t="s">
        <v>3248</v>
      </c>
      <c r="JB3416" s="32" t="s">
        <v>3246</v>
      </c>
      <c r="JD3416" s="243"/>
    </row>
    <row r="3417" spans="1:264" s="32" customFormat="1" x14ac:dyDescent="0.25">
      <c r="A3417" s="32">
        <v>160</v>
      </c>
      <c r="B3417" s="44" t="s">
        <v>3242</v>
      </c>
      <c r="C3417" s="32" t="s">
        <v>3226</v>
      </c>
      <c r="D3417" s="32" t="s">
        <v>3227</v>
      </c>
      <c r="E3417" s="32">
        <v>2003</v>
      </c>
      <c r="F3417" s="32">
        <v>1998</v>
      </c>
      <c r="G3417" s="32" t="s">
        <v>2766</v>
      </c>
      <c r="H3417" s="32" t="s">
        <v>3241</v>
      </c>
      <c r="I3417" s="32" t="s">
        <v>2829</v>
      </c>
      <c r="J3417" s="32">
        <f t="shared" si="468"/>
        <v>-13.633333333333333</v>
      </c>
      <c r="K3417" s="32">
        <f t="shared" si="469"/>
        <v>32.56666666666667</v>
      </c>
      <c r="L3417" s="32">
        <v>1025</v>
      </c>
      <c r="O3417" s="32">
        <v>1291</v>
      </c>
      <c r="P3417" s="32">
        <v>977</v>
      </c>
      <c r="R3417" s="44" t="s">
        <v>1977</v>
      </c>
      <c r="S3417" s="44" t="s">
        <v>1728</v>
      </c>
      <c r="T3417" s="44"/>
      <c r="U3417" s="44" t="s">
        <v>3117</v>
      </c>
      <c r="V3417" s="44" t="s">
        <v>1379</v>
      </c>
      <c r="W3417" s="44" t="s">
        <v>1715</v>
      </c>
      <c r="X3417" s="44" t="s">
        <v>1379</v>
      </c>
      <c r="Y3417" s="44" t="s">
        <v>1379</v>
      </c>
      <c r="Z3417" s="32">
        <v>1.61</v>
      </c>
      <c r="AA3417" s="323">
        <v>47</v>
      </c>
      <c r="AB3417" s="323">
        <v>10</v>
      </c>
      <c r="AC3417" s="32" t="s">
        <v>2695</v>
      </c>
      <c r="AD3417" s="32">
        <v>5.4</v>
      </c>
      <c r="AE3417" s="32">
        <v>0.4</v>
      </c>
      <c r="AF3417" s="32">
        <f t="shared" si="470"/>
        <v>0.16251300000000002</v>
      </c>
      <c r="AG3417" s="32" t="s">
        <v>3243</v>
      </c>
      <c r="AH3417" s="32" t="s">
        <v>2770</v>
      </c>
      <c r="AI3417" s="32" t="s">
        <v>577</v>
      </c>
      <c r="AJ3417" s="32" t="s">
        <v>1645</v>
      </c>
      <c r="AK3417" s="32" t="s">
        <v>132</v>
      </c>
      <c r="AT3417" s="32" t="s">
        <v>2778</v>
      </c>
      <c r="AU3417" s="32" t="s">
        <v>2778</v>
      </c>
      <c r="AV3417" s="32" t="s">
        <v>177</v>
      </c>
      <c r="AW3417" s="32" t="s">
        <v>3240</v>
      </c>
      <c r="AX3417" s="32">
        <v>3</v>
      </c>
      <c r="AZ3417" s="32" t="s">
        <v>141</v>
      </c>
      <c r="BP3417" s="397"/>
      <c r="BQ3417" s="397"/>
      <c r="BU3417" s="397"/>
      <c r="BV3417" s="397"/>
      <c r="BZ3417" s="397"/>
      <c r="CA3417" s="397"/>
      <c r="CE3417" s="550"/>
      <c r="CF3417" s="550"/>
      <c r="CG3417" s="550"/>
      <c r="CH3417" s="550"/>
      <c r="FL3417" s="32">
        <v>473</v>
      </c>
      <c r="FM3417" s="32">
        <v>503</v>
      </c>
      <c r="FP3417" s="32" t="s">
        <v>3248</v>
      </c>
      <c r="JB3417" s="32" t="s">
        <v>3246</v>
      </c>
      <c r="JD3417" s="243"/>
    </row>
    <row r="3418" spans="1:264" s="32" customFormat="1" x14ac:dyDescent="0.25">
      <c r="A3418" s="32">
        <v>160</v>
      </c>
      <c r="B3418" s="44" t="s">
        <v>3242</v>
      </c>
      <c r="C3418" s="32" t="s">
        <v>3226</v>
      </c>
      <c r="D3418" s="32" t="s">
        <v>3227</v>
      </c>
      <c r="E3418" s="32">
        <v>2003</v>
      </c>
      <c r="F3418" s="32">
        <v>1998</v>
      </c>
      <c r="G3418" s="32" t="s">
        <v>2766</v>
      </c>
      <c r="H3418" s="32" t="s">
        <v>3241</v>
      </c>
      <c r="I3418" s="32" t="s">
        <v>2829</v>
      </c>
      <c r="J3418" s="32">
        <f t="shared" si="468"/>
        <v>-13.633333333333333</v>
      </c>
      <c r="K3418" s="32">
        <f t="shared" si="469"/>
        <v>32.56666666666667</v>
      </c>
      <c r="L3418" s="32">
        <v>1025</v>
      </c>
      <c r="O3418" s="32">
        <v>1291</v>
      </c>
      <c r="P3418" s="32">
        <v>977</v>
      </c>
      <c r="R3418" s="44" t="s">
        <v>1977</v>
      </c>
      <c r="S3418" s="44" t="s">
        <v>1728</v>
      </c>
      <c r="T3418" s="44"/>
      <c r="U3418" s="44" t="s">
        <v>3117</v>
      </c>
      <c r="V3418" s="44" t="s">
        <v>1379</v>
      </c>
      <c r="W3418" s="44" t="s">
        <v>1715</v>
      </c>
      <c r="X3418" s="44" t="s">
        <v>1379</v>
      </c>
      <c r="Y3418" s="44" t="s">
        <v>1379</v>
      </c>
      <c r="Z3418" s="32">
        <v>1.61</v>
      </c>
      <c r="AA3418" s="323">
        <v>47</v>
      </c>
      <c r="AB3418" s="323">
        <v>10</v>
      </c>
      <c r="AC3418" s="32" t="s">
        <v>2695</v>
      </c>
      <c r="AD3418" s="32">
        <v>5.4</v>
      </c>
      <c r="AE3418" s="32">
        <v>0.4</v>
      </c>
      <c r="AF3418" s="32">
        <f t="shared" si="470"/>
        <v>0.16251300000000002</v>
      </c>
      <c r="AG3418" s="32" t="s">
        <v>3243</v>
      </c>
      <c r="AH3418" s="32" t="s">
        <v>2770</v>
      </c>
      <c r="AI3418" s="32" t="s">
        <v>577</v>
      </c>
      <c r="AJ3418" s="32" t="s">
        <v>1645</v>
      </c>
      <c r="AK3418" s="32" t="s">
        <v>132</v>
      </c>
      <c r="AT3418" s="32" t="s">
        <v>2778</v>
      </c>
      <c r="AU3418" s="32" t="s">
        <v>2778</v>
      </c>
      <c r="AV3418" s="32" t="s">
        <v>177</v>
      </c>
      <c r="AW3418" s="32" t="s">
        <v>3240</v>
      </c>
      <c r="AX3418" s="32">
        <v>3</v>
      </c>
      <c r="AZ3418" s="32" t="s">
        <v>141</v>
      </c>
      <c r="BP3418" s="397"/>
      <c r="BQ3418" s="397"/>
      <c r="BU3418" s="397"/>
      <c r="BV3418" s="397"/>
      <c r="BZ3418" s="397"/>
      <c r="CA3418" s="397"/>
      <c r="CE3418" s="550"/>
      <c r="CF3418" s="550"/>
      <c r="CG3418" s="550"/>
      <c r="CH3418" s="550"/>
      <c r="FL3418" s="32">
        <v>448.9</v>
      </c>
      <c r="FM3418" s="32">
        <v>469</v>
      </c>
      <c r="FP3418" s="32" t="s">
        <v>3248</v>
      </c>
      <c r="JB3418" s="32" t="s">
        <v>3246</v>
      </c>
      <c r="JD3418" s="243"/>
    </row>
    <row r="3419" spans="1:264" s="32" customFormat="1" x14ac:dyDescent="0.25">
      <c r="A3419" s="32">
        <v>160</v>
      </c>
      <c r="B3419" s="44" t="s">
        <v>3242</v>
      </c>
      <c r="C3419" s="32" t="s">
        <v>3226</v>
      </c>
      <c r="D3419" s="32" t="s">
        <v>3227</v>
      </c>
      <c r="E3419" s="32">
        <v>2003</v>
      </c>
      <c r="F3419" s="32">
        <v>1998</v>
      </c>
      <c r="G3419" s="32" t="s">
        <v>2766</v>
      </c>
      <c r="H3419" s="32" t="s">
        <v>3241</v>
      </c>
      <c r="I3419" s="32" t="s">
        <v>2829</v>
      </c>
      <c r="J3419" s="32">
        <f t="shared" si="468"/>
        <v>-13.633333333333333</v>
      </c>
      <c r="K3419" s="32">
        <f t="shared" si="469"/>
        <v>32.56666666666667</v>
      </c>
      <c r="L3419" s="32">
        <v>1025</v>
      </c>
      <c r="O3419" s="32">
        <v>1291</v>
      </c>
      <c r="P3419" s="32">
        <v>977</v>
      </c>
      <c r="R3419" s="44" t="s">
        <v>1977</v>
      </c>
      <c r="S3419" s="44" t="s">
        <v>1728</v>
      </c>
      <c r="T3419" s="44"/>
      <c r="U3419" s="44" t="s">
        <v>3117</v>
      </c>
      <c r="V3419" s="44" t="s">
        <v>1379</v>
      </c>
      <c r="W3419" s="44" t="s">
        <v>1715</v>
      </c>
      <c r="X3419" s="44" t="s">
        <v>1379</v>
      </c>
      <c r="Y3419" s="44" t="s">
        <v>1379</v>
      </c>
      <c r="Z3419" s="32">
        <v>1.61</v>
      </c>
      <c r="AA3419" s="323">
        <v>47</v>
      </c>
      <c r="AB3419" s="323">
        <v>10</v>
      </c>
      <c r="AC3419" s="32" t="s">
        <v>2695</v>
      </c>
      <c r="AD3419" s="32">
        <v>5.4</v>
      </c>
      <c r="AE3419" s="32">
        <v>0.4</v>
      </c>
      <c r="AF3419" s="32">
        <f t="shared" si="470"/>
        <v>0.16251300000000002</v>
      </c>
      <c r="AG3419" s="32" t="s">
        <v>3243</v>
      </c>
      <c r="AH3419" s="32" t="s">
        <v>2770</v>
      </c>
      <c r="AI3419" s="32" t="s">
        <v>577</v>
      </c>
      <c r="AJ3419" s="32" t="s">
        <v>1645</v>
      </c>
      <c r="AK3419" s="32" t="s">
        <v>132</v>
      </c>
      <c r="AT3419" s="32" t="s">
        <v>2778</v>
      </c>
      <c r="AU3419" s="32" t="s">
        <v>2778</v>
      </c>
      <c r="AV3419" s="32" t="s">
        <v>177</v>
      </c>
      <c r="AW3419" s="32" t="s">
        <v>3240</v>
      </c>
      <c r="AX3419" s="32">
        <v>3</v>
      </c>
      <c r="AZ3419" s="32" t="s">
        <v>141</v>
      </c>
      <c r="BP3419" s="397"/>
      <c r="BQ3419" s="397"/>
      <c r="BU3419" s="397"/>
      <c r="BV3419" s="397"/>
      <c r="BZ3419" s="397"/>
      <c r="CA3419" s="397"/>
      <c r="CE3419" s="550"/>
      <c r="CF3419" s="550"/>
      <c r="CG3419" s="550"/>
      <c r="CH3419" s="550"/>
      <c r="FL3419" s="32">
        <v>441.5</v>
      </c>
      <c r="FM3419" s="32">
        <v>464</v>
      </c>
      <c r="FP3419" s="32" t="s">
        <v>3248</v>
      </c>
      <c r="JB3419" s="32" t="s">
        <v>3246</v>
      </c>
      <c r="JD3419" s="243"/>
    </row>
    <row r="3420" spans="1:264" s="32" customFormat="1" x14ac:dyDescent="0.25">
      <c r="A3420" s="32">
        <v>160</v>
      </c>
      <c r="B3420" s="44" t="s">
        <v>3242</v>
      </c>
      <c r="C3420" s="32" t="s">
        <v>3226</v>
      </c>
      <c r="D3420" s="32" t="s">
        <v>3227</v>
      </c>
      <c r="E3420" s="32">
        <v>2003</v>
      </c>
      <c r="F3420" s="32">
        <v>1998</v>
      </c>
      <c r="G3420" s="32" t="s">
        <v>2766</v>
      </c>
      <c r="H3420" s="32" t="s">
        <v>3241</v>
      </c>
      <c r="I3420" s="32" t="s">
        <v>2829</v>
      </c>
      <c r="J3420" s="32">
        <f t="shared" si="468"/>
        <v>-13.633333333333333</v>
      </c>
      <c r="K3420" s="32">
        <f t="shared" si="469"/>
        <v>32.56666666666667</v>
      </c>
      <c r="L3420" s="32">
        <v>1025</v>
      </c>
      <c r="O3420" s="32">
        <v>1291</v>
      </c>
      <c r="P3420" s="32">
        <v>977</v>
      </c>
      <c r="R3420" s="44" t="s">
        <v>1977</v>
      </c>
      <c r="S3420" s="44" t="s">
        <v>1728</v>
      </c>
      <c r="T3420" s="44"/>
      <c r="U3420" s="44" t="s">
        <v>3117</v>
      </c>
      <c r="V3420" s="44" t="s">
        <v>1379</v>
      </c>
      <c r="W3420" s="44" t="s">
        <v>1715</v>
      </c>
      <c r="X3420" s="44" t="s">
        <v>1379</v>
      </c>
      <c r="Y3420" s="44" t="s">
        <v>1379</v>
      </c>
      <c r="Z3420" s="32">
        <v>1.61</v>
      </c>
      <c r="AA3420" s="323">
        <v>47</v>
      </c>
      <c r="AB3420" s="323">
        <v>10</v>
      </c>
      <c r="AC3420" s="32" t="s">
        <v>2695</v>
      </c>
      <c r="AD3420" s="32">
        <v>5.4</v>
      </c>
      <c r="AE3420" s="32">
        <v>0.4</v>
      </c>
      <c r="AF3420" s="32">
        <f t="shared" si="470"/>
        <v>0.16251300000000002</v>
      </c>
      <c r="AG3420" s="32" t="s">
        <v>3243</v>
      </c>
      <c r="AH3420" s="32" t="s">
        <v>2770</v>
      </c>
      <c r="AI3420" s="32" t="s">
        <v>577</v>
      </c>
      <c r="AJ3420" s="32" t="s">
        <v>1645</v>
      </c>
      <c r="AK3420" s="32" t="s">
        <v>132</v>
      </c>
      <c r="AT3420" s="32" t="s">
        <v>2778</v>
      </c>
      <c r="AU3420" s="32" t="s">
        <v>2778</v>
      </c>
      <c r="AV3420" s="32" t="s">
        <v>177</v>
      </c>
      <c r="AW3420" s="32" t="s">
        <v>3240</v>
      </c>
      <c r="AX3420" s="32">
        <v>3</v>
      </c>
      <c r="AZ3420" s="32" t="s">
        <v>141</v>
      </c>
      <c r="BP3420" s="397"/>
      <c r="BQ3420" s="397"/>
      <c r="BU3420" s="397"/>
      <c r="BV3420" s="397"/>
      <c r="BZ3420" s="397"/>
      <c r="CA3420" s="397"/>
      <c r="CE3420" s="550"/>
      <c r="CF3420" s="550"/>
      <c r="CG3420" s="550"/>
      <c r="CH3420" s="550"/>
      <c r="FL3420" s="32">
        <v>435.7</v>
      </c>
      <c r="FM3420" s="32">
        <v>457.72</v>
      </c>
      <c r="FP3420" s="32" t="s">
        <v>3248</v>
      </c>
      <c r="JB3420" s="32" t="s">
        <v>3246</v>
      </c>
      <c r="JD3420" s="243"/>
    </row>
    <row r="3421" spans="1:264" s="32" customFormat="1" x14ac:dyDescent="0.25">
      <c r="A3421" s="32">
        <v>160</v>
      </c>
      <c r="B3421" s="44" t="s">
        <v>3242</v>
      </c>
      <c r="C3421" s="32" t="s">
        <v>3226</v>
      </c>
      <c r="D3421" s="32" t="s">
        <v>3227</v>
      </c>
      <c r="E3421" s="32">
        <v>2003</v>
      </c>
      <c r="F3421" s="32">
        <v>1998</v>
      </c>
      <c r="G3421" s="32" t="s">
        <v>2766</v>
      </c>
      <c r="H3421" s="32" t="s">
        <v>3241</v>
      </c>
      <c r="I3421" s="32" t="s">
        <v>2829</v>
      </c>
      <c r="J3421" s="32">
        <f t="shared" si="468"/>
        <v>-13.633333333333333</v>
      </c>
      <c r="K3421" s="32">
        <f t="shared" si="469"/>
        <v>32.56666666666667</v>
      </c>
      <c r="L3421" s="32">
        <v>1025</v>
      </c>
      <c r="O3421" s="32">
        <v>1291</v>
      </c>
      <c r="P3421" s="32">
        <v>977</v>
      </c>
      <c r="R3421" s="44" t="s">
        <v>1977</v>
      </c>
      <c r="S3421" s="44" t="s">
        <v>1728</v>
      </c>
      <c r="T3421" s="44"/>
      <c r="U3421" s="44" t="s">
        <v>3117</v>
      </c>
      <c r="V3421" s="44" t="s">
        <v>1379</v>
      </c>
      <c r="W3421" s="44" t="s">
        <v>1715</v>
      </c>
      <c r="X3421" s="44" t="s">
        <v>1379</v>
      </c>
      <c r="Y3421" s="44" t="s">
        <v>1379</v>
      </c>
      <c r="Z3421" s="32">
        <v>1.61</v>
      </c>
      <c r="AA3421" s="323">
        <v>47</v>
      </c>
      <c r="AB3421" s="323">
        <v>10</v>
      </c>
      <c r="AC3421" s="32" t="s">
        <v>2695</v>
      </c>
      <c r="AD3421" s="32">
        <v>5.4</v>
      </c>
      <c r="AE3421" s="32">
        <v>0.4</v>
      </c>
      <c r="AF3421" s="32">
        <f t="shared" si="470"/>
        <v>0.16251300000000002</v>
      </c>
      <c r="AG3421" s="32" t="s">
        <v>3243</v>
      </c>
      <c r="AH3421" s="32" t="s">
        <v>2770</v>
      </c>
      <c r="AI3421" s="32" t="s">
        <v>577</v>
      </c>
      <c r="AJ3421" s="32" t="s">
        <v>1645</v>
      </c>
      <c r="AK3421" s="32" t="s">
        <v>132</v>
      </c>
      <c r="AT3421" s="32" t="s">
        <v>2778</v>
      </c>
      <c r="AU3421" s="32" t="s">
        <v>2778</v>
      </c>
      <c r="AV3421" s="32" t="s">
        <v>177</v>
      </c>
      <c r="AW3421" s="32" t="s">
        <v>3240</v>
      </c>
      <c r="AX3421" s="32">
        <v>3</v>
      </c>
      <c r="AZ3421" s="32" t="s">
        <v>141</v>
      </c>
      <c r="BP3421" s="397"/>
      <c r="BQ3421" s="397"/>
      <c r="BU3421" s="397"/>
      <c r="BV3421" s="397"/>
      <c r="BZ3421" s="397"/>
      <c r="CA3421" s="397"/>
      <c r="CE3421" s="550"/>
      <c r="CF3421" s="550"/>
      <c r="CG3421" s="550"/>
      <c r="CH3421" s="550"/>
      <c r="FL3421" s="32">
        <v>440.1</v>
      </c>
      <c r="FM3421" s="32">
        <v>446.69</v>
      </c>
      <c r="FP3421" s="32" t="s">
        <v>3248</v>
      </c>
      <c r="JB3421" s="32" t="s">
        <v>3246</v>
      </c>
      <c r="JD3421" s="243"/>
    </row>
    <row r="3422" spans="1:264" s="24" customFormat="1" x14ac:dyDescent="0.25">
      <c r="A3422" s="24">
        <v>160</v>
      </c>
      <c r="B3422" s="42" t="s">
        <v>3242</v>
      </c>
      <c r="C3422" s="24" t="s">
        <v>3226</v>
      </c>
      <c r="D3422" s="24" t="s">
        <v>3227</v>
      </c>
      <c r="E3422" s="24">
        <v>2003</v>
      </c>
      <c r="F3422" s="24">
        <v>1999</v>
      </c>
      <c r="G3422" s="24" t="s">
        <v>2766</v>
      </c>
      <c r="H3422" s="24" t="s">
        <v>3241</v>
      </c>
      <c r="I3422" s="24" t="s">
        <v>2829</v>
      </c>
      <c r="J3422" s="24">
        <f t="shared" si="468"/>
        <v>-13.633333333333333</v>
      </c>
      <c r="K3422" s="24">
        <f t="shared" si="469"/>
        <v>32.56666666666667</v>
      </c>
      <c r="L3422" s="24">
        <v>1025</v>
      </c>
      <c r="O3422" s="24">
        <v>813</v>
      </c>
      <c r="P3422" s="24">
        <v>977</v>
      </c>
      <c r="R3422" s="42" t="s">
        <v>1847</v>
      </c>
      <c r="S3422" s="42" t="s">
        <v>1728</v>
      </c>
      <c r="T3422" s="42"/>
      <c r="U3422" s="42" t="s">
        <v>3117</v>
      </c>
      <c r="V3422" s="42" t="s">
        <v>1379</v>
      </c>
      <c r="W3422" s="42" t="s">
        <v>1715</v>
      </c>
      <c r="X3422" s="42" t="s">
        <v>1379</v>
      </c>
      <c r="Y3422" s="42" t="s">
        <v>1379</v>
      </c>
      <c r="Z3422" s="24">
        <v>1.61</v>
      </c>
      <c r="AA3422" s="321">
        <v>47</v>
      </c>
      <c r="AB3422" s="321">
        <v>10</v>
      </c>
      <c r="AC3422" s="24" t="s">
        <v>2695</v>
      </c>
      <c r="AD3422" s="24">
        <v>5.4</v>
      </c>
      <c r="AE3422" s="24">
        <v>0.4</v>
      </c>
      <c r="AF3422" s="24">
        <f t="shared" si="470"/>
        <v>0.16251300000000002</v>
      </c>
      <c r="AG3422" s="24" t="s">
        <v>3243</v>
      </c>
      <c r="AH3422" s="24" t="s">
        <v>2770</v>
      </c>
      <c r="AI3422" s="24" t="s">
        <v>577</v>
      </c>
      <c r="AJ3422" s="24" t="s">
        <v>1645</v>
      </c>
      <c r="AK3422" s="24" t="s">
        <v>132</v>
      </c>
      <c r="AT3422" s="24" t="s">
        <v>2778</v>
      </c>
      <c r="AU3422" s="24" t="s">
        <v>2778</v>
      </c>
      <c r="AV3422" s="24" t="s">
        <v>177</v>
      </c>
      <c r="AW3422" s="24" t="s">
        <v>3240</v>
      </c>
      <c r="AX3422" s="24">
        <v>3</v>
      </c>
      <c r="AZ3422" s="24" t="s">
        <v>141</v>
      </c>
      <c r="BP3422" s="395"/>
      <c r="BQ3422" s="395"/>
      <c r="BU3422" s="395"/>
      <c r="BV3422" s="395"/>
      <c r="BZ3422" s="395"/>
      <c r="CA3422" s="395"/>
      <c r="CE3422" s="548"/>
      <c r="CF3422" s="548"/>
      <c r="CG3422" s="548"/>
      <c r="CH3422" s="548"/>
      <c r="FL3422" s="24">
        <v>395.79</v>
      </c>
      <c r="FM3422" s="24">
        <v>408.58</v>
      </c>
      <c r="FP3422" s="24" t="s">
        <v>3248</v>
      </c>
      <c r="JB3422" s="24" t="s">
        <v>3246</v>
      </c>
      <c r="JD3422" s="249"/>
    </row>
    <row r="3423" spans="1:264" s="24" customFormat="1" x14ac:dyDescent="0.25">
      <c r="A3423" s="24">
        <v>160</v>
      </c>
      <c r="B3423" s="42" t="s">
        <v>3242</v>
      </c>
      <c r="C3423" s="24" t="s">
        <v>3226</v>
      </c>
      <c r="D3423" s="24" t="s">
        <v>3227</v>
      </c>
      <c r="E3423" s="24">
        <v>2003</v>
      </c>
      <c r="F3423" s="24">
        <v>1999</v>
      </c>
      <c r="G3423" s="24" t="s">
        <v>2766</v>
      </c>
      <c r="H3423" s="24" t="s">
        <v>3241</v>
      </c>
      <c r="I3423" s="24" t="s">
        <v>2829</v>
      </c>
      <c r="J3423" s="24">
        <f t="shared" si="468"/>
        <v>-13.633333333333333</v>
      </c>
      <c r="K3423" s="24">
        <f t="shared" si="469"/>
        <v>32.56666666666667</v>
      </c>
      <c r="L3423" s="24">
        <v>1025</v>
      </c>
      <c r="O3423" s="24">
        <v>813</v>
      </c>
      <c r="P3423" s="24">
        <v>977</v>
      </c>
      <c r="R3423" s="42" t="s">
        <v>1847</v>
      </c>
      <c r="S3423" s="42" t="s">
        <v>1728</v>
      </c>
      <c r="T3423" s="42"/>
      <c r="U3423" s="42" t="s">
        <v>3117</v>
      </c>
      <c r="V3423" s="42" t="s">
        <v>1379</v>
      </c>
      <c r="W3423" s="42" t="s">
        <v>1715</v>
      </c>
      <c r="X3423" s="42" t="s">
        <v>1379</v>
      </c>
      <c r="Y3423" s="42" t="s">
        <v>1379</v>
      </c>
      <c r="Z3423" s="24">
        <v>1.61</v>
      </c>
      <c r="AA3423" s="321">
        <v>47</v>
      </c>
      <c r="AB3423" s="321">
        <v>10</v>
      </c>
      <c r="AC3423" s="24" t="s">
        <v>2695</v>
      </c>
      <c r="AD3423" s="24">
        <v>5.4</v>
      </c>
      <c r="AE3423" s="24">
        <v>0.4</v>
      </c>
      <c r="AF3423" s="24">
        <f t="shared" si="470"/>
        <v>0.16251300000000002</v>
      </c>
      <c r="AG3423" s="24" t="s">
        <v>3243</v>
      </c>
      <c r="AH3423" s="24" t="s">
        <v>2770</v>
      </c>
      <c r="AI3423" s="24" t="s">
        <v>577</v>
      </c>
      <c r="AJ3423" s="24" t="s">
        <v>1645</v>
      </c>
      <c r="AK3423" s="24" t="s">
        <v>132</v>
      </c>
      <c r="AT3423" s="24" t="s">
        <v>2778</v>
      </c>
      <c r="AU3423" s="24" t="s">
        <v>2778</v>
      </c>
      <c r="AV3423" s="24" t="s">
        <v>177</v>
      </c>
      <c r="AW3423" s="24" t="s">
        <v>3240</v>
      </c>
      <c r="AX3423" s="24">
        <v>3</v>
      </c>
      <c r="AZ3423" s="24" t="s">
        <v>141</v>
      </c>
      <c r="BP3423" s="395"/>
      <c r="BQ3423" s="395"/>
      <c r="BU3423" s="395"/>
      <c r="BV3423" s="395"/>
      <c r="BZ3423" s="395"/>
      <c r="CA3423" s="395"/>
      <c r="CE3423" s="548"/>
      <c r="CF3423" s="548"/>
      <c r="CG3423" s="548"/>
      <c r="CH3423" s="548"/>
      <c r="FL3423" s="24">
        <v>395.12</v>
      </c>
      <c r="FM3423" s="24">
        <v>408.58</v>
      </c>
      <c r="FP3423" s="24" t="s">
        <v>3248</v>
      </c>
      <c r="JB3423" s="24" t="s">
        <v>3246</v>
      </c>
      <c r="JD3423" s="249"/>
    </row>
    <row r="3424" spans="1:264" s="24" customFormat="1" x14ac:dyDescent="0.25">
      <c r="A3424" s="24">
        <v>160</v>
      </c>
      <c r="B3424" s="42" t="s">
        <v>3242</v>
      </c>
      <c r="C3424" s="24" t="s">
        <v>3226</v>
      </c>
      <c r="D3424" s="24" t="s">
        <v>3227</v>
      </c>
      <c r="E3424" s="24">
        <v>2003</v>
      </c>
      <c r="F3424" s="24">
        <v>1999</v>
      </c>
      <c r="G3424" s="24" t="s">
        <v>2766</v>
      </c>
      <c r="H3424" s="24" t="s">
        <v>3241</v>
      </c>
      <c r="I3424" s="24" t="s">
        <v>2829</v>
      </c>
      <c r="J3424" s="24">
        <f t="shared" si="468"/>
        <v>-13.633333333333333</v>
      </c>
      <c r="K3424" s="24">
        <f t="shared" si="469"/>
        <v>32.56666666666667</v>
      </c>
      <c r="L3424" s="24">
        <v>1025</v>
      </c>
      <c r="O3424" s="24">
        <v>813</v>
      </c>
      <c r="P3424" s="24">
        <v>977</v>
      </c>
      <c r="R3424" s="42" t="s">
        <v>1847</v>
      </c>
      <c r="S3424" s="42" t="s">
        <v>1728</v>
      </c>
      <c r="T3424" s="42"/>
      <c r="U3424" s="42" t="s">
        <v>3117</v>
      </c>
      <c r="V3424" s="42" t="s">
        <v>1379</v>
      </c>
      <c r="W3424" s="42" t="s">
        <v>1715</v>
      </c>
      <c r="X3424" s="42" t="s">
        <v>1379</v>
      </c>
      <c r="Y3424" s="42" t="s">
        <v>1379</v>
      </c>
      <c r="Z3424" s="24">
        <v>1.61</v>
      </c>
      <c r="AA3424" s="321">
        <v>47</v>
      </c>
      <c r="AB3424" s="321">
        <v>10</v>
      </c>
      <c r="AC3424" s="24" t="s">
        <v>2695</v>
      </c>
      <c r="AD3424" s="24">
        <v>5.4</v>
      </c>
      <c r="AE3424" s="24">
        <v>0.4</v>
      </c>
      <c r="AF3424" s="24">
        <f t="shared" si="470"/>
        <v>0.16251300000000002</v>
      </c>
      <c r="AG3424" s="24" t="s">
        <v>3243</v>
      </c>
      <c r="AH3424" s="24" t="s">
        <v>2770</v>
      </c>
      <c r="AI3424" s="24" t="s">
        <v>577</v>
      </c>
      <c r="AJ3424" s="24" t="s">
        <v>1645</v>
      </c>
      <c r="AK3424" s="24" t="s">
        <v>132</v>
      </c>
      <c r="AT3424" s="24" t="s">
        <v>2778</v>
      </c>
      <c r="AU3424" s="24" t="s">
        <v>2778</v>
      </c>
      <c r="AV3424" s="24" t="s">
        <v>177</v>
      </c>
      <c r="AW3424" s="24" t="s">
        <v>3240</v>
      </c>
      <c r="AX3424" s="24">
        <v>3</v>
      </c>
      <c r="AZ3424" s="24" t="s">
        <v>141</v>
      </c>
      <c r="BP3424" s="395"/>
      <c r="BQ3424" s="395"/>
      <c r="BU3424" s="395"/>
      <c r="BV3424" s="395"/>
      <c r="BZ3424" s="395"/>
      <c r="CA3424" s="395"/>
      <c r="CE3424" s="548"/>
      <c r="CF3424" s="548"/>
      <c r="CG3424" s="548"/>
      <c r="CH3424" s="548"/>
      <c r="FL3424" s="24">
        <v>392.09</v>
      </c>
      <c r="FM3424" s="24">
        <v>406.9</v>
      </c>
      <c r="FP3424" s="24" t="s">
        <v>3248</v>
      </c>
      <c r="JB3424" s="24" t="s">
        <v>3246</v>
      </c>
      <c r="JD3424" s="249"/>
    </row>
    <row r="3425" spans="1:264" s="24" customFormat="1" x14ac:dyDescent="0.25">
      <c r="A3425" s="24">
        <v>160</v>
      </c>
      <c r="B3425" s="42" t="s">
        <v>3242</v>
      </c>
      <c r="C3425" s="24" t="s">
        <v>3226</v>
      </c>
      <c r="D3425" s="24" t="s">
        <v>3227</v>
      </c>
      <c r="E3425" s="24">
        <v>2003</v>
      </c>
      <c r="F3425" s="24">
        <v>1999</v>
      </c>
      <c r="G3425" s="24" t="s">
        <v>2766</v>
      </c>
      <c r="H3425" s="24" t="s">
        <v>3241</v>
      </c>
      <c r="I3425" s="24" t="s">
        <v>2829</v>
      </c>
      <c r="J3425" s="24">
        <f t="shared" si="468"/>
        <v>-13.633333333333333</v>
      </c>
      <c r="K3425" s="24">
        <f t="shared" si="469"/>
        <v>32.56666666666667</v>
      </c>
      <c r="L3425" s="24">
        <v>1025</v>
      </c>
      <c r="O3425" s="24">
        <v>813</v>
      </c>
      <c r="P3425" s="24">
        <v>977</v>
      </c>
      <c r="R3425" s="42" t="s">
        <v>1847</v>
      </c>
      <c r="S3425" s="42" t="s">
        <v>1728</v>
      </c>
      <c r="T3425" s="42"/>
      <c r="U3425" s="42" t="s">
        <v>3117</v>
      </c>
      <c r="V3425" s="42" t="s">
        <v>1379</v>
      </c>
      <c r="W3425" s="42" t="s">
        <v>1715</v>
      </c>
      <c r="X3425" s="42" t="s">
        <v>1379</v>
      </c>
      <c r="Y3425" s="42" t="s">
        <v>1379</v>
      </c>
      <c r="Z3425" s="24">
        <v>1.61</v>
      </c>
      <c r="AA3425" s="321">
        <v>47</v>
      </c>
      <c r="AB3425" s="321">
        <v>10</v>
      </c>
      <c r="AC3425" s="24" t="s">
        <v>2695</v>
      </c>
      <c r="AD3425" s="24">
        <v>5.4</v>
      </c>
      <c r="AE3425" s="24">
        <v>0.4</v>
      </c>
      <c r="AF3425" s="24">
        <f t="shared" si="470"/>
        <v>0.16251300000000002</v>
      </c>
      <c r="AG3425" s="24" t="s">
        <v>3243</v>
      </c>
      <c r="AH3425" s="24" t="s">
        <v>2770</v>
      </c>
      <c r="AI3425" s="24" t="s">
        <v>577</v>
      </c>
      <c r="AJ3425" s="24" t="s">
        <v>1645</v>
      </c>
      <c r="AK3425" s="24" t="s">
        <v>132</v>
      </c>
      <c r="AT3425" s="24" t="s">
        <v>2778</v>
      </c>
      <c r="AU3425" s="24" t="s">
        <v>2778</v>
      </c>
      <c r="AV3425" s="24" t="s">
        <v>177</v>
      </c>
      <c r="AW3425" s="24" t="s">
        <v>3240</v>
      </c>
      <c r="AX3425" s="24">
        <v>3</v>
      </c>
      <c r="AZ3425" s="24" t="s">
        <v>141</v>
      </c>
      <c r="BP3425" s="395"/>
      <c r="BQ3425" s="395"/>
      <c r="BU3425" s="395"/>
      <c r="BV3425" s="395"/>
      <c r="BZ3425" s="395"/>
      <c r="CA3425" s="395"/>
      <c r="CE3425" s="548"/>
      <c r="CF3425" s="548"/>
      <c r="CG3425" s="548"/>
      <c r="CH3425" s="548"/>
      <c r="FL3425" s="24">
        <v>389.73</v>
      </c>
      <c r="FM3425" s="24">
        <v>402.5</v>
      </c>
      <c r="FP3425" s="24" t="s">
        <v>3248</v>
      </c>
      <c r="JB3425" s="24" t="s">
        <v>3246</v>
      </c>
      <c r="JD3425" s="249"/>
    </row>
    <row r="3426" spans="1:264" s="24" customFormat="1" x14ac:dyDescent="0.25">
      <c r="A3426" s="24">
        <v>160</v>
      </c>
      <c r="B3426" s="42" t="s">
        <v>3242</v>
      </c>
      <c r="C3426" s="24" t="s">
        <v>3226</v>
      </c>
      <c r="D3426" s="24" t="s">
        <v>3227</v>
      </c>
      <c r="E3426" s="24">
        <v>2003</v>
      </c>
      <c r="F3426" s="24">
        <v>1999</v>
      </c>
      <c r="G3426" s="24" t="s">
        <v>2766</v>
      </c>
      <c r="H3426" s="24" t="s">
        <v>3241</v>
      </c>
      <c r="I3426" s="24" t="s">
        <v>2829</v>
      </c>
      <c r="J3426" s="24">
        <f t="shared" si="468"/>
        <v>-13.633333333333333</v>
      </c>
      <c r="K3426" s="24">
        <f t="shared" si="469"/>
        <v>32.56666666666667</v>
      </c>
      <c r="L3426" s="24">
        <v>1025</v>
      </c>
      <c r="O3426" s="24">
        <v>813</v>
      </c>
      <c r="P3426" s="24">
        <v>977</v>
      </c>
      <c r="R3426" s="42" t="s">
        <v>1847</v>
      </c>
      <c r="S3426" s="42" t="s">
        <v>1728</v>
      </c>
      <c r="T3426" s="42"/>
      <c r="U3426" s="42" t="s">
        <v>3117</v>
      </c>
      <c r="V3426" s="42" t="s">
        <v>1379</v>
      </c>
      <c r="W3426" s="42" t="s">
        <v>1715</v>
      </c>
      <c r="X3426" s="42" t="s">
        <v>1379</v>
      </c>
      <c r="Y3426" s="42" t="s">
        <v>1379</v>
      </c>
      <c r="Z3426" s="24">
        <v>1.61</v>
      </c>
      <c r="AA3426" s="321">
        <v>47</v>
      </c>
      <c r="AB3426" s="321">
        <v>10</v>
      </c>
      <c r="AC3426" s="24" t="s">
        <v>2695</v>
      </c>
      <c r="AD3426" s="24">
        <v>5.4</v>
      </c>
      <c r="AE3426" s="24">
        <v>0.4</v>
      </c>
      <c r="AF3426" s="24">
        <f t="shared" si="470"/>
        <v>0.16251300000000002</v>
      </c>
      <c r="AG3426" s="24" t="s">
        <v>3243</v>
      </c>
      <c r="AH3426" s="24" t="s">
        <v>2770</v>
      </c>
      <c r="AI3426" s="24" t="s">
        <v>577</v>
      </c>
      <c r="AJ3426" s="24" t="s">
        <v>1645</v>
      </c>
      <c r="AK3426" s="24" t="s">
        <v>132</v>
      </c>
      <c r="AT3426" s="24" t="s">
        <v>2778</v>
      </c>
      <c r="AU3426" s="24" t="s">
        <v>2778</v>
      </c>
      <c r="AV3426" s="24" t="s">
        <v>177</v>
      </c>
      <c r="AW3426" s="24" t="s">
        <v>3240</v>
      </c>
      <c r="AX3426" s="24">
        <v>3</v>
      </c>
      <c r="AZ3426" s="24" t="s">
        <v>141</v>
      </c>
      <c r="BP3426" s="395"/>
      <c r="BQ3426" s="395"/>
      <c r="BU3426" s="395"/>
      <c r="BV3426" s="395"/>
      <c r="BZ3426" s="395"/>
      <c r="CA3426" s="395"/>
      <c r="CE3426" s="548"/>
      <c r="CF3426" s="548"/>
      <c r="CG3426" s="548"/>
      <c r="CH3426" s="548"/>
      <c r="FL3426" s="24">
        <v>388.72</v>
      </c>
      <c r="FM3426" s="24">
        <v>402.2</v>
      </c>
      <c r="FP3426" s="24" t="s">
        <v>3248</v>
      </c>
      <c r="JB3426" s="24" t="s">
        <v>3246</v>
      </c>
      <c r="JD3426" s="249"/>
    </row>
    <row r="3427" spans="1:264" s="24" customFormat="1" x14ac:dyDescent="0.25">
      <c r="A3427" s="24">
        <v>160</v>
      </c>
      <c r="B3427" s="42" t="s">
        <v>3242</v>
      </c>
      <c r="C3427" s="24" t="s">
        <v>3226</v>
      </c>
      <c r="D3427" s="24" t="s">
        <v>3227</v>
      </c>
      <c r="E3427" s="24">
        <v>2003</v>
      </c>
      <c r="F3427" s="24">
        <v>1999</v>
      </c>
      <c r="G3427" s="24" t="s">
        <v>2766</v>
      </c>
      <c r="H3427" s="24" t="s">
        <v>3241</v>
      </c>
      <c r="I3427" s="24" t="s">
        <v>2829</v>
      </c>
      <c r="J3427" s="24">
        <f t="shared" si="468"/>
        <v>-13.633333333333333</v>
      </c>
      <c r="K3427" s="24">
        <f t="shared" si="469"/>
        <v>32.56666666666667</v>
      </c>
      <c r="L3427" s="24">
        <v>1025</v>
      </c>
      <c r="O3427" s="24">
        <v>813</v>
      </c>
      <c r="P3427" s="24">
        <v>977</v>
      </c>
      <c r="R3427" s="42" t="s">
        <v>1847</v>
      </c>
      <c r="S3427" s="42" t="s">
        <v>1728</v>
      </c>
      <c r="T3427" s="42"/>
      <c r="U3427" s="42" t="s">
        <v>3117</v>
      </c>
      <c r="V3427" s="42" t="s">
        <v>1379</v>
      </c>
      <c r="W3427" s="42" t="s">
        <v>1715</v>
      </c>
      <c r="X3427" s="42" t="s">
        <v>1379</v>
      </c>
      <c r="Y3427" s="42" t="s">
        <v>1379</v>
      </c>
      <c r="Z3427" s="24">
        <v>1.61</v>
      </c>
      <c r="AA3427" s="321">
        <v>47</v>
      </c>
      <c r="AB3427" s="321">
        <v>10</v>
      </c>
      <c r="AC3427" s="24" t="s">
        <v>2695</v>
      </c>
      <c r="AD3427" s="24">
        <v>5.4</v>
      </c>
      <c r="AE3427" s="24">
        <v>0.4</v>
      </c>
      <c r="AF3427" s="24">
        <f t="shared" si="470"/>
        <v>0.16251300000000002</v>
      </c>
      <c r="AG3427" s="24" t="s">
        <v>3243</v>
      </c>
      <c r="AH3427" s="24" t="s">
        <v>2770</v>
      </c>
      <c r="AI3427" s="24" t="s">
        <v>577</v>
      </c>
      <c r="AJ3427" s="24" t="s">
        <v>1645</v>
      </c>
      <c r="AK3427" s="24" t="s">
        <v>132</v>
      </c>
      <c r="AT3427" s="24" t="s">
        <v>2778</v>
      </c>
      <c r="AU3427" s="24" t="s">
        <v>2778</v>
      </c>
      <c r="AV3427" s="24" t="s">
        <v>177</v>
      </c>
      <c r="AW3427" s="24" t="s">
        <v>3240</v>
      </c>
      <c r="AX3427" s="24">
        <v>3</v>
      </c>
      <c r="AZ3427" s="24" t="s">
        <v>141</v>
      </c>
      <c r="BP3427" s="395"/>
      <c r="BQ3427" s="395"/>
      <c r="BU3427" s="395"/>
      <c r="BV3427" s="395"/>
      <c r="BZ3427" s="395"/>
      <c r="CA3427" s="395"/>
      <c r="CE3427" s="548"/>
      <c r="CF3427" s="548"/>
      <c r="CG3427" s="548"/>
      <c r="CH3427" s="548"/>
      <c r="FL3427" s="24">
        <v>391.41</v>
      </c>
      <c r="FM3427" s="24">
        <v>405.6</v>
      </c>
      <c r="FP3427" s="24" t="s">
        <v>3248</v>
      </c>
      <c r="JB3427" s="24" t="s">
        <v>3246</v>
      </c>
      <c r="JD3427" s="249"/>
    </row>
    <row r="3428" spans="1:264" s="24" customFormat="1" x14ac:dyDescent="0.25">
      <c r="A3428" s="24">
        <v>160</v>
      </c>
      <c r="B3428" s="42" t="s">
        <v>3242</v>
      </c>
      <c r="C3428" s="24" t="s">
        <v>3226</v>
      </c>
      <c r="D3428" s="24" t="s">
        <v>3227</v>
      </c>
      <c r="E3428" s="24">
        <v>2003</v>
      </c>
      <c r="F3428" s="24">
        <v>1999</v>
      </c>
      <c r="G3428" s="24" t="s">
        <v>2766</v>
      </c>
      <c r="H3428" s="24" t="s">
        <v>3241</v>
      </c>
      <c r="I3428" s="24" t="s">
        <v>2829</v>
      </c>
      <c r="J3428" s="24">
        <f t="shared" si="468"/>
        <v>-13.633333333333333</v>
      </c>
      <c r="K3428" s="24">
        <f t="shared" si="469"/>
        <v>32.56666666666667</v>
      </c>
      <c r="L3428" s="24">
        <v>1025</v>
      </c>
      <c r="O3428" s="24">
        <v>813</v>
      </c>
      <c r="P3428" s="24">
        <v>977</v>
      </c>
      <c r="R3428" s="42" t="s">
        <v>1847</v>
      </c>
      <c r="S3428" s="42" t="s">
        <v>1728</v>
      </c>
      <c r="T3428" s="42"/>
      <c r="U3428" s="42" t="s">
        <v>3117</v>
      </c>
      <c r="V3428" s="42" t="s">
        <v>1379</v>
      </c>
      <c r="W3428" s="42" t="s">
        <v>1715</v>
      </c>
      <c r="X3428" s="42" t="s">
        <v>1379</v>
      </c>
      <c r="Y3428" s="42" t="s">
        <v>1379</v>
      </c>
      <c r="Z3428" s="24">
        <v>1.61</v>
      </c>
      <c r="AA3428" s="321">
        <v>47</v>
      </c>
      <c r="AB3428" s="321">
        <v>10</v>
      </c>
      <c r="AC3428" s="24" t="s">
        <v>2695</v>
      </c>
      <c r="AD3428" s="24">
        <v>5.4</v>
      </c>
      <c r="AE3428" s="24">
        <v>0.4</v>
      </c>
      <c r="AF3428" s="24">
        <f t="shared" si="470"/>
        <v>0.16251300000000002</v>
      </c>
      <c r="AG3428" s="24" t="s">
        <v>3243</v>
      </c>
      <c r="AH3428" s="24" t="s">
        <v>2770</v>
      </c>
      <c r="AI3428" s="24" t="s">
        <v>577</v>
      </c>
      <c r="AJ3428" s="24" t="s">
        <v>1645</v>
      </c>
      <c r="AK3428" s="24" t="s">
        <v>132</v>
      </c>
      <c r="AT3428" s="24" t="s">
        <v>2778</v>
      </c>
      <c r="AU3428" s="24" t="s">
        <v>2778</v>
      </c>
      <c r="AV3428" s="24" t="s">
        <v>177</v>
      </c>
      <c r="AW3428" s="24" t="s">
        <v>3240</v>
      </c>
      <c r="AX3428" s="24">
        <v>3</v>
      </c>
      <c r="AZ3428" s="24" t="s">
        <v>141</v>
      </c>
      <c r="BP3428" s="395"/>
      <c r="BQ3428" s="395"/>
      <c r="BU3428" s="395"/>
      <c r="BV3428" s="395"/>
      <c r="BZ3428" s="395"/>
      <c r="CA3428" s="395"/>
      <c r="CE3428" s="548"/>
      <c r="CF3428" s="548"/>
      <c r="CG3428" s="548"/>
      <c r="CH3428" s="548"/>
      <c r="FL3428" s="24">
        <v>405.22</v>
      </c>
      <c r="FM3428" s="24">
        <v>419.4</v>
      </c>
      <c r="FP3428" s="24" t="s">
        <v>3248</v>
      </c>
      <c r="JB3428" s="24" t="s">
        <v>3246</v>
      </c>
      <c r="JD3428" s="249"/>
    </row>
    <row r="3429" spans="1:264" s="24" customFormat="1" x14ac:dyDescent="0.25">
      <c r="A3429" s="24">
        <v>160</v>
      </c>
      <c r="B3429" s="42" t="s">
        <v>3242</v>
      </c>
      <c r="C3429" s="24" t="s">
        <v>3226</v>
      </c>
      <c r="D3429" s="24" t="s">
        <v>3227</v>
      </c>
      <c r="E3429" s="24">
        <v>2003</v>
      </c>
      <c r="F3429" s="24">
        <v>1999</v>
      </c>
      <c r="G3429" s="24" t="s">
        <v>2766</v>
      </c>
      <c r="H3429" s="24" t="s">
        <v>3241</v>
      </c>
      <c r="I3429" s="24" t="s">
        <v>2829</v>
      </c>
      <c r="J3429" s="24">
        <f t="shared" si="468"/>
        <v>-13.633333333333333</v>
      </c>
      <c r="K3429" s="24">
        <f t="shared" si="469"/>
        <v>32.56666666666667</v>
      </c>
      <c r="L3429" s="24">
        <v>1025</v>
      </c>
      <c r="O3429" s="24">
        <v>813</v>
      </c>
      <c r="P3429" s="24">
        <v>977</v>
      </c>
      <c r="R3429" s="42" t="s">
        <v>1847</v>
      </c>
      <c r="S3429" s="42" t="s">
        <v>1728</v>
      </c>
      <c r="T3429" s="42"/>
      <c r="U3429" s="42" t="s">
        <v>3117</v>
      </c>
      <c r="V3429" s="42" t="s">
        <v>1379</v>
      </c>
      <c r="W3429" s="42" t="s">
        <v>1715</v>
      </c>
      <c r="X3429" s="42" t="s">
        <v>1379</v>
      </c>
      <c r="Y3429" s="42" t="s">
        <v>1379</v>
      </c>
      <c r="Z3429" s="24">
        <v>1.61</v>
      </c>
      <c r="AA3429" s="321">
        <v>47</v>
      </c>
      <c r="AB3429" s="321">
        <v>10</v>
      </c>
      <c r="AC3429" s="24" t="s">
        <v>2695</v>
      </c>
      <c r="AD3429" s="24">
        <v>5.4</v>
      </c>
      <c r="AE3429" s="24">
        <v>0.4</v>
      </c>
      <c r="AF3429" s="24">
        <f t="shared" si="470"/>
        <v>0.16251300000000002</v>
      </c>
      <c r="AG3429" s="24" t="s">
        <v>3243</v>
      </c>
      <c r="AH3429" s="24" t="s">
        <v>2770</v>
      </c>
      <c r="AI3429" s="24" t="s">
        <v>577</v>
      </c>
      <c r="AJ3429" s="24" t="s">
        <v>1645</v>
      </c>
      <c r="AK3429" s="24" t="s">
        <v>132</v>
      </c>
      <c r="AT3429" s="24" t="s">
        <v>2778</v>
      </c>
      <c r="AU3429" s="24" t="s">
        <v>2778</v>
      </c>
      <c r="AV3429" s="24" t="s">
        <v>177</v>
      </c>
      <c r="AW3429" s="24" t="s">
        <v>3240</v>
      </c>
      <c r="AX3429" s="24">
        <v>3</v>
      </c>
      <c r="AZ3429" s="24" t="s">
        <v>141</v>
      </c>
      <c r="BP3429" s="395"/>
      <c r="BQ3429" s="395"/>
      <c r="BU3429" s="395"/>
      <c r="BV3429" s="395"/>
      <c r="BZ3429" s="395"/>
      <c r="CA3429" s="395"/>
      <c r="CE3429" s="548"/>
      <c r="CF3429" s="548"/>
      <c r="CG3429" s="548"/>
      <c r="CH3429" s="548"/>
      <c r="FL3429" s="24">
        <v>397.14</v>
      </c>
      <c r="FM3429" s="24">
        <v>413.3</v>
      </c>
      <c r="FP3429" s="24" t="s">
        <v>3248</v>
      </c>
      <c r="JB3429" s="24" t="s">
        <v>3246</v>
      </c>
      <c r="JD3429" s="249"/>
    </row>
    <row r="3430" spans="1:264" s="24" customFormat="1" x14ac:dyDescent="0.25">
      <c r="A3430" s="24">
        <v>160</v>
      </c>
      <c r="B3430" s="42" t="s">
        <v>3242</v>
      </c>
      <c r="C3430" s="24" t="s">
        <v>3226</v>
      </c>
      <c r="D3430" s="24" t="s">
        <v>3227</v>
      </c>
      <c r="E3430" s="24">
        <v>2003</v>
      </c>
      <c r="F3430" s="24">
        <v>1999</v>
      </c>
      <c r="G3430" s="24" t="s">
        <v>2766</v>
      </c>
      <c r="H3430" s="24" t="s">
        <v>3241</v>
      </c>
      <c r="I3430" s="24" t="s">
        <v>2829</v>
      </c>
      <c r="J3430" s="24">
        <f t="shared" si="468"/>
        <v>-13.633333333333333</v>
      </c>
      <c r="K3430" s="24">
        <f t="shared" si="469"/>
        <v>32.56666666666667</v>
      </c>
      <c r="L3430" s="24">
        <v>1025</v>
      </c>
      <c r="O3430" s="24">
        <v>813</v>
      </c>
      <c r="P3430" s="24">
        <v>977</v>
      </c>
      <c r="R3430" s="42" t="s">
        <v>1847</v>
      </c>
      <c r="S3430" s="42" t="s">
        <v>1728</v>
      </c>
      <c r="T3430" s="42"/>
      <c r="U3430" s="42" t="s">
        <v>3117</v>
      </c>
      <c r="V3430" s="42" t="s">
        <v>1379</v>
      </c>
      <c r="W3430" s="42" t="s">
        <v>1715</v>
      </c>
      <c r="X3430" s="42" t="s">
        <v>1379</v>
      </c>
      <c r="Y3430" s="42" t="s">
        <v>1379</v>
      </c>
      <c r="Z3430" s="24">
        <v>1.61</v>
      </c>
      <c r="AA3430" s="321">
        <v>47</v>
      </c>
      <c r="AB3430" s="321">
        <v>10</v>
      </c>
      <c r="AC3430" s="24" t="s">
        <v>2695</v>
      </c>
      <c r="AD3430" s="24">
        <v>5.4</v>
      </c>
      <c r="AE3430" s="24">
        <v>0.4</v>
      </c>
      <c r="AF3430" s="24">
        <f t="shared" si="470"/>
        <v>0.16251300000000002</v>
      </c>
      <c r="AG3430" s="24" t="s">
        <v>3243</v>
      </c>
      <c r="AH3430" s="24" t="s">
        <v>2770</v>
      </c>
      <c r="AI3430" s="24" t="s">
        <v>577</v>
      </c>
      <c r="AJ3430" s="24" t="s">
        <v>1645</v>
      </c>
      <c r="AK3430" s="24" t="s">
        <v>132</v>
      </c>
      <c r="AT3430" s="24" t="s">
        <v>2778</v>
      </c>
      <c r="AU3430" s="24" t="s">
        <v>2778</v>
      </c>
      <c r="AV3430" s="24" t="s">
        <v>177</v>
      </c>
      <c r="AW3430" s="24" t="s">
        <v>3240</v>
      </c>
      <c r="AX3430" s="24">
        <v>3</v>
      </c>
      <c r="AZ3430" s="24" t="s">
        <v>141</v>
      </c>
      <c r="BP3430" s="395"/>
      <c r="BQ3430" s="395"/>
      <c r="BU3430" s="395"/>
      <c r="BV3430" s="395"/>
      <c r="BZ3430" s="395"/>
      <c r="CA3430" s="395"/>
      <c r="CE3430" s="548"/>
      <c r="CF3430" s="548"/>
      <c r="CG3430" s="548"/>
      <c r="CH3430" s="548"/>
      <c r="FL3430" s="24">
        <v>398.82</v>
      </c>
      <c r="FM3430" s="24">
        <v>414.3</v>
      </c>
      <c r="FP3430" s="24" t="s">
        <v>3248</v>
      </c>
      <c r="JB3430" s="24" t="s">
        <v>3246</v>
      </c>
      <c r="JD3430" s="249"/>
    </row>
    <row r="3431" spans="1:264" s="24" customFormat="1" x14ac:dyDescent="0.25">
      <c r="A3431" s="24">
        <v>160</v>
      </c>
      <c r="B3431" s="42" t="s">
        <v>3242</v>
      </c>
      <c r="C3431" s="24" t="s">
        <v>3226</v>
      </c>
      <c r="D3431" s="24" t="s">
        <v>3227</v>
      </c>
      <c r="E3431" s="24">
        <v>2003</v>
      </c>
      <c r="F3431" s="24">
        <v>1999</v>
      </c>
      <c r="G3431" s="24" t="s">
        <v>2766</v>
      </c>
      <c r="H3431" s="24" t="s">
        <v>3241</v>
      </c>
      <c r="I3431" s="24" t="s">
        <v>2829</v>
      </c>
      <c r="J3431" s="24">
        <f t="shared" si="468"/>
        <v>-13.633333333333333</v>
      </c>
      <c r="K3431" s="24">
        <f t="shared" si="469"/>
        <v>32.56666666666667</v>
      </c>
      <c r="L3431" s="24">
        <v>1025</v>
      </c>
      <c r="O3431" s="24">
        <v>813</v>
      </c>
      <c r="P3431" s="24">
        <v>977</v>
      </c>
      <c r="R3431" s="42" t="s">
        <v>1847</v>
      </c>
      <c r="S3431" s="42" t="s">
        <v>1728</v>
      </c>
      <c r="T3431" s="42"/>
      <c r="U3431" s="42" t="s">
        <v>3117</v>
      </c>
      <c r="V3431" s="42" t="s">
        <v>1379</v>
      </c>
      <c r="W3431" s="42" t="s">
        <v>1715</v>
      </c>
      <c r="X3431" s="42" t="s">
        <v>1379</v>
      </c>
      <c r="Y3431" s="42" t="s">
        <v>1379</v>
      </c>
      <c r="Z3431" s="24">
        <v>1.61</v>
      </c>
      <c r="AA3431" s="321">
        <v>47</v>
      </c>
      <c r="AB3431" s="321">
        <v>10</v>
      </c>
      <c r="AC3431" s="24" t="s">
        <v>2695</v>
      </c>
      <c r="AD3431" s="24">
        <v>5.4</v>
      </c>
      <c r="AE3431" s="24">
        <v>0.4</v>
      </c>
      <c r="AF3431" s="24">
        <f t="shared" si="470"/>
        <v>0.16251300000000002</v>
      </c>
      <c r="AG3431" s="24" t="s">
        <v>3243</v>
      </c>
      <c r="AH3431" s="24" t="s">
        <v>2770</v>
      </c>
      <c r="AI3431" s="24" t="s">
        <v>577</v>
      </c>
      <c r="AJ3431" s="24" t="s">
        <v>1645</v>
      </c>
      <c r="AK3431" s="24" t="s">
        <v>132</v>
      </c>
      <c r="AT3431" s="24" t="s">
        <v>2778</v>
      </c>
      <c r="AU3431" s="24" t="s">
        <v>2778</v>
      </c>
      <c r="AV3431" s="24" t="s">
        <v>177</v>
      </c>
      <c r="AW3431" s="24" t="s">
        <v>3240</v>
      </c>
      <c r="AX3431" s="24">
        <v>3</v>
      </c>
      <c r="AZ3431" s="24" t="s">
        <v>141</v>
      </c>
      <c r="BP3431" s="395"/>
      <c r="BQ3431" s="395"/>
      <c r="BU3431" s="395"/>
      <c r="BV3431" s="395"/>
      <c r="BZ3431" s="395"/>
      <c r="CA3431" s="395"/>
      <c r="CE3431" s="548"/>
      <c r="CF3431" s="548"/>
      <c r="CG3431" s="548"/>
      <c r="CH3431" s="548"/>
      <c r="FL3431" s="24">
        <v>401.85</v>
      </c>
      <c r="FM3431" s="24">
        <v>413.3</v>
      </c>
      <c r="FP3431" s="24" t="s">
        <v>3248</v>
      </c>
      <c r="JB3431" s="24" t="s">
        <v>3246</v>
      </c>
      <c r="JD3431" s="249"/>
    </row>
    <row r="3432" spans="1:264" s="24" customFormat="1" x14ac:dyDescent="0.25">
      <c r="A3432" s="24">
        <v>160</v>
      </c>
      <c r="B3432" s="42" t="s">
        <v>3242</v>
      </c>
      <c r="C3432" s="24" t="s">
        <v>3226</v>
      </c>
      <c r="D3432" s="24" t="s">
        <v>3227</v>
      </c>
      <c r="E3432" s="24">
        <v>2003</v>
      </c>
      <c r="F3432" s="24">
        <v>1999</v>
      </c>
      <c r="G3432" s="24" t="s">
        <v>2766</v>
      </c>
      <c r="H3432" s="24" t="s">
        <v>3241</v>
      </c>
      <c r="I3432" s="24" t="s">
        <v>2829</v>
      </c>
      <c r="J3432" s="24">
        <f t="shared" si="468"/>
        <v>-13.633333333333333</v>
      </c>
      <c r="K3432" s="24">
        <f t="shared" si="469"/>
        <v>32.56666666666667</v>
      </c>
      <c r="L3432" s="24">
        <v>1025</v>
      </c>
      <c r="O3432" s="24">
        <v>813</v>
      </c>
      <c r="P3432" s="24">
        <v>977</v>
      </c>
      <c r="R3432" s="42" t="s">
        <v>1847</v>
      </c>
      <c r="S3432" s="42" t="s">
        <v>1728</v>
      </c>
      <c r="T3432" s="42"/>
      <c r="U3432" s="42" t="s">
        <v>3117</v>
      </c>
      <c r="V3432" s="42" t="s">
        <v>1379</v>
      </c>
      <c r="W3432" s="42" t="s">
        <v>1715</v>
      </c>
      <c r="X3432" s="42" t="s">
        <v>1379</v>
      </c>
      <c r="Y3432" s="42" t="s">
        <v>1379</v>
      </c>
      <c r="Z3432" s="24">
        <v>1.61</v>
      </c>
      <c r="AA3432" s="321">
        <v>47</v>
      </c>
      <c r="AB3432" s="321">
        <v>10</v>
      </c>
      <c r="AC3432" s="24" t="s">
        <v>2695</v>
      </c>
      <c r="AD3432" s="24">
        <v>5.4</v>
      </c>
      <c r="AE3432" s="24">
        <v>0.4</v>
      </c>
      <c r="AF3432" s="24">
        <f t="shared" si="470"/>
        <v>0.16251300000000002</v>
      </c>
      <c r="AG3432" s="24" t="s">
        <v>3243</v>
      </c>
      <c r="AH3432" s="24" t="s">
        <v>2770</v>
      </c>
      <c r="AI3432" s="24" t="s">
        <v>577</v>
      </c>
      <c r="AJ3432" s="24" t="s">
        <v>1645</v>
      </c>
      <c r="AK3432" s="24" t="s">
        <v>132</v>
      </c>
      <c r="AT3432" s="24" t="s">
        <v>2778</v>
      </c>
      <c r="AU3432" s="24" t="s">
        <v>2778</v>
      </c>
      <c r="AV3432" s="24" t="s">
        <v>177</v>
      </c>
      <c r="AW3432" s="24" t="s">
        <v>3240</v>
      </c>
      <c r="AX3432" s="24">
        <v>3</v>
      </c>
      <c r="AZ3432" s="24" t="s">
        <v>141</v>
      </c>
      <c r="BP3432" s="395"/>
      <c r="BQ3432" s="395"/>
      <c r="BU3432" s="395"/>
      <c r="BV3432" s="395"/>
      <c r="BZ3432" s="395"/>
      <c r="CA3432" s="395"/>
      <c r="CE3432" s="548"/>
      <c r="CF3432" s="548"/>
      <c r="CG3432" s="548"/>
      <c r="CH3432" s="548"/>
      <c r="FL3432" s="24">
        <v>405.56</v>
      </c>
      <c r="FM3432" s="24">
        <v>428.45</v>
      </c>
      <c r="FP3432" s="24" t="s">
        <v>3248</v>
      </c>
      <c r="JB3432" s="24" t="s">
        <v>3246</v>
      </c>
      <c r="JD3432" s="249"/>
    </row>
    <row r="3433" spans="1:264" s="24" customFormat="1" x14ac:dyDescent="0.25">
      <c r="A3433" s="24">
        <v>160</v>
      </c>
      <c r="B3433" s="42" t="s">
        <v>3242</v>
      </c>
      <c r="C3433" s="24" t="s">
        <v>3226</v>
      </c>
      <c r="D3433" s="24" t="s">
        <v>3227</v>
      </c>
      <c r="E3433" s="24">
        <v>2003</v>
      </c>
      <c r="F3433" s="24">
        <v>1999</v>
      </c>
      <c r="G3433" s="24" t="s">
        <v>2766</v>
      </c>
      <c r="H3433" s="24" t="s">
        <v>3241</v>
      </c>
      <c r="I3433" s="24" t="s">
        <v>2829</v>
      </c>
      <c r="J3433" s="24">
        <f t="shared" si="468"/>
        <v>-13.633333333333333</v>
      </c>
      <c r="K3433" s="24">
        <f t="shared" si="469"/>
        <v>32.56666666666667</v>
      </c>
      <c r="L3433" s="24">
        <v>1025</v>
      </c>
      <c r="O3433" s="24">
        <v>813</v>
      </c>
      <c r="P3433" s="24">
        <v>977</v>
      </c>
      <c r="R3433" s="42" t="s">
        <v>1847</v>
      </c>
      <c r="S3433" s="42" t="s">
        <v>1728</v>
      </c>
      <c r="T3433" s="42"/>
      <c r="U3433" s="42" t="s">
        <v>3117</v>
      </c>
      <c r="V3433" s="42" t="s">
        <v>1379</v>
      </c>
      <c r="W3433" s="42" t="s">
        <v>1715</v>
      </c>
      <c r="X3433" s="42" t="s">
        <v>1379</v>
      </c>
      <c r="Y3433" s="42" t="s">
        <v>1379</v>
      </c>
      <c r="Z3433" s="24">
        <v>1.61</v>
      </c>
      <c r="AA3433" s="321">
        <v>47</v>
      </c>
      <c r="AB3433" s="321">
        <v>10</v>
      </c>
      <c r="AC3433" s="24" t="s">
        <v>2695</v>
      </c>
      <c r="AD3433" s="24">
        <v>5.4</v>
      </c>
      <c r="AE3433" s="24">
        <v>0.4</v>
      </c>
      <c r="AF3433" s="24">
        <f t="shared" si="470"/>
        <v>0.16251300000000002</v>
      </c>
      <c r="AG3433" s="24" t="s">
        <v>3243</v>
      </c>
      <c r="AH3433" s="24" t="s">
        <v>2770</v>
      </c>
      <c r="AI3433" s="24" t="s">
        <v>577</v>
      </c>
      <c r="AJ3433" s="24" t="s">
        <v>1645</v>
      </c>
      <c r="AK3433" s="24" t="s">
        <v>132</v>
      </c>
      <c r="AT3433" s="24" t="s">
        <v>2778</v>
      </c>
      <c r="AU3433" s="24" t="s">
        <v>2778</v>
      </c>
      <c r="AV3433" s="24" t="s">
        <v>177</v>
      </c>
      <c r="AW3433" s="24" t="s">
        <v>3240</v>
      </c>
      <c r="AX3433" s="24">
        <v>3</v>
      </c>
      <c r="AZ3433" s="24" t="s">
        <v>141</v>
      </c>
      <c r="BP3433" s="395"/>
      <c r="BQ3433" s="395"/>
      <c r="BU3433" s="395"/>
      <c r="BV3433" s="395"/>
      <c r="BZ3433" s="395"/>
      <c r="CA3433" s="395"/>
      <c r="CE3433" s="548"/>
      <c r="CF3433" s="548"/>
      <c r="CG3433" s="548"/>
      <c r="CH3433" s="548"/>
      <c r="FL3433" s="24">
        <v>426.09</v>
      </c>
      <c r="FM3433" s="24">
        <v>458.4</v>
      </c>
      <c r="FP3433" s="24" t="s">
        <v>3248</v>
      </c>
      <c r="JB3433" s="24" t="s">
        <v>3246</v>
      </c>
      <c r="JD3433" s="249"/>
    </row>
    <row r="3434" spans="1:264" s="24" customFormat="1" x14ac:dyDescent="0.25">
      <c r="A3434" s="24">
        <v>160</v>
      </c>
      <c r="B3434" s="42" t="s">
        <v>3242</v>
      </c>
      <c r="C3434" s="24" t="s">
        <v>3226</v>
      </c>
      <c r="D3434" s="24" t="s">
        <v>3227</v>
      </c>
      <c r="E3434" s="24">
        <v>2003</v>
      </c>
      <c r="F3434" s="24">
        <v>1999</v>
      </c>
      <c r="G3434" s="24" t="s">
        <v>2766</v>
      </c>
      <c r="H3434" s="24" t="s">
        <v>3241</v>
      </c>
      <c r="I3434" s="24" t="s">
        <v>2829</v>
      </c>
      <c r="J3434" s="24">
        <f t="shared" si="468"/>
        <v>-13.633333333333333</v>
      </c>
      <c r="K3434" s="24">
        <f t="shared" si="469"/>
        <v>32.56666666666667</v>
      </c>
      <c r="L3434" s="24">
        <v>1025</v>
      </c>
      <c r="O3434" s="24">
        <v>813</v>
      </c>
      <c r="P3434" s="24">
        <v>977</v>
      </c>
      <c r="R3434" s="42" t="s">
        <v>1847</v>
      </c>
      <c r="S3434" s="42" t="s">
        <v>1728</v>
      </c>
      <c r="T3434" s="42"/>
      <c r="U3434" s="42" t="s">
        <v>3117</v>
      </c>
      <c r="V3434" s="42" t="s">
        <v>1379</v>
      </c>
      <c r="W3434" s="42" t="s">
        <v>1715</v>
      </c>
      <c r="X3434" s="42" t="s">
        <v>1379</v>
      </c>
      <c r="Y3434" s="42" t="s">
        <v>1379</v>
      </c>
      <c r="Z3434" s="24">
        <v>1.61</v>
      </c>
      <c r="AA3434" s="321">
        <v>47</v>
      </c>
      <c r="AB3434" s="321">
        <v>10</v>
      </c>
      <c r="AC3434" s="24" t="s">
        <v>2695</v>
      </c>
      <c r="AD3434" s="24">
        <v>5.4</v>
      </c>
      <c r="AE3434" s="24">
        <v>0.4</v>
      </c>
      <c r="AF3434" s="24">
        <f t="shared" si="470"/>
        <v>0.16251300000000002</v>
      </c>
      <c r="AG3434" s="24" t="s">
        <v>3243</v>
      </c>
      <c r="AH3434" s="24" t="s">
        <v>2770</v>
      </c>
      <c r="AI3434" s="24" t="s">
        <v>577</v>
      </c>
      <c r="AJ3434" s="24" t="s">
        <v>1645</v>
      </c>
      <c r="AK3434" s="24" t="s">
        <v>132</v>
      </c>
      <c r="AT3434" s="24" t="s">
        <v>2778</v>
      </c>
      <c r="AU3434" s="24" t="s">
        <v>2778</v>
      </c>
      <c r="AV3434" s="24" t="s">
        <v>177</v>
      </c>
      <c r="AW3434" s="24" t="s">
        <v>3240</v>
      </c>
      <c r="AX3434" s="24">
        <v>3</v>
      </c>
      <c r="AZ3434" s="24" t="s">
        <v>141</v>
      </c>
      <c r="BP3434" s="395"/>
      <c r="BQ3434" s="395"/>
      <c r="BU3434" s="395"/>
      <c r="BV3434" s="395"/>
      <c r="BZ3434" s="395"/>
      <c r="CA3434" s="395"/>
      <c r="CE3434" s="548"/>
      <c r="CF3434" s="548"/>
      <c r="CG3434" s="548"/>
      <c r="CH3434" s="548"/>
      <c r="FL3434" s="24">
        <v>424.07</v>
      </c>
      <c r="FM3434" s="24">
        <v>484</v>
      </c>
      <c r="FP3434" s="24" t="s">
        <v>3248</v>
      </c>
      <c r="JB3434" s="24" t="s">
        <v>3246</v>
      </c>
      <c r="JD3434" s="249"/>
    </row>
    <row r="3435" spans="1:264" s="24" customFormat="1" x14ac:dyDescent="0.25">
      <c r="A3435" s="24">
        <v>160</v>
      </c>
      <c r="B3435" s="42" t="s">
        <v>3242</v>
      </c>
      <c r="C3435" s="24" t="s">
        <v>3226</v>
      </c>
      <c r="D3435" s="24" t="s">
        <v>3227</v>
      </c>
      <c r="E3435" s="24">
        <v>2003</v>
      </c>
      <c r="F3435" s="24">
        <v>1999</v>
      </c>
      <c r="G3435" s="24" t="s">
        <v>2766</v>
      </c>
      <c r="H3435" s="24" t="s">
        <v>3241</v>
      </c>
      <c r="I3435" s="24" t="s">
        <v>2829</v>
      </c>
      <c r="J3435" s="24">
        <f t="shared" si="468"/>
        <v>-13.633333333333333</v>
      </c>
      <c r="K3435" s="24">
        <f t="shared" si="469"/>
        <v>32.56666666666667</v>
      </c>
      <c r="L3435" s="24">
        <v>1025</v>
      </c>
      <c r="O3435" s="24">
        <v>813</v>
      </c>
      <c r="P3435" s="24">
        <v>977</v>
      </c>
      <c r="R3435" s="42" t="s">
        <v>1847</v>
      </c>
      <c r="S3435" s="42" t="s">
        <v>1728</v>
      </c>
      <c r="T3435" s="42"/>
      <c r="U3435" s="42" t="s">
        <v>3117</v>
      </c>
      <c r="V3435" s="42" t="s">
        <v>1379</v>
      </c>
      <c r="W3435" s="42" t="s">
        <v>1715</v>
      </c>
      <c r="X3435" s="42" t="s">
        <v>1379</v>
      </c>
      <c r="Y3435" s="42" t="s">
        <v>1379</v>
      </c>
      <c r="Z3435" s="24">
        <v>1.61</v>
      </c>
      <c r="AA3435" s="321">
        <v>47</v>
      </c>
      <c r="AB3435" s="321">
        <v>10</v>
      </c>
      <c r="AC3435" s="24" t="s">
        <v>2695</v>
      </c>
      <c r="AD3435" s="24">
        <v>5.4</v>
      </c>
      <c r="AE3435" s="24">
        <v>0.4</v>
      </c>
      <c r="AF3435" s="24">
        <f t="shared" si="470"/>
        <v>0.16251300000000002</v>
      </c>
      <c r="AG3435" s="24" t="s">
        <v>3243</v>
      </c>
      <c r="AH3435" s="24" t="s">
        <v>2770</v>
      </c>
      <c r="AI3435" s="24" t="s">
        <v>577</v>
      </c>
      <c r="AJ3435" s="24" t="s">
        <v>1645</v>
      </c>
      <c r="AK3435" s="24" t="s">
        <v>132</v>
      </c>
      <c r="AT3435" s="24" t="s">
        <v>2778</v>
      </c>
      <c r="AU3435" s="24" t="s">
        <v>2778</v>
      </c>
      <c r="AV3435" s="24" t="s">
        <v>177</v>
      </c>
      <c r="AW3435" s="24" t="s">
        <v>3240</v>
      </c>
      <c r="AX3435" s="24">
        <v>3</v>
      </c>
      <c r="AZ3435" s="24" t="s">
        <v>141</v>
      </c>
      <c r="BP3435" s="395"/>
      <c r="BQ3435" s="395"/>
      <c r="BU3435" s="395"/>
      <c r="BV3435" s="395"/>
      <c r="BZ3435" s="395"/>
      <c r="CA3435" s="395"/>
      <c r="CE3435" s="548"/>
      <c r="CF3435" s="548"/>
      <c r="CG3435" s="548"/>
      <c r="CH3435" s="548"/>
      <c r="FL3435" s="24">
        <v>439.22</v>
      </c>
      <c r="FM3435" s="24">
        <v>498</v>
      </c>
      <c r="FP3435" s="24" t="s">
        <v>3248</v>
      </c>
      <c r="JB3435" s="24" t="s">
        <v>3246</v>
      </c>
      <c r="JD3435" s="249"/>
    </row>
    <row r="3436" spans="1:264" s="24" customFormat="1" x14ac:dyDescent="0.25">
      <c r="A3436" s="24">
        <v>160</v>
      </c>
      <c r="B3436" s="42" t="s">
        <v>3242</v>
      </c>
      <c r="C3436" s="24" t="s">
        <v>3226</v>
      </c>
      <c r="D3436" s="24" t="s">
        <v>3227</v>
      </c>
      <c r="E3436" s="24">
        <v>2003</v>
      </c>
      <c r="F3436" s="24">
        <v>1999</v>
      </c>
      <c r="G3436" s="24" t="s">
        <v>2766</v>
      </c>
      <c r="H3436" s="24" t="s">
        <v>3241</v>
      </c>
      <c r="I3436" s="24" t="s">
        <v>2829</v>
      </c>
      <c r="J3436" s="24">
        <f t="shared" si="468"/>
        <v>-13.633333333333333</v>
      </c>
      <c r="K3436" s="24">
        <f t="shared" si="469"/>
        <v>32.56666666666667</v>
      </c>
      <c r="L3436" s="24">
        <v>1025</v>
      </c>
      <c r="O3436" s="24">
        <v>813</v>
      </c>
      <c r="P3436" s="24">
        <v>977</v>
      </c>
      <c r="R3436" s="42" t="s">
        <v>1847</v>
      </c>
      <c r="S3436" s="42" t="s">
        <v>1728</v>
      </c>
      <c r="T3436" s="42"/>
      <c r="U3436" s="42" t="s">
        <v>3117</v>
      </c>
      <c r="V3436" s="42" t="s">
        <v>1379</v>
      </c>
      <c r="W3436" s="42" t="s">
        <v>1715</v>
      </c>
      <c r="X3436" s="42" t="s">
        <v>1379</v>
      </c>
      <c r="Y3436" s="42" t="s">
        <v>1379</v>
      </c>
      <c r="Z3436" s="24">
        <v>1.61</v>
      </c>
      <c r="AA3436" s="321">
        <v>47</v>
      </c>
      <c r="AB3436" s="321">
        <v>10</v>
      </c>
      <c r="AC3436" s="24" t="s">
        <v>2695</v>
      </c>
      <c r="AD3436" s="24">
        <v>5.4</v>
      </c>
      <c r="AE3436" s="24">
        <v>0.4</v>
      </c>
      <c r="AF3436" s="24">
        <f t="shared" si="470"/>
        <v>0.16251300000000002</v>
      </c>
      <c r="AG3436" s="24" t="s">
        <v>3243</v>
      </c>
      <c r="AH3436" s="24" t="s">
        <v>2770</v>
      </c>
      <c r="AI3436" s="24" t="s">
        <v>577</v>
      </c>
      <c r="AJ3436" s="24" t="s">
        <v>1645</v>
      </c>
      <c r="AK3436" s="24" t="s">
        <v>132</v>
      </c>
      <c r="AT3436" s="24" t="s">
        <v>2778</v>
      </c>
      <c r="AU3436" s="24" t="s">
        <v>2778</v>
      </c>
      <c r="AV3436" s="24" t="s">
        <v>177</v>
      </c>
      <c r="AW3436" s="24" t="s">
        <v>3240</v>
      </c>
      <c r="AX3436" s="24">
        <v>3</v>
      </c>
      <c r="AZ3436" s="24" t="s">
        <v>141</v>
      </c>
      <c r="BP3436" s="395"/>
      <c r="BQ3436" s="395"/>
      <c r="BU3436" s="395"/>
      <c r="BV3436" s="395"/>
      <c r="BZ3436" s="395"/>
      <c r="CA3436" s="395"/>
      <c r="CE3436" s="548"/>
      <c r="CF3436" s="548"/>
      <c r="CG3436" s="548"/>
      <c r="CH3436" s="548"/>
      <c r="FL3436" s="24">
        <v>447.31</v>
      </c>
      <c r="FM3436" s="24">
        <v>493.8</v>
      </c>
      <c r="FP3436" s="24" t="s">
        <v>3248</v>
      </c>
      <c r="JB3436" s="24" t="s">
        <v>3246</v>
      </c>
      <c r="JD3436" s="249"/>
    </row>
    <row r="3437" spans="1:264" s="24" customFormat="1" x14ac:dyDescent="0.25">
      <c r="A3437" s="24">
        <v>160</v>
      </c>
      <c r="B3437" s="42" t="s">
        <v>3242</v>
      </c>
      <c r="C3437" s="24" t="s">
        <v>3226</v>
      </c>
      <c r="D3437" s="24" t="s">
        <v>3227</v>
      </c>
      <c r="E3437" s="24">
        <v>2003</v>
      </c>
      <c r="F3437" s="24">
        <v>1999</v>
      </c>
      <c r="G3437" s="24" t="s">
        <v>2766</v>
      </c>
      <c r="H3437" s="24" t="s">
        <v>3241</v>
      </c>
      <c r="I3437" s="24" t="s">
        <v>2829</v>
      </c>
      <c r="J3437" s="24">
        <f t="shared" si="468"/>
        <v>-13.633333333333333</v>
      </c>
      <c r="K3437" s="24">
        <f t="shared" si="469"/>
        <v>32.56666666666667</v>
      </c>
      <c r="L3437" s="24">
        <v>1025</v>
      </c>
      <c r="O3437" s="24">
        <v>813</v>
      </c>
      <c r="P3437" s="24">
        <v>977</v>
      </c>
      <c r="R3437" s="42" t="s">
        <v>1847</v>
      </c>
      <c r="S3437" s="42" t="s">
        <v>1728</v>
      </c>
      <c r="T3437" s="42"/>
      <c r="U3437" s="42" t="s">
        <v>3117</v>
      </c>
      <c r="V3437" s="42" t="s">
        <v>1379</v>
      </c>
      <c r="W3437" s="42" t="s">
        <v>1715</v>
      </c>
      <c r="X3437" s="42" t="s">
        <v>1379</v>
      </c>
      <c r="Y3437" s="42" t="s">
        <v>1379</v>
      </c>
      <c r="Z3437" s="24">
        <v>1.61</v>
      </c>
      <c r="AA3437" s="321">
        <v>47</v>
      </c>
      <c r="AB3437" s="321">
        <v>10</v>
      </c>
      <c r="AC3437" s="24" t="s">
        <v>2695</v>
      </c>
      <c r="AD3437" s="24">
        <v>5.4</v>
      </c>
      <c r="AE3437" s="24">
        <v>0.4</v>
      </c>
      <c r="AF3437" s="24">
        <f t="shared" si="470"/>
        <v>0.16251300000000002</v>
      </c>
      <c r="AG3437" s="24" t="s">
        <v>3243</v>
      </c>
      <c r="AH3437" s="24" t="s">
        <v>2770</v>
      </c>
      <c r="AI3437" s="24" t="s">
        <v>577</v>
      </c>
      <c r="AJ3437" s="24" t="s">
        <v>1645</v>
      </c>
      <c r="AK3437" s="24" t="s">
        <v>132</v>
      </c>
      <c r="AT3437" s="24" t="s">
        <v>2778</v>
      </c>
      <c r="AU3437" s="24" t="s">
        <v>2778</v>
      </c>
      <c r="AV3437" s="24" t="s">
        <v>177</v>
      </c>
      <c r="AW3437" s="24" t="s">
        <v>3240</v>
      </c>
      <c r="AX3437" s="24">
        <v>3</v>
      </c>
      <c r="AZ3437" s="24" t="s">
        <v>141</v>
      </c>
      <c r="BP3437" s="395"/>
      <c r="BQ3437" s="395"/>
      <c r="BU3437" s="395"/>
      <c r="BV3437" s="395"/>
      <c r="BZ3437" s="395"/>
      <c r="CA3437" s="395"/>
      <c r="CE3437" s="548"/>
      <c r="CF3437" s="548"/>
      <c r="CG3437" s="548"/>
      <c r="CH3437" s="548"/>
      <c r="FL3437" s="24">
        <v>447.64</v>
      </c>
      <c r="FM3437" s="24">
        <v>494.1</v>
      </c>
      <c r="FP3437" s="24" t="s">
        <v>3248</v>
      </c>
      <c r="JB3437" s="24" t="s">
        <v>3246</v>
      </c>
      <c r="JD3437" s="249"/>
    </row>
    <row r="3438" spans="1:264" s="24" customFormat="1" x14ac:dyDescent="0.25">
      <c r="A3438" s="24">
        <v>160</v>
      </c>
      <c r="B3438" s="42" t="s">
        <v>3242</v>
      </c>
      <c r="C3438" s="24" t="s">
        <v>3226</v>
      </c>
      <c r="D3438" s="24" t="s">
        <v>3227</v>
      </c>
      <c r="E3438" s="24">
        <v>2003</v>
      </c>
      <c r="F3438" s="24">
        <v>1999</v>
      </c>
      <c r="G3438" s="24" t="s">
        <v>2766</v>
      </c>
      <c r="H3438" s="24" t="s">
        <v>3241</v>
      </c>
      <c r="I3438" s="24" t="s">
        <v>2829</v>
      </c>
      <c r="J3438" s="24">
        <f t="shared" si="468"/>
        <v>-13.633333333333333</v>
      </c>
      <c r="K3438" s="24">
        <f t="shared" si="469"/>
        <v>32.56666666666667</v>
      </c>
      <c r="L3438" s="24">
        <v>1025</v>
      </c>
      <c r="O3438" s="24">
        <v>813</v>
      </c>
      <c r="P3438" s="24">
        <v>977</v>
      </c>
      <c r="R3438" s="42" t="s">
        <v>1847</v>
      </c>
      <c r="S3438" s="42" t="s">
        <v>1728</v>
      </c>
      <c r="T3438" s="42"/>
      <c r="U3438" s="42" t="s">
        <v>3117</v>
      </c>
      <c r="V3438" s="42" t="s">
        <v>1379</v>
      </c>
      <c r="W3438" s="42" t="s">
        <v>1715</v>
      </c>
      <c r="X3438" s="42" t="s">
        <v>1379</v>
      </c>
      <c r="Y3438" s="42" t="s">
        <v>1379</v>
      </c>
      <c r="Z3438" s="24">
        <v>1.61</v>
      </c>
      <c r="AA3438" s="321">
        <v>47</v>
      </c>
      <c r="AB3438" s="321">
        <v>10</v>
      </c>
      <c r="AC3438" s="24" t="s">
        <v>2695</v>
      </c>
      <c r="AD3438" s="24">
        <v>5.4</v>
      </c>
      <c r="AE3438" s="24">
        <v>0.4</v>
      </c>
      <c r="AF3438" s="24">
        <f t="shared" si="470"/>
        <v>0.16251300000000002</v>
      </c>
      <c r="AG3438" s="24" t="s">
        <v>3243</v>
      </c>
      <c r="AH3438" s="24" t="s">
        <v>2770</v>
      </c>
      <c r="AI3438" s="24" t="s">
        <v>577</v>
      </c>
      <c r="AJ3438" s="24" t="s">
        <v>1645</v>
      </c>
      <c r="AK3438" s="24" t="s">
        <v>132</v>
      </c>
      <c r="AT3438" s="24" t="s">
        <v>2778</v>
      </c>
      <c r="AU3438" s="24" t="s">
        <v>2778</v>
      </c>
      <c r="AV3438" s="24" t="s">
        <v>177</v>
      </c>
      <c r="AW3438" s="24" t="s">
        <v>3240</v>
      </c>
      <c r="AX3438" s="24">
        <v>3</v>
      </c>
      <c r="AZ3438" s="24" t="s">
        <v>141</v>
      </c>
      <c r="BP3438" s="395"/>
      <c r="BQ3438" s="395"/>
      <c r="BU3438" s="395"/>
      <c r="BV3438" s="395"/>
      <c r="BZ3438" s="395"/>
      <c r="CA3438" s="395"/>
      <c r="CE3438" s="548"/>
      <c r="CF3438" s="548"/>
      <c r="CG3438" s="548"/>
      <c r="CH3438" s="548"/>
      <c r="FL3438" s="24">
        <v>476.28</v>
      </c>
      <c r="FM3438" s="24">
        <v>532</v>
      </c>
      <c r="FP3438" s="24" t="s">
        <v>3248</v>
      </c>
      <c r="JB3438" s="24" t="s">
        <v>3246</v>
      </c>
      <c r="JD3438" s="249"/>
    </row>
    <row r="3439" spans="1:264" s="24" customFormat="1" x14ac:dyDescent="0.25">
      <c r="A3439" s="24">
        <v>160</v>
      </c>
      <c r="B3439" s="42" t="s">
        <v>3242</v>
      </c>
      <c r="C3439" s="24" t="s">
        <v>3226</v>
      </c>
      <c r="D3439" s="24" t="s">
        <v>3227</v>
      </c>
      <c r="E3439" s="24">
        <v>2003</v>
      </c>
      <c r="F3439" s="24">
        <v>1999</v>
      </c>
      <c r="G3439" s="24" t="s">
        <v>2766</v>
      </c>
      <c r="H3439" s="24" t="s">
        <v>3241</v>
      </c>
      <c r="I3439" s="24" t="s">
        <v>2829</v>
      </c>
      <c r="J3439" s="24">
        <f t="shared" si="468"/>
        <v>-13.633333333333333</v>
      </c>
      <c r="K3439" s="24">
        <f t="shared" si="469"/>
        <v>32.56666666666667</v>
      </c>
      <c r="L3439" s="24">
        <v>1025</v>
      </c>
      <c r="O3439" s="24">
        <v>813</v>
      </c>
      <c r="P3439" s="24">
        <v>977</v>
      </c>
      <c r="R3439" s="42" t="s">
        <v>1847</v>
      </c>
      <c r="S3439" s="42" t="s">
        <v>1728</v>
      </c>
      <c r="T3439" s="42"/>
      <c r="U3439" s="42" t="s">
        <v>3117</v>
      </c>
      <c r="V3439" s="42" t="s">
        <v>1379</v>
      </c>
      <c r="W3439" s="42" t="s">
        <v>1715</v>
      </c>
      <c r="X3439" s="42" t="s">
        <v>1379</v>
      </c>
      <c r="Y3439" s="42" t="s">
        <v>1379</v>
      </c>
      <c r="Z3439" s="24">
        <v>1.61</v>
      </c>
      <c r="AA3439" s="321">
        <v>47</v>
      </c>
      <c r="AB3439" s="321">
        <v>10</v>
      </c>
      <c r="AC3439" s="24" t="s">
        <v>2695</v>
      </c>
      <c r="AD3439" s="24">
        <v>5.4</v>
      </c>
      <c r="AE3439" s="24">
        <v>0.4</v>
      </c>
      <c r="AF3439" s="24">
        <f t="shared" si="470"/>
        <v>0.16251300000000002</v>
      </c>
      <c r="AG3439" s="24" t="s">
        <v>3243</v>
      </c>
      <c r="AH3439" s="24" t="s">
        <v>2770</v>
      </c>
      <c r="AI3439" s="24" t="s">
        <v>577</v>
      </c>
      <c r="AJ3439" s="24" t="s">
        <v>1645</v>
      </c>
      <c r="AK3439" s="24" t="s">
        <v>132</v>
      </c>
      <c r="AT3439" s="24" t="s">
        <v>2778</v>
      </c>
      <c r="AU3439" s="24" t="s">
        <v>2778</v>
      </c>
      <c r="AV3439" s="24" t="s">
        <v>177</v>
      </c>
      <c r="AW3439" s="24" t="s">
        <v>3240</v>
      </c>
      <c r="AX3439" s="24">
        <v>3</v>
      </c>
      <c r="AZ3439" s="24" t="s">
        <v>141</v>
      </c>
      <c r="BP3439" s="395"/>
      <c r="BQ3439" s="395"/>
      <c r="BU3439" s="395"/>
      <c r="BV3439" s="395"/>
      <c r="BZ3439" s="395"/>
      <c r="CA3439" s="395"/>
      <c r="CE3439" s="548"/>
      <c r="CF3439" s="548"/>
      <c r="CG3439" s="548"/>
      <c r="CH3439" s="548"/>
      <c r="FL3439" s="24">
        <v>456.39</v>
      </c>
      <c r="FM3439" s="24">
        <v>513</v>
      </c>
      <c r="FP3439" s="24" t="s">
        <v>3248</v>
      </c>
      <c r="JB3439" s="24" t="s">
        <v>3246</v>
      </c>
      <c r="JD3439" s="249"/>
    </row>
    <row r="3440" spans="1:264" s="24" customFormat="1" x14ac:dyDescent="0.25">
      <c r="A3440" s="24">
        <v>160</v>
      </c>
      <c r="B3440" s="42" t="s">
        <v>3242</v>
      </c>
      <c r="C3440" s="24" t="s">
        <v>3226</v>
      </c>
      <c r="D3440" s="24" t="s">
        <v>3227</v>
      </c>
      <c r="E3440" s="24">
        <v>2003</v>
      </c>
      <c r="F3440" s="24">
        <v>1999</v>
      </c>
      <c r="G3440" s="24" t="s">
        <v>2766</v>
      </c>
      <c r="H3440" s="24" t="s">
        <v>3241</v>
      </c>
      <c r="I3440" s="24" t="s">
        <v>2829</v>
      </c>
      <c r="J3440" s="24">
        <f t="shared" si="468"/>
        <v>-13.633333333333333</v>
      </c>
      <c r="K3440" s="24">
        <f t="shared" si="469"/>
        <v>32.56666666666667</v>
      </c>
      <c r="L3440" s="24">
        <v>1025</v>
      </c>
      <c r="O3440" s="24">
        <v>813</v>
      </c>
      <c r="P3440" s="24">
        <v>977</v>
      </c>
      <c r="R3440" s="42" t="s">
        <v>1847</v>
      </c>
      <c r="S3440" s="42" t="s">
        <v>1728</v>
      </c>
      <c r="T3440" s="42"/>
      <c r="U3440" s="42" t="s">
        <v>3117</v>
      </c>
      <c r="V3440" s="42" t="s">
        <v>1379</v>
      </c>
      <c r="W3440" s="42" t="s">
        <v>1715</v>
      </c>
      <c r="X3440" s="42" t="s">
        <v>1379</v>
      </c>
      <c r="Y3440" s="42" t="s">
        <v>1379</v>
      </c>
      <c r="Z3440" s="24">
        <v>1.61</v>
      </c>
      <c r="AA3440" s="321">
        <v>47</v>
      </c>
      <c r="AB3440" s="321">
        <v>10</v>
      </c>
      <c r="AC3440" s="24" t="s">
        <v>2695</v>
      </c>
      <c r="AD3440" s="24">
        <v>5.4</v>
      </c>
      <c r="AE3440" s="24">
        <v>0.4</v>
      </c>
      <c r="AF3440" s="24">
        <f t="shared" si="470"/>
        <v>0.16251300000000002</v>
      </c>
      <c r="AG3440" s="24" t="s">
        <v>3243</v>
      </c>
      <c r="AH3440" s="24" t="s">
        <v>2770</v>
      </c>
      <c r="AI3440" s="24" t="s">
        <v>577</v>
      </c>
      <c r="AJ3440" s="24" t="s">
        <v>1645</v>
      </c>
      <c r="AK3440" s="24" t="s">
        <v>132</v>
      </c>
      <c r="AT3440" s="24" t="s">
        <v>2778</v>
      </c>
      <c r="AU3440" s="24" t="s">
        <v>2778</v>
      </c>
      <c r="AV3440" s="24" t="s">
        <v>177</v>
      </c>
      <c r="AW3440" s="24" t="s">
        <v>3240</v>
      </c>
      <c r="AX3440" s="24">
        <v>3</v>
      </c>
      <c r="AZ3440" s="24" t="s">
        <v>141</v>
      </c>
      <c r="BP3440" s="395"/>
      <c r="BQ3440" s="395"/>
      <c r="BU3440" s="395"/>
      <c r="BV3440" s="395"/>
      <c r="BZ3440" s="395"/>
      <c r="CA3440" s="395"/>
      <c r="CE3440" s="548"/>
      <c r="CF3440" s="548"/>
      <c r="CG3440" s="548"/>
      <c r="CH3440" s="548"/>
      <c r="FL3440" s="24">
        <v>424.41</v>
      </c>
      <c r="FM3440" s="24">
        <v>446.6</v>
      </c>
      <c r="FP3440" s="24" t="s">
        <v>3248</v>
      </c>
      <c r="JB3440" s="24" t="s">
        <v>3246</v>
      </c>
      <c r="JD3440" s="249"/>
    </row>
    <row r="3441" spans="1:264" s="24" customFormat="1" x14ac:dyDescent="0.25">
      <c r="A3441" s="24">
        <v>160</v>
      </c>
      <c r="B3441" s="42" t="s">
        <v>3242</v>
      </c>
      <c r="C3441" s="24" t="s">
        <v>3226</v>
      </c>
      <c r="D3441" s="24" t="s">
        <v>3227</v>
      </c>
      <c r="E3441" s="24">
        <v>2003</v>
      </c>
      <c r="F3441" s="24">
        <v>1999</v>
      </c>
      <c r="G3441" s="24" t="s">
        <v>2766</v>
      </c>
      <c r="H3441" s="24" t="s">
        <v>3241</v>
      </c>
      <c r="I3441" s="24" t="s">
        <v>2829</v>
      </c>
      <c r="J3441" s="24">
        <f t="shared" si="468"/>
        <v>-13.633333333333333</v>
      </c>
      <c r="K3441" s="24">
        <f t="shared" si="469"/>
        <v>32.56666666666667</v>
      </c>
      <c r="L3441" s="24">
        <v>1025</v>
      </c>
      <c r="O3441" s="24">
        <v>813</v>
      </c>
      <c r="P3441" s="24">
        <v>977</v>
      </c>
      <c r="R3441" s="42" t="s">
        <v>1847</v>
      </c>
      <c r="S3441" s="42" t="s">
        <v>1728</v>
      </c>
      <c r="T3441" s="42"/>
      <c r="U3441" s="42" t="s">
        <v>3117</v>
      </c>
      <c r="V3441" s="42" t="s">
        <v>1379</v>
      </c>
      <c r="W3441" s="42" t="s">
        <v>1715</v>
      </c>
      <c r="X3441" s="42" t="s">
        <v>1379</v>
      </c>
      <c r="Y3441" s="42" t="s">
        <v>1379</v>
      </c>
      <c r="Z3441" s="24">
        <v>1.61</v>
      </c>
      <c r="AA3441" s="321">
        <v>47</v>
      </c>
      <c r="AB3441" s="321">
        <v>10</v>
      </c>
      <c r="AC3441" s="24" t="s">
        <v>2695</v>
      </c>
      <c r="AD3441" s="24">
        <v>5.4</v>
      </c>
      <c r="AE3441" s="24">
        <v>0.4</v>
      </c>
      <c r="AF3441" s="24">
        <f t="shared" si="470"/>
        <v>0.16251300000000002</v>
      </c>
      <c r="AG3441" s="24" t="s">
        <v>3243</v>
      </c>
      <c r="AH3441" s="24" t="s">
        <v>2770</v>
      </c>
      <c r="AI3441" s="24" t="s">
        <v>577</v>
      </c>
      <c r="AJ3441" s="24" t="s">
        <v>1645</v>
      </c>
      <c r="AK3441" s="24" t="s">
        <v>132</v>
      </c>
      <c r="AT3441" s="24" t="s">
        <v>2778</v>
      </c>
      <c r="AU3441" s="24" t="s">
        <v>2778</v>
      </c>
      <c r="AV3441" s="24" t="s">
        <v>177</v>
      </c>
      <c r="AW3441" s="24" t="s">
        <v>3240</v>
      </c>
      <c r="AX3441" s="24">
        <v>3</v>
      </c>
      <c r="AZ3441" s="24" t="s">
        <v>141</v>
      </c>
      <c r="BP3441" s="395"/>
      <c r="BQ3441" s="395"/>
      <c r="BU3441" s="395"/>
      <c r="BV3441" s="395"/>
      <c r="BZ3441" s="395"/>
      <c r="CA3441" s="395"/>
      <c r="CE3441" s="548"/>
      <c r="CF3441" s="548"/>
      <c r="CG3441" s="548"/>
      <c r="CH3441" s="548"/>
      <c r="FL3441" s="24">
        <v>406.57</v>
      </c>
      <c r="FM3441" s="24">
        <v>412</v>
      </c>
      <c r="FP3441" s="24" t="s">
        <v>3248</v>
      </c>
      <c r="JB3441" s="24" t="s">
        <v>3246</v>
      </c>
      <c r="JD3441" s="249"/>
    </row>
    <row r="3442" spans="1:264" s="24" customFormat="1" x14ac:dyDescent="0.25">
      <c r="A3442" s="24">
        <v>160</v>
      </c>
      <c r="B3442" s="42" t="s">
        <v>3242</v>
      </c>
      <c r="C3442" s="24" t="s">
        <v>3226</v>
      </c>
      <c r="D3442" s="24" t="s">
        <v>3227</v>
      </c>
      <c r="E3442" s="24">
        <v>2003</v>
      </c>
      <c r="F3442" s="24">
        <v>1999</v>
      </c>
      <c r="G3442" s="24" t="s">
        <v>2766</v>
      </c>
      <c r="H3442" s="24" t="s">
        <v>3241</v>
      </c>
      <c r="I3442" s="24" t="s">
        <v>2829</v>
      </c>
      <c r="J3442" s="24">
        <f t="shared" si="468"/>
        <v>-13.633333333333333</v>
      </c>
      <c r="K3442" s="24">
        <f t="shared" si="469"/>
        <v>32.56666666666667</v>
      </c>
      <c r="L3442" s="24">
        <v>1025</v>
      </c>
      <c r="O3442" s="24">
        <v>813</v>
      </c>
      <c r="P3442" s="24">
        <v>977</v>
      </c>
      <c r="R3442" s="42" t="s">
        <v>1847</v>
      </c>
      <c r="S3442" s="42" t="s">
        <v>1728</v>
      </c>
      <c r="T3442" s="42"/>
      <c r="U3442" s="42" t="s">
        <v>3117</v>
      </c>
      <c r="V3442" s="42" t="s">
        <v>1379</v>
      </c>
      <c r="W3442" s="42" t="s">
        <v>1715</v>
      </c>
      <c r="X3442" s="42" t="s">
        <v>1379</v>
      </c>
      <c r="Y3442" s="42" t="s">
        <v>1379</v>
      </c>
      <c r="Z3442" s="24">
        <v>1.61</v>
      </c>
      <c r="AA3442" s="321">
        <v>47</v>
      </c>
      <c r="AB3442" s="321">
        <v>10</v>
      </c>
      <c r="AC3442" s="24" t="s">
        <v>2695</v>
      </c>
      <c r="AD3442" s="24">
        <v>5.4</v>
      </c>
      <c r="AE3442" s="24">
        <v>0.4</v>
      </c>
      <c r="AF3442" s="24">
        <f t="shared" si="470"/>
        <v>0.16251300000000002</v>
      </c>
      <c r="AG3442" s="24" t="s">
        <v>3243</v>
      </c>
      <c r="AH3442" s="24" t="s">
        <v>2770</v>
      </c>
      <c r="AI3442" s="24" t="s">
        <v>577</v>
      </c>
      <c r="AJ3442" s="24" t="s">
        <v>1645</v>
      </c>
      <c r="AK3442" s="24" t="s">
        <v>132</v>
      </c>
      <c r="AT3442" s="24" t="s">
        <v>2778</v>
      </c>
      <c r="AU3442" s="24" t="s">
        <v>2778</v>
      </c>
      <c r="AV3442" s="24" t="s">
        <v>177</v>
      </c>
      <c r="AW3442" s="24" t="s">
        <v>3240</v>
      </c>
      <c r="AX3442" s="24">
        <v>3</v>
      </c>
      <c r="AZ3442" s="24" t="s">
        <v>141</v>
      </c>
      <c r="BP3442" s="395"/>
      <c r="BQ3442" s="395"/>
      <c r="BU3442" s="395"/>
      <c r="BV3442" s="395"/>
      <c r="BZ3442" s="395"/>
      <c r="CA3442" s="395"/>
      <c r="CE3442" s="548"/>
      <c r="CF3442" s="548"/>
      <c r="CG3442" s="548"/>
      <c r="CH3442" s="548"/>
      <c r="FL3442" s="24">
        <v>403.2</v>
      </c>
      <c r="FM3442" s="24">
        <v>400</v>
      </c>
      <c r="FP3442" s="24" t="s">
        <v>3248</v>
      </c>
      <c r="JB3442" s="24" t="s">
        <v>3246</v>
      </c>
      <c r="JD3442" s="249"/>
    </row>
    <row r="3443" spans="1:264" s="24" customFormat="1" x14ac:dyDescent="0.25">
      <c r="A3443" s="24">
        <v>160</v>
      </c>
      <c r="B3443" s="42" t="s">
        <v>3242</v>
      </c>
      <c r="C3443" s="24" t="s">
        <v>3226</v>
      </c>
      <c r="D3443" s="24" t="s">
        <v>3227</v>
      </c>
      <c r="E3443" s="24">
        <v>2003</v>
      </c>
      <c r="F3443" s="24">
        <v>1999</v>
      </c>
      <c r="G3443" s="24" t="s">
        <v>2766</v>
      </c>
      <c r="H3443" s="24" t="s">
        <v>3241</v>
      </c>
      <c r="I3443" s="24" t="s">
        <v>2829</v>
      </c>
      <c r="J3443" s="24">
        <f t="shared" si="468"/>
        <v>-13.633333333333333</v>
      </c>
      <c r="K3443" s="24">
        <f t="shared" si="469"/>
        <v>32.56666666666667</v>
      </c>
      <c r="L3443" s="24">
        <v>1025</v>
      </c>
      <c r="O3443" s="24">
        <v>813</v>
      </c>
      <c r="P3443" s="24">
        <v>977</v>
      </c>
      <c r="R3443" s="42" t="s">
        <v>1847</v>
      </c>
      <c r="S3443" s="42" t="s">
        <v>1728</v>
      </c>
      <c r="T3443" s="42"/>
      <c r="U3443" s="42" t="s">
        <v>3117</v>
      </c>
      <c r="V3443" s="42" t="s">
        <v>1379</v>
      </c>
      <c r="W3443" s="42" t="s">
        <v>1715</v>
      </c>
      <c r="X3443" s="42" t="s">
        <v>1379</v>
      </c>
      <c r="Y3443" s="42" t="s">
        <v>1379</v>
      </c>
      <c r="Z3443" s="24">
        <v>1.61</v>
      </c>
      <c r="AA3443" s="321">
        <v>47</v>
      </c>
      <c r="AB3443" s="321">
        <v>10</v>
      </c>
      <c r="AC3443" s="24" t="s">
        <v>2695</v>
      </c>
      <c r="AD3443" s="24">
        <v>5.4</v>
      </c>
      <c r="AE3443" s="24">
        <v>0.4</v>
      </c>
      <c r="AF3443" s="24">
        <f t="shared" si="470"/>
        <v>0.16251300000000002</v>
      </c>
      <c r="AG3443" s="24" t="s">
        <v>3243</v>
      </c>
      <c r="AH3443" s="24" t="s">
        <v>2770</v>
      </c>
      <c r="AI3443" s="24" t="s">
        <v>577</v>
      </c>
      <c r="AJ3443" s="24" t="s">
        <v>1645</v>
      </c>
      <c r="AK3443" s="24" t="s">
        <v>132</v>
      </c>
      <c r="AT3443" s="24" t="s">
        <v>2778</v>
      </c>
      <c r="AU3443" s="24" t="s">
        <v>2778</v>
      </c>
      <c r="AV3443" s="24" t="s">
        <v>177</v>
      </c>
      <c r="AW3443" s="24" t="s">
        <v>3240</v>
      </c>
      <c r="AX3443" s="24">
        <v>3</v>
      </c>
      <c r="AZ3443" s="24" t="s">
        <v>141</v>
      </c>
      <c r="BP3443" s="395"/>
      <c r="BQ3443" s="395"/>
      <c r="BU3443" s="395"/>
      <c r="BV3443" s="395"/>
      <c r="BZ3443" s="395"/>
      <c r="CA3443" s="395"/>
      <c r="CE3443" s="548"/>
      <c r="CF3443" s="548"/>
      <c r="CG3443" s="548"/>
      <c r="CH3443" s="548"/>
      <c r="FL3443" s="24">
        <v>398</v>
      </c>
      <c r="FM3443" s="24">
        <v>399</v>
      </c>
      <c r="FP3443" s="24" t="s">
        <v>3248</v>
      </c>
      <c r="JB3443" s="24" t="s">
        <v>3246</v>
      </c>
      <c r="JD3443" s="249"/>
    </row>
    <row r="3444" spans="1:264" s="24" customFormat="1" x14ac:dyDescent="0.25">
      <c r="A3444" s="24">
        <v>160</v>
      </c>
      <c r="B3444" s="42" t="s">
        <v>3242</v>
      </c>
      <c r="C3444" s="24" t="s">
        <v>3226</v>
      </c>
      <c r="D3444" s="24" t="s">
        <v>3227</v>
      </c>
      <c r="E3444" s="24">
        <v>2003</v>
      </c>
      <c r="F3444" s="24">
        <v>1999</v>
      </c>
      <c r="G3444" s="24" t="s">
        <v>2766</v>
      </c>
      <c r="H3444" s="24" t="s">
        <v>3241</v>
      </c>
      <c r="I3444" s="24" t="s">
        <v>2829</v>
      </c>
      <c r="J3444" s="24">
        <f t="shared" si="468"/>
        <v>-13.633333333333333</v>
      </c>
      <c r="K3444" s="24">
        <f t="shared" si="469"/>
        <v>32.56666666666667</v>
      </c>
      <c r="L3444" s="24">
        <v>1025</v>
      </c>
      <c r="O3444" s="24">
        <v>813</v>
      </c>
      <c r="P3444" s="24">
        <v>977</v>
      </c>
      <c r="R3444" s="42" t="s">
        <v>1847</v>
      </c>
      <c r="S3444" s="42" t="s">
        <v>1728</v>
      </c>
      <c r="T3444" s="42"/>
      <c r="U3444" s="42" t="s">
        <v>3117</v>
      </c>
      <c r="V3444" s="42" t="s">
        <v>1379</v>
      </c>
      <c r="W3444" s="42" t="s">
        <v>1715</v>
      </c>
      <c r="X3444" s="42" t="s">
        <v>1379</v>
      </c>
      <c r="Y3444" s="42" t="s">
        <v>1379</v>
      </c>
      <c r="Z3444" s="24">
        <v>1.61</v>
      </c>
      <c r="AA3444" s="321">
        <v>47</v>
      </c>
      <c r="AB3444" s="321">
        <v>10</v>
      </c>
      <c r="AC3444" s="24" t="s">
        <v>2695</v>
      </c>
      <c r="AD3444" s="24">
        <v>5.4</v>
      </c>
      <c r="AE3444" s="24">
        <v>0.4</v>
      </c>
      <c r="AF3444" s="24">
        <f t="shared" si="470"/>
        <v>0.16251300000000002</v>
      </c>
      <c r="AG3444" s="24" t="s">
        <v>3243</v>
      </c>
      <c r="AH3444" s="24" t="s">
        <v>2770</v>
      </c>
      <c r="AI3444" s="24" t="s">
        <v>577</v>
      </c>
      <c r="AJ3444" s="24" t="s">
        <v>1645</v>
      </c>
      <c r="AK3444" s="24" t="s">
        <v>132</v>
      </c>
      <c r="AT3444" s="24" t="s">
        <v>2778</v>
      </c>
      <c r="AU3444" s="24" t="s">
        <v>2778</v>
      </c>
      <c r="AV3444" s="24" t="s">
        <v>177</v>
      </c>
      <c r="AW3444" s="24" t="s">
        <v>3240</v>
      </c>
      <c r="AX3444" s="24">
        <v>3</v>
      </c>
      <c r="AZ3444" s="24" t="s">
        <v>141</v>
      </c>
      <c r="BP3444" s="395"/>
      <c r="BQ3444" s="395"/>
      <c r="BU3444" s="395"/>
      <c r="BV3444" s="395"/>
      <c r="BZ3444" s="395"/>
      <c r="CA3444" s="395"/>
      <c r="CE3444" s="548"/>
      <c r="CF3444" s="548"/>
      <c r="CG3444" s="548"/>
      <c r="CH3444" s="548"/>
      <c r="FL3444" s="24">
        <v>394.78</v>
      </c>
      <c r="FM3444" s="24">
        <v>399</v>
      </c>
      <c r="FP3444" s="24" t="s">
        <v>3248</v>
      </c>
      <c r="JB3444" s="24" t="s">
        <v>3246</v>
      </c>
      <c r="JD3444" s="249"/>
    </row>
    <row r="3445" spans="1:264" s="24" customFormat="1" x14ac:dyDescent="0.25">
      <c r="A3445" s="24">
        <v>160</v>
      </c>
      <c r="B3445" s="42" t="s">
        <v>3242</v>
      </c>
      <c r="C3445" s="24" t="s">
        <v>3226</v>
      </c>
      <c r="D3445" s="24" t="s">
        <v>3227</v>
      </c>
      <c r="E3445" s="24">
        <v>2003</v>
      </c>
      <c r="F3445" s="24">
        <v>1999</v>
      </c>
      <c r="G3445" s="24" t="s">
        <v>2766</v>
      </c>
      <c r="H3445" s="24" t="s">
        <v>3241</v>
      </c>
      <c r="I3445" s="24" t="s">
        <v>2829</v>
      </c>
      <c r="J3445" s="24">
        <f t="shared" si="468"/>
        <v>-13.633333333333333</v>
      </c>
      <c r="K3445" s="24">
        <f t="shared" si="469"/>
        <v>32.56666666666667</v>
      </c>
      <c r="L3445" s="24">
        <v>1025</v>
      </c>
      <c r="O3445" s="24">
        <v>813</v>
      </c>
      <c r="P3445" s="24">
        <v>977</v>
      </c>
      <c r="R3445" s="42" t="s">
        <v>1847</v>
      </c>
      <c r="S3445" s="42" t="s">
        <v>1728</v>
      </c>
      <c r="T3445" s="42"/>
      <c r="U3445" s="42" t="s">
        <v>3117</v>
      </c>
      <c r="V3445" s="42" t="s">
        <v>1379</v>
      </c>
      <c r="W3445" s="42" t="s">
        <v>1715</v>
      </c>
      <c r="X3445" s="42" t="s">
        <v>1379</v>
      </c>
      <c r="Y3445" s="42" t="s">
        <v>1379</v>
      </c>
      <c r="Z3445" s="24">
        <v>1.61</v>
      </c>
      <c r="AA3445" s="321">
        <v>47</v>
      </c>
      <c r="AB3445" s="321">
        <v>10</v>
      </c>
      <c r="AC3445" s="24" t="s">
        <v>2695</v>
      </c>
      <c r="AD3445" s="24">
        <v>5.4</v>
      </c>
      <c r="AE3445" s="24">
        <v>0.4</v>
      </c>
      <c r="AF3445" s="24">
        <f t="shared" si="470"/>
        <v>0.16251300000000002</v>
      </c>
      <c r="AG3445" s="24" t="s">
        <v>3243</v>
      </c>
      <c r="AH3445" s="24" t="s">
        <v>2770</v>
      </c>
      <c r="AI3445" s="24" t="s">
        <v>577</v>
      </c>
      <c r="AJ3445" s="24" t="s">
        <v>1645</v>
      </c>
      <c r="AK3445" s="24" t="s">
        <v>132</v>
      </c>
      <c r="AT3445" s="24" t="s">
        <v>2778</v>
      </c>
      <c r="AU3445" s="24" t="s">
        <v>2778</v>
      </c>
      <c r="AV3445" s="24" t="s">
        <v>177</v>
      </c>
      <c r="AW3445" s="24" t="s">
        <v>3240</v>
      </c>
      <c r="AX3445" s="24">
        <v>3</v>
      </c>
      <c r="AZ3445" s="24" t="s">
        <v>141</v>
      </c>
      <c r="BP3445" s="395"/>
      <c r="BQ3445" s="395"/>
      <c r="BU3445" s="395"/>
      <c r="BV3445" s="395"/>
      <c r="BZ3445" s="395"/>
      <c r="CA3445" s="395"/>
      <c r="CE3445" s="548"/>
      <c r="CF3445" s="548"/>
      <c r="CG3445" s="548"/>
      <c r="CH3445" s="548"/>
      <c r="FL3445" s="24">
        <v>393</v>
      </c>
      <c r="FM3445" s="24">
        <v>396</v>
      </c>
      <c r="FP3445" s="24" t="s">
        <v>3248</v>
      </c>
      <c r="JB3445" s="24" t="s">
        <v>3246</v>
      </c>
      <c r="JD3445" s="249"/>
    </row>
    <row r="3446" spans="1:264" s="24" customFormat="1" x14ac:dyDescent="0.25">
      <c r="A3446" s="24">
        <v>160</v>
      </c>
      <c r="B3446" s="42" t="s">
        <v>3242</v>
      </c>
      <c r="C3446" s="24" t="s">
        <v>3226</v>
      </c>
      <c r="D3446" s="24" t="s">
        <v>3227</v>
      </c>
      <c r="E3446" s="24">
        <v>2003</v>
      </c>
      <c r="F3446" s="24">
        <v>1999</v>
      </c>
      <c r="G3446" s="24" t="s">
        <v>2766</v>
      </c>
      <c r="H3446" s="24" t="s">
        <v>3241</v>
      </c>
      <c r="I3446" s="24" t="s">
        <v>2829</v>
      </c>
      <c r="J3446" s="24">
        <f t="shared" si="468"/>
        <v>-13.633333333333333</v>
      </c>
      <c r="K3446" s="24">
        <f t="shared" si="469"/>
        <v>32.56666666666667</v>
      </c>
      <c r="L3446" s="24">
        <v>1025</v>
      </c>
      <c r="O3446" s="24">
        <v>813</v>
      </c>
      <c r="P3446" s="24">
        <v>977</v>
      </c>
      <c r="R3446" s="42" t="s">
        <v>1847</v>
      </c>
      <c r="S3446" s="42" t="s">
        <v>1728</v>
      </c>
      <c r="T3446" s="42"/>
      <c r="U3446" s="42" t="s">
        <v>3117</v>
      </c>
      <c r="V3446" s="42" t="s">
        <v>1379</v>
      </c>
      <c r="W3446" s="42" t="s">
        <v>1715</v>
      </c>
      <c r="X3446" s="42" t="s">
        <v>1379</v>
      </c>
      <c r="Y3446" s="42" t="s">
        <v>1379</v>
      </c>
      <c r="Z3446" s="24">
        <v>1.61</v>
      </c>
      <c r="AA3446" s="321">
        <v>47</v>
      </c>
      <c r="AB3446" s="321">
        <v>10</v>
      </c>
      <c r="AC3446" s="24" t="s">
        <v>2695</v>
      </c>
      <c r="AD3446" s="24">
        <v>5.4</v>
      </c>
      <c r="AE3446" s="24">
        <v>0.4</v>
      </c>
      <c r="AF3446" s="24">
        <f t="shared" si="470"/>
        <v>0.16251300000000002</v>
      </c>
      <c r="AG3446" s="24" t="s">
        <v>3243</v>
      </c>
      <c r="AH3446" s="24" t="s">
        <v>2770</v>
      </c>
      <c r="AI3446" s="24" t="s">
        <v>577</v>
      </c>
      <c r="AJ3446" s="24" t="s">
        <v>1645</v>
      </c>
      <c r="AK3446" s="24" t="s">
        <v>132</v>
      </c>
      <c r="AT3446" s="24" t="s">
        <v>2778</v>
      </c>
      <c r="AU3446" s="24" t="s">
        <v>2778</v>
      </c>
      <c r="AV3446" s="24" t="s">
        <v>177</v>
      </c>
      <c r="AW3446" s="24" t="s">
        <v>3240</v>
      </c>
      <c r="AX3446" s="24">
        <v>3</v>
      </c>
      <c r="AZ3446" s="24" t="s">
        <v>141</v>
      </c>
      <c r="BP3446" s="395"/>
      <c r="BQ3446" s="395"/>
      <c r="BU3446" s="395"/>
      <c r="BV3446" s="395"/>
      <c r="BZ3446" s="395"/>
      <c r="CA3446" s="395"/>
      <c r="CE3446" s="548"/>
      <c r="CF3446" s="548"/>
      <c r="CG3446" s="548"/>
      <c r="CH3446" s="548"/>
      <c r="FL3446" s="24">
        <v>390</v>
      </c>
      <c r="FM3446" s="24">
        <v>394</v>
      </c>
      <c r="FP3446" s="24" t="s">
        <v>3248</v>
      </c>
      <c r="JB3446" s="24" t="s">
        <v>3246</v>
      </c>
      <c r="JD3446" s="249"/>
    </row>
    <row r="3447" spans="1:264" s="126" customFormat="1" x14ac:dyDescent="0.25">
      <c r="A3447" s="126">
        <v>161</v>
      </c>
      <c r="B3447" s="478" t="s">
        <v>3256</v>
      </c>
      <c r="C3447" s="126" t="s">
        <v>3254</v>
      </c>
      <c r="D3447" s="126" t="s">
        <v>3255</v>
      </c>
      <c r="E3447" s="126">
        <v>2001</v>
      </c>
      <c r="F3447" s="478" t="s">
        <v>3264</v>
      </c>
      <c r="G3447" s="126" t="s">
        <v>2696</v>
      </c>
      <c r="H3447" s="126" t="s">
        <v>2913</v>
      </c>
      <c r="I3447" s="126" t="s">
        <v>2836</v>
      </c>
      <c r="J3447" s="126">
        <v>0.28999999999999998</v>
      </c>
      <c r="K3447" s="126">
        <f t="shared" ref="K3447:K3454" si="471">34+44/60</f>
        <v>34.733333333333334</v>
      </c>
      <c r="L3447" s="126">
        <v>1420</v>
      </c>
      <c r="O3447" s="126">
        <f>1145+770</f>
        <v>1915</v>
      </c>
      <c r="P3447" s="126">
        <v>1800</v>
      </c>
      <c r="R3447" s="478" t="s">
        <v>1847</v>
      </c>
      <c r="S3447" s="478" t="s">
        <v>1858</v>
      </c>
      <c r="T3447" s="478"/>
      <c r="U3447" s="478" t="s">
        <v>1962</v>
      </c>
      <c r="V3447" s="478" t="s">
        <v>1382</v>
      </c>
      <c r="W3447" s="478" t="s">
        <v>1717</v>
      </c>
      <c r="X3447" s="478" t="s">
        <v>1382</v>
      </c>
      <c r="Y3447" s="478" t="s">
        <v>1382</v>
      </c>
      <c r="AA3447" s="479">
        <v>43</v>
      </c>
      <c r="AB3447" s="479">
        <v>30</v>
      </c>
      <c r="AC3447" s="126" t="s">
        <v>518</v>
      </c>
      <c r="AD3447" s="126">
        <v>5.3</v>
      </c>
      <c r="AE3447" s="126">
        <v>1.71</v>
      </c>
      <c r="AG3447" s="126" t="s">
        <v>2988</v>
      </c>
      <c r="AH3447" s="126" t="s">
        <v>2921</v>
      </c>
      <c r="AI3447" s="126" t="s">
        <v>577</v>
      </c>
      <c r="AJ3447" s="126" t="s">
        <v>1645</v>
      </c>
      <c r="AK3447" s="126" t="s">
        <v>132</v>
      </c>
      <c r="AT3447" s="126" t="s">
        <v>3257</v>
      </c>
      <c r="AU3447" s="126" t="s">
        <v>3257</v>
      </c>
      <c r="AV3447" s="126" t="s">
        <v>177</v>
      </c>
      <c r="AW3447" s="126" t="s">
        <v>3249</v>
      </c>
      <c r="AX3447" s="126">
        <v>4</v>
      </c>
      <c r="AZ3447" s="126" t="s">
        <v>141</v>
      </c>
      <c r="BE3447" s="126" t="s">
        <v>3262</v>
      </c>
      <c r="BF3447" s="126">
        <v>1240</v>
      </c>
      <c r="BG3447" s="126">
        <v>3300</v>
      </c>
      <c r="BJ3447" s="126" t="s">
        <v>2941</v>
      </c>
      <c r="BK3447" s="126">
        <v>310</v>
      </c>
      <c r="BL3447" s="126">
        <v>1600</v>
      </c>
      <c r="BP3447" s="481"/>
      <c r="BQ3447" s="481"/>
      <c r="BU3447" s="481"/>
      <c r="BV3447" s="481"/>
      <c r="BZ3447" s="481"/>
      <c r="CA3447" s="481"/>
      <c r="CE3447" s="605"/>
      <c r="CF3447" s="605"/>
      <c r="CG3447" s="605"/>
      <c r="CH3447" s="605"/>
      <c r="JD3447" s="480"/>
    </row>
    <row r="3448" spans="1:264" s="126" customFormat="1" x14ac:dyDescent="0.25">
      <c r="A3448" s="126">
        <v>161</v>
      </c>
      <c r="B3448" s="478" t="s">
        <v>3256</v>
      </c>
      <c r="C3448" s="126" t="s">
        <v>3254</v>
      </c>
      <c r="D3448" s="126" t="s">
        <v>3255</v>
      </c>
      <c r="E3448" s="126">
        <v>2001</v>
      </c>
      <c r="F3448" s="478" t="s">
        <v>3264</v>
      </c>
      <c r="G3448" s="126" t="s">
        <v>2696</v>
      </c>
      <c r="H3448" s="126" t="s">
        <v>2913</v>
      </c>
      <c r="I3448" s="126" t="s">
        <v>2836</v>
      </c>
      <c r="J3448" s="126">
        <v>0.28999999999999998</v>
      </c>
      <c r="K3448" s="126">
        <f t="shared" si="471"/>
        <v>34.733333333333334</v>
      </c>
      <c r="L3448" s="126">
        <v>1420</v>
      </c>
      <c r="O3448" s="126">
        <f t="shared" ref="O3448:O3458" si="472">1145+770</f>
        <v>1915</v>
      </c>
      <c r="P3448" s="126">
        <v>1800</v>
      </c>
      <c r="R3448" s="478" t="s">
        <v>1847</v>
      </c>
      <c r="S3448" s="478" t="s">
        <v>1858</v>
      </c>
      <c r="T3448" s="478"/>
      <c r="U3448" s="478" t="s">
        <v>1962</v>
      </c>
      <c r="V3448" s="478" t="s">
        <v>1382</v>
      </c>
      <c r="W3448" s="478" t="s">
        <v>1717</v>
      </c>
      <c r="X3448" s="478" t="s">
        <v>1382</v>
      </c>
      <c r="Y3448" s="478" t="s">
        <v>1382</v>
      </c>
      <c r="AA3448" s="479">
        <v>43</v>
      </c>
      <c r="AB3448" s="479">
        <v>30</v>
      </c>
      <c r="AC3448" s="126" t="s">
        <v>518</v>
      </c>
      <c r="AD3448" s="126">
        <v>5.3</v>
      </c>
      <c r="AE3448" s="126">
        <v>1.71</v>
      </c>
      <c r="AG3448" s="126" t="s">
        <v>2988</v>
      </c>
      <c r="AH3448" s="126" t="s">
        <v>2921</v>
      </c>
      <c r="AI3448" s="126" t="s">
        <v>577</v>
      </c>
      <c r="AJ3448" s="126" t="s">
        <v>1645</v>
      </c>
      <c r="AK3448" s="126" t="s">
        <v>132</v>
      </c>
      <c r="AT3448" s="126" t="s">
        <v>3259</v>
      </c>
      <c r="AU3448" s="126" t="s">
        <v>3259</v>
      </c>
      <c r="AV3448" s="126" t="s">
        <v>177</v>
      </c>
      <c r="AW3448" s="126" t="s">
        <v>3249</v>
      </c>
      <c r="AX3448" s="126">
        <v>4</v>
      </c>
      <c r="AZ3448" s="126" t="s">
        <v>141</v>
      </c>
      <c r="BE3448" s="126" t="s">
        <v>3262</v>
      </c>
      <c r="BF3448" s="126">
        <v>3260</v>
      </c>
      <c r="BG3448" s="126">
        <v>6230</v>
      </c>
      <c r="BJ3448" s="126" t="s">
        <v>2941</v>
      </c>
      <c r="BK3448" s="126">
        <v>670</v>
      </c>
      <c r="BL3448" s="126">
        <v>2110</v>
      </c>
      <c r="BP3448" s="481"/>
      <c r="BQ3448" s="481"/>
      <c r="BU3448" s="481"/>
      <c r="BV3448" s="481"/>
      <c r="BZ3448" s="481"/>
      <c r="CA3448" s="481"/>
      <c r="CE3448" s="605"/>
      <c r="CF3448" s="605"/>
      <c r="CG3448" s="605"/>
      <c r="CH3448" s="605"/>
      <c r="JD3448" s="480"/>
    </row>
    <row r="3449" spans="1:264" s="126" customFormat="1" x14ac:dyDescent="0.25">
      <c r="A3449" s="126">
        <v>161</v>
      </c>
      <c r="B3449" s="478" t="s">
        <v>3256</v>
      </c>
      <c r="C3449" s="126" t="s">
        <v>3254</v>
      </c>
      <c r="D3449" s="126" t="s">
        <v>3255</v>
      </c>
      <c r="E3449" s="126">
        <v>2001</v>
      </c>
      <c r="F3449" s="478" t="s">
        <v>3264</v>
      </c>
      <c r="G3449" s="126" t="s">
        <v>2696</v>
      </c>
      <c r="H3449" s="126" t="s">
        <v>2913</v>
      </c>
      <c r="I3449" s="126" t="s">
        <v>2836</v>
      </c>
      <c r="J3449" s="126">
        <v>0.28999999999999998</v>
      </c>
      <c r="K3449" s="126">
        <f t="shared" si="471"/>
        <v>34.733333333333334</v>
      </c>
      <c r="L3449" s="126">
        <v>1420</v>
      </c>
      <c r="O3449" s="126">
        <f t="shared" si="472"/>
        <v>1915</v>
      </c>
      <c r="P3449" s="126">
        <v>1800</v>
      </c>
      <c r="R3449" s="478" t="s">
        <v>1847</v>
      </c>
      <c r="S3449" s="478" t="s">
        <v>1858</v>
      </c>
      <c r="T3449" s="478"/>
      <c r="U3449" s="478" t="s">
        <v>1962</v>
      </c>
      <c r="V3449" s="478" t="s">
        <v>1382</v>
      </c>
      <c r="W3449" s="478" t="s">
        <v>1717</v>
      </c>
      <c r="X3449" s="478" t="s">
        <v>1382</v>
      </c>
      <c r="Y3449" s="478" t="s">
        <v>1382</v>
      </c>
      <c r="AA3449" s="479">
        <v>43</v>
      </c>
      <c r="AB3449" s="479">
        <v>30</v>
      </c>
      <c r="AC3449" s="126" t="s">
        <v>518</v>
      </c>
      <c r="AD3449" s="126">
        <v>5.3</v>
      </c>
      <c r="AE3449" s="126">
        <v>1.71</v>
      </c>
      <c r="AG3449" s="126" t="s">
        <v>2988</v>
      </c>
      <c r="AH3449" s="126" t="s">
        <v>2921</v>
      </c>
      <c r="AI3449" s="126" t="s">
        <v>577</v>
      </c>
      <c r="AJ3449" s="126" t="s">
        <v>1645</v>
      </c>
      <c r="AK3449" s="126" t="s">
        <v>132</v>
      </c>
      <c r="AT3449" s="126" t="s">
        <v>3260</v>
      </c>
      <c r="AU3449" s="126" t="s">
        <v>3260</v>
      </c>
      <c r="AV3449" s="126" t="s">
        <v>177</v>
      </c>
      <c r="AW3449" s="126" t="s">
        <v>3249</v>
      </c>
      <c r="AX3449" s="126">
        <v>4</v>
      </c>
      <c r="AZ3449" s="126" t="s">
        <v>141</v>
      </c>
      <c r="BE3449" s="126" t="s">
        <v>3262</v>
      </c>
      <c r="BF3449" s="126">
        <v>1800</v>
      </c>
      <c r="BG3449" s="126">
        <v>3720</v>
      </c>
      <c r="BJ3449" s="126" t="s">
        <v>2941</v>
      </c>
      <c r="BK3449" s="126">
        <v>340</v>
      </c>
      <c r="BL3449" s="126">
        <v>1260</v>
      </c>
      <c r="BP3449" s="481"/>
      <c r="BQ3449" s="481"/>
      <c r="BU3449" s="481"/>
      <c r="BV3449" s="481"/>
      <c r="BZ3449" s="481"/>
      <c r="CA3449" s="481"/>
      <c r="CE3449" s="605"/>
      <c r="CF3449" s="605"/>
      <c r="CG3449" s="605"/>
      <c r="CH3449" s="605"/>
      <c r="JD3449" s="480"/>
    </row>
    <row r="3450" spans="1:264" s="126" customFormat="1" x14ac:dyDescent="0.25">
      <c r="A3450" s="126">
        <v>161</v>
      </c>
      <c r="B3450" s="478" t="s">
        <v>3256</v>
      </c>
      <c r="C3450" s="126" t="s">
        <v>3254</v>
      </c>
      <c r="D3450" s="126" t="s">
        <v>3255</v>
      </c>
      <c r="E3450" s="126">
        <v>2001</v>
      </c>
      <c r="F3450" s="478" t="s">
        <v>3264</v>
      </c>
      <c r="G3450" s="126" t="s">
        <v>2696</v>
      </c>
      <c r="H3450" s="126" t="s">
        <v>2913</v>
      </c>
      <c r="I3450" s="126" t="s">
        <v>2836</v>
      </c>
      <c r="J3450" s="126">
        <v>0.28999999999999998</v>
      </c>
      <c r="K3450" s="126">
        <f t="shared" si="471"/>
        <v>34.733333333333334</v>
      </c>
      <c r="L3450" s="126">
        <v>1420</v>
      </c>
      <c r="O3450" s="126">
        <f t="shared" si="472"/>
        <v>1915</v>
      </c>
      <c r="P3450" s="126">
        <v>1800</v>
      </c>
      <c r="R3450" s="478" t="s">
        <v>1847</v>
      </c>
      <c r="S3450" s="478" t="s">
        <v>1858</v>
      </c>
      <c r="T3450" s="478"/>
      <c r="U3450" s="478" t="s">
        <v>1962</v>
      </c>
      <c r="V3450" s="478" t="s">
        <v>1382</v>
      </c>
      <c r="W3450" s="478" t="s">
        <v>1717</v>
      </c>
      <c r="X3450" s="478" t="s">
        <v>1382</v>
      </c>
      <c r="Y3450" s="478" t="s">
        <v>1382</v>
      </c>
      <c r="AA3450" s="479">
        <v>43</v>
      </c>
      <c r="AB3450" s="479">
        <v>30</v>
      </c>
      <c r="AC3450" s="126" t="s">
        <v>518</v>
      </c>
      <c r="AD3450" s="126">
        <v>5.3</v>
      </c>
      <c r="AE3450" s="126">
        <v>1.71</v>
      </c>
      <c r="AG3450" s="126" t="s">
        <v>2988</v>
      </c>
      <c r="AH3450" s="126" t="s">
        <v>2921</v>
      </c>
      <c r="AI3450" s="126" t="s">
        <v>577</v>
      </c>
      <c r="AJ3450" s="126" t="s">
        <v>1645</v>
      </c>
      <c r="AK3450" s="126" t="s">
        <v>132</v>
      </c>
      <c r="AT3450" s="126" t="s">
        <v>3261</v>
      </c>
      <c r="AU3450" s="126" t="s">
        <v>3261</v>
      </c>
      <c r="AV3450" s="126" t="s">
        <v>177</v>
      </c>
      <c r="AW3450" s="126" t="s">
        <v>3249</v>
      </c>
      <c r="AX3450" s="126">
        <v>4</v>
      </c>
      <c r="AZ3450" s="126" t="s">
        <v>141</v>
      </c>
      <c r="BE3450" s="126" t="s">
        <v>3262</v>
      </c>
      <c r="BF3450" s="126">
        <v>5250</v>
      </c>
      <c r="BG3450" s="126">
        <v>6870</v>
      </c>
      <c r="BJ3450" s="126" t="s">
        <v>2941</v>
      </c>
      <c r="BK3450" s="126">
        <v>750</v>
      </c>
      <c r="BL3450" s="126">
        <v>1970</v>
      </c>
      <c r="BP3450" s="481"/>
      <c r="BQ3450" s="481"/>
      <c r="BU3450" s="481"/>
      <c r="BV3450" s="481"/>
      <c r="BZ3450" s="481"/>
      <c r="CA3450" s="481"/>
      <c r="CE3450" s="605"/>
      <c r="CF3450" s="605"/>
      <c r="CG3450" s="605"/>
      <c r="CH3450" s="605"/>
      <c r="JD3450" s="480"/>
    </row>
    <row r="3451" spans="1:264" s="36" customFormat="1" x14ac:dyDescent="0.25">
      <c r="A3451" s="36">
        <v>161</v>
      </c>
      <c r="B3451" s="51" t="s">
        <v>3256</v>
      </c>
      <c r="C3451" s="36" t="s">
        <v>3254</v>
      </c>
      <c r="D3451" s="36" t="s">
        <v>3255</v>
      </c>
      <c r="E3451" s="36">
        <v>2001</v>
      </c>
      <c r="F3451" s="51" t="s">
        <v>3264</v>
      </c>
      <c r="G3451" s="36" t="s">
        <v>2696</v>
      </c>
      <c r="H3451" s="36" t="s">
        <v>2913</v>
      </c>
      <c r="I3451" s="36" t="s">
        <v>2836</v>
      </c>
      <c r="J3451" s="36">
        <v>0.28999999999999998</v>
      </c>
      <c r="K3451" s="36">
        <f t="shared" si="471"/>
        <v>34.733333333333334</v>
      </c>
      <c r="L3451" s="36">
        <v>1420</v>
      </c>
      <c r="O3451" s="36">
        <v>1915</v>
      </c>
      <c r="P3451" s="36">
        <v>1800</v>
      </c>
      <c r="R3451" s="51" t="s">
        <v>1847</v>
      </c>
      <c r="S3451" s="51" t="s">
        <v>1858</v>
      </c>
      <c r="T3451" s="51"/>
      <c r="U3451" s="51" t="s">
        <v>1962</v>
      </c>
      <c r="V3451" s="51" t="s">
        <v>1382</v>
      </c>
      <c r="W3451" s="51" t="s">
        <v>1717</v>
      </c>
      <c r="X3451" s="51" t="s">
        <v>1382</v>
      </c>
      <c r="Y3451" s="51" t="s">
        <v>1382</v>
      </c>
      <c r="AA3451" s="331">
        <v>43</v>
      </c>
      <c r="AB3451" s="331">
        <v>30</v>
      </c>
      <c r="AC3451" s="36" t="s">
        <v>518</v>
      </c>
      <c r="AD3451" s="36">
        <v>5.3</v>
      </c>
      <c r="AE3451" s="36">
        <v>1.71</v>
      </c>
      <c r="AG3451" s="36" t="s">
        <v>2988</v>
      </c>
      <c r="AH3451" s="36" t="s">
        <v>2921</v>
      </c>
      <c r="AI3451" s="36" t="s">
        <v>577</v>
      </c>
      <c r="AJ3451" s="36" t="s">
        <v>1645</v>
      </c>
      <c r="AK3451" s="36" t="s">
        <v>132</v>
      </c>
      <c r="AT3451" s="36" t="s">
        <v>3257</v>
      </c>
      <c r="AU3451" s="36" t="s">
        <v>3257</v>
      </c>
      <c r="AV3451" s="36" t="s">
        <v>177</v>
      </c>
      <c r="AW3451" s="36" t="s">
        <v>3249</v>
      </c>
      <c r="AX3451" s="36">
        <v>4</v>
      </c>
      <c r="AZ3451" s="36" t="s">
        <v>141</v>
      </c>
      <c r="BE3451" s="36" t="s">
        <v>3263</v>
      </c>
      <c r="BF3451" s="36">
        <v>530</v>
      </c>
      <c r="BG3451" s="36">
        <v>900</v>
      </c>
      <c r="BJ3451" s="36" t="s">
        <v>2941</v>
      </c>
      <c r="BK3451" s="36">
        <v>480</v>
      </c>
      <c r="BL3451" s="36">
        <v>490</v>
      </c>
      <c r="BP3451" s="407"/>
      <c r="BQ3451" s="407"/>
      <c r="BU3451" s="407"/>
      <c r="BV3451" s="407"/>
      <c r="BZ3451" s="407"/>
      <c r="CA3451" s="407"/>
      <c r="CE3451" s="560"/>
      <c r="CF3451" s="560"/>
      <c r="CG3451" s="560"/>
      <c r="CH3451" s="560"/>
      <c r="JD3451" s="230"/>
    </row>
    <row r="3452" spans="1:264" s="36" customFormat="1" x14ac:dyDescent="0.25">
      <c r="A3452" s="36">
        <v>161</v>
      </c>
      <c r="B3452" s="51" t="s">
        <v>3256</v>
      </c>
      <c r="C3452" s="36" t="s">
        <v>3254</v>
      </c>
      <c r="D3452" s="36" t="s">
        <v>3255</v>
      </c>
      <c r="E3452" s="36">
        <v>2001</v>
      </c>
      <c r="F3452" s="51" t="s">
        <v>3264</v>
      </c>
      <c r="G3452" s="36" t="s">
        <v>2696</v>
      </c>
      <c r="H3452" s="36" t="s">
        <v>2913</v>
      </c>
      <c r="I3452" s="36" t="s">
        <v>2836</v>
      </c>
      <c r="J3452" s="36">
        <v>0.28999999999999998</v>
      </c>
      <c r="K3452" s="36">
        <f t="shared" si="471"/>
        <v>34.733333333333334</v>
      </c>
      <c r="L3452" s="36">
        <v>1420</v>
      </c>
      <c r="O3452" s="36">
        <v>1915</v>
      </c>
      <c r="P3452" s="36">
        <v>1800</v>
      </c>
      <c r="R3452" s="51" t="s">
        <v>1847</v>
      </c>
      <c r="S3452" s="51" t="s">
        <v>1858</v>
      </c>
      <c r="T3452" s="51"/>
      <c r="U3452" s="51" t="s">
        <v>1962</v>
      </c>
      <c r="V3452" s="51" t="s">
        <v>1382</v>
      </c>
      <c r="W3452" s="51" t="s">
        <v>1717</v>
      </c>
      <c r="X3452" s="51" t="s">
        <v>1382</v>
      </c>
      <c r="Y3452" s="51" t="s">
        <v>1382</v>
      </c>
      <c r="AA3452" s="331">
        <v>43</v>
      </c>
      <c r="AB3452" s="331">
        <v>30</v>
      </c>
      <c r="AC3452" s="36" t="s">
        <v>518</v>
      </c>
      <c r="AD3452" s="36">
        <v>5.3</v>
      </c>
      <c r="AE3452" s="36">
        <v>1.71</v>
      </c>
      <c r="AG3452" s="36" t="s">
        <v>2988</v>
      </c>
      <c r="AH3452" s="36" t="s">
        <v>2921</v>
      </c>
      <c r="AI3452" s="36" t="s">
        <v>577</v>
      </c>
      <c r="AJ3452" s="36" t="s">
        <v>1645</v>
      </c>
      <c r="AK3452" s="36" t="s">
        <v>132</v>
      </c>
      <c r="AT3452" s="36" t="s">
        <v>3259</v>
      </c>
      <c r="AU3452" s="36" t="s">
        <v>3259</v>
      </c>
      <c r="AV3452" s="36" t="s">
        <v>177</v>
      </c>
      <c r="AW3452" s="36" t="s">
        <v>3249</v>
      </c>
      <c r="AX3452" s="36">
        <v>4</v>
      </c>
      <c r="AZ3452" s="36" t="s">
        <v>141</v>
      </c>
      <c r="BE3452" s="36" t="s">
        <v>3263</v>
      </c>
      <c r="BF3452" s="36">
        <v>1070</v>
      </c>
      <c r="BG3452" s="36">
        <v>2070</v>
      </c>
      <c r="BJ3452" s="36" t="s">
        <v>2941</v>
      </c>
      <c r="BK3452" s="36">
        <v>890</v>
      </c>
      <c r="BL3452" s="36">
        <v>1800</v>
      </c>
      <c r="BP3452" s="407"/>
      <c r="BQ3452" s="407"/>
      <c r="BU3452" s="407"/>
      <c r="BV3452" s="407"/>
      <c r="BZ3452" s="407"/>
      <c r="CA3452" s="407"/>
      <c r="CE3452" s="560"/>
      <c r="CF3452" s="560"/>
      <c r="CG3452" s="560"/>
      <c r="CH3452" s="560"/>
      <c r="JD3452" s="230"/>
    </row>
    <row r="3453" spans="1:264" s="36" customFormat="1" x14ac:dyDescent="0.25">
      <c r="A3453" s="36">
        <v>161</v>
      </c>
      <c r="B3453" s="51" t="s">
        <v>3256</v>
      </c>
      <c r="C3453" s="36" t="s">
        <v>3254</v>
      </c>
      <c r="D3453" s="36" t="s">
        <v>3255</v>
      </c>
      <c r="E3453" s="36">
        <v>2001</v>
      </c>
      <c r="F3453" s="51" t="s">
        <v>3264</v>
      </c>
      <c r="G3453" s="36" t="s">
        <v>2696</v>
      </c>
      <c r="H3453" s="36" t="s">
        <v>2913</v>
      </c>
      <c r="I3453" s="36" t="s">
        <v>2836</v>
      </c>
      <c r="J3453" s="36">
        <v>0.28999999999999998</v>
      </c>
      <c r="K3453" s="36">
        <f t="shared" si="471"/>
        <v>34.733333333333334</v>
      </c>
      <c r="L3453" s="36">
        <v>1420</v>
      </c>
      <c r="O3453" s="36">
        <v>1915</v>
      </c>
      <c r="P3453" s="36">
        <v>1800</v>
      </c>
      <c r="R3453" s="51" t="s">
        <v>1847</v>
      </c>
      <c r="S3453" s="51" t="s">
        <v>1858</v>
      </c>
      <c r="T3453" s="51"/>
      <c r="U3453" s="51" t="s">
        <v>1962</v>
      </c>
      <c r="V3453" s="51" t="s">
        <v>1382</v>
      </c>
      <c r="W3453" s="51" t="s">
        <v>1717</v>
      </c>
      <c r="X3453" s="51" t="s">
        <v>1382</v>
      </c>
      <c r="Y3453" s="51" t="s">
        <v>1382</v>
      </c>
      <c r="AA3453" s="331">
        <v>43</v>
      </c>
      <c r="AB3453" s="331">
        <v>30</v>
      </c>
      <c r="AC3453" s="36" t="s">
        <v>518</v>
      </c>
      <c r="AD3453" s="36">
        <v>5.3</v>
      </c>
      <c r="AE3453" s="36">
        <v>1.71</v>
      </c>
      <c r="AG3453" s="36" t="s">
        <v>2988</v>
      </c>
      <c r="AH3453" s="36" t="s">
        <v>2921</v>
      </c>
      <c r="AI3453" s="36" t="s">
        <v>577</v>
      </c>
      <c r="AJ3453" s="36" t="s">
        <v>1645</v>
      </c>
      <c r="AK3453" s="36" t="s">
        <v>132</v>
      </c>
      <c r="AT3453" s="36" t="s">
        <v>3260</v>
      </c>
      <c r="AU3453" s="36" t="s">
        <v>3260</v>
      </c>
      <c r="AV3453" s="36" t="s">
        <v>177</v>
      </c>
      <c r="AW3453" s="36" t="s">
        <v>3249</v>
      </c>
      <c r="AX3453" s="36">
        <v>4</v>
      </c>
      <c r="AZ3453" s="36" t="s">
        <v>141</v>
      </c>
      <c r="BE3453" s="36" t="s">
        <v>3263</v>
      </c>
      <c r="BF3453" s="36">
        <v>750</v>
      </c>
      <c r="BG3453" s="36">
        <v>670</v>
      </c>
      <c r="BJ3453" s="36" t="s">
        <v>2941</v>
      </c>
      <c r="BK3453" s="36">
        <v>200</v>
      </c>
      <c r="BL3453" s="36">
        <v>380</v>
      </c>
      <c r="BP3453" s="407"/>
      <c r="BQ3453" s="407"/>
      <c r="BU3453" s="407"/>
      <c r="BV3453" s="407"/>
      <c r="BZ3453" s="407"/>
      <c r="CA3453" s="407"/>
      <c r="CE3453" s="560"/>
      <c r="CF3453" s="560"/>
      <c r="CG3453" s="560"/>
      <c r="CH3453" s="560"/>
      <c r="JD3453" s="230"/>
    </row>
    <row r="3454" spans="1:264" s="36" customFormat="1" x14ac:dyDescent="0.25">
      <c r="A3454" s="36">
        <v>161</v>
      </c>
      <c r="B3454" s="51" t="s">
        <v>3256</v>
      </c>
      <c r="C3454" s="36" t="s">
        <v>3254</v>
      </c>
      <c r="D3454" s="36" t="s">
        <v>3255</v>
      </c>
      <c r="E3454" s="36">
        <v>2001</v>
      </c>
      <c r="F3454" s="51" t="s">
        <v>3264</v>
      </c>
      <c r="G3454" s="36" t="s">
        <v>2696</v>
      </c>
      <c r="H3454" s="36" t="s">
        <v>2913</v>
      </c>
      <c r="I3454" s="36" t="s">
        <v>2836</v>
      </c>
      <c r="J3454" s="36">
        <v>0.28999999999999998</v>
      </c>
      <c r="K3454" s="36">
        <f t="shared" si="471"/>
        <v>34.733333333333334</v>
      </c>
      <c r="L3454" s="36">
        <v>1420</v>
      </c>
      <c r="O3454" s="36">
        <v>1915</v>
      </c>
      <c r="P3454" s="36">
        <v>1800</v>
      </c>
      <c r="R3454" s="51" t="s">
        <v>1847</v>
      </c>
      <c r="S3454" s="51" t="s">
        <v>1858</v>
      </c>
      <c r="T3454" s="51"/>
      <c r="U3454" s="51" t="s">
        <v>1962</v>
      </c>
      <c r="V3454" s="51" t="s">
        <v>1382</v>
      </c>
      <c r="W3454" s="51" t="s">
        <v>1717</v>
      </c>
      <c r="X3454" s="51" t="s">
        <v>1382</v>
      </c>
      <c r="Y3454" s="51" t="s">
        <v>1382</v>
      </c>
      <c r="AA3454" s="331">
        <v>43</v>
      </c>
      <c r="AB3454" s="331">
        <v>30</v>
      </c>
      <c r="AC3454" s="36" t="s">
        <v>518</v>
      </c>
      <c r="AD3454" s="36">
        <v>5.3</v>
      </c>
      <c r="AE3454" s="36">
        <v>1.71</v>
      </c>
      <c r="AG3454" s="36" t="s">
        <v>2988</v>
      </c>
      <c r="AH3454" s="36" t="s">
        <v>2921</v>
      </c>
      <c r="AI3454" s="36" t="s">
        <v>577</v>
      </c>
      <c r="AJ3454" s="36" t="s">
        <v>1645</v>
      </c>
      <c r="AK3454" s="36" t="s">
        <v>132</v>
      </c>
      <c r="AT3454" s="36" t="s">
        <v>3261</v>
      </c>
      <c r="AU3454" s="36" t="s">
        <v>3261</v>
      </c>
      <c r="AV3454" s="36" t="s">
        <v>177</v>
      </c>
      <c r="AW3454" s="36" t="s">
        <v>3249</v>
      </c>
      <c r="AX3454" s="36">
        <v>4</v>
      </c>
      <c r="AZ3454" s="36" t="s">
        <v>141</v>
      </c>
      <c r="BE3454" s="36" t="s">
        <v>3263</v>
      </c>
      <c r="BF3454" s="36">
        <v>2050</v>
      </c>
      <c r="BG3454" s="36">
        <v>2330</v>
      </c>
      <c r="BJ3454" s="36" t="s">
        <v>2941</v>
      </c>
      <c r="BK3454" s="36">
        <v>1500</v>
      </c>
      <c r="BL3454" s="36">
        <v>2420</v>
      </c>
      <c r="BP3454" s="407"/>
      <c r="BQ3454" s="407"/>
      <c r="BU3454" s="407"/>
      <c r="BV3454" s="407"/>
      <c r="BZ3454" s="407"/>
      <c r="CA3454" s="407"/>
      <c r="CE3454" s="560"/>
      <c r="CF3454" s="560"/>
      <c r="CG3454" s="560"/>
      <c r="CH3454" s="560"/>
      <c r="JD3454" s="230"/>
    </row>
    <row r="3455" spans="1:264" s="126" customFormat="1" x14ac:dyDescent="0.25">
      <c r="A3455" s="126">
        <v>161</v>
      </c>
      <c r="B3455" s="478" t="s">
        <v>3265</v>
      </c>
      <c r="C3455" s="126" t="s">
        <v>3254</v>
      </c>
      <c r="D3455" s="126" t="s">
        <v>3255</v>
      </c>
      <c r="E3455" s="126">
        <v>2001</v>
      </c>
      <c r="F3455" s="478" t="s">
        <v>1976</v>
      </c>
      <c r="G3455" s="126" t="s">
        <v>2696</v>
      </c>
      <c r="H3455" s="126" t="s">
        <v>3215</v>
      </c>
      <c r="I3455" s="126" t="s">
        <v>2836</v>
      </c>
      <c r="J3455" s="126">
        <v>-7.0000000000000001E-3</v>
      </c>
      <c r="K3455" s="126">
        <v>34.6</v>
      </c>
      <c r="L3455" s="126">
        <v>1523.8</v>
      </c>
      <c r="O3455" s="126">
        <f>1145+770</f>
        <v>1915</v>
      </c>
      <c r="P3455" s="126">
        <v>1800</v>
      </c>
      <c r="R3455" s="478" t="s">
        <v>1728</v>
      </c>
      <c r="S3455" s="478" t="s">
        <v>1858</v>
      </c>
      <c r="T3455" s="478"/>
      <c r="U3455" s="478" t="s">
        <v>1962</v>
      </c>
      <c r="V3455" s="478" t="s">
        <v>1382</v>
      </c>
      <c r="W3455" s="478" t="s">
        <v>1717</v>
      </c>
      <c r="X3455" s="478" t="s">
        <v>1382</v>
      </c>
      <c r="Y3455" s="478" t="s">
        <v>1382</v>
      </c>
      <c r="AA3455" s="479">
        <v>43</v>
      </c>
      <c r="AB3455" s="479">
        <v>30</v>
      </c>
      <c r="AC3455" s="126" t="s">
        <v>518</v>
      </c>
      <c r="AD3455" s="126">
        <v>5.3</v>
      </c>
      <c r="AE3455" s="126">
        <v>1.71</v>
      </c>
      <c r="AG3455" s="126" t="s">
        <v>2988</v>
      </c>
      <c r="AH3455" s="126" t="s">
        <v>2921</v>
      </c>
      <c r="AI3455" s="126" t="s">
        <v>577</v>
      </c>
      <c r="AJ3455" s="126" t="s">
        <v>1645</v>
      </c>
      <c r="AK3455" s="126" t="s">
        <v>132</v>
      </c>
      <c r="AT3455" s="126" t="s">
        <v>3257</v>
      </c>
      <c r="AU3455" s="126" t="s">
        <v>3257</v>
      </c>
      <c r="AV3455" s="126" t="s">
        <v>177</v>
      </c>
      <c r="AW3455" s="126" t="s">
        <v>3249</v>
      </c>
      <c r="AX3455" s="126">
        <v>4</v>
      </c>
      <c r="AZ3455" s="126" t="s">
        <v>141</v>
      </c>
      <c r="BE3455" s="126" t="s">
        <v>3266</v>
      </c>
      <c r="BF3455" s="126">
        <v>2080</v>
      </c>
      <c r="BG3455" s="126">
        <v>2370</v>
      </c>
      <c r="BJ3455" s="126" t="s">
        <v>2941</v>
      </c>
      <c r="BK3455" s="126">
        <v>1160</v>
      </c>
      <c r="BL3455" s="126">
        <v>1220</v>
      </c>
      <c r="BP3455" s="481"/>
      <c r="BQ3455" s="481"/>
      <c r="BU3455" s="481"/>
      <c r="BV3455" s="481"/>
      <c r="BZ3455" s="481"/>
      <c r="CA3455" s="481"/>
      <c r="CE3455" s="605"/>
      <c r="CF3455" s="605"/>
      <c r="CG3455" s="605"/>
      <c r="CH3455" s="605"/>
      <c r="JD3455" s="480"/>
    </row>
    <row r="3456" spans="1:264" s="126" customFormat="1" x14ac:dyDescent="0.25">
      <c r="A3456" s="126">
        <v>161</v>
      </c>
      <c r="B3456" s="478" t="s">
        <v>3265</v>
      </c>
      <c r="C3456" s="126" t="s">
        <v>3254</v>
      </c>
      <c r="D3456" s="126" t="s">
        <v>3255</v>
      </c>
      <c r="E3456" s="126">
        <v>2001</v>
      </c>
      <c r="F3456" s="478" t="s">
        <v>1976</v>
      </c>
      <c r="G3456" s="126" t="s">
        <v>2696</v>
      </c>
      <c r="H3456" s="126" t="s">
        <v>3215</v>
      </c>
      <c r="I3456" s="126" t="s">
        <v>2836</v>
      </c>
      <c r="J3456" s="126">
        <v>-7.0000000000000001E-3</v>
      </c>
      <c r="K3456" s="126">
        <v>34.6</v>
      </c>
      <c r="L3456" s="126">
        <v>1523.8</v>
      </c>
      <c r="O3456" s="126">
        <f t="shared" si="472"/>
        <v>1915</v>
      </c>
      <c r="P3456" s="126">
        <v>1800</v>
      </c>
      <c r="R3456" s="478" t="s">
        <v>1728</v>
      </c>
      <c r="S3456" s="478" t="s">
        <v>1858</v>
      </c>
      <c r="T3456" s="478"/>
      <c r="U3456" s="478" t="s">
        <v>1962</v>
      </c>
      <c r="V3456" s="478" t="s">
        <v>1382</v>
      </c>
      <c r="W3456" s="478" t="s">
        <v>1717</v>
      </c>
      <c r="X3456" s="478" t="s">
        <v>1382</v>
      </c>
      <c r="Y3456" s="478" t="s">
        <v>1382</v>
      </c>
      <c r="AA3456" s="479">
        <v>43</v>
      </c>
      <c r="AB3456" s="479">
        <v>30</v>
      </c>
      <c r="AC3456" s="126" t="s">
        <v>518</v>
      </c>
      <c r="AD3456" s="126">
        <v>5.3</v>
      </c>
      <c r="AE3456" s="126">
        <v>1.71</v>
      </c>
      <c r="AG3456" s="126" t="s">
        <v>2988</v>
      </c>
      <c r="AH3456" s="126" t="s">
        <v>2921</v>
      </c>
      <c r="AI3456" s="126" t="s">
        <v>577</v>
      </c>
      <c r="AJ3456" s="126" t="s">
        <v>1645</v>
      </c>
      <c r="AK3456" s="126" t="s">
        <v>132</v>
      </c>
      <c r="AT3456" s="126" t="s">
        <v>3259</v>
      </c>
      <c r="AU3456" s="126" t="s">
        <v>3259</v>
      </c>
      <c r="AV3456" s="126" t="s">
        <v>177</v>
      </c>
      <c r="AW3456" s="126" t="s">
        <v>3249</v>
      </c>
      <c r="AX3456" s="126">
        <v>4</v>
      </c>
      <c r="AZ3456" s="126" t="s">
        <v>141</v>
      </c>
      <c r="BE3456" s="126" t="s">
        <v>3266</v>
      </c>
      <c r="BF3456" s="126">
        <v>5270</v>
      </c>
      <c r="BG3456" s="126">
        <v>5200</v>
      </c>
      <c r="BJ3456" s="126" t="s">
        <v>2941</v>
      </c>
      <c r="BK3456" s="126">
        <v>3500</v>
      </c>
      <c r="BL3456" s="126">
        <v>3670</v>
      </c>
      <c r="BP3456" s="481"/>
      <c r="BQ3456" s="481"/>
      <c r="BU3456" s="481"/>
      <c r="BV3456" s="481"/>
      <c r="BZ3456" s="481"/>
      <c r="CA3456" s="481"/>
      <c r="CE3456" s="605"/>
      <c r="CF3456" s="605"/>
      <c r="CG3456" s="605"/>
      <c r="CH3456" s="605"/>
      <c r="JD3456" s="480"/>
    </row>
    <row r="3457" spans="1:264" s="126" customFormat="1" x14ac:dyDescent="0.25">
      <c r="A3457" s="126">
        <v>161</v>
      </c>
      <c r="B3457" s="478" t="s">
        <v>3265</v>
      </c>
      <c r="C3457" s="126" t="s">
        <v>3254</v>
      </c>
      <c r="D3457" s="126" t="s">
        <v>3255</v>
      </c>
      <c r="E3457" s="126">
        <v>2001</v>
      </c>
      <c r="F3457" s="478" t="s">
        <v>1976</v>
      </c>
      <c r="G3457" s="126" t="s">
        <v>2696</v>
      </c>
      <c r="H3457" s="126" t="s">
        <v>3215</v>
      </c>
      <c r="I3457" s="126" t="s">
        <v>2836</v>
      </c>
      <c r="J3457" s="126">
        <v>-7.0000000000000001E-3</v>
      </c>
      <c r="K3457" s="126">
        <v>34.6</v>
      </c>
      <c r="L3457" s="126">
        <v>1523.8</v>
      </c>
      <c r="O3457" s="126">
        <f t="shared" si="472"/>
        <v>1915</v>
      </c>
      <c r="P3457" s="126">
        <v>1800</v>
      </c>
      <c r="R3457" s="478" t="s">
        <v>1728</v>
      </c>
      <c r="S3457" s="478" t="s">
        <v>1858</v>
      </c>
      <c r="T3457" s="478"/>
      <c r="U3457" s="478" t="s">
        <v>1962</v>
      </c>
      <c r="V3457" s="478" t="s">
        <v>1382</v>
      </c>
      <c r="W3457" s="478" t="s">
        <v>1717</v>
      </c>
      <c r="X3457" s="478" t="s">
        <v>1382</v>
      </c>
      <c r="Y3457" s="478" t="s">
        <v>1382</v>
      </c>
      <c r="AA3457" s="479">
        <v>43</v>
      </c>
      <c r="AB3457" s="479">
        <v>30</v>
      </c>
      <c r="AC3457" s="126" t="s">
        <v>518</v>
      </c>
      <c r="AD3457" s="126">
        <v>5.3</v>
      </c>
      <c r="AE3457" s="126">
        <v>1.71</v>
      </c>
      <c r="AG3457" s="126" t="s">
        <v>2988</v>
      </c>
      <c r="AH3457" s="126" t="s">
        <v>2921</v>
      </c>
      <c r="AI3457" s="126" t="s">
        <v>577</v>
      </c>
      <c r="AJ3457" s="126" t="s">
        <v>1645</v>
      </c>
      <c r="AK3457" s="126" t="s">
        <v>132</v>
      </c>
      <c r="AT3457" s="126" t="s">
        <v>3260</v>
      </c>
      <c r="AU3457" s="126" t="s">
        <v>3260</v>
      </c>
      <c r="AV3457" s="126" t="s">
        <v>177</v>
      </c>
      <c r="AW3457" s="126" t="s">
        <v>3249</v>
      </c>
      <c r="AX3457" s="126">
        <v>4</v>
      </c>
      <c r="AZ3457" s="126" t="s">
        <v>141</v>
      </c>
      <c r="BE3457" s="126" t="s">
        <v>3266</v>
      </c>
      <c r="BF3457" s="126">
        <v>2600</v>
      </c>
      <c r="BG3457" s="126">
        <v>2420</v>
      </c>
      <c r="BJ3457" s="126" t="s">
        <v>2941</v>
      </c>
      <c r="BK3457" s="126">
        <v>1050</v>
      </c>
      <c r="BL3457" s="126">
        <v>850</v>
      </c>
      <c r="BP3457" s="481"/>
      <c r="BQ3457" s="481"/>
      <c r="BU3457" s="481"/>
      <c r="BV3457" s="481"/>
      <c r="BZ3457" s="481"/>
      <c r="CA3457" s="481"/>
      <c r="CE3457" s="605"/>
      <c r="CF3457" s="605"/>
      <c r="CG3457" s="605"/>
      <c r="CH3457" s="605"/>
      <c r="JD3457" s="480"/>
    </row>
    <row r="3458" spans="1:264" s="126" customFormat="1" x14ac:dyDescent="0.25">
      <c r="A3458" s="126">
        <v>161</v>
      </c>
      <c r="B3458" s="478" t="s">
        <v>3265</v>
      </c>
      <c r="C3458" s="126" t="s">
        <v>3254</v>
      </c>
      <c r="D3458" s="126" t="s">
        <v>3255</v>
      </c>
      <c r="E3458" s="126">
        <v>2001</v>
      </c>
      <c r="F3458" s="478" t="s">
        <v>1976</v>
      </c>
      <c r="G3458" s="126" t="s">
        <v>2696</v>
      </c>
      <c r="H3458" s="126" t="s">
        <v>3215</v>
      </c>
      <c r="I3458" s="126" t="s">
        <v>2836</v>
      </c>
      <c r="J3458" s="126">
        <v>-7.0000000000000001E-3</v>
      </c>
      <c r="K3458" s="126">
        <v>34.6</v>
      </c>
      <c r="L3458" s="126">
        <v>1523.8</v>
      </c>
      <c r="O3458" s="126">
        <f t="shared" si="472"/>
        <v>1915</v>
      </c>
      <c r="P3458" s="126">
        <v>1800</v>
      </c>
      <c r="R3458" s="478" t="s">
        <v>1728</v>
      </c>
      <c r="S3458" s="478" t="s">
        <v>1858</v>
      </c>
      <c r="T3458" s="478"/>
      <c r="U3458" s="478" t="s">
        <v>1962</v>
      </c>
      <c r="V3458" s="478" t="s">
        <v>1382</v>
      </c>
      <c r="W3458" s="478" t="s">
        <v>1717</v>
      </c>
      <c r="X3458" s="478" t="s">
        <v>1382</v>
      </c>
      <c r="Y3458" s="478" t="s">
        <v>1382</v>
      </c>
      <c r="AA3458" s="479">
        <v>43</v>
      </c>
      <c r="AB3458" s="479">
        <v>30</v>
      </c>
      <c r="AC3458" s="126" t="s">
        <v>518</v>
      </c>
      <c r="AD3458" s="126">
        <v>5.3</v>
      </c>
      <c r="AE3458" s="126">
        <v>1.71</v>
      </c>
      <c r="AG3458" s="126" t="s">
        <v>2988</v>
      </c>
      <c r="AH3458" s="126" t="s">
        <v>2921</v>
      </c>
      <c r="AI3458" s="126" t="s">
        <v>577</v>
      </c>
      <c r="AJ3458" s="126" t="s">
        <v>1645</v>
      </c>
      <c r="AK3458" s="126" t="s">
        <v>132</v>
      </c>
      <c r="AT3458" s="126" t="s">
        <v>3261</v>
      </c>
      <c r="AU3458" s="126" t="s">
        <v>3261</v>
      </c>
      <c r="AV3458" s="126" t="s">
        <v>177</v>
      </c>
      <c r="AW3458" s="126" t="s">
        <v>3249</v>
      </c>
      <c r="AX3458" s="126">
        <v>4</v>
      </c>
      <c r="AZ3458" s="126" t="s">
        <v>141</v>
      </c>
      <c r="BE3458" s="126" t="s">
        <v>3266</v>
      </c>
      <c r="BF3458" s="126">
        <v>7920</v>
      </c>
      <c r="BG3458" s="126">
        <v>7250</v>
      </c>
      <c r="BJ3458" s="126" t="s">
        <v>2941</v>
      </c>
      <c r="BK3458" s="126">
        <v>5310</v>
      </c>
      <c r="BL3458" s="126">
        <v>5760</v>
      </c>
      <c r="BP3458" s="481"/>
      <c r="BQ3458" s="481"/>
      <c r="BU3458" s="481"/>
      <c r="BV3458" s="481"/>
      <c r="BZ3458" s="481"/>
      <c r="CA3458" s="481"/>
      <c r="CE3458" s="605"/>
      <c r="CF3458" s="605"/>
      <c r="CG3458" s="605"/>
      <c r="CH3458" s="605"/>
      <c r="JD3458" s="480"/>
    </row>
    <row r="3459" spans="1:264" s="36" customFormat="1" x14ac:dyDescent="0.25">
      <c r="A3459" s="36">
        <v>161</v>
      </c>
      <c r="B3459" s="51" t="s">
        <v>3265</v>
      </c>
      <c r="C3459" s="36" t="s">
        <v>3254</v>
      </c>
      <c r="D3459" s="36" t="s">
        <v>3255</v>
      </c>
      <c r="E3459" s="36">
        <v>2001</v>
      </c>
      <c r="F3459" s="51" t="s">
        <v>1976</v>
      </c>
      <c r="G3459" s="36" t="s">
        <v>2696</v>
      </c>
      <c r="H3459" s="36" t="s">
        <v>3215</v>
      </c>
      <c r="I3459" s="36" t="s">
        <v>2836</v>
      </c>
      <c r="J3459" s="36">
        <v>-7.0000000000000001E-3</v>
      </c>
      <c r="K3459" s="36">
        <v>34.6</v>
      </c>
      <c r="L3459" s="36">
        <v>1523.8</v>
      </c>
      <c r="O3459" s="36">
        <v>1915</v>
      </c>
      <c r="P3459" s="36">
        <v>1800</v>
      </c>
      <c r="R3459" s="51" t="s">
        <v>1728</v>
      </c>
      <c r="S3459" s="51" t="s">
        <v>1858</v>
      </c>
      <c r="T3459" s="51"/>
      <c r="U3459" s="51" t="s">
        <v>1962</v>
      </c>
      <c r="V3459" s="51" t="s">
        <v>1382</v>
      </c>
      <c r="W3459" s="51" t="s">
        <v>1717</v>
      </c>
      <c r="X3459" s="51" t="s">
        <v>1382</v>
      </c>
      <c r="Y3459" s="51" t="s">
        <v>1382</v>
      </c>
      <c r="AA3459" s="331">
        <v>43</v>
      </c>
      <c r="AB3459" s="331">
        <v>30</v>
      </c>
      <c r="AC3459" s="36" t="s">
        <v>518</v>
      </c>
      <c r="AD3459" s="36">
        <v>5.3</v>
      </c>
      <c r="AE3459" s="36">
        <v>1.71</v>
      </c>
      <c r="AG3459" s="36" t="s">
        <v>2988</v>
      </c>
      <c r="AH3459" s="36" t="s">
        <v>2921</v>
      </c>
      <c r="AI3459" s="36" t="s">
        <v>577</v>
      </c>
      <c r="AJ3459" s="36" t="s">
        <v>1645</v>
      </c>
      <c r="AK3459" s="36" t="s">
        <v>132</v>
      </c>
      <c r="AT3459" s="36" t="s">
        <v>3257</v>
      </c>
      <c r="AU3459" s="36" t="s">
        <v>3257</v>
      </c>
      <c r="AV3459" s="36" t="s">
        <v>177</v>
      </c>
      <c r="AW3459" s="36" t="s">
        <v>3249</v>
      </c>
      <c r="AX3459" s="36">
        <v>4</v>
      </c>
      <c r="AZ3459" s="36" t="s">
        <v>141</v>
      </c>
      <c r="BE3459" s="36" t="s">
        <v>3267</v>
      </c>
      <c r="BF3459" s="36">
        <v>520</v>
      </c>
      <c r="BG3459" s="36">
        <v>550</v>
      </c>
      <c r="BJ3459" s="36" t="s">
        <v>2941</v>
      </c>
      <c r="BK3459" s="36">
        <v>400</v>
      </c>
      <c r="BL3459" s="36">
        <v>340</v>
      </c>
      <c r="BP3459" s="407"/>
      <c r="BQ3459" s="407"/>
      <c r="BU3459" s="407"/>
      <c r="BV3459" s="407"/>
      <c r="BZ3459" s="407"/>
      <c r="CA3459" s="407"/>
      <c r="CE3459" s="560"/>
      <c r="CF3459" s="560"/>
      <c r="CG3459" s="560"/>
      <c r="CH3459" s="560"/>
      <c r="JD3459" s="230"/>
    </row>
    <row r="3460" spans="1:264" s="36" customFormat="1" x14ac:dyDescent="0.25">
      <c r="A3460" s="36">
        <v>161</v>
      </c>
      <c r="B3460" s="51" t="s">
        <v>3265</v>
      </c>
      <c r="C3460" s="36" t="s">
        <v>3254</v>
      </c>
      <c r="D3460" s="36" t="s">
        <v>3255</v>
      </c>
      <c r="E3460" s="36">
        <v>2001</v>
      </c>
      <c r="F3460" s="51" t="s">
        <v>1976</v>
      </c>
      <c r="G3460" s="36" t="s">
        <v>2696</v>
      </c>
      <c r="H3460" s="36" t="s">
        <v>3215</v>
      </c>
      <c r="I3460" s="36" t="s">
        <v>2836</v>
      </c>
      <c r="J3460" s="36">
        <v>-7.0000000000000001E-3</v>
      </c>
      <c r="K3460" s="36">
        <v>34.6</v>
      </c>
      <c r="L3460" s="36">
        <v>1523.8</v>
      </c>
      <c r="O3460" s="36">
        <v>1915</v>
      </c>
      <c r="P3460" s="36">
        <v>1800</v>
      </c>
      <c r="R3460" s="51" t="s">
        <v>1728</v>
      </c>
      <c r="S3460" s="51" t="s">
        <v>1858</v>
      </c>
      <c r="T3460" s="51"/>
      <c r="U3460" s="51" t="s">
        <v>1962</v>
      </c>
      <c r="V3460" s="51" t="s">
        <v>1382</v>
      </c>
      <c r="W3460" s="51" t="s">
        <v>1717</v>
      </c>
      <c r="X3460" s="51" t="s">
        <v>1382</v>
      </c>
      <c r="Y3460" s="51" t="s">
        <v>1382</v>
      </c>
      <c r="AA3460" s="331">
        <v>43</v>
      </c>
      <c r="AB3460" s="331">
        <v>30</v>
      </c>
      <c r="AC3460" s="36" t="s">
        <v>518</v>
      </c>
      <c r="AD3460" s="36">
        <v>5.3</v>
      </c>
      <c r="AE3460" s="36">
        <v>1.71</v>
      </c>
      <c r="AG3460" s="36" t="s">
        <v>2988</v>
      </c>
      <c r="AH3460" s="36" t="s">
        <v>2921</v>
      </c>
      <c r="AI3460" s="36" t="s">
        <v>577</v>
      </c>
      <c r="AJ3460" s="36" t="s">
        <v>1645</v>
      </c>
      <c r="AK3460" s="36" t="s">
        <v>132</v>
      </c>
      <c r="AT3460" s="36" t="s">
        <v>3259</v>
      </c>
      <c r="AU3460" s="36" t="s">
        <v>3259</v>
      </c>
      <c r="AV3460" s="36" t="s">
        <v>177</v>
      </c>
      <c r="AW3460" s="36" t="s">
        <v>3249</v>
      </c>
      <c r="AX3460" s="36">
        <v>4</v>
      </c>
      <c r="AZ3460" s="36" t="s">
        <v>141</v>
      </c>
      <c r="BE3460" s="36" t="s">
        <v>3267</v>
      </c>
      <c r="BF3460" s="36">
        <v>890</v>
      </c>
      <c r="BG3460" s="36">
        <v>1160</v>
      </c>
      <c r="BJ3460" s="36" t="s">
        <v>2941</v>
      </c>
      <c r="BK3460" s="36">
        <v>530</v>
      </c>
      <c r="BL3460" s="36">
        <v>1060</v>
      </c>
      <c r="BP3460" s="407"/>
      <c r="BQ3460" s="407"/>
      <c r="BU3460" s="407"/>
      <c r="BV3460" s="407"/>
      <c r="BZ3460" s="407"/>
      <c r="CA3460" s="407"/>
      <c r="CE3460" s="560"/>
      <c r="CF3460" s="560"/>
      <c r="CG3460" s="560"/>
      <c r="CH3460" s="560"/>
      <c r="JD3460" s="230"/>
    </row>
    <row r="3461" spans="1:264" s="36" customFormat="1" x14ac:dyDescent="0.25">
      <c r="A3461" s="36">
        <v>161</v>
      </c>
      <c r="B3461" s="51" t="s">
        <v>3265</v>
      </c>
      <c r="C3461" s="36" t="s">
        <v>3254</v>
      </c>
      <c r="D3461" s="36" t="s">
        <v>3255</v>
      </c>
      <c r="E3461" s="36">
        <v>2001</v>
      </c>
      <c r="F3461" s="51" t="s">
        <v>1976</v>
      </c>
      <c r="G3461" s="36" t="s">
        <v>2696</v>
      </c>
      <c r="H3461" s="36" t="s">
        <v>3215</v>
      </c>
      <c r="I3461" s="36" t="s">
        <v>2836</v>
      </c>
      <c r="J3461" s="36">
        <v>-7.0000000000000001E-3</v>
      </c>
      <c r="K3461" s="36">
        <v>34.6</v>
      </c>
      <c r="L3461" s="36">
        <v>1523.8</v>
      </c>
      <c r="O3461" s="36">
        <v>1915</v>
      </c>
      <c r="P3461" s="36">
        <v>1800</v>
      </c>
      <c r="R3461" s="51" t="s">
        <v>1728</v>
      </c>
      <c r="S3461" s="51" t="s">
        <v>1858</v>
      </c>
      <c r="T3461" s="51"/>
      <c r="U3461" s="51" t="s">
        <v>1962</v>
      </c>
      <c r="V3461" s="51" t="s">
        <v>1382</v>
      </c>
      <c r="W3461" s="51" t="s">
        <v>1717</v>
      </c>
      <c r="X3461" s="51" t="s">
        <v>1382</v>
      </c>
      <c r="Y3461" s="51" t="s">
        <v>1382</v>
      </c>
      <c r="AA3461" s="331">
        <v>43</v>
      </c>
      <c r="AB3461" s="331">
        <v>30</v>
      </c>
      <c r="AC3461" s="36" t="s">
        <v>518</v>
      </c>
      <c r="AD3461" s="36">
        <v>5.3</v>
      </c>
      <c r="AE3461" s="36">
        <v>1.71</v>
      </c>
      <c r="AG3461" s="36" t="s">
        <v>2988</v>
      </c>
      <c r="AH3461" s="36" t="s">
        <v>2921</v>
      </c>
      <c r="AI3461" s="36" t="s">
        <v>577</v>
      </c>
      <c r="AJ3461" s="36" t="s">
        <v>1645</v>
      </c>
      <c r="AK3461" s="36" t="s">
        <v>132</v>
      </c>
      <c r="AT3461" s="36" t="s">
        <v>3260</v>
      </c>
      <c r="AU3461" s="36" t="s">
        <v>3260</v>
      </c>
      <c r="AV3461" s="36" t="s">
        <v>177</v>
      </c>
      <c r="AW3461" s="36" t="s">
        <v>3249</v>
      </c>
      <c r="AX3461" s="36">
        <v>4</v>
      </c>
      <c r="AZ3461" s="36" t="s">
        <v>141</v>
      </c>
      <c r="BE3461" s="36" t="s">
        <v>3267</v>
      </c>
      <c r="BF3461" s="36">
        <v>670</v>
      </c>
      <c r="BG3461" s="36">
        <v>660</v>
      </c>
      <c r="BJ3461" s="36" t="s">
        <v>2941</v>
      </c>
      <c r="BK3461" s="36">
        <v>360</v>
      </c>
      <c r="BL3461" s="36">
        <v>300</v>
      </c>
      <c r="BP3461" s="407"/>
      <c r="BQ3461" s="407"/>
      <c r="BU3461" s="407"/>
      <c r="BV3461" s="407"/>
      <c r="BZ3461" s="407"/>
      <c r="CA3461" s="407"/>
      <c r="CE3461" s="560"/>
      <c r="CF3461" s="560"/>
      <c r="CG3461" s="560"/>
      <c r="CH3461" s="560"/>
      <c r="JD3461" s="230"/>
    </row>
    <row r="3462" spans="1:264" s="36" customFormat="1" x14ac:dyDescent="0.25">
      <c r="A3462" s="36">
        <v>161</v>
      </c>
      <c r="B3462" s="51" t="s">
        <v>3265</v>
      </c>
      <c r="C3462" s="36" t="s">
        <v>3254</v>
      </c>
      <c r="D3462" s="36" t="s">
        <v>3255</v>
      </c>
      <c r="E3462" s="36">
        <v>2001</v>
      </c>
      <c r="F3462" s="51" t="s">
        <v>1976</v>
      </c>
      <c r="G3462" s="36" t="s">
        <v>2696</v>
      </c>
      <c r="H3462" s="36" t="s">
        <v>3215</v>
      </c>
      <c r="I3462" s="36" t="s">
        <v>2836</v>
      </c>
      <c r="J3462" s="36">
        <v>-7.0000000000000001E-3</v>
      </c>
      <c r="K3462" s="36">
        <v>34.6</v>
      </c>
      <c r="L3462" s="36">
        <v>1523.8</v>
      </c>
      <c r="O3462" s="36">
        <v>1915</v>
      </c>
      <c r="P3462" s="36">
        <v>1800</v>
      </c>
      <c r="R3462" s="51" t="s">
        <v>1728</v>
      </c>
      <c r="S3462" s="51" t="s">
        <v>1858</v>
      </c>
      <c r="T3462" s="51"/>
      <c r="U3462" s="51" t="s">
        <v>1962</v>
      </c>
      <c r="V3462" s="51" t="s">
        <v>1382</v>
      </c>
      <c r="W3462" s="51" t="s">
        <v>1717</v>
      </c>
      <c r="X3462" s="51" t="s">
        <v>1382</v>
      </c>
      <c r="Y3462" s="51" t="s">
        <v>1382</v>
      </c>
      <c r="AA3462" s="331">
        <v>43</v>
      </c>
      <c r="AB3462" s="331">
        <v>30</v>
      </c>
      <c r="AC3462" s="36" t="s">
        <v>518</v>
      </c>
      <c r="AD3462" s="36">
        <v>5.3</v>
      </c>
      <c r="AE3462" s="36">
        <v>1.71</v>
      </c>
      <c r="AG3462" s="36" t="s">
        <v>2988</v>
      </c>
      <c r="AH3462" s="36" t="s">
        <v>2921</v>
      </c>
      <c r="AI3462" s="36" t="s">
        <v>577</v>
      </c>
      <c r="AJ3462" s="36" t="s">
        <v>1645</v>
      </c>
      <c r="AK3462" s="36" t="s">
        <v>132</v>
      </c>
      <c r="AT3462" s="36" t="s">
        <v>3261</v>
      </c>
      <c r="AU3462" s="36" t="s">
        <v>3261</v>
      </c>
      <c r="AV3462" s="36" t="s">
        <v>177</v>
      </c>
      <c r="AW3462" s="36" t="s">
        <v>3249</v>
      </c>
      <c r="AX3462" s="36">
        <v>4</v>
      </c>
      <c r="AZ3462" s="36" t="s">
        <v>141</v>
      </c>
      <c r="BE3462" s="36" t="s">
        <v>3267</v>
      </c>
      <c r="BF3462" s="36">
        <v>2530</v>
      </c>
      <c r="BG3462" s="36">
        <v>2810</v>
      </c>
      <c r="BJ3462" s="36" t="s">
        <v>2941</v>
      </c>
      <c r="BK3462" s="36">
        <v>3140</v>
      </c>
      <c r="BL3462" s="36">
        <v>2810</v>
      </c>
      <c r="BP3462" s="407"/>
      <c r="BQ3462" s="407"/>
      <c r="BU3462" s="407"/>
      <c r="BV3462" s="407"/>
      <c r="BZ3462" s="407"/>
      <c r="CA3462" s="407"/>
      <c r="CE3462" s="560"/>
      <c r="CF3462" s="560"/>
      <c r="CG3462" s="560"/>
      <c r="CH3462" s="560"/>
      <c r="JD3462" s="230"/>
    </row>
    <row r="3463" spans="1:264" s="126" customFormat="1" x14ac:dyDescent="0.25">
      <c r="A3463" s="126">
        <v>161</v>
      </c>
      <c r="B3463" s="478" t="s">
        <v>3265</v>
      </c>
      <c r="C3463" s="126" t="s">
        <v>3254</v>
      </c>
      <c r="D3463" s="126" t="s">
        <v>3255</v>
      </c>
      <c r="E3463" s="126">
        <v>2001</v>
      </c>
      <c r="F3463" s="478" t="s">
        <v>2927</v>
      </c>
      <c r="G3463" s="126" t="s">
        <v>2696</v>
      </c>
      <c r="H3463" s="126" t="s">
        <v>3215</v>
      </c>
      <c r="I3463" s="126" t="s">
        <v>2836</v>
      </c>
      <c r="J3463" s="126">
        <v>-7.0000000000000001E-3</v>
      </c>
      <c r="K3463" s="126">
        <v>34.6</v>
      </c>
      <c r="L3463" s="126">
        <v>1523.8</v>
      </c>
      <c r="O3463" s="126">
        <f>1145+770</f>
        <v>1915</v>
      </c>
      <c r="P3463" s="126">
        <v>1800</v>
      </c>
      <c r="R3463" s="478" t="s">
        <v>1858</v>
      </c>
      <c r="S3463" s="478" t="s">
        <v>1858</v>
      </c>
      <c r="T3463" s="478"/>
      <c r="U3463" s="478" t="s">
        <v>1962</v>
      </c>
      <c r="V3463" s="478" t="s">
        <v>1382</v>
      </c>
      <c r="W3463" s="478" t="s">
        <v>1717</v>
      </c>
      <c r="X3463" s="478" t="s">
        <v>1382</v>
      </c>
      <c r="Y3463" s="478" t="s">
        <v>1382</v>
      </c>
      <c r="AA3463" s="479">
        <v>43</v>
      </c>
      <c r="AB3463" s="479">
        <v>30</v>
      </c>
      <c r="AC3463" s="126" t="s">
        <v>518</v>
      </c>
      <c r="AD3463" s="126">
        <v>5.3</v>
      </c>
      <c r="AE3463" s="126">
        <v>1.71</v>
      </c>
      <c r="AG3463" s="126" t="s">
        <v>2988</v>
      </c>
      <c r="AH3463" s="126" t="s">
        <v>2921</v>
      </c>
      <c r="AI3463" s="126" t="s">
        <v>577</v>
      </c>
      <c r="AJ3463" s="126" t="s">
        <v>1645</v>
      </c>
      <c r="AK3463" s="126" t="s">
        <v>132</v>
      </c>
      <c r="AT3463" s="126" t="s">
        <v>3257</v>
      </c>
      <c r="AU3463" s="126" t="s">
        <v>3257</v>
      </c>
      <c r="AV3463" s="126" t="s">
        <v>177</v>
      </c>
      <c r="AW3463" s="126" t="s">
        <v>3249</v>
      </c>
      <c r="AX3463" s="126">
        <v>4</v>
      </c>
      <c r="AZ3463" s="126" t="s">
        <v>141</v>
      </c>
      <c r="BE3463" s="126" t="s">
        <v>3266</v>
      </c>
      <c r="BJ3463" s="126" t="s">
        <v>2941</v>
      </c>
      <c r="BK3463" s="126">
        <v>1080</v>
      </c>
      <c r="BL3463" s="126">
        <v>1360</v>
      </c>
      <c r="BP3463" s="481"/>
      <c r="BQ3463" s="481"/>
      <c r="BU3463" s="481"/>
      <c r="BV3463" s="481"/>
      <c r="BZ3463" s="481"/>
      <c r="CA3463" s="481"/>
      <c r="CE3463" s="605"/>
      <c r="CF3463" s="605"/>
      <c r="CG3463" s="605"/>
      <c r="CH3463" s="605"/>
      <c r="JD3463" s="480"/>
    </row>
    <row r="3464" spans="1:264" s="126" customFormat="1" x14ac:dyDescent="0.25">
      <c r="A3464" s="126">
        <v>161</v>
      </c>
      <c r="B3464" s="478" t="s">
        <v>3265</v>
      </c>
      <c r="C3464" s="126" t="s">
        <v>3254</v>
      </c>
      <c r="D3464" s="126" t="s">
        <v>3255</v>
      </c>
      <c r="E3464" s="126">
        <v>2001</v>
      </c>
      <c r="F3464" s="478" t="s">
        <v>2927</v>
      </c>
      <c r="G3464" s="126" t="s">
        <v>2696</v>
      </c>
      <c r="H3464" s="126" t="s">
        <v>3215</v>
      </c>
      <c r="I3464" s="126" t="s">
        <v>2836</v>
      </c>
      <c r="J3464" s="126">
        <v>-7.0000000000000001E-3</v>
      </c>
      <c r="K3464" s="126">
        <v>34.6</v>
      </c>
      <c r="L3464" s="126">
        <v>1523.8</v>
      </c>
      <c r="O3464" s="126">
        <f t="shared" ref="O3464:O3474" si="473">1145+770</f>
        <v>1915</v>
      </c>
      <c r="P3464" s="126">
        <v>1800</v>
      </c>
      <c r="R3464" s="478" t="s">
        <v>1858</v>
      </c>
      <c r="S3464" s="478" t="s">
        <v>1858</v>
      </c>
      <c r="T3464" s="478"/>
      <c r="U3464" s="478" t="s">
        <v>1962</v>
      </c>
      <c r="V3464" s="478" t="s">
        <v>1382</v>
      </c>
      <c r="W3464" s="478" t="s">
        <v>1717</v>
      </c>
      <c r="X3464" s="478" t="s">
        <v>1382</v>
      </c>
      <c r="Y3464" s="478" t="s">
        <v>1382</v>
      </c>
      <c r="AA3464" s="479">
        <v>43</v>
      </c>
      <c r="AB3464" s="479">
        <v>30</v>
      </c>
      <c r="AC3464" s="126" t="s">
        <v>518</v>
      </c>
      <c r="AD3464" s="126">
        <v>5.3</v>
      </c>
      <c r="AE3464" s="126">
        <v>1.71</v>
      </c>
      <c r="AG3464" s="126" t="s">
        <v>2988</v>
      </c>
      <c r="AH3464" s="126" t="s">
        <v>2921</v>
      </c>
      <c r="AI3464" s="126" t="s">
        <v>577</v>
      </c>
      <c r="AJ3464" s="126" t="s">
        <v>1645</v>
      </c>
      <c r="AK3464" s="126" t="s">
        <v>132</v>
      </c>
      <c r="AT3464" s="126" t="s">
        <v>3259</v>
      </c>
      <c r="AU3464" s="126" t="s">
        <v>3259</v>
      </c>
      <c r="AV3464" s="126" t="s">
        <v>177</v>
      </c>
      <c r="AW3464" s="126" t="s">
        <v>3249</v>
      </c>
      <c r="AX3464" s="126">
        <v>4</v>
      </c>
      <c r="AZ3464" s="126" t="s">
        <v>141</v>
      </c>
      <c r="BE3464" s="126" t="s">
        <v>3266</v>
      </c>
      <c r="BJ3464" s="126" t="s">
        <v>2941</v>
      </c>
      <c r="BK3464" s="126">
        <v>2750</v>
      </c>
      <c r="BL3464" s="126">
        <v>2900</v>
      </c>
      <c r="BP3464" s="481"/>
      <c r="BQ3464" s="481"/>
      <c r="BU3464" s="481"/>
      <c r="BV3464" s="481"/>
      <c r="BZ3464" s="481"/>
      <c r="CA3464" s="481"/>
      <c r="CE3464" s="605"/>
      <c r="CF3464" s="605"/>
      <c r="CG3464" s="605"/>
      <c r="CH3464" s="605"/>
      <c r="JD3464" s="480"/>
    </row>
    <row r="3465" spans="1:264" s="126" customFormat="1" x14ac:dyDescent="0.25">
      <c r="A3465" s="126">
        <v>161</v>
      </c>
      <c r="B3465" s="478" t="s">
        <v>3265</v>
      </c>
      <c r="C3465" s="126" t="s">
        <v>3254</v>
      </c>
      <c r="D3465" s="126" t="s">
        <v>3255</v>
      </c>
      <c r="E3465" s="126">
        <v>2001</v>
      </c>
      <c r="F3465" s="478" t="s">
        <v>2927</v>
      </c>
      <c r="G3465" s="126" t="s">
        <v>2696</v>
      </c>
      <c r="H3465" s="126" t="s">
        <v>3215</v>
      </c>
      <c r="I3465" s="126" t="s">
        <v>2836</v>
      </c>
      <c r="J3465" s="126">
        <v>-7.0000000000000001E-3</v>
      </c>
      <c r="K3465" s="126">
        <v>34.6</v>
      </c>
      <c r="L3465" s="126">
        <v>1523.8</v>
      </c>
      <c r="O3465" s="126">
        <f t="shared" si="473"/>
        <v>1915</v>
      </c>
      <c r="P3465" s="126">
        <v>1800</v>
      </c>
      <c r="R3465" s="478" t="s">
        <v>1858</v>
      </c>
      <c r="S3465" s="478" t="s">
        <v>1858</v>
      </c>
      <c r="T3465" s="478"/>
      <c r="U3465" s="478" t="s">
        <v>1962</v>
      </c>
      <c r="V3465" s="478" t="s">
        <v>1382</v>
      </c>
      <c r="W3465" s="478" t="s">
        <v>1717</v>
      </c>
      <c r="X3465" s="478" t="s">
        <v>1382</v>
      </c>
      <c r="Y3465" s="478" t="s">
        <v>1382</v>
      </c>
      <c r="AA3465" s="479">
        <v>43</v>
      </c>
      <c r="AB3465" s="479">
        <v>30</v>
      </c>
      <c r="AC3465" s="126" t="s">
        <v>518</v>
      </c>
      <c r="AD3465" s="126">
        <v>5.3</v>
      </c>
      <c r="AE3465" s="126">
        <v>1.71</v>
      </c>
      <c r="AG3465" s="126" t="s">
        <v>2988</v>
      </c>
      <c r="AH3465" s="126" t="s">
        <v>2921</v>
      </c>
      <c r="AI3465" s="126" t="s">
        <v>577</v>
      </c>
      <c r="AJ3465" s="126" t="s">
        <v>1645</v>
      </c>
      <c r="AK3465" s="126" t="s">
        <v>132</v>
      </c>
      <c r="AT3465" s="126" t="s">
        <v>3260</v>
      </c>
      <c r="AU3465" s="126" t="s">
        <v>3260</v>
      </c>
      <c r="AV3465" s="126" t="s">
        <v>177</v>
      </c>
      <c r="AW3465" s="126" t="s">
        <v>3249</v>
      </c>
      <c r="AX3465" s="126">
        <v>4</v>
      </c>
      <c r="AZ3465" s="126" t="s">
        <v>141</v>
      </c>
      <c r="BE3465" s="126" t="s">
        <v>3266</v>
      </c>
      <c r="BJ3465" s="126" t="s">
        <v>2941</v>
      </c>
      <c r="BK3465" s="126">
        <v>1630</v>
      </c>
      <c r="BL3465" s="126">
        <v>860</v>
      </c>
      <c r="BP3465" s="481"/>
      <c r="BQ3465" s="481"/>
      <c r="BU3465" s="481"/>
      <c r="BV3465" s="481"/>
      <c r="BZ3465" s="481"/>
      <c r="CA3465" s="481"/>
      <c r="CE3465" s="605"/>
      <c r="CF3465" s="605"/>
      <c r="CG3465" s="605"/>
      <c r="CH3465" s="605"/>
      <c r="JD3465" s="480"/>
    </row>
    <row r="3466" spans="1:264" s="126" customFormat="1" x14ac:dyDescent="0.25">
      <c r="A3466" s="126">
        <v>161</v>
      </c>
      <c r="B3466" s="478" t="s">
        <v>3265</v>
      </c>
      <c r="C3466" s="126" t="s">
        <v>3254</v>
      </c>
      <c r="D3466" s="126" t="s">
        <v>3255</v>
      </c>
      <c r="E3466" s="126">
        <v>2001</v>
      </c>
      <c r="F3466" s="478" t="s">
        <v>2927</v>
      </c>
      <c r="G3466" s="126" t="s">
        <v>2696</v>
      </c>
      <c r="H3466" s="126" t="s">
        <v>3215</v>
      </c>
      <c r="I3466" s="126" t="s">
        <v>2836</v>
      </c>
      <c r="J3466" s="126">
        <v>-7.0000000000000001E-3</v>
      </c>
      <c r="K3466" s="126">
        <v>34.6</v>
      </c>
      <c r="L3466" s="126">
        <v>1523.8</v>
      </c>
      <c r="O3466" s="126">
        <f t="shared" si="473"/>
        <v>1915</v>
      </c>
      <c r="P3466" s="126">
        <v>1800</v>
      </c>
      <c r="R3466" s="478" t="s">
        <v>1858</v>
      </c>
      <c r="S3466" s="478" t="s">
        <v>1858</v>
      </c>
      <c r="T3466" s="478"/>
      <c r="U3466" s="478" t="s">
        <v>1962</v>
      </c>
      <c r="V3466" s="478" t="s">
        <v>1382</v>
      </c>
      <c r="W3466" s="478" t="s">
        <v>1717</v>
      </c>
      <c r="X3466" s="478" t="s">
        <v>1382</v>
      </c>
      <c r="Y3466" s="478" t="s">
        <v>1382</v>
      </c>
      <c r="AA3466" s="479">
        <v>43</v>
      </c>
      <c r="AB3466" s="479">
        <v>30</v>
      </c>
      <c r="AC3466" s="126" t="s">
        <v>518</v>
      </c>
      <c r="AD3466" s="126">
        <v>5.3</v>
      </c>
      <c r="AE3466" s="126">
        <v>1.71</v>
      </c>
      <c r="AG3466" s="126" t="s">
        <v>2988</v>
      </c>
      <c r="AH3466" s="126" t="s">
        <v>2921</v>
      </c>
      <c r="AI3466" s="126" t="s">
        <v>577</v>
      </c>
      <c r="AJ3466" s="126" t="s">
        <v>1645</v>
      </c>
      <c r="AK3466" s="126" t="s">
        <v>132</v>
      </c>
      <c r="AT3466" s="126" t="s">
        <v>3261</v>
      </c>
      <c r="AU3466" s="126" t="s">
        <v>3261</v>
      </c>
      <c r="AV3466" s="126" t="s">
        <v>177</v>
      </c>
      <c r="AW3466" s="126" t="s">
        <v>3249</v>
      </c>
      <c r="AX3466" s="126">
        <v>4</v>
      </c>
      <c r="AZ3466" s="126" t="s">
        <v>141</v>
      </c>
      <c r="BE3466" s="126" t="s">
        <v>3266</v>
      </c>
      <c r="BJ3466" s="126" t="s">
        <v>2941</v>
      </c>
      <c r="BK3466" s="126">
        <v>4700</v>
      </c>
      <c r="BL3466" s="126">
        <v>4210</v>
      </c>
      <c r="BP3466" s="481"/>
      <c r="BQ3466" s="481"/>
      <c r="BU3466" s="481"/>
      <c r="BV3466" s="481"/>
      <c r="BZ3466" s="481"/>
      <c r="CA3466" s="481"/>
      <c r="CE3466" s="605"/>
      <c r="CF3466" s="605"/>
      <c r="CG3466" s="605"/>
      <c r="CH3466" s="605"/>
      <c r="JD3466" s="480"/>
    </row>
    <row r="3467" spans="1:264" s="36" customFormat="1" x14ac:dyDescent="0.25">
      <c r="A3467" s="36">
        <v>161</v>
      </c>
      <c r="B3467" s="51" t="s">
        <v>3265</v>
      </c>
      <c r="C3467" s="36" t="s">
        <v>3254</v>
      </c>
      <c r="D3467" s="36" t="s">
        <v>3255</v>
      </c>
      <c r="E3467" s="36">
        <v>2001</v>
      </c>
      <c r="F3467" s="51" t="s">
        <v>2927</v>
      </c>
      <c r="G3467" s="36" t="s">
        <v>2696</v>
      </c>
      <c r="H3467" s="36" t="s">
        <v>3215</v>
      </c>
      <c r="I3467" s="36" t="s">
        <v>2836</v>
      </c>
      <c r="J3467" s="36">
        <v>-7.0000000000000001E-3</v>
      </c>
      <c r="K3467" s="36">
        <v>34.6</v>
      </c>
      <c r="L3467" s="36">
        <v>1523.8</v>
      </c>
      <c r="O3467" s="36">
        <v>1915</v>
      </c>
      <c r="P3467" s="36">
        <v>1800</v>
      </c>
      <c r="R3467" s="51" t="s">
        <v>1858</v>
      </c>
      <c r="S3467" s="51" t="s">
        <v>1858</v>
      </c>
      <c r="T3467" s="51"/>
      <c r="U3467" s="51" t="s">
        <v>1962</v>
      </c>
      <c r="V3467" s="51" t="s">
        <v>1382</v>
      </c>
      <c r="W3467" s="51" t="s">
        <v>1717</v>
      </c>
      <c r="X3467" s="51" t="s">
        <v>1382</v>
      </c>
      <c r="Y3467" s="51" t="s">
        <v>1382</v>
      </c>
      <c r="AA3467" s="331">
        <v>43</v>
      </c>
      <c r="AB3467" s="331">
        <v>30</v>
      </c>
      <c r="AC3467" s="36" t="s">
        <v>518</v>
      </c>
      <c r="AD3467" s="36">
        <v>5.3</v>
      </c>
      <c r="AE3467" s="36">
        <v>1.71</v>
      </c>
      <c r="AG3467" s="36" t="s">
        <v>2988</v>
      </c>
      <c r="AH3467" s="36" t="s">
        <v>2921</v>
      </c>
      <c r="AI3467" s="36" t="s">
        <v>577</v>
      </c>
      <c r="AJ3467" s="36" t="s">
        <v>1645</v>
      </c>
      <c r="AK3467" s="36" t="s">
        <v>132</v>
      </c>
      <c r="AT3467" s="36" t="s">
        <v>3257</v>
      </c>
      <c r="AU3467" s="36" t="s">
        <v>3257</v>
      </c>
      <c r="AV3467" s="36" t="s">
        <v>177</v>
      </c>
      <c r="AW3467" s="36" t="s">
        <v>3249</v>
      </c>
      <c r="AX3467" s="36">
        <v>4</v>
      </c>
      <c r="AZ3467" s="36" t="s">
        <v>141</v>
      </c>
      <c r="BE3467" s="36" t="s">
        <v>3267</v>
      </c>
      <c r="BJ3467" s="36" t="s">
        <v>2941</v>
      </c>
      <c r="BK3467" s="36">
        <v>3080</v>
      </c>
      <c r="BL3467" s="36">
        <v>2670</v>
      </c>
      <c r="BP3467" s="407"/>
      <c r="BQ3467" s="407"/>
      <c r="BU3467" s="407"/>
      <c r="BV3467" s="407"/>
      <c r="BZ3467" s="407"/>
      <c r="CA3467" s="407"/>
      <c r="CE3467" s="560"/>
      <c r="CF3467" s="560"/>
      <c r="CG3467" s="560"/>
      <c r="CH3467" s="560"/>
      <c r="JD3467" s="230"/>
    </row>
    <row r="3468" spans="1:264" s="36" customFormat="1" x14ac:dyDescent="0.25">
      <c r="A3468" s="36">
        <v>161</v>
      </c>
      <c r="B3468" s="51" t="s">
        <v>3265</v>
      </c>
      <c r="C3468" s="36" t="s">
        <v>3254</v>
      </c>
      <c r="D3468" s="36" t="s">
        <v>3255</v>
      </c>
      <c r="E3468" s="36">
        <v>2001</v>
      </c>
      <c r="F3468" s="51" t="s">
        <v>2927</v>
      </c>
      <c r="G3468" s="36" t="s">
        <v>2696</v>
      </c>
      <c r="H3468" s="36" t="s">
        <v>3215</v>
      </c>
      <c r="I3468" s="36" t="s">
        <v>2836</v>
      </c>
      <c r="J3468" s="36">
        <v>-7.0000000000000001E-3</v>
      </c>
      <c r="K3468" s="36">
        <v>34.6</v>
      </c>
      <c r="L3468" s="36">
        <v>1523.8</v>
      </c>
      <c r="O3468" s="36">
        <v>1915</v>
      </c>
      <c r="P3468" s="36">
        <v>1800</v>
      </c>
      <c r="R3468" s="51" t="s">
        <v>1858</v>
      </c>
      <c r="S3468" s="51" t="s">
        <v>1858</v>
      </c>
      <c r="T3468" s="51"/>
      <c r="U3468" s="51" t="s">
        <v>1962</v>
      </c>
      <c r="V3468" s="51" t="s">
        <v>1382</v>
      </c>
      <c r="W3468" s="51" t="s">
        <v>1717</v>
      </c>
      <c r="X3468" s="51" t="s">
        <v>1382</v>
      </c>
      <c r="Y3468" s="51" t="s">
        <v>1382</v>
      </c>
      <c r="AA3468" s="331">
        <v>43</v>
      </c>
      <c r="AB3468" s="331">
        <v>30</v>
      </c>
      <c r="AC3468" s="36" t="s">
        <v>518</v>
      </c>
      <c r="AD3468" s="36">
        <v>5.3</v>
      </c>
      <c r="AE3468" s="36">
        <v>1.71</v>
      </c>
      <c r="AG3468" s="36" t="s">
        <v>2988</v>
      </c>
      <c r="AH3468" s="36" t="s">
        <v>2921</v>
      </c>
      <c r="AI3468" s="36" t="s">
        <v>577</v>
      </c>
      <c r="AJ3468" s="36" t="s">
        <v>1645</v>
      </c>
      <c r="AK3468" s="36" t="s">
        <v>132</v>
      </c>
      <c r="AT3468" s="36" t="s">
        <v>3259</v>
      </c>
      <c r="AU3468" s="36" t="s">
        <v>3259</v>
      </c>
      <c r="AV3468" s="36" t="s">
        <v>177</v>
      </c>
      <c r="AW3468" s="36" t="s">
        <v>3249</v>
      </c>
      <c r="AX3468" s="36">
        <v>4</v>
      </c>
      <c r="AZ3468" s="36" t="s">
        <v>141</v>
      </c>
      <c r="BE3468" s="36" t="s">
        <v>3267</v>
      </c>
      <c r="BJ3468" s="36" t="s">
        <v>2941</v>
      </c>
      <c r="BK3468" s="36">
        <v>3850</v>
      </c>
      <c r="BL3468" s="36">
        <v>3930</v>
      </c>
      <c r="BP3468" s="407"/>
      <c r="BQ3468" s="407"/>
      <c r="BU3468" s="407"/>
      <c r="BV3468" s="407"/>
      <c r="BZ3468" s="407"/>
      <c r="CA3468" s="407"/>
      <c r="CE3468" s="560"/>
      <c r="CF3468" s="560"/>
      <c r="CG3468" s="560"/>
      <c r="CH3468" s="560"/>
      <c r="JD3468" s="230"/>
    </row>
    <row r="3469" spans="1:264" s="36" customFormat="1" x14ac:dyDescent="0.25">
      <c r="A3469" s="36">
        <v>161</v>
      </c>
      <c r="B3469" s="51" t="s">
        <v>3265</v>
      </c>
      <c r="C3469" s="36" t="s">
        <v>3254</v>
      </c>
      <c r="D3469" s="36" t="s">
        <v>3255</v>
      </c>
      <c r="E3469" s="36">
        <v>2001</v>
      </c>
      <c r="F3469" s="51" t="s">
        <v>2927</v>
      </c>
      <c r="G3469" s="36" t="s">
        <v>2696</v>
      </c>
      <c r="H3469" s="36" t="s">
        <v>3215</v>
      </c>
      <c r="I3469" s="36" t="s">
        <v>2836</v>
      </c>
      <c r="J3469" s="36">
        <v>-7.0000000000000001E-3</v>
      </c>
      <c r="K3469" s="36">
        <v>34.6</v>
      </c>
      <c r="L3469" s="36">
        <v>1523.8</v>
      </c>
      <c r="O3469" s="36">
        <v>1915</v>
      </c>
      <c r="P3469" s="36">
        <v>1800</v>
      </c>
      <c r="R3469" s="51" t="s">
        <v>1858</v>
      </c>
      <c r="S3469" s="51" t="s">
        <v>1858</v>
      </c>
      <c r="T3469" s="51"/>
      <c r="U3469" s="51" t="s">
        <v>1962</v>
      </c>
      <c r="V3469" s="51" t="s">
        <v>1382</v>
      </c>
      <c r="W3469" s="51" t="s">
        <v>1717</v>
      </c>
      <c r="X3469" s="51" t="s">
        <v>1382</v>
      </c>
      <c r="Y3469" s="51" t="s">
        <v>1382</v>
      </c>
      <c r="AA3469" s="331">
        <v>43</v>
      </c>
      <c r="AB3469" s="331">
        <v>30</v>
      </c>
      <c r="AC3469" s="36" t="s">
        <v>518</v>
      </c>
      <c r="AD3469" s="36">
        <v>5.3</v>
      </c>
      <c r="AE3469" s="36">
        <v>1.71</v>
      </c>
      <c r="AG3469" s="36" t="s">
        <v>2988</v>
      </c>
      <c r="AH3469" s="36" t="s">
        <v>2921</v>
      </c>
      <c r="AI3469" s="36" t="s">
        <v>577</v>
      </c>
      <c r="AJ3469" s="36" t="s">
        <v>1645</v>
      </c>
      <c r="AK3469" s="36" t="s">
        <v>132</v>
      </c>
      <c r="AT3469" s="36" t="s">
        <v>3260</v>
      </c>
      <c r="AU3469" s="36" t="s">
        <v>3260</v>
      </c>
      <c r="AV3469" s="36" t="s">
        <v>177</v>
      </c>
      <c r="AW3469" s="36" t="s">
        <v>3249</v>
      </c>
      <c r="AX3469" s="36">
        <v>4</v>
      </c>
      <c r="AZ3469" s="36" t="s">
        <v>141</v>
      </c>
      <c r="BE3469" s="36" t="s">
        <v>3267</v>
      </c>
      <c r="BJ3469" s="36" t="s">
        <v>2941</v>
      </c>
      <c r="BK3469" s="36">
        <v>2920</v>
      </c>
      <c r="BL3469" s="36">
        <v>2550</v>
      </c>
      <c r="BP3469" s="407"/>
      <c r="BQ3469" s="407"/>
      <c r="BU3469" s="407"/>
      <c r="BV3469" s="407"/>
      <c r="BZ3469" s="407"/>
      <c r="CA3469" s="407"/>
      <c r="CE3469" s="560"/>
      <c r="CF3469" s="560"/>
      <c r="CG3469" s="560"/>
      <c r="CH3469" s="560"/>
      <c r="JD3469" s="230"/>
    </row>
    <row r="3470" spans="1:264" s="36" customFormat="1" x14ac:dyDescent="0.25">
      <c r="A3470" s="36">
        <v>161</v>
      </c>
      <c r="B3470" s="51" t="s">
        <v>3265</v>
      </c>
      <c r="C3470" s="36" t="s">
        <v>3254</v>
      </c>
      <c r="D3470" s="36" t="s">
        <v>3255</v>
      </c>
      <c r="E3470" s="36">
        <v>2001</v>
      </c>
      <c r="F3470" s="51" t="s">
        <v>2927</v>
      </c>
      <c r="G3470" s="36" t="s">
        <v>2696</v>
      </c>
      <c r="H3470" s="36" t="s">
        <v>3215</v>
      </c>
      <c r="I3470" s="36" t="s">
        <v>2836</v>
      </c>
      <c r="J3470" s="36">
        <v>-7.0000000000000001E-3</v>
      </c>
      <c r="K3470" s="36">
        <v>34.6</v>
      </c>
      <c r="L3470" s="36">
        <v>1523.8</v>
      </c>
      <c r="O3470" s="36">
        <v>1915</v>
      </c>
      <c r="P3470" s="36">
        <v>1800</v>
      </c>
      <c r="R3470" s="51" t="s">
        <v>1858</v>
      </c>
      <c r="S3470" s="51" t="s">
        <v>1858</v>
      </c>
      <c r="T3470" s="51"/>
      <c r="U3470" s="51" t="s">
        <v>1962</v>
      </c>
      <c r="V3470" s="51" t="s">
        <v>1382</v>
      </c>
      <c r="W3470" s="51" t="s">
        <v>1717</v>
      </c>
      <c r="X3470" s="51" t="s">
        <v>1382</v>
      </c>
      <c r="Y3470" s="51" t="s">
        <v>1382</v>
      </c>
      <c r="AA3470" s="331">
        <v>43</v>
      </c>
      <c r="AB3470" s="331">
        <v>30</v>
      </c>
      <c r="AC3470" s="36" t="s">
        <v>518</v>
      </c>
      <c r="AD3470" s="36">
        <v>5.3</v>
      </c>
      <c r="AE3470" s="36">
        <v>1.71</v>
      </c>
      <c r="AG3470" s="36" t="s">
        <v>2988</v>
      </c>
      <c r="AH3470" s="36" t="s">
        <v>2921</v>
      </c>
      <c r="AI3470" s="36" t="s">
        <v>577</v>
      </c>
      <c r="AJ3470" s="36" t="s">
        <v>1645</v>
      </c>
      <c r="AK3470" s="36" t="s">
        <v>132</v>
      </c>
      <c r="AT3470" s="36" t="s">
        <v>3261</v>
      </c>
      <c r="AU3470" s="36" t="s">
        <v>3261</v>
      </c>
      <c r="AV3470" s="36" t="s">
        <v>177</v>
      </c>
      <c r="AW3470" s="36" t="s">
        <v>3249</v>
      </c>
      <c r="AX3470" s="36">
        <v>4</v>
      </c>
      <c r="AZ3470" s="36" t="s">
        <v>141</v>
      </c>
      <c r="BE3470" s="36" t="s">
        <v>3267</v>
      </c>
      <c r="BJ3470" s="36" t="s">
        <v>2941</v>
      </c>
      <c r="BK3470" s="36">
        <v>5170</v>
      </c>
      <c r="BL3470" s="36">
        <v>4330</v>
      </c>
      <c r="BP3470" s="407"/>
      <c r="BQ3470" s="407"/>
      <c r="BU3470" s="407"/>
      <c r="BV3470" s="407"/>
      <c r="BZ3470" s="407"/>
      <c r="CA3470" s="407"/>
      <c r="CE3470" s="560"/>
      <c r="CF3470" s="560"/>
      <c r="CG3470" s="560"/>
      <c r="CH3470" s="560"/>
      <c r="JD3470" s="230"/>
    </row>
    <row r="3471" spans="1:264" s="126" customFormat="1" x14ac:dyDescent="0.25">
      <c r="A3471" s="126">
        <v>161</v>
      </c>
      <c r="B3471" s="478" t="s">
        <v>3271</v>
      </c>
      <c r="C3471" s="126" t="s">
        <v>3254</v>
      </c>
      <c r="D3471" s="126" t="s">
        <v>3255</v>
      </c>
      <c r="E3471" s="126">
        <v>2001</v>
      </c>
      <c r="F3471" s="478" t="s">
        <v>3264</v>
      </c>
      <c r="G3471" s="126" t="s">
        <v>2696</v>
      </c>
      <c r="H3471" s="126" t="s">
        <v>3215</v>
      </c>
      <c r="I3471" s="126" t="s">
        <v>2836</v>
      </c>
      <c r="J3471" s="126">
        <v>-7.0000000000000001E-3</v>
      </c>
      <c r="K3471" s="126">
        <v>34.6</v>
      </c>
      <c r="L3471" s="126">
        <v>1523.8</v>
      </c>
      <c r="O3471" s="126">
        <f>1145+770</f>
        <v>1915</v>
      </c>
      <c r="P3471" s="126">
        <v>1800</v>
      </c>
      <c r="R3471" s="478" t="s">
        <v>1847</v>
      </c>
      <c r="S3471" s="478" t="s">
        <v>1858</v>
      </c>
      <c r="T3471" s="478"/>
      <c r="U3471" s="478" t="s">
        <v>1962</v>
      </c>
      <c r="V3471" s="478" t="s">
        <v>1382</v>
      </c>
      <c r="W3471" s="478" t="s">
        <v>1717</v>
      </c>
      <c r="X3471" s="478" t="s">
        <v>1382</v>
      </c>
      <c r="Y3471" s="478" t="s">
        <v>1382</v>
      </c>
      <c r="AA3471" s="479">
        <v>43</v>
      </c>
      <c r="AB3471" s="479">
        <v>30</v>
      </c>
      <c r="AC3471" s="126" t="s">
        <v>518</v>
      </c>
      <c r="AD3471" s="126">
        <v>5.3</v>
      </c>
      <c r="AE3471" s="126">
        <v>1.71</v>
      </c>
      <c r="AG3471" s="126" t="s">
        <v>2988</v>
      </c>
      <c r="AH3471" s="126" t="s">
        <v>2921</v>
      </c>
      <c r="AI3471" s="126" t="s">
        <v>577</v>
      </c>
      <c r="AJ3471" s="126" t="s">
        <v>2868</v>
      </c>
      <c r="AK3471" s="126" t="s">
        <v>229</v>
      </c>
      <c r="AT3471" s="126" t="s">
        <v>3250</v>
      </c>
      <c r="AU3471" s="126" t="s">
        <v>3250</v>
      </c>
      <c r="AV3471" s="126" t="s">
        <v>177</v>
      </c>
      <c r="AW3471" s="126" t="s">
        <v>3249</v>
      </c>
      <c r="AX3471" s="126">
        <v>4</v>
      </c>
      <c r="AZ3471" s="126" t="s">
        <v>141</v>
      </c>
      <c r="BE3471" s="126" t="s">
        <v>3267</v>
      </c>
      <c r="BJ3471" s="126" t="s">
        <v>2941</v>
      </c>
      <c r="BK3471" s="126">
        <v>191</v>
      </c>
      <c r="BL3471" s="126">
        <v>171</v>
      </c>
      <c r="BP3471" s="481"/>
      <c r="BQ3471" s="481"/>
      <c r="BU3471" s="481"/>
      <c r="BV3471" s="481"/>
      <c r="BZ3471" s="481"/>
      <c r="CA3471" s="481"/>
      <c r="CE3471" s="605"/>
      <c r="CF3471" s="605"/>
      <c r="CG3471" s="605"/>
      <c r="CH3471" s="605"/>
      <c r="JD3471" s="480"/>
    </row>
    <row r="3472" spans="1:264" s="126" customFormat="1" x14ac:dyDescent="0.25">
      <c r="A3472" s="126">
        <v>161</v>
      </c>
      <c r="B3472" s="478" t="s">
        <v>3271</v>
      </c>
      <c r="C3472" s="126" t="s">
        <v>3254</v>
      </c>
      <c r="D3472" s="126" t="s">
        <v>3255</v>
      </c>
      <c r="E3472" s="126">
        <v>2001</v>
      </c>
      <c r="F3472" s="478" t="s">
        <v>3264</v>
      </c>
      <c r="G3472" s="126" t="s">
        <v>2696</v>
      </c>
      <c r="H3472" s="126" t="s">
        <v>3215</v>
      </c>
      <c r="I3472" s="126" t="s">
        <v>2836</v>
      </c>
      <c r="J3472" s="126">
        <v>-7.0000000000000001E-3</v>
      </c>
      <c r="K3472" s="126">
        <v>34.6</v>
      </c>
      <c r="L3472" s="126">
        <v>1523.8</v>
      </c>
      <c r="O3472" s="126">
        <f t="shared" si="473"/>
        <v>1915</v>
      </c>
      <c r="P3472" s="126">
        <v>1800</v>
      </c>
      <c r="R3472" s="478" t="s">
        <v>1847</v>
      </c>
      <c r="S3472" s="478" t="s">
        <v>1858</v>
      </c>
      <c r="T3472" s="478"/>
      <c r="U3472" s="478" t="s">
        <v>1962</v>
      </c>
      <c r="V3472" s="478" t="s">
        <v>1382</v>
      </c>
      <c r="W3472" s="478" t="s">
        <v>1717</v>
      </c>
      <c r="X3472" s="478" t="s">
        <v>1382</v>
      </c>
      <c r="Y3472" s="478" t="s">
        <v>1382</v>
      </c>
      <c r="AA3472" s="479">
        <v>43</v>
      </c>
      <c r="AB3472" s="479">
        <v>30</v>
      </c>
      <c r="AC3472" s="126" t="s">
        <v>518</v>
      </c>
      <c r="AD3472" s="126">
        <v>5.3</v>
      </c>
      <c r="AE3472" s="126">
        <v>1.71</v>
      </c>
      <c r="AG3472" s="126" t="s">
        <v>2988</v>
      </c>
      <c r="AH3472" s="126" t="s">
        <v>2921</v>
      </c>
      <c r="AI3472" s="126" t="s">
        <v>577</v>
      </c>
      <c r="AJ3472" s="126" t="s">
        <v>2868</v>
      </c>
      <c r="AK3472" s="126" t="s">
        <v>229</v>
      </c>
      <c r="AT3472" s="126" t="s">
        <v>3258</v>
      </c>
      <c r="AU3472" s="126" t="s">
        <v>3258</v>
      </c>
      <c r="AV3472" s="126" t="s">
        <v>177</v>
      </c>
      <c r="AW3472" s="126" t="s">
        <v>3249</v>
      </c>
      <c r="AX3472" s="126">
        <v>4</v>
      </c>
      <c r="AZ3472" s="126" t="s">
        <v>141</v>
      </c>
      <c r="BE3472" s="126" t="s">
        <v>3268</v>
      </c>
      <c r="BJ3472" s="126" t="s">
        <v>2941</v>
      </c>
      <c r="BK3472" s="126">
        <v>375</v>
      </c>
      <c r="BL3472" s="126">
        <v>487</v>
      </c>
      <c r="BP3472" s="481"/>
      <c r="BQ3472" s="481"/>
      <c r="BU3472" s="481"/>
      <c r="BV3472" s="481"/>
      <c r="BZ3472" s="481"/>
      <c r="CA3472" s="481"/>
      <c r="CE3472" s="605"/>
      <c r="CF3472" s="605"/>
      <c r="CG3472" s="605"/>
      <c r="CH3472" s="605"/>
      <c r="JD3472" s="480"/>
    </row>
    <row r="3473" spans="1:264" s="126" customFormat="1" x14ac:dyDescent="0.25">
      <c r="A3473" s="126">
        <v>161</v>
      </c>
      <c r="B3473" s="478" t="s">
        <v>3271</v>
      </c>
      <c r="C3473" s="126" t="s">
        <v>3254</v>
      </c>
      <c r="D3473" s="126" t="s">
        <v>3255</v>
      </c>
      <c r="E3473" s="126">
        <v>2001</v>
      </c>
      <c r="F3473" s="478" t="s">
        <v>1976</v>
      </c>
      <c r="G3473" s="126" t="s">
        <v>2696</v>
      </c>
      <c r="H3473" s="126" t="s">
        <v>3215</v>
      </c>
      <c r="I3473" s="126" t="s">
        <v>2836</v>
      </c>
      <c r="J3473" s="126">
        <v>-7.0000000000000001E-3</v>
      </c>
      <c r="K3473" s="126">
        <v>34.6</v>
      </c>
      <c r="L3473" s="126">
        <v>1523.8</v>
      </c>
      <c r="O3473" s="126">
        <f t="shared" si="473"/>
        <v>1915</v>
      </c>
      <c r="P3473" s="126">
        <v>1800</v>
      </c>
      <c r="R3473" s="478" t="s">
        <v>1728</v>
      </c>
      <c r="S3473" s="478" t="s">
        <v>1858</v>
      </c>
      <c r="T3473" s="478"/>
      <c r="U3473" s="478" t="s">
        <v>1962</v>
      </c>
      <c r="V3473" s="478" t="s">
        <v>1382</v>
      </c>
      <c r="W3473" s="478" t="s">
        <v>1717</v>
      </c>
      <c r="X3473" s="478" t="s">
        <v>1382</v>
      </c>
      <c r="Y3473" s="478" t="s">
        <v>1382</v>
      </c>
      <c r="AA3473" s="479">
        <v>43</v>
      </c>
      <c r="AB3473" s="479">
        <v>30</v>
      </c>
      <c r="AC3473" s="126" t="s">
        <v>518</v>
      </c>
      <c r="AD3473" s="126">
        <v>5.3</v>
      </c>
      <c r="AE3473" s="126">
        <v>1.71</v>
      </c>
      <c r="AG3473" s="126" t="s">
        <v>2988</v>
      </c>
      <c r="AH3473" s="126" t="s">
        <v>2921</v>
      </c>
      <c r="AI3473" s="126" t="s">
        <v>577</v>
      </c>
      <c r="AJ3473" s="126" t="s">
        <v>2868</v>
      </c>
      <c r="AK3473" s="126" t="s">
        <v>229</v>
      </c>
      <c r="AT3473" s="126" t="s">
        <v>3250</v>
      </c>
      <c r="AU3473" s="126" t="s">
        <v>3250</v>
      </c>
      <c r="AV3473" s="126" t="s">
        <v>177</v>
      </c>
      <c r="AW3473" s="126" t="s">
        <v>3249</v>
      </c>
      <c r="AX3473" s="126">
        <v>4</v>
      </c>
      <c r="AZ3473" s="126" t="s">
        <v>141</v>
      </c>
      <c r="BE3473" s="126" t="s">
        <v>3266</v>
      </c>
      <c r="BJ3473" s="126" t="s">
        <v>2941</v>
      </c>
      <c r="BK3473" s="126">
        <v>161</v>
      </c>
      <c r="BL3473" s="126">
        <v>144</v>
      </c>
      <c r="BP3473" s="481"/>
      <c r="BQ3473" s="481"/>
      <c r="BU3473" s="481"/>
      <c r="BV3473" s="481"/>
      <c r="BZ3473" s="481"/>
      <c r="CA3473" s="481"/>
      <c r="CE3473" s="605"/>
      <c r="CF3473" s="605"/>
      <c r="CG3473" s="605"/>
      <c r="CH3473" s="605"/>
      <c r="JD3473" s="480"/>
    </row>
    <row r="3474" spans="1:264" s="126" customFormat="1" x14ac:dyDescent="0.25">
      <c r="A3474" s="126">
        <v>161</v>
      </c>
      <c r="B3474" s="478" t="s">
        <v>3271</v>
      </c>
      <c r="C3474" s="126" t="s">
        <v>3254</v>
      </c>
      <c r="D3474" s="126" t="s">
        <v>3255</v>
      </c>
      <c r="E3474" s="126">
        <v>2001</v>
      </c>
      <c r="F3474" s="478" t="s">
        <v>1976</v>
      </c>
      <c r="G3474" s="126" t="s">
        <v>2696</v>
      </c>
      <c r="H3474" s="126" t="s">
        <v>3215</v>
      </c>
      <c r="I3474" s="126" t="s">
        <v>2836</v>
      </c>
      <c r="J3474" s="126">
        <v>-7.0000000000000001E-3</v>
      </c>
      <c r="K3474" s="126">
        <v>34.6</v>
      </c>
      <c r="L3474" s="126">
        <v>1523.8</v>
      </c>
      <c r="O3474" s="126">
        <f t="shared" si="473"/>
        <v>1915</v>
      </c>
      <c r="P3474" s="126">
        <v>1800</v>
      </c>
      <c r="R3474" s="478" t="s">
        <v>1728</v>
      </c>
      <c r="S3474" s="478" t="s">
        <v>1858</v>
      </c>
      <c r="T3474" s="478"/>
      <c r="U3474" s="478" t="s">
        <v>1962</v>
      </c>
      <c r="V3474" s="478" t="s">
        <v>1382</v>
      </c>
      <c r="W3474" s="478" t="s">
        <v>1717</v>
      </c>
      <c r="X3474" s="478" t="s">
        <v>1382</v>
      </c>
      <c r="Y3474" s="478" t="s">
        <v>1382</v>
      </c>
      <c r="AA3474" s="479">
        <v>43</v>
      </c>
      <c r="AB3474" s="479">
        <v>30</v>
      </c>
      <c r="AC3474" s="126" t="s">
        <v>518</v>
      </c>
      <c r="AD3474" s="126">
        <v>5.3</v>
      </c>
      <c r="AE3474" s="126">
        <v>1.71</v>
      </c>
      <c r="AG3474" s="126" t="s">
        <v>2988</v>
      </c>
      <c r="AH3474" s="126" t="s">
        <v>2921</v>
      </c>
      <c r="AI3474" s="126" t="s">
        <v>577</v>
      </c>
      <c r="AJ3474" s="126" t="s">
        <v>2868</v>
      </c>
      <c r="AK3474" s="126" t="s">
        <v>229</v>
      </c>
      <c r="AT3474" s="126" t="s">
        <v>3258</v>
      </c>
      <c r="AU3474" s="126" t="s">
        <v>3258</v>
      </c>
      <c r="AV3474" s="126" t="s">
        <v>177</v>
      </c>
      <c r="AW3474" s="126" t="s">
        <v>3249</v>
      </c>
      <c r="AX3474" s="126">
        <v>4</v>
      </c>
      <c r="AZ3474" s="126" t="s">
        <v>141</v>
      </c>
      <c r="BE3474" s="126" t="s">
        <v>3266</v>
      </c>
      <c r="BJ3474" s="126" t="s">
        <v>2941</v>
      </c>
      <c r="BK3474" s="126">
        <v>445</v>
      </c>
      <c r="BL3474" s="126">
        <v>551</v>
      </c>
      <c r="BP3474" s="481"/>
      <c r="BQ3474" s="481"/>
      <c r="BU3474" s="481"/>
      <c r="BV3474" s="481"/>
      <c r="BZ3474" s="481"/>
      <c r="CA3474" s="481"/>
      <c r="CE3474" s="605"/>
      <c r="CF3474" s="605"/>
      <c r="CG3474" s="605"/>
      <c r="CH3474" s="605"/>
      <c r="JD3474" s="480"/>
    </row>
    <row r="3475" spans="1:264" s="36" customFormat="1" x14ac:dyDescent="0.25">
      <c r="A3475" s="36">
        <v>161</v>
      </c>
      <c r="B3475" s="51" t="s">
        <v>3271</v>
      </c>
      <c r="C3475" s="36" t="s">
        <v>3254</v>
      </c>
      <c r="D3475" s="36" t="s">
        <v>3255</v>
      </c>
      <c r="E3475" s="36">
        <v>2001</v>
      </c>
      <c r="F3475" s="51" t="s">
        <v>1976</v>
      </c>
      <c r="G3475" s="36" t="s">
        <v>2696</v>
      </c>
      <c r="H3475" s="36" t="s">
        <v>3215</v>
      </c>
      <c r="I3475" s="36" t="s">
        <v>2836</v>
      </c>
      <c r="J3475" s="36">
        <v>-7.0000000000000001E-3</v>
      </c>
      <c r="K3475" s="36">
        <v>34.6</v>
      </c>
      <c r="L3475" s="36">
        <v>1523.8</v>
      </c>
      <c r="O3475" s="36">
        <v>1915</v>
      </c>
      <c r="P3475" s="36">
        <v>1800</v>
      </c>
      <c r="R3475" s="51" t="s">
        <v>1728</v>
      </c>
      <c r="S3475" s="51" t="s">
        <v>1858</v>
      </c>
      <c r="T3475" s="51"/>
      <c r="U3475" s="51" t="s">
        <v>1962</v>
      </c>
      <c r="V3475" s="51" t="s">
        <v>1382</v>
      </c>
      <c r="W3475" s="51" t="s">
        <v>1717</v>
      </c>
      <c r="X3475" s="51" t="s">
        <v>1382</v>
      </c>
      <c r="Y3475" s="51" t="s">
        <v>1382</v>
      </c>
      <c r="AA3475" s="331">
        <v>43</v>
      </c>
      <c r="AB3475" s="331">
        <v>30</v>
      </c>
      <c r="AC3475" s="36" t="s">
        <v>518</v>
      </c>
      <c r="AD3475" s="36">
        <v>5.3</v>
      </c>
      <c r="AE3475" s="36">
        <v>1.71</v>
      </c>
      <c r="AG3475" s="36" t="s">
        <v>2988</v>
      </c>
      <c r="AH3475" s="36" t="s">
        <v>2921</v>
      </c>
      <c r="AI3475" s="36" t="s">
        <v>577</v>
      </c>
      <c r="AJ3475" s="36" t="s">
        <v>2868</v>
      </c>
      <c r="AK3475" s="36" t="s">
        <v>229</v>
      </c>
      <c r="AT3475" s="36" t="s">
        <v>3250</v>
      </c>
      <c r="AU3475" s="36" t="s">
        <v>3250</v>
      </c>
      <c r="AV3475" s="36" t="s">
        <v>177</v>
      </c>
      <c r="AW3475" s="36" t="s">
        <v>3249</v>
      </c>
      <c r="AX3475" s="36">
        <v>4</v>
      </c>
      <c r="AZ3475" s="36" t="s">
        <v>141</v>
      </c>
      <c r="BE3475" s="36" t="s">
        <v>3267</v>
      </c>
      <c r="BJ3475" s="36" t="s">
        <v>2941</v>
      </c>
      <c r="BK3475" s="36">
        <v>78</v>
      </c>
      <c r="BL3475" s="36">
        <v>82</v>
      </c>
      <c r="BP3475" s="407"/>
      <c r="BQ3475" s="407"/>
      <c r="BU3475" s="407"/>
      <c r="BV3475" s="407"/>
      <c r="BZ3475" s="407"/>
      <c r="CA3475" s="407"/>
      <c r="CE3475" s="560"/>
      <c r="CF3475" s="560"/>
      <c r="CG3475" s="560"/>
      <c r="CH3475" s="560"/>
      <c r="JD3475" s="230"/>
    </row>
    <row r="3476" spans="1:264" s="36" customFormat="1" x14ac:dyDescent="0.25">
      <c r="A3476" s="36">
        <v>161</v>
      </c>
      <c r="B3476" s="51" t="s">
        <v>3271</v>
      </c>
      <c r="C3476" s="36" t="s">
        <v>3254</v>
      </c>
      <c r="D3476" s="36" t="s">
        <v>3255</v>
      </c>
      <c r="E3476" s="36">
        <v>2001</v>
      </c>
      <c r="F3476" s="51" t="s">
        <v>1976</v>
      </c>
      <c r="G3476" s="36" t="s">
        <v>2696</v>
      </c>
      <c r="H3476" s="36" t="s">
        <v>3215</v>
      </c>
      <c r="I3476" s="36" t="s">
        <v>2836</v>
      </c>
      <c r="J3476" s="36">
        <v>-7.0000000000000001E-3</v>
      </c>
      <c r="K3476" s="36">
        <v>34.6</v>
      </c>
      <c r="L3476" s="36">
        <v>1523.8</v>
      </c>
      <c r="O3476" s="36">
        <v>1915</v>
      </c>
      <c r="P3476" s="36">
        <v>1800</v>
      </c>
      <c r="R3476" s="51" t="s">
        <v>1728</v>
      </c>
      <c r="S3476" s="51" t="s">
        <v>1858</v>
      </c>
      <c r="T3476" s="51"/>
      <c r="U3476" s="51" t="s">
        <v>1962</v>
      </c>
      <c r="V3476" s="51" t="s">
        <v>1382</v>
      </c>
      <c r="W3476" s="51" t="s">
        <v>1717</v>
      </c>
      <c r="X3476" s="51" t="s">
        <v>1382</v>
      </c>
      <c r="Y3476" s="51" t="s">
        <v>1382</v>
      </c>
      <c r="AA3476" s="331">
        <v>43</v>
      </c>
      <c r="AB3476" s="331">
        <v>30</v>
      </c>
      <c r="AC3476" s="36" t="s">
        <v>518</v>
      </c>
      <c r="AD3476" s="36">
        <v>5.3</v>
      </c>
      <c r="AE3476" s="36">
        <v>1.71</v>
      </c>
      <c r="AG3476" s="36" t="s">
        <v>2988</v>
      </c>
      <c r="AH3476" s="36" t="s">
        <v>2921</v>
      </c>
      <c r="AI3476" s="36" t="s">
        <v>577</v>
      </c>
      <c r="AJ3476" s="36" t="s">
        <v>2868</v>
      </c>
      <c r="AK3476" s="36" t="s">
        <v>229</v>
      </c>
      <c r="AT3476" s="36" t="s">
        <v>3258</v>
      </c>
      <c r="AU3476" s="36" t="s">
        <v>3258</v>
      </c>
      <c r="AV3476" s="36" t="s">
        <v>177</v>
      </c>
      <c r="AW3476" s="36" t="s">
        <v>3249</v>
      </c>
      <c r="AX3476" s="36">
        <v>4</v>
      </c>
      <c r="AZ3476" s="36" t="s">
        <v>141</v>
      </c>
      <c r="BE3476" s="36" t="s">
        <v>3267</v>
      </c>
      <c r="BJ3476" s="36" t="s">
        <v>2941</v>
      </c>
      <c r="BK3476" s="36">
        <v>305</v>
      </c>
      <c r="BL3476" s="36">
        <v>393</v>
      </c>
      <c r="BP3476" s="407"/>
      <c r="BQ3476" s="407"/>
      <c r="BU3476" s="407"/>
      <c r="BV3476" s="407"/>
      <c r="BZ3476" s="407"/>
      <c r="CA3476" s="407"/>
      <c r="CE3476" s="560"/>
      <c r="CF3476" s="560"/>
      <c r="CG3476" s="560"/>
      <c r="CH3476" s="560"/>
      <c r="JD3476" s="230"/>
    </row>
    <row r="3477" spans="1:264" s="36" customFormat="1" x14ac:dyDescent="0.25">
      <c r="A3477" s="36">
        <v>161</v>
      </c>
      <c r="B3477" s="51" t="s">
        <v>3271</v>
      </c>
      <c r="C3477" s="36" t="s">
        <v>3254</v>
      </c>
      <c r="D3477" s="36" t="s">
        <v>3255</v>
      </c>
      <c r="E3477" s="36">
        <v>2001</v>
      </c>
      <c r="F3477" s="51" t="s">
        <v>2927</v>
      </c>
      <c r="G3477" s="36" t="s">
        <v>2696</v>
      </c>
      <c r="H3477" s="36" t="s">
        <v>3215</v>
      </c>
      <c r="I3477" s="36" t="s">
        <v>2836</v>
      </c>
      <c r="J3477" s="36">
        <v>-7.0000000000000001E-3</v>
      </c>
      <c r="K3477" s="36">
        <v>34.6</v>
      </c>
      <c r="L3477" s="36">
        <v>1523.8</v>
      </c>
      <c r="O3477" s="36">
        <v>1915</v>
      </c>
      <c r="P3477" s="36">
        <v>1800</v>
      </c>
      <c r="R3477" s="51" t="s">
        <v>1858</v>
      </c>
      <c r="S3477" s="51" t="s">
        <v>1858</v>
      </c>
      <c r="T3477" s="51"/>
      <c r="U3477" s="51" t="s">
        <v>1962</v>
      </c>
      <c r="V3477" s="51" t="s">
        <v>1382</v>
      </c>
      <c r="W3477" s="51" t="s">
        <v>1717</v>
      </c>
      <c r="X3477" s="51" t="s">
        <v>1382</v>
      </c>
      <c r="Y3477" s="51" t="s">
        <v>1382</v>
      </c>
      <c r="AA3477" s="331">
        <v>43</v>
      </c>
      <c r="AB3477" s="331">
        <v>30</v>
      </c>
      <c r="AC3477" s="36" t="s">
        <v>518</v>
      </c>
      <c r="AD3477" s="36">
        <v>5.3</v>
      </c>
      <c r="AE3477" s="36">
        <v>1.71</v>
      </c>
      <c r="AG3477" s="36" t="s">
        <v>2988</v>
      </c>
      <c r="AH3477" s="36" t="s">
        <v>2921</v>
      </c>
      <c r="AI3477" s="36" t="s">
        <v>577</v>
      </c>
      <c r="AJ3477" s="36" t="s">
        <v>2868</v>
      </c>
      <c r="AK3477" s="36" t="s">
        <v>229</v>
      </c>
      <c r="AT3477" s="36" t="s">
        <v>3250</v>
      </c>
      <c r="AU3477" s="36" t="s">
        <v>3250</v>
      </c>
      <c r="AV3477" s="36" t="s">
        <v>177</v>
      </c>
      <c r="AW3477" s="36" t="s">
        <v>3249</v>
      </c>
      <c r="AX3477" s="36">
        <v>4</v>
      </c>
      <c r="AZ3477" s="36" t="s">
        <v>141</v>
      </c>
      <c r="BE3477" s="36" t="s">
        <v>3269</v>
      </c>
      <c r="BJ3477" s="36" t="s">
        <v>2941</v>
      </c>
      <c r="BK3477" s="36">
        <v>147</v>
      </c>
      <c r="BL3477" s="36">
        <v>134</v>
      </c>
      <c r="BP3477" s="407"/>
      <c r="BQ3477" s="407"/>
      <c r="BU3477" s="407"/>
      <c r="BV3477" s="407"/>
      <c r="BZ3477" s="407"/>
      <c r="CA3477" s="407"/>
      <c r="CE3477" s="560"/>
      <c r="CF3477" s="560"/>
      <c r="CG3477" s="560"/>
      <c r="CH3477" s="560"/>
      <c r="JD3477" s="230"/>
    </row>
    <row r="3478" spans="1:264" s="36" customFormat="1" x14ac:dyDescent="0.25">
      <c r="A3478" s="36">
        <v>161</v>
      </c>
      <c r="B3478" s="51" t="s">
        <v>3271</v>
      </c>
      <c r="C3478" s="36" t="s">
        <v>3254</v>
      </c>
      <c r="D3478" s="36" t="s">
        <v>3255</v>
      </c>
      <c r="E3478" s="36">
        <v>2001</v>
      </c>
      <c r="F3478" s="51" t="s">
        <v>2927</v>
      </c>
      <c r="G3478" s="36" t="s">
        <v>2696</v>
      </c>
      <c r="H3478" s="36" t="s">
        <v>3215</v>
      </c>
      <c r="I3478" s="36" t="s">
        <v>2836</v>
      </c>
      <c r="J3478" s="36">
        <v>-7.0000000000000001E-3</v>
      </c>
      <c r="K3478" s="36">
        <v>34.6</v>
      </c>
      <c r="L3478" s="36">
        <v>1523.8</v>
      </c>
      <c r="O3478" s="36">
        <v>1915</v>
      </c>
      <c r="P3478" s="36">
        <v>1800</v>
      </c>
      <c r="R3478" s="51" t="s">
        <v>1858</v>
      </c>
      <c r="S3478" s="51" t="s">
        <v>1858</v>
      </c>
      <c r="T3478" s="51"/>
      <c r="U3478" s="51" t="s">
        <v>1962</v>
      </c>
      <c r="V3478" s="51" t="s">
        <v>1382</v>
      </c>
      <c r="W3478" s="51" t="s">
        <v>1717</v>
      </c>
      <c r="X3478" s="51" t="s">
        <v>1382</v>
      </c>
      <c r="Y3478" s="51" t="s">
        <v>1382</v>
      </c>
      <c r="AA3478" s="331">
        <v>43</v>
      </c>
      <c r="AB3478" s="331">
        <v>30</v>
      </c>
      <c r="AC3478" s="36" t="s">
        <v>518</v>
      </c>
      <c r="AD3478" s="36">
        <v>5.3</v>
      </c>
      <c r="AE3478" s="36">
        <v>1.71</v>
      </c>
      <c r="AG3478" s="36" t="s">
        <v>2988</v>
      </c>
      <c r="AH3478" s="36" t="s">
        <v>2921</v>
      </c>
      <c r="AI3478" s="36" t="s">
        <v>577</v>
      </c>
      <c r="AJ3478" s="36" t="s">
        <v>2868</v>
      </c>
      <c r="AK3478" s="36" t="s">
        <v>229</v>
      </c>
      <c r="AT3478" s="36" t="s">
        <v>3258</v>
      </c>
      <c r="AU3478" s="36" t="s">
        <v>3258</v>
      </c>
      <c r="AV3478" s="36" t="s">
        <v>177</v>
      </c>
      <c r="AW3478" s="36" t="s">
        <v>3249</v>
      </c>
      <c r="AX3478" s="36">
        <v>4</v>
      </c>
      <c r="AZ3478" s="36" t="s">
        <v>141</v>
      </c>
      <c r="BE3478" s="36" t="s">
        <v>3270</v>
      </c>
      <c r="BJ3478" s="36" t="s">
        <v>2941</v>
      </c>
      <c r="BK3478" s="36">
        <v>370</v>
      </c>
      <c r="BL3478" s="36">
        <v>479</v>
      </c>
      <c r="BP3478" s="407"/>
      <c r="BQ3478" s="407"/>
      <c r="BU3478" s="407"/>
      <c r="BV3478" s="407"/>
      <c r="BZ3478" s="407"/>
      <c r="CA3478" s="407"/>
      <c r="CE3478" s="560"/>
      <c r="CF3478" s="560"/>
      <c r="CG3478" s="560"/>
      <c r="CH3478" s="560"/>
      <c r="JD3478" s="230"/>
    </row>
    <row r="3479" spans="1:264" s="24" customFormat="1" x14ac:dyDescent="0.25">
      <c r="A3479" s="24">
        <v>162</v>
      </c>
      <c r="B3479" s="42" t="s">
        <v>3284</v>
      </c>
      <c r="C3479" s="24" t="s">
        <v>3274</v>
      </c>
      <c r="D3479" s="24" t="s">
        <v>3275</v>
      </c>
      <c r="E3479" s="24">
        <v>2006</v>
      </c>
      <c r="F3479" s="24">
        <v>2002</v>
      </c>
      <c r="G3479" s="24" t="s">
        <v>2713</v>
      </c>
      <c r="H3479" s="24" t="s">
        <v>3278</v>
      </c>
      <c r="I3479" s="24" t="s">
        <v>3189</v>
      </c>
      <c r="J3479" s="24">
        <f>-6-13/60</f>
        <v>-6.2166666666666668</v>
      </c>
      <c r="K3479" s="24">
        <f>36+53/60</f>
        <v>36.883333333333333</v>
      </c>
      <c r="L3479" s="24">
        <v>1353</v>
      </c>
      <c r="O3479" s="24">
        <f>115.6+172+160.9</f>
        <v>448.5</v>
      </c>
      <c r="R3479" s="42" t="s">
        <v>1847</v>
      </c>
      <c r="S3479" s="42" t="s">
        <v>1722</v>
      </c>
      <c r="T3479" s="42"/>
      <c r="U3479" s="42" t="s">
        <v>3283</v>
      </c>
      <c r="V3479" s="42" t="s">
        <v>1382</v>
      </c>
      <c r="W3479" s="42" t="s">
        <v>1717</v>
      </c>
      <c r="X3479" s="42" t="s">
        <v>1382</v>
      </c>
      <c r="Y3479" s="42" t="s">
        <v>1382</v>
      </c>
      <c r="AA3479" s="321"/>
      <c r="AB3479" s="321"/>
      <c r="AG3479" s="24" t="s">
        <v>3281</v>
      </c>
      <c r="AH3479" s="24" t="s">
        <v>2734</v>
      </c>
      <c r="AI3479" s="24" t="s">
        <v>577</v>
      </c>
      <c r="AJ3479" s="24" t="s">
        <v>1645</v>
      </c>
      <c r="AK3479" s="24" t="s">
        <v>132</v>
      </c>
      <c r="AX3479" s="24">
        <v>4</v>
      </c>
      <c r="AY3479" s="24">
        <v>5</v>
      </c>
      <c r="AZ3479" s="24" t="s">
        <v>141</v>
      </c>
      <c r="BF3479" s="24">
        <v>1723</v>
      </c>
      <c r="BG3479" s="24">
        <v>1831</v>
      </c>
      <c r="BJ3479" s="24" t="s">
        <v>2941</v>
      </c>
      <c r="BK3479" s="24">
        <v>4880</v>
      </c>
      <c r="BL3479" s="24">
        <v>4792</v>
      </c>
      <c r="BP3479" s="395"/>
      <c r="BQ3479" s="395"/>
      <c r="BU3479" s="395">
        <v>1.35</v>
      </c>
      <c r="BV3479" s="395">
        <v>1.42</v>
      </c>
      <c r="BW3479" s="395">
        <f>1.46-BU3479</f>
        <v>0.10999999999999988</v>
      </c>
      <c r="BX3479" s="395">
        <f>1.52-BV3479</f>
        <v>0.10000000000000009</v>
      </c>
      <c r="BY3479" s="24" t="s">
        <v>3289</v>
      </c>
      <c r="CE3479" s="395">
        <v>1.35</v>
      </c>
      <c r="CF3479" s="395">
        <v>1.42</v>
      </c>
      <c r="CG3479" s="395">
        <f>1.46-CE3479</f>
        <v>0.10999999999999988</v>
      </c>
      <c r="CH3479" s="395">
        <f>1.52-CF3479</f>
        <v>0.10000000000000009</v>
      </c>
      <c r="CI3479" s="24" t="s">
        <v>4544</v>
      </c>
      <c r="CJ3479" s="24">
        <v>1.21</v>
      </c>
      <c r="CK3479" s="24">
        <v>1.27</v>
      </c>
      <c r="CL3479" s="24">
        <f>1.26-CJ3479</f>
        <v>5.0000000000000044E-2</v>
      </c>
      <c r="CM3479" s="24">
        <f>1.33-CK3479</f>
        <v>6.0000000000000053E-2</v>
      </c>
      <c r="CN3479" s="24" t="s">
        <v>3288</v>
      </c>
      <c r="JD3479" s="249"/>
    </row>
    <row r="3480" spans="1:264" s="24" customFormat="1" x14ac:dyDescent="0.25">
      <c r="A3480" s="24">
        <v>162</v>
      </c>
      <c r="B3480" s="42" t="s">
        <v>3285</v>
      </c>
      <c r="C3480" s="24" t="s">
        <v>3274</v>
      </c>
      <c r="D3480" s="24" t="s">
        <v>3275</v>
      </c>
      <c r="E3480" s="24">
        <v>2006</v>
      </c>
      <c r="F3480" s="24">
        <v>2002</v>
      </c>
      <c r="G3480" s="24" t="s">
        <v>2713</v>
      </c>
      <c r="H3480" s="24" t="s">
        <v>3279</v>
      </c>
      <c r="I3480" s="24" t="s">
        <v>3189</v>
      </c>
      <c r="J3480" s="24">
        <f>-4-14/60</f>
        <v>-4.2333333333333334</v>
      </c>
      <c r="K3480" s="24">
        <f>35+35/60</f>
        <v>35.583333333333336</v>
      </c>
      <c r="L3480" s="24">
        <v>1628</v>
      </c>
      <c r="O3480" s="24">
        <f>5+115+251+76.8+296.6+78+18.6+1</f>
        <v>842.00000000000011</v>
      </c>
      <c r="R3480" s="42" t="s">
        <v>1847</v>
      </c>
      <c r="S3480" s="42" t="s">
        <v>1722</v>
      </c>
      <c r="T3480" s="42"/>
      <c r="U3480" s="42" t="s">
        <v>3283</v>
      </c>
      <c r="V3480" s="42" t="s">
        <v>1382</v>
      </c>
      <c r="W3480" s="42" t="s">
        <v>1717</v>
      </c>
      <c r="X3480" s="42" t="s">
        <v>1382</v>
      </c>
      <c r="Y3480" s="42" t="s">
        <v>1382</v>
      </c>
      <c r="AA3480" s="321"/>
      <c r="AB3480" s="321"/>
      <c r="AG3480" s="24" t="s">
        <v>3280</v>
      </c>
      <c r="AH3480" s="24" t="s">
        <v>2734</v>
      </c>
      <c r="AI3480" s="24" t="s">
        <v>577</v>
      </c>
      <c r="AJ3480" s="24" t="s">
        <v>1645</v>
      </c>
      <c r="AK3480" s="24" t="s">
        <v>132</v>
      </c>
      <c r="AX3480" s="24">
        <v>4</v>
      </c>
      <c r="AY3480" s="24">
        <v>5</v>
      </c>
      <c r="AZ3480" s="24" t="s">
        <v>141</v>
      </c>
      <c r="BF3480" s="24">
        <v>2559</v>
      </c>
      <c r="BG3480" s="24">
        <v>2316</v>
      </c>
      <c r="BJ3480" s="24" t="s">
        <v>2941</v>
      </c>
      <c r="BK3480" s="24">
        <v>2277</v>
      </c>
      <c r="BL3480" s="24">
        <v>1910</v>
      </c>
      <c r="BP3480" s="395"/>
      <c r="BQ3480" s="395"/>
      <c r="BU3480" s="395">
        <v>1.1599999999999999</v>
      </c>
      <c r="BV3480" s="395">
        <v>1.22</v>
      </c>
      <c r="BW3480" s="395">
        <f>1.24-BU3480</f>
        <v>8.0000000000000071E-2</v>
      </c>
      <c r="BX3480" s="395">
        <f>1.31-BV3480</f>
        <v>9.000000000000008E-2</v>
      </c>
      <c r="BY3480" s="24" t="s">
        <v>3289</v>
      </c>
      <c r="CE3480" s="395">
        <v>1.1599999999999999</v>
      </c>
      <c r="CF3480" s="395">
        <v>1.22</v>
      </c>
      <c r="CG3480" s="395">
        <f>1.24-CE3480</f>
        <v>8.0000000000000071E-2</v>
      </c>
      <c r="CH3480" s="395">
        <f>1.31-CF3480</f>
        <v>9.000000000000008E-2</v>
      </c>
      <c r="CI3480" s="24" t="s">
        <v>4544</v>
      </c>
      <c r="CJ3480" s="24">
        <v>1.34</v>
      </c>
      <c r="CK3480" s="24">
        <v>1.43</v>
      </c>
      <c r="CL3480" s="24">
        <f>1.42-CJ3480</f>
        <v>7.9999999999999849E-2</v>
      </c>
      <c r="CM3480" s="24">
        <f>1.5-CK3480</f>
        <v>7.0000000000000062E-2</v>
      </c>
      <c r="CN3480" s="24" t="s">
        <v>3288</v>
      </c>
      <c r="JD3480" s="249"/>
    </row>
    <row r="3481" spans="1:264" s="24" customFormat="1" x14ac:dyDescent="0.25">
      <c r="A3481" s="24">
        <v>162</v>
      </c>
      <c r="B3481" s="42" t="s">
        <v>3286</v>
      </c>
      <c r="C3481" s="24" t="s">
        <v>3274</v>
      </c>
      <c r="D3481" s="24" t="s">
        <v>3275</v>
      </c>
      <c r="E3481" s="24">
        <v>2006</v>
      </c>
      <c r="F3481" s="24">
        <v>2002</v>
      </c>
      <c r="G3481" s="24" t="s">
        <v>2713</v>
      </c>
      <c r="H3481" s="24" t="s">
        <v>3276</v>
      </c>
      <c r="I3481" s="24" t="s">
        <v>2827</v>
      </c>
      <c r="J3481" s="24">
        <f>-14-39/60</f>
        <v>-14.65</v>
      </c>
      <c r="K3481" s="24">
        <f>35+35/60</f>
        <v>35.583333333333336</v>
      </c>
      <c r="L3481" s="24">
        <v>834</v>
      </c>
      <c r="O3481" s="24">
        <f>38.7+269.3+249.1+346.2+52.4+34.9</f>
        <v>990.59999999999991</v>
      </c>
      <c r="R3481" s="42" t="s">
        <v>1847</v>
      </c>
      <c r="S3481" s="42" t="s">
        <v>1722</v>
      </c>
      <c r="T3481" s="42"/>
      <c r="U3481" s="42" t="s">
        <v>3283</v>
      </c>
      <c r="V3481" s="42" t="s">
        <v>1382</v>
      </c>
      <c r="W3481" s="42" t="s">
        <v>1717</v>
      </c>
      <c r="X3481" s="42" t="s">
        <v>1382</v>
      </c>
      <c r="Y3481" s="42" t="s">
        <v>1382</v>
      </c>
      <c r="AA3481" s="321"/>
      <c r="AB3481" s="321"/>
      <c r="AG3481" s="24" t="s">
        <v>3282</v>
      </c>
      <c r="AH3481" s="24" t="s">
        <v>2734</v>
      </c>
      <c r="AI3481" s="24" t="s">
        <v>577</v>
      </c>
      <c r="AJ3481" s="24" t="s">
        <v>1645</v>
      </c>
      <c r="AK3481" s="24" t="s">
        <v>132</v>
      </c>
      <c r="AX3481" s="24">
        <v>4</v>
      </c>
      <c r="AY3481" s="24">
        <v>5</v>
      </c>
      <c r="AZ3481" s="24" t="s">
        <v>141</v>
      </c>
      <c r="BF3481" s="24">
        <v>3558</v>
      </c>
      <c r="BG3481" s="24">
        <v>3250</v>
      </c>
      <c r="BJ3481" s="24" t="s">
        <v>2941</v>
      </c>
      <c r="BK3481" s="24">
        <v>1266</v>
      </c>
      <c r="BL3481" s="24">
        <v>1191</v>
      </c>
      <c r="BP3481" s="395"/>
      <c r="BQ3481" s="395"/>
      <c r="BU3481" s="395">
        <v>1.1399999999999999</v>
      </c>
      <c r="BV3481" s="395">
        <v>1.1599999999999999</v>
      </c>
      <c r="BW3481" s="395">
        <f>1.3-BU3481</f>
        <v>0.16000000000000014</v>
      </c>
      <c r="BX3481" s="395">
        <f>1.277-BV3481</f>
        <v>0.11699999999999999</v>
      </c>
      <c r="BY3481" s="24" t="s">
        <v>3289</v>
      </c>
      <c r="CE3481" s="395">
        <v>1.1399999999999999</v>
      </c>
      <c r="CF3481" s="395">
        <v>1.1599999999999999</v>
      </c>
      <c r="CG3481" s="395">
        <f>1.3-CE3481</f>
        <v>0.16000000000000014</v>
      </c>
      <c r="CH3481" s="395">
        <f>1.277-CF3481</f>
        <v>0.11699999999999999</v>
      </c>
      <c r="CI3481" s="24" t="s">
        <v>4544</v>
      </c>
      <c r="CJ3481" s="24">
        <v>0.51</v>
      </c>
      <c r="CK3481" s="24">
        <v>0.43</v>
      </c>
      <c r="CL3481" s="24">
        <f>0.56-CJ3481</f>
        <v>5.0000000000000044E-2</v>
      </c>
      <c r="CM3481" s="24">
        <f>0.49-CK3481</f>
        <v>0.06</v>
      </c>
      <c r="CN3481" s="24" t="s">
        <v>3288</v>
      </c>
      <c r="JD3481" s="249"/>
    </row>
    <row r="3482" spans="1:264" s="24" customFormat="1" x14ac:dyDescent="0.25">
      <c r="A3482" s="24">
        <v>162</v>
      </c>
      <c r="B3482" s="42" t="s">
        <v>3287</v>
      </c>
      <c r="C3482" s="24" t="s">
        <v>3274</v>
      </c>
      <c r="D3482" s="24" t="s">
        <v>3275</v>
      </c>
      <c r="E3482" s="24">
        <v>2006</v>
      </c>
      <c r="F3482" s="24">
        <v>2002</v>
      </c>
      <c r="G3482" s="24" t="s">
        <v>2713</v>
      </c>
      <c r="H3482" s="24" t="s">
        <v>3277</v>
      </c>
      <c r="I3482" s="24" t="s">
        <v>2827</v>
      </c>
      <c r="J3482" s="24">
        <f>-15-53/60</f>
        <v>-15.883333333333333</v>
      </c>
      <c r="K3482" s="24">
        <f>34+57/60</f>
        <v>34.950000000000003</v>
      </c>
      <c r="L3482" s="24">
        <v>866.6</v>
      </c>
      <c r="O3482" s="24">
        <f>74+46+215+356.9+180.2+246.7</f>
        <v>1118.8</v>
      </c>
      <c r="R3482" s="42" t="s">
        <v>1847</v>
      </c>
      <c r="S3482" s="42" t="s">
        <v>1722</v>
      </c>
      <c r="T3482" s="42"/>
      <c r="U3482" s="42" t="s">
        <v>3283</v>
      </c>
      <c r="V3482" s="42" t="s">
        <v>1382</v>
      </c>
      <c r="W3482" s="42" t="s">
        <v>1717</v>
      </c>
      <c r="X3482" s="42" t="s">
        <v>1382</v>
      </c>
      <c r="Y3482" s="42" t="s">
        <v>1382</v>
      </c>
      <c r="AA3482" s="321"/>
      <c r="AB3482" s="321"/>
      <c r="AG3482" s="24" t="s">
        <v>3280</v>
      </c>
      <c r="AH3482" s="24" t="s">
        <v>2734</v>
      </c>
      <c r="AI3482" s="24" t="s">
        <v>577</v>
      </c>
      <c r="AJ3482" s="24" t="s">
        <v>1645</v>
      </c>
      <c r="AK3482" s="24" t="s">
        <v>132</v>
      </c>
      <c r="AX3482" s="24">
        <v>4</v>
      </c>
      <c r="AY3482" s="24">
        <v>5</v>
      </c>
      <c r="AZ3482" s="24" t="s">
        <v>141</v>
      </c>
      <c r="BF3482" s="24">
        <v>5231</v>
      </c>
      <c r="BG3482" s="24">
        <v>4800</v>
      </c>
      <c r="BJ3482" s="24" t="s">
        <v>2941</v>
      </c>
      <c r="BK3482" s="24">
        <v>691</v>
      </c>
      <c r="BL3482" s="24">
        <v>629</v>
      </c>
      <c r="BP3482" s="395"/>
      <c r="BQ3482" s="395"/>
      <c r="BU3482" s="395">
        <v>0.81</v>
      </c>
      <c r="BV3482" s="395">
        <v>0.73</v>
      </c>
      <c r="BW3482" s="395">
        <f>0.9-BU3482</f>
        <v>8.9999999999999969E-2</v>
      </c>
      <c r="BX3482" s="395">
        <f>0.801-BV3482</f>
        <v>7.1000000000000063E-2</v>
      </c>
      <c r="BY3482" s="24" t="s">
        <v>3289</v>
      </c>
      <c r="CE3482" s="395">
        <v>0.81</v>
      </c>
      <c r="CF3482" s="395">
        <v>0.73</v>
      </c>
      <c r="CG3482" s="395">
        <f>0.9-CE3482</f>
        <v>8.9999999999999969E-2</v>
      </c>
      <c r="CH3482" s="395">
        <f>0.801-CF3482</f>
        <v>7.1000000000000063E-2</v>
      </c>
      <c r="CI3482" s="24" t="s">
        <v>4544</v>
      </c>
      <c r="CJ3482" s="24">
        <v>0.63</v>
      </c>
      <c r="CK3482" s="24">
        <v>0.67</v>
      </c>
      <c r="CL3482" s="24">
        <f>0.72-CJ3482</f>
        <v>8.9999999999999969E-2</v>
      </c>
      <c r="CM3482" s="24">
        <f>0.75-CK3482</f>
        <v>7.999999999999996E-2</v>
      </c>
      <c r="CN3482" s="24" t="s">
        <v>3288</v>
      </c>
      <c r="JD3482" s="249"/>
    </row>
    <row r="3483" spans="1:264" s="32" customFormat="1" x14ac:dyDescent="0.25">
      <c r="A3483" s="32">
        <v>162</v>
      </c>
      <c r="B3483" s="44" t="s">
        <v>3284</v>
      </c>
      <c r="C3483" s="32" t="s">
        <v>3274</v>
      </c>
      <c r="D3483" s="32" t="s">
        <v>3275</v>
      </c>
      <c r="E3483" s="32">
        <v>2006</v>
      </c>
      <c r="F3483" s="32">
        <v>2003</v>
      </c>
      <c r="G3483" s="32" t="s">
        <v>2713</v>
      </c>
      <c r="H3483" s="32" t="s">
        <v>3278</v>
      </c>
      <c r="I3483" s="32" t="s">
        <v>3189</v>
      </c>
      <c r="J3483" s="32">
        <f>-6-13/60</f>
        <v>-6.2166666666666668</v>
      </c>
      <c r="K3483" s="32">
        <f>36+53/60</f>
        <v>36.883333333333333</v>
      </c>
      <c r="L3483" s="32">
        <v>1353</v>
      </c>
      <c r="O3483" s="32">
        <f>41.8+24.4+21+103+45.9+120.2+49.2+57.2+26.2+2</f>
        <v>490.9</v>
      </c>
      <c r="R3483" s="44" t="s">
        <v>1728</v>
      </c>
      <c r="S3483" s="44" t="s">
        <v>1722</v>
      </c>
      <c r="T3483" s="44"/>
      <c r="U3483" s="44" t="s">
        <v>3283</v>
      </c>
      <c r="V3483" s="44" t="s">
        <v>1382</v>
      </c>
      <c r="W3483" s="44" t="s">
        <v>1717</v>
      </c>
      <c r="X3483" s="44" t="s">
        <v>1382</v>
      </c>
      <c r="Y3483" s="44" t="s">
        <v>1382</v>
      </c>
      <c r="AA3483" s="323"/>
      <c r="AB3483" s="323"/>
      <c r="AG3483" s="32" t="s">
        <v>3281</v>
      </c>
      <c r="AH3483" s="32" t="s">
        <v>2734</v>
      </c>
      <c r="AI3483" s="32" t="s">
        <v>577</v>
      </c>
      <c r="AJ3483" s="32" t="s">
        <v>1645</v>
      </c>
      <c r="AK3483" s="32" t="s">
        <v>132</v>
      </c>
      <c r="AX3483" s="32">
        <v>4</v>
      </c>
      <c r="AY3483" s="32">
        <v>5</v>
      </c>
      <c r="AZ3483" s="32" t="s">
        <v>141</v>
      </c>
      <c r="BF3483" s="32">
        <v>3514</v>
      </c>
      <c r="BG3483" s="32">
        <v>3759</v>
      </c>
      <c r="BJ3483" s="32" t="s">
        <v>2941</v>
      </c>
      <c r="BK3483" s="32">
        <v>2890</v>
      </c>
      <c r="BL3483" s="32">
        <v>3084</v>
      </c>
      <c r="BP3483" s="397"/>
      <c r="BQ3483" s="397"/>
      <c r="BU3483" s="397"/>
      <c r="BV3483" s="397"/>
      <c r="BZ3483" s="397"/>
      <c r="CA3483" s="397"/>
      <c r="CE3483" s="550"/>
      <c r="CF3483" s="550"/>
      <c r="CG3483" s="550"/>
      <c r="CH3483" s="550"/>
      <c r="JD3483" s="243"/>
    </row>
    <row r="3484" spans="1:264" s="32" customFormat="1" x14ac:dyDescent="0.25">
      <c r="A3484" s="32">
        <v>162</v>
      </c>
      <c r="B3484" s="44" t="s">
        <v>3285</v>
      </c>
      <c r="C3484" s="32" t="s">
        <v>3274</v>
      </c>
      <c r="D3484" s="32" t="s">
        <v>3275</v>
      </c>
      <c r="E3484" s="32">
        <v>2006</v>
      </c>
      <c r="F3484" s="32">
        <v>2003</v>
      </c>
      <c r="G3484" s="32" t="s">
        <v>2713</v>
      </c>
      <c r="H3484" s="32" t="s">
        <v>3279</v>
      </c>
      <c r="I3484" s="32" t="s">
        <v>3189</v>
      </c>
      <c r="J3484" s="32">
        <f>-4-14/60</f>
        <v>-4.2333333333333334</v>
      </c>
      <c r="K3484" s="32">
        <f>35+35/60</f>
        <v>35.583333333333336</v>
      </c>
      <c r="L3484" s="32">
        <v>1628</v>
      </c>
      <c r="O3484" s="32">
        <f>24+185.4+290.6+42.2+208.3+171.1+150+99.3+0.2</f>
        <v>1171.0999999999999</v>
      </c>
      <c r="R3484" s="44" t="s">
        <v>1728</v>
      </c>
      <c r="S3484" s="44" t="s">
        <v>1722</v>
      </c>
      <c r="T3484" s="44"/>
      <c r="U3484" s="44" t="s">
        <v>3283</v>
      </c>
      <c r="V3484" s="44" t="s">
        <v>1382</v>
      </c>
      <c r="W3484" s="44" t="s">
        <v>1717</v>
      </c>
      <c r="X3484" s="44" t="s">
        <v>1382</v>
      </c>
      <c r="Y3484" s="44" t="s">
        <v>1382</v>
      </c>
      <c r="AA3484" s="323"/>
      <c r="AB3484" s="323"/>
      <c r="AG3484" s="32" t="s">
        <v>3280</v>
      </c>
      <c r="AH3484" s="32" t="s">
        <v>2734</v>
      </c>
      <c r="AI3484" s="32" t="s">
        <v>577</v>
      </c>
      <c r="AJ3484" s="32" t="s">
        <v>1645</v>
      </c>
      <c r="AK3484" s="32" t="s">
        <v>132</v>
      </c>
      <c r="AX3484" s="32">
        <v>4</v>
      </c>
      <c r="AY3484" s="32">
        <v>5</v>
      </c>
      <c r="AZ3484" s="32" t="s">
        <v>141</v>
      </c>
      <c r="BF3484" s="32">
        <v>1234</v>
      </c>
      <c r="BG3484" s="32">
        <v>905</v>
      </c>
      <c r="BJ3484" s="32" t="s">
        <v>2941</v>
      </c>
      <c r="BK3484" s="32">
        <v>851</v>
      </c>
      <c r="BL3484" s="32">
        <v>641</v>
      </c>
      <c r="BP3484" s="397"/>
      <c r="BQ3484" s="397"/>
      <c r="BU3484" s="397"/>
      <c r="BV3484" s="397"/>
      <c r="BZ3484" s="397"/>
      <c r="CA3484" s="397"/>
      <c r="CE3484" s="550"/>
      <c r="CF3484" s="550"/>
      <c r="CG3484" s="550"/>
      <c r="CH3484" s="550"/>
      <c r="JD3484" s="243"/>
    </row>
    <row r="3485" spans="1:264" s="32" customFormat="1" x14ac:dyDescent="0.25">
      <c r="A3485" s="32">
        <v>162</v>
      </c>
      <c r="B3485" s="44" t="s">
        <v>3286</v>
      </c>
      <c r="C3485" s="32" t="s">
        <v>3274</v>
      </c>
      <c r="D3485" s="32" t="s">
        <v>3275</v>
      </c>
      <c r="E3485" s="32">
        <v>2006</v>
      </c>
      <c r="F3485" s="32">
        <v>2003</v>
      </c>
      <c r="G3485" s="32" t="s">
        <v>2713</v>
      </c>
      <c r="H3485" s="32" t="s">
        <v>3276</v>
      </c>
      <c r="I3485" s="32" t="s">
        <v>2827</v>
      </c>
      <c r="J3485" s="32">
        <f>-14-39/60</f>
        <v>-14.65</v>
      </c>
      <c r="K3485" s="32">
        <f>35+35/60</f>
        <v>35.583333333333336</v>
      </c>
      <c r="L3485" s="32">
        <v>834</v>
      </c>
      <c r="O3485" s="32">
        <f>7.5+115.1+246.6+178.9+198.4+64.7</f>
        <v>811.2</v>
      </c>
      <c r="R3485" s="44" t="s">
        <v>1728</v>
      </c>
      <c r="S3485" s="44" t="s">
        <v>1722</v>
      </c>
      <c r="T3485" s="44"/>
      <c r="U3485" s="44" t="s">
        <v>3283</v>
      </c>
      <c r="V3485" s="44" t="s">
        <v>1382</v>
      </c>
      <c r="W3485" s="44" t="s">
        <v>1717</v>
      </c>
      <c r="X3485" s="44" t="s">
        <v>1382</v>
      </c>
      <c r="Y3485" s="44" t="s">
        <v>1382</v>
      </c>
      <c r="AA3485" s="323"/>
      <c r="AB3485" s="323"/>
      <c r="AG3485" s="32" t="s">
        <v>3282</v>
      </c>
      <c r="AH3485" s="32" t="s">
        <v>2734</v>
      </c>
      <c r="AI3485" s="32" t="s">
        <v>577</v>
      </c>
      <c r="AJ3485" s="32" t="s">
        <v>1645</v>
      </c>
      <c r="AK3485" s="32" t="s">
        <v>132</v>
      </c>
      <c r="AX3485" s="32">
        <v>4</v>
      </c>
      <c r="AY3485" s="32">
        <v>5</v>
      </c>
      <c r="AZ3485" s="32" t="s">
        <v>141</v>
      </c>
      <c r="BF3485" s="32">
        <v>2056</v>
      </c>
      <c r="BG3485" s="32">
        <v>2511</v>
      </c>
      <c r="BJ3485" s="32" t="s">
        <v>2941</v>
      </c>
      <c r="BK3485" s="32">
        <v>1346</v>
      </c>
      <c r="BL3485" s="32">
        <v>1461</v>
      </c>
      <c r="BP3485" s="397"/>
      <c r="BQ3485" s="397"/>
      <c r="BU3485" s="397"/>
      <c r="BV3485" s="397"/>
      <c r="BZ3485" s="397"/>
      <c r="CA3485" s="397"/>
      <c r="CE3485" s="550"/>
      <c r="CF3485" s="550"/>
      <c r="CG3485" s="550"/>
      <c r="CH3485" s="550"/>
      <c r="JD3485" s="243"/>
    </row>
    <row r="3486" spans="1:264" s="32" customFormat="1" x14ac:dyDescent="0.25">
      <c r="A3486" s="32">
        <v>162</v>
      </c>
      <c r="B3486" s="44" t="s">
        <v>3287</v>
      </c>
      <c r="C3486" s="32" t="s">
        <v>3274</v>
      </c>
      <c r="D3486" s="32" t="s">
        <v>3275</v>
      </c>
      <c r="E3486" s="32">
        <v>2006</v>
      </c>
      <c r="F3486" s="32">
        <v>2003</v>
      </c>
      <c r="G3486" s="32" t="s">
        <v>2713</v>
      </c>
      <c r="H3486" s="32" t="s">
        <v>3277</v>
      </c>
      <c r="I3486" s="32" t="s">
        <v>2827</v>
      </c>
      <c r="J3486" s="32">
        <f>-15-53/60</f>
        <v>-15.883333333333333</v>
      </c>
      <c r="K3486" s="32">
        <f>34+57/60</f>
        <v>34.950000000000003</v>
      </c>
      <c r="L3486" s="32">
        <v>866.6</v>
      </c>
      <c r="O3486" s="32">
        <f>7.5+115.1+246.6+178.9+398.4</f>
        <v>946.5</v>
      </c>
      <c r="R3486" s="44" t="s">
        <v>1728</v>
      </c>
      <c r="S3486" s="44" t="s">
        <v>1722</v>
      </c>
      <c r="T3486" s="44"/>
      <c r="U3486" s="44" t="s">
        <v>3283</v>
      </c>
      <c r="V3486" s="44" t="s">
        <v>1382</v>
      </c>
      <c r="W3486" s="44" t="s">
        <v>1717</v>
      </c>
      <c r="X3486" s="44" t="s">
        <v>1382</v>
      </c>
      <c r="Y3486" s="44" t="s">
        <v>1382</v>
      </c>
      <c r="AA3486" s="323"/>
      <c r="AB3486" s="323"/>
      <c r="AG3486" s="32" t="s">
        <v>3280</v>
      </c>
      <c r="AH3486" s="32" t="s">
        <v>2734</v>
      </c>
      <c r="AI3486" s="32" t="s">
        <v>577</v>
      </c>
      <c r="AJ3486" s="32" t="s">
        <v>1645</v>
      </c>
      <c r="AK3486" s="32" t="s">
        <v>132</v>
      </c>
      <c r="AX3486" s="32">
        <v>4</v>
      </c>
      <c r="AY3486" s="32">
        <v>5</v>
      </c>
      <c r="AZ3486" s="32" t="s">
        <v>141</v>
      </c>
      <c r="BF3486" s="32">
        <v>2074</v>
      </c>
      <c r="BG3486" s="32">
        <v>2365</v>
      </c>
      <c r="BJ3486" s="32" t="s">
        <v>2941</v>
      </c>
      <c r="BK3486" s="32">
        <v>832</v>
      </c>
      <c r="BL3486" s="32">
        <v>974</v>
      </c>
      <c r="BP3486" s="397"/>
      <c r="BQ3486" s="397"/>
      <c r="BU3486" s="397"/>
      <c r="BV3486" s="397"/>
      <c r="BZ3486" s="397"/>
      <c r="CA3486" s="397"/>
      <c r="CE3486" s="550"/>
      <c r="CF3486" s="550"/>
      <c r="CG3486" s="550"/>
      <c r="CH3486" s="550"/>
      <c r="JD3486" s="243"/>
    </row>
    <row r="3487" spans="1:264" s="24" customFormat="1" x14ac:dyDescent="0.25">
      <c r="A3487" s="24">
        <v>162</v>
      </c>
      <c r="B3487" s="42" t="s">
        <v>3284</v>
      </c>
      <c r="C3487" s="24" t="s">
        <v>3274</v>
      </c>
      <c r="D3487" s="24" t="s">
        <v>3275</v>
      </c>
      <c r="E3487" s="24">
        <v>2006</v>
      </c>
      <c r="F3487" s="24">
        <v>2004</v>
      </c>
      <c r="G3487" s="24" t="s">
        <v>2713</v>
      </c>
      <c r="H3487" s="24" t="s">
        <v>3278</v>
      </c>
      <c r="I3487" s="24" t="s">
        <v>3189</v>
      </c>
      <c r="J3487" s="24">
        <f>-6-13/60</f>
        <v>-6.2166666666666668</v>
      </c>
      <c r="K3487" s="24">
        <f>36+53/60</f>
        <v>36.883333333333333</v>
      </c>
      <c r="L3487" s="24">
        <v>1353</v>
      </c>
      <c r="O3487" s="24">
        <f>107.8+192.2+302.4+210.8+124.6</f>
        <v>937.80000000000007</v>
      </c>
      <c r="R3487" s="42" t="s">
        <v>1858</v>
      </c>
      <c r="S3487" s="42" t="s">
        <v>1722</v>
      </c>
      <c r="T3487" s="42"/>
      <c r="U3487" s="42" t="s">
        <v>3283</v>
      </c>
      <c r="V3487" s="42" t="s">
        <v>1382</v>
      </c>
      <c r="W3487" s="42" t="s">
        <v>1717</v>
      </c>
      <c r="X3487" s="42" t="s">
        <v>1382</v>
      </c>
      <c r="Y3487" s="42" t="s">
        <v>1382</v>
      </c>
      <c r="AA3487" s="321"/>
      <c r="AB3487" s="321"/>
      <c r="AG3487" s="24" t="s">
        <v>3281</v>
      </c>
      <c r="AH3487" s="24" t="s">
        <v>2734</v>
      </c>
      <c r="AI3487" s="24" t="s">
        <v>577</v>
      </c>
      <c r="AJ3487" s="24" t="s">
        <v>1645</v>
      </c>
      <c r="AK3487" s="24" t="s">
        <v>132</v>
      </c>
      <c r="AX3487" s="24">
        <v>4</v>
      </c>
      <c r="AY3487" s="24">
        <v>5</v>
      </c>
      <c r="AZ3487" s="24" t="s">
        <v>141</v>
      </c>
      <c r="BJ3487" s="24" t="s">
        <v>2941</v>
      </c>
      <c r="BK3487" s="24">
        <v>2742</v>
      </c>
      <c r="BL3487" s="24">
        <v>2854</v>
      </c>
      <c r="BP3487" s="395"/>
      <c r="BQ3487" s="395"/>
      <c r="BU3487" s="395"/>
      <c r="BV3487" s="395"/>
      <c r="BZ3487" s="395"/>
      <c r="CA3487" s="395"/>
      <c r="CE3487" s="548"/>
      <c r="CF3487" s="548"/>
      <c r="CG3487" s="548"/>
      <c r="CH3487" s="548"/>
      <c r="JD3487" s="249"/>
    </row>
    <row r="3488" spans="1:264" s="24" customFormat="1" x14ac:dyDescent="0.25">
      <c r="A3488" s="24">
        <v>162</v>
      </c>
      <c r="B3488" s="42" t="s">
        <v>3285</v>
      </c>
      <c r="C3488" s="24" t="s">
        <v>3274</v>
      </c>
      <c r="D3488" s="24" t="s">
        <v>3275</v>
      </c>
      <c r="E3488" s="24">
        <v>2006</v>
      </c>
      <c r="F3488" s="24">
        <v>2004</v>
      </c>
      <c r="G3488" s="24" t="s">
        <v>2713</v>
      </c>
      <c r="H3488" s="24" t="s">
        <v>3279</v>
      </c>
      <c r="I3488" s="24" t="s">
        <v>3189</v>
      </c>
      <c r="J3488" s="24">
        <f>-4-14/60</f>
        <v>-4.2333333333333334</v>
      </c>
      <c r="K3488" s="24">
        <f>35+35/60</f>
        <v>35.583333333333336</v>
      </c>
      <c r="L3488" s="24">
        <v>1628</v>
      </c>
      <c r="O3488" s="24">
        <v>842</v>
      </c>
      <c r="R3488" s="42" t="s">
        <v>1858</v>
      </c>
      <c r="S3488" s="42" t="s">
        <v>1722</v>
      </c>
      <c r="T3488" s="42"/>
      <c r="U3488" s="42" t="s">
        <v>3283</v>
      </c>
      <c r="V3488" s="42" t="s">
        <v>1382</v>
      </c>
      <c r="W3488" s="42" t="s">
        <v>1717</v>
      </c>
      <c r="X3488" s="42" t="s">
        <v>1382</v>
      </c>
      <c r="Y3488" s="42" t="s">
        <v>1382</v>
      </c>
      <c r="AA3488" s="321"/>
      <c r="AB3488" s="321"/>
      <c r="AG3488" s="24" t="s">
        <v>3280</v>
      </c>
      <c r="AH3488" s="24" t="s">
        <v>2734</v>
      </c>
      <c r="AI3488" s="24" t="s">
        <v>577</v>
      </c>
      <c r="AJ3488" s="24" t="s">
        <v>1645</v>
      </c>
      <c r="AK3488" s="24" t="s">
        <v>132</v>
      </c>
      <c r="AX3488" s="24">
        <v>4</v>
      </c>
      <c r="AY3488" s="24">
        <v>5</v>
      </c>
      <c r="AZ3488" s="24" t="s">
        <v>141</v>
      </c>
      <c r="BJ3488" s="24" t="s">
        <v>2941</v>
      </c>
      <c r="BK3488" s="24">
        <v>1719</v>
      </c>
      <c r="BL3488" s="24">
        <v>1808</v>
      </c>
      <c r="BP3488" s="395"/>
      <c r="BQ3488" s="395"/>
      <c r="BU3488" s="395"/>
      <c r="BV3488" s="395"/>
      <c r="BZ3488" s="395"/>
      <c r="CA3488" s="395"/>
      <c r="CE3488" s="548"/>
      <c r="CF3488" s="548"/>
      <c r="CG3488" s="548"/>
      <c r="CH3488" s="548"/>
      <c r="JD3488" s="249"/>
    </row>
    <row r="3489" spans="1:264" s="24" customFormat="1" x14ac:dyDescent="0.25">
      <c r="A3489" s="24">
        <v>162</v>
      </c>
      <c r="B3489" s="42" t="s">
        <v>3286</v>
      </c>
      <c r="C3489" s="24" t="s">
        <v>3274</v>
      </c>
      <c r="D3489" s="24" t="s">
        <v>3275</v>
      </c>
      <c r="E3489" s="24">
        <v>2006</v>
      </c>
      <c r="F3489" s="24">
        <v>2004</v>
      </c>
      <c r="G3489" s="24" t="s">
        <v>2713</v>
      </c>
      <c r="H3489" s="24" t="s">
        <v>3276</v>
      </c>
      <c r="I3489" s="24" t="s">
        <v>2827</v>
      </c>
      <c r="J3489" s="24">
        <f>-14-39/60</f>
        <v>-14.65</v>
      </c>
      <c r="K3489" s="24">
        <f>35+35/60</f>
        <v>35.583333333333336</v>
      </c>
      <c r="L3489" s="24">
        <v>834</v>
      </c>
      <c r="O3489" s="24">
        <f>69.5+123.9+158+152+86.8+88.5+11</f>
        <v>689.69999999999993</v>
      </c>
      <c r="R3489" s="42" t="s">
        <v>1858</v>
      </c>
      <c r="S3489" s="42" t="s">
        <v>1722</v>
      </c>
      <c r="T3489" s="42"/>
      <c r="U3489" s="42" t="s">
        <v>3283</v>
      </c>
      <c r="V3489" s="42" t="s">
        <v>1382</v>
      </c>
      <c r="W3489" s="42" t="s">
        <v>1717</v>
      </c>
      <c r="X3489" s="42" t="s">
        <v>1382</v>
      </c>
      <c r="Y3489" s="42" t="s">
        <v>1382</v>
      </c>
      <c r="AA3489" s="321"/>
      <c r="AB3489" s="321"/>
      <c r="AG3489" s="24" t="s">
        <v>3282</v>
      </c>
      <c r="AH3489" s="24" t="s">
        <v>2734</v>
      </c>
      <c r="AI3489" s="24" t="s">
        <v>577</v>
      </c>
      <c r="AJ3489" s="24" t="s">
        <v>1645</v>
      </c>
      <c r="AK3489" s="24" t="s">
        <v>132</v>
      </c>
      <c r="AX3489" s="24">
        <v>4</v>
      </c>
      <c r="AY3489" s="24">
        <v>5</v>
      </c>
      <c r="AZ3489" s="24" t="s">
        <v>141</v>
      </c>
      <c r="BF3489" s="24">
        <v>2074</v>
      </c>
      <c r="BG3489" s="24">
        <v>2511</v>
      </c>
      <c r="BJ3489" s="24" t="s">
        <v>2941</v>
      </c>
      <c r="BK3489" s="24">
        <v>1947</v>
      </c>
      <c r="BL3489" s="24">
        <v>1942</v>
      </c>
      <c r="BP3489" s="395"/>
      <c r="BQ3489" s="395"/>
      <c r="BU3489" s="395"/>
      <c r="BV3489" s="395"/>
      <c r="BZ3489" s="395"/>
      <c r="CA3489" s="395"/>
      <c r="CE3489" s="548"/>
      <c r="CF3489" s="548"/>
      <c r="CG3489" s="548"/>
      <c r="CH3489" s="548"/>
      <c r="JD3489" s="249"/>
    </row>
    <row r="3490" spans="1:264" s="24" customFormat="1" x14ac:dyDescent="0.25">
      <c r="A3490" s="24">
        <v>162</v>
      </c>
      <c r="B3490" s="42" t="s">
        <v>3287</v>
      </c>
      <c r="C3490" s="24" t="s">
        <v>3274</v>
      </c>
      <c r="D3490" s="24" t="s">
        <v>3275</v>
      </c>
      <c r="E3490" s="24">
        <v>2006</v>
      </c>
      <c r="F3490" s="24">
        <v>2004</v>
      </c>
      <c r="G3490" s="24" t="s">
        <v>2713</v>
      </c>
      <c r="H3490" s="24" t="s">
        <v>3277</v>
      </c>
      <c r="I3490" s="24" t="s">
        <v>2827</v>
      </c>
      <c r="J3490" s="24">
        <f>-15-53/60</f>
        <v>-15.883333333333333</v>
      </c>
      <c r="K3490" s="24">
        <f>34+57/60</f>
        <v>34.950000000000003</v>
      </c>
      <c r="L3490" s="24">
        <v>866.6</v>
      </c>
      <c r="O3490" s="24">
        <f>71.2+94.8+385.6+199.6+165.9+132.1+3+14+7.2</f>
        <v>1073.4000000000001</v>
      </c>
      <c r="R3490" s="42" t="s">
        <v>1858</v>
      </c>
      <c r="S3490" s="42" t="s">
        <v>1722</v>
      </c>
      <c r="T3490" s="42"/>
      <c r="U3490" s="42" t="s">
        <v>3283</v>
      </c>
      <c r="V3490" s="42" t="s">
        <v>1382</v>
      </c>
      <c r="W3490" s="42" t="s">
        <v>1717</v>
      </c>
      <c r="X3490" s="42" t="s">
        <v>1382</v>
      </c>
      <c r="Y3490" s="42" t="s">
        <v>1382</v>
      </c>
      <c r="AA3490" s="321"/>
      <c r="AB3490" s="321"/>
      <c r="AG3490" s="24" t="s">
        <v>3280</v>
      </c>
      <c r="AH3490" s="24" t="s">
        <v>2734</v>
      </c>
      <c r="AI3490" s="24" t="s">
        <v>577</v>
      </c>
      <c r="AJ3490" s="24" t="s">
        <v>1645</v>
      </c>
      <c r="AK3490" s="24" t="s">
        <v>132</v>
      </c>
      <c r="AX3490" s="24">
        <v>4</v>
      </c>
      <c r="AY3490" s="24">
        <v>5</v>
      </c>
      <c r="AZ3490" s="24" t="s">
        <v>141</v>
      </c>
      <c r="BF3490" s="24">
        <v>2738</v>
      </c>
      <c r="BG3490" s="24">
        <v>3527</v>
      </c>
      <c r="BJ3490" s="24" t="s">
        <v>2941</v>
      </c>
      <c r="BK3490" s="24">
        <v>1156</v>
      </c>
      <c r="BL3490" s="24">
        <v>1760</v>
      </c>
      <c r="BP3490" s="395"/>
      <c r="BQ3490" s="395"/>
      <c r="BU3490" s="395"/>
      <c r="BV3490" s="395"/>
      <c r="BZ3490" s="395"/>
      <c r="CA3490" s="395"/>
      <c r="CE3490" s="548"/>
      <c r="CF3490" s="548"/>
      <c r="CG3490" s="548"/>
      <c r="CH3490" s="548"/>
      <c r="JD3490" s="249"/>
    </row>
    <row r="3491" spans="1:264" s="32" customFormat="1" x14ac:dyDescent="0.25">
      <c r="A3491" s="32">
        <v>162</v>
      </c>
      <c r="B3491" s="44" t="s">
        <v>3284</v>
      </c>
      <c r="C3491" s="32" t="s">
        <v>3274</v>
      </c>
      <c r="D3491" s="32" t="s">
        <v>3275</v>
      </c>
      <c r="E3491" s="32">
        <v>2006</v>
      </c>
      <c r="F3491" s="32">
        <v>2005</v>
      </c>
      <c r="G3491" s="32" t="s">
        <v>2713</v>
      </c>
      <c r="H3491" s="32" t="s">
        <v>3278</v>
      </c>
      <c r="I3491" s="32" t="s">
        <v>3189</v>
      </c>
      <c r="J3491" s="32">
        <f>-6-13/60</f>
        <v>-6.2166666666666668</v>
      </c>
      <c r="K3491" s="32">
        <f>36+53/60</f>
        <v>36.883333333333333</v>
      </c>
      <c r="L3491" s="32">
        <v>1353</v>
      </c>
      <c r="O3491" s="32">
        <v>937.80000000000007</v>
      </c>
      <c r="R3491" s="44" t="s">
        <v>1722</v>
      </c>
      <c r="S3491" s="44" t="s">
        <v>1722</v>
      </c>
      <c r="T3491" s="44"/>
      <c r="U3491" s="44" t="s">
        <v>3283</v>
      </c>
      <c r="V3491" s="44" t="s">
        <v>1382</v>
      </c>
      <c r="W3491" s="44" t="s">
        <v>1717</v>
      </c>
      <c r="X3491" s="44" t="s">
        <v>1382</v>
      </c>
      <c r="Y3491" s="44" t="s">
        <v>1382</v>
      </c>
      <c r="AA3491" s="323"/>
      <c r="AB3491" s="323"/>
      <c r="AG3491" s="32" t="s">
        <v>3281</v>
      </c>
      <c r="AH3491" s="32" t="s">
        <v>2734</v>
      </c>
      <c r="AI3491" s="32" t="s">
        <v>577</v>
      </c>
      <c r="AJ3491" s="32" t="s">
        <v>1645</v>
      </c>
      <c r="AK3491" s="32" t="s">
        <v>132</v>
      </c>
      <c r="AX3491" s="32">
        <v>4</v>
      </c>
      <c r="AY3491" s="32">
        <v>5</v>
      </c>
      <c r="AZ3491" s="32" t="s">
        <v>141</v>
      </c>
      <c r="BJ3491" s="32" t="s">
        <v>2941</v>
      </c>
      <c r="BP3491" s="397"/>
      <c r="BQ3491" s="397"/>
      <c r="BU3491" s="397"/>
      <c r="BV3491" s="397"/>
      <c r="BZ3491" s="397"/>
      <c r="CA3491" s="397"/>
      <c r="CE3491" s="550"/>
      <c r="CF3491" s="550"/>
      <c r="CG3491" s="550"/>
      <c r="CH3491" s="550"/>
      <c r="JD3491" s="243"/>
    </row>
    <row r="3492" spans="1:264" s="32" customFormat="1" x14ac:dyDescent="0.25">
      <c r="A3492" s="32">
        <v>162</v>
      </c>
      <c r="B3492" s="44" t="s">
        <v>3285</v>
      </c>
      <c r="C3492" s="32" t="s">
        <v>3274</v>
      </c>
      <c r="D3492" s="32" t="s">
        <v>3275</v>
      </c>
      <c r="E3492" s="32">
        <v>2006</v>
      </c>
      <c r="F3492" s="32">
        <v>2005</v>
      </c>
      <c r="G3492" s="32" t="s">
        <v>2713</v>
      </c>
      <c r="H3492" s="32" t="s">
        <v>3279</v>
      </c>
      <c r="I3492" s="32" t="s">
        <v>3189</v>
      </c>
      <c r="J3492" s="32">
        <f>-4-14/60</f>
        <v>-4.2333333333333334</v>
      </c>
      <c r="K3492" s="32">
        <f>35+35/60</f>
        <v>35.583333333333336</v>
      </c>
      <c r="L3492" s="32">
        <v>1628</v>
      </c>
      <c r="O3492" s="32">
        <v>842</v>
      </c>
      <c r="R3492" s="44" t="s">
        <v>1722</v>
      </c>
      <c r="S3492" s="44" t="s">
        <v>1722</v>
      </c>
      <c r="T3492" s="44"/>
      <c r="U3492" s="44" t="s">
        <v>3283</v>
      </c>
      <c r="V3492" s="44" t="s">
        <v>1382</v>
      </c>
      <c r="W3492" s="44" t="s">
        <v>1717</v>
      </c>
      <c r="X3492" s="44" t="s">
        <v>1382</v>
      </c>
      <c r="Y3492" s="44" t="s">
        <v>1382</v>
      </c>
      <c r="AA3492" s="323"/>
      <c r="AB3492" s="323"/>
      <c r="AG3492" s="32" t="s">
        <v>3280</v>
      </c>
      <c r="AH3492" s="32" t="s">
        <v>2734</v>
      </c>
      <c r="AI3492" s="32" t="s">
        <v>577</v>
      </c>
      <c r="AJ3492" s="32" t="s">
        <v>1645</v>
      </c>
      <c r="AK3492" s="32" t="s">
        <v>132</v>
      </c>
      <c r="AX3492" s="32">
        <v>4</v>
      </c>
      <c r="AY3492" s="32">
        <v>5</v>
      </c>
      <c r="AZ3492" s="32" t="s">
        <v>141</v>
      </c>
      <c r="BJ3492" s="32" t="s">
        <v>2941</v>
      </c>
      <c r="BP3492" s="397"/>
      <c r="BQ3492" s="397"/>
      <c r="BU3492" s="397"/>
      <c r="BV3492" s="397"/>
      <c r="BZ3492" s="397"/>
      <c r="CA3492" s="397"/>
      <c r="CE3492" s="550"/>
      <c r="CF3492" s="550"/>
      <c r="CG3492" s="550"/>
      <c r="CH3492" s="550"/>
      <c r="JD3492" s="243"/>
    </row>
    <row r="3493" spans="1:264" s="32" customFormat="1" x14ac:dyDescent="0.25">
      <c r="A3493" s="32">
        <v>162</v>
      </c>
      <c r="B3493" s="44" t="s">
        <v>3286</v>
      </c>
      <c r="C3493" s="32" t="s">
        <v>3274</v>
      </c>
      <c r="D3493" s="32" t="s">
        <v>3275</v>
      </c>
      <c r="E3493" s="32">
        <v>2006</v>
      </c>
      <c r="F3493" s="32">
        <v>2005</v>
      </c>
      <c r="G3493" s="32" t="s">
        <v>2713</v>
      </c>
      <c r="H3493" s="32" t="s">
        <v>3276</v>
      </c>
      <c r="I3493" s="32" t="s">
        <v>2827</v>
      </c>
      <c r="J3493" s="32">
        <f>-14-39/60</f>
        <v>-14.65</v>
      </c>
      <c r="K3493" s="32">
        <f>35+35/60</f>
        <v>35.583333333333336</v>
      </c>
      <c r="L3493" s="32">
        <v>834</v>
      </c>
      <c r="O3493" s="32">
        <v>689.69999999999993</v>
      </c>
      <c r="R3493" s="44" t="s">
        <v>1722</v>
      </c>
      <c r="S3493" s="44" t="s">
        <v>1722</v>
      </c>
      <c r="T3493" s="44"/>
      <c r="U3493" s="44" t="s">
        <v>3283</v>
      </c>
      <c r="V3493" s="44" t="s">
        <v>1382</v>
      </c>
      <c r="W3493" s="44" t="s">
        <v>1717</v>
      </c>
      <c r="X3493" s="44" t="s">
        <v>1382</v>
      </c>
      <c r="Y3493" s="44" t="s">
        <v>1382</v>
      </c>
      <c r="AA3493" s="323"/>
      <c r="AB3493" s="323"/>
      <c r="AG3493" s="32" t="s">
        <v>3282</v>
      </c>
      <c r="AH3493" s="32" t="s">
        <v>2734</v>
      </c>
      <c r="AI3493" s="32" t="s">
        <v>577</v>
      </c>
      <c r="AJ3493" s="32" t="s">
        <v>1645</v>
      </c>
      <c r="AK3493" s="32" t="s">
        <v>132</v>
      </c>
      <c r="AX3493" s="32">
        <v>4</v>
      </c>
      <c r="AY3493" s="32">
        <v>5</v>
      </c>
      <c r="AZ3493" s="32" t="s">
        <v>141</v>
      </c>
      <c r="BJ3493" s="32" t="s">
        <v>2941</v>
      </c>
      <c r="BK3493" s="32">
        <v>2384</v>
      </c>
      <c r="BL3493" s="32">
        <v>2435</v>
      </c>
      <c r="BP3493" s="397"/>
      <c r="BQ3493" s="397"/>
      <c r="BU3493" s="397"/>
      <c r="BV3493" s="397"/>
      <c r="BZ3493" s="397"/>
      <c r="CA3493" s="397"/>
      <c r="CE3493" s="550"/>
      <c r="CF3493" s="550"/>
      <c r="CG3493" s="550"/>
      <c r="CH3493" s="550"/>
      <c r="JD3493" s="243"/>
    </row>
    <row r="3494" spans="1:264" s="32" customFormat="1" x14ac:dyDescent="0.25">
      <c r="A3494" s="32">
        <v>162</v>
      </c>
      <c r="B3494" s="44" t="s">
        <v>3287</v>
      </c>
      <c r="C3494" s="32" t="s">
        <v>3274</v>
      </c>
      <c r="D3494" s="32" t="s">
        <v>3275</v>
      </c>
      <c r="E3494" s="32">
        <v>2006</v>
      </c>
      <c r="F3494" s="32">
        <v>2005</v>
      </c>
      <c r="G3494" s="32" t="s">
        <v>2713</v>
      </c>
      <c r="H3494" s="32" t="s">
        <v>3277</v>
      </c>
      <c r="I3494" s="32" t="s">
        <v>2827</v>
      </c>
      <c r="J3494" s="32">
        <f>-15-53/60</f>
        <v>-15.883333333333333</v>
      </c>
      <c r="K3494" s="32">
        <f>34+57/60</f>
        <v>34.950000000000003</v>
      </c>
      <c r="L3494" s="32">
        <v>866.6</v>
      </c>
      <c r="O3494" s="32">
        <v>1073.4000000000001</v>
      </c>
      <c r="R3494" s="44" t="s">
        <v>1722</v>
      </c>
      <c r="S3494" s="44" t="s">
        <v>1722</v>
      </c>
      <c r="T3494" s="44"/>
      <c r="U3494" s="44" t="s">
        <v>3283</v>
      </c>
      <c r="V3494" s="44" t="s">
        <v>1382</v>
      </c>
      <c r="W3494" s="44" t="s">
        <v>1717</v>
      </c>
      <c r="X3494" s="44" t="s">
        <v>1382</v>
      </c>
      <c r="Y3494" s="44" t="s">
        <v>1382</v>
      </c>
      <c r="AA3494" s="323"/>
      <c r="AB3494" s="323"/>
      <c r="AG3494" s="32" t="s">
        <v>3280</v>
      </c>
      <c r="AH3494" s="32" t="s">
        <v>2734</v>
      </c>
      <c r="AI3494" s="32" t="s">
        <v>577</v>
      </c>
      <c r="AJ3494" s="32" t="s">
        <v>1645</v>
      </c>
      <c r="AK3494" s="32" t="s">
        <v>132</v>
      </c>
      <c r="AX3494" s="32">
        <v>4</v>
      </c>
      <c r="AY3494" s="32">
        <v>5</v>
      </c>
      <c r="AZ3494" s="32" t="s">
        <v>141</v>
      </c>
      <c r="BJ3494" s="32" t="s">
        <v>2941</v>
      </c>
      <c r="BK3494" s="32">
        <v>2694</v>
      </c>
      <c r="BL3494" s="32">
        <v>3120</v>
      </c>
      <c r="BP3494" s="397"/>
      <c r="BQ3494" s="397"/>
      <c r="BU3494" s="397"/>
      <c r="BV3494" s="397"/>
      <c r="BZ3494" s="397"/>
      <c r="CA3494" s="397"/>
      <c r="CE3494" s="550"/>
      <c r="CF3494" s="550"/>
      <c r="CG3494" s="550"/>
      <c r="CH3494" s="550"/>
      <c r="JD3494" s="243"/>
    </row>
    <row r="3495" spans="1:264" s="126" customFormat="1" x14ac:dyDescent="0.25">
      <c r="A3495" s="126">
        <v>163</v>
      </c>
      <c r="B3495" s="478" t="s">
        <v>3305</v>
      </c>
      <c r="C3495" s="126" t="s">
        <v>3290</v>
      </c>
      <c r="D3495" s="126" t="s">
        <v>3291</v>
      </c>
      <c r="E3495" s="126">
        <v>2003</v>
      </c>
      <c r="F3495" s="126">
        <v>1998</v>
      </c>
      <c r="G3495" s="126" t="s">
        <v>371</v>
      </c>
      <c r="H3495" s="126" t="s">
        <v>3294</v>
      </c>
      <c r="I3495" s="126" t="s">
        <v>2827</v>
      </c>
      <c r="J3495" s="126">
        <f>-(14+21/60)</f>
        <v>-14.35</v>
      </c>
      <c r="K3495" s="126">
        <f>-(-34-25/60)</f>
        <v>34.416666666666664</v>
      </c>
      <c r="L3495" s="126">
        <v>1583</v>
      </c>
      <c r="P3495" s="126">
        <f>(800+1270)/2</f>
        <v>1035</v>
      </c>
      <c r="R3495" s="478" t="s">
        <v>1728</v>
      </c>
      <c r="S3495" s="478" t="s">
        <v>1858</v>
      </c>
      <c r="T3495" s="478"/>
      <c r="U3495" s="478" t="s">
        <v>3292</v>
      </c>
      <c r="V3495" s="478"/>
      <c r="W3495" s="478"/>
      <c r="X3495" s="478"/>
      <c r="Y3495" s="478"/>
      <c r="AA3495" s="479"/>
      <c r="AB3495" s="479"/>
      <c r="AD3495" s="126">
        <v>5.9</v>
      </c>
      <c r="AE3495" s="126">
        <v>1.8</v>
      </c>
      <c r="AG3495" s="126" t="s">
        <v>3299</v>
      </c>
      <c r="AH3495" s="126" t="s">
        <v>2742</v>
      </c>
      <c r="AI3495" s="126" t="s">
        <v>577</v>
      </c>
      <c r="AJ3495" s="126" t="s">
        <v>1645</v>
      </c>
      <c r="AK3495" s="126" t="s">
        <v>132</v>
      </c>
      <c r="AW3495" s="126" t="s">
        <v>3293</v>
      </c>
      <c r="AX3495" s="126">
        <v>3</v>
      </c>
      <c r="AZ3495" s="126" t="s">
        <v>2955</v>
      </c>
      <c r="BB3495" s="126">
        <v>1800</v>
      </c>
      <c r="BC3495" s="126">
        <f>(9.8+30.8)/2</f>
        <v>20.3</v>
      </c>
      <c r="BE3495" s="126" t="s">
        <v>3303</v>
      </c>
      <c r="BK3495" s="126">
        <v>1100</v>
      </c>
      <c r="BL3495" s="126">
        <v>1300</v>
      </c>
      <c r="BP3495" s="481"/>
      <c r="BQ3495" s="481"/>
      <c r="BU3495" s="481"/>
      <c r="BV3495" s="481"/>
      <c r="BZ3495" s="481"/>
      <c r="CA3495" s="481"/>
      <c r="CE3495" s="605"/>
      <c r="CF3495" s="605"/>
      <c r="CG3495" s="605"/>
      <c r="CH3495" s="605"/>
      <c r="JD3495" s="480"/>
    </row>
    <row r="3496" spans="1:264" s="126" customFormat="1" x14ac:dyDescent="0.25">
      <c r="A3496" s="126">
        <v>163</v>
      </c>
      <c r="B3496" s="478" t="s">
        <v>3306</v>
      </c>
      <c r="C3496" s="126" t="s">
        <v>3290</v>
      </c>
      <c r="D3496" s="126" t="s">
        <v>3291</v>
      </c>
      <c r="E3496" s="126">
        <v>2003</v>
      </c>
      <c r="F3496" s="126">
        <v>1998</v>
      </c>
      <c r="G3496" s="126" t="s">
        <v>371</v>
      </c>
      <c r="H3496" s="126" t="s">
        <v>3295</v>
      </c>
      <c r="I3496" s="126" t="s">
        <v>2827</v>
      </c>
      <c r="J3496" s="126">
        <f>-(16+1/60)</f>
        <v>-16.016666666666666</v>
      </c>
      <c r="K3496" s="126">
        <f>-(-35-21/60)</f>
        <v>35.35</v>
      </c>
      <c r="L3496" s="126">
        <v>1200</v>
      </c>
      <c r="P3496" s="126">
        <f>2200</f>
        <v>2200</v>
      </c>
      <c r="R3496" s="478" t="s">
        <v>1728</v>
      </c>
      <c r="S3496" s="478" t="s">
        <v>1858</v>
      </c>
      <c r="T3496" s="478"/>
      <c r="U3496" s="478" t="s">
        <v>3292</v>
      </c>
      <c r="V3496" s="478"/>
      <c r="W3496" s="478"/>
      <c r="X3496" s="478"/>
      <c r="Y3496" s="478"/>
      <c r="AA3496" s="479"/>
      <c r="AB3496" s="479"/>
      <c r="AD3496" s="126">
        <v>5.8</v>
      </c>
      <c r="AE3496" s="126">
        <v>1</v>
      </c>
      <c r="AG3496" s="126" t="s">
        <v>3299</v>
      </c>
      <c r="AH3496" s="126" t="s">
        <v>2742</v>
      </c>
      <c r="AI3496" s="126" t="s">
        <v>577</v>
      </c>
      <c r="AJ3496" s="126" t="s">
        <v>1645</v>
      </c>
      <c r="AK3496" s="126" t="s">
        <v>132</v>
      </c>
      <c r="AW3496" s="126" t="s">
        <v>3293</v>
      </c>
      <c r="AX3496" s="126">
        <v>3</v>
      </c>
      <c r="AZ3496" s="126" t="s">
        <v>2955</v>
      </c>
      <c r="BB3496" s="126">
        <v>1200</v>
      </c>
      <c r="BC3496" s="126">
        <f>(9.8+30.8)/2</f>
        <v>20.3</v>
      </c>
      <c r="BE3496" s="126" t="s">
        <v>3303</v>
      </c>
      <c r="BK3496" s="126">
        <v>1900</v>
      </c>
      <c r="BL3496" s="126">
        <v>2400</v>
      </c>
      <c r="BP3496" s="481"/>
      <c r="BQ3496" s="481"/>
      <c r="BU3496" s="481"/>
      <c r="BV3496" s="481"/>
      <c r="BZ3496" s="481"/>
      <c r="CA3496" s="481"/>
      <c r="CE3496" s="605"/>
      <c r="CF3496" s="605"/>
      <c r="CG3496" s="605"/>
      <c r="CH3496" s="605"/>
      <c r="JD3496" s="480"/>
    </row>
    <row r="3497" spans="1:264" s="126" customFormat="1" x14ac:dyDescent="0.25">
      <c r="A3497" s="126">
        <v>163</v>
      </c>
      <c r="B3497" s="478" t="s">
        <v>3307</v>
      </c>
      <c r="C3497" s="126" t="s">
        <v>3290</v>
      </c>
      <c r="D3497" s="126" t="s">
        <v>3291</v>
      </c>
      <c r="E3497" s="126">
        <v>2003</v>
      </c>
      <c r="F3497" s="126">
        <v>1998</v>
      </c>
      <c r="G3497" s="126" t="s">
        <v>371</v>
      </c>
      <c r="H3497" s="126" t="s">
        <v>3296</v>
      </c>
      <c r="I3497" s="126" t="s">
        <v>2827</v>
      </c>
      <c r="J3497" s="126">
        <f>-(12+7/60)</f>
        <v>-12.116666666666667</v>
      </c>
      <c r="K3497" s="126">
        <f>-(-33-25/60)</f>
        <v>33.416666666666664</v>
      </c>
      <c r="L3497" s="126">
        <v>1231</v>
      </c>
      <c r="P3497" s="126">
        <f>(700+1200)/2</f>
        <v>950</v>
      </c>
      <c r="R3497" s="478" t="s">
        <v>1728</v>
      </c>
      <c r="S3497" s="478" t="s">
        <v>1858</v>
      </c>
      <c r="T3497" s="478"/>
      <c r="U3497" s="478" t="s">
        <v>3292</v>
      </c>
      <c r="V3497" s="478"/>
      <c r="W3497" s="478"/>
      <c r="X3497" s="478"/>
      <c r="Y3497" s="478"/>
      <c r="AA3497" s="479"/>
      <c r="AB3497" s="479"/>
      <c r="AD3497" s="126">
        <v>5.3</v>
      </c>
      <c r="AE3497" s="126">
        <v>1.8</v>
      </c>
      <c r="AG3497" s="126" t="s">
        <v>3300</v>
      </c>
      <c r="AH3497" s="126" t="s">
        <v>2742</v>
      </c>
      <c r="AI3497" s="126" t="s">
        <v>577</v>
      </c>
      <c r="AJ3497" s="126" t="s">
        <v>1645</v>
      </c>
      <c r="AK3497" s="126" t="s">
        <v>132</v>
      </c>
      <c r="AW3497" s="126" t="s">
        <v>3293</v>
      </c>
      <c r="AX3497" s="126">
        <v>3</v>
      </c>
      <c r="AZ3497" s="126" t="s">
        <v>2955</v>
      </c>
      <c r="BE3497" s="126" t="s">
        <v>3303</v>
      </c>
      <c r="BK3497" s="126">
        <v>2600</v>
      </c>
      <c r="BL3497" s="126">
        <v>3100</v>
      </c>
      <c r="BP3497" s="481"/>
      <c r="BQ3497" s="481"/>
      <c r="BU3497" s="481"/>
      <c r="BV3497" s="481"/>
      <c r="BZ3497" s="481"/>
      <c r="CA3497" s="481"/>
      <c r="CE3497" s="605"/>
      <c r="CF3497" s="605"/>
      <c r="CG3497" s="605"/>
      <c r="CH3497" s="605"/>
      <c r="JD3497" s="480"/>
    </row>
    <row r="3498" spans="1:264" s="126" customFormat="1" x14ac:dyDescent="0.25">
      <c r="A3498" s="126">
        <v>163</v>
      </c>
      <c r="B3498" s="478" t="s">
        <v>3308</v>
      </c>
      <c r="C3498" s="126" t="s">
        <v>3290</v>
      </c>
      <c r="D3498" s="126" t="s">
        <v>3291</v>
      </c>
      <c r="E3498" s="126">
        <v>2003</v>
      </c>
      <c r="F3498" s="126">
        <v>1998</v>
      </c>
      <c r="G3498" s="126" t="s">
        <v>371</v>
      </c>
      <c r="H3498" s="126" t="s">
        <v>3297</v>
      </c>
      <c r="I3498" s="126" t="s">
        <v>2827</v>
      </c>
      <c r="J3498" s="126">
        <f>-(13+59/60)</f>
        <v>-13.983333333333333</v>
      </c>
      <c r="K3498" s="126">
        <f>-(-33-38/60)</f>
        <v>33.633333333333333</v>
      </c>
      <c r="L3498" s="126">
        <v>1141</v>
      </c>
      <c r="P3498" s="126">
        <f>950</f>
        <v>950</v>
      </c>
      <c r="R3498" s="478" t="s">
        <v>1728</v>
      </c>
      <c r="S3498" s="478" t="s">
        <v>1858</v>
      </c>
      <c r="T3498" s="478"/>
      <c r="U3498" s="478" t="s">
        <v>3292</v>
      </c>
      <c r="V3498" s="478"/>
      <c r="W3498" s="478"/>
      <c r="X3498" s="478"/>
      <c r="Y3498" s="478"/>
      <c r="AA3498" s="479"/>
      <c r="AB3498" s="479"/>
      <c r="AD3498" s="126">
        <v>6.2</v>
      </c>
      <c r="AE3498" s="126">
        <v>2.1</v>
      </c>
      <c r="AG3498" s="126" t="s">
        <v>3301</v>
      </c>
      <c r="AH3498" s="126" t="s">
        <v>2742</v>
      </c>
      <c r="AI3498" s="126" t="s">
        <v>577</v>
      </c>
      <c r="AJ3498" s="126" t="s">
        <v>1645</v>
      </c>
      <c r="AK3498" s="126" t="s">
        <v>132</v>
      </c>
      <c r="AW3498" s="126" t="s">
        <v>3293</v>
      </c>
      <c r="AX3498" s="126">
        <v>3</v>
      </c>
      <c r="AZ3498" s="126" t="s">
        <v>2955</v>
      </c>
      <c r="BB3498" s="126">
        <v>1100</v>
      </c>
      <c r="BC3498" s="126">
        <f>(9.8+30.8)/2</f>
        <v>20.3</v>
      </c>
      <c r="BE3498" s="126" t="s">
        <v>3302</v>
      </c>
      <c r="BK3498" s="126">
        <v>2500</v>
      </c>
      <c r="BL3498" s="126">
        <v>4400</v>
      </c>
      <c r="BP3498" s="481"/>
      <c r="BQ3498" s="481"/>
      <c r="BU3498" s="481"/>
      <c r="BV3498" s="481"/>
      <c r="BZ3498" s="481"/>
      <c r="CA3498" s="481"/>
      <c r="CE3498" s="605"/>
      <c r="CF3498" s="605"/>
      <c r="CG3498" s="605"/>
      <c r="CH3498" s="605"/>
      <c r="JD3498" s="480"/>
    </row>
    <row r="3499" spans="1:264" s="126" customFormat="1" x14ac:dyDescent="0.25">
      <c r="A3499" s="126">
        <v>163</v>
      </c>
      <c r="B3499" s="478" t="s">
        <v>3309</v>
      </c>
      <c r="C3499" s="126" t="s">
        <v>3290</v>
      </c>
      <c r="D3499" s="126" t="s">
        <v>3291</v>
      </c>
      <c r="E3499" s="126">
        <v>2003</v>
      </c>
      <c r="F3499" s="126">
        <v>1998</v>
      </c>
      <c r="G3499" s="126" t="s">
        <v>371</v>
      </c>
      <c r="H3499" s="126" t="s">
        <v>3298</v>
      </c>
      <c r="I3499" s="126" t="s">
        <v>2827</v>
      </c>
      <c r="J3499" s="126">
        <f>-(13+50/60)</f>
        <v>-13.833333333333334</v>
      </c>
      <c r="K3499" s="126">
        <f>-(-38-2/60)</f>
        <v>38.033333333333331</v>
      </c>
      <c r="L3499" s="126">
        <v>1067</v>
      </c>
      <c r="P3499" s="126">
        <v>900</v>
      </c>
      <c r="R3499" s="478" t="s">
        <v>1728</v>
      </c>
      <c r="S3499" s="478" t="s">
        <v>1858</v>
      </c>
      <c r="T3499" s="478"/>
      <c r="U3499" s="478" t="s">
        <v>3292</v>
      </c>
      <c r="V3499" s="478"/>
      <c r="W3499" s="478"/>
      <c r="X3499" s="478"/>
      <c r="Y3499" s="478"/>
      <c r="AA3499" s="479"/>
      <c r="AB3499" s="479"/>
      <c r="AG3499" s="126" t="s">
        <v>3300</v>
      </c>
      <c r="AH3499" s="126" t="s">
        <v>2742</v>
      </c>
      <c r="AI3499" s="126" t="s">
        <v>577</v>
      </c>
      <c r="AJ3499" s="126" t="s">
        <v>1645</v>
      </c>
      <c r="AK3499" s="126" t="s">
        <v>132</v>
      </c>
      <c r="AW3499" s="126" t="s">
        <v>3293</v>
      </c>
      <c r="AX3499" s="126">
        <v>3</v>
      </c>
      <c r="AZ3499" s="126" t="s">
        <v>2955</v>
      </c>
      <c r="BB3499" s="126">
        <v>2500</v>
      </c>
      <c r="BC3499" s="126">
        <f>(9.8+30.8)/2</f>
        <v>20.3</v>
      </c>
      <c r="BE3499" s="126" t="s">
        <v>3302</v>
      </c>
      <c r="BK3499" s="126">
        <v>1500</v>
      </c>
      <c r="BL3499" s="126">
        <v>1700</v>
      </c>
      <c r="BP3499" s="481"/>
      <c r="BQ3499" s="481"/>
      <c r="BU3499" s="481"/>
      <c r="BV3499" s="481"/>
      <c r="BZ3499" s="481"/>
      <c r="CA3499" s="481"/>
      <c r="CE3499" s="605"/>
      <c r="CF3499" s="605"/>
      <c r="CG3499" s="605"/>
      <c r="CH3499" s="605"/>
      <c r="JD3499" s="480"/>
    </row>
    <row r="3500" spans="1:264" s="126" customFormat="1" x14ac:dyDescent="0.25">
      <c r="A3500" s="126">
        <v>163</v>
      </c>
      <c r="B3500" s="478" t="s">
        <v>3305</v>
      </c>
      <c r="C3500" s="126" t="s">
        <v>3290</v>
      </c>
      <c r="D3500" s="126" t="s">
        <v>3291</v>
      </c>
      <c r="E3500" s="126">
        <v>2003</v>
      </c>
      <c r="F3500" s="126">
        <v>1998</v>
      </c>
      <c r="G3500" s="126" t="s">
        <v>371</v>
      </c>
      <c r="H3500" s="126" t="s">
        <v>3294</v>
      </c>
      <c r="I3500" s="126" t="s">
        <v>2827</v>
      </c>
      <c r="J3500" s="126">
        <f>-(14+21/60)</f>
        <v>-14.35</v>
      </c>
      <c r="K3500" s="126">
        <f>-(-34-25/60)</f>
        <v>34.416666666666664</v>
      </c>
      <c r="L3500" s="126">
        <v>1583</v>
      </c>
      <c r="P3500" s="126">
        <f>(800+1270)/2</f>
        <v>1035</v>
      </c>
      <c r="R3500" s="478" t="s">
        <v>1728</v>
      </c>
      <c r="S3500" s="478" t="s">
        <v>1858</v>
      </c>
      <c r="T3500" s="478"/>
      <c r="U3500" s="478" t="s">
        <v>3292</v>
      </c>
      <c r="V3500" s="478"/>
      <c r="W3500" s="478"/>
      <c r="X3500" s="478"/>
      <c r="Y3500" s="478"/>
      <c r="AA3500" s="479"/>
      <c r="AB3500" s="479"/>
      <c r="AD3500" s="126">
        <v>5.9</v>
      </c>
      <c r="AE3500" s="126">
        <v>1.8</v>
      </c>
      <c r="AG3500" s="126" t="s">
        <v>3299</v>
      </c>
      <c r="AH3500" s="126" t="s">
        <v>2742</v>
      </c>
      <c r="AI3500" s="126" t="s">
        <v>577</v>
      </c>
      <c r="AJ3500" s="126" t="s">
        <v>1645</v>
      </c>
      <c r="AK3500" s="126" t="s">
        <v>132</v>
      </c>
      <c r="AW3500" s="126" t="s">
        <v>3293</v>
      </c>
      <c r="AX3500" s="126">
        <v>3</v>
      </c>
      <c r="AZ3500" s="126" t="s">
        <v>2955</v>
      </c>
      <c r="BB3500" s="126">
        <v>1800</v>
      </c>
      <c r="BC3500" s="126">
        <f>(9.8+30.8)/2</f>
        <v>20.3</v>
      </c>
      <c r="BE3500" s="126" t="s">
        <v>3303</v>
      </c>
      <c r="BK3500" s="126">
        <v>1100</v>
      </c>
      <c r="BL3500" s="126">
        <v>1800</v>
      </c>
      <c r="BP3500" s="481"/>
      <c r="BQ3500" s="481"/>
      <c r="BU3500" s="481"/>
      <c r="BV3500" s="481"/>
      <c r="BZ3500" s="481"/>
      <c r="CA3500" s="481"/>
      <c r="CE3500" s="605"/>
      <c r="CF3500" s="605"/>
      <c r="CG3500" s="605"/>
      <c r="CH3500" s="605"/>
      <c r="JD3500" s="480"/>
    </row>
    <row r="3501" spans="1:264" s="126" customFormat="1" x14ac:dyDescent="0.25">
      <c r="A3501" s="126">
        <v>163</v>
      </c>
      <c r="B3501" s="478" t="s">
        <v>3306</v>
      </c>
      <c r="C3501" s="126" t="s">
        <v>3290</v>
      </c>
      <c r="D3501" s="126" t="s">
        <v>3291</v>
      </c>
      <c r="E3501" s="126">
        <v>2003</v>
      </c>
      <c r="F3501" s="126">
        <v>1998</v>
      </c>
      <c r="G3501" s="126" t="s">
        <v>371</v>
      </c>
      <c r="H3501" s="126" t="s">
        <v>3295</v>
      </c>
      <c r="I3501" s="126" t="s">
        <v>2827</v>
      </c>
      <c r="J3501" s="126">
        <f>-(16+1/60)</f>
        <v>-16.016666666666666</v>
      </c>
      <c r="K3501" s="126">
        <f>-(-35-21/60)</f>
        <v>35.35</v>
      </c>
      <c r="L3501" s="126">
        <v>1200</v>
      </c>
      <c r="P3501" s="126">
        <f>2200</f>
        <v>2200</v>
      </c>
      <c r="R3501" s="478" t="s">
        <v>1728</v>
      </c>
      <c r="S3501" s="478" t="s">
        <v>1858</v>
      </c>
      <c r="T3501" s="478"/>
      <c r="U3501" s="478" t="s">
        <v>3292</v>
      </c>
      <c r="V3501" s="478"/>
      <c r="W3501" s="478"/>
      <c r="X3501" s="478"/>
      <c r="Y3501" s="478"/>
      <c r="AA3501" s="479"/>
      <c r="AB3501" s="479"/>
      <c r="AD3501" s="126">
        <v>5.8</v>
      </c>
      <c r="AE3501" s="126">
        <v>1</v>
      </c>
      <c r="AG3501" s="126" t="s">
        <v>3299</v>
      </c>
      <c r="AH3501" s="126" t="s">
        <v>2742</v>
      </c>
      <c r="AI3501" s="126" t="s">
        <v>577</v>
      </c>
      <c r="AJ3501" s="126" t="s">
        <v>1645</v>
      </c>
      <c r="AK3501" s="126" t="s">
        <v>132</v>
      </c>
      <c r="AW3501" s="126" t="s">
        <v>3293</v>
      </c>
      <c r="AX3501" s="126">
        <v>3</v>
      </c>
      <c r="AZ3501" s="126" t="s">
        <v>2955</v>
      </c>
      <c r="BB3501" s="126">
        <v>1200</v>
      </c>
      <c r="BC3501" s="126">
        <f>(9.8+30.8)/2</f>
        <v>20.3</v>
      </c>
      <c r="BE3501" s="126" t="s">
        <v>3303</v>
      </c>
      <c r="BK3501" s="126">
        <v>1900</v>
      </c>
      <c r="BL3501" s="126">
        <v>2300</v>
      </c>
      <c r="BP3501" s="481"/>
      <c r="BQ3501" s="481"/>
      <c r="BU3501" s="481"/>
      <c r="BV3501" s="481"/>
      <c r="BZ3501" s="481"/>
      <c r="CA3501" s="481"/>
      <c r="CE3501" s="605"/>
      <c r="CF3501" s="605"/>
      <c r="CG3501" s="605"/>
      <c r="CH3501" s="605"/>
      <c r="JD3501" s="480"/>
    </row>
    <row r="3502" spans="1:264" s="126" customFormat="1" x14ac:dyDescent="0.25">
      <c r="A3502" s="126">
        <v>163</v>
      </c>
      <c r="B3502" s="478" t="s">
        <v>3307</v>
      </c>
      <c r="C3502" s="126" t="s">
        <v>3290</v>
      </c>
      <c r="D3502" s="126" t="s">
        <v>3291</v>
      </c>
      <c r="E3502" s="126">
        <v>2003</v>
      </c>
      <c r="F3502" s="126">
        <v>1998</v>
      </c>
      <c r="G3502" s="126" t="s">
        <v>371</v>
      </c>
      <c r="H3502" s="126" t="s">
        <v>3296</v>
      </c>
      <c r="I3502" s="126" t="s">
        <v>2827</v>
      </c>
      <c r="J3502" s="126">
        <f>-(12+7/60)</f>
        <v>-12.116666666666667</v>
      </c>
      <c r="K3502" s="126">
        <f>-(-33-25/60)</f>
        <v>33.416666666666664</v>
      </c>
      <c r="L3502" s="126">
        <v>1231</v>
      </c>
      <c r="P3502" s="126">
        <f>(700+1200)/2</f>
        <v>950</v>
      </c>
      <c r="R3502" s="478" t="s">
        <v>1728</v>
      </c>
      <c r="S3502" s="478" t="s">
        <v>1858</v>
      </c>
      <c r="T3502" s="478"/>
      <c r="U3502" s="478" t="s">
        <v>3292</v>
      </c>
      <c r="V3502" s="478"/>
      <c r="W3502" s="478"/>
      <c r="X3502" s="478"/>
      <c r="Y3502" s="478"/>
      <c r="AA3502" s="479"/>
      <c r="AB3502" s="479"/>
      <c r="AD3502" s="126">
        <v>5.3</v>
      </c>
      <c r="AE3502" s="126">
        <v>1.8</v>
      </c>
      <c r="AG3502" s="126" t="s">
        <v>3300</v>
      </c>
      <c r="AH3502" s="126" t="s">
        <v>2742</v>
      </c>
      <c r="AI3502" s="126" t="s">
        <v>577</v>
      </c>
      <c r="AJ3502" s="126" t="s">
        <v>1645</v>
      </c>
      <c r="AK3502" s="126" t="s">
        <v>132</v>
      </c>
      <c r="AW3502" s="126" t="s">
        <v>3293</v>
      </c>
      <c r="AX3502" s="126">
        <v>3</v>
      </c>
      <c r="AZ3502" s="126" t="s">
        <v>2955</v>
      </c>
      <c r="BE3502" s="126" t="s">
        <v>3303</v>
      </c>
      <c r="BK3502" s="126">
        <v>2600</v>
      </c>
      <c r="BL3502" s="126">
        <v>3400</v>
      </c>
      <c r="BP3502" s="481"/>
      <c r="BQ3502" s="481"/>
      <c r="BU3502" s="481"/>
      <c r="BV3502" s="481"/>
      <c r="BZ3502" s="481"/>
      <c r="CA3502" s="481"/>
      <c r="CE3502" s="605"/>
      <c r="CF3502" s="605"/>
      <c r="CG3502" s="605"/>
      <c r="CH3502" s="605"/>
      <c r="JD3502" s="480"/>
    </row>
    <row r="3503" spans="1:264" s="126" customFormat="1" x14ac:dyDescent="0.25">
      <c r="A3503" s="126">
        <v>163</v>
      </c>
      <c r="B3503" s="478" t="s">
        <v>3308</v>
      </c>
      <c r="C3503" s="126" t="s">
        <v>3290</v>
      </c>
      <c r="D3503" s="126" t="s">
        <v>3291</v>
      </c>
      <c r="E3503" s="126">
        <v>2003</v>
      </c>
      <c r="F3503" s="126">
        <v>1998</v>
      </c>
      <c r="G3503" s="126" t="s">
        <v>371</v>
      </c>
      <c r="H3503" s="126" t="s">
        <v>3297</v>
      </c>
      <c r="I3503" s="126" t="s">
        <v>2827</v>
      </c>
      <c r="J3503" s="126">
        <f>-(13+59/60)</f>
        <v>-13.983333333333333</v>
      </c>
      <c r="K3503" s="126">
        <f>-(-33-38/60)</f>
        <v>33.633333333333333</v>
      </c>
      <c r="L3503" s="126">
        <v>1141</v>
      </c>
      <c r="P3503" s="126">
        <f>950</f>
        <v>950</v>
      </c>
      <c r="R3503" s="478" t="s">
        <v>1728</v>
      </c>
      <c r="S3503" s="478" t="s">
        <v>1858</v>
      </c>
      <c r="T3503" s="478"/>
      <c r="U3503" s="478" t="s">
        <v>3292</v>
      </c>
      <c r="V3503" s="478"/>
      <c r="W3503" s="478"/>
      <c r="X3503" s="478"/>
      <c r="Y3503" s="478"/>
      <c r="AA3503" s="479"/>
      <c r="AB3503" s="479"/>
      <c r="AD3503" s="126">
        <v>6.2</v>
      </c>
      <c r="AE3503" s="126">
        <v>2.1</v>
      </c>
      <c r="AG3503" s="126" t="s">
        <v>3301</v>
      </c>
      <c r="AH3503" s="126" t="s">
        <v>2742</v>
      </c>
      <c r="AI3503" s="126" t="s">
        <v>577</v>
      </c>
      <c r="AJ3503" s="126" t="s">
        <v>1645</v>
      </c>
      <c r="AK3503" s="126" t="s">
        <v>132</v>
      </c>
      <c r="AW3503" s="126" t="s">
        <v>3293</v>
      </c>
      <c r="AX3503" s="126">
        <v>3</v>
      </c>
      <c r="AZ3503" s="126" t="s">
        <v>2955</v>
      </c>
      <c r="BB3503" s="126">
        <v>1100</v>
      </c>
      <c r="BC3503" s="126">
        <f>(9.8+30.8)/2</f>
        <v>20.3</v>
      </c>
      <c r="BE3503" s="126" t="s">
        <v>3302</v>
      </c>
      <c r="BK3503" s="126">
        <v>2500</v>
      </c>
      <c r="BL3503" s="126">
        <v>3500</v>
      </c>
      <c r="BP3503" s="481"/>
      <c r="BQ3503" s="481"/>
      <c r="BU3503" s="481"/>
      <c r="BV3503" s="481"/>
      <c r="BZ3503" s="481"/>
      <c r="CA3503" s="481"/>
      <c r="CE3503" s="605"/>
      <c r="CF3503" s="605"/>
      <c r="CG3503" s="605"/>
      <c r="CH3503" s="605"/>
      <c r="JD3503" s="480"/>
    </row>
    <row r="3504" spans="1:264" s="126" customFormat="1" x14ac:dyDescent="0.25">
      <c r="A3504" s="126">
        <v>163</v>
      </c>
      <c r="B3504" s="478" t="s">
        <v>3309</v>
      </c>
      <c r="C3504" s="126" t="s">
        <v>3290</v>
      </c>
      <c r="D3504" s="126" t="s">
        <v>3291</v>
      </c>
      <c r="E3504" s="126">
        <v>2003</v>
      </c>
      <c r="F3504" s="126">
        <v>1998</v>
      </c>
      <c r="G3504" s="126" t="s">
        <v>371</v>
      </c>
      <c r="H3504" s="126" t="s">
        <v>3298</v>
      </c>
      <c r="I3504" s="126" t="s">
        <v>2827</v>
      </c>
      <c r="J3504" s="126">
        <f>-(13+50/60)</f>
        <v>-13.833333333333334</v>
      </c>
      <c r="K3504" s="126">
        <f>-(-38-2/60)</f>
        <v>38.033333333333331</v>
      </c>
      <c r="L3504" s="126">
        <v>1067</v>
      </c>
      <c r="P3504" s="126">
        <v>900</v>
      </c>
      <c r="R3504" s="478" t="s">
        <v>1728</v>
      </c>
      <c r="S3504" s="478" t="s">
        <v>1858</v>
      </c>
      <c r="T3504" s="478"/>
      <c r="U3504" s="478" t="s">
        <v>3292</v>
      </c>
      <c r="V3504" s="478"/>
      <c r="W3504" s="478"/>
      <c r="X3504" s="478"/>
      <c r="Y3504" s="478"/>
      <c r="AA3504" s="479"/>
      <c r="AB3504" s="479"/>
      <c r="AG3504" s="126" t="s">
        <v>3300</v>
      </c>
      <c r="AH3504" s="126" t="s">
        <v>2742</v>
      </c>
      <c r="AI3504" s="126" t="s">
        <v>577</v>
      </c>
      <c r="AJ3504" s="126" t="s">
        <v>1645</v>
      </c>
      <c r="AK3504" s="126" t="s">
        <v>132</v>
      </c>
      <c r="AW3504" s="126" t="s">
        <v>3293</v>
      </c>
      <c r="AX3504" s="126">
        <v>3</v>
      </c>
      <c r="AZ3504" s="126" t="s">
        <v>2955</v>
      </c>
      <c r="BB3504" s="126">
        <v>2500</v>
      </c>
      <c r="BC3504" s="126">
        <f>(9.8+30.8)/2</f>
        <v>20.3</v>
      </c>
      <c r="BE3504" s="126" t="s">
        <v>3302</v>
      </c>
      <c r="BK3504" s="126">
        <v>1500</v>
      </c>
      <c r="BL3504" s="126">
        <v>1900</v>
      </c>
      <c r="BP3504" s="481"/>
      <c r="BQ3504" s="481"/>
      <c r="BU3504" s="481"/>
      <c r="BV3504" s="481"/>
      <c r="BZ3504" s="481"/>
      <c r="CA3504" s="481"/>
      <c r="CE3504" s="605"/>
      <c r="CF3504" s="605"/>
      <c r="CG3504" s="605"/>
      <c r="CH3504" s="605"/>
      <c r="JD3504" s="480"/>
    </row>
    <row r="3505" spans="1:264" s="36" customFormat="1" x14ac:dyDescent="0.25">
      <c r="A3505" s="36">
        <v>163</v>
      </c>
      <c r="B3505" s="51" t="s">
        <v>3305</v>
      </c>
      <c r="C3505" s="36" t="s">
        <v>3290</v>
      </c>
      <c r="D3505" s="36" t="s">
        <v>3291</v>
      </c>
      <c r="E3505" s="36">
        <v>2003</v>
      </c>
      <c r="F3505" s="36">
        <v>1998</v>
      </c>
      <c r="G3505" s="36" t="s">
        <v>371</v>
      </c>
      <c r="H3505" s="36" t="s">
        <v>3294</v>
      </c>
      <c r="I3505" s="36" t="s">
        <v>2827</v>
      </c>
      <c r="J3505" s="36">
        <f>-(14+21/60)</f>
        <v>-14.35</v>
      </c>
      <c r="K3505" s="36">
        <f>-(-34-25/60)</f>
        <v>34.416666666666664</v>
      </c>
      <c r="L3505" s="36">
        <v>1583</v>
      </c>
      <c r="P3505" s="36">
        <f>(800+1270)/2</f>
        <v>1035</v>
      </c>
      <c r="R3505" s="51" t="s">
        <v>1728</v>
      </c>
      <c r="S3505" s="51" t="s">
        <v>1858</v>
      </c>
      <c r="T3505" s="51"/>
      <c r="U3505" s="51" t="s">
        <v>3292</v>
      </c>
      <c r="V3505" s="51"/>
      <c r="W3505" s="51"/>
      <c r="X3505" s="51"/>
      <c r="Y3505" s="51"/>
      <c r="AA3505" s="331"/>
      <c r="AB3505" s="331"/>
      <c r="AD3505" s="36">
        <v>5.9</v>
      </c>
      <c r="AE3505" s="36">
        <v>1.8</v>
      </c>
      <c r="AG3505" s="36" t="s">
        <v>3299</v>
      </c>
      <c r="AH3505" s="36" t="s">
        <v>2744</v>
      </c>
      <c r="AI3505" s="36" t="s">
        <v>577</v>
      </c>
      <c r="AJ3505" s="36" t="s">
        <v>1645</v>
      </c>
      <c r="AK3505" s="36" t="s">
        <v>132</v>
      </c>
      <c r="AW3505" s="36" t="s">
        <v>3293</v>
      </c>
      <c r="AX3505" s="36">
        <v>3</v>
      </c>
      <c r="AZ3505" s="36" t="s">
        <v>2955</v>
      </c>
      <c r="BB3505" s="36">
        <v>1700</v>
      </c>
      <c r="BC3505" s="36">
        <f>(8+32.1)/2</f>
        <v>20.05</v>
      </c>
      <c r="BE3505" s="36" t="s">
        <v>3303</v>
      </c>
      <c r="BK3505" s="36">
        <v>1100</v>
      </c>
      <c r="BL3505" s="36">
        <v>1900</v>
      </c>
      <c r="BP3505" s="407"/>
      <c r="BQ3505" s="407"/>
      <c r="BU3505" s="407"/>
      <c r="BV3505" s="407"/>
      <c r="BZ3505" s="407"/>
      <c r="CA3505" s="407"/>
      <c r="CE3505" s="560"/>
      <c r="CF3505" s="560"/>
      <c r="CG3505" s="560"/>
      <c r="CH3505" s="560"/>
      <c r="JD3505" s="230"/>
    </row>
    <row r="3506" spans="1:264" s="36" customFormat="1" x14ac:dyDescent="0.25">
      <c r="A3506" s="36">
        <v>163</v>
      </c>
      <c r="B3506" s="51" t="s">
        <v>3306</v>
      </c>
      <c r="C3506" s="36" t="s">
        <v>3290</v>
      </c>
      <c r="D3506" s="36" t="s">
        <v>3291</v>
      </c>
      <c r="E3506" s="36">
        <v>2003</v>
      </c>
      <c r="F3506" s="36">
        <v>1998</v>
      </c>
      <c r="G3506" s="36" t="s">
        <v>371</v>
      </c>
      <c r="H3506" s="36" t="s">
        <v>3295</v>
      </c>
      <c r="I3506" s="36" t="s">
        <v>2827</v>
      </c>
      <c r="J3506" s="36">
        <f>-(16+1/60)</f>
        <v>-16.016666666666666</v>
      </c>
      <c r="K3506" s="36">
        <f>-(-35-21/60)</f>
        <v>35.35</v>
      </c>
      <c r="L3506" s="36">
        <v>1200</v>
      </c>
      <c r="P3506" s="36">
        <f>2200</f>
        <v>2200</v>
      </c>
      <c r="R3506" s="51" t="s">
        <v>1728</v>
      </c>
      <c r="S3506" s="51" t="s">
        <v>1858</v>
      </c>
      <c r="T3506" s="51"/>
      <c r="U3506" s="51" t="s">
        <v>3292</v>
      </c>
      <c r="V3506" s="51"/>
      <c r="W3506" s="51"/>
      <c r="X3506" s="51"/>
      <c r="Y3506" s="51"/>
      <c r="AA3506" s="331"/>
      <c r="AB3506" s="331"/>
      <c r="AD3506" s="36">
        <v>5.8</v>
      </c>
      <c r="AE3506" s="36">
        <v>1</v>
      </c>
      <c r="AG3506" s="36" t="s">
        <v>3299</v>
      </c>
      <c r="AH3506" s="36" t="s">
        <v>2744</v>
      </c>
      <c r="AI3506" s="36" t="s">
        <v>577</v>
      </c>
      <c r="AJ3506" s="36" t="s">
        <v>1645</v>
      </c>
      <c r="AK3506" s="36" t="s">
        <v>132</v>
      </c>
      <c r="AW3506" s="36" t="s">
        <v>3293</v>
      </c>
      <c r="AX3506" s="36">
        <v>3</v>
      </c>
      <c r="AZ3506" s="36" t="s">
        <v>2955</v>
      </c>
      <c r="BB3506" s="36">
        <v>500</v>
      </c>
      <c r="BC3506" s="36">
        <f t="shared" ref="BC3506:BC3514" si="474">(8+32.1)/2</f>
        <v>20.05</v>
      </c>
      <c r="BE3506" s="36" t="s">
        <v>3303</v>
      </c>
      <c r="BK3506" s="36">
        <v>1900</v>
      </c>
      <c r="BL3506" s="36">
        <v>2800</v>
      </c>
      <c r="BP3506" s="407"/>
      <c r="BQ3506" s="407"/>
      <c r="BU3506" s="407"/>
      <c r="BV3506" s="407"/>
      <c r="BZ3506" s="407"/>
      <c r="CA3506" s="407"/>
      <c r="CE3506" s="560"/>
      <c r="CF3506" s="560"/>
      <c r="CG3506" s="560"/>
      <c r="CH3506" s="560"/>
      <c r="JD3506" s="230"/>
    </row>
    <row r="3507" spans="1:264" s="36" customFormat="1" x14ac:dyDescent="0.25">
      <c r="A3507" s="36">
        <v>163</v>
      </c>
      <c r="B3507" s="51" t="s">
        <v>3307</v>
      </c>
      <c r="C3507" s="36" t="s">
        <v>3290</v>
      </c>
      <c r="D3507" s="36" t="s">
        <v>3291</v>
      </c>
      <c r="E3507" s="36">
        <v>2003</v>
      </c>
      <c r="F3507" s="36">
        <v>1998</v>
      </c>
      <c r="G3507" s="36" t="s">
        <v>371</v>
      </c>
      <c r="H3507" s="36" t="s">
        <v>3296</v>
      </c>
      <c r="I3507" s="36" t="s">
        <v>2827</v>
      </c>
      <c r="J3507" s="36">
        <f>-(12+7/60)</f>
        <v>-12.116666666666667</v>
      </c>
      <c r="K3507" s="36">
        <f>-(-33-25/60)</f>
        <v>33.416666666666664</v>
      </c>
      <c r="L3507" s="36">
        <v>1231</v>
      </c>
      <c r="P3507" s="36">
        <f>(700+1200)/2</f>
        <v>950</v>
      </c>
      <c r="R3507" s="51" t="s">
        <v>1728</v>
      </c>
      <c r="S3507" s="51" t="s">
        <v>1858</v>
      </c>
      <c r="T3507" s="51"/>
      <c r="U3507" s="51" t="s">
        <v>3292</v>
      </c>
      <c r="V3507" s="51"/>
      <c r="W3507" s="51"/>
      <c r="X3507" s="51"/>
      <c r="Y3507" s="51"/>
      <c r="AA3507" s="331"/>
      <c r="AB3507" s="331"/>
      <c r="AD3507" s="36">
        <v>5.3</v>
      </c>
      <c r="AE3507" s="36">
        <v>1.8</v>
      </c>
      <c r="AG3507" s="36" t="s">
        <v>3300</v>
      </c>
      <c r="AH3507" s="36" t="s">
        <v>2744</v>
      </c>
      <c r="AI3507" s="36" t="s">
        <v>577</v>
      </c>
      <c r="AJ3507" s="36" t="s">
        <v>1645</v>
      </c>
      <c r="AK3507" s="36" t="s">
        <v>132</v>
      </c>
      <c r="AW3507" s="36" t="s">
        <v>3293</v>
      </c>
      <c r="AX3507" s="36">
        <v>3</v>
      </c>
      <c r="AZ3507" s="36" t="s">
        <v>2955</v>
      </c>
      <c r="BB3507" s="36">
        <v>500</v>
      </c>
      <c r="BC3507" s="36">
        <f t="shared" si="474"/>
        <v>20.05</v>
      </c>
      <c r="BE3507" s="36" t="s">
        <v>3303</v>
      </c>
      <c r="BK3507" s="36">
        <v>2600</v>
      </c>
      <c r="BL3507" s="36">
        <v>3700</v>
      </c>
      <c r="BP3507" s="407"/>
      <c r="BQ3507" s="407"/>
      <c r="BU3507" s="407"/>
      <c r="BV3507" s="407"/>
      <c r="BZ3507" s="407"/>
      <c r="CA3507" s="407"/>
      <c r="CE3507" s="560"/>
      <c r="CF3507" s="560"/>
      <c r="CG3507" s="560"/>
      <c r="CH3507" s="560"/>
      <c r="JD3507" s="230"/>
    </row>
    <row r="3508" spans="1:264" s="36" customFormat="1" x14ac:dyDescent="0.25">
      <c r="A3508" s="36">
        <v>163</v>
      </c>
      <c r="B3508" s="51" t="s">
        <v>3308</v>
      </c>
      <c r="C3508" s="36" t="s">
        <v>3290</v>
      </c>
      <c r="D3508" s="36" t="s">
        <v>3291</v>
      </c>
      <c r="E3508" s="36">
        <v>2003</v>
      </c>
      <c r="F3508" s="36">
        <v>1998</v>
      </c>
      <c r="G3508" s="36" t="s">
        <v>371</v>
      </c>
      <c r="H3508" s="36" t="s">
        <v>3297</v>
      </c>
      <c r="I3508" s="36" t="s">
        <v>2827</v>
      </c>
      <c r="J3508" s="36">
        <f>-(13+59/60)</f>
        <v>-13.983333333333333</v>
      </c>
      <c r="K3508" s="36">
        <f>-(-33-38/60)</f>
        <v>33.633333333333333</v>
      </c>
      <c r="L3508" s="36">
        <v>1141</v>
      </c>
      <c r="P3508" s="36">
        <f>950</f>
        <v>950</v>
      </c>
      <c r="R3508" s="51" t="s">
        <v>1728</v>
      </c>
      <c r="S3508" s="51" t="s">
        <v>1858</v>
      </c>
      <c r="T3508" s="51"/>
      <c r="U3508" s="51" t="s">
        <v>3292</v>
      </c>
      <c r="V3508" s="51"/>
      <c r="W3508" s="51"/>
      <c r="X3508" s="51"/>
      <c r="Y3508" s="51"/>
      <c r="AA3508" s="331"/>
      <c r="AB3508" s="331"/>
      <c r="AD3508" s="36">
        <v>6.2</v>
      </c>
      <c r="AE3508" s="36">
        <v>2.1</v>
      </c>
      <c r="AG3508" s="36" t="s">
        <v>3301</v>
      </c>
      <c r="AH3508" s="36" t="s">
        <v>2744</v>
      </c>
      <c r="AI3508" s="36" t="s">
        <v>577</v>
      </c>
      <c r="AJ3508" s="36" t="s">
        <v>1645</v>
      </c>
      <c r="AK3508" s="36" t="s">
        <v>132</v>
      </c>
      <c r="AW3508" s="36" t="s">
        <v>3293</v>
      </c>
      <c r="AX3508" s="36">
        <v>3</v>
      </c>
      <c r="AZ3508" s="36" t="s">
        <v>2955</v>
      </c>
      <c r="BB3508" s="36">
        <v>100</v>
      </c>
      <c r="BC3508" s="36">
        <f t="shared" si="474"/>
        <v>20.05</v>
      </c>
      <c r="BE3508" s="36" t="s">
        <v>3302</v>
      </c>
      <c r="BK3508" s="36">
        <v>2500</v>
      </c>
      <c r="BL3508" s="36">
        <v>4200</v>
      </c>
      <c r="BP3508" s="407"/>
      <c r="BQ3508" s="407"/>
      <c r="BU3508" s="407"/>
      <c r="BV3508" s="407"/>
      <c r="BZ3508" s="407"/>
      <c r="CA3508" s="407"/>
      <c r="CE3508" s="560"/>
      <c r="CF3508" s="560"/>
      <c r="CG3508" s="560"/>
      <c r="CH3508" s="560"/>
      <c r="JD3508" s="230"/>
    </row>
    <row r="3509" spans="1:264" s="36" customFormat="1" x14ac:dyDescent="0.25">
      <c r="A3509" s="36">
        <v>163</v>
      </c>
      <c r="B3509" s="51" t="s">
        <v>3309</v>
      </c>
      <c r="C3509" s="36" t="s">
        <v>3290</v>
      </c>
      <c r="D3509" s="36" t="s">
        <v>3291</v>
      </c>
      <c r="E3509" s="36">
        <v>2003</v>
      </c>
      <c r="F3509" s="36">
        <v>1998</v>
      </c>
      <c r="G3509" s="36" t="s">
        <v>371</v>
      </c>
      <c r="H3509" s="36" t="s">
        <v>3298</v>
      </c>
      <c r="I3509" s="36" t="s">
        <v>2827</v>
      </c>
      <c r="J3509" s="36">
        <f>-(13+50/60)</f>
        <v>-13.833333333333334</v>
      </c>
      <c r="K3509" s="36">
        <f>-(-38-2/60)</f>
        <v>38.033333333333331</v>
      </c>
      <c r="L3509" s="36">
        <v>1067</v>
      </c>
      <c r="P3509" s="36">
        <v>900</v>
      </c>
      <c r="R3509" s="51" t="s">
        <v>1728</v>
      </c>
      <c r="S3509" s="51" t="s">
        <v>1858</v>
      </c>
      <c r="T3509" s="51"/>
      <c r="U3509" s="51" t="s">
        <v>3292</v>
      </c>
      <c r="V3509" s="51"/>
      <c r="W3509" s="51"/>
      <c r="X3509" s="51"/>
      <c r="Y3509" s="51"/>
      <c r="AA3509" s="331"/>
      <c r="AB3509" s="331"/>
      <c r="AG3509" s="36" t="s">
        <v>3300</v>
      </c>
      <c r="AH3509" s="36" t="s">
        <v>2744</v>
      </c>
      <c r="AI3509" s="36" t="s">
        <v>577</v>
      </c>
      <c r="AJ3509" s="36" t="s">
        <v>1645</v>
      </c>
      <c r="AK3509" s="36" t="s">
        <v>132</v>
      </c>
      <c r="AW3509" s="36" t="s">
        <v>3293</v>
      </c>
      <c r="AX3509" s="36">
        <v>3</v>
      </c>
      <c r="AZ3509" s="36" t="s">
        <v>2955</v>
      </c>
      <c r="BB3509" s="36">
        <v>500</v>
      </c>
      <c r="BC3509" s="36">
        <f t="shared" si="474"/>
        <v>20.05</v>
      </c>
      <c r="BE3509" s="36" t="s">
        <v>3302</v>
      </c>
      <c r="BK3509" s="36">
        <v>1500</v>
      </c>
      <c r="BL3509" s="36">
        <v>1900</v>
      </c>
      <c r="BP3509" s="407"/>
      <c r="BQ3509" s="407"/>
      <c r="BU3509" s="407"/>
      <c r="BV3509" s="407"/>
      <c r="BZ3509" s="407"/>
      <c r="CA3509" s="407"/>
      <c r="CE3509" s="560"/>
      <c r="CF3509" s="560"/>
      <c r="CG3509" s="560"/>
      <c r="CH3509" s="560"/>
      <c r="JD3509" s="230"/>
    </row>
    <row r="3510" spans="1:264" s="36" customFormat="1" x14ac:dyDescent="0.25">
      <c r="A3510" s="36">
        <v>163</v>
      </c>
      <c r="B3510" s="51" t="s">
        <v>3305</v>
      </c>
      <c r="C3510" s="36" t="s">
        <v>3290</v>
      </c>
      <c r="D3510" s="36" t="s">
        <v>3291</v>
      </c>
      <c r="E3510" s="36">
        <v>2003</v>
      </c>
      <c r="F3510" s="36">
        <v>1998</v>
      </c>
      <c r="G3510" s="36" t="s">
        <v>371</v>
      </c>
      <c r="H3510" s="36" t="s">
        <v>3294</v>
      </c>
      <c r="I3510" s="36" t="s">
        <v>2827</v>
      </c>
      <c r="J3510" s="36">
        <f>-(14+21/60)</f>
        <v>-14.35</v>
      </c>
      <c r="K3510" s="36">
        <f>-(-34-25/60)</f>
        <v>34.416666666666664</v>
      </c>
      <c r="L3510" s="36">
        <v>1583</v>
      </c>
      <c r="P3510" s="36">
        <f>(800+1270)/2</f>
        <v>1035</v>
      </c>
      <c r="R3510" s="51" t="s">
        <v>1728</v>
      </c>
      <c r="S3510" s="51" t="s">
        <v>1858</v>
      </c>
      <c r="T3510" s="51"/>
      <c r="U3510" s="51" t="s">
        <v>3292</v>
      </c>
      <c r="V3510" s="51"/>
      <c r="W3510" s="51"/>
      <c r="X3510" s="51"/>
      <c r="Y3510" s="51"/>
      <c r="AA3510" s="331"/>
      <c r="AB3510" s="331"/>
      <c r="AD3510" s="36">
        <v>5.9</v>
      </c>
      <c r="AE3510" s="36">
        <v>1.8</v>
      </c>
      <c r="AG3510" s="36" t="s">
        <v>3299</v>
      </c>
      <c r="AH3510" s="36" t="s">
        <v>2744</v>
      </c>
      <c r="AI3510" s="36" t="s">
        <v>577</v>
      </c>
      <c r="AJ3510" s="36" t="s">
        <v>1645</v>
      </c>
      <c r="AK3510" s="36" t="s">
        <v>132</v>
      </c>
      <c r="AW3510" s="36" t="s">
        <v>3293</v>
      </c>
      <c r="AX3510" s="36">
        <v>3</v>
      </c>
      <c r="AZ3510" s="36" t="s">
        <v>2955</v>
      </c>
      <c r="BB3510" s="36">
        <v>1700</v>
      </c>
      <c r="BC3510" s="36">
        <f>(8+32.1)/2</f>
        <v>20.05</v>
      </c>
      <c r="BE3510" s="36" t="s">
        <v>3303</v>
      </c>
      <c r="BK3510" s="36">
        <v>1100</v>
      </c>
      <c r="BL3510" s="36">
        <v>900</v>
      </c>
      <c r="BP3510" s="407"/>
      <c r="BQ3510" s="407"/>
      <c r="BU3510" s="407"/>
      <c r="BV3510" s="407"/>
      <c r="BZ3510" s="407"/>
      <c r="CA3510" s="407"/>
      <c r="CE3510" s="560"/>
      <c r="CF3510" s="560"/>
      <c r="CG3510" s="560"/>
      <c r="CH3510" s="560"/>
      <c r="JD3510" s="230"/>
    </row>
    <row r="3511" spans="1:264" s="36" customFormat="1" x14ac:dyDescent="0.25">
      <c r="A3511" s="36">
        <v>163</v>
      </c>
      <c r="B3511" s="51" t="s">
        <v>3306</v>
      </c>
      <c r="C3511" s="36" t="s">
        <v>3290</v>
      </c>
      <c r="D3511" s="36" t="s">
        <v>3291</v>
      </c>
      <c r="E3511" s="36">
        <v>2003</v>
      </c>
      <c r="F3511" s="36">
        <v>1998</v>
      </c>
      <c r="G3511" s="36" t="s">
        <v>371</v>
      </c>
      <c r="H3511" s="36" t="s">
        <v>3295</v>
      </c>
      <c r="I3511" s="36" t="s">
        <v>2827</v>
      </c>
      <c r="J3511" s="36">
        <f>-(16+1/60)</f>
        <v>-16.016666666666666</v>
      </c>
      <c r="K3511" s="36">
        <f>-(-35-21/60)</f>
        <v>35.35</v>
      </c>
      <c r="L3511" s="36">
        <v>1200</v>
      </c>
      <c r="P3511" s="36">
        <f>2200</f>
        <v>2200</v>
      </c>
      <c r="R3511" s="51" t="s">
        <v>1728</v>
      </c>
      <c r="S3511" s="51" t="s">
        <v>1858</v>
      </c>
      <c r="T3511" s="51"/>
      <c r="U3511" s="51" t="s">
        <v>3292</v>
      </c>
      <c r="V3511" s="51"/>
      <c r="W3511" s="51"/>
      <c r="X3511" s="51"/>
      <c r="Y3511" s="51"/>
      <c r="AA3511" s="331"/>
      <c r="AB3511" s="331"/>
      <c r="AD3511" s="36">
        <v>5.8</v>
      </c>
      <c r="AE3511" s="36">
        <v>1</v>
      </c>
      <c r="AG3511" s="36" t="s">
        <v>3299</v>
      </c>
      <c r="AH3511" s="36" t="s">
        <v>2744</v>
      </c>
      <c r="AI3511" s="36" t="s">
        <v>577</v>
      </c>
      <c r="AJ3511" s="36" t="s">
        <v>1645</v>
      </c>
      <c r="AK3511" s="36" t="s">
        <v>132</v>
      </c>
      <c r="AW3511" s="36" t="s">
        <v>3293</v>
      </c>
      <c r="AX3511" s="36">
        <v>3</v>
      </c>
      <c r="AZ3511" s="36" t="s">
        <v>2955</v>
      </c>
      <c r="BB3511" s="36">
        <v>500</v>
      </c>
      <c r="BC3511" s="36">
        <f t="shared" si="474"/>
        <v>20.05</v>
      </c>
      <c r="BE3511" s="36" t="s">
        <v>3303</v>
      </c>
      <c r="BK3511" s="36">
        <v>1900</v>
      </c>
      <c r="BL3511" s="36">
        <v>2600</v>
      </c>
      <c r="BP3511" s="407"/>
      <c r="BQ3511" s="407"/>
      <c r="BU3511" s="407"/>
      <c r="BV3511" s="407"/>
      <c r="BZ3511" s="407"/>
      <c r="CA3511" s="407"/>
      <c r="CE3511" s="560"/>
      <c r="CF3511" s="560"/>
      <c r="CG3511" s="560"/>
      <c r="CH3511" s="560"/>
      <c r="JD3511" s="230"/>
    </row>
    <row r="3512" spans="1:264" s="36" customFormat="1" x14ac:dyDescent="0.25">
      <c r="A3512" s="36">
        <v>163</v>
      </c>
      <c r="B3512" s="51" t="s">
        <v>3307</v>
      </c>
      <c r="C3512" s="36" t="s">
        <v>3290</v>
      </c>
      <c r="D3512" s="36" t="s">
        <v>3291</v>
      </c>
      <c r="E3512" s="36">
        <v>2003</v>
      </c>
      <c r="F3512" s="36">
        <v>1998</v>
      </c>
      <c r="G3512" s="36" t="s">
        <v>371</v>
      </c>
      <c r="H3512" s="36" t="s">
        <v>3296</v>
      </c>
      <c r="I3512" s="36" t="s">
        <v>2827</v>
      </c>
      <c r="J3512" s="36">
        <f>-(12+7/60)</f>
        <v>-12.116666666666667</v>
      </c>
      <c r="K3512" s="36">
        <f>-(-33-25/60)</f>
        <v>33.416666666666664</v>
      </c>
      <c r="L3512" s="36">
        <v>1231</v>
      </c>
      <c r="P3512" s="36">
        <f>(700+1200)/2</f>
        <v>950</v>
      </c>
      <c r="R3512" s="51" t="s">
        <v>1728</v>
      </c>
      <c r="S3512" s="51" t="s">
        <v>1858</v>
      </c>
      <c r="T3512" s="51"/>
      <c r="U3512" s="51" t="s">
        <v>3292</v>
      </c>
      <c r="V3512" s="51"/>
      <c r="W3512" s="51"/>
      <c r="X3512" s="51"/>
      <c r="Y3512" s="51"/>
      <c r="AA3512" s="331"/>
      <c r="AB3512" s="331"/>
      <c r="AD3512" s="36">
        <v>5.3</v>
      </c>
      <c r="AE3512" s="36">
        <v>1.8</v>
      </c>
      <c r="AG3512" s="36" t="s">
        <v>3300</v>
      </c>
      <c r="AH3512" s="36" t="s">
        <v>2744</v>
      </c>
      <c r="AI3512" s="36" t="s">
        <v>577</v>
      </c>
      <c r="AJ3512" s="36" t="s">
        <v>1645</v>
      </c>
      <c r="AK3512" s="36" t="s">
        <v>132</v>
      </c>
      <c r="AW3512" s="36" t="s">
        <v>3293</v>
      </c>
      <c r="AX3512" s="36">
        <v>3</v>
      </c>
      <c r="AZ3512" s="36" t="s">
        <v>2955</v>
      </c>
      <c r="BB3512" s="36">
        <v>500</v>
      </c>
      <c r="BC3512" s="36">
        <f t="shared" si="474"/>
        <v>20.05</v>
      </c>
      <c r="BE3512" s="36" t="s">
        <v>3303</v>
      </c>
      <c r="BK3512" s="36">
        <v>2600</v>
      </c>
      <c r="BL3512" s="36">
        <v>3500</v>
      </c>
      <c r="BP3512" s="407"/>
      <c r="BQ3512" s="407"/>
      <c r="BU3512" s="407"/>
      <c r="BV3512" s="407"/>
      <c r="BZ3512" s="407"/>
      <c r="CA3512" s="407"/>
      <c r="CE3512" s="560"/>
      <c r="CF3512" s="560"/>
      <c r="CG3512" s="560"/>
      <c r="CH3512" s="560"/>
      <c r="JD3512" s="230"/>
    </row>
    <row r="3513" spans="1:264" s="36" customFormat="1" x14ac:dyDescent="0.25">
      <c r="A3513" s="36">
        <v>163</v>
      </c>
      <c r="B3513" s="51" t="s">
        <v>3308</v>
      </c>
      <c r="C3513" s="36" t="s">
        <v>3290</v>
      </c>
      <c r="D3513" s="36" t="s">
        <v>3291</v>
      </c>
      <c r="E3513" s="36">
        <v>2003</v>
      </c>
      <c r="F3513" s="36">
        <v>1998</v>
      </c>
      <c r="G3513" s="36" t="s">
        <v>371</v>
      </c>
      <c r="H3513" s="36" t="s">
        <v>3297</v>
      </c>
      <c r="I3513" s="36" t="s">
        <v>2827</v>
      </c>
      <c r="J3513" s="36">
        <f>-(13+59/60)</f>
        <v>-13.983333333333333</v>
      </c>
      <c r="K3513" s="36">
        <f>-(-33-38/60)</f>
        <v>33.633333333333333</v>
      </c>
      <c r="L3513" s="36">
        <v>1141</v>
      </c>
      <c r="P3513" s="36">
        <f>950</f>
        <v>950</v>
      </c>
      <c r="R3513" s="51" t="s">
        <v>1728</v>
      </c>
      <c r="S3513" s="51" t="s">
        <v>1858</v>
      </c>
      <c r="T3513" s="51"/>
      <c r="U3513" s="51" t="s">
        <v>3292</v>
      </c>
      <c r="V3513" s="51"/>
      <c r="W3513" s="51"/>
      <c r="X3513" s="51"/>
      <c r="Y3513" s="51"/>
      <c r="AA3513" s="331"/>
      <c r="AB3513" s="331"/>
      <c r="AD3513" s="36">
        <v>6.2</v>
      </c>
      <c r="AE3513" s="36">
        <v>2.1</v>
      </c>
      <c r="AG3513" s="36" t="s">
        <v>3301</v>
      </c>
      <c r="AH3513" s="36" t="s">
        <v>2744</v>
      </c>
      <c r="AI3513" s="36" t="s">
        <v>577</v>
      </c>
      <c r="AJ3513" s="36" t="s">
        <v>1645</v>
      </c>
      <c r="AK3513" s="36" t="s">
        <v>132</v>
      </c>
      <c r="AW3513" s="36" t="s">
        <v>3293</v>
      </c>
      <c r="AX3513" s="36">
        <v>3</v>
      </c>
      <c r="AZ3513" s="36" t="s">
        <v>2955</v>
      </c>
      <c r="BB3513" s="36">
        <v>100</v>
      </c>
      <c r="BC3513" s="36">
        <f t="shared" si="474"/>
        <v>20.05</v>
      </c>
      <c r="BE3513" s="36" t="s">
        <v>3302</v>
      </c>
      <c r="BK3513" s="36">
        <v>2500</v>
      </c>
      <c r="BL3513" s="36">
        <v>3600</v>
      </c>
      <c r="BP3513" s="407"/>
      <c r="BQ3513" s="407"/>
      <c r="BU3513" s="407"/>
      <c r="BV3513" s="407"/>
      <c r="BZ3513" s="407"/>
      <c r="CA3513" s="407"/>
      <c r="CE3513" s="560"/>
      <c r="CF3513" s="560"/>
      <c r="CG3513" s="560"/>
      <c r="CH3513" s="560"/>
      <c r="JD3513" s="230"/>
    </row>
    <row r="3514" spans="1:264" s="36" customFormat="1" x14ac:dyDescent="0.25">
      <c r="A3514" s="36">
        <v>163</v>
      </c>
      <c r="B3514" s="51" t="s">
        <v>3309</v>
      </c>
      <c r="C3514" s="36" t="s">
        <v>3290</v>
      </c>
      <c r="D3514" s="36" t="s">
        <v>3291</v>
      </c>
      <c r="E3514" s="36">
        <v>2003</v>
      </c>
      <c r="F3514" s="36">
        <v>1998</v>
      </c>
      <c r="G3514" s="36" t="s">
        <v>371</v>
      </c>
      <c r="H3514" s="36" t="s">
        <v>3298</v>
      </c>
      <c r="I3514" s="36" t="s">
        <v>2827</v>
      </c>
      <c r="J3514" s="36">
        <f>-(13+50/60)</f>
        <v>-13.833333333333334</v>
      </c>
      <c r="K3514" s="36">
        <f>-(-38-2/60)</f>
        <v>38.033333333333331</v>
      </c>
      <c r="L3514" s="36">
        <v>1067</v>
      </c>
      <c r="P3514" s="36">
        <v>900</v>
      </c>
      <c r="R3514" s="51" t="s">
        <v>1728</v>
      </c>
      <c r="S3514" s="51" t="s">
        <v>1858</v>
      </c>
      <c r="T3514" s="51"/>
      <c r="U3514" s="51" t="s">
        <v>3292</v>
      </c>
      <c r="V3514" s="51"/>
      <c r="W3514" s="51"/>
      <c r="X3514" s="51"/>
      <c r="Y3514" s="51"/>
      <c r="AA3514" s="331"/>
      <c r="AB3514" s="331"/>
      <c r="AG3514" s="36" t="s">
        <v>3300</v>
      </c>
      <c r="AH3514" s="36" t="s">
        <v>2744</v>
      </c>
      <c r="AI3514" s="36" t="s">
        <v>577</v>
      </c>
      <c r="AJ3514" s="36" t="s">
        <v>1645</v>
      </c>
      <c r="AK3514" s="36" t="s">
        <v>132</v>
      </c>
      <c r="AW3514" s="36" t="s">
        <v>3293</v>
      </c>
      <c r="AX3514" s="36">
        <v>3</v>
      </c>
      <c r="AZ3514" s="36" t="s">
        <v>2955</v>
      </c>
      <c r="BB3514" s="36">
        <v>500</v>
      </c>
      <c r="BC3514" s="36">
        <f t="shared" si="474"/>
        <v>20.05</v>
      </c>
      <c r="BE3514" s="36" t="s">
        <v>3302</v>
      </c>
      <c r="BK3514" s="36">
        <v>1500</v>
      </c>
      <c r="BL3514" s="36">
        <v>2000</v>
      </c>
      <c r="BP3514" s="407"/>
      <c r="BQ3514" s="407"/>
      <c r="BU3514" s="407"/>
      <c r="BV3514" s="407"/>
      <c r="BZ3514" s="407"/>
      <c r="CA3514" s="407"/>
      <c r="CE3514" s="560"/>
      <c r="CF3514" s="560"/>
      <c r="CG3514" s="560"/>
      <c r="CH3514" s="560"/>
      <c r="JD3514" s="230"/>
    </row>
    <row r="3515" spans="1:264" s="126" customFormat="1" x14ac:dyDescent="0.25">
      <c r="A3515" s="126">
        <v>163</v>
      </c>
      <c r="B3515" s="478" t="s">
        <v>3305</v>
      </c>
      <c r="C3515" s="126" t="s">
        <v>3290</v>
      </c>
      <c r="D3515" s="126" t="s">
        <v>3291</v>
      </c>
      <c r="E3515" s="126">
        <v>2003</v>
      </c>
      <c r="F3515" s="126">
        <v>1998</v>
      </c>
      <c r="G3515" s="126" t="s">
        <v>371</v>
      </c>
      <c r="H3515" s="126" t="s">
        <v>3294</v>
      </c>
      <c r="I3515" s="126" t="s">
        <v>2827</v>
      </c>
      <c r="J3515" s="126">
        <f>-(14+21/60)</f>
        <v>-14.35</v>
      </c>
      <c r="K3515" s="126">
        <f>-(-34-25/60)</f>
        <v>34.416666666666664</v>
      </c>
      <c r="L3515" s="126">
        <v>1583</v>
      </c>
      <c r="P3515" s="126">
        <f>(800+1270)/2</f>
        <v>1035</v>
      </c>
      <c r="R3515" s="478" t="s">
        <v>1728</v>
      </c>
      <c r="S3515" s="478" t="s">
        <v>1858</v>
      </c>
      <c r="T3515" s="478"/>
      <c r="U3515" s="478" t="s">
        <v>3292</v>
      </c>
      <c r="V3515" s="478"/>
      <c r="W3515" s="478"/>
      <c r="X3515" s="478"/>
      <c r="Y3515" s="478"/>
      <c r="AA3515" s="479"/>
      <c r="AB3515" s="479"/>
      <c r="AD3515" s="126">
        <v>5.9</v>
      </c>
      <c r="AE3515" s="126">
        <v>1.8</v>
      </c>
      <c r="AG3515" s="126" t="s">
        <v>3299</v>
      </c>
      <c r="AH3515" s="126" t="s">
        <v>3304</v>
      </c>
      <c r="AI3515" s="126" t="s">
        <v>577</v>
      </c>
      <c r="AJ3515" s="126" t="s">
        <v>1645</v>
      </c>
      <c r="AK3515" s="126" t="s">
        <v>132</v>
      </c>
      <c r="AW3515" s="126" t="s">
        <v>3293</v>
      </c>
      <c r="AX3515" s="126">
        <v>3</v>
      </c>
      <c r="AZ3515" s="126" t="s">
        <v>2955</v>
      </c>
      <c r="BE3515" s="126" t="s">
        <v>3303</v>
      </c>
      <c r="BK3515" s="126">
        <v>1100</v>
      </c>
      <c r="BL3515" s="126">
        <v>2000</v>
      </c>
      <c r="BP3515" s="481"/>
      <c r="BQ3515" s="481"/>
      <c r="BU3515" s="481"/>
      <c r="BV3515" s="481"/>
      <c r="BZ3515" s="481"/>
      <c r="CA3515" s="481"/>
      <c r="CE3515" s="605"/>
      <c r="CF3515" s="605"/>
      <c r="CG3515" s="605"/>
      <c r="CH3515" s="605"/>
      <c r="JD3515" s="480"/>
    </row>
    <row r="3516" spans="1:264" s="126" customFormat="1" x14ac:dyDescent="0.25">
      <c r="A3516" s="126">
        <v>163</v>
      </c>
      <c r="B3516" s="478" t="s">
        <v>3306</v>
      </c>
      <c r="C3516" s="126" t="s">
        <v>3290</v>
      </c>
      <c r="D3516" s="126" t="s">
        <v>3291</v>
      </c>
      <c r="E3516" s="126">
        <v>2003</v>
      </c>
      <c r="F3516" s="126">
        <v>1998</v>
      </c>
      <c r="G3516" s="126" t="s">
        <v>371</v>
      </c>
      <c r="H3516" s="126" t="s">
        <v>3295</v>
      </c>
      <c r="I3516" s="126" t="s">
        <v>2827</v>
      </c>
      <c r="J3516" s="126">
        <f>-(16+1/60)</f>
        <v>-16.016666666666666</v>
      </c>
      <c r="K3516" s="126">
        <f>-(-35-21/60)</f>
        <v>35.35</v>
      </c>
      <c r="L3516" s="126">
        <v>1200</v>
      </c>
      <c r="P3516" s="126">
        <f>2200</f>
        <v>2200</v>
      </c>
      <c r="R3516" s="478" t="s">
        <v>1728</v>
      </c>
      <c r="S3516" s="478" t="s">
        <v>1858</v>
      </c>
      <c r="T3516" s="478"/>
      <c r="U3516" s="478" t="s">
        <v>3292</v>
      </c>
      <c r="V3516" s="478"/>
      <c r="W3516" s="478"/>
      <c r="X3516" s="478"/>
      <c r="Y3516" s="478"/>
      <c r="AA3516" s="479"/>
      <c r="AB3516" s="479"/>
      <c r="AD3516" s="126">
        <v>5.8</v>
      </c>
      <c r="AE3516" s="126">
        <v>1</v>
      </c>
      <c r="AG3516" s="126" t="s">
        <v>3299</v>
      </c>
      <c r="AH3516" s="126" t="s">
        <v>3304</v>
      </c>
      <c r="AI3516" s="126" t="s">
        <v>577</v>
      </c>
      <c r="AJ3516" s="126" t="s">
        <v>1645</v>
      </c>
      <c r="AK3516" s="126" t="s">
        <v>132</v>
      </c>
      <c r="AW3516" s="126" t="s">
        <v>3293</v>
      </c>
      <c r="AX3516" s="126">
        <v>3</v>
      </c>
      <c r="AZ3516" s="126" t="s">
        <v>2955</v>
      </c>
      <c r="BE3516" s="126" t="s">
        <v>3303</v>
      </c>
      <c r="BK3516" s="126">
        <v>1900</v>
      </c>
      <c r="BL3516" s="126">
        <v>1400</v>
      </c>
      <c r="BP3516" s="481"/>
      <c r="BQ3516" s="481"/>
      <c r="BU3516" s="481"/>
      <c r="BV3516" s="481"/>
      <c r="BZ3516" s="481"/>
      <c r="CA3516" s="481"/>
      <c r="CE3516" s="605"/>
      <c r="CF3516" s="605"/>
      <c r="CG3516" s="605"/>
      <c r="CH3516" s="605"/>
      <c r="JD3516" s="480"/>
    </row>
    <row r="3517" spans="1:264" s="126" customFormat="1" x14ac:dyDescent="0.25">
      <c r="A3517" s="126">
        <v>163</v>
      </c>
      <c r="B3517" s="478" t="s">
        <v>3307</v>
      </c>
      <c r="C3517" s="126" t="s">
        <v>3290</v>
      </c>
      <c r="D3517" s="126" t="s">
        <v>3291</v>
      </c>
      <c r="E3517" s="126">
        <v>2003</v>
      </c>
      <c r="F3517" s="126">
        <v>1998</v>
      </c>
      <c r="G3517" s="126" t="s">
        <v>371</v>
      </c>
      <c r="H3517" s="126" t="s">
        <v>3296</v>
      </c>
      <c r="I3517" s="126" t="s">
        <v>2827</v>
      </c>
      <c r="J3517" s="126">
        <f>-(12+7/60)</f>
        <v>-12.116666666666667</v>
      </c>
      <c r="K3517" s="126">
        <f>-(-33-25/60)</f>
        <v>33.416666666666664</v>
      </c>
      <c r="L3517" s="126">
        <v>1231</v>
      </c>
      <c r="P3517" s="126">
        <f>(700+1200)/2</f>
        <v>950</v>
      </c>
      <c r="R3517" s="478" t="s">
        <v>1728</v>
      </c>
      <c r="S3517" s="478" t="s">
        <v>1858</v>
      </c>
      <c r="T3517" s="478"/>
      <c r="U3517" s="478" t="s">
        <v>3292</v>
      </c>
      <c r="V3517" s="478"/>
      <c r="W3517" s="478"/>
      <c r="X3517" s="478"/>
      <c r="Y3517" s="478"/>
      <c r="AA3517" s="479"/>
      <c r="AB3517" s="479"/>
      <c r="AD3517" s="126">
        <v>5.3</v>
      </c>
      <c r="AE3517" s="126">
        <v>1.8</v>
      </c>
      <c r="AG3517" s="126" t="s">
        <v>3300</v>
      </c>
      <c r="AH3517" s="126" t="s">
        <v>3304</v>
      </c>
      <c r="AI3517" s="126" t="s">
        <v>577</v>
      </c>
      <c r="AJ3517" s="126" t="s">
        <v>1645</v>
      </c>
      <c r="AK3517" s="126" t="s">
        <v>132</v>
      </c>
      <c r="AW3517" s="126" t="s">
        <v>3293</v>
      </c>
      <c r="AX3517" s="126">
        <v>3</v>
      </c>
      <c r="AZ3517" s="126" t="s">
        <v>2955</v>
      </c>
      <c r="BE3517" s="126" t="s">
        <v>3303</v>
      </c>
      <c r="BK3517" s="126">
        <v>2600</v>
      </c>
      <c r="BL3517" s="126">
        <v>3400</v>
      </c>
      <c r="BP3517" s="481"/>
      <c r="BQ3517" s="481"/>
      <c r="BU3517" s="481"/>
      <c r="BV3517" s="481"/>
      <c r="BZ3517" s="481"/>
      <c r="CA3517" s="481"/>
      <c r="CE3517" s="605"/>
      <c r="CF3517" s="605"/>
      <c r="CG3517" s="605"/>
      <c r="CH3517" s="605"/>
      <c r="JD3517" s="480"/>
    </row>
    <row r="3518" spans="1:264" s="126" customFormat="1" x14ac:dyDescent="0.25">
      <c r="A3518" s="126">
        <v>163</v>
      </c>
      <c r="B3518" s="478" t="s">
        <v>3308</v>
      </c>
      <c r="C3518" s="126" t="s">
        <v>3290</v>
      </c>
      <c r="D3518" s="126" t="s">
        <v>3291</v>
      </c>
      <c r="E3518" s="126">
        <v>2003</v>
      </c>
      <c r="F3518" s="126">
        <v>1998</v>
      </c>
      <c r="G3518" s="126" t="s">
        <v>371</v>
      </c>
      <c r="H3518" s="126" t="s">
        <v>3297</v>
      </c>
      <c r="I3518" s="126" t="s">
        <v>2827</v>
      </c>
      <c r="J3518" s="126">
        <f>-(13+59/60)</f>
        <v>-13.983333333333333</v>
      </c>
      <c r="K3518" s="126">
        <f>-(-33-38/60)</f>
        <v>33.633333333333333</v>
      </c>
      <c r="L3518" s="126">
        <v>1141</v>
      </c>
      <c r="P3518" s="126">
        <f>950</f>
        <v>950</v>
      </c>
      <c r="R3518" s="478" t="s">
        <v>1728</v>
      </c>
      <c r="S3518" s="478" t="s">
        <v>1858</v>
      </c>
      <c r="T3518" s="478"/>
      <c r="U3518" s="478" t="s">
        <v>3292</v>
      </c>
      <c r="V3518" s="478"/>
      <c r="W3518" s="478"/>
      <c r="X3518" s="478"/>
      <c r="Y3518" s="478"/>
      <c r="AA3518" s="479"/>
      <c r="AB3518" s="479"/>
      <c r="AD3518" s="126">
        <v>6.2</v>
      </c>
      <c r="AE3518" s="126">
        <v>2.1</v>
      </c>
      <c r="AG3518" s="126" t="s">
        <v>3301</v>
      </c>
      <c r="AH3518" s="126" t="s">
        <v>3304</v>
      </c>
      <c r="AI3518" s="126" t="s">
        <v>577</v>
      </c>
      <c r="AJ3518" s="126" t="s">
        <v>1645</v>
      </c>
      <c r="AK3518" s="126" t="s">
        <v>132</v>
      </c>
      <c r="AW3518" s="126" t="s">
        <v>3293</v>
      </c>
      <c r="AX3518" s="126">
        <v>3</v>
      </c>
      <c r="AZ3518" s="126" t="s">
        <v>2955</v>
      </c>
      <c r="BE3518" s="126" t="s">
        <v>3302</v>
      </c>
      <c r="BK3518" s="126">
        <v>2500</v>
      </c>
      <c r="BL3518" s="126">
        <v>4200</v>
      </c>
      <c r="BP3518" s="481"/>
      <c r="BQ3518" s="481"/>
      <c r="BU3518" s="481"/>
      <c r="BV3518" s="481"/>
      <c r="BZ3518" s="481"/>
      <c r="CA3518" s="481"/>
      <c r="CE3518" s="605"/>
      <c r="CF3518" s="605"/>
      <c r="CG3518" s="605"/>
      <c r="CH3518" s="605"/>
      <c r="JD3518" s="480"/>
    </row>
    <row r="3519" spans="1:264" s="126" customFormat="1" x14ac:dyDescent="0.25">
      <c r="A3519" s="126">
        <v>163</v>
      </c>
      <c r="B3519" s="478" t="s">
        <v>3309</v>
      </c>
      <c r="C3519" s="126" t="s">
        <v>3290</v>
      </c>
      <c r="D3519" s="126" t="s">
        <v>3291</v>
      </c>
      <c r="E3519" s="126">
        <v>2003</v>
      </c>
      <c r="F3519" s="126">
        <v>1998</v>
      </c>
      <c r="G3519" s="126" t="s">
        <v>371</v>
      </c>
      <c r="H3519" s="126" t="s">
        <v>3298</v>
      </c>
      <c r="I3519" s="126" t="s">
        <v>2827</v>
      </c>
      <c r="J3519" s="126">
        <f>-(13+50/60)</f>
        <v>-13.833333333333334</v>
      </c>
      <c r="K3519" s="126">
        <f>-(-38-2/60)</f>
        <v>38.033333333333331</v>
      </c>
      <c r="L3519" s="126">
        <v>1067</v>
      </c>
      <c r="P3519" s="126">
        <v>900</v>
      </c>
      <c r="R3519" s="478" t="s">
        <v>1728</v>
      </c>
      <c r="S3519" s="478" t="s">
        <v>1858</v>
      </c>
      <c r="T3519" s="478"/>
      <c r="U3519" s="478" t="s">
        <v>3292</v>
      </c>
      <c r="V3519" s="478"/>
      <c r="W3519" s="478"/>
      <c r="X3519" s="478"/>
      <c r="Y3519" s="478"/>
      <c r="AA3519" s="479"/>
      <c r="AB3519" s="479"/>
      <c r="AG3519" s="126" t="s">
        <v>3300</v>
      </c>
      <c r="AH3519" s="126" t="s">
        <v>3304</v>
      </c>
      <c r="AI3519" s="126" t="s">
        <v>577</v>
      </c>
      <c r="AJ3519" s="126" t="s">
        <v>1645</v>
      </c>
      <c r="AK3519" s="126" t="s">
        <v>132</v>
      </c>
      <c r="AW3519" s="126" t="s">
        <v>3293</v>
      </c>
      <c r="AX3519" s="126">
        <v>3</v>
      </c>
      <c r="AZ3519" s="126" t="s">
        <v>2955</v>
      </c>
      <c r="BE3519" s="126" t="s">
        <v>3302</v>
      </c>
      <c r="BK3519" s="126">
        <v>1500</v>
      </c>
      <c r="BL3519" s="126">
        <v>2000</v>
      </c>
      <c r="BP3519" s="481"/>
      <c r="BQ3519" s="481"/>
      <c r="BU3519" s="481"/>
      <c r="BV3519" s="481"/>
      <c r="BZ3519" s="481"/>
      <c r="CA3519" s="481"/>
      <c r="CE3519" s="605"/>
      <c r="CF3519" s="605"/>
      <c r="CG3519" s="605"/>
      <c r="CH3519" s="605"/>
      <c r="JD3519" s="480"/>
    </row>
    <row r="3520" spans="1:264" s="126" customFormat="1" x14ac:dyDescent="0.25">
      <c r="A3520" s="126">
        <v>163</v>
      </c>
      <c r="B3520" s="478" t="s">
        <v>3305</v>
      </c>
      <c r="C3520" s="126" t="s">
        <v>3290</v>
      </c>
      <c r="D3520" s="126" t="s">
        <v>3291</v>
      </c>
      <c r="E3520" s="126">
        <v>2003</v>
      </c>
      <c r="F3520" s="126">
        <v>1998</v>
      </c>
      <c r="G3520" s="126" t="s">
        <v>371</v>
      </c>
      <c r="H3520" s="126" t="s">
        <v>3294</v>
      </c>
      <c r="I3520" s="126" t="s">
        <v>2827</v>
      </c>
      <c r="J3520" s="126">
        <f>-(14+21/60)</f>
        <v>-14.35</v>
      </c>
      <c r="K3520" s="126">
        <f>-(-34-25/60)</f>
        <v>34.416666666666664</v>
      </c>
      <c r="L3520" s="126">
        <v>1583</v>
      </c>
      <c r="P3520" s="126">
        <f>(800+1270)/2</f>
        <v>1035</v>
      </c>
      <c r="R3520" s="478" t="s">
        <v>1728</v>
      </c>
      <c r="S3520" s="478" t="s">
        <v>1858</v>
      </c>
      <c r="T3520" s="478"/>
      <c r="U3520" s="478" t="s">
        <v>3292</v>
      </c>
      <c r="V3520" s="478"/>
      <c r="W3520" s="478"/>
      <c r="X3520" s="478"/>
      <c r="Y3520" s="478"/>
      <c r="AA3520" s="479"/>
      <c r="AB3520" s="479"/>
      <c r="AD3520" s="126">
        <v>5.9</v>
      </c>
      <c r="AE3520" s="126">
        <v>1.8</v>
      </c>
      <c r="AG3520" s="126" t="s">
        <v>3299</v>
      </c>
      <c r="AH3520" s="126" t="s">
        <v>3304</v>
      </c>
      <c r="AI3520" s="126" t="s">
        <v>577</v>
      </c>
      <c r="AJ3520" s="126" t="s">
        <v>1645</v>
      </c>
      <c r="AK3520" s="126" t="s">
        <v>132</v>
      </c>
      <c r="AW3520" s="126" t="s">
        <v>3293</v>
      </c>
      <c r="AX3520" s="126">
        <v>3</v>
      </c>
      <c r="AZ3520" s="126" t="s">
        <v>2955</v>
      </c>
      <c r="BE3520" s="126" t="s">
        <v>3303</v>
      </c>
      <c r="BK3520" s="126">
        <v>1100</v>
      </c>
      <c r="BL3520" s="126">
        <v>1300</v>
      </c>
      <c r="BP3520" s="481"/>
      <c r="BQ3520" s="481"/>
      <c r="BU3520" s="481"/>
      <c r="BV3520" s="481"/>
      <c r="BZ3520" s="481"/>
      <c r="CA3520" s="481"/>
      <c r="CE3520" s="605"/>
      <c r="CF3520" s="605"/>
      <c r="CG3520" s="605"/>
      <c r="CH3520" s="605"/>
      <c r="JD3520" s="480"/>
    </row>
    <row r="3521" spans="1:264" s="126" customFormat="1" x14ac:dyDescent="0.25">
      <c r="A3521" s="126">
        <v>163</v>
      </c>
      <c r="B3521" s="478" t="s">
        <v>3306</v>
      </c>
      <c r="C3521" s="126" t="s">
        <v>3290</v>
      </c>
      <c r="D3521" s="126" t="s">
        <v>3291</v>
      </c>
      <c r="E3521" s="126">
        <v>2003</v>
      </c>
      <c r="F3521" s="126">
        <v>1998</v>
      </c>
      <c r="G3521" s="126" t="s">
        <v>371</v>
      </c>
      <c r="H3521" s="126" t="s">
        <v>3295</v>
      </c>
      <c r="I3521" s="126" t="s">
        <v>2827</v>
      </c>
      <c r="J3521" s="126">
        <f>-(16+1/60)</f>
        <v>-16.016666666666666</v>
      </c>
      <c r="K3521" s="126">
        <f>-(-35-21/60)</f>
        <v>35.35</v>
      </c>
      <c r="L3521" s="126">
        <v>1200</v>
      </c>
      <c r="P3521" s="126">
        <f>2200</f>
        <v>2200</v>
      </c>
      <c r="R3521" s="478" t="s">
        <v>1728</v>
      </c>
      <c r="S3521" s="478" t="s">
        <v>1858</v>
      </c>
      <c r="T3521" s="478"/>
      <c r="U3521" s="478" t="s">
        <v>3292</v>
      </c>
      <c r="V3521" s="478"/>
      <c r="W3521" s="478"/>
      <c r="X3521" s="478"/>
      <c r="Y3521" s="478"/>
      <c r="AA3521" s="479"/>
      <c r="AB3521" s="479"/>
      <c r="AD3521" s="126">
        <v>5.8</v>
      </c>
      <c r="AE3521" s="126">
        <v>1</v>
      </c>
      <c r="AG3521" s="126" t="s">
        <v>3299</v>
      </c>
      <c r="AH3521" s="126" t="s">
        <v>3304</v>
      </c>
      <c r="AI3521" s="126" t="s">
        <v>577</v>
      </c>
      <c r="AJ3521" s="126" t="s">
        <v>1645</v>
      </c>
      <c r="AK3521" s="126" t="s">
        <v>132</v>
      </c>
      <c r="AW3521" s="126" t="s">
        <v>3293</v>
      </c>
      <c r="AX3521" s="126">
        <v>3</v>
      </c>
      <c r="AZ3521" s="126" t="s">
        <v>2955</v>
      </c>
      <c r="BE3521" s="126" t="s">
        <v>3303</v>
      </c>
      <c r="BK3521" s="126">
        <v>1900</v>
      </c>
      <c r="BL3521" s="126">
        <v>1800</v>
      </c>
      <c r="BP3521" s="481"/>
      <c r="BQ3521" s="481"/>
      <c r="BU3521" s="481"/>
      <c r="BV3521" s="481"/>
      <c r="BZ3521" s="481"/>
      <c r="CA3521" s="481"/>
      <c r="CE3521" s="605"/>
      <c r="CF3521" s="605"/>
      <c r="CG3521" s="605"/>
      <c r="CH3521" s="605"/>
      <c r="JD3521" s="480"/>
    </row>
    <row r="3522" spans="1:264" s="126" customFormat="1" x14ac:dyDescent="0.25">
      <c r="A3522" s="126">
        <v>163</v>
      </c>
      <c r="B3522" s="478" t="s">
        <v>3307</v>
      </c>
      <c r="C3522" s="126" t="s">
        <v>3290</v>
      </c>
      <c r="D3522" s="126" t="s">
        <v>3291</v>
      </c>
      <c r="E3522" s="126">
        <v>2003</v>
      </c>
      <c r="F3522" s="126">
        <v>1998</v>
      </c>
      <c r="G3522" s="126" t="s">
        <v>371</v>
      </c>
      <c r="H3522" s="126" t="s">
        <v>3296</v>
      </c>
      <c r="I3522" s="126" t="s">
        <v>2827</v>
      </c>
      <c r="J3522" s="126">
        <f>-(12+7/60)</f>
        <v>-12.116666666666667</v>
      </c>
      <c r="K3522" s="126">
        <f>-(-33-25/60)</f>
        <v>33.416666666666664</v>
      </c>
      <c r="L3522" s="126">
        <v>1231</v>
      </c>
      <c r="P3522" s="126">
        <f>(700+1200)/2</f>
        <v>950</v>
      </c>
      <c r="R3522" s="478" t="s">
        <v>1728</v>
      </c>
      <c r="S3522" s="478" t="s">
        <v>1858</v>
      </c>
      <c r="T3522" s="478"/>
      <c r="U3522" s="478" t="s">
        <v>3292</v>
      </c>
      <c r="V3522" s="478"/>
      <c r="W3522" s="478"/>
      <c r="X3522" s="478"/>
      <c r="Y3522" s="478"/>
      <c r="AA3522" s="479"/>
      <c r="AB3522" s="479"/>
      <c r="AD3522" s="126">
        <v>5.3</v>
      </c>
      <c r="AE3522" s="126">
        <v>1.8</v>
      </c>
      <c r="AG3522" s="126" t="s">
        <v>3300</v>
      </c>
      <c r="AH3522" s="126" t="s">
        <v>3304</v>
      </c>
      <c r="AI3522" s="126" t="s">
        <v>577</v>
      </c>
      <c r="AJ3522" s="126" t="s">
        <v>1645</v>
      </c>
      <c r="AK3522" s="126" t="s">
        <v>132</v>
      </c>
      <c r="AW3522" s="126" t="s">
        <v>3293</v>
      </c>
      <c r="AX3522" s="126">
        <v>3</v>
      </c>
      <c r="AZ3522" s="126" t="s">
        <v>2955</v>
      </c>
      <c r="BE3522" s="126" t="s">
        <v>3303</v>
      </c>
      <c r="BK3522" s="126">
        <v>2600</v>
      </c>
      <c r="BL3522" s="126">
        <v>3100</v>
      </c>
      <c r="BP3522" s="481"/>
      <c r="BQ3522" s="481"/>
      <c r="BU3522" s="481"/>
      <c r="BV3522" s="481"/>
      <c r="BZ3522" s="481"/>
      <c r="CA3522" s="481"/>
      <c r="CE3522" s="605"/>
      <c r="CF3522" s="605"/>
      <c r="CG3522" s="605"/>
      <c r="CH3522" s="605"/>
      <c r="JD3522" s="480"/>
    </row>
    <row r="3523" spans="1:264" s="126" customFormat="1" x14ac:dyDescent="0.25">
      <c r="A3523" s="126">
        <v>163</v>
      </c>
      <c r="B3523" s="478" t="s">
        <v>3308</v>
      </c>
      <c r="C3523" s="126" t="s">
        <v>3290</v>
      </c>
      <c r="D3523" s="126" t="s">
        <v>3291</v>
      </c>
      <c r="E3523" s="126">
        <v>2003</v>
      </c>
      <c r="F3523" s="126">
        <v>1998</v>
      </c>
      <c r="G3523" s="126" t="s">
        <v>371</v>
      </c>
      <c r="H3523" s="126" t="s">
        <v>3297</v>
      </c>
      <c r="I3523" s="126" t="s">
        <v>2827</v>
      </c>
      <c r="J3523" s="126">
        <f>-(13+59/60)</f>
        <v>-13.983333333333333</v>
      </c>
      <c r="K3523" s="126">
        <f>-(-33-38/60)</f>
        <v>33.633333333333333</v>
      </c>
      <c r="L3523" s="126">
        <v>1141</v>
      </c>
      <c r="P3523" s="126">
        <f>950</f>
        <v>950</v>
      </c>
      <c r="R3523" s="478" t="s">
        <v>1728</v>
      </c>
      <c r="S3523" s="478" t="s">
        <v>1858</v>
      </c>
      <c r="T3523" s="478"/>
      <c r="U3523" s="478" t="s">
        <v>3292</v>
      </c>
      <c r="V3523" s="478"/>
      <c r="W3523" s="478"/>
      <c r="X3523" s="478"/>
      <c r="Y3523" s="478"/>
      <c r="AA3523" s="479"/>
      <c r="AB3523" s="479"/>
      <c r="AD3523" s="126">
        <v>6.2</v>
      </c>
      <c r="AE3523" s="126">
        <v>2.1</v>
      </c>
      <c r="AG3523" s="126" t="s">
        <v>3301</v>
      </c>
      <c r="AH3523" s="126" t="s">
        <v>3304</v>
      </c>
      <c r="AI3523" s="126" t="s">
        <v>577</v>
      </c>
      <c r="AJ3523" s="126" t="s">
        <v>1645</v>
      </c>
      <c r="AK3523" s="126" t="s">
        <v>132</v>
      </c>
      <c r="AW3523" s="126" t="s">
        <v>3293</v>
      </c>
      <c r="AX3523" s="126">
        <v>3</v>
      </c>
      <c r="AZ3523" s="126" t="s">
        <v>2955</v>
      </c>
      <c r="BE3523" s="126" t="s">
        <v>3302</v>
      </c>
      <c r="BK3523" s="126">
        <v>2500</v>
      </c>
      <c r="BL3523" s="126">
        <v>4000</v>
      </c>
      <c r="BP3523" s="481"/>
      <c r="BQ3523" s="481"/>
      <c r="BU3523" s="481"/>
      <c r="BV3523" s="481"/>
      <c r="BZ3523" s="481"/>
      <c r="CA3523" s="481"/>
      <c r="CE3523" s="605"/>
      <c r="CF3523" s="605"/>
      <c r="CG3523" s="605"/>
      <c r="CH3523" s="605"/>
      <c r="JD3523" s="480"/>
    </row>
    <row r="3524" spans="1:264" s="126" customFormat="1" x14ac:dyDescent="0.25">
      <c r="A3524" s="126">
        <v>163</v>
      </c>
      <c r="B3524" s="478" t="s">
        <v>3309</v>
      </c>
      <c r="C3524" s="126" t="s">
        <v>3290</v>
      </c>
      <c r="D3524" s="126" t="s">
        <v>3291</v>
      </c>
      <c r="E3524" s="126">
        <v>2003</v>
      </c>
      <c r="F3524" s="126">
        <v>1998</v>
      </c>
      <c r="G3524" s="126" t="s">
        <v>371</v>
      </c>
      <c r="H3524" s="126" t="s">
        <v>3298</v>
      </c>
      <c r="I3524" s="126" t="s">
        <v>2827</v>
      </c>
      <c r="J3524" s="126">
        <f>-(13+50/60)</f>
        <v>-13.833333333333334</v>
      </c>
      <c r="K3524" s="126">
        <f>-(-38-2/60)</f>
        <v>38.033333333333331</v>
      </c>
      <c r="L3524" s="126">
        <v>1067</v>
      </c>
      <c r="P3524" s="126">
        <v>900</v>
      </c>
      <c r="R3524" s="478" t="s">
        <v>1728</v>
      </c>
      <c r="S3524" s="478" t="s">
        <v>1858</v>
      </c>
      <c r="T3524" s="478"/>
      <c r="U3524" s="478" t="s">
        <v>3292</v>
      </c>
      <c r="V3524" s="478"/>
      <c r="W3524" s="478"/>
      <c r="X3524" s="478"/>
      <c r="Y3524" s="478"/>
      <c r="AA3524" s="479"/>
      <c r="AB3524" s="479"/>
      <c r="AG3524" s="126" t="s">
        <v>3300</v>
      </c>
      <c r="AH3524" s="126" t="s">
        <v>3304</v>
      </c>
      <c r="AI3524" s="126" t="s">
        <v>577</v>
      </c>
      <c r="AJ3524" s="126" t="s">
        <v>1645</v>
      </c>
      <c r="AK3524" s="126" t="s">
        <v>132</v>
      </c>
      <c r="AW3524" s="126" t="s">
        <v>3293</v>
      </c>
      <c r="AX3524" s="126">
        <v>3</v>
      </c>
      <c r="AZ3524" s="126" t="s">
        <v>2955</v>
      </c>
      <c r="BE3524" s="126" t="s">
        <v>3302</v>
      </c>
      <c r="BK3524" s="126">
        <v>1500</v>
      </c>
      <c r="BL3524" s="126">
        <v>1900</v>
      </c>
      <c r="BP3524" s="481"/>
      <c r="BQ3524" s="481"/>
      <c r="BU3524" s="481"/>
      <c r="BV3524" s="481"/>
      <c r="BZ3524" s="481"/>
      <c r="CA3524" s="481"/>
      <c r="CE3524" s="605"/>
      <c r="CF3524" s="605"/>
      <c r="CG3524" s="605"/>
      <c r="CH3524" s="605"/>
      <c r="JD3524" s="480"/>
    </row>
    <row r="3525" spans="1:264" s="22" customFormat="1" x14ac:dyDescent="0.25">
      <c r="A3525" s="22">
        <v>163</v>
      </c>
      <c r="B3525" s="45" t="s">
        <v>3313</v>
      </c>
      <c r="C3525" s="22" t="s">
        <v>3290</v>
      </c>
      <c r="D3525" s="22" t="s">
        <v>3291</v>
      </c>
      <c r="E3525" s="22">
        <v>2003</v>
      </c>
      <c r="F3525" s="22">
        <v>1998</v>
      </c>
      <c r="G3525" s="22" t="s">
        <v>371</v>
      </c>
      <c r="H3525" s="22" t="s">
        <v>3312</v>
      </c>
      <c r="I3525" s="22" t="s">
        <v>2827</v>
      </c>
      <c r="J3525" s="22">
        <f>AVERAGE(J3495,J3496,J3497,J3498,J3499)</f>
        <v>-14.059999999999999</v>
      </c>
      <c r="K3525" s="22">
        <f>AVERAGE(K3495,K3496,K3497,K3498,K3499)</f>
        <v>34.97</v>
      </c>
      <c r="L3525" s="22">
        <v>1583</v>
      </c>
      <c r="P3525" s="22">
        <f t="shared" ref="P3525:P3542" si="475">(800+1270)/2</f>
        <v>1035</v>
      </c>
      <c r="R3525" s="45" t="s">
        <v>1728</v>
      </c>
      <c r="S3525" s="45" t="s">
        <v>1858</v>
      </c>
      <c r="T3525" s="45"/>
      <c r="U3525" s="45" t="s">
        <v>3292</v>
      </c>
      <c r="V3525" s="45"/>
      <c r="W3525" s="45"/>
      <c r="X3525" s="45"/>
      <c r="Y3525" s="45"/>
      <c r="AA3525" s="325"/>
      <c r="AB3525" s="325"/>
      <c r="AD3525" s="22">
        <v>5.9</v>
      </c>
      <c r="AE3525" s="22">
        <v>1.8</v>
      </c>
      <c r="AG3525" s="22" t="s">
        <v>3299</v>
      </c>
      <c r="AH3525" s="22" t="s">
        <v>2742</v>
      </c>
      <c r="AI3525" s="22" t="s">
        <v>577</v>
      </c>
      <c r="AJ3525" s="22" t="s">
        <v>1645</v>
      </c>
      <c r="AK3525" s="22" t="s">
        <v>132</v>
      </c>
      <c r="AT3525" s="22">
        <v>0</v>
      </c>
      <c r="AU3525" s="22">
        <v>0</v>
      </c>
      <c r="AV3525" s="22" t="s">
        <v>177</v>
      </c>
      <c r="AW3525" s="22" t="s">
        <v>3293</v>
      </c>
      <c r="AX3525" s="22">
        <v>3</v>
      </c>
      <c r="AZ3525" s="22" t="s">
        <v>2955</v>
      </c>
      <c r="BE3525" s="22" t="s">
        <v>3303</v>
      </c>
      <c r="BK3525" s="22">
        <v>1200</v>
      </c>
      <c r="BL3525" s="22">
        <v>2100</v>
      </c>
      <c r="BP3525" s="399"/>
      <c r="BQ3525" s="399"/>
      <c r="BU3525" s="399"/>
      <c r="BV3525" s="399"/>
      <c r="BZ3525" s="399"/>
      <c r="CA3525" s="399"/>
      <c r="CE3525" s="552"/>
      <c r="CF3525" s="552"/>
      <c r="CG3525" s="552"/>
      <c r="CH3525" s="552"/>
      <c r="JD3525" s="276"/>
    </row>
    <row r="3526" spans="1:264" s="22" customFormat="1" x14ac:dyDescent="0.25">
      <c r="A3526" s="22">
        <v>163</v>
      </c>
      <c r="B3526" s="45" t="s">
        <v>3313</v>
      </c>
      <c r="C3526" s="22" t="s">
        <v>3290</v>
      </c>
      <c r="D3526" s="22" t="s">
        <v>3291</v>
      </c>
      <c r="E3526" s="22">
        <v>2003</v>
      </c>
      <c r="F3526" s="22">
        <v>1998</v>
      </c>
      <c r="G3526" s="22" t="s">
        <v>371</v>
      </c>
      <c r="H3526" s="22" t="s">
        <v>3312</v>
      </c>
      <c r="I3526" s="22" t="s">
        <v>2827</v>
      </c>
      <c r="J3526" s="22">
        <f t="shared" ref="J3526:K3530" si="476">AVERAGE(J3496,J3497,J3498,J3499,J3500)</f>
        <v>-14.059999999999999</v>
      </c>
      <c r="K3526" s="22">
        <f t="shared" si="476"/>
        <v>34.97</v>
      </c>
      <c r="L3526" s="22">
        <v>1583</v>
      </c>
      <c r="P3526" s="22">
        <f t="shared" si="475"/>
        <v>1035</v>
      </c>
      <c r="R3526" s="45" t="s">
        <v>1728</v>
      </c>
      <c r="S3526" s="45" t="s">
        <v>1858</v>
      </c>
      <c r="T3526" s="45"/>
      <c r="U3526" s="45" t="s">
        <v>3292</v>
      </c>
      <c r="V3526" s="45"/>
      <c r="W3526" s="45"/>
      <c r="X3526" s="45"/>
      <c r="Y3526" s="45"/>
      <c r="AA3526" s="325"/>
      <c r="AB3526" s="325"/>
      <c r="AD3526" s="22">
        <v>5.9</v>
      </c>
      <c r="AE3526" s="22">
        <v>1.8</v>
      </c>
      <c r="AG3526" s="22" t="s">
        <v>3299</v>
      </c>
      <c r="AH3526" s="22" t="s">
        <v>2742</v>
      </c>
      <c r="AI3526" s="22" t="s">
        <v>577</v>
      </c>
      <c r="AJ3526" s="22" t="s">
        <v>1645</v>
      </c>
      <c r="AK3526" s="22" t="s">
        <v>132</v>
      </c>
      <c r="AT3526" s="22" t="s">
        <v>3310</v>
      </c>
      <c r="AU3526" s="22" t="s">
        <v>3310</v>
      </c>
      <c r="AV3526" s="22" t="s">
        <v>177</v>
      </c>
      <c r="AW3526" s="22" t="s">
        <v>3293</v>
      </c>
      <c r="AX3526" s="22">
        <v>3</v>
      </c>
      <c r="AZ3526" s="22" t="s">
        <v>2955</v>
      </c>
      <c r="BE3526" s="22" t="s">
        <v>3303</v>
      </c>
      <c r="BK3526" s="22">
        <v>2200</v>
      </c>
      <c r="BL3526" s="22">
        <v>2600</v>
      </c>
      <c r="BP3526" s="399"/>
      <c r="BQ3526" s="399"/>
      <c r="BU3526" s="399"/>
      <c r="BV3526" s="399"/>
      <c r="BZ3526" s="399"/>
      <c r="CA3526" s="399"/>
      <c r="CE3526" s="552"/>
      <c r="CF3526" s="552"/>
      <c r="CG3526" s="552"/>
      <c r="CH3526" s="552"/>
      <c r="JD3526" s="276"/>
    </row>
    <row r="3527" spans="1:264" s="22" customFormat="1" x14ac:dyDescent="0.25">
      <c r="A3527" s="22">
        <v>163</v>
      </c>
      <c r="B3527" s="45" t="s">
        <v>3313</v>
      </c>
      <c r="C3527" s="22" t="s">
        <v>3290</v>
      </c>
      <c r="D3527" s="22" t="s">
        <v>3291</v>
      </c>
      <c r="E3527" s="22">
        <v>2003</v>
      </c>
      <c r="F3527" s="22">
        <v>1998</v>
      </c>
      <c r="G3527" s="22" t="s">
        <v>371</v>
      </c>
      <c r="H3527" s="22" t="s">
        <v>3312</v>
      </c>
      <c r="I3527" s="22" t="s">
        <v>2827</v>
      </c>
      <c r="J3527" s="22">
        <f t="shared" si="476"/>
        <v>-14.060000000000002</v>
      </c>
      <c r="K3527" s="22">
        <f t="shared" si="476"/>
        <v>34.97</v>
      </c>
      <c r="L3527" s="22">
        <v>1583</v>
      </c>
      <c r="P3527" s="22">
        <f t="shared" si="475"/>
        <v>1035</v>
      </c>
      <c r="R3527" s="45" t="s">
        <v>1728</v>
      </c>
      <c r="S3527" s="45" t="s">
        <v>1858</v>
      </c>
      <c r="T3527" s="45"/>
      <c r="U3527" s="45" t="s">
        <v>3292</v>
      </c>
      <c r="V3527" s="45"/>
      <c r="W3527" s="45"/>
      <c r="X3527" s="45"/>
      <c r="Y3527" s="45"/>
      <c r="AA3527" s="325"/>
      <c r="AB3527" s="325"/>
      <c r="AD3527" s="22">
        <v>5.9</v>
      </c>
      <c r="AE3527" s="22">
        <v>1.8</v>
      </c>
      <c r="AG3527" s="22" t="s">
        <v>3299</v>
      </c>
      <c r="AH3527" s="22" t="s">
        <v>2742</v>
      </c>
      <c r="AI3527" s="22" t="s">
        <v>577</v>
      </c>
      <c r="AJ3527" s="22" t="s">
        <v>1645</v>
      </c>
      <c r="AK3527" s="22" t="s">
        <v>132</v>
      </c>
      <c r="AT3527" s="22" t="s">
        <v>3311</v>
      </c>
      <c r="AU3527" s="22" t="s">
        <v>3311</v>
      </c>
      <c r="AV3527" s="22" t="s">
        <v>177</v>
      </c>
      <c r="AW3527" s="22" t="s">
        <v>3293</v>
      </c>
      <c r="AX3527" s="22">
        <v>3</v>
      </c>
      <c r="AZ3527" s="22" t="s">
        <v>2955</v>
      </c>
      <c r="BE3527" s="22" t="s">
        <v>3303</v>
      </c>
      <c r="BK3527" s="22">
        <v>2700</v>
      </c>
      <c r="BL3527" s="22">
        <v>3500</v>
      </c>
      <c r="BP3527" s="399"/>
      <c r="BQ3527" s="399"/>
      <c r="BU3527" s="399"/>
      <c r="BV3527" s="399"/>
      <c r="BZ3527" s="399"/>
      <c r="CA3527" s="399"/>
      <c r="CE3527" s="552"/>
      <c r="CF3527" s="552"/>
      <c r="CG3527" s="552"/>
      <c r="CH3527" s="552"/>
      <c r="JD3527" s="276"/>
    </row>
    <row r="3528" spans="1:264" s="22" customFormat="1" x14ac:dyDescent="0.25">
      <c r="A3528" s="22">
        <v>163</v>
      </c>
      <c r="B3528" s="45" t="s">
        <v>3313</v>
      </c>
      <c r="C3528" s="22" t="s">
        <v>3290</v>
      </c>
      <c r="D3528" s="22" t="s">
        <v>3291</v>
      </c>
      <c r="E3528" s="22">
        <v>2003</v>
      </c>
      <c r="F3528" s="22">
        <v>1998</v>
      </c>
      <c r="G3528" s="22" t="s">
        <v>371</v>
      </c>
      <c r="H3528" s="22" t="s">
        <v>3312</v>
      </c>
      <c r="I3528" s="22" t="s">
        <v>2827</v>
      </c>
      <c r="J3528" s="22">
        <f t="shared" si="476"/>
        <v>-14.059999999999999</v>
      </c>
      <c r="K3528" s="22">
        <f t="shared" si="476"/>
        <v>34.969999999999992</v>
      </c>
      <c r="L3528" s="22">
        <v>1583</v>
      </c>
      <c r="P3528" s="22">
        <f t="shared" si="475"/>
        <v>1035</v>
      </c>
      <c r="R3528" s="45" t="s">
        <v>1728</v>
      </c>
      <c r="S3528" s="45" t="s">
        <v>1858</v>
      </c>
      <c r="T3528" s="45"/>
      <c r="U3528" s="45" t="s">
        <v>3292</v>
      </c>
      <c r="V3528" s="45"/>
      <c r="W3528" s="45"/>
      <c r="X3528" s="45"/>
      <c r="Y3528" s="45"/>
      <c r="AA3528" s="325"/>
      <c r="AB3528" s="325"/>
      <c r="AD3528" s="22">
        <v>5.9</v>
      </c>
      <c r="AE3528" s="22">
        <v>1.8</v>
      </c>
      <c r="AG3528" s="22" t="s">
        <v>3299</v>
      </c>
      <c r="AH3528" s="22" t="s">
        <v>2742</v>
      </c>
      <c r="AI3528" s="22" t="s">
        <v>577</v>
      </c>
      <c r="AJ3528" s="22" t="s">
        <v>1645</v>
      </c>
      <c r="AK3528" s="22" t="s">
        <v>132</v>
      </c>
      <c r="AT3528" s="22">
        <v>0</v>
      </c>
      <c r="AU3528" s="22">
        <v>0</v>
      </c>
      <c r="AV3528" s="22" t="s">
        <v>177</v>
      </c>
      <c r="AW3528" s="22" t="s">
        <v>3293</v>
      </c>
      <c r="AX3528" s="22">
        <v>3</v>
      </c>
      <c r="AZ3528" s="22" t="s">
        <v>2955</v>
      </c>
      <c r="BE3528" s="22" t="s">
        <v>3302</v>
      </c>
      <c r="BK3528" s="22">
        <v>1200</v>
      </c>
      <c r="BL3528" s="22">
        <v>2200</v>
      </c>
      <c r="BP3528" s="399"/>
      <c r="BQ3528" s="399"/>
      <c r="BU3528" s="399"/>
      <c r="BV3528" s="399"/>
      <c r="BZ3528" s="399"/>
      <c r="CA3528" s="399"/>
      <c r="CE3528" s="552"/>
      <c r="CF3528" s="552"/>
      <c r="CG3528" s="552"/>
      <c r="CH3528" s="552"/>
      <c r="JD3528" s="276"/>
    </row>
    <row r="3529" spans="1:264" s="22" customFormat="1" x14ac:dyDescent="0.25">
      <c r="A3529" s="22">
        <v>163</v>
      </c>
      <c r="B3529" s="45" t="s">
        <v>3313</v>
      </c>
      <c r="C3529" s="22" t="s">
        <v>3290</v>
      </c>
      <c r="D3529" s="22" t="s">
        <v>3291</v>
      </c>
      <c r="E3529" s="22">
        <v>2003</v>
      </c>
      <c r="F3529" s="22">
        <v>1998</v>
      </c>
      <c r="G3529" s="22" t="s">
        <v>371</v>
      </c>
      <c r="H3529" s="22" t="s">
        <v>3312</v>
      </c>
      <c r="I3529" s="22" t="s">
        <v>2827</v>
      </c>
      <c r="J3529" s="22">
        <f t="shared" si="476"/>
        <v>-14.059999999999999</v>
      </c>
      <c r="K3529" s="22">
        <f t="shared" si="476"/>
        <v>34.969999999999992</v>
      </c>
      <c r="L3529" s="22">
        <v>1583</v>
      </c>
      <c r="P3529" s="22">
        <f t="shared" si="475"/>
        <v>1035</v>
      </c>
      <c r="R3529" s="45" t="s">
        <v>1728</v>
      </c>
      <c r="S3529" s="45" t="s">
        <v>1858</v>
      </c>
      <c r="T3529" s="45"/>
      <c r="U3529" s="45" t="s">
        <v>3292</v>
      </c>
      <c r="V3529" s="45"/>
      <c r="W3529" s="45"/>
      <c r="X3529" s="45"/>
      <c r="Y3529" s="45"/>
      <c r="AA3529" s="325"/>
      <c r="AB3529" s="325"/>
      <c r="AD3529" s="22">
        <v>5.9</v>
      </c>
      <c r="AE3529" s="22">
        <v>1.8</v>
      </c>
      <c r="AG3529" s="22" t="s">
        <v>3299</v>
      </c>
      <c r="AH3529" s="22" t="s">
        <v>2742</v>
      </c>
      <c r="AI3529" s="22" t="s">
        <v>577</v>
      </c>
      <c r="AJ3529" s="22" t="s">
        <v>1645</v>
      </c>
      <c r="AK3529" s="22" t="s">
        <v>132</v>
      </c>
      <c r="AT3529" s="22" t="s">
        <v>3310</v>
      </c>
      <c r="AU3529" s="22" t="s">
        <v>3310</v>
      </c>
      <c r="AV3529" s="22" t="s">
        <v>177</v>
      </c>
      <c r="AW3529" s="22" t="s">
        <v>3293</v>
      </c>
      <c r="AX3529" s="22">
        <v>3</v>
      </c>
      <c r="AZ3529" s="22" t="s">
        <v>2955</v>
      </c>
      <c r="BE3529" s="22" t="s">
        <v>3302</v>
      </c>
      <c r="BK3529" s="22">
        <v>2200</v>
      </c>
      <c r="BL3529" s="22">
        <v>2600</v>
      </c>
      <c r="BP3529" s="399"/>
      <c r="BQ3529" s="399"/>
      <c r="BU3529" s="399"/>
      <c r="BV3529" s="399"/>
      <c r="BZ3529" s="399"/>
      <c r="CA3529" s="399"/>
      <c r="CE3529" s="552"/>
      <c r="CF3529" s="552"/>
      <c r="CG3529" s="552"/>
      <c r="CH3529" s="552"/>
      <c r="JD3529" s="276"/>
    </row>
    <row r="3530" spans="1:264" s="22" customFormat="1" x14ac:dyDescent="0.25">
      <c r="A3530" s="22">
        <v>163</v>
      </c>
      <c r="B3530" s="45" t="s">
        <v>3313</v>
      </c>
      <c r="C3530" s="22" t="s">
        <v>3290</v>
      </c>
      <c r="D3530" s="22" t="s">
        <v>3291</v>
      </c>
      <c r="E3530" s="22">
        <v>2003</v>
      </c>
      <c r="F3530" s="22">
        <v>1998</v>
      </c>
      <c r="G3530" s="22" t="s">
        <v>371</v>
      </c>
      <c r="H3530" s="22" t="s">
        <v>3312</v>
      </c>
      <c r="I3530" s="22" t="s">
        <v>2827</v>
      </c>
      <c r="J3530" s="22">
        <f t="shared" si="476"/>
        <v>-14.059999999999999</v>
      </c>
      <c r="K3530" s="22">
        <f t="shared" si="476"/>
        <v>34.97</v>
      </c>
      <c r="L3530" s="22">
        <v>1583</v>
      </c>
      <c r="P3530" s="22">
        <f t="shared" si="475"/>
        <v>1035</v>
      </c>
      <c r="R3530" s="45" t="s">
        <v>1728</v>
      </c>
      <c r="S3530" s="45" t="s">
        <v>1858</v>
      </c>
      <c r="T3530" s="45"/>
      <c r="U3530" s="45" t="s">
        <v>3292</v>
      </c>
      <c r="V3530" s="45"/>
      <c r="W3530" s="45"/>
      <c r="X3530" s="45"/>
      <c r="Y3530" s="45"/>
      <c r="AA3530" s="325"/>
      <c r="AB3530" s="325"/>
      <c r="AD3530" s="22">
        <v>5.9</v>
      </c>
      <c r="AE3530" s="22">
        <v>1.8</v>
      </c>
      <c r="AG3530" s="22" t="s">
        <v>3299</v>
      </c>
      <c r="AH3530" s="22" t="s">
        <v>2742</v>
      </c>
      <c r="AI3530" s="22" t="s">
        <v>577</v>
      </c>
      <c r="AJ3530" s="22" t="s">
        <v>1645</v>
      </c>
      <c r="AK3530" s="22" t="s">
        <v>132</v>
      </c>
      <c r="AT3530" s="22" t="s">
        <v>3311</v>
      </c>
      <c r="AU3530" s="22" t="s">
        <v>3311</v>
      </c>
      <c r="AV3530" s="22" t="s">
        <v>177</v>
      </c>
      <c r="AW3530" s="22" t="s">
        <v>3293</v>
      </c>
      <c r="AX3530" s="22">
        <v>3</v>
      </c>
      <c r="AZ3530" s="22" t="s">
        <v>2955</v>
      </c>
      <c r="BE3530" s="22" t="s">
        <v>3302</v>
      </c>
      <c r="BK3530" s="22">
        <v>2700</v>
      </c>
      <c r="BL3530" s="22">
        <v>3500</v>
      </c>
      <c r="BP3530" s="399"/>
      <c r="BQ3530" s="399"/>
      <c r="BU3530" s="399"/>
      <c r="BV3530" s="399"/>
      <c r="BZ3530" s="399"/>
      <c r="CA3530" s="399"/>
      <c r="CE3530" s="552"/>
      <c r="CF3530" s="552"/>
      <c r="CG3530" s="552"/>
      <c r="CH3530" s="552"/>
      <c r="JD3530" s="276"/>
    </row>
    <row r="3531" spans="1:264" s="126" customFormat="1" x14ac:dyDescent="0.25">
      <c r="A3531" s="126">
        <v>163</v>
      </c>
      <c r="B3531" s="478" t="s">
        <v>3313</v>
      </c>
      <c r="C3531" s="126" t="s">
        <v>3290</v>
      </c>
      <c r="D3531" s="126" t="s">
        <v>3291</v>
      </c>
      <c r="E3531" s="126">
        <v>2003</v>
      </c>
      <c r="F3531" s="126">
        <v>1998</v>
      </c>
      <c r="G3531" s="126" t="s">
        <v>371</v>
      </c>
      <c r="H3531" s="126" t="s">
        <v>3312</v>
      </c>
      <c r="I3531" s="126" t="s">
        <v>2827</v>
      </c>
      <c r="J3531" s="126">
        <f>AVERAGE(J3501,J3502,J3503,J3504,J3505)</f>
        <v>-14.059999999999999</v>
      </c>
      <c r="K3531" s="126">
        <f>AVERAGE(K3501,K3502,K3503,K3504,K3505)</f>
        <v>34.97</v>
      </c>
      <c r="L3531" s="126">
        <v>1583</v>
      </c>
      <c r="P3531" s="126">
        <f t="shared" si="475"/>
        <v>1035</v>
      </c>
      <c r="R3531" s="478" t="s">
        <v>1728</v>
      </c>
      <c r="S3531" s="478" t="s">
        <v>1858</v>
      </c>
      <c r="T3531" s="478"/>
      <c r="U3531" s="478" t="s">
        <v>3292</v>
      </c>
      <c r="V3531" s="478"/>
      <c r="W3531" s="478"/>
      <c r="X3531" s="478"/>
      <c r="Y3531" s="478"/>
      <c r="AA3531" s="479"/>
      <c r="AB3531" s="479"/>
      <c r="AD3531" s="126">
        <v>5.9</v>
      </c>
      <c r="AE3531" s="126">
        <v>1.8</v>
      </c>
      <c r="AG3531" s="126" t="s">
        <v>3299</v>
      </c>
      <c r="AH3531" s="126" t="s">
        <v>2744</v>
      </c>
      <c r="AI3531" s="126" t="s">
        <v>577</v>
      </c>
      <c r="AJ3531" s="126" t="s">
        <v>1645</v>
      </c>
      <c r="AK3531" s="126" t="s">
        <v>132</v>
      </c>
      <c r="AT3531" s="126">
        <v>0</v>
      </c>
      <c r="AU3531" s="126">
        <v>0</v>
      </c>
      <c r="AV3531" s="126" t="s">
        <v>177</v>
      </c>
      <c r="AW3531" s="126" t="s">
        <v>3293</v>
      </c>
      <c r="AX3531" s="126">
        <v>3</v>
      </c>
      <c r="AZ3531" s="126" t="s">
        <v>2955</v>
      </c>
      <c r="BE3531" s="126" t="s">
        <v>3303</v>
      </c>
      <c r="BK3531" s="126">
        <v>1200</v>
      </c>
      <c r="BL3531" s="126">
        <v>2200</v>
      </c>
      <c r="BP3531" s="481"/>
      <c r="BQ3531" s="481"/>
      <c r="BU3531" s="481"/>
      <c r="BV3531" s="481"/>
      <c r="BZ3531" s="481"/>
      <c r="CA3531" s="481"/>
      <c r="CE3531" s="605"/>
      <c r="CF3531" s="605"/>
      <c r="CG3531" s="605"/>
      <c r="CH3531" s="605"/>
      <c r="JD3531" s="480"/>
    </row>
    <row r="3532" spans="1:264" s="126" customFormat="1" x14ac:dyDescent="0.25">
      <c r="A3532" s="126">
        <v>163</v>
      </c>
      <c r="B3532" s="478" t="s">
        <v>3313</v>
      </c>
      <c r="C3532" s="126" t="s">
        <v>3290</v>
      </c>
      <c r="D3532" s="126" t="s">
        <v>3291</v>
      </c>
      <c r="E3532" s="126">
        <v>2003</v>
      </c>
      <c r="F3532" s="126">
        <v>1998</v>
      </c>
      <c r="G3532" s="126" t="s">
        <v>371</v>
      </c>
      <c r="H3532" s="126" t="s">
        <v>3312</v>
      </c>
      <c r="I3532" s="126" t="s">
        <v>2827</v>
      </c>
      <c r="J3532" s="126">
        <f t="shared" ref="J3532:K3532" si="477">AVERAGE(J3502,J3503,J3504,J3505,J3506)</f>
        <v>-14.060000000000002</v>
      </c>
      <c r="K3532" s="126">
        <f t="shared" si="477"/>
        <v>34.97</v>
      </c>
      <c r="L3532" s="126">
        <v>1583</v>
      </c>
      <c r="P3532" s="126">
        <f t="shared" si="475"/>
        <v>1035</v>
      </c>
      <c r="R3532" s="478" t="s">
        <v>1728</v>
      </c>
      <c r="S3532" s="478" t="s">
        <v>1858</v>
      </c>
      <c r="T3532" s="478"/>
      <c r="U3532" s="478" t="s">
        <v>3292</v>
      </c>
      <c r="V3532" s="478"/>
      <c r="W3532" s="478"/>
      <c r="X3532" s="478"/>
      <c r="Y3532" s="478"/>
      <c r="AA3532" s="479"/>
      <c r="AB3532" s="479"/>
      <c r="AD3532" s="126">
        <v>5.9</v>
      </c>
      <c r="AE3532" s="126">
        <v>1.8</v>
      </c>
      <c r="AG3532" s="126" t="s">
        <v>3299</v>
      </c>
      <c r="AH3532" s="126" t="s">
        <v>2744</v>
      </c>
      <c r="AI3532" s="126" t="s">
        <v>577</v>
      </c>
      <c r="AJ3532" s="126" t="s">
        <v>1645</v>
      </c>
      <c r="AK3532" s="126" t="s">
        <v>132</v>
      </c>
      <c r="AT3532" s="126" t="s">
        <v>3310</v>
      </c>
      <c r="AU3532" s="126" t="s">
        <v>3310</v>
      </c>
      <c r="AV3532" s="126" t="s">
        <v>177</v>
      </c>
      <c r="AW3532" s="126" t="s">
        <v>3293</v>
      </c>
      <c r="AX3532" s="126">
        <v>3</v>
      </c>
      <c r="AZ3532" s="126" t="s">
        <v>2955</v>
      </c>
      <c r="BE3532" s="126" t="s">
        <v>3303</v>
      </c>
      <c r="BK3532" s="126">
        <v>2200</v>
      </c>
      <c r="BL3532" s="126">
        <v>3100</v>
      </c>
      <c r="BP3532" s="481"/>
      <c r="BQ3532" s="481"/>
      <c r="BU3532" s="481"/>
      <c r="BV3532" s="481"/>
      <c r="BZ3532" s="481"/>
      <c r="CA3532" s="481"/>
      <c r="CE3532" s="605"/>
      <c r="CF3532" s="605"/>
      <c r="CG3532" s="605"/>
      <c r="CH3532" s="605"/>
      <c r="JD3532" s="480"/>
    </row>
    <row r="3533" spans="1:264" s="126" customFormat="1" x14ac:dyDescent="0.25">
      <c r="A3533" s="126">
        <v>163</v>
      </c>
      <c r="B3533" s="478" t="s">
        <v>3313</v>
      </c>
      <c r="C3533" s="126" t="s">
        <v>3290</v>
      </c>
      <c r="D3533" s="126" t="s">
        <v>3291</v>
      </c>
      <c r="E3533" s="126">
        <v>2003</v>
      </c>
      <c r="F3533" s="126">
        <v>1998</v>
      </c>
      <c r="G3533" s="126" t="s">
        <v>371</v>
      </c>
      <c r="H3533" s="126" t="s">
        <v>3312</v>
      </c>
      <c r="I3533" s="126" t="s">
        <v>2827</v>
      </c>
      <c r="J3533" s="126">
        <f t="shared" ref="J3533:K3533" si="478">AVERAGE(J3503,J3504,J3505,J3506,J3507)</f>
        <v>-14.059999999999999</v>
      </c>
      <c r="K3533" s="126">
        <f t="shared" si="478"/>
        <v>34.969999999999992</v>
      </c>
      <c r="L3533" s="126">
        <v>1583</v>
      </c>
      <c r="P3533" s="126">
        <f t="shared" si="475"/>
        <v>1035</v>
      </c>
      <c r="R3533" s="478" t="s">
        <v>1728</v>
      </c>
      <c r="S3533" s="478" t="s">
        <v>1858</v>
      </c>
      <c r="T3533" s="478"/>
      <c r="U3533" s="478" t="s">
        <v>3292</v>
      </c>
      <c r="V3533" s="478"/>
      <c r="W3533" s="478"/>
      <c r="X3533" s="478"/>
      <c r="Y3533" s="478"/>
      <c r="AA3533" s="479"/>
      <c r="AB3533" s="479"/>
      <c r="AD3533" s="126">
        <v>5.9</v>
      </c>
      <c r="AE3533" s="126">
        <v>1.8</v>
      </c>
      <c r="AG3533" s="126" t="s">
        <v>3299</v>
      </c>
      <c r="AH3533" s="126" t="s">
        <v>2744</v>
      </c>
      <c r="AI3533" s="126" t="s">
        <v>577</v>
      </c>
      <c r="AJ3533" s="126" t="s">
        <v>1645</v>
      </c>
      <c r="AK3533" s="126" t="s">
        <v>132</v>
      </c>
      <c r="AT3533" s="126" t="s">
        <v>3311</v>
      </c>
      <c r="AU3533" s="126" t="s">
        <v>3311</v>
      </c>
      <c r="AV3533" s="126" t="s">
        <v>177</v>
      </c>
      <c r="AW3533" s="126" t="s">
        <v>3293</v>
      </c>
      <c r="AX3533" s="126">
        <v>3</v>
      </c>
      <c r="AZ3533" s="126" t="s">
        <v>2955</v>
      </c>
      <c r="BE3533" s="126" t="s">
        <v>3303</v>
      </c>
      <c r="BK3533" s="126">
        <v>2700</v>
      </c>
      <c r="BL3533" s="126">
        <v>3700</v>
      </c>
      <c r="BP3533" s="481"/>
      <c r="BQ3533" s="481"/>
      <c r="BU3533" s="481"/>
      <c r="BV3533" s="481"/>
      <c r="BZ3533" s="481"/>
      <c r="CA3533" s="481"/>
      <c r="CE3533" s="605"/>
      <c r="CF3533" s="605"/>
      <c r="CG3533" s="605"/>
      <c r="CH3533" s="605"/>
      <c r="JD3533" s="480"/>
    </row>
    <row r="3534" spans="1:264" s="126" customFormat="1" x14ac:dyDescent="0.25">
      <c r="A3534" s="126">
        <v>163</v>
      </c>
      <c r="B3534" s="478" t="s">
        <v>3313</v>
      </c>
      <c r="C3534" s="126" t="s">
        <v>3290</v>
      </c>
      <c r="D3534" s="126" t="s">
        <v>3291</v>
      </c>
      <c r="E3534" s="126">
        <v>2003</v>
      </c>
      <c r="F3534" s="126">
        <v>1998</v>
      </c>
      <c r="G3534" s="126" t="s">
        <v>371</v>
      </c>
      <c r="H3534" s="126" t="s">
        <v>3312</v>
      </c>
      <c r="I3534" s="126" t="s">
        <v>2827</v>
      </c>
      <c r="J3534" s="126">
        <f t="shared" ref="J3534:K3534" si="479">AVERAGE(J3504,J3505,J3506,J3507,J3508)</f>
        <v>-14.059999999999999</v>
      </c>
      <c r="K3534" s="126">
        <f t="shared" si="479"/>
        <v>34.969999999999992</v>
      </c>
      <c r="L3534" s="126">
        <v>1583</v>
      </c>
      <c r="P3534" s="126">
        <f t="shared" si="475"/>
        <v>1035</v>
      </c>
      <c r="R3534" s="478" t="s">
        <v>1728</v>
      </c>
      <c r="S3534" s="478" t="s">
        <v>1858</v>
      </c>
      <c r="T3534" s="478"/>
      <c r="U3534" s="478" t="s">
        <v>3292</v>
      </c>
      <c r="V3534" s="478"/>
      <c r="W3534" s="478"/>
      <c r="X3534" s="478"/>
      <c r="Y3534" s="478"/>
      <c r="AA3534" s="479"/>
      <c r="AB3534" s="479"/>
      <c r="AD3534" s="126">
        <v>5.9</v>
      </c>
      <c r="AE3534" s="126">
        <v>1.8</v>
      </c>
      <c r="AG3534" s="126" t="s">
        <v>3299</v>
      </c>
      <c r="AH3534" s="126" t="s">
        <v>2744</v>
      </c>
      <c r="AI3534" s="126" t="s">
        <v>577</v>
      </c>
      <c r="AJ3534" s="126" t="s">
        <v>1645</v>
      </c>
      <c r="AK3534" s="126" t="s">
        <v>132</v>
      </c>
      <c r="AT3534" s="126">
        <v>0</v>
      </c>
      <c r="AU3534" s="126">
        <v>0</v>
      </c>
      <c r="AV3534" s="126" t="s">
        <v>177</v>
      </c>
      <c r="AW3534" s="126" t="s">
        <v>3293</v>
      </c>
      <c r="AX3534" s="126">
        <v>3</v>
      </c>
      <c r="AZ3534" s="126" t="s">
        <v>2955</v>
      </c>
      <c r="BE3534" s="126" t="s">
        <v>3302</v>
      </c>
      <c r="BK3534" s="126">
        <v>1200</v>
      </c>
      <c r="BL3534" s="126">
        <v>1800</v>
      </c>
      <c r="BP3534" s="481"/>
      <c r="BQ3534" s="481"/>
      <c r="BU3534" s="481"/>
      <c r="BV3534" s="481"/>
      <c r="BZ3534" s="481"/>
      <c r="CA3534" s="481"/>
      <c r="CE3534" s="605"/>
      <c r="CF3534" s="605"/>
      <c r="CG3534" s="605"/>
      <c r="CH3534" s="605"/>
      <c r="JD3534" s="480"/>
    </row>
    <row r="3535" spans="1:264" s="126" customFormat="1" x14ac:dyDescent="0.25">
      <c r="A3535" s="126">
        <v>163</v>
      </c>
      <c r="B3535" s="478" t="s">
        <v>3313</v>
      </c>
      <c r="C3535" s="126" t="s">
        <v>3290</v>
      </c>
      <c r="D3535" s="126" t="s">
        <v>3291</v>
      </c>
      <c r="E3535" s="126">
        <v>2003</v>
      </c>
      <c r="F3535" s="126">
        <v>1998</v>
      </c>
      <c r="G3535" s="126" t="s">
        <v>371</v>
      </c>
      <c r="H3535" s="126" t="s">
        <v>3312</v>
      </c>
      <c r="I3535" s="126" t="s">
        <v>2827</v>
      </c>
      <c r="J3535" s="126">
        <f t="shared" ref="J3535:K3535" si="480">AVERAGE(J3505,J3506,J3507,J3508,J3509)</f>
        <v>-14.059999999999999</v>
      </c>
      <c r="K3535" s="126">
        <f t="shared" si="480"/>
        <v>34.97</v>
      </c>
      <c r="L3535" s="126">
        <v>1583</v>
      </c>
      <c r="P3535" s="126">
        <f t="shared" si="475"/>
        <v>1035</v>
      </c>
      <c r="R3535" s="478" t="s">
        <v>1728</v>
      </c>
      <c r="S3535" s="478" t="s">
        <v>1858</v>
      </c>
      <c r="T3535" s="478"/>
      <c r="U3535" s="478" t="s">
        <v>3292</v>
      </c>
      <c r="V3535" s="478"/>
      <c r="W3535" s="478"/>
      <c r="X3535" s="478"/>
      <c r="Y3535" s="478"/>
      <c r="AA3535" s="479"/>
      <c r="AB3535" s="479"/>
      <c r="AD3535" s="126">
        <v>5.9</v>
      </c>
      <c r="AE3535" s="126">
        <v>1.8</v>
      </c>
      <c r="AG3535" s="126" t="s">
        <v>3299</v>
      </c>
      <c r="AH3535" s="126" t="s">
        <v>2744</v>
      </c>
      <c r="AI3535" s="126" t="s">
        <v>577</v>
      </c>
      <c r="AJ3535" s="126" t="s">
        <v>1645</v>
      </c>
      <c r="AK3535" s="126" t="s">
        <v>132</v>
      </c>
      <c r="AT3535" s="126" t="s">
        <v>3310</v>
      </c>
      <c r="AU3535" s="126" t="s">
        <v>3310</v>
      </c>
      <c r="AV3535" s="126" t="s">
        <v>177</v>
      </c>
      <c r="AW3535" s="126" t="s">
        <v>3293</v>
      </c>
      <c r="AX3535" s="126">
        <v>3</v>
      </c>
      <c r="AZ3535" s="126" t="s">
        <v>2955</v>
      </c>
      <c r="BE3535" s="126" t="s">
        <v>3302</v>
      </c>
      <c r="BK3535" s="126">
        <v>2200</v>
      </c>
      <c r="BL3535" s="126">
        <v>2900</v>
      </c>
      <c r="BP3535" s="481"/>
      <c r="BQ3535" s="481"/>
      <c r="BU3535" s="481"/>
      <c r="BV3535" s="481"/>
      <c r="BZ3535" s="481"/>
      <c r="CA3535" s="481"/>
      <c r="CE3535" s="605"/>
      <c r="CF3535" s="605"/>
      <c r="CG3535" s="605"/>
      <c r="CH3535" s="605"/>
      <c r="JD3535" s="480"/>
    </row>
    <row r="3536" spans="1:264" s="126" customFormat="1" x14ac:dyDescent="0.25">
      <c r="A3536" s="126">
        <v>163</v>
      </c>
      <c r="B3536" s="478" t="s">
        <v>3313</v>
      </c>
      <c r="C3536" s="126" t="s">
        <v>3290</v>
      </c>
      <c r="D3536" s="126" t="s">
        <v>3291</v>
      </c>
      <c r="E3536" s="126">
        <v>2003</v>
      </c>
      <c r="F3536" s="126">
        <v>1998</v>
      </c>
      <c r="G3536" s="126" t="s">
        <v>371</v>
      </c>
      <c r="H3536" s="126" t="s">
        <v>3312</v>
      </c>
      <c r="I3536" s="126" t="s">
        <v>2827</v>
      </c>
      <c r="J3536" s="126">
        <f t="shared" ref="J3536:K3536" si="481">AVERAGE(J3506,J3507,J3508,J3509,J3510)</f>
        <v>-14.059999999999999</v>
      </c>
      <c r="K3536" s="126">
        <f t="shared" si="481"/>
        <v>34.97</v>
      </c>
      <c r="L3536" s="126">
        <v>1583</v>
      </c>
      <c r="P3536" s="126">
        <f t="shared" si="475"/>
        <v>1035</v>
      </c>
      <c r="R3536" s="478" t="s">
        <v>1728</v>
      </c>
      <c r="S3536" s="478" t="s">
        <v>1858</v>
      </c>
      <c r="T3536" s="478"/>
      <c r="U3536" s="478" t="s">
        <v>3292</v>
      </c>
      <c r="V3536" s="478"/>
      <c r="W3536" s="478"/>
      <c r="X3536" s="478"/>
      <c r="Y3536" s="478"/>
      <c r="AA3536" s="479"/>
      <c r="AB3536" s="479"/>
      <c r="AD3536" s="126">
        <v>5.9</v>
      </c>
      <c r="AE3536" s="126">
        <v>1.8</v>
      </c>
      <c r="AG3536" s="126" t="s">
        <v>3299</v>
      </c>
      <c r="AH3536" s="126" t="s">
        <v>2744</v>
      </c>
      <c r="AI3536" s="126" t="s">
        <v>577</v>
      </c>
      <c r="AJ3536" s="126" t="s">
        <v>1645</v>
      </c>
      <c r="AK3536" s="126" t="s">
        <v>132</v>
      </c>
      <c r="AT3536" s="126" t="s">
        <v>3311</v>
      </c>
      <c r="AU3536" s="126" t="s">
        <v>3311</v>
      </c>
      <c r="AV3536" s="126" t="s">
        <v>177</v>
      </c>
      <c r="AW3536" s="126" t="s">
        <v>3293</v>
      </c>
      <c r="AX3536" s="126">
        <v>3</v>
      </c>
      <c r="AZ3536" s="126" t="s">
        <v>2955</v>
      </c>
      <c r="BE3536" s="126" t="s">
        <v>3302</v>
      </c>
      <c r="BK3536" s="126">
        <v>2700</v>
      </c>
      <c r="BL3536" s="126">
        <v>3600</v>
      </c>
      <c r="BP3536" s="481"/>
      <c r="BQ3536" s="481"/>
      <c r="BU3536" s="481"/>
      <c r="BV3536" s="481"/>
      <c r="BZ3536" s="481"/>
      <c r="CA3536" s="481"/>
      <c r="CE3536" s="605"/>
      <c r="CF3536" s="605"/>
      <c r="CG3536" s="605"/>
      <c r="CH3536" s="605"/>
      <c r="JD3536" s="480"/>
    </row>
    <row r="3537" spans="1:264" s="22" customFormat="1" x14ac:dyDescent="0.25">
      <c r="A3537" s="22">
        <v>163</v>
      </c>
      <c r="B3537" s="45" t="s">
        <v>3313</v>
      </c>
      <c r="C3537" s="22" t="s">
        <v>3290</v>
      </c>
      <c r="D3537" s="22" t="s">
        <v>3291</v>
      </c>
      <c r="E3537" s="22">
        <v>2003</v>
      </c>
      <c r="F3537" s="22">
        <v>1998</v>
      </c>
      <c r="G3537" s="22" t="s">
        <v>371</v>
      </c>
      <c r="H3537" s="22" t="s">
        <v>3312</v>
      </c>
      <c r="I3537" s="22" t="s">
        <v>2827</v>
      </c>
      <c r="J3537" s="22">
        <f>AVERAGE(J3507,J3508,J3509,J3510,J3511)</f>
        <v>-14.060000000000002</v>
      </c>
      <c r="K3537" s="22">
        <f>AVERAGE(K3507,K3508,K3509,K3510,K3511)</f>
        <v>34.97</v>
      </c>
      <c r="L3537" s="22">
        <v>1583</v>
      </c>
      <c r="P3537" s="22">
        <f t="shared" si="475"/>
        <v>1035</v>
      </c>
      <c r="R3537" s="45" t="s">
        <v>1728</v>
      </c>
      <c r="S3537" s="45" t="s">
        <v>1858</v>
      </c>
      <c r="T3537" s="45"/>
      <c r="U3537" s="45" t="s">
        <v>3292</v>
      </c>
      <c r="V3537" s="45"/>
      <c r="W3537" s="45"/>
      <c r="X3537" s="45"/>
      <c r="Y3537" s="45"/>
      <c r="AA3537" s="325"/>
      <c r="AB3537" s="325"/>
      <c r="AD3537" s="22">
        <v>5.9</v>
      </c>
      <c r="AE3537" s="22">
        <v>1.8</v>
      </c>
      <c r="AG3537" s="22" t="s">
        <v>3299</v>
      </c>
      <c r="AH3537" s="22" t="s">
        <v>3304</v>
      </c>
      <c r="AI3537" s="22" t="s">
        <v>577</v>
      </c>
      <c r="AJ3537" s="22" t="s">
        <v>1645</v>
      </c>
      <c r="AK3537" s="22" t="s">
        <v>132</v>
      </c>
      <c r="AT3537" s="22">
        <v>0</v>
      </c>
      <c r="AU3537" s="22">
        <v>0</v>
      </c>
      <c r="AV3537" s="22" t="s">
        <v>177</v>
      </c>
      <c r="AW3537" s="22" t="s">
        <v>3293</v>
      </c>
      <c r="AX3537" s="22">
        <v>3</v>
      </c>
      <c r="AZ3537" s="22" t="s">
        <v>2955</v>
      </c>
      <c r="BE3537" s="22" t="s">
        <v>3303</v>
      </c>
      <c r="BK3537" s="22">
        <v>1200</v>
      </c>
      <c r="BL3537" s="22">
        <v>2000</v>
      </c>
      <c r="BP3537" s="399"/>
      <c r="BQ3537" s="399"/>
      <c r="BU3537" s="399"/>
      <c r="BV3537" s="399"/>
      <c r="BZ3537" s="399"/>
      <c r="CA3537" s="399"/>
      <c r="CE3537" s="552"/>
      <c r="CF3537" s="552"/>
      <c r="CG3537" s="552"/>
      <c r="CH3537" s="552"/>
      <c r="JD3537" s="276"/>
    </row>
    <row r="3538" spans="1:264" s="22" customFormat="1" x14ac:dyDescent="0.25">
      <c r="A3538" s="22">
        <v>163</v>
      </c>
      <c r="B3538" s="45" t="s">
        <v>3313</v>
      </c>
      <c r="C3538" s="22" t="s">
        <v>3290</v>
      </c>
      <c r="D3538" s="22" t="s">
        <v>3291</v>
      </c>
      <c r="E3538" s="22">
        <v>2003</v>
      </c>
      <c r="F3538" s="22">
        <v>1998</v>
      </c>
      <c r="G3538" s="22" t="s">
        <v>371</v>
      </c>
      <c r="H3538" s="22" t="s">
        <v>3312</v>
      </c>
      <c r="I3538" s="22" t="s">
        <v>2827</v>
      </c>
      <c r="J3538" s="22">
        <f t="shared" ref="J3538:K3538" si="482">AVERAGE(J3508,J3509,J3510,J3511,J3512)</f>
        <v>-14.059999999999999</v>
      </c>
      <c r="K3538" s="22">
        <f t="shared" si="482"/>
        <v>34.969999999999992</v>
      </c>
      <c r="L3538" s="22">
        <v>1583</v>
      </c>
      <c r="P3538" s="22">
        <f t="shared" si="475"/>
        <v>1035</v>
      </c>
      <c r="R3538" s="45" t="s">
        <v>1728</v>
      </c>
      <c r="S3538" s="45" t="s">
        <v>1858</v>
      </c>
      <c r="T3538" s="45"/>
      <c r="U3538" s="45" t="s">
        <v>3292</v>
      </c>
      <c r="V3538" s="45"/>
      <c r="W3538" s="45"/>
      <c r="X3538" s="45"/>
      <c r="Y3538" s="45"/>
      <c r="AA3538" s="325"/>
      <c r="AB3538" s="325"/>
      <c r="AD3538" s="22">
        <v>5.9</v>
      </c>
      <c r="AE3538" s="22">
        <v>1.8</v>
      </c>
      <c r="AG3538" s="22" t="s">
        <v>3299</v>
      </c>
      <c r="AH3538" s="22" t="s">
        <v>3304</v>
      </c>
      <c r="AI3538" s="22" t="s">
        <v>577</v>
      </c>
      <c r="AJ3538" s="22" t="s">
        <v>1645</v>
      </c>
      <c r="AK3538" s="22" t="s">
        <v>132</v>
      </c>
      <c r="AT3538" s="22" t="s">
        <v>3310</v>
      </c>
      <c r="AU3538" s="22" t="s">
        <v>3310</v>
      </c>
      <c r="AV3538" s="22" t="s">
        <v>177</v>
      </c>
      <c r="AW3538" s="22" t="s">
        <v>3293</v>
      </c>
      <c r="AX3538" s="22">
        <v>3</v>
      </c>
      <c r="AZ3538" s="22" t="s">
        <v>2955</v>
      </c>
      <c r="BE3538" s="22" t="s">
        <v>3303</v>
      </c>
      <c r="BK3538" s="22">
        <v>2200</v>
      </c>
      <c r="BL3538" s="22">
        <v>2800</v>
      </c>
      <c r="BP3538" s="399"/>
      <c r="BQ3538" s="399"/>
      <c r="BU3538" s="399"/>
      <c r="BV3538" s="399"/>
      <c r="BZ3538" s="399"/>
      <c r="CA3538" s="399"/>
      <c r="CE3538" s="552"/>
      <c r="CF3538" s="552"/>
      <c r="CG3538" s="552"/>
      <c r="CH3538" s="552"/>
      <c r="JD3538" s="276"/>
    </row>
    <row r="3539" spans="1:264" s="22" customFormat="1" x14ac:dyDescent="0.25">
      <c r="A3539" s="22">
        <v>163</v>
      </c>
      <c r="B3539" s="45" t="s">
        <v>3313</v>
      </c>
      <c r="C3539" s="22" t="s">
        <v>3290</v>
      </c>
      <c r="D3539" s="22" t="s">
        <v>3291</v>
      </c>
      <c r="E3539" s="22">
        <v>2003</v>
      </c>
      <c r="F3539" s="22">
        <v>1998</v>
      </c>
      <c r="G3539" s="22" t="s">
        <v>371</v>
      </c>
      <c r="H3539" s="22" t="s">
        <v>3312</v>
      </c>
      <c r="I3539" s="22" t="s">
        <v>2827</v>
      </c>
      <c r="J3539" s="22">
        <f t="shared" ref="J3539:K3539" si="483">AVERAGE(J3509,J3510,J3511,J3512,J3513)</f>
        <v>-14.059999999999999</v>
      </c>
      <c r="K3539" s="22">
        <f t="shared" si="483"/>
        <v>34.969999999999992</v>
      </c>
      <c r="L3539" s="22">
        <v>1583</v>
      </c>
      <c r="P3539" s="22">
        <f t="shared" si="475"/>
        <v>1035</v>
      </c>
      <c r="R3539" s="45" t="s">
        <v>1728</v>
      </c>
      <c r="S3539" s="45" t="s">
        <v>1858</v>
      </c>
      <c r="T3539" s="45"/>
      <c r="U3539" s="45" t="s">
        <v>3292</v>
      </c>
      <c r="V3539" s="45"/>
      <c r="W3539" s="45"/>
      <c r="X3539" s="45"/>
      <c r="Y3539" s="45"/>
      <c r="AA3539" s="325"/>
      <c r="AB3539" s="325"/>
      <c r="AD3539" s="22">
        <v>5.9</v>
      </c>
      <c r="AE3539" s="22">
        <v>1.8</v>
      </c>
      <c r="AG3539" s="22" t="s">
        <v>3299</v>
      </c>
      <c r="AH3539" s="22" t="s">
        <v>3304</v>
      </c>
      <c r="AI3539" s="22" t="s">
        <v>577</v>
      </c>
      <c r="AJ3539" s="22" t="s">
        <v>1645</v>
      </c>
      <c r="AK3539" s="22" t="s">
        <v>132</v>
      </c>
      <c r="AT3539" s="22" t="s">
        <v>3311</v>
      </c>
      <c r="AU3539" s="22" t="s">
        <v>3311</v>
      </c>
      <c r="AV3539" s="22" t="s">
        <v>177</v>
      </c>
      <c r="AW3539" s="22" t="s">
        <v>3293</v>
      </c>
      <c r="AX3539" s="22">
        <v>3</v>
      </c>
      <c r="AZ3539" s="22" t="s">
        <v>2955</v>
      </c>
      <c r="BE3539" s="22" t="s">
        <v>3303</v>
      </c>
      <c r="BK3539" s="22">
        <v>2700</v>
      </c>
      <c r="BL3539" s="22">
        <v>3400</v>
      </c>
      <c r="BP3539" s="399"/>
      <c r="BQ3539" s="399"/>
      <c r="BU3539" s="399"/>
      <c r="BV3539" s="399"/>
      <c r="BZ3539" s="399"/>
      <c r="CA3539" s="399"/>
      <c r="CE3539" s="552"/>
      <c r="CF3539" s="552"/>
      <c r="CG3539" s="552"/>
      <c r="CH3539" s="552"/>
      <c r="JD3539" s="276"/>
    </row>
    <row r="3540" spans="1:264" s="22" customFormat="1" x14ac:dyDescent="0.25">
      <c r="A3540" s="22">
        <v>163</v>
      </c>
      <c r="B3540" s="45" t="s">
        <v>3313</v>
      </c>
      <c r="C3540" s="22" t="s">
        <v>3290</v>
      </c>
      <c r="D3540" s="22" t="s">
        <v>3291</v>
      </c>
      <c r="E3540" s="22">
        <v>2003</v>
      </c>
      <c r="F3540" s="22">
        <v>1998</v>
      </c>
      <c r="G3540" s="22" t="s">
        <v>371</v>
      </c>
      <c r="H3540" s="22" t="s">
        <v>3312</v>
      </c>
      <c r="I3540" s="22" t="s">
        <v>2827</v>
      </c>
      <c r="J3540" s="22">
        <f t="shared" ref="J3540:K3540" si="484">AVERAGE(J3510,J3511,J3512,J3513,J3514)</f>
        <v>-14.059999999999999</v>
      </c>
      <c r="K3540" s="22">
        <f t="shared" si="484"/>
        <v>34.97</v>
      </c>
      <c r="L3540" s="22">
        <v>1583</v>
      </c>
      <c r="P3540" s="22">
        <f t="shared" si="475"/>
        <v>1035</v>
      </c>
      <c r="R3540" s="45" t="s">
        <v>1728</v>
      </c>
      <c r="S3540" s="45" t="s">
        <v>1858</v>
      </c>
      <c r="T3540" s="45"/>
      <c r="U3540" s="45" t="s">
        <v>3292</v>
      </c>
      <c r="V3540" s="45"/>
      <c r="W3540" s="45"/>
      <c r="X3540" s="45"/>
      <c r="Y3540" s="45"/>
      <c r="AA3540" s="325"/>
      <c r="AB3540" s="325"/>
      <c r="AD3540" s="22">
        <v>5.9</v>
      </c>
      <c r="AE3540" s="22">
        <v>1.8</v>
      </c>
      <c r="AG3540" s="22" t="s">
        <v>3299</v>
      </c>
      <c r="AH3540" s="22" t="s">
        <v>3304</v>
      </c>
      <c r="AI3540" s="22" t="s">
        <v>577</v>
      </c>
      <c r="AJ3540" s="22" t="s">
        <v>1645</v>
      </c>
      <c r="AK3540" s="22" t="s">
        <v>132</v>
      </c>
      <c r="AT3540" s="22">
        <v>0</v>
      </c>
      <c r="AU3540" s="22">
        <v>0</v>
      </c>
      <c r="AV3540" s="22" t="s">
        <v>177</v>
      </c>
      <c r="AW3540" s="22" t="s">
        <v>3293</v>
      </c>
      <c r="AX3540" s="22">
        <v>3</v>
      </c>
      <c r="AZ3540" s="22" t="s">
        <v>2955</v>
      </c>
      <c r="BE3540" s="22" t="s">
        <v>3302</v>
      </c>
      <c r="BK3540" s="22">
        <v>1200</v>
      </c>
      <c r="BL3540" s="22">
        <v>1700</v>
      </c>
      <c r="BP3540" s="399"/>
      <c r="BQ3540" s="399"/>
      <c r="BU3540" s="399"/>
      <c r="BV3540" s="399"/>
      <c r="BZ3540" s="399"/>
      <c r="CA3540" s="399"/>
      <c r="CE3540" s="552"/>
      <c r="CF3540" s="552"/>
      <c r="CG3540" s="552"/>
      <c r="CH3540" s="552"/>
      <c r="JD3540" s="276"/>
    </row>
    <row r="3541" spans="1:264" s="22" customFormat="1" x14ac:dyDescent="0.25">
      <c r="A3541" s="22">
        <v>163</v>
      </c>
      <c r="B3541" s="45" t="s">
        <v>3313</v>
      </c>
      <c r="C3541" s="22" t="s">
        <v>3290</v>
      </c>
      <c r="D3541" s="22" t="s">
        <v>3291</v>
      </c>
      <c r="E3541" s="22">
        <v>2003</v>
      </c>
      <c r="F3541" s="22">
        <v>1998</v>
      </c>
      <c r="G3541" s="22" t="s">
        <v>371</v>
      </c>
      <c r="H3541" s="22" t="s">
        <v>3312</v>
      </c>
      <c r="I3541" s="22" t="s">
        <v>2827</v>
      </c>
      <c r="J3541" s="22">
        <f t="shared" ref="J3541:K3541" si="485">AVERAGE(J3511,J3512,J3513,J3514,J3515)</f>
        <v>-14.059999999999999</v>
      </c>
      <c r="K3541" s="22">
        <f t="shared" si="485"/>
        <v>34.97</v>
      </c>
      <c r="L3541" s="22">
        <v>1583</v>
      </c>
      <c r="P3541" s="22">
        <f t="shared" si="475"/>
        <v>1035</v>
      </c>
      <c r="R3541" s="45" t="s">
        <v>1728</v>
      </c>
      <c r="S3541" s="45" t="s">
        <v>1858</v>
      </c>
      <c r="T3541" s="45"/>
      <c r="U3541" s="45" t="s">
        <v>3292</v>
      </c>
      <c r="V3541" s="45"/>
      <c r="W3541" s="45"/>
      <c r="X3541" s="45"/>
      <c r="Y3541" s="45"/>
      <c r="AA3541" s="325"/>
      <c r="AB3541" s="325"/>
      <c r="AD3541" s="22">
        <v>5.9</v>
      </c>
      <c r="AE3541" s="22">
        <v>1.8</v>
      </c>
      <c r="AG3541" s="22" t="s">
        <v>3299</v>
      </c>
      <c r="AH3541" s="22" t="s">
        <v>3304</v>
      </c>
      <c r="AI3541" s="22" t="s">
        <v>577</v>
      </c>
      <c r="AJ3541" s="22" t="s">
        <v>1645</v>
      </c>
      <c r="AK3541" s="22" t="s">
        <v>132</v>
      </c>
      <c r="AT3541" s="22" t="s">
        <v>3310</v>
      </c>
      <c r="AU3541" s="22" t="s">
        <v>3310</v>
      </c>
      <c r="AV3541" s="22" t="s">
        <v>177</v>
      </c>
      <c r="AW3541" s="22" t="s">
        <v>3293</v>
      </c>
      <c r="AX3541" s="22">
        <v>3</v>
      </c>
      <c r="AZ3541" s="22" t="s">
        <v>2955</v>
      </c>
      <c r="BE3541" s="22" t="s">
        <v>3302</v>
      </c>
      <c r="BK3541" s="22">
        <v>2200</v>
      </c>
      <c r="BL3541" s="22">
        <v>2900</v>
      </c>
      <c r="BP3541" s="399"/>
      <c r="BQ3541" s="399"/>
      <c r="BU3541" s="399"/>
      <c r="BV3541" s="399"/>
      <c r="BZ3541" s="399"/>
      <c r="CA3541" s="399"/>
      <c r="CE3541" s="552"/>
      <c r="CF3541" s="552"/>
      <c r="CG3541" s="552"/>
      <c r="CH3541" s="552"/>
      <c r="JD3541" s="276"/>
    </row>
    <row r="3542" spans="1:264" s="22" customFormat="1" x14ac:dyDescent="0.25">
      <c r="A3542" s="22">
        <v>163</v>
      </c>
      <c r="B3542" s="45" t="s">
        <v>3313</v>
      </c>
      <c r="C3542" s="22" t="s">
        <v>3290</v>
      </c>
      <c r="D3542" s="22" t="s">
        <v>3291</v>
      </c>
      <c r="E3542" s="22">
        <v>2003</v>
      </c>
      <c r="F3542" s="22">
        <v>1998</v>
      </c>
      <c r="G3542" s="22" t="s">
        <v>371</v>
      </c>
      <c r="H3542" s="22" t="s">
        <v>3312</v>
      </c>
      <c r="I3542" s="22" t="s">
        <v>2827</v>
      </c>
      <c r="J3542" s="22">
        <f t="shared" ref="J3542:K3542" si="486">AVERAGE(J3512,J3513,J3514,J3515,J3516)</f>
        <v>-14.060000000000002</v>
      </c>
      <c r="K3542" s="22">
        <f t="shared" si="486"/>
        <v>34.97</v>
      </c>
      <c r="L3542" s="22">
        <v>1583</v>
      </c>
      <c r="P3542" s="22">
        <f t="shared" si="475"/>
        <v>1035</v>
      </c>
      <c r="R3542" s="45" t="s">
        <v>1728</v>
      </c>
      <c r="S3542" s="45" t="s">
        <v>1858</v>
      </c>
      <c r="T3542" s="45"/>
      <c r="U3542" s="45" t="s">
        <v>3292</v>
      </c>
      <c r="V3542" s="45"/>
      <c r="W3542" s="45"/>
      <c r="X3542" s="45"/>
      <c r="Y3542" s="45"/>
      <c r="AA3542" s="325"/>
      <c r="AB3542" s="325"/>
      <c r="AD3542" s="22">
        <v>5.9</v>
      </c>
      <c r="AE3542" s="22">
        <v>1.8</v>
      </c>
      <c r="AG3542" s="22" t="s">
        <v>3299</v>
      </c>
      <c r="AH3542" s="22" t="s">
        <v>3304</v>
      </c>
      <c r="AI3542" s="22" t="s">
        <v>577</v>
      </c>
      <c r="AJ3542" s="22" t="s">
        <v>1645</v>
      </c>
      <c r="AK3542" s="22" t="s">
        <v>132</v>
      </c>
      <c r="AT3542" s="22" t="s">
        <v>3311</v>
      </c>
      <c r="AU3542" s="22" t="s">
        <v>3311</v>
      </c>
      <c r="AV3542" s="22" t="s">
        <v>177</v>
      </c>
      <c r="AW3542" s="22" t="s">
        <v>3293</v>
      </c>
      <c r="AX3542" s="22">
        <v>3</v>
      </c>
      <c r="AZ3542" s="22" t="s">
        <v>2955</v>
      </c>
      <c r="BE3542" s="22" t="s">
        <v>3302</v>
      </c>
      <c r="BK3542" s="22">
        <v>2700</v>
      </c>
      <c r="BL3542" s="22">
        <v>3400</v>
      </c>
      <c r="BP3542" s="399"/>
      <c r="BQ3542" s="399"/>
      <c r="BU3542" s="399"/>
      <c r="BV3542" s="399"/>
      <c r="BZ3542" s="399"/>
      <c r="CA3542" s="399"/>
      <c r="CE3542" s="552"/>
      <c r="CF3542" s="552"/>
      <c r="CG3542" s="552"/>
      <c r="CH3542" s="552"/>
      <c r="JD3542" s="276"/>
    </row>
    <row r="3543" spans="1:264" s="24" customFormat="1" x14ac:dyDescent="0.25">
      <c r="A3543" s="24">
        <v>164</v>
      </c>
      <c r="B3543" s="42" t="s">
        <v>3322</v>
      </c>
      <c r="C3543" s="24" t="s">
        <v>3314</v>
      </c>
      <c r="D3543" s="24" t="s">
        <v>3315</v>
      </c>
      <c r="E3543" s="24">
        <v>2000</v>
      </c>
      <c r="F3543" s="24">
        <v>1995</v>
      </c>
      <c r="G3543" s="24" t="s">
        <v>3316</v>
      </c>
      <c r="H3543" s="24" t="s">
        <v>3325</v>
      </c>
      <c r="I3543" s="24" t="s">
        <v>3189</v>
      </c>
      <c r="J3543" s="24">
        <v>-5.04</v>
      </c>
      <c r="K3543" s="24">
        <v>32.82</v>
      </c>
      <c r="L3543" s="24">
        <v>1235</v>
      </c>
      <c r="O3543" s="24">
        <v>663</v>
      </c>
      <c r="P3543" s="24">
        <v>880</v>
      </c>
      <c r="R3543" s="42" t="s">
        <v>1977</v>
      </c>
      <c r="S3543" s="42" t="s">
        <v>1858</v>
      </c>
      <c r="T3543" s="42"/>
      <c r="U3543" s="42" t="s">
        <v>1962</v>
      </c>
      <c r="V3543" s="42" t="s">
        <v>1382</v>
      </c>
      <c r="W3543" s="42" t="s">
        <v>1717</v>
      </c>
      <c r="X3543" s="42" t="s">
        <v>1382</v>
      </c>
      <c r="Y3543" s="42" t="s">
        <v>1382</v>
      </c>
      <c r="AA3543" s="321"/>
      <c r="AB3543" s="321"/>
      <c r="AH3543" s="24" t="s">
        <v>2770</v>
      </c>
      <c r="AI3543" s="24" t="s">
        <v>577</v>
      </c>
      <c r="AJ3543" s="24" t="s">
        <v>3317</v>
      </c>
      <c r="AK3543" s="24" t="s">
        <v>1646</v>
      </c>
      <c r="AL3543" s="24" t="s">
        <v>3319</v>
      </c>
      <c r="AM3543" s="24" t="s">
        <v>3319</v>
      </c>
      <c r="AN3543" s="24" t="s">
        <v>177</v>
      </c>
      <c r="AW3543" s="24" t="s">
        <v>2780</v>
      </c>
      <c r="AX3543" s="24">
        <v>3</v>
      </c>
      <c r="AY3543" s="24">
        <v>3</v>
      </c>
      <c r="AZ3543" s="24" t="s">
        <v>141</v>
      </c>
      <c r="BP3543" s="395"/>
      <c r="BQ3543" s="395"/>
      <c r="BU3543" s="395"/>
      <c r="BV3543" s="395"/>
      <c r="BZ3543" s="395"/>
      <c r="CA3543" s="395"/>
      <c r="CE3543" s="548"/>
      <c r="CF3543" s="548"/>
      <c r="CG3543" s="548"/>
      <c r="CH3543" s="548"/>
      <c r="GA3543" s="24">
        <v>0.01</v>
      </c>
      <c r="GB3543" s="24">
        <v>0.33</v>
      </c>
      <c r="GE3543" s="24" t="s">
        <v>3318</v>
      </c>
      <c r="JD3543" s="249"/>
    </row>
    <row r="3544" spans="1:264" s="24" customFormat="1" x14ac:dyDescent="0.25">
      <c r="A3544" s="24">
        <v>164</v>
      </c>
      <c r="B3544" s="42" t="s">
        <v>3322</v>
      </c>
      <c r="C3544" s="24" t="s">
        <v>3314</v>
      </c>
      <c r="D3544" s="24" t="s">
        <v>3315</v>
      </c>
      <c r="E3544" s="24">
        <v>2000</v>
      </c>
      <c r="F3544" s="24">
        <v>1996</v>
      </c>
      <c r="G3544" s="24" t="s">
        <v>3316</v>
      </c>
      <c r="H3544" s="24" t="s">
        <v>3325</v>
      </c>
      <c r="I3544" s="24" t="s">
        <v>3189</v>
      </c>
      <c r="J3544" s="24">
        <v>-5.04</v>
      </c>
      <c r="K3544" s="24">
        <v>32.82</v>
      </c>
      <c r="L3544" s="24">
        <v>1235</v>
      </c>
      <c r="O3544" s="24">
        <v>663</v>
      </c>
      <c r="P3544" s="24">
        <v>880</v>
      </c>
      <c r="R3544" s="42" t="s">
        <v>1847</v>
      </c>
      <c r="S3544" s="42" t="s">
        <v>1858</v>
      </c>
      <c r="T3544" s="42"/>
      <c r="U3544" s="42" t="s">
        <v>1962</v>
      </c>
      <c r="V3544" s="42" t="s">
        <v>1382</v>
      </c>
      <c r="W3544" s="42" t="s">
        <v>1717</v>
      </c>
      <c r="X3544" s="42" t="s">
        <v>1382</v>
      </c>
      <c r="Y3544" s="42" t="s">
        <v>1382</v>
      </c>
      <c r="AA3544" s="321"/>
      <c r="AB3544" s="321"/>
      <c r="AH3544" s="24" t="s">
        <v>2770</v>
      </c>
      <c r="AI3544" s="24" t="s">
        <v>577</v>
      </c>
      <c r="AJ3544" s="24" t="s">
        <v>3317</v>
      </c>
      <c r="AK3544" s="24" t="s">
        <v>1646</v>
      </c>
      <c r="AL3544" s="24" t="s">
        <v>3319</v>
      </c>
      <c r="AM3544" s="24" t="s">
        <v>3319</v>
      </c>
      <c r="AN3544" s="24" t="s">
        <v>177</v>
      </c>
      <c r="AW3544" s="24" t="s">
        <v>2780</v>
      </c>
      <c r="AX3544" s="24">
        <v>3</v>
      </c>
      <c r="AY3544" s="24">
        <v>3</v>
      </c>
      <c r="AZ3544" s="24" t="s">
        <v>141</v>
      </c>
      <c r="BK3544" s="24">
        <v>972</v>
      </c>
      <c r="BL3544" s="24">
        <v>426</v>
      </c>
      <c r="BO3544" s="24" t="s">
        <v>3321</v>
      </c>
      <c r="BP3544" s="395"/>
      <c r="BQ3544" s="395"/>
      <c r="BU3544" s="395"/>
      <c r="BV3544" s="395"/>
      <c r="BZ3544" s="395"/>
      <c r="CA3544" s="395"/>
      <c r="CE3544" s="548"/>
      <c r="CF3544" s="548"/>
      <c r="CG3544" s="548"/>
      <c r="CH3544" s="548"/>
      <c r="GA3544" s="24">
        <v>3.67</v>
      </c>
      <c r="GB3544" s="24">
        <v>5</v>
      </c>
      <c r="GE3544" s="24" t="s">
        <v>3318</v>
      </c>
      <c r="JD3544" s="249"/>
    </row>
    <row r="3545" spans="1:264" s="24" customFormat="1" x14ac:dyDescent="0.25">
      <c r="A3545" s="24">
        <v>164</v>
      </c>
      <c r="B3545" s="42" t="s">
        <v>3322</v>
      </c>
      <c r="C3545" s="24" t="s">
        <v>3314</v>
      </c>
      <c r="D3545" s="24" t="s">
        <v>3315</v>
      </c>
      <c r="E3545" s="24">
        <v>2000</v>
      </c>
      <c r="F3545" s="24">
        <v>1997</v>
      </c>
      <c r="G3545" s="24" t="s">
        <v>3316</v>
      </c>
      <c r="H3545" s="24" t="s">
        <v>3325</v>
      </c>
      <c r="I3545" s="24" t="s">
        <v>3189</v>
      </c>
      <c r="J3545" s="24">
        <v>-5.04</v>
      </c>
      <c r="K3545" s="24">
        <v>32.82</v>
      </c>
      <c r="L3545" s="24">
        <v>1235</v>
      </c>
      <c r="O3545" s="24">
        <v>663</v>
      </c>
      <c r="P3545" s="24">
        <v>880</v>
      </c>
      <c r="R3545" s="42" t="s">
        <v>1728</v>
      </c>
      <c r="S3545" s="42" t="s">
        <v>1858</v>
      </c>
      <c r="T3545" s="42"/>
      <c r="U3545" s="42" t="s">
        <v>1962</v>
      </c>
      <c r="V3545" s="42" t="s">
        <v>1382</v>
      </c>
      <c r="W3545" s="42" t="s">
        <v>1717</v>
      </c>
      <c r="X3545" s="42" t="s">
        <v>1382</v>
      </c>
      <c r="Y3545" s="42" t="s">
        <v>1382</v>
      </c>
      <c r="AA3545" s="321"/>
      <c r="AB3545" s="321"/>
      <c r="AH3545" s="24" t="s">
        <v>2770</v>
      </c>
      <c r="AI3545" s="24" t="s">
        <v>577</v>
      </c>
      <c r="AJ3545" s="24" t="s">
        <v>3317</v>
      </c>
      <c r="AK3545" s="24" t="s">
        <v>1646</v>
      </c>
      <c r="AL3545" s="24" t="s">
        <v>3319</v>
      </c>
      <c r="AM3545" s="24" t="s">
        <v>3319</v>
      </c>
      <c r="AN3545" s="24" t="s">
        <v>177</v>
      </c>
      <c r="AW3545" s="24" t="s">
        <v>2780</v>
      </c>
      <c r="AX3545" s="24">
        <v>3</v>
      </c>
      <c r="AY3545" s="24">
        <v>3</v>
      </c>
      <c r="AZ3545" s="24" t="s">
        <v>141</v>
      </c>
      <c r="BK3545" s="24">
        <v>289</v>
      </c>
      <c r="BL3545" s="24">
        <v>228</v>
      </c>
      <c r="BO3545" s="24" t="s">
        <v>3321</v>
      </c>
      <c r="BP3545" s="395"/>
      <c r="BQ3545" s="395"/>
      <c r="BU3545" s="395"/>
      <c r="BV3545" s="395"/>
      <c r="BZ3545" s="395"/>
      <c r="CA3545" s="395"/>
      <c r="CE3545" s="548"/>
      <c r="CF3545" s="548"/>
      <c r="CG3545" s="548"/>
      <c r="CH3545" s="548"/>
      <c r="GA3545" s="24">
        <v>5.67</v>
      </c>
      <c r="GB3545" s="24">
        <v>6</v>
      </c>
      <c r="GE3545" s="24" t="s">
        <v>3318</v>
      </c>
      <c r="JD3545" s="249"/>
    </row>
    <row r="3546" spans="1:264" s="24" customFormat="1" x14ac:dyDescent="0.25">
      <c r="A3546" s="24">
        <v>164</v>
      </c>
      <c r="B3546" s="42" t="s">
        <v>3322</v>
      </c>
      <c r="C3546" s="24" t="s">
        <v>3314</v>
      </c>
      <c r="D3546" s="24" t="s">
        <v>3315</v>
      </c>
      <c r="E3546" s="24">
        <v>2000</v>
      </c>
      <c r="F3546" s="24">
        <v>1995</v>
      </c>
      <c r="G3546" s="24" t="s">
        <v>3316</v>
      </c>
      <c r="H3546" s="24" t="s">
        <v>3325</v>
      </c>
      <c r="I3546" s="24" t="s">
        <v>3189</v>
      </c>
      <c r="J3546" s="24">
        <v>-5.04</v>
      </c>
      <c r="K3546" s="24">
        <v>32.82</v>
      </c>
      <c r="L3546" s="24">
        <v>1235</v>
      </c>
      <c r="O3546" s="24">
        <v>663</v>
      </c>
      <c r="P3546" s="24">
        <v>880</v>
      </c>
      <c r="R3546" s="42" t="s">
        <v>1977</v>
      </c>
      <c r="S3546" s="42" t="s">
        <v>1858</v>
      </c>
      <c r="T3546" s="42"/>
      <c r="U3546" s="42" t="s">
        <v>1962</v>
      </c>
      <c r="V3546" s="42" t="s">
        <v>1382</v>
      </c>
      <c r="W3546" s="42" t="s">
        <v>1717</v>
      </c>
      <c r="X3546" s="42" t="s">
        <v>1382</v>
      </c>
      <c r="Y3546" s="42" t="s">
        <v>1382</v>
      </c>
      <c r="AA3546" s="321"/>
      <c r="AB3546" s="321"/>
      <c r="AH3546" s="24" t="s">
        <v>2770</v>
      </c>
      <c r="AI3546" s="24" t="s">
        <v>577</v>
      </c>
      <c r="AJ3546" s="24" t="s">
        <v>3317</v>
      </c>
      <c r="AK3546" s="24" t="s">
        <v>1646</v>
      </c>
      <c r="AL3546" s="24" t="s">
        <v>3319</v>
      </c>
      <c r="AM3546" s="24" t="s">
        <v>3319</v>
      </c>
      <c r="AN3546" s="24" t="s">
        <v>177</v>
      </c>
      <c r="AW3546" s="24" t="s">
        <v>2780</v>
      </c>
      <c r="AX3546" s="24">
        <v>3</v>
      </c>
      <c r="AY3546" s="24">
        <v>3</v>
      </c>
      <c r="AZ3546" s="24" t="s">
        <v>141</v>
      </c>
      <c r="BK3546" s="24">
        <v>314</v>
      </c>
      <c r="BL3546" s="24">
        <v>240</v>
      </c>
      <c r="BO3546" s="24" t="s">
        <v>3321</v>
      </c>
      <c r="BP3546" s="395"/>
      <c r="BQ3546" s="395"/>
      <c r="BU3546" s="395"/>
      <c r="BV3546" s="395"/>
      <c r="BZ3546" s="395"/>
      <c r="CA3546" s="395"/>
      <c r="CE3546" s="548"/>
      <c r="CF3546" s="548"/>
      <c r="CG3546" s="548"/>
      <c r="CH3546" s="548"/>
      <c r="GA3546" s="24">
        <v>0.67</v>
      </c>
      <c r="GB3546" s="24">
        <v>1.67</v>
      </c>
      <c r="GE3546" s="24" t="s">
        <v>3318</v>
      </c>
      <c r="JD3546" s="249"/>
    </row>
    <row r="3547" spans="1:264" s="24" customFormat="1" x14ac:dyDescent="0.25">
      <c r="A3547" s="24">
        <v>164</v>
      </c>
      <c r="B3547" s="42" t="s">
        <v>3322</v>
      </c>
      <c r="C3547" s="24" t="s">
        <v>3314</v>
      </c>
      <c r="D3547" s="24" t="s">
        <v>3315</v>
      </c>
      <c r="E3547" s="24">
        <v>2000</v>
      </c>
      <c r="F3547" s="24">
        <v>1996</v>
      </c>
      <c r="G3547" s="24" t="s">
        <v>3316</v>
      </c>
      <c r="H3547" s="24" t="s">
        <v>3325</v>
      </c>
      <c r="I3547" s="24" t="s">
        <v>3189</v>
      </c>
      <c r="J3547" s="24">
        <v>-5.04</v>
      </c>
      <c r="K3547" s="24">
        <v>32.82</v>
      </c>
      <c r="L3547" s="24">
        <v>1235</v>
      </c>
      <c r="O3547" s="24">
        <v>663</v>
      </c>
      <c r="P3547" s="24">
        <v>880</v>
      </c>
      <c r="R3547" s="42" t="s">
        <v>1847</v>
      </c>
      <c r="S3547" s="42" t="s">
        <v>1858</v>
      </c>
      <c r="T3547" s="42"/>
      <c r="U3547" s="42" t="s">
        <v>1962</v>
      </c>
      <c r="V3547" s="42" t="s">
        <v>1382</v>
      </c>
      <c r="W3547" s="42" t="s">
        <v>1717</v>
      </c>
      <c r="X3547" s="42" t="s">
        <v>1382</v>
      </c>
      <c r="Y3547" s="42" t="s">
        <v>1382</v>
      </c>
      <c r="AA3547" s="321"/>
      <c r="AB3547" s="321"/>
      <c r="AH3547" s="24" t="s">
        <v>2770</v>
      </c>
      <c r="AI3547" s="24" t="s">
        <v>577</v>
      </c>
      <c r="AJ3547" s="24" t="s">
        <v>3317</v>
      </c>
      <c r="AK3547" s="24" t="s">
        <v>1646</v>
      </c>
      <c r="AL3547" s="24" t="s">
        <v>3319</v>
      </c>
      <c r="AM3547" s="24" t="s">
        <v>3319</v>
      </c>
      <c r="AN3547" s="24" t="s">
        <v>177</v>
      </c>
      <c r="AW3547" s="24" t="s">
        <v>2780</v>
      </c>
      <c r="AX3547" s="24">
        <v>3</v>
      </c>
      <c r="AY3547" s="24">
        <v>3</v>
      </c>
      <c r="AZ3547" s="24" t="s">
        <v>141</v>
      </c>
      <c r="BP3547" s="395"/>
      <c r="BQ3547" s="395"/>
      <c r="BU3547" s="395"/>
      <c r="BV3547" s="395"/>
      <c r="BZ3547" s="395"/>
      <c r="CA3547" s="395"/>
      <c r="CE3547" s="548"/>
      <c r="CF3547" s="548"/>
      <c r="CG3547" s="548"/>
      <c r="CH3547" s="548"/>
      <c r="GA3547" s="24">
        <v>5.67</v>
      </c>
      <c r="GB3547" s="24">
        <v>7.33</v>
      </c>
      <c r="GE3547" s="24" t="s">
        <v>3318</v>
      </c>
      <c r="JD3547" s="249"/>
    </row>
    <row r="3548" spans="1:264" s="24" customFormat="1" x14ac:dyDescent="0.25">
      <c r="A3548" s="24">
        <v>164</v>
      </c>
      <c r="B3548" s="42" t="s">
        <v>3322</v>
      </c>
      <c r="C3548" s="24" t="s">
        <v>3314</v>
      </c>
      <c r="D3548" s="24" t="s">
        <v>3315</v>
      </c>
      <c r="E3548" s="24">
        <v>2000</v>
      </c>
      <c r="F3548" s="24">
        <v>1997</v>
      </c>
      <c r="G3548" s="24" t="s">
        <v>3316</v>
      </c>
      <c r="H3548" s="24" t="s">
        <v>3325</v>
      </c>
      <c r="I3548" s="24" t="s">
        <v>3189</v>
      </c>
      <c r="J3548" s="24">
        <v>-5.04</v>
      </c>
      <c r="K3548" s="24">
        <v>32.82</v>
      </c>
      <c r="L3548" s="24">
        <v>1235</v>
      </c>
      <c r="O3548" s="24">
        <v>663</v>
      </c>
      <c r="P3548" s="24">
        <v>880</v>
      </c>
      <c r="R3548" s="42" t="s">
        <v>1728</v>
      </c>
      <c r="S3548" s="42" t="s">
        <v>1858</v>
      </c>
      <c r="T3548" s="42"/>
      <c r="U3548" s="42" t="s">
        <v>1962</v>
      </c>
      <c r="V3548" s="42" t="s">
        <v>1382</v>
      </c>
      <c r="W3548" s="42" t="s">
        <v>1717</v>
      </c>
      <c r="X3548" s="42" t="s">
        <v>1382</v>
      </c>
      <c r="Y3548" s="42" t="s">
        <v>1382</v>
      </c>
      <c r="AA3548" s="321"/>
      <c r="AB3548" s="321"/>
      <c r="AH3548" s="24" t="s">
        <v>2770</v>
      </c>
      <c r="AI3548" s="24" t="s">
        <v>577</v>
      </c>
      <c r="AJ3548" s="24" t="s">
        <v>3317</v>
      </c>
      <c r="AK3548" s="24" t="s">
        <v>1646</v>
      </c>
      <c r="AL3548" s="24" t="s">
        <v>3319</v>
      </c>
      <c r="AM3548" s="24" t="s">
        <v>3319</v>
      </c>
      <c r="AN3548" s="24" t="s">
        <v>177</v>
      </c>
      <c r="AW3548" s="24" t="s">
        <v>2780</v>
      </c>
      <c r="AX3548" s="24">
        <v>3</v>
      </c>
      <c r="AY3548" s="24">
        <v>3</v>
      </c>
      <c r="AZ3548" s="24" t="s">
        <v>141</v>
      </c>
      <c r="BP3548" s="395"/>
      <c r="BQ3548" s="395"/>
      <c r="BU3548" s="395"/>
      <c r="BV3548" s="395"/>
      <c r="BZ3548" s="395"/>
      <c r="CA3548" s="395"/>
      <c r="CE3548" s="548"/>
      <c r="CF3548" s="548"/>
      <c r="CG3548" s="548"/>
      <c r="CH3548" s="548"/>
      <c r="GA3548" s="24">
        <v>6</v>
      </c>
      <c r="GB3548" s="24">
        <v>6.67</v>
      </c>
      <c r="GE3548" s="24" t="s">
        <v>3318</v>
      </c>
      <c r="JD3548" s="249"/>
    </row>
    <row r="3549" spans="1:264" s="24" customFormat="1" x14ac:dyDescent="0.25">
      <c r="A3549" s="24">
        <v>164</v>
      </c>
      <c r="B3549" s="42" t="s">
        <v>3322</v>
      </c>
      <c r="C3549" s="24" t="s">
        <v>3314</v>
      </c>
      <c r="D3549" s="24" t="s">
        <v>3315</v>
      </c>
      <c r="E3549" s="24">
        <v>2000</v>
      </c>
      <c r="F3549" s="24">
        <v>1995</v>
      </c>
      <c r="G3549" s="24" t="s">
        <v>3316</v>
      </c>
      <c r="H3549" s="24" t="s">
        <v>3325</v>
      </c>
      <c r="I3549" s="24" t="s">
        <v>3189</v>
      </c>
      <c r="J3549" s="24">
        <v>-5.04</v>
      </c>
      <c r="K3549" s="24">
        <v>32.82</v>
      </c>
      <c r="L3549" s="24">
        <v>1235</v>
      </c>
      <c r="O3549" s="24">
        <v>663</v>
      </c>
      <c r="P3549" s="24">
        <v>880</v>
      </c>
      <c r="R3549" s="42" t="s">
        <v>1977</v>
      </c>
      <c r="S3549" s="42" t="s">
        <v>1858</v>
      </c>
      <c r="T3549" s="42"/>
      <c r="U3549" s="42" t="s">
        <v>1962</v>
      </c>
      <c r="V3549" s="42" t="s">
        <v>1382</v>
      </c>
      <c r="W3549" s="42" t="s">
        <v>1717</v>
      </c>
      <c r="X3549" s="42" t="s">
        <v>1382</v>
      </c>
      <c r="Y3549" s="42" t="s">
        <v>1382</v>
      </c>
      <c r="AA3549" s="321"/>
      <c r="AB3549" s="321"/>
      <c r="AH3549" s="24" t="s">
        <v>2770</v>
      </c>
      <c r="AI3549" s="24" t="s">
        <v>577</v>
      </c>
      <c r="AJ3549" s="24" t="s">
        <v>3317</v>
      </c>
      <c r="AK3549" s="24" t="s">
        <v>1646</v>
      </c>
      <c r="AL3549" s="24" t="s">
        <v>3319</v>
      </c>
      <c r="AM3549" s="24" t="s">
        <v>3319</v>
      </c>
      <c r="AN3549" s="24" t="s">
        <v>177</v>
      </c>
      <c r="AW3549" s="24" t="s">
        <v>2780</v>
      </c>
      <c r="AX3549" s="24">
        <v>3</v>
      </c>
      <c r="AY3549" s="24">
        <v>3</v>
      </c>
      <c r="AZ3549" s="24" t="s">
        <v>141</v>
      </c>
      <c r="BP3549" s="395"/>
      <c r="BQ3549" s="395"/>
      <c r="BU3549" s="395"/>
      <c r="BV3549" s="395"/>
      <c r="BZ3549" s="395"/>
      <c r="CA3549" s="395"/>
      <c r="CE3549" s="548"/>
      <c r="CF3549" s="548"/>
      <c r="CG3549" s="548"/>
      <c r="CH3549" s="548"/>
      <c r="GA3549" s="24">
        <v>1.33</v>
      </c>
      <c r="GB3549" s="24">
        <v>3.33</v>
      </c>
      <c r="GE3549" s="24" t="s">
        <v>3318</v>
      </c>
      <c r="JD3549" s="249"/>
    </row>
    <row r="3550" spans="1:264" s="24" customFormat="1" x14ac:dyDescent="0.25">
      <c r="A3550" s="24">
        <v>164</v>
      </c>
      <c r="B3550" s="42" t="s">
        <v>3322</v>
      </c>
      <c r="C3550" s="24" t="s">
        <v>3314</v>
      </c>
      <c r="D3550" s="24" t="s">
        <v>3315</v>
      </c>
      <c r="E3550" s="24">
        <v>2000</v>
      </c>
      <c r="F3550" s="24">
        <v>1996</v>
      </c>
      <c r="G3550" s="24" t="s">
        <v>3316</v>
      </c>
      <c r="H3550" s="24" t="s">
        <v>3325</v>
      </c>
      <c r="I3550" s="24" t="s">
        <v>3189</v>
      </c>
      <c r="J3550" s="24">
        <v>-5.04</v>
      </c>
      <c r="K3550" s="24">
        <v>32.82</v>
      </c>
      <c r="L3550" s="24">
        <v>1235</v>
      </c>
      <c r="O3550" s="24">
        <v>663</v>
      </c>
      <c r="P3550" s="24">
        <v>880</v>
      </c>
      <c r="R3550" s="42" t="s">
        <v>1847</v>
      </c>
      <c r="S3550" s="42" t="s">
        <v>1858</v>
      </c>
      <c r="T3550" s="42"/>
      <c r="U3550" s="42" t="s">
        <v>1962</v>
      </c>
      <c r="V3550" s="42" t="s">
        <v>1382</v>
      </c>
      <c r="W3550" s="42" t="s">
        <v>1717</v>
      </c>
      <c r="X3550" s="42" t="s">
        <v>1382</v>
      </c>
      <c r="Y3550" s="42" t="s">
        <v>1382</v>
      </c>
      <c r="AA3550" s="321"/>
      <c r="AB3550" s="321"/>
      <c r="AH3550" s="24" t="s">
        <v>2770</v>
      </c>
      <c r="AI3550" s="24" t="s">
        <v>577</v>
      </c>
      <c r="AJ3550" s="24" t="s">
        <v>3317</v>
      </c>
      <c r="AK3550" s="24" t="s">
        <v>1646</v>
      </c>
      <c r="AL3550" s="24" t="s">
        <v>3319</v>
      </c>
      <c r="AM3550" s="24" t="s">
        <v>3319</v>
      </c>
      <c r="AN3550" s="24" t="s">
        <v>177</v>
      </c>
      <c r="AW3550" s="24" t="s">
        <v>2780</v>
      </c>
      <c r="AX3550" s="24">
        <v>3</v>
      </c>
      <c r="AY3550" s="24">
        <v>3</v>
      </c>
      <c r="AZ3550" s="24" t="s">
        <v>141</v>
      </c>
      <c r="BP3550" s="395"/>
      <c r="BQ3550" s="395"/>
      <c r="BU3550" s="395"/>
      <c r="BV3550" s="395"/>
      <c r="BZ3550" s="395"/>
      <c r="CA3550" s="395"/>
      <c r="CE3550" s="548"/>
      <c r="CF3550" s="548"/>
      <c r="CG3550" s="548"/>
      <c r="CH3550" s="548"/>
      <c r="GA3550" s="24">
        <v>7</v>
      </c>
      <c r="GB3550" s="24">
        <v>7.33</v>
      </c>
      <c r="GE3550" s="24" t="s">
        <v>3318</v>
      </c>
      <c r="JD3550" s="249"/>
    </row>
    <row r="3551" spans="1:264" s="24" customFormat="1" x14ac:dyDescent="0.25">
      <c r="A3551" s="24">
        <v>164</v>
      </c>
      <c r="B3551" s="42" t="s">
        <v>3322</v>
      </c>
      <c r="C3551" s="24" t="s">
        <v>3314</v>
      </c>
      <c r="D3551" s="24" t="s">
        <v>3315</v>
      </c>
      <c r="E3551" s="24">
        <v>2000</v>
      </c>
      <c r="F3551" s="24">
        <v>1997</v>
      </c>
      <c r="G3551" s="24" t="s">
        <v>3316</v>
      </c>
      <c r="H3551" s="24" t="s">
        <v>3325</v>
      </c>
      <c r="I3551" s="24" t="s">
        <v>3189</v>
      </c>
      <c r="J3551" s="24">
        <v>-5.04</v>
      </c>
      <c r="K3551" s="24">
        <v>32.82</v>
      </c>
      <c r="L3551" s="24">
        <v>1235</v>
      </c>
      <c r="O3551" s="24">
        <v>663</v>
      </c>
      <c r="P3551" s="24">
        <v>880</v>
      </c>
      <c r="R3551" s="42" t="s">
        <v>1728</v>
      </c>
      <c r="S3551" s="42" t="s">
        <v>1858</v>
      </c>
      <c r="T3551" s="42"/>
      <c r="U3551" s="42" t="s">
        <v>1962</v>
      </c>
      <c r="V3551" s="42" t="s">
        <v>1382</v>
      </c>
      <c r="W3551" s="42" t="s">
        <v>1717</v>
      </c>
      <c r="X3551" s="42" t="s">
        <v>1382</v>
      </c>
      <c r="Y3551" s="42" t="s">
        <v>1382</v>
      </c>
      <c r="AA3551" s="321"/>
      <c r="AB3551" s="321"/>
      <c r="AH3551" s="24" t="s">
        <v>2770</v>
      </c>
      <c r="AI3551" s="24" t="s">
        <v>577</v>
      </c>
      <c r="AJ3551" s="24" t="s">
        <v>3317</v>
      </c>
      <c r="AK3551" s="24" t="s">
        <v>1646</v>
      </c>
      <c r="AL3551" s="24" t="s">
        <v>3319</v>
      </c>
      <c r="AM3551" s="24" t="s">
        <v>3319</v>
      </c>
      <c r="AN3551" s="24" t="s">
        <v>177</v>
      </c>
      <c r="AW3551" s="24" t="s">
        <v>2780</v>
      </c>
      <c r="AX3551" s="24">
        <v>3</v>
      </c>
      <c r="AY3551" s="24">
        <v>3</v>
      </c>
      <c r="AZ3551" s="24" t="s">
        <v>141</v>
      </c>
      <c r="BP3551" s="395"/>
      <c r="BQ3551" s="395"/>
      <c r="BU3551" s="395"/>
      <c r="BV3551" s="395"/>
      <c r="BZ3551" s="395"/>
      <c r="CA3551" s="395"/>
      <c r="CE3551" s="548"/>
      <c r="CF3551" s="548"/>
      <c r="CG3551" s="548"/>
      <c r="CH3551" s="548"/>
      <c r="GA3551" s="24">
        <v>7.67</v>
      </c>
      <c r="GB3551" s="24">
        <v>7.33</v>
      </c>
      <c r="GE3551" s="24" t="s">
        <v>3318</v>
      </c>
      <c r="JD3551" s="249"/>
    </row>
    <row r="3552" spans="1:264" s="32" customFormat="1" x14ac:dyDescent="0.25">
      <c r="A3552" s="32">
        <v>164</v>
      </c>
      <c r="B3552" s="44" t="s">
        <v>3322</v>
      </c>
      <c r="C3552" s="32" t="s">
        <v>3314</v>
      </c>
      <c r="D3552" s="32" t="s">
        <v>3315</v>
      </c>
      <c r="E3552" s="32">
        <v>2000</v>
      </c>
      <c r="F3552" s="32">
        <v>1995</v>
      </c>
      <c r="G3552" s="32" t="s">
        <v>3316</v>
      </c>
      <c r="H3552" s="32" t="s">
        <v>3325</v>
      </c>
      <c r="I3552" s="32" t="s">
        <v>3189</v>
      </c>
      <c r="J3552" s="32">
        <v>-5.04</v>
      </c>
      <c r="K3552" s="32">
        <v>32.82</v>
      </c>
      <c r="L3552" s="32">
        <v>1235</v>
      </c>
      <c r="O3552" s="32">
        <v>663</v>
      </c>
      <c r="P3552" s="32">
        <v>880</v>
      </c>
      <c r="R3552" s="44" t="s">
        <v>1977</v>
      </c>
      <c r="S3552" s="44" t="s">
        <v>1858</v>
      </c>
      <c r="T3552" s="44"/>
      <c r="U3552" s="44" t="s">
        <v>1962</v>
      </c>
      <c r="V3552" s="44" t="s">
        <v>1382</v>
      </c>
      <c r="W3552" s="44" t="s">
        <v>1717</v>
      </c>
      <c r="X3552" s="44" t="s">
        <v>1382</v>
      </c>
      <c r="Y3552" s="44" t="s">
        <v>1382</v>
      </c>
      <c r="AA3552" s="323"/>
      <c r="AB3552" s="323"/>
      <c r="AH3552" s="32" t="s">
        <v>2770</v>
      </c>
      <c r="AI3552" s="32" t="s">
        <v>577</v>
      </c>
      <c r="AJ3552" s="32" t="s">
        <v>1645</v>
      </c>
      <c r="AK3552" s="32" t="s">
        <v>132</v>
      </c>
      <c r="AL3552" s="32" t="s">
        <v>3320</v>
      </c>
      <c r="AM3552" s="32" t="s">
        <v>3320</v>
      </c>
      <c r="AN3552" s="32" t="s">
        <v>177</v>
      </c>
      <c r="AW3552" s="32" t="s">
        <v>2780</v>
      </c>
      <c r="AX3552" s="32">
        <v>3</v>
      </c>
      <c r="AY3552" s="32">
        <v>3</v>
      </c>
      <c r="AZ3552" s="32" t="s">
        <v>141</v>
      </c>
      <c r="BP3552" s="397"/>
      <c r="BQ3552" s="397"/>
      <c r="BU3552" s="397"/>
      <c r="BV3552" s="397"/>
      <c r="BZ3552" s="397"/>
      <c r="CA3552" s="397"/>
      <c r="CE3552" s="550"/>
      <c r="CF3552" s="550"/>
      <c r="CG3552" s="550"/>
      <c r="CH3552" s="550"/>
      <c r="GA3552" s="32">
        <v>0.01</v>
      </c>
      <c r="GB3552" s="32">
        <v>0.33</v>
      </c>
      <c r="GE3552" s="32" t="s">
        <v>3318</v>
      </c>
      <c r="JD3552" s="243"/>
    </row>
    <row r="3553" spans="1:264" s="32" customFormat="1" x14ac:dyDescent="0.25">
      <c r="A3553" s="32">
        <v>164</v>
      </c>
      <c r="B3553" s="44" t="s">
        <v>3322</v>
      </c>
      <c r="C3553" s="32" t="s">
        <v>3314</v>
      </c>
      <c r="D3553" s="32" t="s">
        <v>3315</v>
      </c>
      <c r="E3553" s="32">
        <v>2000</v>
      </c>
      <c r="F3553" s="32">
        <v>1996</v>
      </c>
      <c r="G3553" s="32" t="s">
        <v>3316</v>
      </c>
      <c r="H3553" s="32" t="s">
        <v>3325</v>
      </c>
      <c r="I3553" s="32" t="s">
        <v>3189</v>
      </c>
      <c r="J3553" s="32">
        <v>-5.04</v>
      </c>
      <c r="K3553" s="32">
        <v>32.82</v>
      </c>
      <c r="L3553" s="32">
        <v>1235</v>
      </c>
      <c r="O3553" s="32">
        <v>663</v>
      </c>
      <c r="P3553" s="32">
        <v>880</v>
      </c>
      <c r="R3553" s="44" t="s">
        <v>1847</v>
      </c>
      <c r="S3553" s="44" t="s">
        <v>1858</v>
      </c>
      <c r="T3553" s="44"/>
      <c r="U3553" s="44" t="s">
        <v>1962</v>
      </c>
      <c r="V3553" s="44" t="s">
        <v>1382</v>
      </c>
      <c r="W3553" s="44" t="s">
        <v>1717</v>
      </c>
      <c r="X3553" s="44" t="s">
        <v>1382</v>
      </c>
      <c r="Y3553" s="44" t="s">
        <v>1382</v>
      </c>
      <c r="AA3553" s="323"/>
      <c r="AB3553" s="323"/>
      <c r="AH3553" s="32" t="s">
        <v>2770</v>
      </c>
      <c r="AI3553" s="32" t="s">
        <v>577</v>
      </c>
      <c r="AJ3553" s="32" t="s">
        <v>1645</v>
      </c>
      <c r="AK3553" s="32" t="s">
        <v>132</v>
      </c>
      <c r="AL3553" s="32" t="s">
        <v>3320</v>
      </c>
      <c r="AM3553" s="32" t="s">
        <v>3320</v>
      </c>
      <c r="AN3553" s="32" t="s">
        <v>177</v>
      </c>
      <c r="AW3553" s="32" t="s">
        <v>2780</v>
      </c>
      <c r="AX3553" s="32">
        <v>3</v>
      </c>
      <c r="AY3553" s="32">
        <v>3</v>
      </c>
      <c r="AZ3553" s="32" t="s">
        <v>141</v>
      </c>
      <c r="BF3553" s="32">
        <v>4071</v>
      </c>
      <c r="BG3553" s="32">
        <v>2806</v>
      </c>
      <c r="BJ3553" s="32" t="s">
        <v>2941</v>
      </c>
      <c r="BK3553" s="32">
        <v>1239</v>
      </c>
      <c r="BL3553" s="32">
        <v>965</v>
      </c>
      <c r="BP3553" s="397"/>
      <c r="BQ3553" s="397"/>
      <c r="BU3553" s="397"/>
      <c r="BV3553" s="397"/>
      <c r="BZ3553" s="397"/>
      <c r="CA3553" s="397"/>
      <c r="CE3553" s="550"/>
      <c r="CF3553" s="550"/>
      <c r="CG3553" s="550"/>
      <c r="CH3553" s="550"/>
      <c r="GA3553" s="32">
        <v>1.67</v>
      </c>
      <c r="GB3553" s="32">
        <v>1.67</v>
      </c>
      <c r="GE3553" s="32" t="s">
        <v>3318</v>
      </c>
      <c r="JD3553" s="243"/>
    </row>
    <row r="3554" spans="1:264" s="32" customFormat="1" x14ac:dyDescent="0.25">
      <c r="A3554" s="32">
        <v>164</v>
      </c>
      <c r="B3554" s="44" t="s">
        <v>3322</v>
      </c>
      <c r="C3554" s="32" t="s">
        <v>3314</v>
      </c>
      <c r="D3554" s="32" t="s">
        <v>3315</v>
      </c>
      <c r="E3554" s="32">
        <v>2000</v>
      </c>
      <c r="F3554" s="32">
        <v>1997</v>
      </c>
      <c r="G3554" s="32" t="s">
        <v>3316</v>
      </c>
      <c r="H3554" s="32" t="s">
        <v>3325</v>
      </c>
      <c r="I3554" s="32" t="s">
        <v>3189</v>
      </c>
      <c r="J3554" s="32">
        <v>-5.04</v>
      </c>
      <c r="K3554" s="32">
        <v>32.82</v>
      </c>
      <c r="L3554" s="32">
        <v>1235</v>
      </c>
      <c r="O3554" s="32">
        <v>663</v>
      </c>
      <c r="P3554" s="32">
        <v>880</v>
      </c>
      <c r="R3554" s="44" t="s">
        <v>1728</v>
      </c>
      <c r="S3554" s="44" t="s">
        <v>1858</v>
      </c>
      <c r="T3554" s="44"/>
      <c r="U3554" s="44" t="s">
        <v>1962</v>
      </c>
      <c r="V3554" s="44" t="s">
        <v>1382</v>
      </c>
      <c r="W3554" s="44" t="s">
        <v>1717</v>
      </c>
      <c r="X3554" s="44" t="s">
        <v>1382</v>
      </c>
      <c r="Y3554" s="44" t="s">
        <v>1382</v>
      </c>
      <c r="AA3554" s="323"/>
      <c r="AB3554" s="323"/>
      <c r="AH3554" s="32" t="s">
        <v>2770</v>
      </c>
      <c r="AI3554" s="32" t="s">
        <v>577</v>
      </c>
      <c r="AJ3554" s="32" t="s">
        <v>1645</v>
      </c>
      <c r="AK3554" s="32" t="s">
        <v>132</v>
      </c>
      <c r="AL3554" s="32" t="s">
        <v>3320</v>
      </c>
      <c r="AM3554" s="32" t="s">
        <v>3320</v>
      </c>
      <c r="AN3554" s="32" t="s">
        <v>177</v>
      </c>
      <c r="AW3554" s="32" t="s">
        <v>2780</v>
      </c>
      <c r="AX3554" s="32">
        <v>3</v>
      </c>
      <c r="AY3554" s="32">
        <v>3</v>
      </c>
      <c r="AZ3554" s="32" t="s">
        <v>141</v>
      </c>
      <c r="BP3554" s="397"/>
      <c r="BQ3554" s="397"/>
      <c r="BU3554" s="397"/>
      <c r="BV3554" s="397"/>
      <c r="BZ3554" s="397"/>
      <c r="CA3554" s="397"/>
      <c r="CE3554" s="550"/>
      <c r="CF3554" s="550"/>
      <c r="CG3554" s="550"/>
      <c r="CH3554" s="550"/>
      <c r="GA3554" s="32">
        <v>4</v>
      </c>
      <c r="GB3554" s="32">
        <v>3.67</v>
      </c>
      <c r="GE3554" s="32" t="s">
        <v>3318</v>
      </c>
      <c r="JD3554" s="243"/>
    </row>
    <row r="3555" spans="1:264" s="32" customFormat="1" x14ac:dyDescent="0.25">
      <c r="A3555" s="32">
        <v>164</v>
      </c>
      <c r="B3555" s="44" t="s">
        <v>3322</v>
      </c>
      <c r="C3555" s="32" t="s">
        <v>3314</v>
      </c>
      <c r="D3555" s="32" t="s">
        <v>3315</v>
      </c>
      <c r="E3555" s="32">
        <v>2000</v>
      </c>
      <c r="F3555" s="32">
        <v>1995</v>
      </c>
      <c r="G3555" s="32" t="s">
        <v>3316</v>
      </c>
      <c r="H3555" s="32" t="s">
        <v>3325</v>
      </c>
      <c r="I3555" s="32" t="s">
        <v>3189</v>
      </c>
      <c r="J3555" s="32">
        <v>-5.04</v>
      </c>
      <c r="K3555" s="32">
        <v>32.82</v>
      </c>
      <c r="L3555" s="32">
        <v>1235</v>
      </c>
      <c r="O3555" s="32">
        <v>663</v>
      </c>
      <c r="P3555" s="32">
        <v>880</v>
      </c>
      <c r="R3555" s="44" t="s">
        <v>1977</v>
      </c>
      <c r="S3555" s="44" t="s">
        <v>1858</v>
      </c>
      <c r="T3555" s="44"/>
      <c r="U3555" s="44" t="s">
        <v>1962</v>
      </c>
      <c r="V3555" s="44" t="s">
        <v>1382</v>
      </c>
      <c r="W3555" s="44" t="s">
        <v>1717</v>
      </c>
      <c r="X3555" s="44" t="s">
        <v>1382</v>
      </c>
      <c r="Y3555" s="44" t="s">
        <v>1382</v>
      </c>
      <c r="AA3555" s="323"/>
      <c r="AB3555" s="323"/>
      <c r="AH3555" s="32" t="s">
        <v>2770</v>
      </c>
      <c r="AI3555" s="32" t="s">
        <v>577</v>
      </c>
      <c r="AJ3555" s="32" t="s">
        <v>1645</v>
      </c>
      <c r="AK3555" s="32" t="s">
        <v>132</v>
      </c>
      <c r="AL3555" s="32" t="s">
        <v>3320</v>
      </c>
      <c r="AM3555" s="32" t="s">
        <v>3320</v>
      </c>
      <c r="AN3555" s="32" t="s">
        <v>177</v>
      </c>
      <c r="AW3555" s="32" t="s">
        <v>2780</v>
      </c>
      <c r="AX3555" s="32">
        <v>3</v>
      </c>
      <c r="AY3555" s="32">
        <v>3</v>
      </c>
      <c r="AZ3555" s="32" t="s">
        <v>141</v>
      </c>
      <c r="BP3555" s="397"/>
      <c r="BQ3555" s="397"/>
      <c r="BU3555" s="397"/>
      <c r="BV3555" s="397"/>
      <c r="BZ3555" s="397"/>
      <c r="CA3555" s="397"/>
      <c r="CE3555" s="550"/>
      <c r="CF3555" s="550"/>
      <c r="CG3555" s="550"/>
      <c r="CH3555" s="550"/>
      <c r="GA3555" s="32">
        <v>1.67</v>
      </c>
      <c r="GB3555" s="32">
        <v>2.33</v>
      </c>
      <c r="GE3555" s="32" t="s">
        <v>3318</v>
      </c>
      <c r="JD3555" s="243"/>
    </row>
    <row r="3556" spans="1:264" s="32" customFormat="1" x14ac:dyDescent="0.25">
      <c r="A3556" s="32">
        <v>164</v>
      </c>
      <c r="B3556" s="44" t="s">
        <v>3322</v>
      </c>
      <c r="C3556" s="32" t="s">
        <v>3314</v>
      </c>
      <c r="D3556" s="32" t="s">
        <v>3315</v>
      </c>
      <c r="E3556" s="32">
        <v>2000</v>
      </c>
      <c r="F3556" s="32">
        <v>1996</v>
      </c>
      <c r="G3556" s="32" t="s">
        <v>3316</v>
      </c>
      <c r="H3556" s="32" t="s">
        <v>3325</v>
      </c>
      <c r="I3556" s="32" t="s">
        <v>3189</v>
      </c>
      <c r="J3556" s="32">
        <v>-5.04</v>
      </c>
      <c r="K3556" s="32">
        <v>32.82</v>
      </c>
      <c r="L3556" s="32">
        <v>1235</v>
      </c>
      <c r="O3556" s="32">
        <v>663</v>
      </c>
      <c r="P3556" s="32">
        <v>880</v>
      </c>
      <c r="R3556" s="44" t="s">
        <v>1847</v>
      </c>
      <c r="S3556" s="44" t="s">
        <v>1858</v>
      </c>
      <c r="T3556" s="44"/>
      <c r="U3556" s="44" t="s">
        <v>1962</v>
      </c>
      <c r="V3556" s="44" t="s">
        <v>1382</v>
      </c>
      <c r="W3556" s="44" t="s">
        <v>1717</v>
      </c>
      <c r="X3556" s="44" t="s">
        <v>1382</v>
      </c>
      <c r="Y3556" s="44" t="s">
        <v>1382</v>
      </c>
      <c r="AA3556" s="323"/>
      <c r="AB3556" s="323"/>
      <c r="AH3556" s="32" t="s">
        <v>2770</v>
      </c>
      <c r="AI3556" s="32" t="s">
        <v>577</v>
      </c>
      <c r="AJ3556" s="32" t="s">
        <v>1645</v>
      </c>
      <c r="AK3556" s="32" t="s">
        <v>132</v>
      </c>
      <c r="AL3556" s="32" t="s">
        <v>3320</v>
      </c>
      <c r="AM3556" s="32" t="s">
        <v>3320</v>
      </c>
      <c r="AN3556" s="32" t="s">
        <v>177</v>
      </c>
      <c r="AW3556" s="32" t="s">
        <v>2780</v>
      </c>
      <c r="AX3556" s="32">
        <v>3</v>
      </c>
      <c r="AY3556" s="32">
        <v>3</v>
      </c>
      <c r="AZ3556" s="32" t="s">
        <v>141</v>
      </c>
      <c r="BP3556" s="397"/>
      <c r="BQ3556" s="397"/>
      <c r="BU3556" s="397"/>
      <c r="BV3556" s="397"/>
      <c r="BZ3556" s="397"/>
      <c r="CA3556" s="397"/>
      <c r="CE3556" s="550"/>
      <c r="CF3556" s="550"/>
      <c r="CG3556" s="550"/>
      <c r="CH3556" s="550"/>
      <c r="GA3556" s="32">
        <v>1.67</v>
      </c>
      <c r="GB3556" s="32">
        <v>3.33</v>
      </c>
      <c r="GE3556" s="32" t="s">
        <v>3318</v>
      </c>
      <c r="JD3556" s="243"/>
    </row>
    <row r="3557" spans="1:264" s="32" customFormat="1" x14ac:dyDescent="0.25">
      <c r="A3557" s="32">
        <v>164</v>
      </c>
      <c r="B3557" s="44" t="s">
        <v>3322</v>
      </c>
      <c r="C3557" s="32" t="s">
        <v>3314</v>
      </c>
      <c r="D3557" s="32" t="s">
        <v>3315</v>
      </c>
      <c r="E3557" s="32">
        <v>2000</v>
      </c>
      <c r="F3557" s="32">
        <v>1997</v>
      </c>
      <c r="G3557" s="32" t="s">
        <v>3316</v>
      </c>
      <c r="H3557" s="32" t="s">
        <v>3325</v>
      </c>
      <c r="I3557" s="32" t="s">
        <v>3189</v>
      </c>
      <c r="J3557" s="32">
        <v>-5.04</v>
      </c>
      <c r="K3557" s="32">
        <v>32.82</v>
      </c>
      <c r="L3557" s="32">
        <v>1235</v>
      </c>
      <c r="O3557" s="32">
        <v>663</v>
      </c>
      <c r="P3557" s="32">
        <v>880</v>
      </c>
      <c r="R3557" s="44" t="s">
        <v>1728</v>
      </c>
      <c r="S3557" s="44" t="s">
        <v>1858</v>
      </c>
      <c r="T3557" s="44"/>
      <c r="U3557" s="44" t="s">
        <v>1962</v>
      </c>
      <c r="V3557" s="44" t="s">
        <v>1382</v>
      </c>
      <c r="W3557" s="44" t="s">
        <v>1717</v>
      </c>
      <c r="X3557" s="44" t="s">
        <v>1382</v>
      </c>
      <c r="Y3557" s="44" t="s">
        <v>1382</v>
      </c>
      <c r="AA3557" s="323"/>
      <c r="AB3557" s="323"/>
      <c r="AH3557" s="32" t="s">
        <v>2770</v>
      </c>
      <c r="AI3557" s="32" t="s">
        <v>577</v>
      </c>
      <c r="AJ3557" s="32" t="s">
        <v>1645</v>
      </c>
      <c r="AK3557" s="32" t="s">
        <v>132</v>
      </c>
      <c r="AL3557" s="32" t="s">
        <v>3320</v>
      </c>
      <c r="AM3557" s="32" t="s">
        <v>3320</v>
      </c>
      <c r="AN3557" s="32" t="s">
        <v>177</v>
      </c>
      <c r="AW3557" s="32" t="s">
        <v>2780</v>
      </c>
      <c r="AX3557" s="32">
        <v>3</v>
      </c>
      <c r="AY3557" s="32">
        <v>3</v>
      </c>
      <c r="AZ3557" s="32" t="s">
        <v>141</v>
      </c>
      <c r="BP3557" s="397"/>
      <c r="BQ3557" s="397"/>
      <c r="BU3557" s="397"/>
      <c r="BV3557" s="397"/>
      <c r="BZ3557" s="397"/>
      <c r="CA3557" s="397"/>
      <c r="CE3557" s="550"/>
      <c r="CF3557" s="550"/>
      <c r="CG3557" s="550"/>
      <c r="CH3557" s="550"/>
      <c r="GA3557" s="32">
        <v>4</v>
      </c>
      <c r="GB3557" s="32">
        <v>5.33</v>
      </c>
      <c r="GE3557" s="32" t="s">
        <v>3318</v>
      </c>
      <c r="JD3557" s="243"/>
    </row>
    <row r="3558" spans="1:264" s="32" customFormat="1" x14ac:dyDescent="0.25">
      <c r="A3558" s="32">
        <v>164</v>
      </c>
      <c r="B3558" s="44" t="s">
        <v>3322</v>
      </c>
      <c r="C3558" s="32" t="s">
        <v>3314</v>
      </c>
      <c r="D3558" s="32" t="s">
        <v>3315</v>
      </c>
      <c r="E3558" s="32">
        <v>2000</v>
      </c>
      <c r="F3558" s="32">
        <v>1995</v>
      </c>
      <c r="G3558" s="32" t="s">
        <v>3316</v>
      </c>
      <c r="H3558" s="32" t="s">
        <v>3325</v>
      </c>
      <c r="I3558" s="32" t="s">
        <v>3189</v>
      </c>
      <c r="J3558" s="32">
        <v>-5.04</v>
      </c>
      <c r="K3558" s="32">
        <v>32.82</v>
      </c>
      <c r="L3558" s="32">
        <v>1235</v>
      </c>
      <c r="O3558" s="32">
        <v>663</v>
      </c>
      <c r="P3558" s="32">
        <v>880</v>
      </c>
      <c r="R3558" s="44" t="s">
        <v>1977</v>
      </c>
      <c r="S3558" s="44" t="s">
        <v>1858</v>
      </c>
      <c r="T3558" s="44"/>
      <c r="U3558" s="44" t="s">
        <v>1962</v>
      </c>
      <c r="V3558" s="44" t="s">
        <v>1382</v>
      </c>
      <c r="W3558" s="44" t="s">
        <v>1717</v>
      </c>
      <c r="X3558" s="44" t="s">
        <v>1382</v>
      </c>
      <c r="Y3558" s="44" t="s">
        <v>1382</v>
      </c>
      <c r="AA3558" s="323"/>
      <c r="AB3558" s="323"/>
      <c r="AH3558" s="32" t="s">
        <v>2770</v>
      </c>
      <c r="AI3558" s="32" t="s">
        <v>577</v>
      </c>
      <c r="AJ3558" s="32" t="s">
        <v>1645</v>
      </c>
      <c r="AK3558" s="32" t="s">
        <v>132</v>
      </c>
      <c r="AL3558" s="32" t="s">
        <v>3320</v>
      </c>
      <c r="AM3558" s="32" t="s">
        <v>3320</v>
      </c>
      <c r="AN3558" s="32" t="s">
        <v>177</v>
      </c>
      <c r="AW3558" s="32" t="s">
        <v>2780</v>
      </c>
      <c r="AX3558" s="32">
        <v>3</v>
      </c>
      <c r="AY3558" s="32">
        <v>3</v>
      </c>
      <c r="AZ3558" s="32" t="s">
        <v>141</v>
      </c>
      <c r="BP3558" s="397"/>
      <c r="BQ3558" s="397"/>
      <c r="BU3558" s="397"/>
      <c r="BV3558" s="397"/>
      <c r="BZ3558" s="397"/>
      <c r="CA3558" s="397"/>
      <c r="CE3558" s="550"/>
      <c r="CF3558" s="550"/>
      <c r="CG3558" s="550"/>
      <c r="CH3558" s="550"/>
      <c r="GA3558" s="32">
        <v>2.33</v>
      </c>
      <c r="GB3558" s="32">
        <v>2.67</v>
      </c>
      <c r="GE3558" s="32" t="s">
        <v>3318</v>
      </c>
      <c r="JD3558" s="243"/>
    </row>
    <row r="3559" spans="1:264" s="32" customFormat="1" x14ac:dyDescent="0.25">
      <c r="A3559" s="32">
        <v>164</v>
      </c>
      <c r="B3559" s="44" t="s">
        <v>3322</v>
      </c>
      <c r="C3559" s="32" t="s">
        <v>3314</v>
      </c>
      <c r="D3559" s="32" t="s">
        <v>3315</v>
      </c>
      <c r="E3559" s="32">
        <v>2000</v>
      </c>
      <c r="F3559" s="32">
        <v>1996</v>
      </c>
      <c r="G3559" s="32" t="s">
        <v>3316</v>
      </c>
      <c r="H3559" s="32" t="s">
        <v>3325</v>
      </c>
      <c r="I3559" s="32" t="s">
        <v>3189</v>
      </c>
      <c r="J3559" s="32">
        <v>-5.04</v>
      </c>
      <c r="K3559" s="32">
        <v>32.82</v>
      </c>
      <c r="L3559" s="32">
        <v>1235</v>
      </c>
      <c r="O3559" s="32">
        <v>663</v>
      </c>
      <c r="P3559" s="32">
        <v>880</v>
      </c>
      <c r="R3559" s="44" t="s">
        <v>1847</v>
      </c>
      <c r="S3559" s="44" t="s">
        <v>1858</v>
      </c>
      <c r="T3559" s="44"/>
      <c r="U3559" s="44" t="s">
        <v>1962</v>
      </c>
      <c r="V3559" s="44" t="s">
        <v>1382</v>
      </c>
      <c r="W3559" s="44" t="s">
        <v>1717</v>
      </c>
      <c r="X3559" s="44" t="s">
        <v>1382</v>
      </c>
      <c r="Y3559" s="44" t="s">
        <v>1382</v>
      </c>
      <c r="AA3559" s="323"/>
      <c r="AB3559" s="323"/>
      <c r="AH3559" s="32" t="s">
        <v>2770</v>
      </c>
      <c r="AI3559" s="32" t="s">
        <v>577</v>
      </c>
      <c r="AJ3559" s="32" t="s">
        <v>1645</v>
      </c>
      <c r="AK3559" s="32" t="s">
        <v>132</v>
      </c>
      <c r="AL3559" s="32" t="s">
        <v>3320</v>
      </c>
      <c r="AM3559" s="32" t="s">
        <v>3320</v>
      </c>
      <c r="AN3559" s="32" t="s">
        <v>177</v>
      </c>
      <c r="AW3559" s="32" t="s">
        <v>2780</v>
      </c>
      <c r="AX3559" s="32">
        <v>3</v>
      </c>
      <c r="AY3559" s="32">
        <v>3</v>
      </c>
      <c r="AZ3559" s="32" t="s">
        <v>141</v>
      </c>
      <c r="BP3559" s="397"/>
      <c r="BQ3559" s="397"/>
      <c r="BU3559" s="397"/>
      <c r="BV3559" s="397"/>
      <c r="BZ3559" s="397"/>
      <c r="CA3559" s="397"/>
      <c r="CE3559" s="550"/>
      <c r="CF3559" s="550"/>
      <c r="CG3559" s="550"/>
      <c r="CH3559" s="550"/>
      <c r="GA3559" s="32">
        <v>2</v>
      </c>
      <c r="GB3559" s="32">
        <v>3.33</v>
      </c>
      <c r="GE3559" s="32" t="s">
        <v>3318</v>
      </c>
      <c r="JD3559" s="243"/>
    </row>
    <row r="3560" spans="1:264" s="32" customFormat="1" x14ac:dyDescent="0.25">
      <c r="A3560" s="32">
        <v>164</v>
      </c>
      <c r="B3560" s="44" t="s">
        <v>3322</v>
      </c>
      <c r="C3560" s="32" t="s">
        <v>3314</v>
      </c>
      <c r="D3560" s="32" t="s">
        <v>3315</v>
      </c>
      <c r="E3560" s="32">
        <v>2000</v>
      </c>
      <c r="F3560" s="32">
        <v>1997</v>
      </c>
      <c r="G3560" s="32" t="s">
        <v>3316</v>
      </c>
      <c r="H3560" s="32" t="s">
        <v>3325</v>
      </c>
      <c r="I3560" s="32" t="s">
        <v>3189</v>
      </c>
      <c r="J3560" s="32">
        <v>-5.04</v>
      </c>
      <c r="K3560" s="32">
        <v>32.82</v>
      </c>
      <c r="L3560" s="32">
        <v>1235</v>
      </c>
      <c r="O3560" s="32">
        <v>663</v>
      </c>
      <c r="P3560" s="32">
        <v>880</v>
      </c>
      <c r="R3560" s="44" t="s">
        <v>1728</v>
      </c>
      <c r="S3560" s="44" t="s">
        <v>1858</v>
      </c>
      <c r="T3560" s="44"/>
      <c r="U3560" s="44" t="s">
        <v>1962</v>
      </c>
      <c r="V3560" s="44" t="s">
        <v>1382</v>
      </c>
      <c r="W3560" s="44" t="s">
        <v>1717</v>
      </c>
      <c r="X3560" s="44" t="s">
        <v>1382</v>
      </c>
      <c r="Y3560" s="44" t="s">
        <v>1382</v>
      </c>
      <c r="AA3560" s="323"/>
      <c r="AB3560" s="323"/>
      <c r="AH3560" s="32" t="s">
        <v>2770</v>
      </c>
      <c r="AI3560" s="32" t="s">
        <v>577</v>
      </c>
      <c r="AJ3560" s="32" t="s">
        <v>1645</v>
      </c>
      <c r="AK3560" s="32" t="s">
        <v>132</v>
      </c>
      <c r="AL3560" s="32" t="s">
        <v>3320</v>
      </c>
      <c r="AM3560" s="32" t="s">
        <v>3320</v>
      </c>
      <c r="AN3560" s="32" t="s">
        <v>177</v>
      </c>
      <c r="AW3560" s="32" t="s">
        <v>2780</v>
      </c>
      <c r="AX3560" s="32">
        <v>3</v>
      </c>
      <c r="AY3560" s="32">
        <v>3</v>
      </c>
      <c r="AZ3560" s="32" t="s">
        <v>141</v>
      </c>
      <c r="BP3560" s="397"/>
      <c r="BQ3560" s="397"/>
      <c r="BU3560" s="397"/>
      <c r="BV3560" s="397"/>
      <c r="BZ3560" s="397"/>
      <c r="CA3560" s="397"/>
      <c r="CE3560" s="550"/>
      <c r="CF3560" s="550"/>
      <c r="CG3560" s="550"/>
      <c r="CH3560" s="550"/>
      <c r="GA3560" s="32">
        <v>4.33</v>
      </c>
      <c r="GB3560" s="32">
        <v>6</v>
      </c>
      <c r="GE3560" s="32" t="s">
        <v>3318</v>
      </c>
      <c r="JD3560" s="243"/>
    </row>
    <row r="3561" spans="1:264" s="24" customFormat="1" x14ac:dyDescent="0.25">
      <c r="A3561" s="24">
        <v>164</v>
      </c>
      <c r="B3561" s="42" t="s">
        <v>3322</v>
      </c>
      <c r="C3561" s="24" t="s">
        <v>3314</v>
      </c>
      <c r="D3561" s="24" t="s">
        <v>3315</v>
      </c>
      <c r="E3561" s="24">
        <v>2000</v>
      </c>
      <c r="F3561" s="24">
        <v>1995</v>
      </c>
      <c r="G3561" s="24" t="s">
        <v>3316</v>
      </c>
      <c r="H3561" s="24" t="s">
        <v>3325</v>
      </c>
      <c r="I3561" s="24" t="s">
        <v>3189</v>
      </c>
      <c r="J3561" s="24">
        <v>-5.04</v>
      </c>
      <c r="K3561" s="24">
        <v>32.82</v>
      </c>
      <c r="L3561" s="24">
        <v>1235</v>
      </c>
      <c r="O3561" s="24">
        <v>663</v>
      </c>
      <c r="P3561" s="24">
        <v>880</v>
      </c>
      <c r="R3561" s="42" t="s">
        <v>1977</v>
      </c>
      <c r="S3561" s="42" t="s">
        <v>1858</v>
      </c>
      <c r="T3561" s="42"/>
      <c r="U3561" s="42" t="s">
        <v>1962</v>
      </c>
      <c r="V3561" s="42" t="s">
        <v>1382</v>
      </c>
      <c r="W3561" s="42" t="s">
        <v>1717</v>
      </c>
      <c r="X3561" s="42" t="s">
        <v>1382</v>
      </c>
      <c r="Y3561" s="42" t="s">
        <v>1382</v>
      </c>
      <c r="AA3561" s="321"/>
      <c r="AB3561" s="321"/>
      <c r="AH3561" s="24" t="s">
        <v>2770</v>
      </c>
      <c r="AI3561" s="24" t="s">
        <v>577</v>
      </c>
      <c r="AJ3561" s="24" t="s">
        <v>3317</v>
      </c>
      <c r="AK3561" s="24" t="s">
        <v>1646</v>
      </c>
      <c r="AL3561" s="24" t="s">
        <v>3317</v>
      </c>
      <c r="AM3561" s="24" t="s">
        <v>3317</v>
      </c>
      <c r="AN3561" s="24" t="s">
        <v>177</v>
      </c>
      <c r="AW3561" s="24" t="s">
        <v>2780</v>
      </c>
      <c r="AX3561" s="24">
        <v>3</v>
      </c>
      <c r="AY3561" s="24">
        <v>3</v>
      </c>
      <c r="AZ3561" s="24" t="s">
        <v>141</v>
      </c>
      <c r="BP3561" s="395"/>
      <c r="BQ3561" s="395"/>
      <c r="BU3561" s="395"/>
      <c r="BV3561" s="395"/>
      <c r="BZ3561" s="395"/>
      <c r="CA3561" s="395"/>
      <c r="CE3561" s="548"/>
      <c r="CF3561" s="548"/>
      <c r="CG3561" s="548"/>
      <c r="CH3561" s="548"/>
      <c r="GA3561" s="24">
        <v>0.01</v>
      </c>
      <c r="GB3561" s="24">
        <v>0.33</v>
      </c>
      <c r="GE3561" s="24" t="s">
        <v>3318</v>
      </c>
      <c r="JD3561" s="249"/>
    </row>
    <row r="3562" spans="1:264" s="24" customFormat="1" x14ac:dyDescent="0.25">
      <c r="A3562" s="24">
        <v>164</v>
      </c>
      <c r="B3562" s="42" t="s">
        <v>3322</v>
      </c>
      <c r="C3562" s="24" t="s">
        <v>3314</v>
      </c>
      <c r="D3562" s="24" t="s">
        <v>3315</v>
      </c>
      <c r="E3562" s="24">
        <v>2000</v>
      </c>
      <c r="F3562" s="24">
        <v>1996</v>
      </c>
      <c r="G3562" s="24" t="s">
        <v>3316</v>
      </c>
      <c r="H3562" s="24" t="s">
        <v>3325</v>
      </c>
      <c r="I3562" s="24" t="s">
        <v>3189</v>
      </c>
      <c r="J3562" s="24">
        <v>-5.04</v>
      </c>
      <c r="K3562" s="24">
        <v>32.82</v>
      </c>
      <c r="L3562" s="24">
        <v>1235</v>
      </c>
      <c r="O3562" s="24">
        <v>663</v>
      </c>
      <c r="P3562" s="24">
        <v>880</v>
      </c>
      <c r="R3562" s="42" t="s">
        <v>1847</v>
      </c>
      <c r="S3562" s="42" t="s">
        <v>1858</v>
      </c>
      <c r="T3562" s="42"/>
      <c r="U3562" s="42" t="s">
        <v>1962</v>
      </c>
      <c r="V3562" s="42" t="s">
        <v>1382</v>
      </c>
      <c r="W3562" s="42" t="s">
        <v>1717</v>
      </c>
      <c r="X3562" s="42" t="s">
        <v>1382</v>
      </c>
      <c r="Y3562" s="42" t="s">
        <v>1382</v>
      </c>
      <c r="AA3562" s="321"/>
      <c r="AB3562" s="321"/>
      <c r="AH3562" s="24" t="s">
        <v>2770</v>
      </c>
      <c r="AI3562" s="24" t="s">
        <v>577</v>
      </c>
      <c r="AJ3562" s="24" t="s">
        <v>3317</v>
      </c>
      <c r="AK3562" s="24" t="s">
        <v>1646</v>
      </c>
      <c r="AL3562" s="24" t="s">
        <v>3317</v>
      </c>
      <c r="AM3562" s="24" t="s">
        <v>3317</v>
      </c>
      <c r="AN3562" s="24" t="s">
        <v>177</v>
      </c>
      <c r="AW3562" s="24" t="s">
        <v>2780</v>
      </c>
      <c r="AX3562" s="24">
        <v>3</v>
      </c>
      <c r="AY3562" s="24">
        <v>3</v>
      </c>
      <c r="AZ3562" s="24" t="s">
        <v>141</v>
      </c>
      <c r="BP3562" s="395"/>
      <c r="BQ3562" s="395"/>
      <c r="BU3562" s="395"/>
      <c r="BV3562" s="395"/>
      <c r="BZ3562" s="395"/>
      <c r="CA3562" s="395"/>
      <c r="CE3562" s="548"/>
      <c r="CF3562" s="548"/>
      <c r="CG3562" s="548"/>
      <c r="CH3562" s="548"/>
      <c r="GA3562" s="24">
        <v>1.67</v>
      </c>
      <c r="GB3562" s="24">
        <v>6.33</v>
      </c>
      <c r="GE3562" s="24" t="s">
        <v>3318</v>
      </c>
      <c r="JD3562" s="249"/>
    </row>
    <row r="3563" spans="1:264" s="24" customFormat="1" x14ac:dyDescent="0.25">
      <c r="A3563" s="24">
        <v>164</v>
      </c>
      <c r="B3563" s="42" t="s">
        <v>3322</v>
      </c>
      <c r="C3563" s="24" t="s">
        <v>3314</v>
      </c>
      <c r="D3563" s="24" t="s">
        <v>3315</v>
      </c>
      <c r="E3563" s="24">
        <v>2000</v>
      </c>
      <c r="F3563" s="24">
        <v>1997</v>
      </c>
      <c r="G3563" s="24" t="s">
        <v>3316</v>
      </c>
      <c r="H3563" s="24" t="s">
        <v>3325</v>
      </c>
      <c r="I3563" s="24" t="s">
        <v>3189</v>
      </c>
      <c r="J3563" s="24">
        <v>-5.04</v>
      </c>
      <c r="K3563" s="24">
        <v>32.82</v>
      </c>
      <c r="L3563" s="24">
        <v>1235</v>
      </c>
      <c r="O3563" s="24">
        <v>663</v>
      </c>
      <c r="P3563" s="24">
        <v>880</v>
      </c>
      <c r="R3563" s="42" t="s">
        <v>1728</v>
      </c>
      <c r="S3563" s="42" t="s">
        <v>1858</v>
      </c>
      <c r="T3563" s="42"/>
      <c r="U3563" s="42" t="s">
        <v>1962</v>
      </c>
      <c r="V3563" s="42" t="s">
        <v>1382</v>
      </c>
      <c r="W3563" s="42" t="s">
        <v>1717</v>
      </c>
      <c r="X3563" s="42" t="s">
        <v>1382</v>
      </c>
      <c r="Y3563" s="42" t="s">
        <v>1382</v>
      </c>
      <c r="AA3563" s="321"/>
      <c r="AB3563" s="321"/>
      <c r="AH3563" s="24" t="s">
        <v>2770</v>
      </c>
      <c r="AI3563" s="24" t="s">
        <v>577</v>
      </c>
      <c r="AJ3563" s="24" t="s">
        <v>3317</v>
      </c>
      <c r="AK3563" s="24" t="s">
        <v>1646</v>
      </c>
      <c r="AL3563" s="24" t="s">
        <v>3317</v>
      </c>
      <c r="AM3563" s="24" t="s">
        <v>3317</v>
      </c>
      <c r="AN3563" s="24" t="s">
        <v>177</v>
      </c>
      <c r="AW3563" s="24" t="s">
        <v>2780</v>
      </c>
      <c r="AX3563" s="24">
        <v>3</v>
      </c>
      <c r="AY3563" s="24">
        <v>3</v>
      </c>
      <c r="AZ3563" s="24" t="s">
        <v>141</v>
      </c>
      <c r="BK3563" s="24">
        <v>364</v>
      </c>
      <c r="BL3563" s="24">
        <v>197</v>
      </c>
      <c r="BO3563" s="24" t="s">
        <v>3321</v>
      </c>
      <c r="BP3563" s="395"/>
      <c r="BQ3563" s="395"/>
      <c r="BU3563" s="395"/>
      <c r="BV3563" s="395"/>
      <c r="BZ3563" s="395"/>
      <c r="CA3563" s="395"/>
      <c r="CE3563" s="548"/>
      <c r="CF3563" s="548"/>
      <c r="CG3563" s="548"/>
      <c r="CH3563" s="548"/>
      <c r="GA3563" s="24">
        <v>3.67</v>
      </c>
      <c r="GB3563" s="24">
        <v>5.67</v>
      </c>
      <c r="GE3563" s="24" t="s">
        <v>3318</v>
      </c>
      <c r="JD3563" s="249"/>
    </row>
    <row r="3564" spans="1:264" s="24" customFormat="1" x14ac:dyDescent="0.25">
      <c r="A3564" s="24">
        <v>164</v>
      </c>
      <c r="B3564" s="42" t="s">
        <v>3322</v>
      </c>
      <c r="C3564" s="24" t="s">
        <v>3314</v>
      </c>
      <c r="D3564" s="24" t="s">
        <v>3315</v>
      </c>
      <c r="E3564" s="24">
        <v>2000</v>
      </c>
      <c r="F3564" s="24">
        <v>1995</v>
      </c>
      <c r="G3564" s="24" t="s">
        <v>3316</v>
      </c>
      <c r="H3564" s="24" t="s">
        <v>3325</v>
      </c>
      <c r="I3564" s="24" t="s">
        <v>3189</v>
      </c>
      <c r="J3564" s="24">
        <v>-5.04</v>
      </c>
      <c r="K3564" s="24">
        <v>32.82</v>
      </c>
      <c r="L3564" s="24">
        <v>1235</v>
      </c>
      <c r="O3564" s="24">
        <v>663</v>
      </c>
      <c r="P3564" s="24">
        <v>880</v>
      </c>
      <c r="R3564" s="42" t="s">
        <v>1977</v>
      </c>
      <c r="S3564" s="42" t="s">
        <v>1858</v>
      </c>
      <c r="T3564" s="42"/>
      <c r="U3564" s="42" t="s">
        <v>1962</v>
      </c>
      <c r="V3564" s="42" t="s">
        <v>1382</v>
      </c>
      <c r="W3564" s="42" t="s">
        <v>1717</v>
      </c>
      <c r="X3564" s="42" t="s">
        <v>1382</v>
      </c>
      <c r="Y3564" s="42" t="s">
        <v>1382</v>
      </c>
      <c r="AA3564" s="321"/>
      <c r="AB3564" s="321"/>
      <c r="AH3564" s="24" t="s">
        <v>2770</v>
      </c>
      <c r="AI3564" s="24" t="s">
        <v>577</v>
      </c>
      <c r="AJ3564" s="24" t="s">
        <v>3317</v>
      </c>
      <c r="AK3564" s="24" t="s">
        <v>1646</v>
      </c>
      <c r="AL3564" s="24" t="s">
        <v>3317</v>
      </c>
      <c r="AM3564" s="24" t="s">
        <v>3317</v>
      </c>
      <c r="AN3564" s="24" t="s">
        <v>177</v>
      </c>
      <c r="AW3564" s="24" t="s">
        <v>2780</v>
      </c>
      <c r="AX3564" s="24">
        <v>3</v>
      </c>
      <c r="AY3564" s="24">
        <v>3</v>
      </c>
      <c r="AZ3564" s="24" t="s">
        <v>141</v>
      </c>
      <c r="BP3564" s="395"/>
      <c r="BQ3564" s="395"/>
      <c r="BU3564" s="395"/>
      <c r="BV3564" s="395"/>
      <c r="BZ3564" s="395"/>
      <c r="CA3564" s="395"/>
      <c r="CE3564" s="548"/>
      <c r="CF3564" s="548"/>
      <c r="CG3564" s="548"/>
      <c r="CH3564" s="548"/>
      <c r="GA3564" s="24">
        <v>0.33</v>
      </c>
      <c r="GB3564" s="24">
        <v>1.67</v>
      </c>
      <c r="GE3564" s="24" t="s">
        <v>3318</v>
      </c>
      <c r="JD3564" s="249"/>
    </row>
    <row r="3565" spans="1:264" s="24" customFormat="1" x14ac:dyDescent="0.25">
      <c r="A3565" s="24">
        <v>164</v>
      </c>
      <c r="B3565" s="42" t="s">
        <v>3322</v>
      </c>
      <c r="C3565" s="24" t="s">
        <v>3314</v>
      </c>
      <c r="D3565" s="24" t="s">
        <v>3315</v>
      </c>
      <c r="E3565" s="24">
        <v>2000</v>
      </c>
      <c r="F3565" s="24">
        <v>1996</v>
      </c>
      <c r="G3565" s="24" t="s">
        <v>3316</v>
      </c>
      <c r="H3565" s="24" t="s">
        <v>3325</v>
      </c>
      <c r="I3565" s="24" t="s">
        <v>3189</v>
      </c>
      <c r="J3565" s="24">
        <v>-5.04</v>
      </c>
      <c r="K3565" s="24">
        <v>32.82</v>
      </c>
      <c r="L3565" s="24">
        <v>1235</v>
      </c>
      <c r="O3565" s="24">
        <v>663</v>
      </c>
      <c r="P3565" s="24">
        <v>880</v>
      </c>
      <c r="R3565" s="42" t="s">
        <v>1847</v>
      </c>
      <c r="S3565" s="42" t="s">
        <v>1858</v>
      </c>
      <c r="T3565" s="42"/>
      <c r="U3565" s="42" t="s">
        <v>1962</v>
      </c>
      <c r="V3565" s="42" t="s">
        <v>1382</v>
      </c>
      <c r="W3565" s="42" t="s">
        <v>1717</v>
      </c>
      <c r="X3565" s="42" t="s">
        <v>1382</v>
      </c>
      <c r="Y3565" s="42" t="s">
        <v>1382</v>
      </c>
      <c r="AA3565" s="321"/>
      <c r="AB3565" s="321"/>
      <c r="AH3565" s="24" t="s">
        <v>2770</v>
      </c>
      <c r="AI3565" s="24" t="s">
        <v>577</v>
      </c>
      <c r="AJ3565" s="24" t="s">
        <v>3317</v>
      </c>
      <c r="AK3565" s="24" t="s">
        <v>1646</v>
      </c>
      <c r="AL3565" s="24" t="s">
        <v>3317</v>
      </c>
      <c r="AM3565" s="24" t="s">
        <v>3317</v>
      </c>
      <c r="AN3565" s="24" t="s">
        <v>177</v>
      </c>
      <c r="AW3565" s="24" t="s">
        <v>2780</v>
      </c>
      <c r="AX3565" s="24">
        <v>3</v>
      </c>
      <c r="AY3565" s="24">
        <v>3</v>
      </c>
      <c r="AZ3565" s="24" t="s">
        <v>141</v>
      </c>
      <c r="BP3565" s="395"/>
      <c r="BQ3565" s="395"/>
      <c r="BU3565" s="395"/>
      <c r="BV3565" s="395"/>
      <c r="BZ3565" s="395"/>
      <c r="CA3565" s="395"/>
      <c r="CE3565" s="548"/>
      <c r="CF3565" s="548"/>
      <c r="CG3565" s="548"/>
      <c r="CH3565" s="548"/>
      <c r="GA3565" s="24">
        <v>1.67</v>
      </c>
      <c r="GB3565" s="24">
        <v>7.67</v>
      </c>
      <c r="GE3565" s="24" t="s">
        <v>3318</v>
      </c>
      <c r="JD3565" s="249"/>
    </row>
    <row r="3566" spans="1:264" s="24" customFormat="1" x14ac:dyDescent="0.25">
      <c r="A3566" s="24">
        <v>164</v>
      </c>
      <c r="B3566" s="42" t="s">
        <v>3322</v>
      </c>
      <c r="C3566" s="24" t="s">
        <v>3314</v>
      </c>
      <c r="D3566" s="24" t="s">
        <v>3315</v>
      </c>
      <c r="E3566" s="24">
        <v>2000</v>
      </c>
      <c r="F3566" s="24">
        <v>1997</v>
      </c>
      <c r="G3566" s="24" t="s">
        <v>3316</v>
      </c>
      <c r="H3566" s="24" t="s">
        <v>3325</v>
      </c>
      <c r="I3566" s="24" t="s">
        <v>3189</v>
      </c>
      <c r="J3566" s="24">
        <v>-5.04</v>
      </c>
      <c r="K3566" s="24">
        <v>32.82</v>
      </c>
      <c r="L3566" s="24">
        <v>1235</v>
      </c>
      <c r="O3566" s="24">
        <v>663</v>
      </c>
      <c r="P3566" s="24">
        <v>880</v>
      </c>
      <c r="R3566" s="42" t="s">
        <v>1728</v>
      </c>
      <c r="S3566" s="42" t="s">
        <v>1858</v>
      </c>
      <c r="T3566" s="42"/>
      <c r="U3566" s="42" t="s">
        <v>1962</v>
      </c>
      <c r="V3566" s="42" t="s">
        <v>1382</v>
      </c>
      <c r="W3566" s="42" t="s">
        <v>1717</v>
      </c>
      <c r="X3566" s="42" t="s">
        <v>1382</v>
      </c>
      <c r="Y3566" s="42" t="s">
        <v>1382</v>
      </c>
      <c r="AA3566" s="321"/>
      <c r="AB3566" s="321"/>
      <c r="AH3566" s="24" t="s">
        <v>2770</v>
      </c>
      <c r="AI3566" s="24" t="s">
        <v>577</v>
      </c>
      <c r="AJ3566" s="24" t="s">
        <v>3317</v>
      </c>
      <c r="AK3566" s="24" t="s">
        <v>1646</v>
      </c>
      <c r="AL3566" s="24" t="s">
        <v>3317</v>
      </c>
      <c r="AM3566" s="24" t="s">
        <v>3317</v>
      </c>
      <c r="AN3566" s="24" t="s">
        <v>177</v>
      </c>
      <c r="AW3566" s="24" t="s">
        <v>2780</v>
      </c>
      <c r="AX3566" s="24">
        <v>3</v>
      </c>
      <c r="AY3566" s="24">
        <v>3</v>
      </c>
      <c r="AZ3566" s="24" t="s">
        <v>141</v>
      </c>
      <c r="BP3566" s="395"/>
      <c r="BQ3566" s="395"/>
      <c r="BU3566" s="395"/>
      <c r="BV3566" s="395"/>
      <c r="BZ3566" s="395"/>
      <c r="CA3566" s="395"/>
      <c r="CE3566" s="548"/>
      <c r="CF3566" s="548"/>
      <c r="CG3566" s="548"/>
      <c r="CH3566" s="548"/>
      <c r="GA3566" s="24">
        <v>4</v>
      </c>
      <c r="GB3566" s="24">
        <v>6.33</v>
      </c>
      <c r="GE3566" s="24" t="s">
        <v>3318</v>
      </c>
      <c r="JD3566" s="249"/>
    </row>
    <row r="3567" spans="1:264" s="24" customFormat="1" x14ac:dyDescent="0.25">
      <c r="A3567" s="24">
        <v>164</v>
      </c>
      <c r="B3567" s="42" t="s">
        <v>3322</v>
      </c>
      <c r="C3567" s="24" t="s">
        <v>3314</v>
      </c>
      <c r="D3567" s="24" t="s">
        <v>3315</v>
      </c>
      <c r="E3567" s="24">
        <v>2000</v>
      </c>
      <c r="F3567" s="24">
        <v>1995</v>
      </c>
      <c r="G3567" s="24" t="s">
        <v>3316</v>
      </c>
      <c r="H3567" s="24" t="s">
        <v>3325</v>
      </c>
      <c r="I3567" s="24" t="s">
        <v>3189</v>
      </c>
      <c r="J3567" s="24">
        <v>-5.04</v>
      </c>
      <c r="K3567" s="24">
        <v>32.82</v>
      </c>
      <c r="L3567" s="24">
        <v>1235</v>
      </c>
      <c r="O3567" s="24">
        <v>663</v>
      </c>
      <c r="P3567" s="24">
        <v>880</v>
      </c>
      <c r="R3567" s="42" t="s">
        <v>1977</v>
      </c>
      <c r="S3567" s="42" t="s">
        <v>1858</v>
      </c>
      <c r="T3567" s="42"/>
      <c r="U3567" s="42" t="s">
        <v>1962</v>
      </c>
      <c r="V3567" s="42" t="s">
        <v>1382</v>
      </c>
      <c r="W3567" s="42" t="s">
        <v>1717</v>
      </c>
      <c r="X3567" s="42" t="s">
        <v>1382</v>
      </c>
      <c r="Y3567" s="42" t="s">
        <v>1382</v>
      </c>
      <c r="AA3567" s="321"/>
      <c r="AB3567" s="321"/>
      <c r="AH3567" s="24" t="s">
        <v>2770</v>
      </c>
      <c r="AI3567" s="24" t="s">
        <v>577</v>
      </c>
      <c r="AJ3567" s="24" t="s">
        <v>3317</v>
      </c>
      <c r="AK3567" s="24" t="s">
        <v>1646</v>
      </c>
      <c r="AL3567" s="24" t="s">
        <v>3317</v>
      </c>
      <c r="AM3567" s="24" t="s">
        <v>3317</v>
      </c>
      <c r="AN3567" s="24" t="s">
        <v>177</v>
      </c>
      <c r="AW3567" s="24" t="s">
        <v>2780</v>
      </c>
      <c r="AX3567" s="24">
        <v>3</v>
      </c>
      <c r="AY3567" s="24">
        <v>3</v>
      </c>
      <c r="AZ3567" s="24" t="s">
        <v>141</v>
      </c>
      <c r="BP3567" s="395"/>
      <c r="BQ3567" s="395"/>
      <c r="BU3567" s="395"/>
      <c r="BV3567" s="395"/>
      <c r="BZ3567" s="395"/>
      <c r="CA3567" s="395"/>
      <c r="CE3567" s="548"/>
      <c r="CF3567" s="548"/>
      <c r="CG3567" s="548"/>
      <c r="CH3567" s="548"/>
      <c r="GA3567" s="24">
        <v>1</v>
      </c>
      <c r="GB3567" s="24">
        <v>3</v>
      </c>
      <c r="GE3567" s="24" t="s">
        <v>3318</v>
      </c>
      <c r="JD3567" s="249"/>
    </row>
    <row r="3568" spans="1:264" s="24" customFormat="1" x14ac:dyDescent="0.25">
      <c r="A3568" s="24">
        <v>164</v>
      </c>
      <c r="B3568" s="42" t="s">
        <v>3322</v>
      </c>
      <c r="C3568" s="24" t="s">
        <v>3314</v>
      </c>
      <c r="D3568" s="24" t="s">
        <v>3315</v>
      </c>
      <c r="E3568" s="24">
        <v>2000</v>
      </c>
      <c r="F3568" s="24">
        <v>1996</v>
      </c>
      <c r="G3568" s="24" t="s">
        <v>3316</v>
      </c>
      <c r="H3568" s="24" t="s">
        <v>3325</v>
      </c>
      <c r="I3568" s="24" t="s">
        <v>3189</v>
      </c>
      <c r="J3568" s="24">
        <v>-5.04</v>
      </c>
      <c r="K3568" s="24">
        <v>32.82</v>
      </c>
      <c r="L3568" s="24">
        <v>1235</v>
      </c>
      <c r="O3568" s="24">
        <v>663</v>
      </c>
      <c r="P3568" s="24">
        <v>880</v>
      </c>
      <c r="R3568" s="42" t="s">
        <v>1847</v>
      </c>
      <c r="S3568" s="42" t="s">
        <v>1858</v>
      </c>
      <c r="T3568" s="42"/>
      <c r="U3568" s="42" t="s">
        <v>1962</v>
      </c>
      <c r="V3568" s="42" t="s">
        <v>1382</v>
      </c>
      <c r="W3568" s="42" t="s">
        <v>1717</v>
      </c>
      <c r="X3568" s="42" t="s">
        <v>1382</v>
      </c>
      <c r="Y3568" s="42" t="s">
        <v>1382</v>
      </c>
      <c r="AA3568" s="321"/>
      <c r="AB3568" s="321"/>
      <c r="AH3568" s="24" t="s">
        <v>2770</v>
      </c>
      <c r="AI3568" s="24" t="s">
        <v>577</v>
      </c>
      <c r="AJ3568" s="24" t="s">
        <v>3317</v>
      </c>
      <c r="AK3568" s="24" t="s">
        <v>1646</v>
      </c>
      <c r="AL3568" s="24" t="s">
        <v>3317</v>
      </c>
      <c r="AM3568" s="24" t="s">
        <v>3317</v>
      </c>
      <c r="AN3568" s="24" t="s">
        <v>177</v>
      </c>
      <c r="AW3568" s="24" t="s">
        <v>2780</v>
      </c>
      <c r="AX3568" s="24">
        <v>3</v>
      </c>
      <c r="AY3568" s="24">
        <v>3</v>
      </c>
      <c r="AZ3568" s="24" t="s">
        <v>141</v>
      </c>
      <c r="BP3568" s="395"/>
      <c r="BQ3568" s="395"/>
      <c r="BU3568" s="395"/>
      <c r="BV3568" s="395"/>
      <c r="BZ3568" s="395"/>
      <c r="CA3568" s="395"/>
      <c r="CE3568" s="548"/>
      <c r="CF3568" s="548"/>
      <c r="CG3568" s="548"/>
      <c r="CH3568" s="548"/>
      <c r="GA3568" s="24">
        <v>1.33</v>
      </c>
      <c r="GB3568" s="24">
        <v>8</v>
      </c>
      <c r="GE3568" s="24" t="s">
        <v>3318</v>
      </c>
      <c r="JD3568" s="249"/>
    </row>
    <row r="3569" spans="1:264" s="24" customFormat="1" x14ac:dyDescent="0.25">
      <c r="A3569" s="24">
        <v>164</v>
      </c>
      <c r="B3569" s="42" t="s">
        <v>3322</v>
      </c>
      <c r="C3569" s="24" t="s">
        <v>3314</v>
      </c>
      <c r="D3569" s="24" t="s">
        <v>3315</v>
      </c>
      <c r="E3569" s="24">
        <v>2000</v>
      </c>
      <c r="F3569" s="24">
        <v>1997</v>
      </c>
      <c r="G3569" s="24" t="s">
        <v>3316</v>
      </c>
      <c r="H3569" s="24" t="s">
        <v>3325</v>
      </c>
      <c r="I3569" s="24" t="s">
        <v>3189</v>
      </c>
      <c r="J3569" s="24">
        <v>-5.04</v>
      </c>
      <c r="K3569" s="24">
        <v>32.82</v>
      </c>
      <c r="L3569" s="24">
        <v>1235</v>
      </c>
      <c r="O3569" s="24">
        <v>663</v>
      </c>
      <c r="P3569" s="24">
        <v>880</v>
      </c>
      <c r="R3569" s="42" t="s">
        <v>1728</v>
      </c>
      <c r="S3569" s="42" t="s">
        <v>1858</v>
      </c>
      <c r="T3569" s="42"/>
      <c r="U3569" s="42" t="s">
        <v>1962</v>
      </c>
      <c r="V3569" s="42" t="s">
        <v>1382</v>
      </c>
      <c r="W3569" s="42" t="s">
        <v>1717</v>
      </c>
      <c r="X3569" s="42" t="s">
        <v>1382</v>
      </c>
      <c r="Y3569" s="42" t="s">
        <v>1382</v>
      </c>
      <c r="AA3569" s="321"/>
      <c r="AB3569" s="321"/>
      <c r="AH3569" s="24" t="s">
        <v>2770</v>
      </c>
      <c r="AI3569" s="24" t="s">
        <v>577</v>
      </c>
      <c r="AJ3569" s="24" t="s">
        <v>3317</v>
      </c>
      <c r="AK3569" s="24" t="s">
        <v>1646</v>
      </c>
      <c r="AL3569" s="24" t="s">
        <v>3317</v>
      </c>
      <c r="AM3569" s="24" t="s">
        <v>3317</v>
      </c>
      <c r="AN3569" s="24" t="s">
        <v>177</v>
      </c>
      <c r="AW3569" s="24" t="s">
        <v>2780</v>
      </c>
      <c r="AX3569" s="24">
        <v>3</v>
      </c>
      <c r="AY3569" s="24">
        <v>3</v>
      </c>
      <c r="AZ3569" s="24" t="s">
        <v>141</v>
      </c>
      <c r="BP3569" s="395"/>
      <c r="BQ3569" s="395"/>
      <c r="BU3569" s="395"/>
      <c r="BV3569" s="395"/>
      <c r="BZ3569" s="395"/>
      <c r="CA3569" s="395"/>
      <c r="CE3569" s="548"/>
      <c r="CF3569" s="548"/>
      <c r="CG3569" s="548"/>
      <c r="CH3569" s="548"/>
      <c r="GA3569" s="24">
        <v>5</v>
      </c>
      <c r="GB3569" s="24">
        <v>7</v>
      </c>
      <c r="GE3569" s="24" t="s">
        <v>3318</v>
      </c>
      <c r="JD3569" s="249"/>
    </row>
    <row r="3570" spans="1:264" x14ac:dyDescent="0.25">
      <c r="A3570" s="37">
        <v>165</v>
      </c>
      <c r="B3570" s="50" t="s">
        <v>3340</v>
      </c>
      <c r="C3570" s="37" t="s">
        <v>3323</v>
      </c>
      <c r="D3570" s="37" t="s">
        <v>3324</v>
      </c>
      <c r="E3570" s="37">
        <v>2002</v>
      </c>
      <c r="F3570" s="37">
        <v>2001</v>
      </c>
      <c r="G3570" s="37" t="s">
        <v>112</v>
      </c>
      <c r="H3570" s="37" t="s">
        <v>3326</v>
      </c>
      <c r="I3570" s="37" t="s">
        <v>2829</v>
      </c>
      <c r="J3570" s="37">
        <f t="shared" ref="J3570:J3589" si="487">-13-39/60</f>
        <v>-13.65</v>
      </c>
      <c r="K3570" s="37">
        <f t="shared" ref="K3570:K3589" si="488">32+34/60</f>
        <v>32.56666666666667</v>
      </c>
      <c r="L3570" s="37">
        <v>1028</v>
      </c>
      <c r="N3570" s="37">
        <v>20.5</v>
      </c>
      <c r="P3570" s="37">
        <v>960</v>
      </c>
      <c r="R3570" s="50" t="s">
        <v>1858</v>
      </c>
      <c r="S3570" s="50" t="s">
        <v>1722</v>
      </c>
      <c r="U3570" s="50" t="s">
        <v>1989</v>
      </c>
      <c r="V3570" s="50" t="s">
        <v>1379</v>
      </c>
      <c r="W3570" s="50" t="s">
        <v>1715</v>
      </c>
      <c r="X3570" s="50" t="s">
        <v>1379</v>
      </c>
      <c r="Y3570" s="50" t="s">
        <v>1379</v>
      </c>
      <c r="AA3570" s="330">
        <v>61</v>
      </c>
      <c r="AB3570" s="330">
        <v>11</v>
      </c>
      <c r="AC3570" s="37" t="s">
        <v>240</v>
      </c>
      <c r="AD3570" s="37">
        <v>5.3</v>
      </c>
      <c r="AE3570" s="37">
        <v>1.02</v>
      </c>
      <c r="AG3570" s="37" t="s">
        <v>2755</v>
      </c>
      <c r="AH3570" s="37" t="s">
        <v>2853</v>
      </c>
      <c r="AI3570" s="37" t="s">
        <v>577</v>
      </c>
      <c r="AJ3570" s="37" t="s">
        <v>1645</v>
      </c>
      <c r="AK3570" s="37" t="s">
        <v>132</v>
      </c>
      <c r="AW3570" s="37" t="s">
        <v>2780</v>
      </c>
      <c r="AX3570" s="37">
        <v>3</v>
      </c>
      <c r="AZ3570" s="37" t="s">
        <v>141</v>
      </c>
      <c r="BE3570" s="37" t="s">
        <v>3334</v>
      </c>
      <c r="BF3570" s="37">
        <v>2100</v>
      </c>
      <c r="BG3570" s="37">
        <v>4300</v>
      </c>
      <c r="BJ3570" s="37" t="s">
        <v>2941</v>
      </c>
      <c r="BK3570" s="37">
        <v>900</v>
      </c>
      <c r="BL3570" s="37">
        <v>3900</v>
      </c>
      <c r="BU3570" s="406">
        <v>1.2</v>
      </c>
      <c r="BV3570" s="406">
        <v>1.5</v>
      </c>
      <c r="CE3570" s="559">
        <v>1.2</v>
      </c>
      <c r="CF3570" s="559">
        <v>1.5</v>
      </c>
      <c r="CG3570" s="556"/>
      <c r="CH3570" s="556"/>
      <c r="CI3570" s="37" t="s">
        <v>4546</v>
      </c>
      <c r="CJ3570" s="37">
        <v>15.9</v>
      </c>
      <c r="CK3570" s="37">
        <v>22.7</v>
      </c>
      <c r="CN3570" s="37" t="s">
        <v>3335</v>
      </c>
      <c r="CO3570" s="37">
        <v>13.9</v>
      </c>
      <c r="CP3570" s="37">
        <v>12.4</v>
      </c>
      <c r="CS3570" s="37" t="s">
        <v>2286</v>
      </c>
      <c r="CT3570" s="37">
        <v>0.28999999999999998</v>
      </c>
      <c r="CU3570" s="37">
        <v>0.28999999999999998</v>
      </c>
      <c r="CX3570" s="37" t="s">
        <v>3336</v>
      </c>
      <c r="CY3570" s="37">
        <v>4.2</v>
      </c>
      <c r="CZ3570" s="37">
        <v>4.2</v>
      </c>
      <c r="DD3570" s="37">
        <f>1.8+0.43</f>
        <v>2.23</v>
      </c>
      <c r="DE3570" s="37">
        <v>1.93</v>
      </c>
      <c r="DH3570" s="37" t="s">
        <v>3337</v>
      </c>
      <c r="GF3570" s="37">
        <v>1.2</v>
      </c>
      <c r="GG3570" s="37">
        <v>3.6</v>
      </c>
      <c r="GJ3570" s="37" t="s">
        <v>3338</v>
      </c>
      <c r="JB3570" s="37" t="s">
        <v>3339</v>
      </c>
    </row>
    <row r="3571" spans="1:264" x14ac:dyDescent="0.25">
      <c r="A3571" s="37">
        <v>165</v>
      </c>
      <c r="B3571" s="50" t="s">
        <v>3340</v>
      </c>
      <c r="C3571" s="37" t="s">
        <v>3323</v>
      </c>
      <c r="D3571" s="37" t="s">
        <v>3324</v>
      </c>
      <c r="E3571" s="37">
        <v>2002</v>
      </c>
      <c r="F3571" s="37">
        <v>2001</v>
      </c>
      <c r="G3571" s="37" t="s">
        <v>112</v>
      </c>
      <c r="H3571" s="37" t="s">
        <v>3326</v>
      </c>
      <c r="I3571" s="37" t="s">
        <v>2829</v>
      </c>
      <c r="J3571" s="37">
        <f t="shared" si="487"/>
        <v>-13.65</v>
      </c>
      <c r="K3571" s="37">
        <f t="shared" si="488"/>
        <v>32.56666666666667</v>
      </c>
      <c r="L3571" s="37">
        <v>1028</v>
      </c>
      <c r="N3571" s="37">
        <v>20.5</v>
      </c>
      <c r="P3571" s="37">
        <v>960</v>
      </c>
      <c r="R3571" s="50" t="s">
        <v>1858</v>
      </c>
      <c r="S3571" s="50" t="s">
        <v>1722</v>
      </c>
      <c r="U3571" s="50" t="s">
        <v>1989</v>
      </c>
      <c r="V3571" s="50" t="s">
        <v>1379</v>
      </c>
      <c r="W3571" s="50" t="s">
        <v>1715</v>
      </c>
      <c r="X3571" s="50" t="s">
        <v>1379</v>
      </c>
      <c r="Y3571" s="50" t="s">
        <v>1379</v>
      </c>
      <c r="AA3571" s="330">
        <v>61</v>
      </c>
      <c r="AB3571" s="330">
        <v>11</v>
      </c>
      <c r="AC3571" s="37" t="s">
        <v>240</v>
      </c>
      <c r="AD3571" s="37">
        <v>5.3</v>
      </c>
      <c r="AE3571" s="37">
        <v>1.02</v>
      </c>
      <c r="AG3571" s="37" t="s">
        <v>2755</v>
      </c>
      <c r="AH3571" s="37" t="s">
        <v>2770</v>
      </c>
      <c r="AI3571" s="37" t="s">
        <v>577</v>
      </c>
      <c r="AJ3571" s="37" t="s">
        <v>1645</v>
      </c>
      <c r="AK3571" s="37" t="s">
        <v>132</v>
      </c>
      <c r="AW3571" s="37" t="s">
        <v>2780</v>
      </c>
      <c r="AX3571" s="37">
        <v>3</v>
      </c>
      <c r="AZ3571" s="37" t="s">
        <v>141</v>
      </c>
      <c r="BE3571" s="37" t="s">
        <v>3334</v>
      </c>
      <c r="BF3571" s="37">
        <v>2100</v>
      </c>
      <c r="BG3571" s="37">
        <v>4500</v>
      </c>
      <c r="BJ3571" s="37" t="s">
        <v>2941</v>
      </c>
      <c r="BK3571" s="37">
        <v>900</v>
      </c>
      <c r="BL3571" s="37">
        <v>3500</v>
      </c>
      <c r="BU3571" s="406">
        <v>1.2</v>
      </c>
      <c r="BV3571" s="406">
        <v>1.1000000000000001</v>
      </c>
      <c r="CE3571" s="559">
        <v>1.2</v>
      </c>
      <c r="CF3571" s="559">
        <v>1.1000000000000001</v>
      </c>
      <c r="CG3571" s="556"/>
      <c r="CH3571" s="556"/>
      <c r="CI3571" s="37" t="s">
        <v>4546</v>
      </c>
      <c r="CJ3571" s="37">
        <v>15.9</v>
      </c>
      <c r="CK3571" s="37">
        <v>19.600000000000001</v>
      </c>
      <c r="CN3571" s="37" t="s">
        <v>3335</v>
      </c>
      <c r="CO3571" s="37">
        <v>13.9</v>
      </c>
      <c r="CP3571" s="37">
        <v>12.1</v>
      </c>
      <c r="CS3571" s="37" t="s">
        <v>2286</v>
      </c>
      <c r="CT3571" s="37">
        <v>0.28999999999999998</v>
      </c>
      <c r="CU3571" s="37">
        <v>0.18</v>
      </c>
      <c r="CX3571" s="37" t="s">
        <v>3336</v>
      </c>
      <c r="CY3571" s="37">
        <v>4.2</v>
      </c>
      <c r="CZ3571" s="37">
        <v>4.4000000000000004</v>
      </c>
      <c r="DD3571" s="37">
        <f t="shared" ref="DD3571:DD3579" si="489">1.8+0.43</f>
        <v>2.23</v>
      </c>
      <c r="DE3571" s="37">
        <v>1.4</v>
      </c>
      <c r="DH3571" s="37" t="s">
        <v>3337</v>
      </c>
      <c r="GF3571" s="37">
        <v>1.2</v>
      </c>
      <c r="GG3571" s="37">
        <v>2.7</v>
      </c>
      <c r="GJ3571" s="37" t="s">
        <v>3338</v>
      </c>
      <c r="JB3571" s="37" t="s">
        <v>3339</v>
      </c>
    </row>
    <row r="3572" spans="1:264" x14ac:dyDescent="0.25">
      <c r="A3572" s="37">
        <v>165</v>
      </c>
      <c r="B3572" s="50" t="s">
        <v>3340</v>
      </c>
      <c r="C3572" s="37" t="s">
        <v>3323</v>
      </c>
      <c r="D3572" s="37" t="s">
        <v>3324</v>
      </c>
      <c r="E3572" s="37">
        <v>2002</v>
      </c>
      <c r="F3572" s="37">
        <v>2001</v>
      </c>
      <c r="G3572" s="37" t="s">
        <v>112</v>
      </c>
      <c r="H3572" s="37" t="s">
        <v>3326</v>
      </c>
      <c r="I3572" s="37" t="s">
        <v>2829</v>
      </c>
      <c r="J3572" s="37">
        <f t="shared" si="487"/>
        <v>-13.65</v>
      </c>
      <c r="K3572" s="37">
        <f t="shared" si="488"/>
        <v>32.56666666666667</v>
      </c>
      <c r="L3572" s="37">
        <v>1028</v>
      </c>
      <c r="N3572" s="37">
        <v>20.5</v>
      </c>
      <c r="P3572" s="37">
        <v>960</v>
      </c>
      <c r="R3572" s="50" t="s">
        <v>1858</v>
      </c>
      <c r="S3572" s="50" t="s">
        <v>1722</v>
      </c>
      <c r="U3572" s="50" t="s">
        <v>1989</v>
      </c>
      <c r="V3572" s="50" t="s">
        <v>1379</v>
      </c>
      <c r="W3572" s="50" t="s">
        <v>1715</v>
      </c>
      <c r="X3572" s="50" t="s">
        <v>1379</v>
      </c>
      <c r="Y3572" s="50" t="s">
        <v>1379</v>
      </c>
      <c r="AA3572" s="330">
        <v>61</v>
      </c>
      <c r="AB3572" s="330">
        <v>11</v>
      </c>
      <c r="AC3572" s="37" t="s">
        <v>240</v>
      </c>
      <c r="AD3572" s="37">
        <v>5.3</v>
      </c>
      <c r="AE3572" s="37">
        <v>1.02</v>
      </c>
      <c r="AG3572" s="37" t="s">
        <v>2755</v>
      </c>
      <c r="AH3572" s="37" t="s">
        <v>3327</v>
      </c>
      <c r="AI3572" s="37" t="s">
        <v>1583</v>
      </c>
      <c r="AJ3572" s="37" t="s">
        <v>1645</v>
      </c>
      <c r="AK3572" s="37" t="s">
        <v>132</v>
      </c>
      <c r="AW3572" s="37" t="s">
        <v>2780</v>
      </c>
      <c r="AX3572" s="37">
        <v>3</v>
      </c>
      <c r="AZ3572" s="37" t="s">
        <v>141</v>
      </c>
      <c r="BE3572" s="37" t="s">
        <v>3334</v>
      </c>
      <c r="BF3572" s="37">
        <v>2100</v>
      </c>
      <c r="BG3572" s="37">
        <v>4600</v>
      </c>
      <c r="BJ3572" s="37" t="s">
        <v>2941</v>
      </c>
      <c r="BK3572" s="37">
        <v>900</v>
      </c>
      <c r="BL3572" s="37">
        <v>3600</v>
      </c>
      <c r="BU3572" s="406">
        <v>1.2</v>
      </c>
      <c r="BV3572" s="406">
        <v>1.3</v>
      </c>
      <c r="CE3572" s="559">
        <v>1.2</v>
      </c>
      <c r="CF3572" s="559">
        <v>1.3</v>
      </c>
      <c r="CG3572" s="556"/>
      <c r="CH3572" s="556"/>
      <c r="CI3572" s="37" t="s">
        <v>4546</v>
      </c>
      <c r="CJ3572" s="37">
        <v>15.9</v>
      </c>
      <c r="CK3572" s="37">
        <v>17.899999999999999</v>
      </c>
      <c r="CN3572" s="37" t="s">
        <v>3335</v>
      </c>
      <c r="CO3572" s="37">
        <v>13.9</v>
      </c>
      <c r="CP3572" s="37">
        <v>12</v>
      </c>
      <c r="CS3572" s="37" t="s">
        <v>2286</v>
      </c>
      <c r="CT3572" s="37">
        <v>0.28999999999999998</v>
      </c>
      <c r="CU3572" s="37">
        <v>0.24</v>
      </c>
      <c r="CX3572" s="37" t="s">
        <v>3336</v>
      </c>
      <c r="CY3572" s="37">
        <v>4.2</v>
      </c>
      <c r="CZ3572" s="37">
        <v>4.2</v>
      </c>
      <c r="DD3572" s="37">
        <f t="shared" si="489"/>
        <v>2.23</v>
      </c>
      <c r="DE3572" s="37">
        <v>2.13</v>
      </c>
      <c r="DH3572" s="37" t="s">
        <v>3337</v>
      </c>
      <c r="GF3572" s="37">
        <v>1.2</v>
      </c>
      <c r="GG3572" s="37">
        <v>3.9</v>
      </c>
      <c r="GJ3572" s="37" t="s">
        <v>3338</v>
      </c>
      <c r="JB3572" s="37" t="s">
        <v>3339</v>
      </c>
    </row>
    <row r="3573" spans="1:264" x14ac:dyDescent="0.25">
      <c r="A3573" s="37">
        <v>165</v>
      </c>
      <c r="B3573" s="50" t="s">
        <v>3340</v>
      </c>
      <c r="C3573" s="37" t="s">
        <v>3323</v>
      </c>
      <c r="D3573" s="37" t="s">
        <v>3324</v>
      </c>
      <c r="E3573" s="37">
        <v>2002</v>
      </c>
      <c r="F3573" s="37">
        <v>2001</v>
      </c>
      <c r="G3573" s="37" t="s">
        <v>112</v>
      </c>
      <c r="H3573" s="37" t="s">
        <v>3326</v>
      </c>
      <c r="I3573" s="37" t="s">
        <v>2829</v>
      </c>
      <c r="J3573" s="37">
        <f t="shared" si="487"/>
        <v>-13.65</v>
      </c>
      <c r="K3573" s="37">
        <f t="shared" si="488"/>
        <v>32.56666666666667</v>
      </c>
      <c r="L3573" s="37">
        <v>1028</v>
      </c>
      <c r="N3573" s="37">
        <v>20.5</v>
      </c>
      <c r="P3573" s="37">
        <v>960</v>
      </c>
      <c r="R3573" s="50" t="s">
        <v>1858</v>
      </c>
      <c r="S3573" s="50" t="s">
        <v>1722</v>
      </c>
      <c r="U3573" s="50" t="s">
        <v>1989</v>
      </c>
      <c r="V3573" s="50" t="s">
        <v>1379</v>
      </c>
      <c r="W3573" s="50" t="s">
        <v>1715</v>
      </c>
      <c r="X3573" s="50" t="s">
        <v>1379</v>
      </c>
      <c r="Y3573" s="50" t="s">
        <v>1379</v>
      </c>
      <c r="AA3573" s="330">
        <v>61</v>
      </c>
      <c r="AB3573" s="330">
        <v>11</v>
      </c>
      <c r="AC3573" s="37" t="s">
        <v>240</v>
      </c>
      <c r="AD3573" s="37">
        <v>5.3</v>
      </c>
      <c r="AE3573" s="37">
        <v>1.02</v>
      </c>
      <c r="AG3573" s="37" t="s">
        <v>2755</v>
      </c>
      <c r="AH3573" s="37" t="s">
        <v>3328</v>
      </c>
      <c r="AI3573" s="37" t="s">
        <v>1583</v>
      </c>
      <c r="AJ3573" s="37" t="s">
        <v>1645</v>
      </c>
      <c r="AK3573" s="37" t="s">
        <v>132</v>
      </c>
      <c r="AW3573" s="37" t="s">
        <v>2780</v>
      </c>
      <c r="AX3573" s="37">
        <v>3</v>
      </c>
      <c r="AZ3573" s="37" t="s">
        <v>141</v>
      </c>
      <c r="BE3573" s="37" t="s">
        <v>3334</v>
      </c>
      <c r="BF3573" s="37">
        <v>2100</v>
      </c>
      <c r="BG3573" s="37">
        <v>5500</v>
      </c>
      <c r="BJ3573" s="37" t="s">
        <v>2941</v>
      </c>
      <c r="BK3573" s="37">
        <v>900</v>
      </c>
      <c r="BL3573" s="37">
        <v>4000</v>
      </c>
      <c r="BU3573" s="406">
        <v>1.2</v>
      </c>
      <c r="BV3573" s="406">
        <v>1.3</v>
      </c>
      <c r="CE3573" s="559">
        <v>1.2</v>
      </c>
      <c r="CF3573" s="559">
        <v>1.3</v>
      </c>
      <c r="CG3573" s="556"/>
      <c r="CH3573" s="556"/>
      <c r="CI3573" s="37" t="s">
        <v>4546</v>
      </c>
      <c r="CJ3573" s="37">
        <v>15.9</v>
      </c>
      <c r="CK3573" s="37">
        <v>19.8</v>
      </c>
      <c r="CN3573" s="37" t="s">
        <v>3335</v>
      </c>
      <c r="CO3573" s="37">
        <v>13.9</v>
      </c>
      <c r="CP3573" s="37">
        <v>11.9</v>
      </c>
      <c r="CS3573" s="37" t="s">
        <v>2286</v>
      </c>
      <c r="CT3573" s="37">
        <v>0.28999999999999998</v>
      </c>
      <c r="CU3573" s="37">
        <v>0.3</v>
      </c>
      <c r="CX3573" s="37" t="s">
        <v>3336</v>
      </c>
      <c r="CY3573" s="37">
        <v>4.2</v>
      </c>
      <c r="CZ3573" s="37">
        <v>4.3</v>
      </c>
      <c r="DD3573" s="37">
        <f t="shared" si="489"/>
        <v>2.23</v>
      </c>
      <c r="DE3573" s="37">
        <v>2.8</v>
      </c>
      <c r="DH3573" s="37" t="s">
        <v>3337</v>
      </c>
      <c r="GF3573" s="37">
        <v>1.2</v>
      </c>
      <c r="GG3573" s="37">
        <v>3.4</v>
      </c>
      <c r="GJ3573" s="37" t="s">
        <v>3338</v>
      </c>
      <c r="JB3573" s="37" t="s">
        <v>3339</v>
      </c>
    </row>
    <row r="3574" spans="1:264" x14ac:dyDescent="0.25">
      <c r="A3574" s="37">
        <v>165</v>
      </c>
      <c r="B3574" s="50" t="s">
        <v>3340</v>
      </c>
      <c r="C3574" s="37" t="s">
        <v>3323</v>
      </c>
      <c r="D3574" s="37" t="s">
        <v>3324</v>
      </c>
      <c r="E3574" s="37">
        <v>2002</v>
      </c>
      <c r="F3574" s="37">
        <v>2001</v>
      </c>
      <c r="G3574" s="37" t="s">
        <v>112</v>
      </c>
      <c r="H3574" s="37" t="s">
        <v>3326</v>
      </c>
      <c r="I3574" s="37" t="s">
        <v>2829</v>
      </c>
      <c r="J3574" s="37">
        <f t="shared" si="487"/>
        <v>-13.65</v>
      </c>
      <c r="K3574" s="37">
        <f t="shared" si="488"/>
        <v>32.56666666666667</v>
      </c>
      <c r="L3574" s="37">
        <v>1028</v>
      </c>
      <c r="N3574" s="37">
        <v>20.5</v>
      </c>
      <c r="P3574" s="37">
        <v>960</v>
      </c>
      <c r="R3574" s="50" t="s">
        <v>1858</v>
      </c>
      <c r="S3574" s="50" t="s">
        <v>1722</v>
      </c>
      <c r="U3574" s="50" t="s">
        <v>1989</v>
      </c>
      <c r="V3574" s="50" t="s">
        <v>1379</v>
      </c>
      <c r="W3574" s="50" t="s">
        <v>1715</v>
      </c>
      <c r="X3574" s="50" t="s">
        <v>1379</v>
      </c>
      <c r="Y3574" s="50" t="s">
        <v>1379</v>
      </c>
      <c r="AA3574" s="330">
        <v>61</v>
      </c>
      <c r="AB3574" s="330">
        <v>11</v>
      </c>
      <c r="AC3574" s="37" t="s">
        <v>240</v>
      </c>
      <c r="AD3574" s="37">
        <v>5.3</v>
      </c>
      <c r="AE3574" s="37">
        <v>1.02</v>
      </c>
      <c r="AG3574" s="37" t="s">
        <v>2755</v>
      </c>
      <c r="AH3574" s="37" t="s">
        <v>3329</v>
      </c>
      <c r="AI3574" s="37" t="s">
        <v>1583</v>
      </c>
      <c r="AJ3574" s="37" t="s">
        <v>1645</v>
      </c>
      <c r="AK3574" s="37" t="s">
        <v>132</v>
      </c>
      <c r="AW3574" s="37" t="s">
        <v>2780</v>
      </c>
      <c r="AX3574" s="37">
        <v>3</v>
      </c>
      <c r="AZ3574" s="37" t="s">
        <v>141</v>
      </c>
      <c r="BE3574" s="37" t="s">
        <v>3334</v>
      </c>
      <c r="BF3574" s="37">
        <v>2100</v>
      </c>
      <c r="BG3574" s="37">
        <v>4600</v>
      </c>
      <c r="BJ3574" s="37" t="s">
        <v>2941</v>
      </c>
      <c r="BK3574" s="37">
        <v>900</v>
      </c>
      <c r="BL3574" s="37">
        <v>4500</v>
      </c>
      <c r="BU3574" s="406">
        <v>1.2</v>
      </c>
      <c r="BV3574" s="406">
        <v>1.2</v>
      </c>
      <c r="CE3574" s="559">
        <v>1.2</v>
      </c>
      <c r="CF3574" s="559">
        <v>1.2</v>
      </c>
      <c r="CG3574" s="556"/>
      <c r="CH3574" s="556"/>
      <c r="CI3574" s="37" t="s">
        <v>4546</v>
      </c>
      <c r="CJ3574" s="37">
        <v>15.9</v>
      </c>
      <c r="CK3574" s="37">
        <v>17.399999999999999</v>
      </c>
      <c r="CN3574" s="37" t="s">
        <v>3335</v>
      </c>
      <c r="CO3574" s="37">
        <v>13.9</v>
      </c>
      <c r="CP3574" s="37">
        <v>13.7</v>
      </c>
      <c r="CS3574" s="37" t="s">
        <v>2286</v>
      </c>
      <c r="CT3574" s="37">
        <v>0.28999999999999998</v>
      </c>
      <c r="CU3574" s="37">
        <v>0.28000000000000003</v>
      </c>
      <c r="CX3574" s="37" t="s">
        <v>3336</v>
      </c>
      <c r="CY3574" s="37">
        <v>4.2</v>
      </c>
      <c r="CZ3574" s="37">
        <v>4.7</v>
      </c>
      <c r="DD3574" s="37">
        <f t="shared" si="489"/>
        <v>2.23</v>
      </c>
      <c r="DE3574" s="37">
        <v>2.17</v>
      </c>
      <c r="DH3574" s="37" t="s">
        <v>3337</v>
      </c>
      <c r="GF3574" s="37">
        <v>1.2</v>
      </c>
      <c r="GG3574" s="37">
        <v>3.6</v>
      </c>
      <c r="GJ3574" s="37" t="s">
        <v>3338</v>
      </c>
      <c r="JB3574" s="37" t="s">
        <v>3339</v>
      </c>
    </row>
    <row r="3575" spans="1:264" x14ac:dyDescent="0.25">
      <c r="A3575" s="37">
        <v>165</v>
      </c>
      <c r="B3575" s="50" t="s">
        <v>3340</v>
      </c>
      <c r="C3575" s="37" t="s">
        <v>3323</v>
      </c>
      <c r="D3575" s="37" t="s">
        <v>3324</v>
      </c>
      <c r="E3575" s="37">
        <v>2002</v>
      </c>
      <c r="F3575" s="37">
        <v>2001</v>
      </c>
      <c r="G3575" s="37" t="s">
        <v>112</v>
      </c>
      <c r="H3575" s="37" t="s">
        <v>3326</v>
      </c>
      <c r="I3575" s="37" t="s">
        <v>2829</v>
      </c>
      <c r="J3575" s="37">
        <f t="shared" si="487"/>
        <v>-13.65</v>
      </c>
      <c r="K3575" s="37">
        <f t="shared" si="488"/>
        <v>32.56666666666667</v>
      </c>
      <c r="L3575" s="37">
        <v>1028</v>
      </c>
      <c r="N3575" s="37">
        <v>20.5</v>
      </c>
      <c r="P3575" s="37">
        <v>960</v>
      </c>
      <c r="R3575" s="50" t="s">
        <v>1858</v>
      </c>
      <c r="S3575" s="50" t="s">
        <v>1722</v>
      </c>
      <c r="U3575" s="50" t="s">
        <v>1989</v>
      </c>
      <c r="V3575" s="50" t="s">
        <v>1379</v>
      </c>
      <c r="W3575" s="50" t="s">
        <v>1715</v>
      </c>
      <c r="X3575" s="50" t="s">
        <v>1379</v>
      </c>
      <c r="Y3575" s="50" t="s">
        <v>1379</v>
      </c>
      <c r="AA3575" s="330">
        <v>61</v>
      </c>
      <c r="AB3575" s="330">
        <v>11</v>
      </c>
      <c r="AC3575" s="37" t="s">
        <v>240</v>
      </c>
      <c r="AD3575" s="37">
        <v>5.3</v>
      </c>
      <c r="AE3575" s="37">
        <v>1.02</v>
      </c>
      <c r="AG3575" s="37" t="s">
        <v>2755</v>
      </c>
      <c r="AH3575" s="37" t="s">
        <v>3330</v>
      </c>
      <c r="AI3575" s="37" t="s">
        <v>1583</v>
      </c>
      <c r="AJ3575" s="37" t="s">
        <v>1645</v>
      </c>
      <c r="AK3575" s="37" t="s">
        <v>132</v>
      </c>
      <c r="AW3575" s="37" t="s">
        <v>2780</v>
      </c>
      <c r="AX3575" s="37">
        <v>3</v>
      </c>
      <c r="AZ3575" s="37" t="s">
        <v>141</v>
      </c>
      <c r="BE3575" s="37" t="s">
        <v>3334</v>
      </c>
      <c r="BF3575" s="37">
        <v>2100</v>
      </c>
      <c r="BG3575" s="37">
        <v>4500</v>
      </c>
      <c r="BJ3575" s="37" t="s">
        <v>2941</v>
      </c>
      <c r="BK3575" s="37">
        <v>900</v>
      </c>
      <c r="BL3575" s="37">
        <v>4700</v>
      </c>
      <c r="BU3575" s="406">
        <v>1.2</v>
      </c>
      <c r="BV3575" s="406">
        <v>1.2</v>
      </c>
      <c r="CE3575" s="559">
        <v>1.2</v>
      </c>
      <c r="CF3575" s="559">
        <v>1.2</v>
      </c>
      <c r="CG3575" s="556"/>
      <c r="CH3575" s="556"/>
      <c r="CI3575" s="37" t="s">
        <v>4546</v>
      </c>
      <c r="CJ3575" s="37">
        <v>15.9</v>
      </c>
      <c r="CK3575" s="37">
        <v>15.3</v>
      </c>
      <c r="CN3575" s="37" t="s">
        <v>3335</v>
      </c>
      <c r="CO3575" s="37">
        <v>13.9</v>
      </c>
      <c r="CP3575" s="37">
        <v>12.5</v>
      </c>
      <c r="CS3575" s="37" t="s">
        <v>2286</v>
      </c>
      <c r="CT3575" s="37">
        <v>0.28999999999999998</v>
      </c>
      <c r="CU3575" s="37">
        <v>0.22</v>
      </c>
      <c r="CX3575" s="37" t="s">
        <v>3336</v>
      </c>
      <c r="CY3575" s="37">
        <v>4.2</v>
      </c>
      <c r="CZ3575" s="37">
        <v>4.2</v>
      </c>
      <c r="DD3575" s="37">
        <f t="shared" si="489"/>
        <v>2.23</v>
      </c>
      <c r="DE3575" s="37">
        <v>2.1</v>
      </c>
      <c r="DH3575" s="37" t="s">
        <v>3337</v>
      </c>
      <c r="GF3575" s="37">
        <v>1.2</v>
      </c>
      <c r="GG3575" s="37">
        <v>3.4</v>
      </c>
      <c r="GJ3575" s="37" t="s">
        <v>3338</v>
      </c>
      <c r="JB3575" s="37" t="s">
        <v>3339</v>
      </c>
    </row>
    <row r="3576" spans="1:264" x14ac:dyDescent="0.25">
      <c r="A3576" s="37">
        <v>165</v>
      </c>
      <c r="B3576" s="50" t="s">
        <v>3340</v>
      </c>
      <c r="C3576" s="37" t="s">
        <v>3323</v>
      </c>
      <c r="D3576" s="37" t="s">
        <v>3324</v>
      </c>
      <c r="E3576" s="37">
        <v>2002</v>
      </c>
      <c r="F3576" s="37">
        <v>2001</v>
      </c>
      <c r="G3576" s="37" t="s">
        <v>112</v>
      </c>
      <c r="H3576" s="37" t="s">
        <v>3326</v>
      </c>
      <c r="I3576" s="37" t="s">
        <v>2829</v>
      </c>
      <c r="J3576" s="37">
        <f t="shared" si="487"/>
        <v>-13.65</v>
      </c>
      <c r="K3576" s="37">
        <f t="shared" si="488"/>
        <v>32.56666666666667</v>
      </c>
      <c r="L3576" s="37">
        <v>1028</v>
      </c>
      <c r="N3576" s="37">
        <v>20.5</v>
      </c>
      <c r="P3576" s="37">
        <v>960</v>
      </c>
      <c r="R3576" s="50" t="s">
        <v>1858</v>
      </c>
      <c r="S3576" s="50" t="s">
        <v>1722</v>
      </c>
      <c r="U3576" s="50" t="s">
        <v>1989</v>
      </c>
      <c r="V3576" s="50" t="s">
        <v>1379</v>
      </c>
      <c r="W3576" s="50" t="s">
        <v>1715</v>
      </c>
      <c r="X3576" s="50" t="s">
        <v>1379</v>
      </c>
      <c r="Y3576" s="50" t="s">
        <v>1379</v>
      </c>
      <c r="AA3576" s="330">
        <v>61</v>
      </c>
      <c r="AB3576" s="330">
        <v>11</v>
      </c>
      <c r="AC3576" s="37" t="s">
        <v>240</v>
      </c>
      <c r="AD3576" s="37">
        <v>5.3</v>
      </c>
      <c r="AE3576" s="37">
        <v>1.02</v>
      </c>
      <c r="AG3576" s="37" t="s">
        <v>2755</v>
      </c>
      <c r="AH3576" s="37" t="s">
        <v>3331</v>
      </c>
      <c r="AI3576" s="37" t="s">
        <v>1583</v>
      </c>
      <c r="AJ3576" s="37" t="s">
        <v>1645</v>
      </c>
      <c r="AK3576" s="37" t="s">
        <v>132</v>
      </c>
      <c r="AW3576" s="37" t="s">
        <v>2780</v>
      </c>
      <c r="AX3576" s="37">
        <v>3</v>
      </c>
      <c r="AZ3576" s="37" t="s">
        <v>141</v>
      </c>
      <c r="BE3576" s="37" t="s">
        <v>3334</v>
      </c>
      <c r="BF3576" s="37">
        <v>2100</v>
      </c>
      <c r="BG3576" s="37">
        <v>3900</v>
      </c>
      <c r="BJ3576" s="37" t="s">
        <v>2941</v>
      </c>
      <c r="BK3576" s="37">
        <v>900</v>
      </c>
      <c r="BL3576" s="37">
        <v>3300</v>
      </c>
      <c r="BU3576" s="406">
        <v>1.2</v>
      </c>
      <c r="BV3576" s="406">
        <v>1.6</v>
      </c>
      <c r="CE3576" s="559">
        <v>1.2</v>
      </c>
      <c r="CF3576" s="559">
        <v>1.6</v>
      </c>
      <c r="CG3576" s="556"/>
      <c r="CH3576" s="556"/>
      <c r="CI3576" s="37" t="s">
        <v>4546</v>
      </c>
      <c r="CJ3576" s="37">
        <v>15.9</v>
      </c>
      <c r="CK3576" s="37">
        <v>13.5</v>
      </c>
      <c r="CN3576" s="37" t="s">
        <v>3335</v>
      </c>
      <c r="CO3576" s="37">
        <v>13.9</v>
      </c>
      <c r="CP3576" s="37">
        <v>12.1</v>
      </c>
      <c r="CS3576" s="37" t="s">
        <v>2286</v>
      </c>
      <c r="CT3576" s="37">
        <v>0.28999999999999998</v>
      </c>
      <c r="CU3576" s="37">
        <v>0.23</v>
      </c>
      <c r="CX3576" s="37" t="s">
        <v>3336</v>
      </c>
      <c r="CY3576" s="37">
        <v>4.2</v>
      </c>
      <c r="CZ3576" s="37">
        <v>4.3</v>
      </c>
      <c r="DD3576" s="37">
        <f t="shared" si="489"/>
        <v>2.23</v>
      </c>
      <c r="DE3576" s="37">
        <v>2.37</v>
      </c>
      <c r="DH3576" s="37" t="s">
        <v>3337</v>
      </c>
      <c r="GF3576" s="37">
        <v>1.2</v>
      </c>
      <c r="GG3576" s="37">
        <v>1.8</v>
      </c>
      <c r="GJ3576" s="37" t="s">
        <v>3338</v>
      </c>
      <c r="JB3576" s="37" t="s">
        <v>3339</v>
      </c>
    </row>
    <row r="3577" spans="1:264" x14ac:dyDescent="0.25">
      <c r="A3577" s="37">
        <v>165</v>
      </c>
      <c r="B3577" s="50" t="s">
        <v>3340</v>
      </c>
      <c r="C3577" s="37" t="s">
        <v>3323</v>
      </c>
      <c r="D3577" s="37" t="s">
        <v>3324</v>
      </c>
      <c r="E3577" s="37">
        <v>2002</v>
      </c>
      <c r="F3577" s="37">
        <v>2001</v>
      </c>
      <c r="G3577" s="37" t="s">
        <v>112</v>
      </c>
      <c r="H3577" s="37" t="s">
        <v>3326</v>
      </c>
      <c r="I3577" s="37" t="s">
        <v>2829</v>
      </c>
      <c r="J3577" s="37">
        <f t="shared" si="487"/>
        <v>-13.65</v>
      </c>
      <c r="K3577" s="37">
        <f t="shared" si="488"/>
        <v>32.56666666666667</v>
      </c>
      <c r="L3577" s="37">
        <v>1028</v>
      </c>
      <c r="N3577" s="37">
        <v>20.5</v>
      </c>
      <c r="P3577" s="37">
        <v>960</v>
      </c>
      <c r="R3577" s="50" t="s">
        <v>1858</v>
      </c>
      <c r="S3577" s="50" t="s">
        <v>1722</v>
      </c>
      <c r="U3577" s="50" t="s">
        <v>1989</v>
      </c>
      <c r="V3577" s="50" t="s">
        <v>1379</v>
      </c>
      <c r="W3577" s="50" t="s">
        <v>1715</v>
      </c>
      <c r="X3577" s="50" t="s">
        <v>1379</v>
      </c>
      <c r="Y3577" s="50" t="s">
        <v>1379</v>
      </c>
      <c r="AA3577" s="330">
        <v>61</v>
      </c>
      <c r="AB3577" s="330">
        <v>11</v>
      </c>
      <c r="AC3577" s="37" t="s">
        <v>240</v>
      </c>
      <c r="AD3577" s="37">
        <v>5.3</v>
      </c>
      <c r="AE3577" s="37">
        <v>1.02</v>
      </c>
      <c r="AG3577" s="37" t="s">
        <v>2755</v>
      </c>
      <c r="AH3577" s="37" t="s">
        <v>2676</v>
      </c>
      <c r="AI3577" s="37" t="s">
        <v>577</v>
      </c>
      <c r="AJ3577" s="37" t="s">
        <v>1645</v>
      </c>
      <c r="AK3577" s="37" t="s">
        <v>132</v>
      </c>
      <c r="AW3577" s="37" t="s">
        <v>2780</v>
      </c>
      <c r="AX3577" s="37">
        <v>3</v>
      </c>
      <c r="AZ3577" s="37" t="s">
        <v>141</v>
      </c>
      <c r="BE3577" s="37" t="s">
        <v>3334</v>
      </c>
      <c r="BF3577" s="37">
        <v>2100</v>
      </c>
      <c r="BG3577" s="37">
        <v>4000</v>
      </c>
      <c r="BJ3577" s="37" t="s">
        <v>2941</v>
      </c>
      <c r="BK3577" s="37">
        <v>900</v>
      </c>
      <c r="BL3577" s="37">
        <v>2700</v>
      </c>
      <c r="BU3577" s="406">
        <v>1.2</v>
      </c>
      <c r="BV3577" s="406">
        <v>1.2</v>
      </c>
      <c r="CE3577" s="559">
        <v>1.2</v>
      </c>
      <c r="CF3577" s="559">
        <v>1.2</v>
      </c>
      <c r="CG3577" s="556"/>
      <c r="CH3577" s="556"/>
      <c r="CI3577" s="37" t="s">
        <v>4546</v>
      </c>
      <c r="CJ3577" s="37">
        <v>15.9</v>
      </c>
      <c r="CK3577" s="37">
        <v>14.2</v>
      </c>
      <c r="CN3577" s="37" t="s">
        <v>3335</v>
      </c>
      <c r="CO3577" s="37">
        <v>13.9</v>
      </c>
      <c r="CP3577" s="37">
        <v>12.5</v>
      </c>
      <c r="CS3577" s="37" t="s">
        <v>2286</v>
      </c>
      <c r="CT3577" s="37">
        <v>0.28999999999999998</v>
      </c>
      <c r="CU3577" s="37">
        <v>0.22</v>
      </c>
      <c r="CX3577" s="37" t="s">
        <v>3336</v>
      </c>
      <c r="CY3577" s="37">
        <v>4.2</v>
      </c>
      <c r="CZ3577" s="37">
        <v>4.8</v>
      </c>
      <c r="DD3577" s="37">
        <f t="shared" si="489"/>
        <v>2.23</v>
      </c>
      <c r="DE3577" s="37">
        <v>3.9</v>
      </c>
      <c r="DH3577" s="37" t="s">
        <v>3337</v>
      </c>
      <c r="GF3577" s="37">
        <v>1.2</v>
      </c>
      <c r="GG3577" s="37">
        <v>1.7</v>
      </c>
      <c r="GJ3577" s="37" t="s">
        <v>3338</v>
      </c>
      <c r="JB3577" s="37" t="s">
        <v>3339</v>
      </c>
    </row>
    <row r="3578" spans="1:264" x14ac:dyDescent="0.25">
      <c r="A3578" s="37">
        <v>165</v>
      </c>
      <c r="B3578" s="50" t="s">
        <v>3340</v>
      </c>
      <c r="C3578" s="37" t="s">
        <v>3323</v>
      </c>
      <c r="D3578" s="37" t="s">
        <v>3324</v>
      </c>
      <c r="E3578" s="37">
        <v>2002</v>
      </c>
      <c r="F3578" s="37">
        <v>2001</v>
      </c>
      <c r="G3578" s="37" t="s">
        <v>112</v>
      </c>
      <c r="H3578" s="37" t="s">
        <v>3326</v>
      </c>
      <c r="I3578" s="37" t="s">
        <v>2829</v>
      </c>
      <c r="J3578" s="37">
        <f t="shared" si="487"/>
        <v>-13.65</v>
      </c>
      <c r="K3578" s="37">
        <f t="shared" si="488"/>
        <v>32.56666666666667</v>
      </c>
      <c r="L3578" s="37">
        <v>1028</v>
      </c>
      <c r="N3578" s="37">
        <v>20.5</v>
      </c>
      <c r="P3578" s="37">
        <v>960</v>
      </c>
      <c r="R3578" s="50" t="s">
        <v>1858</v>
      </c>
      <c r="S3578" s="50" t="s">
        <v>1722</v>
      </c>
      <c r="U3578" s="50" t="s">
        <v>1989</v>
      </c>
      <c r="V3578" s="50" t="s">
        <v>1379</v>
      </c>
      <c r="W3578" s="50" t="s">
        <v>1715</v>
      </c>
      <c r="X3578" s="50" t="s">
        <v>1379</v>
      </c>
      <c r="Y3578" s="50" t="s">
        <v>1379</v>
      </c>
      <c r="AA3578" s="330">
        <v>61</v>
      </c>
      <c r="AB3578" s="330">
        <v>11</v>
      </c>
      <c r="AC3578" s="37" t="s">
        <v>240</v>
      </c>
      <c r="AD3578" s="37">
        <v>5.3</v>
      </c>
      <c r="AE3578" s="37">
        <v>1.02</v>
      </c>
      <c r="AG3578" s="37" t="s">
        <v>2755</v>
      </c>
      <c r="AH3578" s="37" t="s">
        <v>2744</v>
      </c>
      <c r="AI3578" s="37" t="s">
        <v>577</v>
      </c>
      <c r="AJ3578" s="37" t="s">
        <v>1645</v>
      </c>
      <c r="AK3578" s="37" t="s">
        <v>132</v>
      </c>
      <c r="AW3578" s="37" t="s">
        <v>2780</v>
      </c>
      <c r="AX3578" s="37">
        <v>3</v>
      </c>
      <c r="AZ3578" s="37" t="s">
        <v>141</v>
      </c>
      <c r="BE3578" s="37" t="s">
        <v>3334</v>
      </c>
      <c r="BF3578" s="37">
        <v>2100</v>
      </c>
      <c r="BG3578" s="37">
        <v>3500</v>
      </c>
      <c r="BJ3578" s="37" t="s">
        <v>2941</v>
      </c>
      <c r="BK3578" s="37">
        <v>900</v>
      </c>
      <c r="BL3578" s="37">
        <v>2400</v>
      </c>
      <c r="BU3578" s="406">
        <v>1.2</v>
      </c>
      <c r="BV3578" s="406">
        <v>1.2</v>
      </c>
      <c r="CE3578" s="559">
        <v>1.2</v>
      </c>
      <c r="CF3578" s="559">
        <v>1.2</v>
      </c>
      <c r="CG3578" s="556"/>
      <c r="CH3578" s="556"/>
      <c r="CI3578" s="37" t="s">
        <v>4546</v>
      </c>
      <c r="CJ3578" s="37">
        <v>15.9</v>
      </c>
      <c r="CK3578" s="37">
        <v>14.6</v>
      </c>
      <c r="CN3578" s="37" t="s">
        <v>3335</v>
      </c>
      <c r="CO3578" s="37">
        <v>13.9</v>
      </c>
      <c r="CP3578" s="37">
        <v>12.4</v>
      </c>
      <c r="CS3578" s="37" t="s">
        <v>2286</v>
      </c>
      <c r="CT3578" s="37">
        <v>0.28999999999999998</v>
      </c>
      <c r="CU3578" s="37">
        <v>0.3</v>
      </c>
      <c r="CX3578" s="37" t="s">
        <v>3336</v>
      </c>
      <c r="CY3578" s="37">
        <v>4.2</v>
      </c>
      <c r="CZ3578" s="37">
        <v>4.5</v>
      </c>
      <c r="DD3578" s="37">
        <f t="shared" si="489"/>
        <v>2.23</v>
      </c>
      <c r="DE3578" s="37">
        <v>2.5</v>
      </c>
      <c r="DH3578" s="37" t="s">
        <v>3337</v>
      </c>
      <c r="GF3578" s="37">
        <v>1.2</v>
      </c>
      <c r="GG3578" s="37">
        <v>1.6</v>
      </c>
      <c r="GJ3578" s="37" t="s">
        <v>3338</v>
      </c>
      <c r="JB3578" s="37" t="s">
        <v>3339</v>
      </c>
    </row>
    <row r="3579" spans="1:264" x14ac:dyDescent="0.25">
      <c r="A3579" s="37">
        <v>165</v>
      </c>
      <c r="B3579" s="50" t="s">
        <v>3340</v>
      </c>
      <c r="C3579" s="37" t="s">
        <v>3323</v>
      </c>
      <c r="D3579" s="37" t="s">
        <v>3324</v>
      </c>
      <c r="E3579" s="37">
        <v>2002</v>
      </c>
      <c r="F3579" s="37">
        <v>2001</v>
      </c>
      <c r="G3579" s="37" t="s">
        <v>112</v>
      </c>
      <c r="H3579" s="37" t="s">
        <v>3326</v>
      </c>
      <c r="I3579" s="37" t="s">
        <v>2829</v>
      </c>
      <c r="J3579" s="37">
        <f t="shared" si="487"/>
        <v>-13.65</v>
      </c>
      <c r="K3579" s="37">
        <f t="shared" si="488"/>
        <v>32.56666666666667</v>
      </c>
      <c r="L3579" s="37">
        <v>1028</v>
      </c>
      <c r="N3579" s="37">
        <v>20.5</v>
      </c>
      <c r="P3579" s="37">
        <v>960</v>
      </c>
      <c r="R3579" s="50" t="s">
        <v>1858</v>
      </c>
      <c r="S3579" s="50" t="s">
        <v>1722</v>
      </c>
      <c r="U3579" s="50" t="s">
        <v>1989</v>
      </c>
      <c r="V3579" s="50" t="s">
        <v>1379</v>
      </c>
      <c r="W3579" s="50" t="s">
        <v>1715</v>
      </c>
      <c r="X3579" s="50" t="s">
        <v>1379</v>
      </c>
      <c r="Y3579" s="50" t="s">
        <v>1379</v>
      </c>
      <c r="AA3579" s="330">
        <v>61</v>
      </c>
      <c r="AB3579" s="330">
        <v>11</v>
      </c>
      <c r="AC3579" s="37" t="s">
        <v>240</v>
      </c>
      <c r="AD3579" s="37">
        <v>5.3</v>
      </c>
      <c r="AE3579" s="37">
        <v>1.02</v>
      </c>
      <c r="AG3579" s="37" t="s">
        <v>2755</v>
      </c>
      <c r="AH3579" s="37" t="s">
        <v>3332</v>
      </c>
      <c r="AI3579" s="37" t="s">
        <v>1583</v>
      </c>
      <c r="AJ3579" s="37" t="s">
        <v>1645</v>
      </c>
      <c r="AK3579" s="37" t="s">
        <v>132</v>
      </c>
      <c r="AW3579" s="37" t="s">
        <v>2780</v>
      </c>
      <c r="AX3579" s="37">
        <v>3</v>
      </c>
      <c r="AZ3579" s="37" t="s">
        <v>141</v>
      </c>
      <c r="BE3579" s="37" t="s">
        <v>3334</v>
      </c>
      <c r="BF3579" s="37">
        <v>2100</v>
      </c>
      <c r="BG3579" s="37">
        <v>4400</v>
      </c>
      <c r="BJ3579" s="37" t="s">
        <v>2941</v>
      </c>
      <c r="BK3579" s="37">
        <v>900</v>
      </c>
      <c r="BL3579" s="37">
        <v>3600</v>
      </c>
      <c r="BU3579" s="406">
        <v>1.2</v>
      </c>
      <c r="BV3579" s="406">
        <v>1.1000000000000001</v>
      </c>
      <c r="CE3579" s="559">
        <v>1.2</v>
      </c>
      <c r="CF3579" s="559">
        <v>1.1000000000000001</v>
      </c>
      <c r="CG3579" s="556"/>
      <c r="CH3579" s="556"/>
      <c r="CI3579" s="37" t="s">
        <v>4546</v>
      </c>
      <c r="CJ3579" s="37">
        <v>15.9</v>
      </c>
      <c r="CK3579" s="37">
        <v>12.8</v>
      </c>
      <c r="CN3579" s="37" t="s">
        <v>3335</v>
      </c>
      <c r="CO3579" s="37">
        <v>13.9</v>
      </c>
      <c r="CP3579" s="37">
        <v>13</v>
      </c>
      <c r="CS3579" s="37" t="s">
        <v>2286</v>
      </c>
      <c r="CT3579" s="37">
        <v>0.28999999999999998</v>
      </c>
      <c r="CU3579" s="37">
        <v>0.18</v>
      </c>
      <c r="CX3579" s="37" t="s">
        <v>3336</v>
      </c>
      <c r="CY3579" s="37">
        <v>4.2</v>
      </c>
      <c r="CZ3579" s="37">
        <v>4.2</v>
      </c>
      <c r="DD3579" s="37">
        <f t="shared" si="489"/>
        <v>2.23</v>
      </c>
      <c r="DE3579" s="37">
        <v>2.37</v>
      </c>
      <c r="DH3579" s="37" t="s">
        <v>3337</v>
      </c>
      <c r="GF3579" s="37">
        <v>1.2</v>
      </c>
      <c r="GG3579" s="37">
        <v>1.7</v>
      </c>
      <c r="GJ3579" s="37" t="s">
        <v>3338</v>
      </c>
      <c r="JB3579" s="37" t="s">
        <v>3339</v>
      </c>
    </row>
    <row r="3580" spans="1:264" s="126" customFormat="1" x14ac:dyDescent="0.25">
      <c r="A3580" s="126">
        <v>165</v>
      </c>
      <c r="B3580" s="478" t="s">
        <v>3341</v>
      </c>
      <c r="C3580" s="126" t="s">
        <v>3323</v>
      </c>
      <c r="D3580" s="126" t="s">
        <v>3324</v>
      </c>
      <c r="E3580" s="126">
        <v>2002</v>
      </c>
      <c r="F3580" s="126">
        <v>2001</v>
      </c>
      <c r="G3580" s="126" t="s">
        <v>112</v>
      </c>
      <c r="H3580" s="126" t="s">
        <v>3326</v>
      </c>
      <c r="I3580" s="126" t="s">
        <v>2829</v>
      </c>
      <c r="J3580" s="126">
        <f t="shared" si="487"/>
        <v>-13.65</v>
      </c>
      <c r="K3580" s="126">
        <f t="shared" si="488"/>
        <v>32.56666666666667</v>
      </c>
      <c r="L3580" s="126">
        <v>1028</v>
      </c>
      <c r="N3580" s="126">
        <v>20.5</v>
      </c>
      <c r="P3580" s="126">
        <v>960</v>
      </c>
      <c r="R3580" s="478" t="s">
        <v>1858</v>
      </c>
      <c r="S3580" s="478" t="s">
        <v>1722</v>
      </c>
      <c r="T3580" s="478"/>
      <c r="U3580" s="478" t="s">
        <v>1989</v>
      </c>
      <c r="V3580" s="478" t="s">
        <v>1379</v>
      </c>
      <c r="W3580" s="478" t="s">
        <v>1715</v>
      </c>
      <c r="X3580" s="478" t="s">
        <v>1379</v>
      </c>
      <c r="Y3580" s="478" t="s">
        <v>1379</v>
      </c>
      <c r="AA3580" s="479">
        <v>61</v>
      </c>
      <c r="AB3580" s="479">
        <v>11</v>
      </c>
      <c r="AC3580" s="126" t="s">
        <v>240</v>
      </c>
      <c r="AD3580" s="126">
        <v>5.3</v>
      </c>
      <c r="AE3580" s="126">
        <v>1.02</v>
      </c>
      <c r="AG3580" s="126" t="s">
        <v>2755</v>
      </c>
      <c r="AH3580" s="126" t="s">
        <v>2853</v>
      </c>
      <c r="AI3580" s="126" t="s">
        <v>577</v>
      </c>
      <c r="AJ3580" s="126" t="s">
        <v>1645</v>
      </c>
      <c r="AK3580" s="126" t="s">
        <v>132</v>
      </c>
      <c r="AW3580" s="126" t="s">
        <v>3333</v>
      </c>
      <c r="AX3580" s="126">
        <v>3</v>
      </c>
      <c r="AZ3580" s="126" t="s">
        <v>141</v>
      </c>
      <c r="BC3580" s="37"/>
      <c r="BE3580" s="126" t="s">
        <v>3334</v>
      </c>
      <c r="BF3580" s="126">
        <v>2600</v>
      </c>
      <c r="BG3580" s="126">
        <v>4300</v>
      </c>
      <c r="BJ3580" s="126" t="s">
        <v>2941</v>
      </c>
      <c r="BK3580" s="126">
        <v>1300</v>
      </c>
      <c r="BL3580" s="126">
        <v>3900</v>
      </c>
      <c r="BP3580" s="481"/>
      <c r="BQ3580" s="481"/>
      <c r="BU3580" s="481">
        <v>1</v>
      </c>
      <c r="BV3580" s="481">
        <v>1.5</v>
      </c>
      <c r="BZ3580" s="481"/>
      <c r="CA3580" s="481"/>
      <c r="CE3580" s="605">
        <v>1</v>
      </c>
      <c r="CF3580" s="605">
        <v>1.5</v>
      </c>
      <c r="CG3580" s="605"/>
      <c r="CH3580" s="605"/>
      <c r="CI3580" s="126" t="s">
        <v>4546</v>
      </c>
      <c r="CJ3580" s="126">
        <v>10.1</v>
      </c>
      <c r="CK3580" s="126">
        <v>22.7</v>
      </c>
      <c r="CN3580" s="126" t="s">
        <v>3335</v>
      </c>
      <c r="CO3580" s="126">
        <v>9.3000000000000007</v>
      </c>
      <c r="CP3580" s="126">
        <v>12.4</v>
      </c>
      <c r="CS3580" s="126" t="s">
        <v>2286</v>
      </c>
      <c r="CT3580" s="126">
        <v>0.25</v>
      </c>
      <c r="CU3580" s="126">
        <v>0.28999999999999998</v>
      </c>
      <c r="CX3580" s="126" t="s">
        <v>3336</v>
      </c>
      <c r="CY3580" s="126">
        <v>4.4000000000000004</v>
      </c>
      <c r="CZ3580" s="126">
        <v>4.2</v>
      </c>
      <c r="DD3580" s="126">
        <f>2.53</f>
        <v>2.5299999999999998</v>
      </c>
      <c r="DE3580" s="126">
        <v>1.93</v>
      </c>
      <c r="DH3580" s="126" t="s">
        <v>3337</v>
      </c>
      <c r="GF3580" s="126">
        <v>1.3</v>
      </c>
      <c r="GG3580" s="126">
        <v>3.6</v>
      </c>
      <c r="GJ3580" s="126" t="s">
        <v>3338</v>
      </c>
      <c r="JB3580" s="126" t="s">
        <v>3339</v>
      </c>
      <c r="JD3580" s="480"/>
    </row>
    <row r="3581" spans="1:264" s="126" customFormat="1" x14ac:dyDescent="0.25">
      <c r="A3581" s="126">
        <v>165</v>
      </c>
      <c r="B3581" s="478" t="s">
        <v>3341</v>
      </c>
      <c r="C3581" s="126" t="s">
        <v>3323</v>
      </c>
      <c r="D3581" s="126" t="s">
        <v>3324</v>
      </c>
      <c r="E3581" s="126">
        <v>2002</v>
      </c>
      <c r="F3581" s="126">
        <v>2001</v>
      </c>
      <c r="G3581" s="126" t="s">
        <v>112</v>
      </c>
      <c r="H3581" s="126" t="s">
        <v>3326</v>
      </c>
      <c r="I3581" s="126" t="s">
        <v>2829</v>
      </c>
      <c r="J3581" s="126">
        <f t="shared" si="487"/>
        <v>-13.65</v>
      </c>
      <c r="K3581" s="126">
        <f t="shared" si="488"/>
        <v>32.56666666666667</v>
      </c>
      <c r="L3581" s="126">
        <v>1028</v>
      </c>
      <c r="N3581" s="126">
        <v>20.5</v>
      </c>
      <c r="P3581" s="126">
        <v>960</v>
      </c>
      <c r="R3581" s="478" t="s">
        <v>1858</v>
      </c>
      <c r="S3581" s="478" t="s">
        <v>1722</v>
      </c>
      <c r="T3581" s="478"/>
      <c r="U3581" s="478" t="s">
        <v>1989</v>
      </c>
      <c r="V3581" s="478" t="s">
        <v>1379</v>
      </c>
      <c r="W3581" s="478" t="s">
        <v>1715</v>
      </c>
      <c r="X3581" s="478" t="s">
        <v>1379</v>
      </c>
      <c r="Y3581" s="478" t="s">
        <v>1379</v>
      </c>
      <c r="AA3581" s="479">
        <v>61</v>
      </c>
      <c r="AB3581" s="479">
        <v>11</v>
      </c>
      <c r="AC3581" s="126" t="s">
        <v>240</v>
      </c>
      <c r="AD3581" s="126">
        <v>5.3</v>
      </c>
      <c r="AE3581" s="126">
        <v>1.02</v>
      </c>
      <c r="AG3581" s="126" t="s">
        <v>2755</v>
      </c>
      <c r="AH3581" s="126" t="s">
        <v>2770</v>
      </c>
      <c r="AI3581" s="126" t="s">
        <v>577</v>
      </c>
      <c r="AJ3581" s="126" t="s">
        <v>1645</v>
      </c>
      <c r="AK3581" s="126" t="s">
        <v>132</v>
      </c>
      <c r="AW3581" s="126" t="s">
        <v>3333</v>
      </c>
      <c r="AX3581" s="126">
        <v>3</v>
      </c>
      <c r="AZ3581" s="126" t="s">
        <v>141</v>
      </c>
      <c r="BC3581" s="37"/>
      <c r="BE3581" s="126" t="s">
        <v>3334</v>
      </c>
      <c r="BF3581" s="126">
        <v>2600</v>
      </c>
      <c r="BG3581" s="126">
        <v>4500</v>
      </c>
      <c r="BJ3581" s="126" t="s">
        <v>2941</v>
      </c>
      <c r="BK3581" s="126">
        <v>1300</v>
      </c>
      <c r="BL3581" s="126">
        <v>3500</v>
      </c>
      <c r="BP3581" s="481"/>
      <c r="BQ3581" s="481"/>
      <c r="BU3581" s="481">
        <v>1</v>
      </c>
      <c r="BV3581" s="481">
        <v>1.1000000000000001</v>
      </c>
      <c r="BZ3581" s="481"/>
      <c r="CA3581" s="481"/>
      <c r="CE3581" s="605">
        <v>1</v>
      </c>
      <c r="CF3581" s="605">
        <v>1.1000000000000001</v>
      </c>
      <c r="CG3581" s="605"/>
      <c r="CH3581" s="605"/>
      <c r="CI3581" s="126" t="s">
        <v>4546</v>
      </c>
      <c r="CJ3581" s="126">
        <v>10.1</v>
      </c>
      <c r="CK3581" s="126">
        <v>19.600000000000001</v>
      </c>
      <c r="CN3581" s="126" t="s">
        <v>3335</v>
      </c>
      <c r="CO3581" s="126">
        <v>9.3000000000000007</v>
      </c>
      <c r="CP3581" s="126">
        <v>12.1</v>
      </c>
      <c r="CS3581" s="126" t="s">
        <v>2286</v>
      </c>
      <c r="CT3581" s="126">
        <v>0.25</v>
      </c>
      <c r="CU3581" s="126">
        <v>0.18</v>
      </c>
      <c r="CX3581" s="126" t="s">
        <v>3336</v>
      </c>
      <c r="CY3581" s="126">
        <v>4.4000000000000004</v>
      </c>
      <c r="CZ3581" s="126">
        <v>4.4000000000000004</v>
      </c>
      <c r="DD3581" s="126">
        <f t="shared" ref="DD3581:DD3589" si="490">2.53</f>
        <v>2.5299999999999998</v>
      </c>
      <c r="DE3581" s="126">
        <v>1.4</v>
      </c>
      <c r="DH3581" s="126" t="s">
        <v>3337</v>
      </c>
      <c r="GF3581" s="126">
        <v>1.3</v>
      </c>
      <c r="GG3581" s="126">
        <v>2.7</v>
      </c>
      <c r="GJ3581" s="126" t="s">
        <v>3338</v>
      </c>
      <c r="JB3581" s="126" t="s">
        <v>3339</v>
      </c>
      <c r="JD3581" s="480"/>
    </row>
    <row r="3582" spans="1:264" s="126" customFormat="1" x14ac:dyDescent="0.25">
      <c r="A3582" s="126">
        <v>165</v>
      </c>
      <c r="B3582" s="478" t="s">
        <v>3341</v>
      </c>
      <c r="C3582" s="126" t="s">
        <v>3323</v>
      </c>
      <c r="D3582" s="126" t="s">
        <v>3324</v>
      </c>
      <c r="E3582" s="126">
        <v>2002</v>
      </c>
      <c r="F3582" s="126">
        <v>2001</v>
      </c>
      <c r="G3582" s="126" t="s">
        <v>112</v>
      </c>
      <c r="H3582" s="126" t="s">
        <v>3326</v>
      </c>
      <c r="I3582" s="126" t="s">
        <v>2829</v>
      </c>
      <c r="J3582" s="126">
        <f t="shared" si="487"/>
        <v>-13.65</v>
      </c>
      <c r="K3582" s="126">
        <f t="shared" si="488"/>
        <v>32.56666666666667</v>
      </c>
      <c r="L3582" s="126">
        <v>1028</v>
      </c>
      <c r="N3582" s="126">
        <v>20.5</v>
      </c>
      <c r="P3582" s="126">
        <v>960</v>
      </c>
      <c r="R3582" s="478" t="s">
        <v>1858</v>
      </c>
      <c r="S3582" s="478" t="s">
        <v>1722</v>
      </c>
      <c r="T3582" s="478"/>
      <c r="U3582" s="478" t="s">
        <v>1989</v>
      </c>
      <c r="V3582" s="478" t="s">
        <v>1379</v>
      </c>
      <c r="W3582" s="478" t="s">
        <v>1715</v>
      </c>
      <c r="X3582" s="478" t="s">
        <v>1379</v>
      </c>
      <c r="Y3582" s="478" t="s">
        <v>1379</v>
      </c>
      <c r="AA3582" s="479">
        <v>61</v>
      </c>
      <c r="AB3582" s="479">
        <v>11</v>
      </c>
      <c r="AC3582" s="126" t="s">
        <v>240</v>
      </c>
      <c r="AD3582" s="126">
        <v>5.3</v>
      </c>
      <c r="AE3582" s="126">
        <v>1.02</v>
      </c>
      <c r="AG3582" s="126" t="s">
        <v>2755</v>
      </c>
      <c r="AH3582" s="126" t="s">
        <v>3327</v>
      </c>
      <c r="AI3582" s="126" t="s">
        <v>1583</v>
      </c>
      <c r="AJ3582" s="126" t="s">
        <v>1645</v>
      </c>
      <c r="AK3582" s="126" t="s">
        <v>132</v>
      </c>
      <c r="AW3582" s="126" t="s">
        <v>3333</v>
      </c>
      <c r="AX3582" s="126">
        <v>3</v>
      </c>
      <c r="AZ3582" s="126" t="s">
        <v>141</v>
      </c>
      <c r="BC3582" s="37"/>
      <c r="BE3582" s="126" t="s">
        <v>3334</v>
      </c>
      <c r="BF3582" s="126">
        <v>2600</v>
      </c>
      <c r="BG3582" s="126">
        <v>4600</v>
      </c>
      <c r="BJ3582" s="126" t="s">
        <v>2941</v>
      </c>
      <c r="BK3582" s="126">
        <v>1300</v>
      </c>
      <c r="BL3582" s="126">
        <v>3600</v>
      </c>
      <c r="BP3582" s="481"/>
      <c r="BQ3582" s="481"/>
      <c r="BU3582" s="481">
        <v>1</v>
      </c>
      <c r="BV3582" s="481">
        <v>1.3</v>
      </c>
      <c r="BZ3582" s="481"/>
      <c r="CA3582" s="481"/>
      <c r="CE3582" s="605">
        <v>1</v>
      </c>
      <c r="CF3582" s="605">
        <v>1.3</v>
      </c>
      <c r="CG3582" s="605"/>
      <c r="CH3582" s="605"/>
      <c r="CI3582" s="126" t="s">
        <v>4546</v>
      </c>
      <c r="CJ3582" s="126">
        <v>10.1</v>
      </c>
      <c r="CK3582" s="126">
        <v>17.899999999999999</v>
      </c>
      <c r="CN3582" s="126" t="s">
        <v>3335</v>
      </c>
      <c r="CO3582" s="126">
        <v>9.3000000000000007</v>
      </c>
      <c r="CP3582" s="126">
        <v>12</v>
      </c>
      <c r="CS3582" s="126" t="s">
        <v>2286</v>
      </c>
      <c r="CT3582" s="126">
        <v>0.25</v>
      </c>
      <c r="CU3582" s="126">
        <v>0.24</v>
      </c>
      <c r="CX3582" s="126" t="s">
        <v>3336</v>
      </c>
      <c r="CY3582" s="126">
        <v>4.4000000000000004</v>
      </c>
      <c r="CZ3582" s="126">
        <v>4.2</v>
      </c>
      <c r="DD3582" s="126">
        <f t="shared" si="490"/>
        <v>2.5299999999999998</v>
      </c>
      <c r="DE3582" s="126">
        <v>2.13</v>
      </c>
      <c r="DH3582" s="126" t="s">
        <v>3337</v>
      </c>
      <c r="GF3582" s="126">
        <v>1.3</v>
      </c>
      <c r="GG3582" s="126">
        <v>3.9</v>
      </c>
      <c r="GJ3582" s="126" t="s">
        <v>3338</v>
      </c>
      <c r="JB3582" s="126" t="s">
        <v>3339</v>
      </c>
      <c r="JD3582" s="480"/>
    </row>
    <row r="3583" spans="1:264" s="126" customFormat="1" x14ac:dyDescent="0.25">
      <c r="A3583" s="126">
        <v>165</v>
      </c>
      <c r="B3583" s="478" t="s">
        <v>3341</v>
      </c>
      <c r="C3583" s="126" t="s">
        <v>3323</v>
      </c>
      <c r="D3583" s="126" t="s">
        <v>3324</v>
      </c>
      <c r="E3583" s="126">
        <v>2002</v>
      </c>
      <c r="F3583" s="126">
        <v>2001</v>
      </c>
      <c r="G3583" s="126" t="s">
        <v>112</v>
      </c>
      <c r="H3583" s="126" t="s">
        <v>3326</v>
      </c>
      <c r="I3583" s="126" t="s">
        <v>2829</v>
      </c>
      <c r="J3583" s="126">
        <f t="shared" si="487"/>
        <v>-13.65</v>
      </c>
      <c r="K3583" s="126">
        <f t="shared" si="488"/>
        <v>32.56666666666667</v>
      </c>
      <c r="L3583" s="126">
        <v>1028</v>
      </c>
      <c r="N3583" s="126">
        <v>20.5</v>
      </c>
      <c r="P3583" s="126">
        <v>960</v>
      </c>
      <c r="R3583" s="478" t="s">
        <v>1858</v>
      </c>
      <c r="S3583" s="478" t="s">
        <v>1722</v>
      </c>
      <c r="T3583" s="478"/>
      <c r="U3583" s="478" t="s">
        <v>1989</v>
      </c>
      <c r="V3583" s="478" t="s">
        <v>1379</v>
      </c>
      <c r="W3583" s="478" t="s">
        <v>1715</v>
      </c>
      <c r="X3583" s="478" t="s">
        <v>1379</v>
      </c>
      <c r="Y3583" s="478" t="s">
        <v>1379</v>
      </c>
      <c r="AA3583" s="479">
        <v>61</v>
      </c>
      <c r="AB3583" s="479">
        <v>11</v>
      </c>
      <c r="AC3583" s="126" t="s">
        <v>240</v>
      </c>
      <c r="AD3583" s="126">
        <v>5.3</v>
      </c>
      <c r="AE3583" s="126">
        <v>1.02</v>
      </c>
      <c r="AG3583" s="126" t="s">
        <v>2755</v>
      </c>
      <c r="AH3583" s="126" t="s">
        <v>3328</v>
      </c>
      <c r="AI3583" s="126" t="s">
        <v>1583</v>
      </c>
      <c r="AJ3583" s="126" t="s">
        <v>1645</v>
      </c>
      <c r="AK3583" s="126" t="s">
        <v>132</v>
      </c>
      <c r="AW3583" s="126" t="s">
        <v>3333</v>
      </c>
      <c r="AX3583" s="126">
        <v>3</v>
      </c>
      <c r="AZ3583" s="126" t="s">
        <v>141</v>
      </c>
      <c r="BC3583" s="37"/>
      <c r="BE3583" s="126" t="s">
        <v>3334</v>
      </c>
      <c r="BF3583" s="126">
        <v>2600</v>
      </c>
      <c r="BG3583" s="126">
        <v>5500</v>
      </c>
      <c r="BJ3583" s="126" t="s">
        <v>2941</v>
      </c>
      <c r="BK3583" s="126">
        <v>1300</v>
      </c>
      <c r="BL3583" s="126">
        <v>4000</v>
      </c>
      <c r="BP3583" s="481"/>
      <c r="BQ3583" s="481"/>
      <c r="BU3583" s="481">
        <v>1</v>
      </c>
      <c r="BV3583" s="481">
        <v>1.3</v>
      </c>
      <c r="BZ3583" s="481"/>
      <c r="CA3583" s="481"/>
      <c r="CE3583" s="605">
        <v>1</v>
      </c>
      <c r="CF3583" s="605">
        <v>1.3</v>
      </c>
      <c r="CG3583" s="605"/>
      <c r="CH3583" s="605"/>
      <c r="CI3583" s="126" t="s">
        <v>4546</v>
      </c>
      <c r="CJ3583" s="126">
        <v>10.1</v>
      </c>
      <c r="CK3583" s="126">
        <v>19.8</v>
      </c>
      <c r="CN3583" s="126" t="s">
        <v>3335</v>
      </c>
      <c r="CO3583" s="126">
        <v>9.3000000000000007</v>
      </c>
      <c r="CP3583" s="126">
        <v>11.9</v>
      </c>
      <c r="CS3583" s="126" t="s">
        <v>2286</v>
      </c>
      <c r="CT3583" s="126">
        <v>0.25</v>
      </c>
      <c r="CU3583" s="126">
        <v>0.3</v>
      </c>
      <c r="CX3583" s="126" t="s">
        <v>3336</v>
      </c>
      <c r="CY3583" s="126">
        <v>4.4000000000000004</v>
      </c>
      <c r="CZ3583" s="126">
        <v>4.3</v>
      </c>
      <c r="DD3583" s="126">
        <f t="shared" si="490"/>
        <v>2.5299999999999998</v>
      </c>
      <c r="DE3583" s="126">
        <v>2.8</v>
      </c>
      <c r="DH3583" s="126" t="s">
        <v>3337</v>
      </c>
      <c r="GF3583" s="126">
        <v>1.3</v>
      </c>
      <c r="GG3583" s="126">
        <v>3.4</v>
      </c>
      <c r="GJ3583" s="126" t="s">
        <v>3338</v>
      </c>
      <c r="JB3583" s="126" t="s">
        <v>3339</v>
      </c>
      <c r="JD3583" s="480"/>
    </row>
    <row r="3584" spans="1:264" s="126" customFormat="1" x14ac:dyDescent="0.25">
      <c r="A3584" s="126">
        <v>165</v>
      </c>
      <c r="B3584" s="478" t="s">
        <v>3341</v>
      </c>
      <c r="C3584" s="126" t="s">
        <v>3323</v>
      </c>
      <c r="D3584" s="126" t="s">
        <v>3324</v>
      </c>
      <c r="E3584" s="126">
        <v>2002</v>
      </c>
      <c r="F3584" s="126">
        <v>2001</v>
      </c>
      <c r="G3584" s="126" t="s">
        <v>112</v>
      </c>
      <c r="H3584" s="126" t="s">
        <v>3326</v>
      </c>
      <c r="I3584" s="126" t="s">
        <v>2829</v>
      </c>
      <c r="J3584" s="126">
        <f t="shared" si="487"/>
        <v>-13.65</v>
      </c>
      <c r="K3584" s="126">
        <f t="shared" si="488"/>
        <v>32.56666666666667</v>
      </c>
      <c r="L3584" s="126">
        <v>1028</v>
      </c>
      <c r="N3584" s="126">
        <v>20.5</v>
      </c>
      <c r="P3584" s="126">
        <v>960</v>
      </c>
      <c r="R3584" s="478" t="s">
        <v>1858</v>
      </c>
      <c r="S3584" s="478" t="s">
        <v>1722</v>
      </c>
      <c r="T3584" s="478"/>
      <c r="U3584" s="478" t="s">
        <v>1989</v>
      </c>
      <c r="V3584" s="478" t="s">
        <v>1379</v>
      </c>
      <c r="W3584" s="478" t="s">
        <v>1715</v>
      </c>
      <c r="X3584" s="478" t="s">
        <v>1379</v>
      </c>
      <c r="Y3584" s="478" t="s">
        <v>1379</v>
      </c>
      <c r="AA3584" s="479">
        <v>61</v>
      </c>
      <c r="AB3584" s="479">
        <v>11</v>
      </c>
      <c r="AC3584" s="126" t="s">
        <v>240</v>
      </c>
      <c r="AD3584" s="126">
        <v>5.3</v>
      </c>
      <c r="AE3584" s="126">
        <v>1.02</v>
      </c>
      <c r="AG3584" s="126" t="s">
        <v>2755</v>
      </c>
      <c r="AH3584" s="126" t="s">
        <v>3329</v>
      </c>
      <c r="AI3584" s="126" t="s">
        <v>1583</v>
      </c>
      <c r="AJ3584" s="126" t="s">
        <v>1645</v>
      </c>
      <c r="AK3584" s="126" t="s">
        <v>132</v>
      </c>
      <c r="AW3584" s="126" t="s">
        <v>3333</v>
      </c>
      <c r="AX3584" s="126">
        <v>3</v>
      </c>
      <c r="AZ3584" s="126" t="s">
        <v>141</v>
      </c>
      <c r="BC3584" s="37"/>
      <c r="BE3584" s="126" t="s">
        <v>3334</v>
      </c>
      <c r="BF3584" s="126">
        <v>2600</v>
      </c>
      <c r="BG3584" s="126">
        <v>4600</v>
      </c>
      <c r="BJ3584" s="126" t="s">
        <v>2941</v>
      </c>
      <c r="BK3584" s="126">
        <v>1300</v>
      </c>
      <c r="BL3584" s="126">
        <v>4500</v>
      </c>
      <c r="BP3584" s="481"/>
      <c r="BQ3584" s="481"/>
      <c r="BU3584" s="481">
        <v>1</v>
      </c>
      <c r="BV3584" s="481">
        <v>1.2</v>
      </c>
      <c r="BZ3584" s="481"/>
      <c r="CA3584" s="481"/>
      <c r="CE3584" s="605">
        <v>1</v>
      </c>
      <c r="CF3584" s="605">
        <v>1.2</v>
      </c>
      <c r="CG3584" s="605"/>
      <c r="CH3584" s="605"/>
      <c r="CI3584" s="126" t="s">
        <v>4546</v>
      </c>
      <c r="CJ3584" s="126">
        <v>10.1</v>
      </c>
      <c r="CK3584" s="126">
        <v>17.399999999999999</v>
      </c>
      <c r="CN3584" s="126" t="s">
        <v>3335</v>
      </c>
      <c r="CO3584" s="126">
        <v>9.3000000000000007</v>
      </c>
      <c r="CP3584" s="126">
        <v>13.7</v>
      </c>
      <c r="CS3584" s="126" t="s">
        <v>2286</v>
      </c>
      <c r="CT3584" s="126">
        <v>0.25</v>
      </c>
      <c r="CU3584" s="126">
        <v>0.28000000000000003</v>
      </c>
      <c r="CX3584" s="126" t="s">
        <v>3336</v>
      </c>
      <c r="CY3584" s="126">
        <v>4.4000000000000004</v>
      </c>
      <c r="CZ3584" s="126">
        <v>4.7</v>
      </c>
      <c r="DD3584" s="126">
        <f t="shared" si="490"/>
        <v>2.5299999999999998</v>
      </c>
      <c r="DE3584" s="126">
        <v>2.17</v>
      </c>
      <c r="DH3584" s="126" t="s">
        <v>3337</v>
      </c>
      <c r="GF3584" s="126">
        <v>1.3</v>
      </c>
      <c r="GG3584" s="126">
        <v>3.6</v>
      </c>
      <c r="GJ3584" s="126" t="s">
        <v>3338</v>
      </c>
      <c r="JB3584" s="126" t="s">
        <v>3339</v>
      </c>
      <c r="JD3584" s="480"/>
    </row>
    <row r="3585" spans="1:264" s="126" customFormat="1" x14ac:dyDescent="0.25">
      <c r="A3585" s="126">
        <v>165</v>
      </c>
      <c r="B3585" s="478" t="s">
        <v>3341</v>
      </c>
      <c r="C3585" s="126" t="s">
        <v>3323</v>
      </c>
      <c r="D3585" s="126" t="s">
        <v>3324</v>
      </c>
      <c r="E3585" s="126">
        <v>2002</v>
      </c>
      <c r="F3585" s="126">
        <v>2001</v>
      </c>
      <c r="G3585" s="126" t="s">
        <v>112</v>
      </c>
      <c r="H3585" s="126" t="s">
        <v>3326</v>
      </c>
      <c r="I3585" s="126" t="s">
        <v>2829</v>
      </c>
      <c r="J3585" s="126">
        <f t="shared" si="487"/>
        <v>-13.65</v>
      </c>
      <c r="K3585" s="126">
        <f t="shared" si="488"/>
        <v>32.56666666666667</v>
      </c>
      <c r="L3585" s="126">
        <v>1028</v>
      </c>
      <c r="N3585" s="126">
        <v>20.5</v>
      </c>
      <c r="P3585" s="126">
        <v>960</v>
      </c>
      <c r="R3585" s="478" t="s">
        <v>1858</v>
      </c>
      <c r="S3585" s="478" t="s">
        <v>1722</v>
      </c>
      <c r="T3585" s="478"/>
      <c r="U3585" s="478" t="s">
        <v>1989</v>
      </c>
      <c r="V3585" s="478" t="s">
        <v>1379</v>
      </c>
      <c r="W3585" s="478" t="s">
        <v>1715</v>
      </c>
      <c r="X3585" s="478" t="s">
        <v>1379</v>
      </c>
      <c r="Y3585" s="478" t="s">
        <v>1379</v>
      </c>
      <c r="AA3585" s="479">
        <v>61</v>
      </c>
      <c r="AB3585" s="479">
        <v>11</v>
      </c>
      <c r="AC3585" s="126" t="s">
        <v>240</v>
      </c>
      <c r="AD3585" s="126">
        <v>5.3</v>
      </c>
      <c r="AE3585" s="126">
        <v>1.02</v>
      </c>
      <c r="AG3585" s="126" t="s">
        <v>2755</v>
      </c>
      <c r="AH3585" s="126" t="s">
        <v>3330</v>
      </c>
      <c r="AI3585" s="126" t="s">
        <v>1583</v>
      </c>
      <c r="AJ3585" s="126" t="s">
        <v>1645</v>
      </c>
      <c r="AK3585" s="126" t="s">
        <v>132</v>
      </c>
      <c r="AW3585" s="126" t="s">
        <v>3333</v>
      </c>
      <c r="AX3585" s="126">
        <v>3</v>
      </c>
      <c r="AZ3585" s="126" t="s">
        <v>141</v>
      </c>
      <c r="BC3585" s="37"/>
      <c r="BE3585" s="126" t="s">
        <v>3334</v>
      </c>
      <c r="BF3585" s="126">
        <v>2600</v>
      </c>
      <c r="BG3585" s="126">
        <v>4500</v>
      </c>
      <c r="BJ3585" s="126" t="s">
        <v>2941</v>
      </c>
      <c r="BK3585" s="126">
        <v>1300</v>
      </c>
      <c r="BL3585" s="126">
        <v>4700</v>
      </c>
      <c r="BP3585" s="481"/>
      <c r="BQ3585" s="481"/>
      <c r="BU3585" s="481">
        <v>1</v>
      </c>
      <c r="BV3585" s="481">
        <v>1.2</v>
      </c>
      <c r="BZ3585" s="481"/>
      <c r="CA3585" s="481"/>
      <c r="CE3585" s="605">
        <v>1</v>
      </c>
      <c r="CF3585" s="605">
        <v>1.2</v>
      </c>
      <c r="CG3585" s="605"/>
      <c r="CH3585" s="605"/>
      <c r="CI3585" s="126" t="s">
        <v>4546</v>
      </c>
      <c r="CJ3585" s="126">
        <v>10.1</v>
      </c>
      <c r="CK3585" s="126">
        <v>15.3</v>
      </c>
      <c r="CN3585" s="126" t="s">
        <v>3335</v>
      </c>
      <c r="CO3585" s="126">
        <v>9.3000000000000007</v>
      </c>
      <c r="CP3585" s="126">
        <v>12.5</v>
      </c>
      <c r="CS3585" s="126" t="s">
        <v>2286</v>
      </c>
      <c r="CT3585" s="126">
        <v>0.25</v>
      </c>
      <c r="CU3585" s="126">
        <v>0.22</v>
      </c>
      <c r="CX3585" s="126" t="s">
        <v>3336</v>
      </c>
      <c r="CY3585" s="126">
        <v>4.4000000000000004</v>
      </c>
      <c r="CZ3585" s="126">
        <v>4.2</v>
      </c>
      <c r="DD3585" s="126">
        <f t="shared" si="490"/>
        <v>2.5299999999999998</v>
      </c>
      <c r="DE3585" s="126">
        <v>2.1</v>
      </c>
      <c r="DH3585" s="126" t="s">
        <v>3337</v>
      </c>
      <c r="GF3585" s="126">
        <v>1.3</v>
      </c>
      <c r="GG3585" s="126">
        <v>3.4</v>
      </c>
      <c r="GJ3585" s="126" t="s">
        <v>3338</v>
      </c>
      <c r="JB3585" s="126" t="s">
        <v>3339</v>
      </c>
      <c r="JD3585" s="480"/>
    </row>
    <row r="3586" spans="1:264" s="126" customFormat="1" x14ac:dyDescent="0.25">
      <c r="A3586" s="126">
        <v>165</v>
      </c>
      <c r="B3586" s="478" t="s">
        <v>3341</v>
      </c>
      <c r="C3586" s="126" t="s">
        <v>3323</v>
      </c>
      <c r="D3586" s="126" t="s">
        <v>3324</v>
      </c>
      <c r="E3586" s="126">
        <v>2002</v>
      </c>
      <c r="F3586" s="126">
        <v>2001</v>
      </c>
      <c r="G3586" s="126" t="s">
        <v>112</v>
      </c>
      <c r="H3586" s="126" t="s">
        <v>3326</v>
      </c>
      <c r="I3586" s="126" t="s">
        <v>2829</v>
      </c>
      <c r="J3586" s="126">
        <f t="shared" si="487"/>
        <v>-13.65</v>
      </c>
      <c r="K3586" s="126">
        <f t="shared" si="488"/>
        <v>32.56666666666667</v>
      </c>
      <c r="L3586" s="126">
        <v>1028</v>
      </c>
      <c r="N3586" s="126">
        <v>20.5</v>
      </c>
      <c r="P3586" s="126">
        <v>960</v>
      </c>
      <c r="R3586" s="478" t="s">
        <v>1858</v>
      </c>
      <c r="S3586" s="478" t="s">
        <v>1722</v>
      </c>
      <c r="T3586" s="478"/>
      <c r="U3586" s="478" t="s">
        <v>1989</v>
      </c>
      <c r="V3586" s="478" t="s">
        <v>1379</v>
      </c>
      <c r="W3586" s="478" t="s">
        <v>1715</v>
      </c>
      <c r="X3586" s="478" t="s">
        <v>1379</v>
      </c>
      <c r="Y3586" s="478" t="s">
        <v>1379</v>
      </c>
      <c r="AA3586" s="479">
        <v>61</v>
      </c>
      <c r="AB3586" s="479">
        <v>11</v>
      </c>
      <c r="AC3586" s="126" t="s">
        <v>240</v>
      </c>
      <c r="AD3586" s="126">
        <v>5.3</v>
      </c>
      <c r="AE3586" s="126">
        <v>1.02</v>
      </c>
      <c r="AG3586" s="126" t="s">
        <v>2755</v>
      </c>
      <c r="AH3586" s="126" t="s">
        <v>3331</v>
      </c>
      <c r="AI3586" s="126" t="s">
        <v>1583</v>
      </c>
      <c r="AJ3586" s="126" t="s">
        <v>1645</v>
      </c>
      <c r="AK3586" s="126" t="s">
        <v>132</v>
      </c>
      <c r="AW3586" s="126" t="s">
        <v>3333</v>
      </c>
      <c r="AX3586" s="126">
        <v>3</v>
      </c>
      <c r="AZ3586" s="126" t="s">
        <v>141</v>
      </c>
      <c r="BC3586" s="37"/>
      <c r="BE3586" s="126" t="s">
        <v>3334</v>
      </c>
      <c r="BF3586" s="126">
        <v>2600</v>
      </c>
      <c r="BG3586" s="126">
        <v>3900</v>
      </c>
      <c r="BJ3586" s="126" t="s">
        <v>2941</v>
      </c>
      <c r="BK3586" s="126">
        <v>1300</v>
      </c>
      <c r="BL3586" s="126">
        <v>3300</v>
      </c>
      <c r="BP3586" s="481"/>
      <c r="BQ3586" s="481"/>
      <c r="BU3586" s="481">
        <v>1</v>
      </c>
      <c r="BV3586" s="481">
        <v>1.6</v>
      </c>
      <c r="BZ3586" s="481"/>
      <c r="CA3586" s="481"/>
      <c r="CE3586" s="605">
        <v>1</v>
      </c>
      <c r="CF3586" s="605">
        <v>1.6</v>
      </c>
      <c r="CG3586" s="605"/>
      <c r="CH3586" s="605"/>
      <c r="CI3586" s="126" t="s">
        <v>4546</v>
      </c>
      <c r="CJ3586" s="126">
        <v>10.1</v>
      </c>
      <c r="CK3586" s="126">
        <v>13.5</v>
      </c>
      <c r="CN3586" s="126" t="s">
        <v>3335</v>
      </c>
      <c r="CO3586" s="126">
        <v>9.3000000000000007</v>
      </c>
      <c r="CP3586" s="126">
        <v>12.1</v>
      </c>
      <c r="CS3586" s="126" t="s">
        <v>2286</v>
      </c>
      <c r="CT3586" s="126">
        <v>0.25</v>
      </c>
      <c r="CU3586" s="126">
        <v>0.23</v>
      </c>
      <c r="CX3586" s="126" t="s">
        <v>3336</v>
      </c>
      <c r="CY3586" s="126">
        <v>4.4000000000000004</v>
      </c>
      <c r="CZ3586" s="126">
        <v>4.3</v>
      </c>
      <c r="DD3586" s="126">
        <f t="shared" si="490"/>
        <v>2.5299999999999998</v>
      </c>
      <c r="DE3586" s="126">
        <v>2.37</v>
      </c>
      <c r="DH3586" s="126" t="s">
        <v>3337</v>
      </c>
      <c r="GF3586" s="126">
        <v>1.3</v>
      </c>
      <c r="GG3586" s="126">
        <v>1.8</v>
      </c>
      <c r="GJ3586" s="126" t="s">
        <v>3338</v>
      </c>
      <c r="JB3586" s="126" t="s">
        <v>3339</v>
      </c>
      <c r="JD3586" s="480"/>
    </row>
    <row r="3587" spans="1:264" s="126" customFormat="1" x14ac:dyDescent="0.25">
      <c r="A3587" s="126">
        <v>165</v>
      </c>
      <c r="B3587" s="478" t="s">
        <v>3341</v>
      </c>
      <c r="C3587" s="126" t="s">
        <v>3323</v>
      </c>
      <c r="D3587" s="126" t="s">
        <v>3324</v>
      </c>
      <c r="E3587" s="126">
        <v>2002</v>
      </c>
      <c r="F3587" s="126">
        <v>2001</v>
      </c>
      <c r="G3587" s="126" t="s">
        <v>112</v>
      </c>
      <c r="H3587" s="126" t="s">
        <v>3326</v>
      </c>
      <c r="I3587" s="126" t="s">
        <v>2829</v>
      </c>
      <c r="J3587" s="126">
        <f t="shared" si="487"/>
        <v>-13.65</v>
      </c>
      <c r="K3587" s="126">
        <f t="shared" si="488"/>
        <v>32.56666666666667</v>
      </c>
      <c r="L3587" s="126">
        <v>1028</v>
      </c>
      <c r="N3587" s="126">
        <v>20.5</v>
      </c>
      <c r="P3587" s="126">
        <v>960</v>
      </c>
      <c r="R3587" s="478" t="s">
        <v>1858</v>
      </c>
      <c r="S3587" s="478" t="s">
        <v>1722</v>
      </c>
      <c r="T3587" s="478"/>
      <c r="U3587" s="478" t="s">
        <v>1989</v>
      </c>
      <c r="V3587" s="478" t="s">
        <v>1379</v>
      </c>
      <c r="W3587" s="478" t="s">
        <v>1715</v>
      </c>
      <c r="X3587" s="478" t="s">
        <v>1379</v>
      </c>
      <c r="Y3587" s="478" t="s">
        <v>1379</v>
      </c>
      <c r="AA3587" s="479">
        <v>61</v>
      </c>
      <c r="AB3587" s="479">
        <v>11</v>
      </c>
      <c r="AC3587" s="126" t="s">
        <v>240</v>
      </c>
      <c r="AD3587" s="126">
        <v>5.3</v>
      </c>
      <c r="AE3587" s="126">
        <v>1.02</v>
      </c>
      <c r="AG3587" s="126" t="s">
        <v>2755</v>
      </c>
      <c r="AH3587" s="126" t="s">
        <v>2676</v>
      </c>
      <c r="AI3587" s="126" t="s">
        <v>577</v>
      </c>
      <c r="AJ3587" s="126" t="s">
        <v>1645</v>
      </c>
      <c r="AK3587" s="126" t="s">
        <v>132</v>
      </c>
      <c r="AW3587" s="126" t="s">
        <v>3333</v>
      </c>
      <c r="AX3587" s="126">
        <v>3</v>
      </c>
      <c r="AZ3587" s="126" t="s">
        <v>141</v>
      </c>
      <c r="BC3587" s="37"/>
      <c r="BE3587" s="126" t="s">
        <v>3334</v>
      </c>
      <c r="BF3587" s="126">
        <v>2600</v>
      </c>
      <c r="BG3587" s="126">
        <v>4000</v>
      </c>
      <c r="BJ3587" s="126" t="s">
        <v>2941</v>
      </c>
      <c r="BK3587" s="126">
        <v>1300</v>
      </c>
      <c r="BL3587" s="126">
        <v>2700</v>
      </c>
      <c r="BP3587" s="481"/>
      <c r="BQ3587" s="481"/>
      <c r="BU3587" s="481">
        <v>1</v>
      </c>
      <c r="BV3587" s="481">
        <v>1.2</v>
      </c>
      <c r="BZ3587" s="481"/>
      <c r="CA3587" s="481"/>
      <c r="CE3587" s="605">
        <v>1</v>
      </c>
      <c r="CF3587" s="605">
        <v>1.2</v>
      </c>
      <c r="CG3587" s="605"/>
      <c r="CH3587" s="605"/>
      <c r="CI3587" s="126" t="s">
        <v>4546</v>
      </c>
      <c r="CJ3587" s="126">
        <v>10.1</v>
      </c>
      <c r="CK3587" s="126">
        <v>14.2</v>
      </c>
      <c r="CN3587" s="126" t="s">
        <v>3335</v>
      </c>
      <c r="CO3587" s="126">
        <v>9.3000000000000007</v>
      </c>
      <c r="CP3587" s="126">
        <v>12.5</v>
      </c>
      <c r="CS3587" s="126" t="s">
        <v>2286</v>
      </c>
      <c r="CT3587" s="126">
        <v>0.25</v>
      </c>
      <c r="CU3587" s="126">
        <v>0.22</v>
      </c>
      <c r="CX3587" s="126" t="s">
        <v>3336</v>
      </c>
      <c r="CY3587" s="126">
        <v>4.4000000000000004</v>
      </c>
      <c r="CZ3587" s="126">
        <v>4.8</v>
      </c>
      <c r="DD3587" s="126">
        <f t="shared" si="490"/>
        <v>2.5299999999999998</v>
      </c>
      <c r="DE3587" s="126">
        <v>3.9</v>
      </c>
      <c r="DH3587" s="126" t="s">
        <v>3337</v>
      </c>
      <c r="GF3587" s="126">
        <v>1.3</v>
      </c>
      <c r="GG3587" s="126">
        <v>1.7</v>
      </c>
      <c r="GJ3587" s="126" t="s">
        <v>3338</v>
      </c>
      <c r="JB3587" s="126" t="s">
        <v>3339</v>
      </c>
      <c r="JD3587" s="480"/>
    </row>
    <row r="3588" spans="1:264" s="126" customFormat="1" x14ac:dyDescent="0.25">
      <c r="A3588" s="126">
        <v>165</v>
      </c>
      <c r="B3588" s="478" t="s">
        <v>3341</v>
      </c>
      <c r="C3588" s="126" t="s">
        <v>3323</v>
      </c>
      <c r="D3588" s="126" t="s">
        <v>3324</v>
      </c>
      <c r="E3588" s="126">
        <v>2002</v>
      </c>
      <c r="F3588" s="126">
        <v>2001</v>
      </c>
      <c r="G3588" s="126" t="s">
        <v>112</v>
      </c>
      <c r="H3588" s="126" t="s">
        <v>3326</v>
      </c>
      <c r="I3588" s="126" t="s">
        <v>2829</v>
      </c>
      <c r="J3588" s="126">
        <f t="shared" si="487"/>
        <v>-13.65</v>
      </c>
      <c r="K3588" s="126">
        <f t="shared" si="488"/>
        <v>32.56666666666667</v>
      </c>
      <c r="L3588" s="126">
        <v>1028</v>
      </c>
      <c r="N3588" s="126">
        <v>20.5</v>
      </c>
      <c r="P3588" s="126">
        <v>960</v>
      </c>
      <c r="R3588" s="478" t="s">
        <v>1858</v>
      </c>
      <c r="S3588" s="478" t="s">
        <v>1722</v>
      </c>
      <c r="T3588" s="478"/>
      <c r="U3588" s="478" t="s">
        <v>1989</v>
      </c>
      <c r="V3588" s="478" t="s">
        <v>1379</v>
      </c>
      <c r="W3588" s="478" t="s">
        <v>1715</v>
      </c>
      <c r="X3588" s="478" t="s">
        <v>1379</v>
      </c>
      <c r="Y3588" s="478" t="s">
        <v>1379</v>
      </c>
      <c r="AA3588" s="479">
        <v>61</v>
      </c>
      <c r="AB3588" s="479">
        <v>11</v>
      </c>
      <c r="AC3588" s="126" t="s">
        <v>240</v>
      </c>
      <c r="AD3588" s="126">
        <v>5.3</v>
      </c>
      <c r="AE3588" s="126">
        <v>1.02</v>
      </c>
      <c r="AG3588" s="126" t="s">
        <v>2755</v>
      </c>
      <c r="AH3588" s="126" t="s">
        <v>2744</v>
      </c>
      <c r="AI3588" s="126" t="s">
        <v>577</v>
      </c>
      <c r="AJ3588" s="126" t="s">
        <v>1645</v>
      </c>
      <c r="AK3588" s="126" t="s">
        <v>132</v>
      </c>
      <c r="AW3588" s="126" t="s">
        <v>3333</v>
      </c>
      <c r="AX3588" s="126">
        <v>3</v>
      </c>
      <c r="AZ3588" s="126" t="s">
        <v>141</v>
      </c>
      <c r="BC3588" s="37"/>
      <c r="BE3588" s="126" t="s">
        <v>3334</v>
      </c>
      <c r="BF3588" s="126">
        <v>2600</v>
      </c>
      <c r="BG3588" s="126">
        <v>3500</v>
      </c>
      <c r="BJ3588" s="126" t="s">
        <v>2941</v>
      </c>
      <c r="BK3588" s="126">
        <v>1300</v>
      </c>
      <c r="BL3588" s="126">
        <v>2400</v>
      </c>
      <c r="BP3588" s="481"/>
      <c r="BQ3588" s="481"/>
      <c r="BU3588" s="481">
        <v>1</v>
      </c>
      <c r="BV3588" s="481">
        <v>1.2</v>
      </c>
      <c r="BZ3588" s="481"/>
      <c r="CA3588" s="481"/>
      <c r="CE3588" s="605">
        <v>1</v>
      </c>
      <c r="CF3588" s="605">
        <v>1.2</v>
      </c>
      <c r="CG3588" s="605"/>
      <c r="CH3588" s="605"/>
      <c r="CI3588" s="126" t="s">
        <v>4546</v>
      </c>
      <c r="CJ3588" s="126">
        <v>10.1</v>
      </c>
      <c r="CK3588" s="126">
        <v>14.6</v>
      </c>
      <c r="CN3588" s="126" t="s">
        <v>3335</v>
      </c>
      <c r="CO3588" s="126">
        <v>9.3000000000000007</v>
      </c>
      <c r="CP3588" s="126">
        <v>12.4</v>
      </c>
      <c r="CS3588" s="126" t="s">
        <v>2286</v>
      </c>
      <c r="CT3588" s="126">
        <v>0.25</v>
      </c>
      <c r="CU3588" s="126">
        <v>0.3</v>
      </c>
      <c r="CX3588" s="126" t="s">
        <v>3336</v>
      </c>
      <c r="CY3588" s="126">
        <v>4.4000000000000004</v>
      </c>
      <c r="CZ3588" s="126">
        <v>4.5</v>
      </c>
      <c r="DD3588" s="126">
        <f t="shared" si="490"/>
        <v>2.5299999999999998</v>
      </c>
      <c r="DE3588" s="126">
        <v>2.5</v>
      </c>
      <c r="DH3588" s="126" t="s">
        <v>3337</v>
      </c>
      <c r="GF3588" s="126">
        <v>1.3</v>
      </c>
      <c r="GG3588" s="126">
        <v>1.6</v>
      </c>
      <c r="GJ3588" s="126" t="s">
        <v>3338</v>
      </c>
      <c r="JB3588" s="126" t="s">
        <v>3339</v>
      </c>
      <c r="JD3588" s="480"/>
    </row>
    <row r="3589" spans="1:264" s="126" customFormat="1" x14ac:dyDescent="0.25">
      <c r="A3589" s="126">
        <v>165</v>
      </c>
      <c r="B3589" s="478" t="s">
        <v>3341</v>
      </c>
      <c r="C3589" s="126" t="s">
        <v>3323</v>
      </c>
      <c r="D3589" s="126" t="s">
        <v>3324</v>
      </c>
      <c r="E3589" s="126">
        <v>2002</v>
      </c>
      <c r="F3589" s="126">
        <v>2001</v>
      </c>
      <c r="G3589" s="126" t="s">
        <v>112</v>
      </c>
      <c r="H3589" s="126" t="s">
        <v>3326</v>
      </c>
      <c r="I3589" s="126" t="s">
        <v>2829</v>
      </c>
      <c r="J3589" s="126">
        <f t="shared" si="487"/>
        <v>-13.65</v>
      </c>
      <c r="K3589" s="126">
        <f t="shared" si="488"/>
        <v>32.56666666666667</v>
      </c>
      <c r="L3589" s="126">
        <v>1028</v>
      </c>
      <c r="N3589" s="126">
        <v>20.5</v>
      </c>
      <c r="P3589" s="126">
        <v>960</v>
      </c>
      <c r="R3589" s="478" t="s">
        <v>1858</v>
      </c>
      <c r="S3589" s="478" t="s">
        <v>1722</v>
      </c>
      <c r="T3589" s="478"/>
      <c r="U3589" s="478" t="s">
        <v>1989</v>
      </c>
      <c r="V3589" s="478" t="s">
        <v>1379</v>
      </c>
      <c r="W3589" s="478" t="s">
        <v>1715</v>
      </c>
      <c r="X3589" s="478" t="s">
        <v>1379</v>
      </c>
      <c r="Y3589" s="478" t="s">
        <v>1379</v>
      </c>
      <c r="AA3589" s="479">
        <v>61</v>
      </c>
      <c r="AB3589" s="479">
        <v>11</v>
      </c>
      <c r="AC3589" s="126" t="s">
        <v>240</v>
      </c>
      <c r="AD3589" s="126">
        <v>5.3</v>
      </c>
      <c r="AE3589" s="126">
        <v>1.02</v>
      </c>
      <c r="AG3589" s="126" t="s">
        <v>2755</v>
      </c>
      <c r="AH3589" s="126" t="s">
        <v>3332</v>
      </c>
      <c r="AI3589" s="126" t="s">
        <v>1583</v>
      </c>
      <c r="AJ3589" s="126" t="s">
        <v>1645</v>
      </c>
      <c r="AK3589" s="126" t="s">
        <v>132</v>
      </c>
      <c r="AW3589" s="126" t="s">
        <v>3333</v>
      </c>
      <c r="AX3589" s="126">
        <v>3</v>
      </c>
      <c r="AZ3589" s="126" t="s">
        <v>141</v>
      </c>
      <c r="BC3589" s="37"/>
      <c r="BE3589" s="126" t="s">
        <v>3334</v>
      </c>
      <c r="BF3589" s="126">
        <v>2600</v>
      </c>
      <c r="BG3589" s="126">
        <v>4400</v>
      </c>
      <c r="BJ3589" s="126" t="s">
        <v>2941</v>
      </c>
      <c r="BK3589" s="126">
        <v>1300</v>
      </c>
      <c r="BL3589" s="126">
        <v>3600</v>
      </c>
      <c r="BP3589" s="481"/>
      <c r="BQ3589" s="481"/>
      <c r="BU3589" s="481">
        <v>1</v>
      </c>
      <c r="BV3589" s="481">
        <v>1.1000000000000001</v>
      </c>
      <c r="BZ3589" s="481"/>
      <c r="CA3589" s="481"/>
      <c r="CE3589" s="605">
        <v>1</v>
      </c>
      <c r="CF3589" s="605">
        <v>1.1000000000000001</v>
      </c>
      <c r="CG3589" s="605"/>
      <c r="CH3589" s="605"/>
      <c r="CI3589" s="126" t="s">
        <v>4546</v>
      </c>
      <c r="CJ3589" s="126">
        <v>10.1</v>
      </c>
      <c r="CK3589" s="126">
        <v>12.8</v>
      </c>
      <c r="CN3589" s="126" t="s">
        <v>3335</v>
      </c>
      <c r="CO3589" s="126">
        <v>9.3000000000000007</v>
      </c>
      <c r="CP3589" s="126">
        <v>13</v>
      </c>
      <c r="CS3589" s="126" t="s">
        <v>2286</v>
      </c>
      <c r="CT3589" s="126">
        <v>0.25</v>
      </c>
      <c r="CU3589" s="126">
        <v>0.18</v>
      </c>
      <c r="CX3589" s="126" t="s">
        <v>3336</v>
      </c>
      <c r="CY3589" s="126">
        <v>4.4000000000000004</v>
      </c>
      <c r="CZ3589" s="126">
        <v>4.2</v>
      </c>
      <c r="DD3589" s="126">
        <f t="shared" si="490"/>
        <v>2.5299999999999998</v>
      </c>
      <c r="DE3589" s="126">
        <v>2.37</v>
      </c>
      <c r="DH3589" s="126" t="s">
        <v>3337</v>
      </c>
      <c r="GF3589" s="126">
        <v>1.3</v>
      </c>
      <c r="GG3589" s="126">
        <v>1.7</v>
      </c>
      <c r="GJ3589" s="126" t="s">
        <v>3338</v>
      </c>
      <c r="JB3589" s="126" t="s">
        <v>3339</v>
      </c>
      <c r="JD3589" s="480"/>
    </row>
    <row r="3590" spans="1:264" s="24" customFormat="1" x14ac:dyDescent="0.25">
      <c r="A3590" s="24">
        <v>166</v>
      </c>
      <c r="B3590" s="42" t="s">
        <v>3344</v>
      </c>
      <c r="C3590" s="24" t="s">
        <v>3323</v>
      </c>
      <c r="D3590" s="24" t="s">
        <v>3324</v>
      </c>
      <c r="E3590" s="24">
        <v>2006</v>
      </c>
      <c r="F3590" s="24">
        <v>1996</v>
      </c>
      <c r="G3590" s="24" t="s">
        <v>3343</v>
      </c>
      <c r="H3590" s="24" t="s">
        <v>3326</v>
      </c>
      <c r="I3590" s="24" t="s">
        <v>2829</v>
      </c>
      <c r="J3590" s="24">
        <v>-13.65</v>
      </c>
      <c r="K3590" s="24">
        <v>32.56666666666667</v>
      </c>
      <c r="L3590" s="24">
        <v>1028</v>
      </c>
      <c r="N3590" s="24">
        <v>20.5</v>
      </c>
      <c r="O3590" s="24">
        <v>1163</v>
      </c>
      <c r="P3590" s="24">
        <v>960</v>
      </c>
      <c r="R3590" s="42" t="s">
        <v>1722</v>
      </c>
      <c r="S3590" s="42" t="s">
        <v>1917</v>
      </c>
      <c r="T3590" s="42"/>
      <c r="U3590" s="42" t="s">
        <v>3342</v>
      </c>
      <c r="V3590" s="42" t="s">
        <v>1400</v>
      </c>
      <c r="W3590" s="42" t="s">
        <v>1727</v>
      </c>
      <c r="X3590" s="42" t="s">
        <v>1400</v>
      </c>
      <c r="Y3590" s="42" t="s">
        <v>1400</v>
      </c>
      <c r="AA3590" s="321">
        <v>61</v>
      </c>
      <c r="AB3590" s="321">
        <v>11</v>
      </c>
      <c r="AC3590" s="24" t="s">
        <v>240</v>
      </c>
      <c r="AD3590" s="24">
        <v>5.3</v>
      </c>
      <c r="AE3590" s="24">
        <v>1.02</v>
      </c>
      <c r="AG3590" s="24" t="s">
        <v>2755</v>
      </c>
      <c r="AH3590" s="24" t="s">
        <v>2697</v>
      </c>
      <c r="AI3590" s="24" t="s">
        <v>577</v>
      </c>
      <c r="AJ3590" s="24" t="s">
        <v>1645</v>
      </c>
      <c r="AK3590" s="24" t="s">
        <v>132</v>
      </c>
      <c r="AW3590" s="24" t="s">
        <v>3345</v>
      </c>
      <c r="AX3590" s="24">
        <v>3</v>
      </c>
      <c r="AZ3590" s="24" t="s">
        <v>141</v>
      </c>
      <c r="BE3590" s="24" t="s">
        <v>3162</v>
      </c>
      <c r="BK3590" s="24">
        <v>2295</v>
      </c>
      <c r="BL3590" s="24">
        <v>4299</v>
      </c>
      <c r="BM3590" s="24">
        <f>2600-BK3590</f>
        <v>305</v>
      </c>
      <c r="BN3590" s="24">
        <f>4603-BL3590</f>
        <v>304</v>
      </c>
      <c r="BP3590" s="395">
        <v>1.52</v>
      </c>
      <c r="BQ3590" s="395">
        <v>1.45</v>
      </c>
      <c r="BU3590" s="395"/>
      <c r="BV3590" s="395"/>
      <c r="BZ3590" s="395"/>
      <c r="CA3590" s="395"/>
      <c r="CE3590" s="548"/>
      <c r="CF3590" s="548"/>
      <c r="CG3590" s="548"/>
      <c r="CH3590" s="548"/>
      <c r="EH3590" s="24">
        <f>16*6</f>
        <v>96</v>
      </c>
      <c r="EI3590" s="24">
        <f>38*6</f>
        <v>228</v>
      </c>
      <c r="EL3590" s="24" t="s">
        <v>3348</v>
      </c>
      <c r="GK3590" s="24">
        <v>818.7</v>
      </c>
      <c r="GL3590" s="24">
        <v>265.3</v>
      </c>
      <c r="GO3590" s="24" t="s">
        <v>3349</v>
      </c>
      <c r="JD3590" s="249"/>
    </row>
    <row r="3591" spans="1:264" s="24" customFormat="1" x14ac:dyDescent="0.25">
      <c r="A3591" s="24">
        <v>166</v>
      </c>
      <c r="B3591" s="42" t="s">
        <v>3344</v>
      </c>
      <c r="C3591" s="24" t="s">
        <v>3323</v>
      </c>
      <c r="D3591" s="24" t="s">
        <v>3324</v>
      </c>
      <c r="E3591" s="24">
        <v>2006</v>
      </c>
      <c r="F3591" s="24">
        <v>1997</v>
      </c>
      <c r="G3591" s="24" t="s">
        <v>3343</v>
      </c>
      <c r="H3591" s="24" t="s">
        <v>3326</v>
      </c>
      <c r="I3591" s="24" t="s">
        <v>2829</v>
      </c>
      <c r="J3591" s="24">
        <v>-13.65</v>
      </c>
      <c r="K3591" s="24">
        <v>32.56666666666667</v>
      </c>
      <c r="L3591" s="24">
        <v>1028</v>
      </c>
      <c r="N3591" s="24">
        <v>20.5</v>
      </c>
      <c r="O3591" s="24">
        <v>930</v>
      </c>
      <c r="P3591" s="24">
        <v>960</v>
      </c>
      <c r="R3591" s="42" t="s">
        <v>1843</v>
      </c>
      <c r="S3591" s="42" t="s">
        <v>1917</v>
      </c>
      <c r="T3591" s="42"/>
      <c r="U3591" s="42" t="s">
        <v>3342</v>
      </c>
      <c r="V3591" s="42" t="s">
        <v>1400</v>
      </c>
      <c r="W3591" s="42" t="s">
        <v>1727</v>
      </c>
      <c r="X3591" s="42" t="s">
        <v>1400</v>
      </c>
      <c r="Y3591" s="42" t="s">
        <v>1400</v>
      </c>
      <c r="AA3591" s="321">
        <v>61</v>
      </c>
      <c r="AB3591" s="321">
        <v>11</v>
      </c>
      <c r="AC3591" s="24" t="s">
        <v>240</v>
      </c>
      <c r="AD3591" s="24">
        <v>5.3</v>
      </c>
      <c r="AE3591" s="24">
        <v>1.02</v>
      </c>
      <c r="AG3591" s="24" t="s">
        <v>2755</v>
      </c>
      <c r="AH3591" s="24" t="s">
        <v>2697</v>
      </c>
      <c r="AI3591" s="24" t="s">
        <v>577</v>
      </c>
      <c r="AJ3591" s="24" t="s">
        <v>1645</v>
      </c>
      <c r="AK3591" s="24" t="s">
        <v>132</v>
      </c>
      <c r="AW3591" s="24" t="s">
        <v>3345</v>
      </c>
      <c r="AX3591" s="24">
        <v>3</v>
      </c>
      <c r="AZ3591" s="24" t="s">
        <v>141</v>
      </c>
      <c r="BE3591" s="24" t="s">
        <v>3162</v>
      </c>
      <c r="BK3591" s="24">
        <v>1483</v>
      </c>
      <c r="BL3591" s="24">
        <v>3817</v>
      </c>
      <c r="BM3591" s="24">
        <f>1661-BK3591</f>
        <v>178</v>
      </c>
      <c r="BN3591" s="24">
        <f>4096-BL3591</f>
        <v>279</v>
      </c>
      <c r="BP3591" s="395"/>
      <c r="BQ3591" s="395"/>
      <c r="BU3591" s="395"/>
      <c r="BV3591" s="395"/>
      <c r="BZ3591" s="395"/>
      <c r="CA3591" s="395"/>
      <c r="CE3591" s="548"/>
      <c r="CF3591" s="548"/>
      <c r="CG3591" s="548"/>
      <c r="CH3591" s="548"/>
      <c r="JD3591" s="249"/>
    </row>
    <row r="3592" spans="1:264" s="24" customFormat="1" x14ac:dyDescent="0.25">
      <c r="A3592" s="24">
        <v>166</v>
      </c>
      <c r="B3592" s="42" t="s">
        <v>3344</v>
      </c>
      <c r="C3592" s="24" t="s">
        <v>3323</v>
      </c>
      <c r="D3592" s="24" t="s">
        <v>3324</v>
      </c>
      <c r="E3592" s="24">
        <v>2006</v>
      </c>
      <c r="F3592" s="24">
        <v>1998</v>
      </c>
      <c r="G3592" s="24" t="s">
        <v>3343</v>
      </c>
      <c r="H3592" s="24" t="s">
        <v>3326</v>
      </c>
      <c r="I3592" s="24" t="s">
        <v>2829</v>
      </c>
      <c r="J3592" s="24">
        <v>-13.65</v>
      </c>
      <c r="K3592" s="24">
        <v>32.56666666666667</v>
      </c>
      <c r="L3592" s="24">
        <v>1028</v>
      </c>
      <c r="N3592" s="24">
        <v>20.5</v>
      </c>
      <c r="O3592" s="24">
        <v>1074</v>
      </c>
      <c r="P3592" s="24">
        <v>960</v>
      </c>
      <c r="R3592" s="42" t="s">
        <v>1734</v>
      </c>
      <c r="S3592" s="42" t="s">
        <v>1917</v>
      </c>
      <c r="T3592" s="42"/>
      <c r="U3592" s="42" t="s">
        <v>3342</v>
      </c>
      <c r="V3592" s="42" t="s">
        <v>1400</v>
      </c>
      <c r="W3592" s="42" t="s">
        <v>1727</v>
      </c>
      <c r="X3592" s="42" t="s">
        <v>1400</v>
      </c>
      <c r="Y3592" s="42" t="s">
        <v>1400</v>
      </c>
      <c r="AA3592" s="321">
        <v>61</v>
      </c>
      <c r="AB3592" s="321">
        <v>11</v>
      </c>
      <c r="AC3592" s="24" t="s">
        <v>240</v>
      </c>
      <c r="AD3592" s="24">
        <v>5.3</v>
      </c>
      <c r="AE3592" s="24">
        <v>1.02</v>
      </c>
      <c r="AG3592" s="24" t="s">
        <v>2755</v>
      </c>
      <c r="AH3592" s="24" t="s">
        <v>2697</v>
      </c>
      <c r="AI3592" s="24" t="s">
        <v>577</v>
      </c>
      <c r="AJ3592" s="24" t="s">
        <v>1645</v>
      </c>
      <c r="AK3592" s="24" t="s">
        <v>132</v>
      </c>
      <c r="AW3592" s="24" t="s">
        <v>3345</v>
      </c>
      <c r="AX3592" s="24">
        <v>3</v>
      </c>
      <c r="AZ3592" s="24" t="s">
        <v>141</v>
      </c>
      <c r="BE3592" s="24" t="s">
        <v>3162</v>
      </c>
      <c r="BK3592" s="24">
        <v>900</v>
      </c>
      <c r="BL3592" s="24">
        <v>2955</v>
      </c>
      <c r="BM3592" s="24">
        <f>1000-BK3592</f>
        <v>100</v>
      </c>
      <c r="BN3592" s="24">
        <f>3233-BL3592</f>
        <v>278</v>
      </c>
      <c r="BP3592" s="395">
        <v>1.4</v>
      </c>
      <c r="BQ3592" s="395">
        <v>1.36</v>
      </c>
      <c r="BU3592" s="395"/>
      <c r="BV3592" s="395"/>
      <c r="BZ3592" s="395"/>
      <c r="CA3592" s="395"/>
      <c r="CE3592" s="548"/>
      <c r="CF3592" s="548"/>
      <c r="CG3592" s="548"/>
      <c r="CH3592" s="548"/>
      <c r="JD3592" s="249"/>
    </row>
    <row r="3593" spans="1:264" s="24" customFormat="1" x14ac:dyDescent="0.25">
      <c r="A3593" s="24">
        <v>166</v>
      </c>
      <c r="B3593" s="42" t="s">
        <v>3344</v>
      </c>
      <c r="C3593" s="24" t="s">
        <v>3323</v>
      </c>
      <c r="D3593" s="24" t="s">
        <v>3324</v>
      </c>
      <c r="E3593" s="24">
        <v>2006</v>
      </c>
      <c r="F3593" s="24">
        <v>1999</v>
      </c>
      <c r="G3593" s="24" t="s">
        <v>3343</v>
      </c>
      <c r="H3593" s="24" t="s">
        <v>3326</v>
      </c>
      <c r="I3593" s="24" t="s">
        <v>2829</v>
      </c>
      <c r="J3593" s="24">
        <v>-13.65</v>
      </c>
      <c r="K3593" s="24">
        <v>32.56666666666667</v>
      </c>
      <c r="L3593" s="24">
        <v>1028</v>
      </c>
      <c r="N3593" s="24">
        <v>20.5</v>
      </c>
      <c r="O3593" s="24">
        <v>1207</v>
      </c>
      <c r="P3593" s="24">
        <v>960</v>
      </c>
      <c r="R3593" s="42" t="s">
        <v>1982</v>
      </c>
      <c r="S3593" s="42" t="s">
        <v>1917</v>
      </c>
      <c r="T3593" s="42"/>
      <c r="U3593" s="42" t="s">
        <v>3342</v>
      </c>
      <c r="V3593" s="42" t="s">
        <v>1400</v>
      </c>
      <c r="W3593" s="42" t="s">
        <v>1727</v>
      </c>
      <c r="X3593" s="42" t="s">
        <v>1400</v>
      </c>
      <c r="Y3593" s="42" t="s">
        <v>1400</v>
      </c>
      <c r="AA3593" s="321">
        <v>61</v>
      </c>
      <c r="AB3593" s="321">
        <v>11</v>
      </c>
      <c r="AC3593" s="24" t="s">
        <v>240</v>
      </c>
      <c r="AD3593" s="24">
        <v>5.3</v>
      </c>
      <c r="AE3593" s="24">
        <v>1.02</v>
      </c>
      <c r="AG3593" s="24" t="s">
        <v>2755</v>
      </c>
      <c r="AH3593" s="24" t="s">
        <v>2697</v>
      </c>
      <c r="AI3593" s="24" t="s">
        <v>577</v>
      </c>
      <c r="AJ3593" s="24" t="s">
        <v>1645</v>
      </c>
      <c r="AK3593" s="24" t="s">
        <v>132</v>
      </c>
      <c r="AW3593" s="24" t="s">
        <v>3345</v>
      </c>
      <c r="AX3593" s="24">
        <v>3</v>
      </c>
      <c r="AZ3593" s="24" t="s">
        <v>141</v>
      </c>
      <c r="BE3593" s="24" t="s">
        <v>3162</v>
      </c>
      <c r="BK3593" s="24">
        <v>723</v>
      </c>
      <c r="BL3593" s="24">
        <v>3665</v>
      </c>
      <c r="BM3593" s="24">
        <v>100</v>
      </c>
      <c r="BN3593" s="24">
        <f>3944-BL3593</f>
        <v>279</v>
      </c>
      <c r="BP3593" s="395"/>
      <c r="BQ3593" s="395"/>
      <c r="BU3593" s="395"/>
      <c r="BV3593" s="395"/>
      <c r="BZ3593" s="395"/>
      <c r="CA3593" s="395"/>
      <c r="CE3593" s="548"/>
      <c r="CF3593" s="548"/>
      <c r="CG3593" s="548"/>
      <c r="CH3593" s="548"/>
      <c r="JD3593" s="249"/>
    </row>
    <row r="3594" spans="1:264" s="24" customFormat="1" x14ac:dyDescent="0.25">
      <c r="A3594" s="24">
        <v>166</v>
      </c>
      <c r="B3594" s="42" t="s">
        <v>3344</v>
      </c>
      <c r="C3594" s="24" t="s">
        <v>3323</v>
      </c>
      <c r="D3594" s="24" t="s">
        <v>3324</v>
      </c>
      <c r="E3594" s="24">
        <v>2006</v>
      </c>
      <c r="F3594" s="24">
        <v>2000</v>
      </c>
      <c r="G3594" s="24" t="s">
        <v>3343</v>
      </c>
      <c r="H3594" s="24" t="s">
        <v>3326</v>
      </c>
      <c r="I3594" s="24" t="s">
        <v>2829</v>
      </c>
      <c r="J3594" s="24">
        <v>-13.65</v>
      </c>
      <c r="K3594" s="24">
        <v>32.56666666666667</v>
      </c>
      <c r="L3594" s="24">
        <v>1028</v>
      </c>
      <c r="N3594" s="24">
        <v>20.5</v>
      </c>
      <c r="O3594" s="24">
        <v>796</v>
      </c>
      <c r="P3594" s="24">
        <v>960</v>
      </c>
      <c r="R3594" s="42" t="s">
        <v>1975</v>
      </c>
      <c r="S3594" s="42" t="s">
        <v>1917</v>
      </c>
      <c r="T3594" s="42"/>
      <c r="U3594" s="42" t="s">
        <v>3342</v>
      </c>
      <c r="V3594" s="42" t="s">
        <v>1400</v>
      </c>
      <c r="W3594" s="42" t="s">
        <v>1727</v>
      </c>
      <c r="X3594" s="42" t="s">
        <v>1400</v>
      </c>
      <c r="Y3594" s="42" t="s">
        <v>1400</v>
      </c>
      <c r="AA3594" s="321">
        <v>61</v>
      </c>
      <c r="AB3594" s="321">
        <v>11</v>
      </c>
      <c r="AC3594" s="24" t="s">
        <v>240</v>
      </c>
      <c r="AD3594" s="24">
        <v>5.3</v>
      </c>
      <c r="AE3594" s="24">
        <v>1.02</v>
      </c>
      <c r="AG3594" s="24" t="s">
        <v>2755</v>
      </c>
      <c r="AH3594" s="24" t="s">
        <v>2697</v>
      </c>
      <c r="AI3594" s="24" t="s">
        <v>577</v>
      </c>
      <c r="AJ3594" s="24" t="s">
        <v>1645</v>
      </c>
      <c r="AK3594" s="24" t="s">
        <v>132</v>
      </c>
      <c r="AW3594" s="24" t="s">
        <v>3345</v>
      </c>
      <c r="AX3594" s="24">
        <v>3</v>
      </c>
      <c r="AZ3594" s="24" t="s">
        <v>141</v>
      </c>
      <c r="BE3594" s="24" t="s">
        <v>3162</v>
      </c>
      <c r="BK3594" s="24">
        <v>926</v>
      </c>
      <c r="BL3594" s="24">
        <v>4121</v>
      </c>
      <c r="BM3594" s="24">
        <v>100</v>
      </c>
      <c r="BN3594" s="24">
        <f>4679-BL3594</f>
        <v>558</v>
      </c>
      <c r="BP3594" s="395"/>
      <c r="BQ3594" s="395"/>
      <c r="BU3594" s="395"/>
      <c r="BV3594" s="395"/>
      <c r="BZ3594" s="395"/>
      <c r="CA3594" s="395"/>
      <c r="CE3594" s="548"/>
      <c r="CF3594" s="548"/>
      <c r="CG3594" s="548"/>
      <c r="CH3594" s="548"/>
      <c r="JD3594" s="249"/>
    </row>
    <row r="3595" spans="1:264" s="24" customFormat="1" x14ac:dyDescent="0.25">
      <c r="A3595" s="24">
        <v>166</v>
      </c>
      <c r="B3595" s="42" t="s">
        <v>3344</v>
      </c>
      <c r="C3595" s="24" t="s">
        <v>3323</v>
      </c>
      <c r="D3595" s="24" t="s">
        <v>3324</v>
      </c>
      <c r="E3595" s="24">
        <v>2006</v>
      </c>
      <c r="F3595" s="24">
        <v>2001</v>
      </c>
      <c r="G3595" s="24" t="s">
        <v>3343</v>
      </c>
      <c r="H3595" s="24" t="s">
        <v>3326</v>
      </c>
      <c r="I3595" s="24" t="s">
        <v>2829</v>
      </c>
      <c r="J3595" s="24">
        <v>-13.65</v>
      </c>
      <c r="K3595" s="24">
        <v>32.56666666666667</v>
      </c>
      <c r="L3595" s="24">
        <v>1028</v>
      </c>
      <c r="N3595" s="24">
        <v>20.5</v>
      </c>
      <c r="O3595" s="24">
        <v>1337</v>
      </c>
      <c r="P3595" s="24">
        <v>960</v>
      </c>
      <c r="R3595" s="42" t="s">
        <v>1719</v>
      </c>
      <c r="S3595" s="42" t="s">
        <v>1917</v>
      </c>
      <c r="T3595" s="42"/>
      <c r="U3595" s="42" t="s">
        <v>3342</v>
      </c>
      <c r="V3595" s="42" t="s">
        <v>1400</v>
      </c>
      <c r="W3595" s="42" t="s">
        <v>1727</v>
      </c>
      <c r="X3595" s="42" t="s">
        <v>1400</v>
      </c>
      <c r="Y3595" s="42" t="s">
        <v>1400</v>
      </c>
      <c r="AA3595" s="321">
        <v>61</v>
      </c>
      <c r="AB3595" s="321">
        <v>11</v>
      </c>
      <c r="AC3595" s="24" t="s">
        <v>240</v>
      </c>
      <c r="AD3595" s="24">
        <v>5.3</v>
      </c>
      <c r="AE3595" s="24">
        <v>1.02</v>
      </c>
      <c r="AG3595" s="24" t="s">
        <v>2755</v>
      </c>
      <c r="AH3595" s="24" t="s">
        <v>2697</v>
      </c>
      <c r="AI3595" s="24" t="s">
        <v>577</v>
      </c>
      <c r="AJ3595" s="24" t="s">
        <v>1645</v>
      </c>
      <c r="AK3595" s="24" t="s">
        <v>132</v>
      </c>
      <c r="AW3595" s="24" t="s">
        <v>3345</v>
      </c>
      <c r="AX3595" s="24">
        <v>3</v>
      </c>
      <c r="AZ3595" s="24" t="s">
        <v>141</v>
      </c>
      <c r="BE3595" s="24" t="s">
        <v>3162</v>
      </c>
      <c r="BK3595" s="24">
        <v>520</v>
      </c>
      <c r="BL3595" s="24">
        <v>1966</v>
      </c>
      <c r="BM3595" s="24">
        <v>100</v>
      </c>
      <c r="BN3595" s="24">
        <f>2193-BL3595</f>
        <v>227</v>
      </c>
      <c r="BP3595" s="395"/>
      <c r="BQ3595" s="395"/>
      <c r="BU3595" s="395"/>
      <c r="BV3595" s="395"/>
      <c r="BZ3595" s="395"/>
      <c r="CA3595" s="395"/>
      <c r="CE3595" s="548"/>
      <c r="CF3595" s="548"/>
      <c r="CG3595" s="548"/>
      <c r="CH3595" s="548"/>
      <c r="JD3595" s="249"/>
    </row>
    <row r="3596" spans="1:264" s="24" customFormat="1" x14ac:dyDescent="0.25">
      <c r="A3596" s="24">
        <v>166</v>
      </c>
      <c r="B3596" s="42" t="s">
        <v>3344</v>
      </c>
      <c r="C3596" s="24" t="s">
        <v>3323</v>
      </c>
      <c r="D3596" s="24" t="s">
        <v>3324</v>
      </c>
      <c r="E3596" s="24">
        <v>2006</v>
      </c>
      <c r="F3596" s="24">
        <v>2002</v>
      </c>
      <c r="G3596" s="24" t="s">
        <v>3343</v>
      </c>
      <c r="H3596" s="24" t="s">
        <v>3326</v>
      </c>
      <c r="I3596" s="24" t="s">
        <v>2829</v>
      </c>
      <c r="J3596" s="24">
        <v>-13.65</v>
      </c>
      <c r="K3596" s="24">
        <v>32.56666666666667</v>
      </c>
      <c r="L3596" s="24">
        <v>1028</v>
      </c>
      <c r="N3596" s="24">
        <v>20.5</v>
      </c>
      <c r="O3596" s="24">
        <v>830</v>
      </c>
      <c r="P3596" s="24">
        <v>960</v>
      </c>
      <c r="R3596" s="42" t="s">
        <v>1860</v>
      </c>
      <c r="S3596" s="42" t="s">
        <v>1917</v>
      </c>
      <c r="T3596" s="42"/>
      <c r="U3596" s="42" t="s">
        <v>3342</v>
      </c>
      <c r="V3596" s="42" t="s">
        <v>1400</v>
      </c>
      <c r="W3596" s="42" t="s">
        <v>1727</v>
      </c>
      <c r="X3596" s="42" t="s">
        <v>1400</v>
      </c>
      <c r="Y3596" s="42" t="s">
        <v>1400</v>
      </c>
      <c r="AA3596" s="321">
        <v>61</v>
      </c>
      <c r="AB3596" s="321">
        <v>11</v>
      </c>
      <c r="AC3596" s="24" t="s">
        <v>240</v>
      </c>
      <c r="AD3596" s="24">
        <v>5.3</v>
      </c>
      <c r="AE3596" s="24">
        <v>1.02</v>
      </c>
      <c r="AG3596" s="24" t="s">
        <v>2755</v>
      </c>
      <c r="AH3596" s="24" t="s">
        <v>2697</v>
      </c>
      <c r="AI3596" s="24" t="s">
        <v>577</v>
      </c>
      <c r="AJ3596" s="24" t="s">
        <v>1645</v>
      </c>
      <c r="AK3596" s="24" t="s">
        <v>132</v>
      </c>
      <c r="AW3596" s="24" t="s">
        <v>3345</v>
      </c>
      <c r="AX3596" s="24">
        <v>3</v>
      </c>
      <c r="AZ3596" s="24" t="s">
        <v>141</v>
      </c>
      <c r="BE3596" s="24" t="s">
        <v>3162</v>
      </c>
      <c r="BK3596" s="24">
        <v>900</v>
      </c>
      <c r="BL3596" s="24">
        <v>3005</v>
      </c>
      <c r="BM3596" s="24">
        <f t="shared" ref="BM3596" si="491">1000-BK3596</f>
        <v>100</v>
      </c>
      <c r="BN3596" s="24">
        <f>3208-BL3596</f>
        <v>203</v>
      </c>
      <c r="BP3596" s="395"/>
      <c r="BQ3596" s="395"/>
      <c r="BU3596" s="395"/>
      <c r="BV3596" s="395"/>
      <c r="BZ3596" s="395"/>
      <c r="CA3596" s="395"/>
      <c r="CE3596" s="548"/>
      <c r="CF3596" s="548"/>
      <c r="CG3596" s="548"/>
      <c r="CH3596" s="548"/>
      <c r="JD3596" s="249"/>
    </row>
    <row r="3597" spans="1:264" s="24" customFormat="1" x14ac:dyDescent="0.25">
      <c r="A3597" s="24">
        <v>166</v>
      </c>
      <c r="B3597" s="42" t="s">
        <v>3344</v>
      </c>
      <c r="C3597" s="24" t="s">
        <v>3323</v>
      </c>
      <c r="D3597" s="24" t="s">
        <v>3324</v>
      </c>
      <c r="E3597" s="24">
        <v>2006</v>
      </c>
      <c r="F3597" s="24">
        <v>2003</v>
      </c>
      <c r="G3597" s="24" t="s">
        <v>3343</v>
      </c>
      <c r="H3597" s="24" t="s">
        <v>3326</v>
      </c>
      <c r="I3597" s="24" t="s">
        <v>2829</v>
      </c>
      <c r="J3597" s="24">
        <v>-13.65</v>
      </c>
      <c r="K3597" s="24">
        <v>32.56666666666667</v>
      </c>
      <c r="L3597" s="24">
        <v>1028</v>
      </c>
      <c r="N3597" s="24">
        <v>20.5</v>
      </c>
      <c r="O3597" s="24">
        <v>1396</v>
      </c>
      <c r="P3597" s="24">
        <v>960</v>
      </c>
      <c r="R3597" s="42" t="s">
        <v>1931</v>
      </c>
      <c r="S3597" s="42" t="s">
        <v>1917</v>
      </c>
      <c r="T3597" s="42"/>
      <c r="U3597" s="42" t="s">
        <v>3342</v>
      </c>
      <c r="V3597" s="42" t="s">
        <v>1400</v>
      </c>
      <c r="W3597" s="42" t="s">
        <v>1727</v>
      </c>
      <c r="X3597" s="42" t="s">
        <v>1400</v>
      </c>
      <c r="Y3597" s="42" t="s">
        <v>1400</v>
      </c>
      <c r="AA3597" s="321">
        <v>61</v>
      </c>
      <c r="AB3597" s="321">
        <v>11</v>
      </c>
      <c r="AC3597" s="24" t="s">
        <v>240</v>
      </c>
      <c r="AD3597" s="24">
        <v>5.3</v>
      </c>
      <c r="AE3597" s="24">
        <v>1.02</v>
      </c>
      <c r="AG3597" s="24" t="s">
        <v>2755</v>
      </c>
      <c r="AH3597" s="24" t="s">
        <v>2697</v>
      </c>
      <c r="AI3597" s="24" t="s">
        <v>577</v>
      </c>
      <c r="AJ3597" s="24" t="s">
        <v>1645</v>
      </c>
      <c r="AK3597" s="24" t="s">
        <v>132</v>
      </c>
      <c r="AW3597" s="24" t="s">
        <v>3345</v>
      </c>
      <c r="AX3597" s="24">
        <v>3</v>
      </c>
      <c r="AZ3597" s="24" t="s">
        <v>141</v>
      </c>
      <c r="BE3597" s="24" t="s">
        <v>3162</v>
      </c>
      <c r="BK3597" s="24">
        <v>621</v>
      </c>
      <c r="BL3597" s="24">
        <v>1864</v>
      </c>
      <c r="BM3597" s="24">
        <v>100</v>
      </c>
      <c r="BN3597" s="24">
        <f>2016-BL3597</f>
        <v>152</v>
      </c>
      <c r="BP3597" s="395">
        <v>1.56</v>
      </c>
      <c r="BQ3597" s="395">
        <v>1.47</v>
      </c>
      <c r="BU3597" s="395"/>
      <c r="BV3597" s="395"/>
      <c r="BZ3597" s="395"/>
      <c r="CA3597" s="395"/>
      <c r="CE3597" s="548"/>
      <c r="CF3597" s="548"/>
      <c r="CG3597" s="548"/>
      <c r="CH3597" s="548"/>
      <c r="JD3597" s="249"/>
    </row>
    <row r="3598" spans="1:264" s="24" customFormat="1" x14ac:dyDescent="0.25">
      <c r="A3598" s="24">
        <v>166</v>
      </c>
      <c r="B3598" s="42" t="s">
        <v>3344</v>
      </c>
      <c r="C3598" s="24" t="s">
        <v>3323</v>
      </c>
      <c r="D3598" s="24" t="s">
        <v>3324</v>
      </c>
      <c r="E3598" s="24">
        <v>2006</v>
      </c>
      <c r="F3598" s="24">
        <v>2004</v>
      </c>
      <c r="G3598" s="24" t="s">
        <v>3343</v>
      </c>
      <c r="H3598" s="24" t="s">
        <v>3326</v>
      </c>
      <c r="I3598" s="24" t="s">
        <v>2829</v>
      </c>
      <c r="J3598" s="24">
        <v>-13.65</v>
      </c>
      <c r="K3598" s="24">
        <v>32.56666666666667</v>
      </c>
      <c r="L3598" s="24">
        <v>1028</v>
      </c>
      <c r="N3598" s="24">
        <v>20.5</v>
      </c>
      <c r="O3598" s="24">
        <v>993</v>
      </c>
      <c r="P3598" s="24">
        <v>960</v>
      </c>
      <c r="R3598" s="42" t="s">
        <v>1917</v>
      </c>
      <c r="S3598" s="42" t="s">
        <v>1917</v>
      </c>
      <c r="T3598" s="42"/>
      <c r="U3598" s="42" t="s">
        <v>3342</v>
      </c>
      <c r="V3598" s="42" t="s">
        <v>1400</v>
      </c>
      <c r="W3598" s="42" t="s">
        <v>1727</v>
      </c>
      <c r="X3598" s="42" t="s">
        <v>1400</v>
      </c>
      <c r="Y3598" s="42" t="s">
        <v>1400</v>
      </c>
      <c r="AA3598" s="321">
        <v>61</v>
      </c>
      <c r="AB3598" s="321">
        <v>11</v>
      </c>
      <c r="AC3598" s="24" t="s">
        <v>240</v>
      </c>
      <c r="AD3598" s="24">
        <v>5.3</v>
      </c>
      <c r="AE3598" s="24">
        <v>1.02</v>
      </c>
      <c r="AG3598" s="24" t="s">
        <v>2755</v>
      </c>
      <c r="AH3598" s="24" t="s">
        <v>2697</v>
      </c>
      <c r="AI3598" s="24" t="s">
        <v>577</v>
      </c>
      <c r="AJ3598" s="24" t="s">
        <v>1645</v>
      </c>
      <c r="AK3598" s="24" t="s">
        <v>132</v>
      </c>
      <c r="AW3598" s="24" t="s">
        <v>3345</v>
      </c>
      <c r="AX3598" s="24">
        <v>3</v>
      </c>
      <c r="AZ3598" s="24" t="s">
        <v>141</v>
      </c>
      <c r="BE3598" s="24" t="s">
        <v>3162</v>
      </c>
      <c r="BK3598" s="24">
        <v>926</v>
      </c>
      <c r="BL3598" s="24">
        <v>2447</v>
      </c>
      <c r="BM3598" s="24">
        <f>1230-BK3598</f>
        <v>304</v>
      </c>
      <c r="BN3598" s="24">
        <f>2878-BL3598</f>
        <v>431</v>
      </c>
      <c r="BP3598" s="395"/>
      <c r="BQ3598" s="395"/>
      <c r="BU3598" s="395"/>
      <c r="BV3598" s="395"/>
      <c r="BZ3598" s="395"/>
      <c r="CA3598" s="395"/>
      <c r="CE3598" s="548"/>
      <c r="CF3598" s="548"/>
      <c r="CG3598" s="548"/>
      <c r="CH3598" s="548"/>
      <c r="JD3598" s="249"/>
    </row>
    <row r="3599" spans="1:264" s="32" customFormat="1" x14ac:dyDescent="0.25">
      <c r="A3599" s="32">
        <v>166</v>
      </c>
      <c r="B3599" s="44" t="s">
        <v>3344</v>
      </c>
      <c r="C3599" s="32" t="s">
        <v>3323</v>
      </c>
      <c r="D3599" s="32" t="s">
        <v>3324</v>
      </c>
      <c r="E3599" s="32">
        <v>2006</v>
      </c>
      <c r="F3599" s="32">
        <v>1996</v>
      </c>
      <c r="G3599" s="32" t="s">
        <v>3343</v>
      </c>
      <c r="H3599" s="32" t="s">
        <v>3326</v>
      </c>
      <c r="I3599" s="32" t="s">
        <v>2829</v>
      </c>
      <c r="J3599" s="32">
        <v>-13.65</v>
      </c>
      <c r="K3599" s="32">
        <v>32.56666666666667</v>
      </c>
      <c r="L3599" s="32">
        <v>1028</v>
      </c>
      <c r="N3599" s="32">
        <v>20.5</v>
      </c>
      <c r="O3599" s="32">
        <v>1163</v>
      </c>
      <c r="P3599" s="32">
        <v>960</v>
      </c>
      <c r="R3599" s="44" t="s">
        <v>1722</v>
      </c>
      <c r="S3599" s="44" t="s">
        <v>1917</v>
      </c>
      <c r="T3599" s="44"/>
      <c r="U3599" s="44" t="s">
        <v>3342</v>
      </c>
      <c r="V3599" s="44" t="s">
        <v>1400</v>
      </c>
      <c r="W3599" s="44" t="s">
        <v>1727</v>
      </c>
      <c r="X3599" s="44" t="s">
        <v>1400</v>
      </c>
      <c r="Y3599" s="44" t="s">
        <v>1400</v>
      </c>
      <c r="AA3599" s="323">
        <v>61</v>
      </c>
      <c r="AB3599" s="323">
        <v>11</v>
      </c>
      <c r="AC3599" s="32" t="s">
        <v>240</v>
      </c>
      <c r="AD3599" s="32">
        <v>5.3</v>
      </c>
      <c r="AE3599" s="32">
        <v>1.02</v>
      </c>
      <c r="AG3599" s="32" t="s">
        <v>2755</v>
      </c>
      <c r="AH3599" s="32" t="s">
        <v>2771</v>
      </c>
      <c r="AI3599" s="32" t="s">
        <v>577</v>
      </c>
      <c r="AJ3599" s="32" t="s">
        <v>1645</v>
      </c>
      <c r="AK3599" s="32" t="s">
        <v>132</v>
      </c>
      <c r="AW3599" s="32" t="s">
        <v>3345</v>
      </c>
      <c r="AX3599" s="32">
        <v>3</v>
      </c>
      <c r="AZ3599" s="32" t="s">
        <v>141</v>
      </c>
      <c r="BE3599" s="32" t="s">
        <v>3162</v>
      </c>
      <c r="BK3599" s="32">
        <v>2295</v>
      </c>
      <c r="BL3599" s="32">
        <v>4223</v>
      </c>
      <c r="BM3599" s="32">
        <v>305</v>
      </c>
      <c r="BN3599" s="32">
        <f>BL3599-3462</f>
        <v>761</v>
      </c>
      <c r="BP3599" s="397">
        <v>1.52</v>
      </c>
      <c r="BQ3599" s="397">
        <v>1.42</v>
      </c>
      <c r="BU3599" s="397"/>
      <c r="BV3599" s="397"/>
      <c r="BZ3599" s="397"/>
      <c r="CA3599" s="397"/>
      <c r="CE3599" s="550"/>
      <c r="CF3599" s="550"/>
      <c r="CG3599" s="550"/>
      <c r="CH3599" s="550"/>
      <c r="EH3599" s="32">
        <v>96</v>
      </c>
      <c r="EI3599" s="32">
        <f>41*6</f>
        <v>246</v>
      </c>
      <c r="EL3599" s="32" t="s">
        <v>3348</v>
      </c>
      <c r="GK3599" s="32">
        <v>818.7</v>
      </c>
      <c r="GL3599" s="32">
        <v>334.7</v>
      </c>
      <c r="GO3599" s="32" t="s">
        <v>3349</v>
      </c>
      <c r="JD3599" s="243"/>
    </row>
    <row r="3600" spans="1:264" s="32" customFormat="1" x14ac:dyDescent="0.25">
      <c r="A3600" s="32">
        <v>166</v>
      </c>
      <c r="B3600" s="44" t="s">
        <v>3344</v>
      </c>
      <c r="C3600" s="32" t="s">
        <v>3323</v>
      </c>
      <c r="D3600" s="32" t="s">
        <v>3324</v>
      </c>
      <c r="E3600" s="32">
        <v>2006</v>
      </c>
      <c r="F3600" s="32">
        <v>1997</v>
      </c>
      <c r="G3600" s="32" t="s">
        <v>3343</v>
      </c>
      <c r="H3600" s="32" t="s">
        <v>3326</v>
      </c>
      <c r="I3600" s="32" t="s">
        <v>2829</v>
      </c>
      <c r="J3600" s="32">
        <v>-13.65</v>
      </c>
      <c r="K3600" s="32">
        <v>32.56666666666667</v>
      </c>
      <c r="L3600" s="32">
        <v>1028</v>
      </c>
      <c r="N3600" s="32">
        <v>20.5</v>
      </c>
      <c r="O3600" s="32">
        <v>930</v>
      </c>
      <c r="P3600" s="32">
        <v>960</v>
      </c>
      <c r="R3600" s="44" t="s">
        <v>1843</v>
      </c>
      <c r="S3600" s="44" t="s">
        <v>1917</v>
      </c>
      <c r="T3600" s="44"/>
      <c r="U3600" s="44" t="s">
        <v>3342</v>
      </c>
      <c r="V3600" s="44" t="s">
        <v>1400</v>
      </c>
      <c r="W3600" s="44" t="s">
        <v>1727</v>
      </c>
      <c r="X3600" s="44" t="s">
        <v>1400</v>
      </c>
      <c r="Y3600" s="44" t="s">
        <v>1400</v>
      </c>
      <c r="AA3600" s="323">
        <v>61</v>
      </c>
      <c r="AB3600" s="323">
        <v>11</v>
      </c>
      <c r="AC3600" s="32" t="s">
        <v>240</v>
      </c>
      <c r="AD3600" s="32">
        <v>5.3</v>
      </c>
      <c r="AE3600" s="32">
        <v>1.02</v>
      </c>
      <c r="AG3600" s="32" t="s">
        <v>2755</v>
      </c>
      <c r="AH3600" s="32" t="s">
        <v>2771</v>
      </c>
      <c r="AI3600" s="32" t="s">
        <v>577</v>
      </c>
      <c r="AJ3600" s="32" t="s">
        <v>1645</v>
      </c>
      <c r="AK3600" s="32" t="s">
        <v>132</v>
      </c>
      <c r="AW3600" s="32" t="s">
        <v>3345</v>
      </c>
      <c r="AX3600" s="32">
        <v>3</v>
      </c>
      <c r="AZ3600" s="32" t="s">
        <v>141</v>
      </c>
      <c r="BE3600" s="32" t="s">
        <v>3162</v>
      </c>
      <c r="BK3600" s="32">
        <v>1483</v>
      </c>
      <c r="BL3600" s="32">
        <v>3335</v>
      </c>
      <c r="BM3600" s="32">
        <v>178</v>
      </c>
      <c r="BN3600" s="32">
        <f>BL3600-2879</f>
        <v>456</v>
      </c>
      <c r="BP3600" s="397"/>
      <c r="BQ3600" s="397"/>
      <c r="BU3600" s="397"/>
      <c r="BV3600" s="397"/>
      <c r="BZ3600" s="397"/>
      <c r="CA3600" s="397"/>
      <c r="CE3600" s="550"/>
      <c r="CF3600" s="550"/>
      <c r="CG3600" s="550"/>
      <c r="CH3600" s="550"/>
      <c r="JD3600" s="243"/>
    </row>
    <row r="3601" spans="1:264" s="32" customFormat="1" x14ac:dyDescent="0.25">
      <c r="A3601" s="32">
        <v>166</v>
      </c>
      <c r="B3601" s="44" t="s">
        <v>3344</v>
      </c>
      <c r="C3601" s="32" t="s">
        <v>3323</v>
      </c>
      <c r="D3601" s="32" t="s">
        <v>3324</v>
      </c>
      <c r="E3601" s="32">
        <v>2006</v>
      </c>
      <c r="F3601" s="32">
        <v>1998</v>
      </c>
      <c r="G3601" s="32" t="s">
        <v>3343</v>
      </c>
      <c r="H3601" s="32" t="s">
        <v>3326</v>
      </c>
      <c r="I3601" s="32" t="s">
        <v>2829</v>
      </c>
      <c r="J3601" s="32">
        <v>-13.65</v>
      </c>
      <c r="K3601" s="32">
        <v>32.56666666666667</v>
      </c>
      <c r="L3601" s="32">
        <v>1028</v>
      </c>
      <c r="N3601" s="32">
        <v>20.5</v>
      </c>
      <c r="O3601" s="32">
        <v>1074</v>
      </c>
      <c r="P3601" s="32">
        <v>960</v>
      </c>
      <c r="R3601" s="44" t="s">
        <v>1734</v>
      </c>
      <c r="S3601" s="44" t="s">
        <v>1917</v>
      </c>
      <c r="T3601" s="44"/>
      <c r="U3601" s="44" t="s">
        <v>3342</v>
      </c>
      <c r="V3601" s="44" t="s">
        <v>1400</v>
      </c>
      <c r="W3601" s="44" t="s">
        <v>1727</v>
      </c>
      <c r="X3601" s="44" t="s">
        <v>1400</v>
      </c>
      <c r="Y3601" s="44" t="s">
        <v>1400</v>
      </c>
      <c r="AA3601" s="323">
        <v>61</v>
      </c>
      <c r="AB3601" s="323">
        <v>11</v>
      </c>
      <c r="AC3601" s="32" t="s">
        <v>240</v>
      </c>
      <c r="AD3601" s="32">
        <v>5.3</v>
      </c>
      <c r="AE3601" s="32">
        <v>1.02</v>
      </c>
      <c r="AG3601" s="32" t="s">
        <v>2755</v>
      </c>
      <c r="AH3601" s="32" t="s">
        <v>2771</v>
      </c>
      <c r="AI3601" s="32" t="s">
        <v>577</v>
      </c>
      <c r="AJ3601" s="32" t="s">
        <v>1645</v>
      </c>
      <c r="AK3601" s="32" t="s">
        <v>132</v>
      </c>
      <c r="AW3601" s="32" t="s">
        <v>3345</v>
      </c>
      <c r="AX3601" s="32">
        <v>3</v>
      </c>
      <c r="AZ3601" s="32" t="s">
        <v>141</v>
      </c>
      <c r="BE3601" s="32" t="s">
        <v>3162</v>
      </c>
      <c r="BK3601" s="32">
        <v>900</v>
      </c>
      <c r="BL3601" s="32">
        <v>2447</v>
      </c>
      <c r="BM3601" s="32">
        <v>100</v>
      </c>
      <c r="BN3601" s="32">
        <f>2828-BL3601</f>
        <v>381</v>
      </c>
      <c r="BP3601" s="397">
        <v>1.4</v>
      </c>
      <c r="BQ3601" s="397">
        <v>1.3</v>
      </c>
      <c r="BU3601" s="397"/>
      <c r="BV3601" s="397"/>
      <c r="BZ3601" s="397"/>
      <c r="CA3601" s="397"/>
      <c r="CE3601" s="550"/>
      <c r="CF3601" s="550"/>
      <c r="CG3601" s="550"/>
      <c r="CH3601" s="550"/>
      <c r="JD3601" s="243"/>
    </row>
    <row r="3602" spans="1:264" s="32" customFormat="1" x14ac:dyDescent="0.25">
      <c r="A3602" s="32">
        <v>166</v>
      </c>
      <c r="B3602" s="44" t="s">
        <v>3344</v>
      </c>
      <c r="C3602" s="32" t="s">
        <v>3323</v>
      </c>
      <c r="D3602" s="32" t="s">
        <v>3324</v>
      </c>
      <c r="E3602" s="32">
        <v>2006</v>
      </c>
      <c r="F3602" s="32">
        <v>1999</v>
      </c>
      <c r="G3602" s="32" t="s">
        <v>3343</v>
      </c>
      <c r="H3602" s="32" t="s">
        <v>3326</v>
      </c>
      <c r="I3602" s="32" t="s">
        <v>2829</v>
      </c>
      <c r="J3602" s="32">
        <v>-13.65</v>
      </c>
      <c r="K3602" s="32">
        <v>32.56666666666667</v>
      </c>
      <c r="L3602" s="32">
        <v>1028</v>
      </c>
      <c r="N3602" s="32">
        <v>20.5</v>
      </c>
      <c r="O3602" s="32">
        <v>1207</v>
      </c>
      <c r="P3602" s="32">
        <v>960</v>
      </c>
      <c r="R3602" s="44" t="s">
        <v>1982</v>
      </c>
      <c r="S3602" s="44" t="s">
        <v>1917</v>
      </c>
      <c r="T3602" s="44"/>
      <c r="U3602" s="44" t="s">
        <v>3342</v>
      </c>
      <c r="V3602" s="44" t="s">
        <v>1400</v>
      </c>
      <c r="W3602" s="44" t="s">
        <v>1727</v>
      </c>
      <c r="X3602" s="44" t="s">
        <v>1400</v>
      </c>
      <c r="Y3602" s="44" t="s">
        <v>1400</v>
      </c>
      <c r="AA3602" s="323">
        <v>61</v>
      </c>
      <c r="AB3602" s="323">
        <v>11</v>
      </c>
      <c r="AC3602" s="32" t="s">
        <v>240</v>
      </c>
      <c r="AD3602" s="32">
        <v>5.3</v>
      </c>
      <c r="AE3602" s="32">
        <v>1.02</v>
      </c>
      <c r="AG3602" s="32" t="s">
        <v>2755</v>
      </c>
      <c r="AH3602" s="32" t="s">
        <v>2771</v>
      </c>
      <c r="AI3602" s="32" t="s">
        <v>577</v>
      </c>
      <c r="AJ3602" s="32" t="s">
        <v>1645</v>
      </c>
      <c r="AK3602" s="32" t="s">
        <v>132</v>
      </c>
      <c r="AW3602" s="32" t="s">
        <v>3345</v>
      </c>
      <c r="AX3602" s="32">
        <v>3</v>
      </c>
      <c r="AZ3602" s="32" t="s">
        <v>141</v>
      </c>
      <c r="BE3602" s="32" t="s">
        <v>3162</v>
      </c>
      <c r="BK3602" s="32">
        <v>723</v>
      </c>
      <c r="BL3602" s="32">
        <v>3031</v>
      </c>
      <c r="BM3602" s="32">
        <v>100</v>
      </c>
      <c r="BN3602" s="32">
        <f>3487-BL3602</f>
        <v>456</v>
      </c>
      <c r="BP3602" s="397"/>
      <c r="BQ3602" s="397"/>
      <c r="BU3602" s="397"/>
      <c r="BV3602" s="397"/>
      <c r="BZ3602" s="397"/>
      <c r="CA3602" s="397"/>
      <c r="CE3602" s="550"/>
      <c r="CF3602" s="550"/>
      <c r="CG3602" s="550"/>
      <c r="CH3602" s="550"/>
      <c r="JD3602" s="243"/>
    </row>
    <row r="3603" spans="1:264" s="32" customFormat="1" x14ac:dyDescent="0.25">
      <c r="A3603" s="32">
        <v>166</v>
      </c>
      <c r="B3603" s="44" t="s">
        <v>3344</v>
      </c>
      <c r="C3603" s="32" t="s">
        <v>3323</v>
      </c>
      <c r="D3603" s="32" t="s">
        <v>3324</v>
      </c>
      <c r="E3603" s="32">
        <v>2006</v>
      </c>
      <c r="F3603" s="32">
        <v>2000</v>
      </c>
      <c r="G3603" s="32" t="s">
        <v>3343</v>
      </c>
      <c r="H3603" s="32" t="s">
        <v>3326</v>
      </c>
      <c r="I3603" s="32" t="s">
        <v>2829</v>
      </c>
      <c r="J3603" s="32">
        <v>-13.65</v>
      </c>
      <c r="K3603" s="32">
        <v>32.56666666666667</v>
      </c>
      <c r="L3603" s="32">
        <v>1028</v>
      </c>
      <c r="N3603" s="32">
        <v>20.5</v>
      </c>
      <c r="O3603" s="32">
        <v>796</v>
      </c>
      <c r="P3603" s="32">
        <v>960</v>
      </c>
      <c r="R3603" s="44" t="s">
        <v>1975</v>
      </c>
      <c r="S3603" s="44" t="s">
        <v>1917</v>
      </c>
      <c r="T3603" s="44"/>
      <c r="U3603" s="44" t="s">
        <v>3342</v>
      </c>
      <c r="V3603" s="44" t="s">
        <v>1400</v>
      </c>
      <c r="W3603" s="44" t="s">
        <v>1727</v>
      </c>
      <c r="X3603" s="44" t="s">
        <v>1400</v>
      </c>
      <c r="Y3603" s="44" t="s">
        <v>1400</v>
      </c>
      <c r="AA3603" s="323">
        <v>61</v>
      </c>
      <c r="AB3603" s="323">
        <v>11</v>
      </c>
      <c r="AC3603" s="32" t="s">
        <v>240</v>
      </c>
      <c r="AD3603" s="32">
        <v>5.3</v>
      </c>
      <c r="AE3603" s="32">
        <v>1.02</v>
      </c>
      <c r="AG3603" s="32" t="s">
        <v>2755</v>
      </c>
      <c r="AH3603" s="32" t="s">
        <v>2771</v>
      </c>
      <c r="AI3603" s="32" t="s">
        <v>577</v>
      </c>
      <c r="AJ3603" s="32" t="s">
        <v>1645</v>
      </c>
      <c r="AK3603" s="32" t="s">
        <v>132</v>
      </c>
      <c r="AW3603" s="32" t="s">
        <v>3345</v>
      </c>
      <c r="AX3603" s="32">
        <v>3</v>
      </c>
      <c r="AZ3603" s="32" t="s">
        <v>141</v>
      </c>
      <c r="BE3603" s="32" t="s">
        <v>3162</v>
      </c>
      <c r="BK3603" s="32">
        <v>926</v>
      </c>
      <c r="BL3603" s="32">
        <v>3284</v>
      </c>
      <c r="BM3603" s="32">
        <v>100</v>
      </c>
      <c r="BN3603" s="32">
        <f>3944-BL3603</f>
        <v>660</v>
      </c>
      <c r="BP3603" s="397"/>
      <c r="BQ3603" s="397"/>
      <c r="BU3603" s="397"/>
      <c r="BV3603" s="397"/>
      <c r="BZ3603" s="397"/>
      <c r="CA3603" s="397"/>
      <c r="CE3603" s="550"/>
      <c r="CF3603" s="550"/>
      <c r="CG3603" s="550"/>
      <c r="CH3603" s="550"/>
      <c r="JD3603" s="243"/>
    </row>
    <row r="3604" spans="1:264" s="32" customFormat="1" x14ac:dyDescent="0.25">
      <c r="A3604" s="32">
        <v>166</v>
      </c>
      <c r="B3604" s="44" t="s">
        <v>3344</v>
      </c>
      <c r="C3604" s="32" t="s">
        <v>3323</v>
      </c>
      <c r="D3604" s="32" t="s">
        <v>3324</v>
      </c>
      <c r="E3604" s="32">
        <v>2006</v>
      </c>
      <c r="F3604" s="32">
        <v>2001</v>
      </c>
      <c r="G3604" s="32" t="s">
        <v>3343</v>
      </c>
      <c r="H3604" s="32" t="s">
        <v>3326</v>
      </c>
      <c r="I3604" s="32" t="s">
        <v>2829</v>
      </c>
      <c r="J3604" s="32">
        <v>-13.65</v>
      </c>
      <c r="K3604" s="32">
        <v>32.56666666666667</v>
      </c>
      <c r="L3604" s="32">
        <v>1028</v>
      </c>
      <c r="N3604" s="32">
        <v>20.5</v>
      </c>
      <c r="O3604" s="32">
        <v>1337</v>
      </c>
      <c r="P3604" s="32">
        <v>960</v>
      </c>
      <c r="R3604" s="44" t="s">
        <v>1719</v>
      </c>
      <c r="S3604" s="44" t="s">
        <v>1917</v>
      </c>
      <c r="T3604" s="44"/>
      <c r="U3604" s="44" t="s">
        <v>3342</v>
      </c>
      <c r="V3604" s="44" t="s">
        <v>1400</v>
      </c>
      <c r="W3604" s="44" t="s">
        <v>1727</v>
      </c>
      <c r="X3604" s="44" t="s">
        <v>1400</v>
      </c>
      <c r="Y3604" s="44" t="s">
        <v>1400</v>
      </c>
      <c r="AA3604" s="323">
        <v>61</v>
      </c>
      <c r="AB3604" s="323">
        <v>11</v>
      </c>
      <c r="AC3604" s="32" t="s">
        <v>240</v>
      </c>
      <c r="AD3604" s="32">
        <v>5.3</v>
      </c>
      <c r="AE3604" s="32">
        <v>1.02</v>
      </c>
      <c r="AG3604" s="32" t="s">
        <v>2755</v>
      </c>
      <c r="AH3604" s="32" t="s">
        <v>2771</v>
      </c>
      <c r="AI3604" s="32" t="s">
        <v>577</v>
      </c>
      <c r="AJ3604" s="32" t="s">
        <v>1645</v>
      </c>
      <c r="AK3604" s="32" t="s">
        <v>132</v>
      </c>
      <c r="AW3604" s="32" t="s">
        <v>3345</v>
      </c>
      <c r="AX3604" s="32">
        <v>3</v>
      </c>
      <c r="AZ3604" s="32" t="s">
        <v>141</v>
      </c>
      <c r="BE3604" s="32" t="s">
        <v>3162</v>
      </c>
      <c r="BK3604" s="32">
        <v>520</v>
      </c>
      <c r="BL3604" s="32">
        <v>1636</v>
      </c>
      <c r="BM3604" s="32">
        <v>100</v>
      </c>
      <c r="BN3604" s="32">
        <f>1788-BL3604</f>
        <v>152</v>
      </c>
      <c r="BP3604" s="397"/>
      <c r="BQ3604" s="397"/>
      <c r="BU3604" s="397"/>
      <c r="BV3604" s="397"/>
      <c r="BZ3604" s="397"/>
      <c r="CA3604" s="397"/>
      <c r="CE3604" s="550"/>
      <c r="CF3604" s="550"/>
      <c r="CG3604" s="550"/>
      <c r="CH3604" s="550"/>
      <c r="JD3604" s="243"/>
    </row>
    <row r="3605" spans="1:264" s="32" customFormat="1" x14ac:dyDescent="0.25">
      <c r="A3605" s="32">
        <v>166</v>
      </c>
      <c r="B3605" s="44" t="s">
        <v>3344</v>
      </c>
      <c r="C3605" s="32" t="s">
        <v>3323</v>
      </c>
      <c r="D3605" s="32" t="s">
        <v>3324</v>
      </c>
      <c r="E3605" s="32">
        <v>2006</v>
      </c>
      <c r="F3605" s="32">
        <v>2002</v>
      </c>
      <c r="G3605" s="32" t="s">
        <v>3343</v>
      </c>
      <c r="H3605" s="32" t="s">
        <v>3326</v>
      </c>
      <c r="I3605" s="32" t="s">
        <v>2829</v>
      </c>
      <c r="J3605" s="32">
        <v>-13.65</v>
      </c>
      <c r="K3605" s="32">
        <v>32.56666666666667</v>
      </c>
      <c r="L3605" s="32">
        <v>1028</v>
      </c>
      <c r="N3605" s="32">
        <v>20.5</v>
      </c>
      <c r="O3605" s="32">
        <v>830</v>
      </c>
      <c r="P3605" s="32">
        <v>960</v>
      </c>
      <c r="R3605" s="44" t="s">
        <v>1860</v>
      </c>
      <c r="S3605" s="44" t="s">
        <v>1917</v>
      </c>
      <c r="T3605" s="44"/>
      <c r="U3605" s="44" t="s">
        <v>3342</v>
      </c>
      <c r="V3605" s="44" t="s">
        <v>1400</v>
      </c>
      <c r="W3605" s="44" t="s">
        <v>1727</v>
      </c>
      <c r="X3605" s="44" t="s">
        <v>1400</v>
      </c>
      <c r="Y3605" s="44" t="s">
        <v>1400</v>
      </c>
      <c r="AA3605" s="323">
        <v>61</v>
      </c>
      <c r="AB3605" s="323">
        <v>11</v>
      </c>
      <c r="AC3605" s="32" t="s">
        <v>240</v>
      </c>
      <c r="AD3605" s="32">
        <v>5.3</v>
      </c>
      <c r="AE3605" s="32">
        <v>1.02</v>
      </c>
      <c r="AG3605" s="32" t="s">
        <v>2755</v>
      </c>
      <c r="AH3605" s="32" t="s">
        <v>2771</v>
      </c>
      <c r="AI3605" s="32" t="s">
        <v>577</v>
      </c>
      <c r="AJ3605" s="32" t="s">
        <v>1645</v>
      </c>
      <c r="AK3605" s="32" t="s">
        <v>132</v>
      </c>
      <c r="AW3605" s="32" t="s">
        <v>3345</v>
      </c>
      <c r="AX3605" s="32">
        <v>3</v>
      </c>
      <c r="AZ3605" s="32" t="s">
        <v>141</v>
      </c>
      <c r="BE3605" s="32" t="s">
        <v>3162</v>
      </c>
      <c r="BK3605" s="32">
        <v>900</v>
      </c>
      <c r="BL3605" s="32">
        <v>2625</v>
      </c>
      <c r="BM3605" s="32">
        <v>100</v>
      </c>
      <c r="BN3605" s="32">
        <f>BL3605-2194</f>
        <v>431</v>
      </c>
      <c r="BP3605" s="397"/>
      <c r="BQ3605" s="397"/>
      <c r="BU3605" s="397"/>
      <c r="BV3605" s="397"/>
      <c r="BZ3605" s="397"/>
      <c r="CA3605" s="397"/>
      <c r="CE3605" s="550"/>
      <c r="CF3605" s="550"/>
      <c r="CG3605" s="550"/>
      <c r="CH3605" s="550"/>
      <c r="JD3605" s="243"/>
    </row>
    <row r="3606" spans="1:264" s="32" customFormat="1" x14ac:dyDescent="0.25">
      <c r="A3606" s="32">
        <v>166</v>
      </c>
      <c r="B3606" s="44" t="s">
        <v>3344</v>
      </c>
      <c r="C3606" s="32" t="s">
        <v>3323</v>
      </c>
      <c r="D3606" s="32" t="s">
        <v>3324</v>
      </c>
      <c r="E3606" s="32">
        <v>2006</v>
      </c>
      <c r="F3606" s="32">
        <v>2003</v>
      </c>
      <c r="G3606" s="32" t="s">
        <v>3343</v>
      </c>
      <c r="H3606" s="32" t="s">
        <v>3326</v>
      </c>
      <c r="I3606" s="32" t="s">
        <v>2829</v>
      </c>
      <c r="J3606" s="32">
        <v>-13.65</v>
      </c>
      <c r="K3606" s="32">
        <v>32.56666666666667</v>
      </c>
      <c r="L3606" s="32">
        <v>1028</v>
      </c>
      <c r="N3606" s="32">
        <v>20.5</v>
      </c>
      <c r="O3606" s="32">
        <v>1396</v>
      </c>
      <c r="P3606" s="32">
        <v>960</v>
      </c>
      <c r="R3606" s="44" t="s">
        <v>1931</v>
      </c>
      <c r="S3606" s="44" t="s">
        <v>1917</v>
      </c>
      <c r="T3606" s="44"/>
      <c r="U3606" s="44" t="s">
        <v>3342</v>
      </c>
      <c r="V3606" s="44" t="s">
        <v>1400</v>
      </c>
      <c r="W3606" s="44" t="s">
        <v>1727</v>
      </c>
      <c r="X3606" s="44" t="s">
        <v>1400</v>
      </c>
      <c r="Y3606" s="44" t="s">
        <v>1400</v>
      </c>
      <c r="AA3606" s="323">
        <v>61</v>
      </c>
      <c r="AB3606" s="323">
        <v>11</v>
      </c>
      <c r="AC3606" s="32" t="s">
        <v>240</v>
      </c>
      <c r="AD3606" s="32">
        <v>5.3</v>
      </c>
      <c r="AE3606" s="32">
        <v>1.02</v>
      </c>
      <c r="AG3606" s="32" t="s">
        <v>2755</v>
      </c>
      <c r="AH3606" s="32" t="s">
        <v>2771</v>
      </c>
      <c r="AI3606" s="32" t="s">
        <v>577</v>
      </c>
      <c r="AJ3606" s="32" t="s">
        <v>1645</v>
      </c>
      <c r="AK3606" s="32" t="s">
        <v>132</v>
      </c>
      <c r="AW3606" s="32" t="s">
        <v>3345</v>
      </c>
      <c r="AX3606" s="32">
        <v>3</v>
      </c>
      <c r="AZ3606" s="32" t="s">
        <v>141</v>
      </c>
      <c r="BE3606" s="32" t="s">
        <v>3162</v>
      </c>
      <c r="BK3606" s="32">
        <v>621</v>
      </c>
      <c r="BL3606" s="32">
        <v>1737</v>
      </c>
      <c r="BM3606" s="32">
        <v>100</v>
      </c>
      <c r="BN3606" s="32">
        <f>2042-BL3606</f>
        <v>305</v>
      </c>
      <c r="BP3606" s="397">
        <v>1.56</v>
      </c>
      <c r="BQ3606" s="397">
        <v>1.44</v>
      </c>
      <c r="BU3606" s="397"/>
      <c r="BV3606" s="397"/>
      <c r="BZ3606" s="397"/>
      <c r="CA3606" s="397"/>
      <c r="CE3606" s="550"/>
      <c r="CF3606" s="550"/>
      <c r="CG3606" s="550"/>
      <c r="CH3606" s="550"/>
      <c r="JD3606" s="243"/>
    </row>
    <row r="3607" spans="1:264" s="32" customFormat="1" x14ac:dyDescent="0.25">
      <c r="A3607" s="32">
        <v>166</v>
      </c>
      <c r="B3607" s="44" t="s">
        <v>3344</v>
      </c>
      <c r="C3607" s="32" t="s">
        <v>3323</v>
      </c>
      <c r="D3607" s="32" t="s">
        <v>3324</v>
      </c>
      <c r="E3607" s="32">
        <v>2006</v>
      </c>
      <c r="F3607" s="32">
        <v>2004</v>
      </c>
      <c r="G3607" s="32" t="s">
        <v>3343</v>
      </c>
      <c r="H3607" s="32" t="s">
        <v>3326</v>
      </c>
      <c r="I3607" s="32" t="s">
        <v>2829</v>
      </c>
      <c r="J3607" s="32">
        <v>-13.65</v>
      </c>
      <c r="K3607" s="32">
        <v>32.56666666666667</v>
      </c>
      <c r="L3607" s="32">
        <v>1028</v>
      </c>
      <c r="N3607" s="32">
        <v>20.5</v>
      </c>
      <c r="O3607" s="32">
        <v>993</v>
      </c>
      <c r="P3607" s="32">
        <v>960</v>
      </c>
      <c r="R3607" s="44" t="s">
        <v>1917</v>
      </c>
      <c r="S3607" s="44" t="s">
        <v>1917</v>
      </c>
      <c r="T3607" s="44"/>
      <c r="U3607" s="44" t="s">
        <v>3342</v>
      </c>
      <c r="V3607" s="44" t="s">
        <v>1400</v>
      </c>
      <c r="W3607" s="44" t="s">
        <v>1727</v>
      </c>
      <c r="X3607" s="44" t="s">
        <v>1400</v>
      </c>
      <c r="Y3607" s="44" t="s">
        <v>1400</v>
      </c>
      <c r="AA3607" s="323">
        <v>61</v>
      </c>
      <c r="AB3607" s="323">
        <v>11</v>
      </c>
      <c r="AC3607" s="32" t="s">
        <v>240</v>
      </c>
      <c r="AD3607" s="32">
        <v>5.3</v>
      </c>
      <c r="AE3607" s="32">
        <v>1.02</v>
      </c>
      <c r="AG3607" s="32" t="s">
        <v>2755</v>
      </c>
      <c r="AH3607" s="32" t="s">
        <v>2771</v>
      </c>
      <c r="AI3607" s="32" t="s">
        <v>577</v>
      </c>
      <c r="AJ3607" s="32" t="s">
        <v>1645</v>
      </c>
      <c r="AK3607" s="32" t="s">
        <v>132</v>
      </c>
      <c r="AW3607" s="32" t="s">
        <v>3345</v>
      </c>
      <c r="AX3607" s="32">
        <v>3</v>
      </c>
      <c r="AZ3607" s="32" t="s">
        <v>141</v>
      </c>
      <c r="BE3607" s="32" t="s">
        <v>3162</v>
      </c>
      <c r="BK3607" s="32">
        <v>926</v>
      </c>
      <c r="BL3607" s="32">
        <v>2092</v>
      </c>
      <c r="BM3607" s="32">
        <v>304</v>
      </c>
      <c r="BN3607" s="32">
        <f>2472-BL3607</f>
        <v>380</v>
      </c>
      <c r="BP3607" s="397"/>
      <c r="BQ3607" s="397"/>
      <c r="BU3607" s="397"/>
      <c r="BV3607" s="397"/>
      <c r="BZ3607" s="397"/>
      <c r="CA3607" s="397"/>
      <c r="CE3607" s="550"/>
      <c r="CF3607" s="550"/>
      <c r="CG3607" s="550"/>
      <c r="CH3607" s="550"/>
      <c r="JD3607" s="243"/>
    </row>
    <row r="3608" spans="1:264" s="24" customFormat="1" x14ac:dyDescent="0.25">
      <c r="A3608" s="24">
        <v>166</v>
      </c>
      <c r="B3608" s="42" t="s">
        <v>3346</v>
      </c>
      <c r="C3608" s="24" t="s">
        <v>3323</v>
      </c>
      <c r="D3608" s="24" t="s">
        <v>3324</v>
      </c>
      <c r="E3608" s="24">
        <v>2006</v>
      </c>
      <c r="F3608" s="24">
        <v>2001</v>
      </c>
      <c r="G3608" s="24" t="s">
        <v>3343</v>
      </c>
      <c r="H3608" s="24" t="s">
        <v>3326</v>
      </c>
      <c r="I3608" s="24" t="s">
        <v>2829</v>
      </c>
      <c r="J3608" s="24">
        <v>-13.5</v>
      </c>
      <c r="K3608" s="24">
        <v>32.56666666666667</v>
      </c>
      <c r="L3608" s="24">
        <v>1028</v>
      </c>
      <c r="N3608" s="24">
        <v>20.5</v>
      </c>
      <c r="O3608" s="24">
        <v>1337</v>
      </c>
      <c r="P3608" s="24">
        <v>960</v>
      </c>
      <c r="R3608" s="42" t="s">
        <v>1719</v>
      </c>
      <c r="S3608" s="42" t="s">
        <v>1917</v>
      </c>
      <c r="T3608" s="42"/>
      <c r="U3608" s="42" t="s">
        <v>3342</v>
      </c>
      <c r="V3608" s="42" t="s">
        <v>1400</v>
      </c>
      <c r="W3608" s="42" t="s">
        <v>1727</v>
      </c>
      <c r="X3608" s="42" t="s">
        <v>1400</v>
      </c>
      <c r="Y3608" s="42" t="s">
        <v>1400</v>
      </c>
      <c r="AA3608" s="321">
        <v>61</v>
      </c>
      <c r="AB3608" s="321">
        <v>11</v>
      </c>
      <c r="AC3608" s="24" t="s">
        <v>240</v>
      </c>
      <c r="AD3608" s="24">
        <v>5.3</v>
      </c>
      <c r="AE3608" s="24">
        <v>1.02</v>
      </c>
      <c r="AG3608" s="24" t="s">
        <v>2755</v>
      </c>
      <c r="AH3608" s="24" t="s">
        <v>2697</v>
      </c>
      <c r="AI3608" s="24" t="s">
        <v>577</v>
      </c>
      <c r="AJ3608" s="24" t="s">
        <v>1645</v>
      </c>
      <c r="AK3608" s="24" t="s">
        <v>132</v>
      </c>
      <c r="AW3608" s="24" t="s">
        <v>3345</v>
      </c>
      <c r="AX3608" s="24">
        <v>3</v>
      </c>
      <c r="AZ3608" s="24" t="s">
        <v>141</v>
      </c>
      <c r="BE3608" s="24" t="s">
        <v>3163</v>
      </c>
      <c r="BK3608" s="24">
        <v>450</v>
      </c>
      <c r="BL3608" s="24">
        <v>1857.69</v>
      </c>
      <c r="BM3608" s="24">
        <f>(1073-773)/2*SQRT(3)</f>
        <v>259.8076211353316</v>
      </c>
      <c r="BN3608" s="24">
        <f>(2112-BL3608)*SQRT(3)</f>
        <v>440.47784087284106</v>
      </c>
      <c r="BP3608" s="395"/>
      <c r="BQ3608" s="395"/>
      <c r="BU3608" s="395"/>
      <c r="BV3608" s="395"/>
      <c r="BZ3608" s="395"/>
      <c r="CA3608" s="395"/>
      <c r="CE3608" s="548"/>
      <c r="CF3608" s="548"/>
      <c r="CG3608" s="548"/>
      <c r="CH3608" s="548"/>
      <c r="GK3608" s="24">
        <v>122.7</v>
      </c>
      <c r="GL3608" s="24">
        <v>373.3</v>
      </c>
      <c r="GO3608" s="24" t="s">
        <v>3349</v>
      </c>
      <c r="JD3608" s="249"/>
    </row>
    <row r="3609" spans="1:264" s="24" customFormat="1" x14ac:dyDescent="0.25">
      <c r="A3609" s="24">
        <v>166</v>
      </c>
      <c r="B3609" s="42" t="s">
        <v>3346</v>
      </c>
      <c r="C3609" s="24" t="s">
        <v>3323</v>
      </c>
      <c r="D3609" s="24" t="s">
        <v>3324</v>
      </c>
      <c r="E3609" s="24">
        <v>2006</v>
      </c>
      <c r="F3609" s="24">
        <v>2002</v>
      </c>
      <c r="G3609" s="24" t="s">
        <v>3343</v>
      </c>
      <c r="H3609" s="24" t="s">
        <v>3326</v>
      </c>
      <c r="I3609" s="24" t="s">
        <v>2829</v>
      </c>
      <c r="J3609" s="24">
        <v>-13.5</v>
      </c>
      <c r="K3609" s="24">
        <v>32.56666666666667</v>
      </c>
      <c r="L3609" s="24">
        <v>1028</v>
      </c>
      <c r="N3609" s="24">
        <v>20.5</v>
      </c>
      <c r="O3609" s="24">
        <v>830</v>
      </c>
      <c r="P3609" s="24">
        <v>960</v>
      </c>
      <c r="R3609" s="42" t="s">
        <v>1860</v>
      </c>
      <c r="S3609" s="42" t="s">
        <v>1917</v>
      </c>
      <c r="T3609" s="42"/>
      <c r="U3609" s="42" t="s">
        <v>3342</v>
      </c>
      <c r="V3609" s="42" t="s">
        <v>1400</v>
      </c>
      <c r="W3609" s="42" t="s">
        <v>1727</v>
      </c>
      <c r="X3609" s="42" t="s">
        <v>1400</v>
      </c>
      <c r="Y3609" s="42" t="s">
        <v>1400</v>
      </c>
      <c r="AA3609" s="321">
        <v>61</v>
      </c>
      <c r="AB3609" s="321">
        <v>11</v>
      </c>
      <c r="AC3609" s="24" t="s">
        <v>240</v>
      </c>
      <c r="AD3609" s="24">
        <v>5.3</v>
      </c>
      <c r="AE3609" s="24">
        <v>1.02</v>
      </c>
      <c r="AG3609" s="24" t="s">
        <v>2755</v>
      </c>
      <c r="AH3609" s="24" t="s">
        <v>2697</v>
      </c>
      <c r="AI3609" s="24" t="s">
        <v>577</v>
      </c>
      <c r="AJ3609" s="24" t="s">
        <v>1645</v>
      </c>
      <c r="AK3609" s="24" t="s">
        <v>132</v>
      </c>
      <c r="AW3609" s="24" t="s">
        <v>3345</v>
      </c>
      <c r="AX3609" s="24">
        <v>3</v>
      </c>
      <c r="AZ3609" s="24" t="s">
        <v>141</v>
      </c>
      <c r="BE3609" s="24" t="s">
        <v>3163</v>
      </c>
      <c r="BK3609" s="24">
        <v>219</v>
      </c>
      <c r="BL3609" s="24">
        <v>2503.8000000000002</v>
      </c>
      <c r="BM3609" s="24">
        <f t="shared" ref="BM3609:BM3611" si="492">(1073-773)/2*SQRT(3)</f>
        <v>259.8076211353316</v>
      </c>
      <c r="BN3609" s="24">
        <f>(2758-BL3609)*SQRT(3)</f>
        <v>440.28731528400829</v>
      </c>
      <c r="BP3609" s="395"/>
      <c r="BQ3609" s="395"/>
      <c r="BU3609" s="395"/>
      <c r="BV3609" s="395"/>
      <c r="BZ3609" s="395"/>
      <c r="CA3609" s="395"/>
      <c r="CE3609" s="548"/>
      <c r="CF3609" s="548"/>
      <c r="CG3609" s="548"/>
      <c r="CH3609" s="548"/>
      <c r="JD3609" s="249"/>
    </row>
    <row r="3610" spans="1:264" s="24" customFormat="1" x14ac:dyDescent="0.25">
      <c r="A3610" s="24">
        <v>166</v>
      </c>
      <c r="B3610" s="42" t="s">
        <v>3346</v>
      </c>
      <c r="C3610" s="24" t="s">
        <v>3323</v>
      </c>
      <c r="D3610" s="24" t="s">
        <v>3324</v>
      </c>
      <c r="E3610" s="24">
        <v>2006</v>
      </c>
      <c r="F3610" s="24">
        <v>2003</v>
      </c>
      <c r="G3610" s="24" t="s">
        <v>3343</v>
      </c>
      <c r="H3610" s="24" t="s">
        <v>3326</v>
      </c>
      <c r="I3610" s="24" t="s">
        <v>2829</v>
      </c>
      <c r="J3610" s="24">
        <v>-13.5</v>
      </c>
      <c r="K3610" s="24">
        <v>32.56666666666667</v>
      </c>
      <c r="L3610" s="24">
        <v>1028</v>
      </c>
      <c r="N3610" s="24">
        <v>20.5</v>
      </c>
      <c r="O3610" s="24">
        <v>1396</v>
      </c>
      <c r="P3610" s="24">
        <v>960</v>
      </c>
      <c r="R3610" s="42" t="s">
        <v>1931</v>
      </c>
      <c r="S3610" s="42" t="s">
        <v>1917</v>
      </c>
      <c r="T3610" s="42"/>
      <c r="U3610" s="42" t="s">
        <v>3342</v>
      </c>
      <c r="V3610" s="42" t="s">
        <v>1400</v>
      </c>
      <c r="W3610" s="42" t="s">
        <v>1727</v>
      </c>
      <c r="X3610" s="42" t="s">
        <v>1400</v>
      </c>
      <c r="Y3610" s="42" t="s">
        <v>1400</v>
      </c>
      <c r="AA3610" s="321">
        <v>61</v>
      </c>
      <c r="AB3610" s="321">
        <v>11</v>
      </c>
      <c r="AC3610" s="24" t="s">
        <v>240</v>
      </c>
      <c r="AD3610" s="24">
        <v>5.3</v>
      </c>
      <c r="AE3610" s="24">
        <v>1.02</v>
      </c>
      <c r="AG3610" s="24" t="s">
        <v>2755</v>
      </c>
      <c r="AH3610" s="24" t="s">
        <v>2697</v>
      </c>
      <c r="AI3610" s="24" t="s">
        <v>577</v>
      </c>
      <c r="AJ3610" s="24" t="s">
        <v>1645</v>
      </c>
      <c r="AK3610" s="24" t="s">
        <v>132</v>
      </c>
      <c r="AW3610" s="24" t="s">
        <v>3345</v>
      </c>
      <c r="AX3610" s="24">
        <v>3</v>
      </c>
      <c r="AZ3610" s="24" t="s">
        <v>141</v>
      </c>
      <c r="BE3610" s="24" t="s">
        <v>3163</v>
      </c>
      <c r="BK3610" s="24">
        <v>127</v>
      </c>
      <c r="BL3610" s="24">
        <v>1626.9</v>
      </c>
      <c r="BM3610" s="24">
        <f t="shared" si="492"/>
        <v>259.8076211353316</v>
      </c>
      <c r="BP3610" s="395"/>
      <c r="BQ3610" s="395"/>
      <c r="BU3610" s="395"/>
      <c r="BV3610" s="395"/>
      <c r="BZ3610" s="395"/>
      <c r="CA3610" s="395"/>
      <c r="CE3610" s="548"/>
      <c r="CF3610" s="548"/>
      <c r="CG3610" s="548"/>
      <c r="CH3610" s="548"/>
      <c r="JD3610" s="249"/>
    </row>
    <row r="3611" spans="1:264" s="24" customFormat="1" x14ac:dyDescent="0.25">
      <c r="A3611" s="24">
        <v>166</v>
      </c>
      <c r="B3611" s="42" t="s">
        <v>3346</v>
      </c>
      <c r="C3611" s="24" t="s">
        <v>3323</v>
      </c>
      <c r="D3611" s="24" t="s">
        <v>3324</v>
      </c>
      <c r="E3611" s="24">
        <v>2006</v>
      </c>
      <c r="F3611" s="24">
        <v>2004</v>
      </c>
      <c r="G3611" s="24" t="s">
        <v>3343</v>
      </c>
      <c r="H3611" s="24" t="s">
        <v>3326</v>
      </c>
      <c r="I3611" s="24" t="s">
        <v>2829</v>
      </c>
      <c r="J3611" s="24">
        <v>-13.5</v>
      </c>
      <c r="K3611" s="24">
        <v>32.56666666666667</v>
      </c>
      <c r="L3611" s="24">
        <v>1028</v>
      </c>
      <c r="N3611" s="24">
        <v>20.5</v>
      </c>
      <c r="O3611" s="24">
        <v>993</v>
      </c>
      <c r="P3611" s="24">
        <v>960</v>
      </c>
      <c r="R3611" s="42" t="s">
        <v>1917</v>
      </c>
      <c r="S3611" s="42" t="s">
        <v>1917</v>
      </c>
      <c r="T3611" s="42"/>
      <c r="U3611" s="42" t="s">
        <v>3342</v>
      </c>
      <c r="V3611" s="42" t="s">
        <v>1400</v>
      </c>
      <c r="W3611" s="42" t="s">
        <v>1727</v>
      </c>
      <c r="X3611" s="42" t="s">
        <v>1400</v>
      </c>
      <c r="Y3611" s="42" t="s">
        <v>1400</v>
      </c>
      <c r="AA3611" s="321">
        <v>61</v>
      </c>
      <c r="AB3611" s="321">
        <v>11</v>
      </c>
      <c r="AC3611" s="24" t="s">
        <v>240</v>
      </c>
      <c r="AD3611" s="24">
        <v>5.3</v>
      </c>
      <c r="AE3611" s="24">
        <v>1.02</v>
      </c>
      <c r="AG3611" s="24" t="s">
        <v>2755</v>
      </c>
      <c r="AH3611" s="24" t="s">
        <v>2697</v>
      </c>
      <c r="AI3611" s="24" t="s">
        <v>577</v>
      </c>
      <c r="AJ3611" s="24" t="s">
        <v>1645</v>
      </c>
      <c r="AK3611" s="24" t="s">
        <v>132</v>
      </c>
      <c r="AW3611" s="24" t="s">
        <v>3345</v>
      </c>
      <c r="AX3611" s="24">
        <v>3</v>
      </c>
      <c r="AZ3611" s="24" t="s">
        <v>141</v>
      </c>
      <c r="BE3611" s="24" t="s">
        <v>3163</v>
      </c>
      <c r="BK3611" s="24">
        <v>150</v>
      </c>
      <c r="BL3611" s="24">
        <v>1142.31</v>
      </c>
      <c r="BM3611" s="24">
        <f t="shared" si="492"/>
        <v>259.8076211353316</v>
      </c>
      <c r="BP3611" s="395"/>
      <c r="BQ3611" s="395"/>
      <c r="BU3611" s="395"/>
      <c r="BV3611" s="395"/>
      <c r="BZ3611" s="395"/>
      <c r="CA3611" s="395"/>
      <c r="CE3611" s="548"/>
      <c r="CF3611" s="548"/>
      <c r="CG3611" s="548"/>
      <c r="CH3611" s="548"/>
      <c r="JD3611" s="249"/>
    </row>
    <row r="3612" spans="1:264" s="32" customFormat="1" x14ac:dyDescent="0.25">
      <c r="A3612" s="32">
        <v>166</v>
      </c>
      <c r="B3612" s="44" t="s">
        <v>3346</v>
      </c>
      <c r="C3612" s="32" t="s">
        <v>3323</v>
      </c>
      <c r="D3612" s="32" t="s">
        <v>3324</v>
      </c>
      <c r="E3612" s="32">
        <v>2006</v>
      </c>
      <c r="F3612" s="32">
        <v>2001</v>
      </c>
      <c r="G3612" s="32" t="s">
        <v>3343</v>
      </c>
      <c r="H3612" s="32" t="s">
        <v>3326</v>
      </c>
      <c r="I3612" s="32" t="s">
        <v>2829</v>
      </c>
      <c r="J3612" s="32">
        <v>-13.5</v>
      </c>
      <c r="K3612" s="32">
        <v>32.56666666666667</v>
      </c>
      <c r="L3612" s="32">
        <v>1028</v>
      </c>
      <c r="N3612" s="32">
        <v>20.5</v>
      </c>
      <c r="O3612" s="32">
        <v>1337</v>
      </c>
      <c r="P3612" s="32">
        <v>960</v>
      </c>
      <c r="R3612" s="44" t="s">
        <v>1719</v>
      </c>
      <c r="S3612" s="44" t="s">
        <v>1917</v>
      </c>
      <c r="T3612" s="44"/>
      <c r="U3612" s="44" t="s">
        <v>3342</v>
      </c>
      <c r="V3612" s="44" t="s">
        <v>1400</v>
      </c>
      <c r="W3612" s="44" t="s">
        <v>1727</v>
      </c>
      <c r="X3612" s="44" t="s">
        <v>1400</v>
      </c>
      <c r="Y3612" s="44" t="s">
        <v>1400</v>
      </c>
      <c r="AA3612" s="323">
        <v>61</v>
      </c>
      <c r="AB3612" s="323">
        <v>11</v>
      </c>
      <c r="AC3612" s="32" t="s">
        <v>240</v>
      </c>
      <c r="AD3612" s="32">
        <v>5.3</v>
      </c>
      <c r="AE3612" s="32">
        <v>1.02</v>
      </c>
      <c r="AG3612" s="32" t="s">
        <v>2755</v>
      </c>
      <c r="AH3612" s="32" t="s">
        <v>2771</v>
      </c>
      <c r="AI3612" s="32" t="s">
        <v>577</v>
      </c>
      <c r="AJ3612" s="32" t="s">
        <v>1645</v>
      </c>
      <c r="AK3612" s="32" t="s">
        <v>132</v>
      </c>
      <c r="AW3612" s="32" t="s">
        <v>3345</v>
      </c>
      <c r="AX3612" s="32">
        <v>3</v>
      </c>
      <c r="AZ3612" s="32" t="s">
        <v>141</v>
      </c>
      <c r="BE3612" s="32" t="s">
        <v>3163</v>
      </c>
      <c r="BK3612" s="32">
        <v>450</v>
      </c>
      <c r="BL3612" s="32">
        <v>2019</v>
      </c>
      <c r="BM3612" s="32">
        <v>259.8076211353316</v>
      </c>
      <c r="BN3612" s="32">
        <f>(2135-BL3612)*SQRT(3)</f>
        <v>200.91789367798975</v>
      </c>
      <c r="BP3612" s="397"/>
      <c r="BQ3612" s="397"/>
      <c r="BU3612" s="397"/>
      <c r="BV3612" s="397"/>
      <c r="BZ3612" s="397"/>
      <c r="CA3612" s="397"/>
      <c r="CE3612" s="550"/>
      <c r="CF3612" s="550"/>
      <c r="CG3612" s="550"/>
      <c r="CH3612" s="550"/>
      <c r="GK3612" s="32">
        <v>122.7</v>
      </c>
      <c r="GL3612" s="32">
        <v>149.30000000000001</v>
      </c>
      <c r="GO3612" s="32" t="s">
        <v>3349</v>
      </c>
      <c r="JD3612" s="243"/>
    </row>
    <row r="3613" spans="1:264" s="32" customFormat="1" x14ac:dyDescent="0.25">
      <c r="A3613" s="32">
        <v>166</v>
      </c>
      <c r="B3613" s="44" t="s">
        <v>3346</v>
      </c>
      <c r="C3613" s="32" t="s">
        <v>3323</v>
      </c>
      <c r="D3613" s="32" t="s">
        <v>3324</v>
      </c>
      <c r="E3613" s="32">
        <v>2006</v>
      </c>
      <c r="F3613" s="32">
        <v>2002</v>
      </c>
      <c r="G3613" s="32" t="s">
        <v>3343</v>
      </c>
      <c r="H3613" s="32" t="s">
        <v>3326</v>
      </c>
      <c r="I3613" s="32" t="s">
        <v>2829</v>
      </c>
      <c r="J3613" s="32">
        <v>-13.5</v>
      </c>
      <c r="K3613" s="32">
        <v>32.56666666666667</v>
      </c>
      <c r="L3613" s="32">
        <v>1028</v>
      </c>
      <c r="N3613" s="32">
        <v>20.5</v>
      </c>
      <c r="O3613" s="32">
        <v>830</v>
      </c>
      <c r="P3613" s="32">
        <v>960</v>
      </c>
      <c r="R3613" s="44" t="s">
        <v>1860</v>
      </c>
      <c r="S3613" s="44" t="s">
        <v>1917</v>
      </c>
      <c r="T3613" s="44"/>
      <c r="U3613" s="44" t="s">
        <v>3342</v>
      </c>
      <c r="V3613" s="44" t="s">
        <v>1400</v>
      </c>
      <c r="W3613" s="44" t="s">
        <v>1727</v>
      </c>
      <c r="X3613" s="44" t="s">
        <v>1400</v>
      </c>
      <c r="Y3613" s="44" t="s">
        <v>1400</v>
      </c>
      <c r="AA3613" s="323">
        <v>61</v>
      </c>
      <c r="AB3613" s="323">
        <v>11</v>
      </c>
      <c r="AC3613" s="32" t="s">
        <v>240</v>
      </c>
      <c r="AD3613" s="32">
        <v>5.3</v>
      </c>
      <c r="AE3613" s="32">
        <v>1.02</v>
      </c>
      <c r="AG3613" s="32" t="s">
        <v>2755</v>
      </c>
      <c r="AH3613" s="32" t="s">
        <v>2771</v>
      </c>
      <c r="AI3613" s="32" t="s">
        <v>577</v>
      </c>
      <c r="AJ3613" s="32" t="s">
        <v>1645</v>
      </c>
      <c r="AK3613" s="32" t="s">
        <v>132</v>
      </c>
      <c r="AW3613" s="32" t="s">
        <v>3345</v>
      </c>
      <c r="AX3613" s="32">
        <v>3</v>
      </c>
      <c r="AZ3613" s="32" t="s">
        <v>141</v>
      </c>
      <c r="BE3613" s="32" t="s">
        <v>3163</v>
      </c>
      <c r="BK3613" s="32">
        <v>219</v>
      </c>
      <c r="BL3613" s="32">
        <v>1535</v>
      </c>
      <c r="BM3613" s="32">
        <v>259.8076211353316</v>
      </c>
      <c r="BN3613" s="32">
        <f>(1650-BL3613)*SQRT(3)</f>
        <v>199.18584287042088</v>
      </c>
      <c r="BP3613" s="397"/>
      <c r="BQ3613" s="397"/>
      <c r="BU3613" s="397"/>
      <c r="BV3613" s="397"/>
      <c r="BZ3613" s="397"/>
      <c r="CA3613" s="397"/>
      <c r="CE3613" s="550"/>
      <c r="CF3613" s="550"/>
      <c r="CG3613" s="550"/>
      <c r="CH3613" s="550"/>
      <c r="JD3613" s="243"/>
    </row>
    <row r="3614" spans="1:264" s="32" customFormat="1" x14ac:dyDescent="0.25">
      <c r="A3614" s="32">
        <v>166</v>
      </c>
      <c r="B3614" s="44" t="s">
        <v>3346</v>
      </c>
      <c r="C3614" s="32" t="s">
        <v>3323</v>
      </c>
      <c r="D3614" s="32" t="s">
        <v>3324</v>
      </c>
      <c r="E3614" s="32">
        <v>2006</v>
      </c>
      <c r="F3614" s="32">
        <v>2003</v>
      </c>
      <c r="G3614" s="32" t="s">
        <v>3343</v>
      </c>
      <c r="H3614" s="32" t="s">
        <v>3326</v>
      </c>
      <c r="I3614" s="32" t="s">
        <v>2829</v>
      </c>
      <c r="J3614" s="32">
        <v>-13.5</v>
      </c>
      <c r="K3614" s="32">
        <v>32.56666666666667</v>
      </c>
      <c r="L3614" s="32">
        <v>1028</v>
      </c>
      <c r="N3614" s="32">
        <v>20.5</v>
      </c>
      <c r="O3614" s="32">
        <v>1396</v>
      </c>
      <c r="P3614" s="32">
        <v>960</v>
      </c>
      <c r="R3614" s="44" t="s">
        <v>1931</v>
      </c>
      <c r="S3614" s="44" t="s">
        <v>1917</v>
      </c>
      <c r="T3614" s="44"/>
      <c r="U3614" s="44" t="s">
        <v>3342</v>
      </c>
      <c r="V3614" s="44" t="s">
        <v>1400</v>
      </c>
      <c r="W3614" s="44" t="s">
        <v>1727</v>
      </c>
      <c r="X3614" s="44" t="s">
        <v>1400</v>
      </c>
      <c r="Y3614" s="44" t="s">
        <v>1400</v>
      </c>
      <c r="AA3614" s="323">
        <v>61</v>
      </c>
      <c r="AB3614" s="323">
        <v>11</v>
      </c>
      <c r="AC3614" s="32" t="s">
        <v>240</v>
      </c>
      <c r="AD3614" s="32">
        <v>5.3</v>
      </c>
      <c r="AE3614" s="32">
        <v>1.02</v>
      </c>
      <c r="AG3614" s="32" t="s">
        <v>2755</v>
      </c>
      <c r="AH3614" s="32" t="s">
        <v>2771</v>
      </c>
      <c r="AI3614" s="32" t="s">
        <v>577</v>
      </c>
      <c r="AJ3614" s="32" t="s">
        <v>1645</v>
      </c>
      <c r="AK3614" s="32" t="s">
        <v>132</v>
      </c>
      <c r="AW3614" s="32" t="s">
        <v>3345</v>
      </c>
      <c r="AX3614" s="32">
        <v>3</v>
      </c>
      <c r="AZ3614" s="32" t="s">
        <v>141</v>
      </c>
      <c r="BE3614" s="32" t="s">
        <v>3163</v>
      </c>
      <c r="BK3614" s="32">
        <v>127</v>
      </c>
      <c r="BL3614" s="32">
        <v>773</v>
      </c>
      <c r="BM3614" s="32">
        <v>259.8076211353316</v>
      </c>
      <c r="BP3614" s="397"/>
      <c r="BQ3614" s="397"/>
      <c r="BU3614" s="397"/>
      <c r="BV3614" s="397"/>
      <c r="BZ3614" s="397"/>
      <c r="CA3614" s="397"/>
      <c r="CE3614" s="550"/>
      <c r="CF3614" s="550"/>
      <c r="CG3614" s="550"/>
      <c r="CH3614" s="550"/>
      <c r="JD3614" s="243"/>
    </row>
    <row r="3615" spans="1:264" s="32" customFormat="1" x14ac:dyDescent="0.25">
      <c r="A3615" s="32">
        <v>166</v>
      </c>
      <c r="B3615" s="44" t="s">
        <v>3346</v>
      </c>
      <c r="C3615" s="32" t="s">
        <v>3323</v>
      </c>
      <c r="D3615" s="32" t="s">
        <v>3324</v>
      </c>
      <c r="E3615" s="32">
        <v>2006</v>
      </c>
      <c r="F3615" s="32">
        <v>2004</v>
      </c>
      <c r="G3615" s="32" t="s">
        <v>3343</v>
      </c>
      <c r="H3615" s="32" t="s">
        <v>3326</v>
      </c>
      <c r="I3615" s="32" t="s">
        <v>2829</v>
      </c>
      <c r="J3615" s="32">
        <v>-13.5</v>
      </c>
      <c r="K3615" s="32">
        <v>32.56666666666667</v>
      </c>
      <c r="L3615" s="32">
        <v>1028</v>
      </c>
      <c r="N3615" s="32">
        <v>20.5</v>
      </c>
      <c r="O3615" s="32">
        <v>993</v>
      </c>
      <c r="P3615" s="32">
        <v>960</v>
      </c>
      <c r="R3615" s="44" t="s">
        <v>1917</v>
      </c>
      <c r="S3615" s="44" t="s">
        <v>1917</v>
      </c>
      <c r="T3615" s="44"/>
      <c r="U3615" s="44" t="s">
        <v>3342</v>
      </c>
      <c r="V3615" s="44" t="s">
        <v>1400</v>
      </c>
      <c r="W3615" s="44" t="s">
        <v>1727</v>
      </c>
      <c r="X3615" s="44" t="s">
        <v>1400</v>
      </c>
      <c r="Y3615" s="44" t="s">
        <v>1400</v>
      </c>
      <c r="AA3615" s="323">
        <v>61</v>
      </c>
      <c r="AB3615" s="323">
        <v>11</v>
      </c>
      <c r="AC3615" s="32" t="s">
        <v>240</v>
      </c>
      <c r="AD3615" s="32">
        <v>5.3</v>
      </c>
      <c r="AE3615" s="32">
        <v>1.02</v>
      </c>
      <c r="AG3615" s="32" t="s">
        <v>2755</v>
      </c>
      <c r="AH3615" s="32" t="s">
        <v>2771</v>
      </c>
      <c r="AI3615" s="32" t="s">
        <v>577</v>
      </c>
      <c r="AJ3615" s="32" t="s">
        <v>1645</v>
      </c>
      <c r="AK3615" s="32" t="s">
        <v>132</v>
      </c>
      <c r="AW3615" s="32" t="s">
        <v>3345</v>
      </c>
      <c r="AX3615" s="32">
        <v>3</v>
      </c>
      <c r="AZ3615" s="32" t="s">
        <v>141</v>
      </c>
      <c r="BE3615" s="32" t="s">
        <v>3163</v>
      </c>
      <c r="BK3615" s="32">
        <v>150</v>
      </c>
      <c r="BL3615" s="32">
        <v>542</v>
      </c>
      <c r="BM3615" s="32">
        <v>259.8076211353316</v>
      </c>
      <c r="BP3615" s="397"/>
      <c r="BQ3615" s="397"/>
      <c r="BU3615" s="397"/>
      <c r="BV3615" s="397"/>
      <c r="BZ3615" s="397"/>
      <c r="CA3615" s="397"/>
      <c r="CE3615" s="550"/>
      <c r="CF3615" s="550"/>
      <c r="CG3615" s="550"/>
      <c r="CH3615" s="550"/>
      <c r="JD3615" s="243"/>
    </row>
    <row r="3616" spans="1:264" s="24" customFormat="1" x14ac:dyDescent="0.25">
      <c r="A3616" s="24">
        <v>166</v>
      </c>
      <c r="B3616" s="42" t="s">
        <v>3350</v>
      </c>
      <c r="C3616" s="24" t="s">
        <v>3323</v>
      </c>
      <c r="D3616" s="24" t="s">
        <v>3324</v>
      </c>
      <c r="E3616" s="24">
        <v>2006</v>
      </c>
      <c r="F3616" s="24">
        <v>1993</v>
      </c>
      <c r="G3616" s="24" t="s">
        <v>3343</v>
      </c>
      <c r="H3616" s="24" t="s">
        <v>3326</v>
      </c>
      <c r="I3616" s="24" t="s">
        <v>2829</v>
      </c>
      <c r="J3616" s="24">
        <v>-13.5</v>
      </c>
      <c r="K3616" s="24">
        <v>32.56666666666667</v>
      </c>
      <c r="L3616" s="24">
        <v>1028</v>
      </c>
      <c r="N3616" s="24">
        <v>20.5</v>
      </c>
      <c r="P3616" s="24">
        <v>960</v>
      </c>
      <c r="R3616" s="42" t="s">
        <v>1847</v>
      </c>
      <c r="S3616" s="42" t="s">
        <v>1847</v>
      </c>
      <c r="T3616" s="42"/>
      <c r="U3616" s="42" t="s">
        <v>2000</v>
      </c>
      <c r="V3616" s="42" t="s">
        <v>1400</v>
      </c>
      <c r="W3616" s="42" t="s">
        <v>1727</v>
      </c>
      <c r="X3616" s="42" t="s">
        <v>1400</v>
      </c>
      <c r="Y3616" s="42" t="s">
        <v>1400</v>
      </c>
      <c r="AA3616" s="321">
        <v>61</v>
      </c>
      <c r="AB3616" s="321">
        <v>11</v>
      </c>
      <c r="AC3616" s="24" t="s">
        <v>240</v>
      </c>
      <c r="AD3616" s="24">
        <v>5.3</v>
      </c>
      <c r="AE3616" s="24">
        <v>1.02</v>
      </c>
      <c r="AG3616" s="24" t="s">
        <v>2755</v>
      </c>
      <c r="AH3616" s="24" t="s">
        <v>3351</v>
      </c>
      <c r="AI3616" s="24" t="s">
        <v>1583</v>
      </c>
      <c r="AJ3616" s="24" t="s">
        <v>1645</v>
      </c>
      <c r="AK3616" s="24" t="s">
        <v>132</v>
      </c>
      <c r="AW3616" s="24" t="s">
        <v>3345</v>
      </c>
      <c r="AX3616" s="24">
        <v>3</v>
      </c>
      <c r="AZ3616" s="24" t="s">
        <v>141</v>
      </c>
      <c r="BE3616" s="24" t="s">
        <v>3164</v>
      </c>
      <c r="BP3616" s="395"/>
      <c r="BQ3616" s="395"/>
      <c r="BU3616" s="395"/>
      <c r="BV3616" s="395"/>
      <c r="BZ3616" s="395"/>
      <c r="CA3616" s="395"/>
      <c r="CE3616" s="548"/>
      <c r="CF3616" s="548"/>
      <c r="CG3616" s="548"/>
      <c r="CH3616" s="548"/>
      <c r="GK3616" s="24">
        <v>128</v>
      </c>
      <c r="GL3616" s="24">
        <v>90.7</v>
      </c>
      <c r="GO3616" s="24" t="s">
        <v>3349</v>
      </c>
      <c r="JD3616" s="249"/>
    </row>
    <row r="3617" spans="1:264" s="24" customFormat="1" x14ac:dyDescent="0.25">
      <c r="A3617" s="24">
        <v>166</v>
      </c>
      <c r="B3617" s="42" t="s">
        <v>3350</v>
      </c>
      <c r="C3617" s="24" t="s">
        <v>3323</v>
      </c>
      <c r="D3617" s="24" t="s">
        <v>3324</v>
      </c>
      <c r="E3617" s="24">
        <v>2006</v>
      </c>
      <c r="F3617" s="24">
        <v>1993</v>
      </c>
      <c r="G3617" s="24" t="s">
        <v>3343</v>
      </c>
      <c r="H3617" s="24" t="s">
        <v>3326</v>
      </c>
      <c r="I3617" s="24" t="s">
        <v>2829</v>
      </c>
      <c r="J3617" s="24">
        <v>-13.5</v>
      </c>
      <c r="K3617" s="24">
        <v>32.56666666666667</v>
      </c>
      <c r="L3617" s="24">
        <v>1028</v>
      </c>
      <c r="N3617" s="24">
        <v>20.5</v>
      </c>
      <c r="P3617" s="24">
        <v>960</v>
      </c>
      <c r="R3617" s="42" t="s">
        <v>1847</v>
      </c>
      <c r="S3617" s="42" t="s">
        <v>1847</v>
      </c>
      <c r="T3617" s="42"/>
      <c r="U3617" s="42" t="s">
        <v>2000</v>
      </c>
      <c r="V3617" s="42" t="s">
        <v>1400</v>
      </c>
      <c r="W3617" s="42" t="s">
        <v>1727</v>
      </c>
      <c r="X3617" s="42" t="s">
        <v>1400</v>
      </c>
      <c r="Y3617" s="42" t="s">
        <v>1400</v>
      </c>
      <c r="AA3617" s="321">
        <v>61</v>
      </c>
      <c r="AB3617" s="321">
        <v>11</v>
      </c>
      <c r="AC3617" s="24" t="s">
        <v>240</v>
      </c>
      <c r="AD3617" s="24">
        <v>5.3</v>
      </c>
      <c r="AE3617" s="24">
        <v>1.02</v>
      </c>
      <c r="AG3617" s="24" t="s">
        <v>2755</v>
      </c>
      <c r="AH3617" s="24" t="s">
        <v>3352</v>
      </c>
      <c r="AI3617" s="24" t="s">
        <v>577</v>
      </c>
      <c r="AJ3617" s="24" t="s">
        <v>1645</v>
      </c>
      <c r="AK3617" s="24" t="s">
        <v>132</v>
      </c>
      <c r="AW3617" s="24" t="s">
        <v>3345</v>
      </c>
      <c r="AX3617" s="24">
        <v>3</v>
      </c>
      <c r="AZ3617" s="24" t="s">
        <v>141</v>
      </c>
      <c r="BE3617" s="24" t="s">
        <v>3164</v>
      </c>
      <c r="BP3617" s="395"/>
      <c r="BQ3617" s="395"/>
      <c r="BU3617" s="395"/>
      <c r="BV3617" s="395"/>
      <c r="BZ3617" s="395"/>
      <c r="CA3617" s="395"/>
      <c r="CE3617" s="548"/>
      <c r="CF3617" s="548"/>
      <c r="CG3617" s="548"/>
      <c r="CH3617" s="548"/>
      <c r="GK3617" s="24">
        <v>128</v>
      </c>
      <c r="GL3617" s="24">
        <v>184</v>
      </c>
      <c r="GO3617" s="24" t="s">
        <v>3349</v>
      </c>
      <c r="JD3617" s="249"/>
    </row>
    <row r="3618" spans="1:264" s="24" customFormat="1" x14ac:dyDescent="0.25">
      <c r="A3618" s="24">
        <v>166</v>
      </c>
      <c r="B3618" s="42" t="s">
        <v>3350</v>
      </c>
      <c r="C3618" s="24" t="s">
        <v>3323</v>
      </c>
      <c r="D3618" s="24" t="s">
        <v>3324</v>
      </c>
      <c r="E3618" s="24">
        <v>2006</v>
      </c>
      <c r="F3618" s="24">
        <v>1993</v>
      </c>
      <c r="G3618" s="24" t="s">
        <v>3343</v>
      </c>
      <c r="H3618" s="24" t="s">
        <v>3326</v>
      </c>
      <c r="I3618" s="24" t="s">
        <v>2829</v>
      </c>
      <c r="J3618" s="24">
        <v>-13.5</v>
      </c>
      <c r="K3618" s="24">
        <v>32.56666666666667</v>
      </c>
      <c r="L3618" s="24">
        <v>1028</v>
      </c>
      <c r="N3618" s="24">
        <v>20.5</v>
      </c>
      <c r="P3618" s="24">
        <v>960</v>
      </c>
      <c r="R3618" s="42" t="s">
        <v>1847</v>
      </c>
      <c r="S3618" s="42" t="s">
        <v>1847</v>
      </c>
      <c r="T3618" s="42"/>
      <c r="U3618" s="42" t="s">
        <v>2000</v>
      </c>
      <c r="V3618" s="42" t="s">
        <v>1400</v>
      </c>
      <c r="W3618" s="42" t="s">
        <v>1727</v>
      </c>
      <c r="X3618" s="42" t="s">
        <v>1400</v>
      </c>
      <c r="Y3618" s="42" t="s">
        <v>1400</v>
      </c>
      <c r="AA3618" s="321">
        <v>61</v>
      </c>
      <c r="AB3618" s="321">
        <v>11</v>
      </c>
      <c r="AC3618" s="24" t="s">
        <v>240</v>
      </c>
      <c r="AD3618" s="24">
        <v>5.3</v>
      </c>
      <c r="AE3618" s="24">
        <v>1.02</v>
      </c>
      <c r="AG3618" s="24" t="s">
        <v>2755</v>
      </c>
      <c r="AH3618" s="24" t="s">
        <v>3353</v>
      </c>
      <c r="AI3618" s="24" t="s">
        <v>1583</v>
      </c>
      <c r="AJ3618" s="24" t="s">
        <v>1645</v>
      </c>
      <c r="AK3618" s="24" t="s">
        <v>132</v>
      </c>
      <c r="AW3618" s="24" t="s">
        <v>3345</v>
      </c>
      <c r="AX3618" s="24">
        <v>3</v>
      </c>
      <c r="AZ3618" s="24" t="s">
        <v>141</v>
      </c>
      <c r="BE3618" s="24" t="s">
        <v>3164</v>
      </c>
      <c r="BP3618" s="395"/>
      <c r="BQ3618" s="395"/>
      <c r="BU3618" s="395"/>
      <c r="BV3618" s="395"/>
      <c r="BZ3618" s="395"/>
      <c r="CA3618" s="395"/>
      <c r="CE3618" s="548"/>
      <c r="CF3618" s="548"/>
      <c r="CG3618" s="548"/>
      <c r="CH3618" s="548"/>
      <c r="GK3618" s="24">
        <v>128</v>
      </c>
      <c r="GL3618" s="24">
        <v>422</v>
      </c>
      <c r="GO3618" s="24" t="s">
        <v>3349</v>
      </c>
      <c r="JD3618" s="249"/>
    </row>
    <row r="3619" spans="1:264" s="24" customFormat="1" x14ac:dyDescent="0.25">
      <c r="A3619" s="24">
        <v>166</v>
      </c>
      <c r="B3619" s="42" t="s">
        <v>3350</v>
      </c>
      <c r="C3619" s="24" t="s">
        <v>3323</v>
      </c>
      <c r="D3619" s="24" t="s">
        <v>3324</v>
      </c>
      <c r="E3619" s="24">
        <v>2006</v>
      </c>
      <c r="F3619" s="24">
        <v>1993</v>
      </c>
      <c r="G3619" s="24" t="s">
        <v>3343</v>
      </c>
      <c r="H3619" s="24" t="s">
        <v>3326</v>
      </c>
      <c r="I3619" s="24" t="s">
        <v>2829</v>
      </c>
      <c r="J3619" s="24">
        <v>-13.5</v>
      </c>
      <c r="K3619" s="24">
        <v>32.56666666666667</v>
      </c>
      <c r="L3619" s="24">
        <v>1028</v>
      </c>
      <c r="N3619" s="24">
        <v>20.5</v>
      </c>
      <c r="P3619" s="24">
        <v>960</v>
      </c>
      <c r="R3619" s="42" t="s">
        <v>1847</v>
      </c>
      <c r="S3619" s="42" t="s">
        <v>1847</v>
      </c>
      <c r="T3619" s="42"/>
      <c r="U3619" s="42" t="s">
        <v>2000</v>
      </c>
      <c r="V3619" s="42" t="s">
        <v>1400</v>
      </c>
      <c r="W3619" s="42" t="s">
        <v>1727</v>
      </c>
      <c r="X3619" s="42" t="s">
        <v>1400</v>
      </c>
      <c r="Y3619" s="42" t="s">
        <v>1400</v>
      </c>
      <c r="AA3619" s="321">
        <v>61</v>
      </c>
      <c r="AB3619" s="321">
        <v>11</v>
      </c>
      <c r="AC3619" s="24" t="s">
        <v>240</v>
      </c>
      <c r="AD3619" s="24">
        <v>5.3</v>
      </c>
      <c r="AE3619" s="24">
        <v>1.02</v>
      </c>
      <c r="AG3619" s="24" t="s">
        <v>2755</v>
      </c>
      <c r="AH3619" s="24" t="s">
        <v>3354</v>
      </c>
      <c r="AI3619" s="24" t="s">
        <v>1583</v>
      </c>
      <c r="AJ3619" s="24" t="s">
        <v>1645</v>
      </c>
      <c r="AK3619" s="24" t="s">
        <v>132</v>
      </c>
      <c r="AW3619" s="24" t="s">
        <v>3345</v>
      </c>
      <c r="AX3619" s="24">
        <v>3</v>
      </c>
      <c r="AZ3619" s="24" t="s">
        <v>141</v>
      </c>
      <c r="BE3619" s="24" t="s">
        <v>3164</v>
      </c>
      <c r="BP3619" s="395"/>
      <c r="BQ3619" s="395"/>
      <c r="BU3619" s="395"/>
      <c r="BV3619" s="395"/>
      <c r="BZ3619" s="395"/>
      <c r="CA3619" s="395"/>
      <c r="CE3619" s="548"/>
      <c r="CF3619" s="548"/>
      <c r="CG3619" s="548"/>
      <c r="CH3619" s="548"/>
      <c r="GK3619" s="24">
        <v>128</v>
      </c>
      <c r="GL3619" s="24">
        <v>426</v>
      </c>
      <c r="GO3619" s="24" t="s">
        <v>3349</v>
      </c>
      <c r="JD3619" s="249"/>
    </row>
    <row r="3620" spans="1:264" s="24" customFormat="1" x14ac:dyDescent="0.25">
      <c r="A3620" s="24">
        <v>166</v>
      </c>
      <c r="B3620" s="42" t="s">
        <v>3350</v>
      </c>
      <c r="C3620" s="24" t="s">
        <v>3323</v>
      </c>
      <c r="D3620" s="24" t="s">
        <v>3324</v>
      </c>
      <c r="E3620" s="24">
        <v>2006</v>
      </c>
      <c r="F3620" s="24">
        <v>1993</v>
      </c>
      <c r="G3620" s="24" t="s">
        <v>3343</v>
      </c>
      <c r="H3620" s="24" t="s">
        <v>3326</v>
      </c>
      <c r="I3620" s="24" t="s">
        <v>2829</v>
      </c>
      <c r="J3620" s="24">
        <v>-13.5</v>
      </c>
      <c r="K3620" s="24">
        <v>32.56666666666667</v>
      </c>
      <c r="L3620" s="24">
        <v>1028</v>
      </c>
      <c r="N3620" s="24">
        <v>20.5</v>
      </c>
      <c r="P3620" s="24">
        <v>960</v>
      </c>
      <c r="R3620" s="42" t="s">
        <v>1847</v>
      </c>
      <c r="S3620" s="42" t="s">
        <v>1847</v>
      </c>
      <c r="T3620" s="42"/>
      <c r="U3620" s="42" t="s">
        <v>2000</v>
      </c>
      <c r="V3620" s="42" t="s">
        <v>1400</v>
      </c>
      <c r="W3620" s="42" t="s">
        <v>1727</v>
      </c>
      <c r="X3620" s="42" t="s">
        <v>1400</v>
      </c>
      <c r="Y3620" s="42" t="s">
        <v>1400</v>
      </c>
      <c r="AA3620" s="321">
        <v>61</v>
      </c>
      <c r="AB3620" s="321">
        <v>11</v>
      </c>
      <c r="AC3620" s="24" t="s">
        <v>240</v>
      </c>
      <c r="AD3620" s="24">
        <v>5.3</v>
      </c>
      <c r="AE3620" s="24">
        <v>1.02</v>
      </c>
      <c r="AG3620" s="24" t="s">
        <v>2755</v>
      </c>
      <c r="AH3620" s="24" t="s">
        <v>3355</v>
      </c>
      <c r="AI3620" s="24" t="s">
        <v>577</v>
      </c>
      <c r="AJ3620" s="24" t="s">
        <v>1645</v>
      </c>
      <c r="AK3620" s="24" t="s">
        <v>132</v>
      </c>
      <c r="AW3620" s="24" t="s">
        <v>3345</v>
      </c>
      <c r="AX3620" s="24">
        <v>3</v>
      </c>
      <c r="AZ3620" s="24" t="s">
        <v>141</v>
      </c>
      <c r="BE3620" s="24" t="s">
        <v>3164</v>
      </c>
      <c r="BP3620" s="395"/>
      <c r="BQ3620" s="395"/>
      <c r="BU3620" s="395"/>
      <c r="BV3620" s="395"/>
      <c r="BZ3620" s="395"/>
      <c r="CA3620" s="395"/>
      <c r="CE3620" s="548"/>
      <c r="CF3620" s="548"/>
      <c r="CG3620" s="548"/>
      <c r="CH3620" s="548"/>
      <c r="GK3620" s="24">
        <v>128</v>
      </c>
      <c r="GL3620" s="24">
        <v>230</v>
      </c>
      <c r="GO3620" s="24" t="s">
        <v>3349</v>
      </c>
      <c r="JD3620" s="249"/>
    </row>
    <row r="3621" spans="1:264" s="24" customFormat="1" x14ac:dyDescent="0.25">
      <c r="A3621" s="24">
        <v>166</v>
      </c>
      <c r="B3621" s="42" t="s">
        <v>3350</v>
      </c>
      <c r="C3621" s="24" t="s">
        <v>3323</v>
      </c>
      <c r="D3621" s="24" t="s">
        <v>3324</v>
      </c>
      <c r="E3621" s="24">
        <v>2006</v>
      </c>
      <c r="F3621" s="24">
        <v>1993</v>
      </c>
      <c r="G3621" s="24" t="s">
        <v>3343</v>
      </c>
      <c r="H3621" s="24" t="s">
        <v>3326</v>
      </c>
      <c r="I3621" s="24" t="s">
        <v>2829</v>
      </c>
      <c r="J3621" s="24">
        <v>-13.5</v>
      </c>
      <c r="K3621" s="24">
        <v>32.56666666666667</v>
      </c>
      <c r="L3621" s="24">
        <v>1028</v>
      </c>
      <c r="N3621" s="24">
        <v>20.5</v>
      </c>
      <c r="P3621" s="24">
        <v>960</v>
      </c>
      <c r="R3621" s="42" t="s">
        <v>1847</v>
      </c>
      <c r="S3621" s="42" t="s">
        <v>1847</v>
      </c>
      <c r="T3621" s="42"/>
      <c r="U3621" s="42" t="s">
        <v>2000</v>
      </c>
      <c r="V3621" s="42" t="s">
        <v>1400</v>
      </c>
      <c r="W3621" s="42" t="s">
        <v>1727</v>
      </c>
      <c r="X3621" s="42" t="s">
        <v>1400</v>
      </c>
      <c r="Y3621" s="42" t="s">
        <v>1400</v>
      </c>
      <c r="AA3621" s="321">
        <v>61</v>
      </c>
      <c r="AB3621" s="321">
        <v>11</v>
      </c>
      <c r="AC3621" s="24" t="s">
        <v>240</v>
      </c>
      <c r="AD3621" s="24">
        <v>5.3</v>
      </c>
      <c r="AE3621" s="24">
        <v>1.02</v>
      </c>
      <c r="AG3621" s="24" t="s">
        <v>2755</v>
      </c>
      <c r="AH3621" s="24" t="s">
        <v>3356</v>
      </c>
      <c r="AI3621" s="24" t="s">
        <v>577</v>
      </c>
      <c r="AJ3621" s="24" t="s">
        <v>1645</v>
      </c>
      <c r="AK3621" s="24" t="s">
        <v>132</v>
      </c>
      <c r="AW3621" s="24" t="s">
        <v>3345</v>
      </c>
      <c r="AX3621" s="24">
        <v>3</v>
      </c>
      <c r="AZ3621" s="24" t="s">
        <v>141</v>
      </c>
      <c r="BE3621" s="24" t="s">
        <v>3164</v>
      </c>
      <c r="BP3621" s="395"/>
      <c r="BQ3621" s="395"/>
      <c r="BU3621" s="395"/>
      <c r="BV3621" s="395"/>
      <c r="BZ3621" s="395"/>
      <c r="CA3621" s="395"/>
      <c r="CE3621" s="548"/>
      <c r="CF3621" s="548"/>
      <c r="CG3621" s="548"/>
      <c r="CH3621" s="548"/>
      <c r="GK3621" s="24">
        <v>128</v>
      </c>
      <c r="GL3621" s="24">
        <v>120</v>
      </c>
      <c r="GO3621" s="24" t="s">
        <v>3349</v>
      </c>
      <c r="JD3621" s="249"/>
    </row>
    <row r="3622" spans="1:264" s="24" customFormat="1" x14ac:dyDescent="0.25">
      <c r="A3622" s="24">
        <v>166</v>
      </c>
      <c r="B3622" s="42" t="s">
        <v>3350</v>
      </c>
      <c r="C3622" s="24" t="s">
        <v>3323</v>
      </c>
      <c r="D3622" s="24" t="s">
        <v>3324</v>
      </c>
      <c r="E3622" s="24">
        <v>2006</v>
      </c>
      <c r="F3622" s="24">
        <v>1993</v>
      </c>
      <c r="G3622" s="24" t="s">
        <v>3343</v>
      </c>
      <c r="H3622" s="24" t="s">
        <v>3326</v>
      </c>
      <c r="I3622" s="24" t="s">
        <v>2829</v>
      </c>
      <c r="J3622" s="24">
        <v>-13.5</v>
      </c>
      <c r="K3622" s="24">
        <v>32.56666666666667</v>
      </c>
      <c r="L3622" s="24">
        <v>1028</v>
      </c>
      <c r="N3622" s="24">
        <v>20.5</v>
      </c>
      <c r="P3622" s="24">
        <v>960</v>
      </c>
      <c r="R3622" s="42" t="s">
        <v>1847</v>
      </c>
      <c r="S3622" s="42" t="s">
        <v>1847</v>
      </c>
      <c r="T3622" s="42"/>
      <c r="U3622" s="42" t="s">
        <v>2000</v>
      </c>
      <c r="V3622" s="42" t="s">
        <v>1400</v>
      </c>
      <c r="W3622" s="42" t="s">
        <v>1727</v>
      </c>
      <c r="X3622" s="42" t="s">
        <v>1400</v>
      </c>
      <c r="Y3622" s="42" t="s">
        <v>1400</v>
      </c>
      <c r="AA3622" s="321">
        <v>61</v>
      </c>
      <c r="AB3622" s="321">
        <v>11</v>
      </c>
      <c r="AC3622" s="24" t="s">
        <v>240</v>
      </c>
      <c r="AD3622" s="24">
        <v>5.3</v>
      </c>
      <c r="AE3622" s="24">
        <v>1.02</v>
      </c>
      <c r="AG3622" s="24" t="s">
        <v>2755</v>
      </c>
      <c r="AH3622" s="24" t="s">
        <v>3357</v>
      </c>
      <c r="AI3622" s="24" t="s">
        <v>577</v>
      </c>
      <c r="AJ3622" s="24" t="s">
        <v>1645</v>
      </c>
      <c r="AK3622" s="24" t="s">
        <v>132</v>
      </c>
      <c r="AW3622" s="24" t="s">
        <v>3345</v>
      </c>
      <c r="AX3622" s="24">
        <v>3</v>
      </c>
      <c r="AZ3622" s="24" t="s">
        <v>141</v>
      </c>
      <c r="BE3622" s="24" t="s">
        <v>3164</v>
      </c>
      <c r="BP3622" s="395"/>
      <c r="BQ3622" s="395"/>
      <c r="BU3622" s="395"/>
      <c r="BV3622" s="395"/>
      <c r="BZ3622" s="395"/>
      <c r="CA3622" s="395"/>
      <c r="CE3622" s="548"/>
      <c r="CF3622" s="548"/>
      <c r="CG3622" s="548"/>
      <c r="CH3622" s="548"/>
      <c r="GK3622" s="24">
        <v>128</v>
      </c>
      <c r="GL3622" s="24">
        <v>204</v>
      </c>
      <c r="GO3622" s="24" t="s">
        <v>3349</v>
      </c>
      <c r="JD3622" s="249"/>
    </row>
    <row r="3623" spans="1:264" x14ac:dyDescent="0.25">
      <c r="A3623" s="37">
        <v>167</v>
      </c>
      <c r="B3623" s="50" t="s">
        <v>3359</v>
      </c>
      <c r="C3623" s="37" t="s">
        <v>3323</v>
      </c>
      <c r="D3623" s="37" t="s">
        <v>3358</v>
      </c>
      <c r="E3623" s="37">
        <v>2006</v>
      </c>
      <c r="F3623" s="50" t="s">
        <v>3374</v>
      </c>
      <c r="G3623" s="37" t="s">
        <v>112</v>
      </c>
      <c r="H3623" s="37" t="s">
        <v>3326</v>
      </c>
      <c r="I3623" s="37" t="s">
        <v>2829</v>
      </c>
      <c r="J3623" s="37">
        <v>-13.5</v>
      </c>
      <c r="K3623" s="37">
        <v>32.56666666666667</v>
      </c>
      <c r="L3623" s="37">
        <v>1028</v>
      </c>
      <c r="N3623" s="37">
        <v>20.5</v>
      </c>
      <c r="P3623" s="37">
        <v>960</v>
      </c>
      <c r="R3623" s="50" t="s">
        <v>1847</v>
      </c>
      <c r="S3623" s="50" t="s">
        <v>1728</v>
      </c>
      <c r="U3623" s="50" t="s">
        <v>1994</v>
      </c>
      <c r="V3623" s="50" t="s">
        <v>1400</v>
      </c>
      <c r="W3623" s="50" t="s">
        <v>1727</v>
      </c>
      <c r="X3623" s="50" t="s">
        <v>1400</v>
      </c>
      <c r="Y3623" s="50" t="s">
        <v>1400</v>
      </c>
      <c r="AA3623" s="330">
        <v>64</v>
      </c>
      <c r="AB3623" s="330">
        <v>12</v>
      </c>
      <c r="AC3623" s="37" t="s">
        <v>240</v>
      </c>
      <c r="AD3623" s="37">
        <v>4.7</v>
      </c>
      <c r="AE3623" s="37">
        <v>1.4</v>
      </c>
      <c r="AG3623" s="37" t="s">
        <v>2755</v>
      </c>
      <c r="AH3623" s="37" t="s">
        <v>2774</v>
      </c>
      <c r="AI3623" s="37" t="s">
        <v>577</v>
      </c>
      <c r="AJ3623" s="37" t="s">
        <v>1645</v>
      </c>
      <c r="AK3623" s="37" t="s">
        <v>132</v>
      </c>
      <c r="AW3623" s="37" t="s">
        <v>3345</v>
      </c>
      <c r="AX3623" s="37">
        <v>3</v>
      </c>
      <c r="AZ3623" s="37" t="s">
        <v>141</v>
      </c>
      <c r="BB3623" s="37">
        <v>4400</v>
      </c>
      <c r="BE3623" s="37" t="s">
        <v>599</v>
      </c>
      <c r="BK3623" s="37">
        <v>4300</v>
      </c>
      <c r="BL3623" s="37">
        <v>2400</v>
      </c>
      <c r="CE3623" s="559"/>
      <c r="CF3623" s="559"/>
      <c r="CG3623" s="556"/>
      <c r="CH3623" s="556"/>
      <c r="EH3623" s="37">
        <f>1.7*6</f>
        <v>10.199999999999999</v>
      </c>
      <c r="EI3623" s="37">
        <f>1.9*6</f>
        <v>11.399999999999999</v>
      </c>
      <c r="GK3623" s="37">
        <v>7.1</v>
      </c>
      <c r="GL3623" s="37">
        <v>8.9</v>
      </c>
      <c r="GO3623" s="37" t="s">
        <v>3365</v>
      </c>
    </row>
    <row r="3624" spans="1:264" x14ac:dyDescent="0.25">
      <c r="A3624" s="37">
        <v>167</v>
      </c>
      <c r="B3624" s="50" t="s">
        <v>3359</v>
      </c>
      <c r="C3624" s="37" t="s">
        <v>3323</v>
      </c>
      <c r="D3624" s="37" t="s">
        <v>3358</v>
      </c>
      <c r="E3624" s="37">
        <v>2006</v>
      </c>
      <c r="F3624" s="50" t="s">
        <v>3374</v>
      </c>
      <c r="G3624" s="37" t="s">
        <v>112</v>
      </c>
      <c r="H3624" s="37" t="s">
        <v>3326</v>
      </c>
      <c r="I3624" s="37" t="s">
        <v>2829</v>
      </c>
      <c r="J3624" s="37">
        <v>-13.5</v>
      </c>
      <c r="K3624" s="37">
        <v>32.56666666666667</v>
      </c>
      <c r="L3624" s="37">
        <v>1028</v>
      </c>
      <c r="N3624" s="37">
        <v>20.5</v>
      </c>
      <c r="P3624" s="37">
        <v>960</v>
      </c>
      <c r="R3624" s="50" t="s">
        <v>1847</v>
      </c>
      <c r="S3624" s="50" t="s">
        <v>1728</v>
      </c>
      <c r="U3624" s="50" t="s">
        <v>1994</v>
      </c>
      <c r="V3624" s="50" t="s">
        <v>1400</v>
      </c>
      <c r="W3624" s="50" t="s">
        <v>1727</v>
      </c>
      <c r="X3624" s="50" t="s">
        <v>1400</v>
      </c>
      <c r="Y3624" s="50" t="s">
        <v>1400</v>
      </c>
      <c r="AA3624" s="330">
        <v>64</v>
      </c>
      <c r="AB3624" s="330">
        <v>12</v>
      </c>
      <c r="AC3624" s="37" t="s">
        <v>240</v>
      </c>
      <c r="AD3624" s="37">
        <v>4.7</v>
      </c>
      <c r="AE3624" s="37">
        <v>1.4</v>
      </c>
      <c r="AG3624" s="37" t="s">
        <v>2755</v>
      </c>
      <c r="AH3624" s="37" t="s">
        <v>3363</v>
      </c>
      <c r="AI3624" s="37" t="s">
        <v>577</v>
      </c>
      <c r="AJ3624" s="37" t="s">
        <v>1645</v>
      </c>
      <c r="AK3624" s="37" t="s">
        <v>132</v>
      </c>
      <c r="AW3624" s="37" t="s">
        <v>3345</v>
      </c>
      <c r="AX3624" s="37">
        <v>3</v>
      </c>
      <c r="AZ3624" s="37" t="s">
        <v>141</v>
      </c>
      <c r="BB3624" s="37">
        <v>3700</v>
      </c>
      <c r="BE3624" s="37" t="s">
        <v>599</v>
      </c>
      <c r="BK3624" s="37">
        <v>4300</v>
      </c>
      <c r="BL3624" s="37">
        <v>1500</v>
      </c>
      <c r="CE3624" s="559"/>
      <c r="CF3624" s="559"/>
      <c r="CG3624" s="556"/>
      <c r="CH3624" s="556"/>
      <c r="EH3624" s="37">
        <f t="shared" ref="EH3624:EH3626" si="493">1.7*6</f>
        <v>10.199999999999999</v>
      </c>
      <c r="EI3624" s="37">
        <f>2.1*6</f>
        <v>12.600000000000001</v>
      </c>
      <c r="GK3624" s="37">
        <v>7.1</v>
      </c>
      <c r="GL3624" s="37">
        <v>10.7</v>
      </c>
      <c r="GO3624" s="37" t="s">
        <v>3365</v>
      </c>
    </row>
    <row r="3625" spans="1:264" x14ac:dyDescent="0.25">
      <c r="A3625" s="37">
        <v>167</v>
      </c>
      <c r="B3625" s="50" t="s">
        <v>3359</v>
      </c>
      <c r="C3625" s="37" t="s">
        <v>3323</v>
      </c>
      <c r="D3625" s="37" t="s">
        <v>3358</v>
      </c>
      <c r="E3625" s="37">
        <v>2006</v>
      </c>
      <c r="F3625" s="50" t="s">
        <v>3374</v>
      </c>
      <c r="G3625" s="37" t="s">
        <v>112</v>
      </c>
      <c r="H3625" s="37" t="s">
        <v>3326</v>
      </c>
      <c r="I3625" s="37" t="s">
        <v>2829</v>
      </c>
      <c r="J3625" s="37">
        <v>-13.5</v>
      </c>
      <c r="K3625" s="37">
        <v>32.56666666666667</v>
      </c>
      <c r="L3625" s="37">
        <v>1028</v>
      </c>
      <c r="N3625" s="37">
        <v>20.5</v>
      </c>
      <c r="P3625" s="37">
        <v>960</v>
      </c>
      <c r="R3625" s="50" t="s">
        <v>1847</v>
      </c>
      <c r="S3625" s="50" t="s">
        <v>1728</v>
      </c>
      <c r="U3625" s="50" t="s">
        <v>1994</v>
      </c>
      <c r="V3625" s="50" t="s">
        <v>1400</v>
      </c>
      <c r="W3625" s="50" t="s">
        <v>1727</v>
      </c>
      <c r="X3625" s="50" t="s">
        <v>1400</v>
      </c>
      <c r="Y3625" s="50" t="s">
        <v>1400</v>
      </c>
      <c r="AA3625" s="330">
        <v>64</v>
      </c>
      <c r="AB3625" s="330">
        <v>12</v>
      </c>
      <c r="AC3625" s="37" t="s">
        <v>240</v>
      </c>
      <c r="AD3625" s="37">
        <v>4.7</v>
      </c>
      <c r="AE3625" s="37">
        <v>1.4</v>
      </c>
      <c r="AG3625" s="37" t="s">
        <v>2755</v>
      </c>
      <c r="AH3625" s="37" t="s">
        <v>2697</v>
      </c>
      <c r="AI3625" s="37" t="s">
        <v>577</v>
      </c>
      <c r="AJ3625" s="37" t="s">
        <v>1645</v>
      </c>
      <c r="AK3625" s="37" t="s">
        <v>132</v>
      </c>
      <c r="AW3625" s="37" t="s">
        <v>3345</v>
      </c>
      <c r="AX3625" s="37">
        <v>3</v>
      </c>
      <c r="AZ3625" s="37" t="s">
        <v>141</v>
      </c>
      <c r="BB3625" s="37">
        <v>3800</v>
      </c>
      <c r="BE3625" s="37" t="s">
        <v>599</v>
      </c>
      <c r="BK3625" s="37">
        <v>4300</v>
      </c>
      <c r="BL3625" s="37">
        <v>2400</v>
      </c>
      <c r="CE3625" s="559"/>
      <c r="CF3625" s="559"/>
      <c r="CG3625" s="556"/>
      <c r="CH3625" s="556"/>
      <c r="EH3625" s="37">
        <f t="shared" si="493"/>
        <v>10.199999999999999</v>
      </c>
      <c r="EI3625" s="37">
        <f>2*6</f>
        <v>12</v>
      </c>
      <c r="GK3625" s="37">
        <v>7.1</v>
      </c>
      <c r="GL3625" s="37">
        <v>3.6</v>
      </c>
      <c r="GO3625" s="37" t="s">
        <v>3365</v>
      </c>
    </row>
    <row r="3626" spans="1:264" x14ac:dyDescent="0.25">
      <c r="A3626" s="37">
        <v>167</v>
      </c>
      <c r="B3626" s="50" t="s">
        <v>3359</v>
      </c>
      <c r="C3626" s="37" t="s">
        <v>3323</v>
      </c>
      <c r="D3626" s="37" t="s">
        <v>3358</v>
      </c>
      <c r="E3626" s="37">
        <v>2006</v>
      </c>
      <c r="F3626" s="50" t="s">
        <v>3374</v>
      </c>
      <c r="G3626" s="37" t="s">
        <v>112</v>
      </c>
      <c r="H3626" s="37" t="s">
        <v>3326</v>
      </c>
      <c r="I3626" s="37" t="s">
        <v>2829</v>
      </c>
      <c r="J3626" s="37">
        <v>-13.5</v>
      </c>
      <c r="K3626" s="37">
        <v>32.56666666666667</v>
      </c>
      <c r="L3626" s="37">
        <v>1028</v>
      </c>
      <c r="N3626" s="37">
        <v>20.5</v>
      </c>
      <c r="P3626" s="37">
        <v>960</v>
      </c>
      <c r="R3626" s="50" t="s">
        <v>1847</v>
      </c>
      <c r="S3626" s="50" t="s">
        <v>1728</v>
      </c>
      <c r="U3626" s="50" t="s">
        <v>1994</v>
      </c>
      <c r="V3626" s="50" t="s">
        <v>1400</v>
      </c>
      <c r="W3626" s="50" t="s">
        <v>1727</v>
      </c>
      <c r="X3626" s="50" t="s">
        <v>1400</v>
      </c>
      <c r="Y3626" s="50" t="s">
        <v>1400</v>
      </c>
      <c r="AA3626" s="330">
        <v>64</v>
      </c>
      <c r="AB3626" s="330">
        <v>12</v>
      </c>
      <c r="AC3626" s="37" t="s">
        <v>240</v>
      </c>
      <c r="AD3626" s="37">
        <v>4.7</v>
      </c>
      <c r="AE3626" s="37">
        <v>1.4</v>
      </c>
      <c r="AG3626" s="37" t="s">
        <v>2755</v>
      </c>
      <c r="AH3626" s="37" t="s">
        <v>2771</v>
      </c>
      <c r="AI3626" s="37" t="s">
        <v>577</v>
      </c>
      <c r="AJ3626" s="37" t="s">
        <v>1645</v>
      </c>
      <c r="AK3626" s="37" t="s">
        <v>132</v>
      </c>
      <c r="AW3626" s="37" t="s">
        <v>3345</v>
      </c>
      <c r="AX3626" s="37">
        <v>3</v>
      </c>
      <c r="AZ3626" s="37" t="s">
        <v>141</v>
      </c>
      <c r="BB3626" s="37">
        <v>4600</v>
      </c>
      <c r="BE3626" s="37" t="s">
        <v>599</v>
      </c>
      <c r="BK3626" s="37">
        <v>4300</v>
      </c>
      <c r="BL3626" s="37">
        <v>2100</v>
      </c>
      <c r="CE3626" s="559"/>
      <c r="CF3626" s="559"/>
      <c r="CG3626" s="556"/>
      <c r="CH3626" s="556"/>
      <c r="EH3626" s="37">
        <f t="shared" si="493"/>
        <v>10.199999999999999</v>
      </c>
      <c r="EI3626" s="37">
        <f>2.9*6</f>
        <v>17.399999999999999</v>
      </c>
      <c r="GK3626" s="37">
        <v>7.1</v>
      </c>
      <c r="GL3626" s="37">
        <v>5.3</v>
      </c>
      <c r="GO3626" s="37" t="s">
        <v>3365</v>
      </c>
    </row>
    <row r="3627" spans="1:264" s="126" customFormat="1" x14ac:dyDescent="0.25">
      <c r="A3627" s="126">
        <v>167</v>
      </c>
      <c r="B3627" s="478" t="s">
        <v>3359</v>
      </c>
      <c r="C3627" s="126" t="s">
        <v>3323</v>
      </c>
      <c r="D3627" s="126" t="s">
        <v>3358</v>
      </c>
      <c r="E3627" s="126">
        <v>2006</v>
      </c>
      <c r="F3627" s="478" t="s">
        <v>3374</v>
      </c>
      <c r="G3627" s="126" t="s">
        <v>112</v>
      </c>
      <c r="H3627" s="126" t="s">
        <v>3326</v>
      </c>
      <c r="I3627" s="126" t="s">
        <v>2829</v>
      </c>
      <c r="J3627" s="126">
        <v>-13.5</v>
      </c>
      <c r="K3627" s="126">
        <v>32.56666666666667</v>
      </c>
      <c r="L3627" s="126">
        <v>1028</v>
      </c>
      <c r="N3627" s="126">
        <v>20.5</v>
      </c>
      <c r="P3627" s="126">
        <v>960</v>
      </c>
      <c r="R3627" s="126">
        <v>2</v>
      </c>
      <c r="S3627" s="478" t="s">
        <v>1728</v>
      </c>
      <c r="T3627" s="478"/>
      <c r="U3627" s="478" t="s">
        <v>1994</v>
      </c>
      <c r="V3627" s="478" t="s">
        <v>1400</v>
      </c>
      <c r="W3627" s="478" t="s">
        <v>1727</v>
      </c>
      <c r="X3627" s="478" t="s">
        <v>1400</v>
      </c>
      <c r="Y3627" s="478" t="s">
        <v>1400</v>
      </c>
      <c r="AA3627" s="479">
        <v>64</v>
      </c>
      <c r="AB3627" s="479">
        <v>12</v>
      </c>
      <c r="AC3627" s="126" t="s">
        <v>240</v>
      </c>
      <c r="AD3627" s="126">
        <v>4.7</v>
      </c>
      <c r="AE3627" s="126">
        <v>1.4</v>
      </c>
      <c r="AG3627" s="126" t="s">
        <v>2755</v>
      </c>
      <c r="AH3627" s="126" t="s">
        <v>2774</v>
      </c>
      <c r="AI3627" s="126" t="s">
        <v>577</v>
      </c>
      <c r="AJ3627" s="126" t="s">
        <v>1645</v>
      </c>
      <c r="AK3627" s="126" t="s">
        <v>132</v>
      </c>
      <c r="AW3627" s="126" t="s">
        <v>3345</v>
      </c>
      <c r="AX3627" s="126">
        <v>3</v>
      </c>
      <c r="AZ3627" s="126" t="s">
        <v>141</v>
      </c>
      <c r="BB3627" s="126">
        <v>4400</v>
      </c>
      <c r="BE3627" s="126" t="s">
        <v>3362</v>
      </c>
      <c r="BP3627" s="481"/>
      <c r="BQ3627" s="481"/>
      <c r="BU3627" s="481"/>
      <c r="BV3627" s="481"/>
      <c r="BZ3627" s="481"/>
      <c r="CA3627" s="481"/>
      <c r="CE3627" s="605"/>
      <c r="CF3627" s="605"/>
      <c r="CG3627" s="605"/>
      <c r="CH3627" s="605"/>
      <c r="GK3627" s="126">
        <v>1.6</v>
      </c>
      <c r="GL3627" s="126">
        <v>10</v>
      </c>
      <c r="GO3627" s="126" t="s">
        <v>3365</v>
      </c>
      <c r="JD3627" s="480"/>
    </row>
    <row r="3628" spans="1:264" s="126" customFormat="1" x14ac:dyDescent="0.25">
      <c r="A3628" s="126">
        <v>167</v>
      </c>
      <c r="B3628" s="478" t="s">
        <v>3359</v>
      </c>
      <c r="C3628" s="126" t="s">
        <v>3323</v>
      </c>
      <c r="D3628" s="126" t="s">
        <v>3358</v>
      </c>
      <c r="E3628" s="126">
        <v>2006</v>
      </c>
      <c r="F3628" s="478" t="s">
        <v>3374</v>
      </c>
      <c r="G3628" s="126" t="s">
        <v>112</v>
      </c>
      <c r="H3628" s="126" t="s">
        <v>3326</v>
      </c>
      <c r="I3628" s="126" t="s">
        <v>2829</v>
      </c>
      <c r="J3628" s="126">
        <v>-13.5</v>
      </c>
      <c r="K3628" s="126">
        <v>32.56666666666667</v>
      </c>
      <c r="L3628" s="126">
        <v>1028</v>
      </c>
      <c r="N3628" s="126">
        <v>20.5</v>
      </c>
      <c r="P3628" s="126">
        <v>960</v>
      </c>
      <c r="R3628" s="126">
        <v>2</v>
      </c>
      <c r="S3628" s="478" t="s">
        <v>1728</v>
      </c>
      <c r="T3628" s="478"/>
      <c r="U3628" s="478" t="s">
        <v>1994</v>
      </c>
      <c r="V3628" s="478" t="s">
        <v>1400</v>
      </c>
      <c r="W3628" s="478" t="s">
        <v>1727</v>
      </c>
      <c r="X3628" s="478" t="s">
        <v>1400</v>
      </c>
      <c r="Y3628" s="478" t="s">
        <v>1400</v>
      </c>
      <c r="AA3628" s="479">
        <v>64</v>
      </c>
      <c r="AB3628" s="479">
        <v>12</v>
      </c>
      <c r="AC3628" s="126" t="s">
        <v>240</v>
      </c>
      <c r="AD3628" s="126">
        <v>4.7</v>
      </c>
      <c r="AE3628" s="126">
        <v>1.4</v>
      </c>
      <c r="AG3628" s="126" t="s">
        <v>2755</v>
      </c>
      <c r="AH3628" s="126" t="s">
        <v>3363</v>
      </c>
      <c r="AI3628" s="126" t="s">
        <v>577</v>
      </c>
      <c r="AJ3628" s="126" t="s">
        <v>1645</v>
      </c>
      <c r="AK3628" s="126" t="s">
        <v>132</v>
      </c>
      <c r="AW3628" s="126" t="s">
        <v>3345</v>
      </c>
      <c r="AX3628" s="126">
        <v>3</v>
      </c>
      <c r="AZ3628" s="126" t="s">
        <v>141</v>
      </c>
      <c r="BB3628" s="126">
        <v>3700</v>
      </c>
      <c r="BE3628" s="126" t="s">
        <v>3362</v>
      </c>
      <c r="BP3628" s="481"/>
      <c r="BQ3628" s="481"/>
      <c r="BU3628" s="481"/>
      <c r="BV3628" s="481"/>
      <c r="BZ3628" s="481"/>
      <c r="CA3628" s="481"/>
      <c r="CE3628" s="605"/>
      <c r="CF3628" s="605"/>
      <c r="CG3628" s="605"/>
      <c r="CH3628" s="605"/>
      <c r="GK3628" s="126">
        <v>1.6</v>
      </c>
      <c r="GL3628" s="126">
        <v>3.6</v>
      </c>
      <c r="GO3628" s="126" t="s">
        <v>3365</v>
      </c>
      <c r="JD3628" s="480"/>
    </row>
    <row r="3629" spans="1:264" s="126" customFormat="1" x14ac:dyDescent="0.25">
      <c r="A3629" s="126">
        <v>167</v>
      </c>
      <c r="B3629" s="478" t="s">
        <v>3359</v>
      </c>
      <c r="C3629" s="126" t="s">
        <v>3323</v>
      </c>
      <c r="D3629" s="126" t="s">
        <v>3358</v>
      </c>
      <c r="E3629" s="126">
        <v>2006</v>
      </c>
      <c r="F3629" s="478" t="s">
        <v>3374</v>
      </c>
      <c r="G3629" s="126" t="s">
        <v>112</v>
      </c>
      <c r="H3629" s="126" t="s">
        <v>3326</v>
      </c>
      <c r="I3629" s="126" t="s">
        <v>2829</v>
      </c>
      <c r="J3629" s="126">
        <v>-13.5</v>
      </c>
      <c r="K3629" s="126">
        <v>32.56666666666667</v>
      </c>
      <c r="L3629" s="126">
        <v>1028</v>
      </c>
      <c r="N3629" s="126">
        <v>20.5</v>
      </c>
      <c r="P3629" s="126">
        <v>960</v>
      </c>
      <c r="R3629" s="126">
        <v>2</v>
      </c>
      <c r="S3629" s="478" t="s">
        <v>1728</v>
      </c>
      <c r="T3629" s="478"/>
      <c r="U3629" s="478" t="s">
        <v>1994</v>
      </c>
      <c r="V3629" s="478" t="s">
        <v>1400</v>
      </c>
      <c r="W3629" s="478" t="s">
        <v>1727</v>
      </c>
      <c r="X3629" s="478" t="s">
        <v>1400</v>
      </c>
      <c r="Y3629" s="478" t="s">
        <v>1400</v>
      </c>
      <c r="AA3629" s="479">
        <v>64</v>
      </c>
      <c r="AB3629" s="479">
        <v>12</v>
      </c>
      <c r="AC3629" s="126" t="s">
        <v>240</v>
      </c>
      <c r="AD3629" s="126">
        <v>4.7</v>
      </c>
      <c r="AE3629" s="126">
        <v>1.4</v>
      </c>
      <c r="AG3629" s="126" t="s">
        <v>2755</v>
      </c>
      <c r="AH3629" s="126" t="s">
        <v>2697</v>
      </c>
      <c r="AI3629" s="126" t="s">
        <v>577</v>
      </c>
      <c r="AJ3629" s="126" t="s">
        <v>1645</v>
      </c>
      <c r="AK3629" s="126" t="s">
        <v>132</v>
      </c>
      <c r="AW3629" s="126" t="s">
        <v>3345</v>
      </c>
      <c r="AX3629" s="126">
        <v>3</v>
      </c>
      <c r="AZ3629" s="126" t="s">
        <v>141</v>
      </c>
      <c r="BB3629" s="126">
        <v>3800</v>
      </c>
      <c r="BE3629" s="126" t="s">
        <v>3362</v>
      </c>
      <c r="BP3629" s="481"/>
      <c r="BQ3629" s="481"/>
      <c r="BU3629" s="481"/>
      <c r="BV3629" s="481"/>
      <c r="BZ3629" s="481"/>
      <c r="CA3629" s="481"/>
      <c r="CE3629" s="605"/>
      <c r="CF3629" s="605"/>
      <c r="CG3629" s="605"/>
      <c r="CH3629" s="605"/>
      <c r="GK3629" s="126">
        <v>1.6</v>
      </c>
      <c r="GL3629" s="126">
        <v>3.6</v>
      </c>
      <c r="GO3629" s="126" t="s">
        <v>3365</v>
      </c>
      <c r="JD3629" s="480"/>
    </row>
    <row r="3630" spans="1:264" s="126" customFormat="1" x14ac:dyDescent="0.25">
      <c r="A3630" s="126">
        <v>167</v>
      </c>
      <c r="B3630" s="478" t="s">
        <v>3359</v>
      </c>
      <c r="C3630" s="126" t="s">
        <v>3323</v>
      </c>
      <c r="D3630" s="126" t="s">
        <v>3358</v>
      </c>
      <c r="E3630" s="126">
        <v>2006</v>
      </c>
      <c r="F3630" s="478" t="s">
        <v>3374</v>
      </c>
      <c r="G3630" s="126" t="s">
        <v>112</v>
      </c>
      <c r="H3630" s="126" t="s">
        <v>3326</v>
      </c>
      <c r="I3630" s="126" t="s">
        <v>2829</v>
      </c>
      <c r="J3630" s="126">
        <v>-13.5</v>
      </c>
      <c r="K3630" s="126">
        <v>32.56666666666667</v>
      </c>
      <c r="L3630" s="126">
        <v>1028</v>
      </c>
      <c r="N3630" s="126">
        <v>20.5</v>
      </c>
      <c r="P3630" s="126">
        <v>960</v>
      </c>
      <c r="R3630" s="126">
        <v>2</v>
      </c>
      <c r="S3630" s="478" t="s">
        <v>1728</v>
      </c>
      <c r="T3630" s="478"/>
      <c r="U3630" s="478" t="s">
        <v>1994</v>
      </c>
      <c r="V3630" s="478" t="s">
        <v>1400</v>
      </c>
      <c r="W3630" s="478" t="s">
        <v>1727</v>
      </c>
      <c r="X3630" s="478" t="s">
        <v>1400</v>
      </c>
      <c r="Y3630" s="478" t="s">
        <v>1400</v>
      </c>
      <c r="AA3630" s="479">
        <v>64</v>
      </c>
      <c r="AB3630" s="479">
        <v>12</v>
      </c>
      <c r="AC3630" s="126" t="s">
        <v>240</v>
      </c>
      <c r="AD3630" s="126">
        <v>4.7</v>
      </c>
      <c r="AE3630" s="126">
        <v>1.4</v>
      </c>
      <c r="AG3630" s="126" t="s">
        <v>2755</v>
      </c>
      <c r="AH3630" s="126" t="s">
        <v>2771</v>
      </c>
      <c r="AI3630" s="126" t="s">
        <v>577</v>
      </c>
      <c r="AJ3630" s="126" t="s">
        <v>1645</v>
      </c>
      <c r="AK3630" s="126" t="s">
        <v>132</v>
      </c>
      <c r="AW3630" s="126" t="s">
        <v>3345</v>
      </c>
      <c r="AX3630" s="126">
        <v>3</v>
      </c>
      <c r="AZ3630" s="126" t="s">
        <v>141</v>
      </c>
      <c r="BB3630" s="126">
        <v>4600</v>
      </c>
      <c r="BE3630" s="126" t="s">
        <v>3362</v>
      </c>
      <c r="BP3630" s="481"/>
      <c r="BQ3630" s="481"/>
      <c r="BU3630" s="481"/>
      <c r="BV3630" s="481"/>
      <c r="BZ3630" s="481"/>
      <c r="CA3630" s="481"/>
      <c r="CE3630" s="605"/>
      <c r="CF3630" s="605"/>
      <c r="CG3630" s="605"/>
      <c r="CH3630" s="605"/>
      <c r="GK3630" s="126">
        <v>1.6</v>
      </c>
      <c r="GL3630" s="126">
        <v>3.2</v>
      </c>
      <c r="GO3630" s="126" t="s">
        <v>3365</v>
      </c>
      <c r="JD3630" s="480"/>
    </row>
    <row r="3631" spans="1:264" s="36" customFormat="1" x14ac:dyDescent="0.25">
      <c r="A3631" s="36">
        <v>167</v>
      </c>
      <c r="B3631" s="51" t="s">
        <v>3359</v>
      </c>
      <c r="C3631" s="36" t="s">
        <v>3323</v>
      </c>
      <c r="D3631" s="36" t="s">
        <v>3358</v>
      </c>
      <c r="E3631" s="36">
        <v>2006</v>
      </c>
      <c r="F3631" s="51" t="s">
        <v>3374</v>
      </c>
      <c r="G3631" s="36" t="s">
        <v>112</v>
      </c>
      <c r="H3631" s="36" t="s">
        <v>3326</v>
      </c>
      <c r="I3631" s="36" t="s">
        <v>2829</v>
      </c>
      <c r="J3631" s="36">
        <v>-13.5</v>
      </c>
      <c r="K3631" s="36">
        <v>32.56666666666667</v>
      </c>
      <c r="L3631" s="36">
        <v>1028</v>
      </c>
      <c r="N3631" s="36">
        <v>20.5</v>
      </c>
      <c r="P3631" s="36">
        <v>960</v>
      </c>
      <c r="R3631" s="36">
        <v>2</v>
      </c>
      <c r="S3631" s="51" t="s">
        <v>1728</v>
      </c>
      <c r="T3631" s="51"/>
      <c r="U3631" s="51" t="s">
        <v>1994</v>
      </c>
      <c r="V3631" s="51" t="s">
        <v>1400</v>
      </c>
      <c r="W3631" s="51" t="s">
        <v>1727</v>
      </c>
      <c r="X3631" s="51" t="s">
        <v>1400</v>
      </c>
      <c r="Y3631" s="51" t="s">
        <v>1400</v>
      </c>
      <c r="AA3631" s="331">
        <v>64</v>
      </c>
      <c r="AB3631" s="331">
        <v>12</v>
      </c>
      <c r="AC3631" s="36" t="s">
        <v>240</v>
      </c>
      <c r="AD3631" s="36">
        <v>4.7</v>
      </c>
      <c r="AE3631" s="36">
        <v>1.4</v>
      </c>
      <c r="AG3631" s="36" t="s">
        <v>2755</v>
      </c>
      <c r="AH3631" s="36" t="s">
        <v>2774</v>
      </c>
      <c r="AI3631" s="36" t="s">
        <v>577</v>
      </c>
      <c r="AJ3631" s="36" t="s">
        <v>1645</v>
      </c>
      <c r="AK3631" s="36" t="s">
        <v>132</v>
      </c>
      <c r="AW3631" s="36" t="s">
        <v>3345</v>
      </c>
      <c r="AX3631" s="36">
        <v>3</v>
      </c>
      <c r="AZ3631" s="36" t="s">
        <v>141</v>
      </c>
      <c r="BB3631" s="36">
        <v>4400</v>
      </c>
      <c r="BE3631" s="36" t="s">
        <v>226</v>
      </c>
      <c r="BP3631" s="407"/>
      <c r="BQ3631" s="407"/>
      <c r="BU3631" s="407"/>
      <c r="BV3631" s="407"/>
      <c r="BZ3631" s="407"/>
      <c r="CA3631" s="407"/>
      <c r="CE3631" s="560"/>
      <c r="CF3631" s="560"/>
      <c r="CG3631" s="560"/>
      <c r="CH3631" s="560"/>
      <c r="GK3631" s="36">
        <v>2.2000000000000002</v>
      </c>
      <c r="GL3631" s="36">
        <v>1.3</v>
      </c>
      <c r="GO3631" s="36" t="s">
        <v>3366</v>
      </c>
      <c r="JD3631" s="230"/>
    </row>
    <row r="3632" spans="1:264" s="36" customFormat="1" x14ac:dyDescent="0.25">
      <c r="A3632" s="36">
        <v>167</v>
      </c>
      <c r="B3632" s="51" t="s">
        <v>3359</v>
      </c>
      <c r="C3632" s="36" t="s">
        <v>3323</v>
      </c>
      <c r="D3632" s="36" t="s">
        <v>3358</v>
      </c>
      <c r="E3632" s="36">
        <v>2006</v>
      </c>
      <c r="F3632" s="51" t="s">
        <v>3374</v>
      </c>
      <c r="G3632" s="36" t="s">
        <v>112</v>
      </c>
      <c r="H3632" s="36" t="s">
        <v>3326</v>
      </c>
      <c r="I3632" s="36" t="s">
        <v>2829</v>
      </c>
      <c r="J3632" s="36">
        <v>-13.5</v>
      </c>
      <c r="K3632" s="36">
        <v>32.56666666666667</v>
      </c>
      <c r="L3632" s="36">
        <v>1028</v>
      </c>
      <c r="N3632" s="36">
        <v>20.5</v>
      </c>
      <c r="P3632" s="36">
        <v>960</v>
      </c>
      <c r="R3632" s="36">
        <v>2</v>
      </c>
      <c r="S3632" s="51" t="s">
        <v>1728</v>
      </c>
      <c r="T3632" s="51"/>
      <c r="U3632" s="51" t="s">
        <v>1994</v>
      </c>
      <c r="V3632" s="51" t="s">
        <v>1400</v>
      </c>
      <c r="W3632" s="51" t="s">
        <v>1727</v>
      </c>
      <c r="X3632" s="51" t="s">
        <v>1400</v>
      </c>
      <c r="Y3632" s="51" t="s">
        <v>1400</v>
      </c>
      <c r="AA3632" s="331">
        <v>64</v>
      </c>
      <c r="AB3632" s="331">
        <v>12</v>
      </c>
      <c r="AC3632" s="36" t="s">
        <v>240</v>
      </c>
      <c r="AD3632" s="36">
        <v>4.7</v>
      </c>
      <c r="AE3632" s="36">
        <v>1.4</v>
      </c>
      <c r="AG3632" s="36" t="s">
        <v>2755</v>
      </c>
      <c r="AH3632" s="36" t="s">
        <v>3363</v>
      </c>
      <c r="AI3632" s="36" t="s">
        <v>577</v>
      </c>
      <c r="AJ3632" s="36" t="s">
        <v>1645</v>
      </c>
      <c r="AK3632" s="36" t="s">
        <v>132</v>
      </c>
      <c r="AW3632" s="36" t="s">
        <v>3345</v>
      </c>
      <c r="AX3632" s="36">
        <v>3</v>
      </c>
      <c r="AZ3632" s="36" t="s">
        <v>141</v>
      </c>
      <c r="BB3632" s="36">
        <v>3700</v>
      </c>
      <c r="BE3632" s="36" t="s">
        <v>226</v>
      </c>
      <c r="BP3632" s="407"/>
      <c r="BQ3632" s="407"/>
      <c r="BU3632" s="407"/>
      <c r="BV3632" s="407"/>
      <c r="BZ3632" s="407"/>
      <c r="CA3632" s="407"/>
      <c r="CE3632" s="560"/>
      <c r="CF3632" s="560"/>
      <c r="CG3632" s="560"/>
      <c r="CH3632" s="560"/>
      <c r="GK3632" s="36">
        <v>2.2000000000000002</v>
      </c>
      <c r="GL3632" s="36">
        <v>2.1</v>
      </c>
      <c r="GO3632" s="36" t="s">
        <v>3366</v>
      </c>
      <c r="JD3632" s="230"/>
    </row>
    <row r="3633" spans="1:264" s="36" customFormat="1" x14ac:dyDescent="0.25">
      <c r="A3633" s="36">
        <v>167</v>
      </c>
      <c r="B3633" s="51" t="s">
        <v>3359</v>
      </c>
      <c r="C3633" s="36" t="s">
        <v>3323</v>
      </c>
      <c r="D3633" s="36" t="s">
        <v>3358</v>
      </c>
      <c r="E3633" s="36">
        <v>2006</v>
      </c>
      <c r="F3633" s="51" t="s">
        <v>3374</v>
      </c>
      <c r="G3633" s="36" t="s">
        <v>112</v>
      </c>
      <c r="H3633" s="36" t="s">
        <v>3326</v>
      </c>
      <c r="I3633" s="36" t="s">
        <v>2829</v>
      </c>
      <c r="J3633" s="36">
        <v>-13.5</v>
      </c>
      <c r="K3633" s="36">
        <v>32.56666666666667</v>
      </c>
      <c r="L3633" s="36">
        <v>1028</v>
      </c>
      <c r="N3633" s="36">
        <v>20.5</v>
      </c>
      <c r="P3633" s="36">
        <v>960</v>
      </c>
      <c r="R3633" s="36">
        <v>2</v>
      </c>
      <c r="S3633" s="51" t="s">
        <v>1728</v>
      </c>
      <c r="T3633" s="51"/>
      <c r="U3633" s="51" t="s">
        <v>1994</v>
      </c>
      <c r="V3633" s="51" t="s">
        <v>1400</v>
      </c>
      <c r="W3633" s="51" t="s">
        <v>1727</v>
      </c>
      <c r="X3633" s="51" t="s">
        <v>1400</v>
      </c>
      <c r="Y3633" s="51" t="s">
        <v>1400</v>
      </c>
      <c r="AA3633" s="331">
        <v>64</v>
      </c>
      <c r="AB3633" s="331">
        <v>12</v>
      </c>
      <c r="AC3633" s="36" t="s">
        <v>240</v>
      </c>
      <c r="AD3633" s="36">
        <v>4.7</v>
      </c>
      <c r="AE3633" s="36">
        <v>1.4</v>
      </c>
      <c r="AG3633" s="36" t="s">
        <v>2755</v>
      </c>
      <c r="AH3633" s="36" t="s">
        <v>2697</v>
      </c>
      <c r="AI3633" s="36" t="s">
        <v>577</v>
      </c>
      <c r="AJ3633" s="36" t="s">
        <v>1645</v>
      </c>
      <c r="AK3633" s="36" t="s">
        <v>132</v>
      </c>
      <c r="AW3633" s="36" t="s">
        <v>3345</v>
      </c>
      <c r="AX3633" s="36">
        <v>3</v>
      </c>
      <c r="AZ3633" s="36" t="s">
        <v>141</v>
      </c>
      <c r="BB3633" s="36">
        <v>3800</v>
      </c>
      <c r="BE3633" s="36" t="s">
        <v>226</v>
      </c>
      <c r="BP3633" s="407"/>
      <c r="BQ3633" s="407"/>
      <c r="BU3633" s="407"/>
      <c r="BV3633" s="407"/>
      <c r="BZ3633" s="407"/>
      <c r="CA3633" s="407"/>
      <c r="CE3633" s="560"/>
      <c r="CF3633" s="560"/>
      <c r="CG3633" s="560"/>
      <c r="CH3633" s="560"/>
      <c r="GK3633" s="36">
        <v>2.2000000000000002</v>
      </c>
      <c r="GL3633" s="36">
        <v>2.4</v>
      </c>
      <c r="GO3633" s="36" t="s">
        <v>3366</v>
      </c>
      <c r="JD3633" s="230"/>
    </row>
    <row r="3634" spans="1:264" s="36" customFormat="1" x14ac:dyDescent="0.25">
      <c r="A3634" s="36">
        <v>167</v>
      </c>
      <c r="B3634" s="51" t="s">
        <v>3359</v>
      </c>
      <c r="C3634" s="36" t="s">
        <v>3323</v>
      </c>
      <c r="D3634" s="36" t="s">
        <v>3358</v>
      </c>
      <c r="E3634" s="36">
        <v>2006</v>
      </c>
      <c r="F3634" s="51" t="s">
        <v>3374</v>
      </c>
      <c r="G3634" s="36" t="s">
        <v>112</v>
      </c>
      <c r="H3634" s="36" t="s">
        <v>3326</v>
      </c>
      <c r="I3634" s="36" t="s">
        <v>2829</v>
      </c>
      <c r="J3634" s="36">
        <v>-13.5</v>
      </c>
      <c r="K3634" s="36">
        <v>32.56666666666667</v>
      </c>
      <c r="L3634" s="36">
        <v>1028</v>
      </c>
      <c r="N3634" s="36">
        <v>20.5</v>
      </c>
      <c r="P3634" s="36">
        <v>960</v>
      </c>
      <c r="R3634" s="36">
        <v>2</v>
      </c>
      <c r="S3634" s="51" t="s">
        <v>1728</v>
      </c>
      <c r="T3634" s="51"/>
      <c r="U3634" s="51" t="s">
        <v>1994</v>
      </c>
      <c r="V3634" s="51" t="s">
        <v>1400</v>
      </c>
      <c r="W3634" s="51" t="s">
        <v>1727</v>
      </c>
      <c r="X3634" s="51" t="s">
        <v>1400</v>
      </c>
      <c r="Y3634" s="51" t="s">
        <v>1400</v>
      </c>
      <c r="AA3634" s="331">
        <v>64</v>
      </c>
      <c r="AB3634" s="331">
        <v>12</v>
      </c>
      <c r="AC3634" s="36" t="s">
        <v>240</v>
      </c>
      <c r="AD3634" s="36">
        <v>4.7</v>
      </c>
      <c r="AE3634" s="36">
        <v>1.4</v>
      </c>
      <c r="AG3634" s="36" t="s">
        <v>2755</v>
      </c>
      <c r="AH3634" s="36" t="s">
        <v>2771</v>
      </c>
      <c r="AI3634" s="36" t="s">
        <v>577</v>
      </c>
      <c r="AJ3634" s="36" t="s">
        <v>1645</v>
      </c>
      <c r="AK3634" s="36" t="s">
        <v>132</v>
      </c>
      <c r="AW3634" s="36" t="s">
        <v>3345</v>
      </c>
      <c r="AX3634" s="36">
        <v>3</v>
      </c>
      <c r="AZ3634" s="36" t="s">
        <v>141</v>
      </c>
      <c r="BB3634" s="36">
        <v>4600</v>
      </c>
      <c r="BE3634" s="36" t="s">
        <v>226</v>
      </c>
      <c r="BP3634" s="407"/>
      <c r="BQ3634" s="407"/>
      <c r="BU3634" s="407"/>
      <c r="BV3634" s="407"/>
      <c r="BZ3634" s="407"/>
      <c r="CA3634" s="407"/>
      <c r="CE3634" s="560"/>
      <c r="CF3634" s="560"/>
      <c r="CG3634" s="560"/>
      <c r="CH3634" s="560"/>
      <c r="GK3634" s="36">
        <v>2.2000000000000002</v>
      </c>
      <c r="GL3634" s="36">
        <v>1</v>
      </c>
      <c r="GO3634" s="36" t="s">
        <v>3366</v>
      </c>
      <c r="JD3634" s="230"/>
    </row>
    <row r="3635" spans="1:264" s="522" customFormat="1" x14ac:dyDescent="0.25">
      <c r="A3635" s="522">
        <v>167</v>
      </c>
      <c r="B3635" s="523" t="s">
        <v>3360</v>
      </c>
      <c r="C3635" s="522" t="s">
        <v>3323</v>
      </c>
      <c r="D3635" s="522" t="s">
        <v>3358</v>
      </c>
      <c r="E3635" s="522">
        <v>2006</v>
      </c>
      <c r="F3635" s="523" t="s">
        <v>3374</v>
      </c>
      <c r="G3635" s="522" t="s">
        <v>112</v>
      </c>
      <c r="H3635" s="522" t="s">
        <v>3361</v>
      </c>
      <c r="I3635" s="522" t="s">
        <v>2829</v>
      </c>
      <c r="J3635" s="522">
        <f>-13-15/60</f>
        <v>-13.25</v>
      </c>
      <c r="K3635" s="522">
        <f>32+36/60</f>
        <v>32.6</v>
      </c>
      <c r="L3635" s="522">
        <v>1015</v>
      </c>
      <c r="N3635" s="522">
        <v>20.5</v>
      </c>
      <c r="P3635" s="522">
        <v>960</v>
      </c>
      <c r="R3635" s="522">
        <v>2</v>
      </c>
      <c r="S3635" s="523" t="s">
        <v>1728</v>
      </c>
      <c r="T3635" s="523"/>
      <c r="U3635" s="523" t="s">
        <v>1994</v>
      </c>
      <c r="V3635" s="523" t="s">
        <v>1400</v>
      </c>
      <c r="W3635" s="523" t="s">
        <v>1727</v>
      </c>
      <c r="X3635" s="523" t="s">
        <v>1400</v>
      </c>
      <c r="Y3635" s="523" t="s">
        <v>1400</v>
      </c>
      <c r="AA3635" s="524">
        <v>85</v>
      </c>
      <c r="AB3635" s="524">
        <v>7</v>
      </c>
      <c r="AC3635" s="522" t="s">
        <v>202</v>
      </c>
      <c r="AD3635" s="522">
        <v>4.7</v>
      </c>
      <c r="AE3635" s="522">
        <v>1</v>
      </c>
      <c r="AG3635" s="522" t="s">
        <v>2755</v>
      </c>
      <c r="AH3635" s="522" t="s">
        <v>2774</v>
      </c>
      <c r="AI3635" s="522" t="s">
        <v>577</v>
      </c>
      <c r="AJ3635" s="522" t="s">
        <v>1645</v>
      </c>
      <c r="AK3635" s="522" t="s">
        <v>132</v>
      </c>
      <c r="AW3635" s="522" t="s">
        <v>3345</v>
      </c>
      <c r="AX3635" s="522">
        <v>3</v>
      </c>
      <c r="AZ3635" s="522" t="s">
        <v>141</v>
      </c>
      <c r="BB3635" s="522">
        <v>5000</v>
      </c>
      <c r="BE3635" s="522" t="s">
        <v>599</v>
      </c>
      <c r="BK3635" s="522">
        <v>6200</v>
      </c>
      <c r="BL3635" s="522">
        <v>2600</v>
      </c>
      <c r="BP3635" s="525"/>
      <c r="BQ3635" s="525"/>
      <c r="BU3635" s="525"/>
      <c r="BV3635" s="525"/>
      <c r="BZ3635" s="525"/>
      <c r="CA3635" s="525"/>
      <c r="CE3635" s="609"/>
      <c r="CF3635" s="609"/>
      <c r="CG3635" s="609"/>
      <c r="CH3635" s="609"/>
      <c r="EH3635" s="522">
        <f>3.6*6</f>
        <v>21.6</v>
      </c>
      <c r="EI3635" s="522">
        <f>4*6</f>
        <v>24</v>
      </c>
      <c r="GK3635" s="522">
        <v>1</v>
      </c>
      <c r="GL3635" s="522">
        <v>2.2999999999999998</v>
      </c>
      <c r="GO3635" s="522" t="s">
        <v>3366</v>
      </c>
      <c r="JD3635" s="526"/>
    </row>
    <row r="3636" spans="1:264" s="522" customFormat="1" x14ac:dyDescent="0.25">
      <c r="A3636" s="522">
        <v>167</v>
      </c>
      <c r="B3636" s="523" t="s">
        <v>3360</v>
      </c>
      <c r="C3636" s="522" t="s">
        <v>3323</v>
      </c>
      <c r="D3636" s="522" t="s">
        <v>3358</v>
      </c>
      <c r="E3636" s="522">
        <v>2006</v>
      </c>
      <c r="F3636" s="523" t="s">
        <v>3374</v>
      </c>
      <c r="G3636" s="522" t="s">
        <v>112</v>
      </c>
      <c r="H3636" s="522" t="s">
        <v>3361</v>
      </c>
      <c r="I3636" s="522" t="s">
        <v>2829</v>
      </c>
      <c r="J3636" s="522">
        <f>-13-15/60</f>
        <v>-13.25</v>
      </c>
      <c r="K3636" s="522">
        <f>32+36/60</f>
        <v>32.6</v>
      </c>
      <c r="L3636" s="522">
        <v>1015</v>
      </c>
      <c r="N3636" s="522">
        <v>20.5</v>
      </c>
      <c r="P3636" s="522">
        <v>960</v>
      </c>
      <c r="R3636" s="522">
        <v>2</v>
      </c>
      <c r="S3636" s="523" t="s">
        <v>1728</v>
      </c>
      <c r="T3636" s="523"/>
      <c r="U3636" s="523" t="s">
        <v>1994</v>
      </c>
      <c r="V3636" s="523" t="s">
        <v>1400</v>
      </c>
      <c r="W3636" s="523" t="s">
        <v>1727</v>
      </c>
      <c r="X3636" s="523" t="s">
        <v>1400</v>
      </c>
      <c r="Y3636" s="523" t="s">
        <v>1400</v>
      </c>
      <c r="AA3636" s="524">
        <v>85</v>
      </c>
      <c r="AB3636" s="524">
        <v>7</v>
      </c>
      <c r="AC3636" s="522" t="s">
        <v>202</v>
      </c>
      <c r="AD3636" s="522">
        <v>4.7</v>
      </c>
      <c r="AE3636" s="522">
        <v>1</v>
      </c>
      <c r="AG3636" s="522" t="s">
        <v>2755</v>
      </c>
      <c r="AH3636" s="522" t="s">
        <v>3363</v>
      </c>
      <c r="AI3636" s="522" t="s">
        <v>577</v>
      </c>
      <c r="AJ3636" s="522" t="s">
        <v>1645</v>
      </c>
      <c r="AK3636" s="522" t="s">
        <v>132</v>
      </c>
      <c r="AW3636" s="522" t="s">
        <v>3345</v>
      </c>
      <c r="AX3636" s="522">
        <v>3</v>
      </c>
      <c r="AZ3636" s="522" t="s">
        <v>141</v>
      </c>
      <c r="BB3636" s="522">
        <v>5200</v>
      </c>
      <c r="BE3636" s="522" t="s">
        <v>599</v>
      </c>
      <c r="BK3636" s="522">
        <v>6200</v>
      </c>
      <c r="BL3636" s="522">
        <v>1400</v>
      </c>
      <c r="BP3636" s="525"/>
      <c r="BQ3636" s="525"/>
      <c r="BU3636" s="525"/>
      <c r="BV3636" s="525"/>
      <c r="BZ3636" s="525"/>
      <c r="CA3636" s="525"/>
      <c r="CE3636" s="609"/>
      <c r="CF3636" s="609"/>
      <c r="CG3636" s="609"/>
      <c r="CH3636" s="609"/>
      <c r="EH3636" s="522">
        <f t="shared" ref="EH3636:EH3638" si="494">3.6*6</f>
        <v>21.6</v>
      </c>
      <c r="EI3636" s="522">
        <f>3.4*6</f>
        <v>20.399999999999999</v>
      </c>
      <c r="GK3636" s="522">
        <v>1</v>
      </c>
      <c r="GL3636" s="522">
        <v>3.6</v>
      </c>
      <c r="GO3636" s="522" t="s">
        <v>3366</v>
      </c>
      <c r="JD3636" s="526"/>
    </row>
    <row r="3637" spans="1:264" s="522" customFormat="1" x14ac:dyDescent="0.25">
      <c r="A3637" s="522">
        <v>167</v>
      </c>
      <c r="B3637" s="523" t="s">
        <v>3360</v>
      </c>
      <c r="C3637" s="522" t="s">
        <v>3323</v>
      </c>
      <c r="D3637" s="522" t="s">
        <v>3358</v>
      </c>
      <c r="E3637" s="522">
        <v>2006</v>
      </c>
      <c r="F3637" s="523" t="s">
        <v>3374</v>
      </c>
      <c r="G3637" s="522" t="s">
        <v>112</v>
      </c>
      <c r="H3637" s="522" t="s">
        <v>3361</v>
      </c>
      <c r="I3637" s="522" t="s">
        <v>2829</v>
      </c>
      <c r="J3637" s="522">
        <f>-13-15/60</f>
        <v>-13.25</v>
      </c>
      <c r="K3637" s="522">
        <f>32+36/60</f>
        <v>32.6</v>
      </c>
      <c r="L3637" s="522">
        <v>1015</v>
      </c>
      <c r="N3637" s="522">
        <v>20.5</v>
      </c>
      <c r="P3637" s="522">
        <v>960</v>
      </c>
      <c r="R3637" s="522">
        <v>2</v>
      </c>
      <c r="S3637" s="523" t="s">
        <v>1728</v>
      </c>
      <c r="T3637" s="523"/>
      <c r="U3637" s="523" t="s">
        <v>1994</v>
      </c>
      <c r="V3637" s="523" t="s">
        <v>1400</v>
      </c>
      <c r="W3637" s="523" t="s">
        <v>1727</v>
      </c>
      <c r="X3637" s="523" t="s">
        <v>1400</v>
      </c>
      <c r="Y3637" s="523" t="s">
        <v>1400</v>
      </c>
      <c r="AA3637" s="524">
        <v>85</v>
      </c>
      <c r="AB3637" s="524">
        <v>7</v>
      </c>
      <c r="AC3637" s="522" t="s">
        <v>202</v>
      </c>
      <c r="AD3637" s="522">
        <v>4.7</v>
      </c>
      <c r="AE3637" s="522">
        <v>1</v>
      </c>
      <c r="AG3637" s="522" t="s">
        <v>2755</v>
      </c>
      <c r="AH3637" s="522" t="s">
        <v>2697</v>
      </c>
      <c r="AI3637" s="522" t="s">
        <v>577</v>
      </c>
      <c r="AJ3637" s="522" t="s">
        <v>1645</v>
      </c>
      <c r="AK3637" s="522" t="s">
        <v>132</v>
      </c>
      <c r="AW3637" s="522" t="s">
        <v>3345</v>
      </c>
      <c r="AX3637" s="522">
        <v>3</v>
      </c>
      <c r="AZ3637" s="522" t="s">
        <v>141</v>
      </c>
      <c r="BB3637" s="522">
        <v>6100</v>
      </c>
      <c r="BE3637" s="522" t="s">
        <v>599</v>
      </c>
      <c r="BK3637" s="522">
        <v>6200</v>
      </c>
      <c r="BL3637" s="522">
        <v>4300</v>
      </c>
      <c r="BP3637" s="525"/>
      <c r="BQ3637" s="525"/>
      <c r="BU3637" s="525"/>
      <c r="BV3637" s="525"/>
      <c r="BZ3637" s="525"/>
      <c r="CA3637" s="525"/>
      <c r="CE3637" s="609"/>
      <c r="CF3637" s="609"/>
      <c r="CG3637" s="609"/>
      <c r="CH3637" s="609"/>
      <c r="EH3637" s="522">
        <f t="shared" si="494"/>
        <v>21.6</v>
      </c>
      <c r="EI3637" s="522">
        <f>3.9*6</f>
        <v>23.4</v>
      </c>
      <c r="GK3637" s="522">
        <v>1</v>
      </c>
      <c r="GL3637" s="522">
        <v>3.7</v>
      </c>
      <c r="GO3637" s="522" t="s">
        <v>3366</v>
      </c>
      <c r="JD3637" s="526"/>
    </row>
    <row r="3638" spans="1:264" s="522" customFormat="1" x14ac:dyDescent="0.25">
      <c r="A3638" s="522">
        <v>167</v>
      </c>
      <c r="B3638" s="523" t="s">
        <v>3360</v>
      </c>
      <c r="C3638" s="522" t="s">
        <v>3323</v>
      </c>
      <c r="D3638" s="522" t="s">
        <v>3358</v>
      </c>
      <c r="E3638" s="522">
        <v>2006</v>
      </c>
      <c r="F3638" s="523" t="s">
        <v>3374</v>
      </c>
      <c r="G3638" s="522" t="s">
        <v>112</v>
      </c>
      <c r="H3638" s="522" t="s">
        <v>3361</v>
      </c>
      <c r="I3638" s="522" t="s">
        <v>2829</v>
      </c>
      <c r="J3638" s="522">
        <f>-13-15/60</f>
        <v>-13.25</v>
      </c>
      <c r="K3638" s="522">
        <f>32+36/60</f>
        <v>32.6</v>
      </c>
      <c r="L3638" s="522">
        <v>1015</v>
      </c>
      <c r="N3638" s="522">
        <v>20.5</v>
      </c>
      <c r="P3638" s="522">
        <v>960</v>
      </c>
      <c r="R3638" s="522">
        <v>2</v>
      </c>
      <c r="S3638" s="523" t="s">
        <v>1728</v>
      </c>
      <c r="T3638" s="523"/>
      <c r="U3638" s="523" t="s">
        <v>1994</v>
      </c>
      <c r="V3638" s="523" t="s">
        <v>3364</v>
      </c>
      <c r="W3638" s="523" t="s">
        <v>1727</v>
      </c>
      <c r="X3638" s="523" t="s">
        <v>1400</v>
      </c>
      <c r="Y3638" s="523" t="s">
        <v>1400</v>
      </c>
      <c r="AA3638" s="524">
        <v>85</v>
      </c>
      <c r="AB3638" s="524">
        <v>7</v>
      </c>
      <c r="AC3638" s="522" t="s">
        <v>202</v>
      </c>
      <c r="AD3638" s="522">
        <v>4.7</v>
      </c>
      <c r="AE3638" s="522">
        <v>1</v>
      </c>
      <c r="AG3638" s="522" t="s">
        <v>2755</v>
      </c>
      <c r="AH3638" s="522" t="s">
        <v>2771</v>
      </c>
      <c r="AI3638" s="522" t="s">
        <v>577</v>
      </c>
      <c r="AJ3638" s="522" t="s">
        <v>1645</v>
      </c>
      <c r="AK3638" s="522" t="s">
        <v>132</v>
      </c>
      <c r="AW3638" s="522" t="s">
        <v>3345</v>
      </c>
      <c r="AX3638" s="522">
        <v>3</v>
      </c>
      <c r="AZ3638" s="522" t="s">
        <v>141</v>
      </c>
      <c r="BB3638" s="522">
        <v>6200</v>
      </c>
      <c r="BE3638" s="522" t="s">
        <v>599</v>
      </c>
      <c r="BK3638" s="522">
        <v>6200</v>
      </c>
      <c r="BL3638" s="522">
        <v>2000</v>
      </c>
      <c r="BP3638" s="525"/>
      <c r="BQ3638" s="525"/>
      <c r="BU3638" s="525"/>
      <c r="BV3638" s="525"/>
      <c r="BZ3638" s="525"/>
      <c r="CA3638" s="525"/>
      <c r="CE3638" s="609"/>
      <c r="CF3638" s="609"/>
      <c r="CG3638" s="609"/>
      <c r="CH3638" s="609"/>
      <c r="EH3638" s="522">
        <f t="shared" si="494"/>
        <v>21.6</v>
      </c>
      <c r="EI3638" s="522">
        <f>3.8*6</f>
        <v>22.799999999999997</v>
      </c>
      <c r="GK3638" s="522">
        <v>1</v>
      </c>
      <c r="GL3638" s="522">
        <v>2.6</v>
      </c>
      <c r="GO3638" s="522" t="s">
        <v>3366</v>
      </c>
      <c r="JD3638" s="526"/>
    </row>
    <row r="3639" spans="1:264" s="24" customFormat="1" x14ac:dyDescent="0.25">
      <c r="A3639" s="24">
        <v>168</v>
      </c>
      <c r="B3639" s="42" t="s">
        <v>3383</v>
      </c>
      <c r="C3639" s="24" t="s">
        <v>3323</v>
      </c>
      <c r="D3639" s="24" t="s">
        <v>3358</v>
      </c>
      <c r="E3639" s="24">
        <v>2005</v>
      </c>
      <c r="F3639" s="24">
        <v>2002</v>
      </c>
      <c r="G3639" s="24" t="s">
        <v>3367</v>
      </c>
      <c r="H3639" s="24" t="s">
        <v>2767</v>
      </c>
      <c r="I3639" s="24" t="s">
        <v>2829</v>
      </c>
      <c r="J3639" s="24">
        <v>-14.25</v>
      </c>
      <c r="K3639" s="24">
        <v>32</v>
      </c>
      <c r="L3639" s="24">
        <v>988</v>
      </c>
      <c r="P3639" s="24">
        <v>850</v>
      </c>
      <c r="R3639" s="42" t="s">
        <v>1847</v>
      </c>
      <c r="S3639" s="42" t="s">
        <v>1728</v>
      </c>
      <c r="T3639" s="42"/>
      <c r="U3639" s="42" t="s">
        <v>1864</v>
      </c>
      <c r="V3639" s="42" t="s">
        <v>1382</v>
      </c>
      <c r="W3639" s="42" t="s">
        <v>1717</v>
      </c>
      <c r="X3639" s="42" t="s">
        <v>1382</v>
      </c>
      <c r="Y3639" s="42" t="s">
        <v>1382</v>
      </c>
      <c r="AA3639" s="321">
        <v>82</v>
      </c>
      <c r="AB3639" s="321">
        <v>6</v>
      </c>
      <c r="AC3639" s="24" t="s">
        <v>175</v>
      </c>
      <c r="AD3639" s="24">
        <v>4.51</v>
      </c>
      <c r="AE3639" s="24">
        <v>0.42</v>
      </c>
      <c r="AG3639" s="24" t="s">
        <v>3373</v>
      </c>
      <c r="AH3639" s="24" t="s">
        <v>3377</v>
      </c>
      <c r="AI3639" s="24" t="s">
        <v>577</v>
      </c>
      <c r="AJ3639" s="24" t="s">
        <v>1645</v>
      </c>
      <c r="AK3639" s="24" t="s">
        <v>132</v>
      </c>
      <c r="AW3639" s="24" t="s">
        <v>3375</v>
      </c>
      <c r="AX3639" s="24">
        <v>4</v>
      </c>
      <c r="AZ3639" s="24" t="s">
        <v>141</v>
      </c>
      <c r="BK3639" s="24">
        <v>300</v>
      </c>
      <c r="BL3639" s="24">
        <v>700</v>
      </c>
      <c r="BP3639" s="395"/>
      <c r="BQ3639" s="395"/>
      <c r="BU3639" s="395"/>
      <c r="BV3639" s="395"/>
      <c r="BZ3639" s="395"/>
      <c r="CA3639" s="395"/>
      <c r="CE3639" s="548"/>
      <c r="CF3639" s="548"/>
      <c r="CG3639" s="548"/>
      <c r="CH3639" s="548"/>
      <c r="GF3639" s="24">
        <v>4.5</v>
      </c>
      <c r="GG3639" s="24">
        <v>8.8000000000000007</v>
      </c>
      <c r="GJ3639" s="24" t="s">
        <v>3387</v>
      </c>
      <c r="JD3639" s="249"/>
    </row>
    <row r="3640" spans="1:264" s="24" customFormat="1" x14ac:dyDescent="0.25">
      <c r="A3640" s="24">
        <v>168</v>
      </c>
      <c r="B3640" s="42" t="s">
        <v>3383</v>
      </c>
      <c r="C3640" s="24" t="s">
        <v>3323</v>
      </c>
      <c r="D3640" s="24" t="s">
        <v>3358</v>
      </c>
      <c r="E3640" s="24">
        <v>2005</v>
      </c>
      <c r="F3640" s="24">
        <v>2002</v>
      </c>
      <c r="G3640" s="24" t="s">
        <v>3367</v>
      </c>
      <c r="H3640" s="24" t="s">
        <v>2767</v>
      </c>
      <c r="I3640" s="24" t="s">
        <v>2829</v>
      </c>
      <c r="J3640" s="24">
        <v>-14.25</v>
      </c>
      <c r="K3640" s="24">
        <v>32</v>
      </c>
      <c r="L3640" s="24">
        <v>988</v>
      </c>
      <c r="P3640" s="24">
        <v>850</v>
      </c>
      <c r="R3640" s="42" t="s">
        <v>1847</v>
      </c>
      <c r="S3640" s="42" t="s">
        <v>1728</v>
      </c>
      <c r="T3640" s="42"/>
      <c r="U3640" s="42" t="s">
        <v>1864</v>
      </c>
      <c r="V3640" s="42" t="s">
        <v>1382</v>
      </c>
      <c r="W3640" s="42" t="s">
        <v>1717</v>
      </c>
      <c r="X3640" s="42" t="s">
        <v>1382</v>
      </c>
      <c r="Y3640" s="42" t="s">
        <v>1382</v>
      </c>
      <c r="AA3640" s="321">
        <v>82</v>
      </c>
      <c r="AB3640" s="321">
        <v>6</v>
      </c>
      <c r="AC3640" s="24" t="s">
        <v>175</v>
      </c>
      <c r="AD3640" s="24">
        <v>4.51</v>
      </c>
      <c r="AE3640" s="24">
        <v>0.42</v>
      </c>
      <c r="AG3640" s="24" t="s">
        <v>3373</v>
      </c>
      <c r="AH3640" s="24" t="s">
        <v>2918</v>
      </c>
      <c r="AI3640" s="24" t="s">
        <v>577</v>
      </c>
      <c r="AJ3640" s="24" t="s">
        <v>1645</v>
      </c>
      <c r="AK3640" s="24" t="s">
        <v>132</v>
      </c>
      <c r="AW3640" s="24" t="s">
        <v>3375</v>
      </c>
      <c r="AX3640" s="24">
        <v>4</v>
      </c>
      <c r="AZ3640" s="24" t="s">
        <v>141</v>
      </c>
      <c r="BK3640" s="24">
        <v>300</v>
      </c>
      <c r="BL3640" s="24">
        <v>500</v>
      </c>
      <c r="BP3640" s="395"/>
      <c r="BQ3640" s="395"/>
      <c r="BU3640" s="395"/>
      <c r="BV3640" s="395"/>
      <c r="BZ3640" s="395"/>
      <c r="CA3640" s="395"/>
      <c r="CE3640" s="548"/>
      <c r="CF3640" s="548"/>
      <c r="CG3640" s="548"/>
      <c r="CH3640" s="548"/>
      <c r="GF3640" s="24">
        <v>4.5</v>
      </c>
      <c r="GG3640" s="24">
        <v>2.1</v>
      </c>
      <c r="GJ3640" s="24" t="s">
        <v>3387</v>
      </c>
      <c r="JD3640" s="249"/>
    </row>
    <row r="3641" spans="1:264" s="24" customFormat="1" x14ac:dyDescent="0.25">
      <c r="A3641" s="24">
        <v>168</v>
      </c>
      <c r="B3641" s="42" t="s">
        <v>3383</v>
      </c>
      <c r="C3641" s="24" t="s">
        <v>3323</v>
      </c>
      <c r="D3641" s="24" t="s">
        <v>3358</v>
      </c>
      <c r="E3641" s="24">
        <v>2005</v>
      </c>
      <c r="F3641" s="24">
        <v>2002</v>
      </c>
      <c r="G3641" s="24" t="s">
        <v>3367</v>
      </c>
      <c r="H3641" s="24" t="s">
        <v>2767</v>
      </c>
      <c r="I3641" s="24" t="s">
        <v>2829</v>
      </c>
      <c r="J3641" s="24">
        <v>-14.25</v>
      </c>
      <c r="K3641" s="24">
        <v>32</v>
      </c>
      <c r="L3641" s="24">
        <v>988</v>
      </c>
      <c r="P3641" s="24">
        <v>850</v>
      </c>
      <c r="R3641" s="42" t="s">
        <v>1847</v>
      </c>
      <c r="S3641" s="42" t="s">
        <v>1728</v>
      </c>
      <c r="T3641" s="42"/>
      <c r="U3641" s="42" t="s">
        <v>1864</v>
      </c>
      <c r="V3641" s="42" t="s">
        <v>1382</v>
      </c>
      <c r="W3641" s="42" t="s">
        <v>1717</v>
      </c>
      <c r="X3641" s="42" t="s">
        <v>1382</v>
      </c>
      <c r="Y3641" s="42" t="s">
        <v>1382</v>
      </c>
      <c r="AA3641" s="321">
        <v>82</v>
      </c>
      <c r="AB3641" s="321">
        <v>6</v>
      </c>
      <c r="AC3641" s="24" t="s">
        <v>175</v>
      </c>
      <c r="AD3641" s="24">
        <v>4.51</v>
      </c>
      <c r="AE3641" s="24">
        <v>0.42</v>
      </c>
      <c r="AG3641" s="24" t="s">
        <v>3373</v>
      </c>
      <c r="AH3641" s="24" t="s">
        <v>3165</v>
      </c>
      <c r="AI3641" s="24" t="s">
        <v>577</v>
      </c>
      <c r="AJ3641" s="24" t="s">
        <v>1645</v>
      </c>
      <c r="AK3641" s="24" t="s">
        <v>132</v>
      </c>
      <c r="AW3641" s="24" t="s">
        <v>3375</v>
      </c>
      <c r="AX3641" s="24">
        <v>4</v>
      </c>
      <c r="AZ3641" s="24" t="s">
        <v>141</v>
      </c>
      <c r="BK3641" s="24">
        <v>300</v>
      </c>
      <c r="BL3641" s="24">
        <v>900</v>
      </c>
      <c r="BP3641" s="395"/>
      <c r="BQ3641" s="395"/>
      <c r="BU3641" s="395"/>
      <c r="BV3641" s="395"/>
      <c r="BZ3641" s="395"/>
      <c r="CA3641" s="395"/>
      <c r="CE3641" s="548"/>
      <c r="CF3641" s="548"/>
      <c r="CG3641" s="548"/>
      <c r="CH3641" s="548"/>
      <c r="GF3641" s="24">
        <v>4.5</v>
      </c>
      <c r="GG3641" s="24">
        <v>5.3</v>
      </c>
      <c r="GJ3641" s="24" t="s">
        <v>3387</v>
      </c>
      <c r="JD3641" s="249"/>
    </row>
    <row r="3642" spans="1:264" s="24" customFormat="1" x14ac:dyDescent="0.25">
      <c r="A3642" s="24">
        <v>168</v>
      </c>
      <c r="B3642" s="42" t="s">
        <v>3383</v>
      </c>
      <c r="C3642" s="24" t="s">
        <v>3323</v>
      </c>
      <c r="D3642" s="24" t="s">
        <v>3358</v>
      </c>
      <c r="E3642" s="24">
        <v>2005</v>
      </c>
      <c r="F3642" s="24">
        <v>2002</v>
      </c>
      <c r="G3642" s="24" t="s">
        <v>3367</v>
      </c>
      <c r="H3642" s="24" t="s">
        <v>2767</v>
      </c>
      <c r="I3642" s="24" t="s">
        <v>2829</v>
      </c>
      <c r="J3642" s="24">
        <v>-14.25</v>
      </c>
      <c r="K3642" s="24">
        <v>32</v>
      </c>
      <c r="L3642" s="24">
        <v>988</v>
      </c>
      <c r="P3642" s="24">
        <v>850</v>
      </c>
      <c r="R3642" s="42" t="s">
        <v>1847</v>
      </c>
      <c r="S3642" s="42" t="s">
        <v>1728</v>
      </c>
      <c r="T3642" s="42"/>
      <c r="U3642" s="42" t="s">
        <v>1864</v>
      </c>
      <c r="V3642" s="42" t="s">
        <v>1382</v>
      </c>
      <c r="W3642" s="42" t="s">
        <v>1717</v>
      </c>
      <c r="X3642" s="42" t="s">
        <v>1382</v>
      </c>
      <c r="Y3642" s="42" t="s">
        <v>1382</v>
      </c>
      <c r="AA3642" s="321">
        <v>82</v>
      </c>
      <c r="AB3642" s="321">
        <v>6</v>
      </c>
      <c r="AC3642" s="24" t="s">
        <v>175</v>
      </c>
      <c r="AD3642" s="24">
        <v>4.51</v>
      </c>
      <c r="AE3642" s="24">
        <v>0.42</v>
      </c>
      <c r="AG3642" s="24" t="s">
        <v>3373</v>
      </c>
      <c r="AH3642" s="24" t="s">
        <v>3378</v>
      </c>
      <c r="AI3642" s="24" t="s">
        <v>577</v>
      </c>
      <c r="AJ3642" s="24" t="s">
        <v>1645</v>
      </c>
      <c r="AK3642" s="24" t="s">
        <v>132</v>
      </c>
      <c r="AW3642" s="24" t="s">
        <v>3375</v>
      </c>
      <c r="AX3642" s="24">
        <v>4</v>
      </c>
      <c r="AZ3642" s="24" t="s">
        <v>141</v>
      </c>
      <c r="BK3642" s="24">
        <v>300</v>
      </c>
      <c r="BL3642" s="24">
        <v>500</v>
      </c>
      <c r="BP3642" s="395"/>
      <c r="BQ3642" s="395"/>
      <c r="BU3642" s="395"/>
      <c r="BV3642" s="395"/>
      <c r="BZ3642" s="395"/>
      <c r="CA3642" s="395"/>
      <c r="CE3642" s="548"/>
      <c r="CF3642" s="548"/>
      <c r="CG3642" s="548"/>
      <c r="CH3642" s="548"/>
      <c r="GF3642" s="24">
        <v>4.5</v>
      </c>
      <c r="GG3642" s="24">
        <v>0.9</v>
      </c>
      <c r="GJ3642" s="24" t="s">
        <v>3387</v>
      </c>
      <c r="JD3642" s="249"/>
    </row>
    <row r="3643" spans="1:264" s="24" customFormat="1" x14ac:dyDescent="0.25">
      <c r="A3643" s="24">
        <v>168</v>
      </c>
      <c r="B3643" s="42" t="s">
        <v>3383</v>
      </c>
      <c r="C3643" s="24" t="s">
        <v>3323</v>
      </c>
      <c r="D3643" s="24" t="s">
        <v>3358</v>
      </c>
      <c r="E3643" s="24">
        <v>2005</v>
      </c>
      <c r="F3643" s="24">
        <v>2002</v>
      </c>
      <c r="G3643" s="24" t="s">
        <v>3367</v>
      </c>
      <c r="H3643" s="24" t="s">
        <v>2767</v>
      </c>
      <c r="I3643" s="24" t="s">
        <v>2829</v>
      </c>
      <c r="J3643" s="24">
        <v>-14.25</v>
      </c>
      <c r="K3643" s="24">
        <v>32</v>
      </c>
      <c r="L3643" s="24">
        <v>988</v>
      </c>
      <c r="P3643" s="24">
        <v>850</v>
      </c>
      <c r="R3643" s="42" t="s">
        <v>1847</v>
      </c>
      <c r="S3643" s="42" t="s">
        <v>1728</v>
      </c>
      <c r="T3643" s="42"/>
      <c r="U3643" s="42" t="s">
        <v>1864</v>
      </c>
      <c r="V3643" s="42" t="s">
        <v>1382</v>
      </c>
      <c r="W3643" s="42" t="s">
        <v>1717</v>
      </c>
      <c r="X3643" s="42" t="s">
        <v>1382</v>
      </c>
      <c r="Y3643" s="42" t="s">
        <v>1382</v>
      </c>
      <c r="AA3643" s="321">
        <v>82</v>
      </c>
      <c r="AB3643" s="321">
        <v>6</v>
      </c>
      <c r="AC3643" s="24" t="s">
        <v>175</v>
      </c>
      <c r="AD3643" s="24">
        <v>4.51</v>
      </c>
      <c r="AE3643" s="24">
        <v>0.42</v>
      </c>
      <c r="AG3643" s="24" t="s">
        <v>3373</v>
      </c>
      <c r="AH3643" s="24" t="s">
        <v>3379</v>
      </c>
      <c r="AI3643" s="24" t="s">
        <v>577</v>
      </c>
      <c r="AJ3643" s="24" t="s">
        <v>1645</v>
      </c>
      <c r="AK3643" s="24" t="s">
        <v>132</v>
      </c>
      <c r="AW3643" s="24" t="s">
        <v>3375</v>
      </c>
      <c r="AX3643" s="24">
        <v>4</v>
      </c>
      <c r="AZ3643" s="24" t="s">
        <v>141</v>
      </c>
      <c r="BK3643" s="24">
        <v>300</v>
      </c>
      <c r="BL3643" s="24">
        <v>1700</v>
      </c>
      <c r="BP3643" s="395"/>
      <c r="BQ3643" s="395"/>
      <c r="BU3643" s="395"/>
      <c r="BV3643" s="395"/>
      <c r="BZ3643" s="395"/>
      <c r="CA3643" s="395"/>
      <c r="CE3643" s="548"/>
      <c r="CF3643" s="548"/>
      <c r="CG3643" s="548"/>
      <c r="CH3643" s="548"/>
      <c r="GF3643" s="24">
        <v>4.5</v>
      </c>
      <c r="GG3643" s="24">
        <v>3.2</v>
      </c>
      <c r="GJ3643" s="24" t="s">
        <v>3387</v>
      </c>
      <c r="JD3643" s="249"/>
    </row>
    <row r="3644" spans="1:264" s="24" customFormat="1" x14ac:dyDescent="0.25">
      <c r="A3644" s="24">
        <v>168</v>
      </c>
      <c r="B3644" s="42" t="s">
        <v>3383</v>
      </c>
      <c r="C3644" s="24" t="s">
        <v>3323</v>
      </c>
      <c r="D3644" s="24" t="s">
        <v>3358</v>
      </c>
      <c r="E3644" s="24">
        <v>2005</v>
      </c>
      <c r="F3644" s="24">
        <v>2002</v>
      </c>
      <c r="G3644" s="24" t="s">
        <v>3367</v>
      </c>
      <c r="H3644" s="24" t="s">
        <v>2767</v>
      </c>
      <c r="I3644" s="24" t="s">
        <v>2829</v>
      </c>
      <c r="J3644" s="24">
        <v>-14.25</v>
      </c>
      <c r="K3644" s="24">
        <v>32</v>
      </c>
      <c r="L3644" s="24">
        <v>988</v>
      </c>
      <c r="P3644" s="24">
        <v>850</v>
      </c>
      <c r="R3644" s="42" t="s">
        <v>1847</v>
      </c>
      <c r="S3644" s="42" t="s">
        <v>1728</v>
      </c>
      <c r="T3644" s="42"/>
      <c r="U3644" s="42" t="s">
        <v>1864</v>
      </c>
      <c r="V3644" s="42" t="s">
        <v>1382</v>
      </c>
      <c r="W3644" s="42" t="s">
        <v>1717</v>
      </c>
      <c r="X3644" s="42" t="s">
        <v>1382</v>
      </c>
      <c r="Y3644" s="42" t="s">
        <v>1382</v>
      </c>
      <c r="AA3644" s="321">
        <v>82</v>
      </c>
      <c r="AB3644" s="321">
        <v>6</v>
      </c>
      <c r="AC3644" s="24" t="s">
        <v>175</v>
      </c>
      <c r="AD3644" s="24">
        <v>4.51</v>
      </c>
      <c r="AE3644" s="24">
        <v>0.42</v>
      </c>
      <c r="AG3644" s="24" t="s">
        <v>3373</v>
      </c>
      <c r="AH3644" s="24" t="s">
        <v>3380</v>
      </c>
      <c r="AI3644" s="24" t="s">
        <v>577</v>
      </c>
      <c r="AJ3644" s="24" t="s">
        <v>1645</v>
      </c>
      <c r="AK3644" s="24" t="s">
        <v>132</v>
      </c>
      <c r="AW3644" s="24" t="s">
        <v>3375</v>
      </c>
      <c r="AX3644" s="24">
        <v>4</v>
      </c>
      <c r="AZ3644" s="24" t="s">
        <v>141</v>
      </c>
      <c r="BK3644" s="24">
        <v>300</v>
      </c>
      <c r="BL3644" s="24">
        <v>800</v>
      </c>
      <c r="BP3644" s="395"/>
      <c r="BQ3644" s="395"/>
      <c r="BU3644" s="395"/>
      <c r="BV3644" s="395"/>
      <c r="BZ3644" s="395"/>
      <c r="CA3644" s="395"/>
      <c r="CE3644" s="548"/>
      <c r="CF3644" s="548"/>
      <c r="CG3644" s="548"/>
      <c r="CH3644" s="548"/>
      <c r="GF3644" s="24">
        <v>4.5</v>
      </c>
      <c r="GG3644" s="24">
        <v>3.3</v>
      </c>
      <c r="GJ3644" s="24" t="s">
        <v>3387</v>
      </c>
      <c r="JD3644" s="249"/>
    </row>
    <row r="3645" spans="1:264" s="24" customFormat="1" x14ac:dyDescent="0.25">
      <c r="A3645" s="24">
        <v>168</v>
      </c>
      <c r="B3645" s="42" t="s">
        <v>3383</v>
      </c>
      <c r="C3645" s="24" t="s">
        <v>3323</v>
      </c>
      <c r="D3645" s="24" t="s">
        <v>3358</v>
      </c>
      <c r="E3645" s="24">
        <v>2005</v>
      </c>
      <c r="F3645" s="24">
        <v>2002</v>
      </c>
      <c r="G3645" s="24" t="s">
        <v>3367</v>
      </c>
      <c r="H3645" s="24" t="s">
        <v>2767</v>
      </c>
      <c r="I3645" s="24" t="s">
        <v>2829</v>
      </c>
      <c r="J3645" s="24">
        <v>-14.25</v>
      </c>
      <c r="K3645" s="24">
        <v>32</v>
      </c>
      <c r="L3645" s="24">
        <v>988</v>
      </c>
      <c r="P3645" s="24">
        <v>850</v>
      </c>
      <c r="R3645" s="42" t="s">
        <v>1847</v>
      </c>
      <c r="S3645" s="42" t="s">
        <v>1728</v>
      </c>
      <c r="T3645" s="42"/>
      <c r="U3645" s="42" t="s">
        <v>1864</v>
      </c>
      <c r="V3645" s="42" t="s">
        <v>1382</v>
      </c>
      <c r="W3645" s="42" t="s">
        <v>1717</v>
      </c>
      <c r="X3645" s="42" t="s">
        <v>1382</v>
      </c>
      <c r="Y3645" s="42" t="s">
        <v>1382</v>
      </c>
      <c r="AA3645" s="321">
        <v>82</v>
      </c>
      <c r="AB3645" s="321">
        <v>6</v>
      </c>
      <c r="AC3645" s="24" t="s">
        <v>175</v>
      </c>
      <c r="AD3645" s="24">
        <v>4.51</v>
      </c>
      <c r="AE3645" s="24">
        <v>0.42</v>
      </c>
      <c r="AG3645" s="24" t="s">
        <v>3373</v>
      </c>
      <c r="AH3645" s="24" t="s">
        <v>3381</v>
      </c>
      <c r="AI3645" s="24" t="s">
        <v>577</v>
      </c>
      <c r="AJ3645" s="24" t="s">
        <v>1645</v>
      </c>
      <c r="AK3645" s="24" t="s">
        <v>132</v>
      </c>
      <c r="AW3645" s="24" t="s">
        <v>3375</v>
      </c>
      <c r="AX3645" s="24">
        <v>4</v>
      </c>
      <c r="AZ3645" s="24" t="s">
        <v>141</v>
      </c>
      <c r="BK3645" s="24">
        <v>300</v>
      </c>
      <c r="BL3645" s="24">
        <v>600</v>
      </c>
      <c r="BP3645" s="395"/>
      <c r="BQ3645" s="395"/>
      <c r="BU3645" s="395"/>
      <c r="BV3645" s="395"/>
      <c r="BZ3645" s="395"/>
      <c r="CA3645" s="395"/>
      <c r="CE3645" s="548"/>
      <c r="CF3645" s="548"/>
      <c r="CG3645" s="548"/>
      <c r="CH3645" s="548"/>
      <c r="GF3645" s="24">
        <v>4.5</v>
      </c>
      <c r="GG3645" s="24">
        <v>1.2</v>
      </c>
      <c r="GJ3645" s="24" t="s">
        <v>3387</v>
      </c>
      <c r="JD3645" s="249"/>
    </row>
    <row r="3646" spans="1:264" s="24" customFormat="1" x14ac:dyDescent="0.25">
      <c r="A3646" s="24">
        <v>168</v>
      </c>
      <c r="B3646" s="42" t="s">
        <v>3383</v>
      </c>
      <c r="C3646" s="24" t="s">
        <v>3323</v>
      </c>
      <c r="D3646" s="24" t="s">
        <v>3358</v>
      </c>
      <c r="E3646" s="24">
        <v>2005</v>
      </c>
      <c r="F3646" s="24">
        <v>2002</v>
      </c>
      <c r="G3646" s="24" t="s">
        <v>3367</v>
      </c>
      <c r="H3646" s="24" t="s">
        <v>2767</v>
      </c>
      <c r="I3646" s="24" t="s">
        <v>2829</v>
      </c>
      <c r="J3646" s="24">
        <v>-14.25</v>
      </c>
      <c r="K3646" s="24">
        <v>32</v>
      </c>
      <c r="L3646" s="24">
        <v>988</v>
      </c>
      <c r="P3646" s="24">
        <v>850</v>
      </c>
      <c r="R3646" s="42" t="s">
        <v>1847</v>
      </c>
      <c r="S3646" s="42" t="s">
        <v>1728</v>
      </c>
      <c r="T3646" s="42"/>
      <c r="U3646" s="42" t="s">
        <v>1864</v>
      </c>
      <c r="V3646" s="42" t="s">
        <v>1382</v>
      </c>
      <c r="W3646" s="42" t="s">
        <v>1717</v>
      </c>
      <c r="X3646" s="42" t="s">
        <v>1382</v>
      </c>
      <c r="Y3646" s="42" t="s">
        <v>1382</v>
      </c>
      <c r="AA3646" s="321">
        <v>82</v>
      </c>
      <c r="AB3646" s="321">
        <v>6</v>
      </c>
      <c r="AC3646" s="24" t="s">
        <v>175</v>
      </c>
      <c r="AD3646" s="24">
        <v>4.51</v>
      </c>
      <c r="AE3646" s="24">
        <v>0.42</v>
      </c>
      <c r="AG3646" s="24" t="s">
        <v>3373</v>
      </c>
      <c r="AH3646" s="24" t="s">
        <v>3382</v>
      </c>
      <c r="AI3646" s="24" t="s">
        <v>577</v>
      </c>
      <c r="AJ3646" s="24" t="s">
        <v>1645</v>
      </c>
      <c r="AK3646" s="24" t="s">
        <v>132</v>
      </c>
      <c r="AW3646" s="24" t="s">
        <v>3375</v>
      </c>
      <c r="AX3646" s="24">
        <v>4</v>
      </c>
      <c r="AZ3646" s="24" t="s">
        <v>141</v>
      </c>
      <c r="BK3646" s="24">
        <v>300</v>
      </c>
      <c r="BL3646" s="24">
        <v>600</v>
      </c>
      <c r="BP3646" s="395"/>
      <c r="BQ3646" s="395"/>
      <c r="BU3646" s="395"/>
      <c r="BV3646" s="395"/>
      <c r="BZ3646" s="395"/>
      <c r="CA3646" s="395"/>
      <c r="CE3646" s="548"/>
      <c r="CF3646" s="548"/>
      <c r="CG3646" s="548"/>
      <c r="CH3646" s="548"/>
      <c r="GF3646" s="24">
        <v>4.5</v>
      </c>
      <c r="GG3646" s="24">
        <v>1.5</v>
      </c>
      <c r="GJ3646" s="24" t="s">
        <v>3387</v>
      </c>
      <c r="JD3646" s="249"/>
    </row>
    <row r="3647" spans="1:264" s="24" customFormat="1" x14ac:dyDescent="0.25">
      <c r="A3647" s="24">
        <v>168</v>
      </c>
      <c r="B3647" s="42" t="s">
        <v>3383</v>
      </c>
      <c r="C3647" s="24" t="s">
        <v>3323</v>
      </c>
      <c r="D3647" s="24" t="s">
        <v>3358</v>
      </c>
      <c r="E3647" s="24">
        <v>2005</v>
      </c>
      <c r="F3647" s="24">
        <v>2002</v>
      </c>
      <c r="G3647" s="24" t="s">
        <v>3367</v>
      </c>
      <c r="H3647" s="24" t="s">
        <v>2767</v>
      </c>
      <c r="I3647" s="24" t="s">
        <v>2829</v>
      </c>
      <c r="J3647" s="24">
        <v>-14.25</v>
      </c>
      <c r="K3647" s="24">
        <v>32</v>
      </c>
      <c r="L3647" s="24">
        <v>988</v>
      </c>
      <c r="P3647" s="24">
        <v>850</v>
      </c>
      <c r="R3647" s="42" t="s">
        <v>1847</v>
      </c>
      <c r="S3647" s="42" t="s">
        <v>1728</v>
      </c>
      <c r="T3647" s="42"/>
      <c r="U3647" s="42" t="s">
        <v>1864</v>
      </c>
      <c r="V3647" s="42" t="s">
        <v>1382</v>
      </c>
      <c r="W3647" s="42" t="s">
        <v>1717</v>
      </c>
      <c r="X3647" s="42" t="s">
        <v>1382</v>
      </c>
      <c r="Y3647" s="42" t="s">
        <v>1382</v>
      </c>
      <c r="AA3647" s="321">
        <v>82</v>
      </c>
      <c r="AB3647" s="321">
        <v>6</v>
      </c>
      <c r="AC3647" s="24" t="s">
        <v>175</v>
      </c>
      <c r="AD3647" s="24">
        <v>4.51</v>
      </c>
      <c r="AE3647" s="24">
        <v>0.42</v>
      </c>
      <c r="AG3647" s="24" t="s">
        <v>3373</v>
      </c>
      <c r="AH3647" s="24" t="s">
        <v>3377</v>
      </c>
      <c r="AI3647" s="24" t="s">
        <v>577</v>
      </c>
      <c r="AJ3647" s="24" t="s">
        <v>1645</v>
      </c>
      <c r="AK3647" s="24" t="s">
        <v>132</v>
      </c>
      <c r="AW3647" s="24" t="s">
        <v>3376</v>
      </c>
      <c r="AX3647" s="24">
        <v>4</v>
      </c>
      <c r="AZ3647" s="24" t="s">
        <v>141</v>
      </c>
      <c r="BK3647" s="24">
        <v>300</v>
      </c>
      <c r="BL3647" s="24">
        <v>700</v>
      </c>
      <c r="BP3647" s="395"/>
      <c r="BQ3647" s="395"/>
      <c r="BU3647" s="395"/>
      <c r="BV3647" s="395"/>
      <c r="BZ3647" s="395"/>
      <c r="CA3647" s="395"/>
      <c r="CE3647" s="548"/>
      <c r="CF3647" s="548"/>
      <c r="CG3647" s="548"/>
      <c r="CH3647" s="548"/>
      <c r="GF3647" s="24">
        <v>3.3</v>
      </c>
      <c r="GG3647" s="24">
        <v>8.8000000000000007</v>
      </c>
      <c r="GJ3647" s="24" t="s">
        <v>3387</v>
      </c>
      <c r="JD3647" s="249"/>
    </row>
    <row r="3648" spans="1:264" s="24" customFormat="1" x14ac:dyDescent="0.25">
      <c r="A3648" s="24">
        <v>168</v>
      </c>
      <c r="B3648" s="42" t="s">
        <v>3383</v>
      </c>
      <c r="C3648" s="24" t="s">
        <v>3323</v>
      </c>
      <c r="D3648" s="24" t="s">
        <v>3358</v>
      </c>
      <c r="E3648" s="24">
        <v>2005</v>
      </c>
      <c r="F3648" s="24">
        <v>2002</v>
      </c>
      <c r="G3648" s="24" t="s">
        <v>3367</v>
      </c>
      <c r="H3648" s="24" t="s">
        <v>2767</v>
      </c>
      <c r="I3648" s="24" t="s">
        <v>2829</v>
      </c>
      <c r="J3648" s="24">
        <v>-14.25</v>
      </c>
      <c r="K3648" s="24">
        <v>32</v>
      </c>
      <c r="L3648" s="24">
        <v>988</v>
      </c>
      <c r="P3648" s="24">
        <v>850</v>
      </c>
      <c r="R3648" s="42" t="s">
        <v>1847</v>
      </c>
      <c r="S3648" s="42" t="s">
        <v>1728</v>
      </c>
      <c r="T3648" s="42"/>
      <c r="U3648" s="42" t="s">
        <v>1864</v>
      </c>
      <c r="V3648" s="42" t="s">
        <v>1382</v>
      </c>
      <c r="W3648" s="42" t="s">
        <v>1717</v>
      </c>
      <c r="X3648" s="42" t="s">
        <v>1382</v>
      </c>
      <c r="Y3648" s="42" t="s">
        <v>1382</v>
      </c>
      <c r="AA3648" s="321">
        <v>82</v>
      </c>
      <c r="AB3648" s="321">
        <v>6</v>
      </c>
      <c r="AC3648" s="24" t="s">
        <v>175</v>
      </c>
      <c r="AD3648" s="24">
        <v>4.51</v>
      </c>
      <c r="AE3648" s="24">
        <v>0.42</v>
      </c>
      <c r="AG3648" s="24" t="s">
        <v>3373</v>
      </c>
      <c r="AH3648" s="24" t="s">
        <v>2918</v>
      </c>
      <c r="AI3648" s="24" t="s">
        <v>577</v>
      </c>
      <c r="AJ3648" s="24" t="s">
        <v>1645</v>
      </c>
      <c r="AK3648" s="24" t="s">
        <v>132</v>
      </c>
      <c r="AW3648" s="24" t="s">
        <v>3376</v>
      </c>
      <c r="AX3648" s="24">
        <v>4</v>
      </c>
      <c r="AZ3648" s="24" t="s">
        <v>141</v>
      </c>
      <c r="BK3648" s="24">
        <v>300</v>
      </c>
      <c r="BL3648" s="24">
        <v>500</v>
      </c>
      <c r="BP3648" s="395"/>
      <c r="BQ3648" s="395"/>
      <c r="BU3648" s="395"/>
      <c r="BV3648" s="395"/>
      <c r="BZ3648" s="395"/>
      <c r="CA3648" s="395"/>
      <c r="CE3648" s="548"/>
      <c r="CF3648" s="548"/>
      <c r="CG3648" s="548"/>
      <c r="CH3648" s="548"/>
      <c r="GF3648" s="24">
        <v>3.3</v>
      </c>
      <c r="GG3648" s="24">
        <v>2.1</v>
      </c>
      <c r="GJ3648" s="24" t="s">
        <v>3387</v>
      </c>
      <c r="JD3648" s="249"/>
    </row>
    <row r="3649" spans="1:264" s="24" customFormat="1" x14ac:dyDescent="0.25">
      <c r="A3649" s="24">
        <v>168</v>
      </c>
      <c r="B3649" s="42" t="s">
        <v>3383</v>
      </c>
      <c r="C3649" s="24" t="s">
        <v>3323</v>
      </c>
      <c r="D3649" s="24" t="s">
        <v>3358</v>
      </c>
      <c r="E3649" s="24">
        <v>2005</v>
      </c>
      <c r="F3649" s="24">
        <v>2002</v>
      </c>
      <c r="G3649" s="24" t="s">
        <v>3367</v>
      </c>
      <c r="H3649" s="24" t="s">
        <v>2767</v>
      </c>
      <c r="I3649" s="24" t="s">
        <v>2829</v>
      </c>
      <c r="J3649" s="24">
        <v>-14.25</v>
      </c>
      <c r="K3649" s="24">
        <v>32</v>
      </c>
      <c r="L3649" s="24">
        <v>988</v>
      </c>
      <c r="P3649" s="24">
        <v>850</v>
      </c>
      <c r="R3649" s="42" t="s">
        <v>1847</v>
      </c>
      <c r="S3649" s="42" t="s">
        <v>1728</v>
      </c>
      <c r="T3649" s="42"/>
      <c r="U3649" s="42" t="s">
        <v>1864</v>
      </c>
      <c r="V3649" s="42" t="s">
        <v>1382</v>
      </c>
      <c r="W3649" s="42" t="s">
        <v>1717</v>
      </c>
      <c r="X3649" s="42" t="s">
        <v>1382</v>
      </c>
      <c r="Y3649" s="42" t="s">
        <v>1382</v>
      </c>
      <c r="AA3649" s="321">
        <v>82</v>
      </c>
      <c r="AB3649" s="321">
        <v>6</v>
      </c>
      <c r="AC3649" s="24" t="s">
        <v>175</v>
      </c>
      <c r="AD3649" s="24">
        <v>4.51</v>
      </c>
      <c r="AE3649" s="24">
        <v>0.42</v>
      </c>
      <c r="AG3649" s="24" t="s">
        <v>3373</v>
      </c>
      <c r="AH3649" s="24" t="s">
        <v>3165</v>
      </c>
      <c r="AI3649" s="24" t="s">
        <v>577</v>
      </c>
      <c r="AJ3649" s="24" t="s">
        <v>1645</v>
      </c>
      <c r="AK3649" s="24" t="s">
        <v>132</v>
      </c>
      <c r="AW3649" s="24" t="s">
        <v>3376</v>
      </c>
      <c r="AX3649" s="24">
        <v>4</v>
      </c>
      <c r="AZ3649" s="24" t="s">
        <v>141</v>
      </c>
      <c r="BK3649" s="24">
        <v>300</v>
      </c>
      <c r="BL3649" s="24">
        <v>900</v>
      </c>
      <c r="BP3649" s="395"/>
      <c r="BQ3649" s="395"/>
      <c r="BU3649" s="395"/>
      <c r="BV3649" s="395"/>
      <c r="BZ3649" s="395"/>
      <c r="CA3649" s="395"/>
      <c r="CE3649" s="548"/>
      <c r="CF3649" s="548"/>
      <c r="CG3649" s="548"/>
      <c r="CH3649" s="548"/>
      <c r="GF3649" s="24">
        <v>3.3</v>
      </c>
      <c r="GG3649" s="24">
        <v>5.3</v>
      </c>
      <c r="GJ3649" s="24" t="s">
        <v>3387</v>
      </c>
      <c r="JD3649" s="249"/>
    </row>
    <row r="3650" spans="1:264" s="24" customFormat="1" x14ac:dyDescent="0.25">
      <c r="A3650" s="24">
        <v>168</v>
      </c>
      <c r="B3650" s="42" t="s">
        <v>3383</v>
      </c>
      <c r="C3650" s="24" t="s">
        <v>3323</v>
      </c>
      <c r="D3650" s="24" t="s">
        <v>3358</v>
      </c>
      <c r="E3650" s="24">
        <v>2005</v>
      </c>
      <c r="F3650" s="24">
        <v>2002</v>
      </c>
      <c r="G3650" s="24" t="s">
        <v>3367</v>
      </c>
      <c r="H3650" s="24" t="s">
        <v>2767</v>
      </c>
      <c r="I3650" s="24" t="s">
        <v>2829</v>
      </c>
      <c r="J3650" s="24">
        <v>-14.25</v>
      </c>
      <c r="K3650" s="24">
        <v>32</v>
      </c>
      <c r="L3650" s="24">
        <v>988</v>
      </c>
      <c r="P3650" s="24">
        <v>850</v>
      </c>
      <c r="R3650" s="42" t="s">
        <v>1847</v>
      </c>
      <c r="S3650" s="42" t="s">
        <v>1728</v>
      </c>
      <c r="T3650" s="42"/>
      <c r="U3650" s="42" t="s">
        <v>1864</v>
      </c>
      <c r="V3650" s="42" t="s">
        <v>1382</v>
      </c>
      <c r="W3650" s="42" t="s">
        <v>1717</v>
      </c>
      <c r="X3650" s="42" t="s">
        <v>1382</v>
      </c>
      <c r="Y3650" s="42" t="s">
        <v>1382</v>
      </c>
      <c r="AA3650" s="321">
        <v>82</v>
      </c>
      <c r="AB3650" s="321">
        <v>6</v>
      </c>
      <c r="AC3650" s="24" t="s">
        <v>175</v>
      </c>
      <c r="AD3650" s="24">
        <v>4.51</v>
      </c>
      <c r="AE3650" s="24">
        <v>0.42</v>
      </c>
      <c r="AG3650" s="24" t="s">
        <v>3373</v>
      </c>
      <c r="AH3650" s="24" t="s">
        <v>3378</v>
      </c>
      <c r="AI3650" s="24" t="s">
        <v>577</v>
      </c>
      <c r="AJ3650" s="24" t="s">
        <v>1645</v>
      </c>
      <c r="AK3650" s="24" t="s">
        <v>132</v>
      </c>
      <c r="AW3650" s="24" t="s">
        <v>3376</v>
      </c>
      <c r="AX3650" s="24">
        <v>4</v>
      </c>
      <c r="AZ3650" s="24" t="s">
        <v>141</v>
      </c>
      <c r="BK3650" s="24">
        <v>300</v>
      </c>
      <c r="BL3650" s="24">
        <v>500</v>
      </c>
      <c r="BP3650" s="395"/>
      <c r="BQ3650" s="395"/>
      <c r="BU3650" s="395"/>
      <c r="BV3650" s="395"/>
      <c r="BZ3650" s="395"/>
      <c r="CA3650" s="395"/>
      <c r="CE3650" s="548"/>
      <c r="CF3650" s="548"/>
      <c r="CG3650" s="548"/>
      <c r="CH3650" s="548"/>
      <c r="GF3650" s="24">
        <v>3.3</v>
      </c>
      <c r="GG3650" s="24">
        <v>0.9</v>
      </c>
      <c r="GJ3650" s="24" t="s">
        <v>3387</v>
      </c>
      <c r="JD3650" s="249"/>
    </row>
    <row r="3651" spans="1:264" s="24" customFormat="1" x14ac:dyDescent="0.25">
      <c r="A3651" s="24">
        <v>168</v>
      </c>
      <c r="B3651" s="42" t="s">
        <v>3383</v>
      </c>
      <c r="C3651" s="24" t="s">
        <v>3323</v>
      </c>
      <c r="D3651" s="24" t="s">
        <v>3358</v>
      </c>
      <c r="E3651" s="24">
        <v>2005</v>
      </c>
      <c r="F3651" s="24">
        <v>2002</v>
      </c>
      <c r="G3651" s="24" t="s">
        <v>3367</v>
      </c>
      <c r="H3651" s="24" t="s">
        <v>2767</v>
      </c>
      <c r="I3651" s="24" t="s">
        <v>2829</v>
      </c>
      <c r="J3651" s="24">
        <v>-14.25</v>
      </c>
      <c r="K3651" s="24">
        <v>32</v>
      </c>
      <c r="L3651" s="24">
        <v>988</v>
      </c>
      <c r="P3651" s="24">
        <v>850</v>
      </c>
      <c r="R3651" s="42" t="s">
        <v>1847</v>
      </c>
      <c r="S3651" s="42" t="s">
        <v>1728</v>
      </c>
      <c r="T3651" s="42"/>
      <c r="U3651" s="42" t="s">
        <v>1864</v>
      </c>
      <c r="V3651" s="42" t="s">
        <v>1382</v>
      </c>
      <c r="W3651" s="42" t="s">
        <v>1717</v>
      </c>
      <c r="X3651" s="42" t="s">
        <v>1382</v>
      </c>
      <c r="Y3651" s="42" t="s">
        <v>1382</v>
      </c>
      <c r="AA3651" s="321">
        <v>82</v>
      </c>
      <c r="AB3651" s="321">
        <v>6</v>
      </c>
      <c r="AC3651" s="24" t="s">
        <v>175</v>
      </c>
      <c r="AD3651" s="24">
        <v>4.51</v>
      </c>
      <c r="AE3651" s="24">
        <v>0.42</v>
      </c>
      <c r="AG3651" s="24" t="s">
        <v>3373</v>
      </c>
      <c r="AH3651" s="24" t="s">
        <v>3379</v>
      </c>
      <c r="AI3651" s="24" t="s">
        <v>577</v>
      </c>
      <c r="AJ3651" s="24" t="s">
        <v>1645</v>
      </c>
      <c r="AK3651" s="24" t="s">
        <v>132</v>
      </c>
      <c r="AW3651" s="24" t="s">
        <v>3376</v>
      </c>
      <c r="AX3651" s="24">
        <v>4</v>
      </c>
      <c r="AZ3651" s="24" t="s">
        <v>141</v>
      </c>
      <c r="BK3651" s="24">
        <v>300</v>
      </c>
      <c r="BL3651" s="24">
        <v>1700</v>
      </c>
      <c r="BP3651" s="395"/>
      <c r="BQ3651" s="395"/>
      <c r="BU3651" s="395"/>
      <c r="BV3651" s="395"/>
      <c r="BZ3651" s="395"/>
      <c r="CA3651" s="395"/>
      <c r="CE3651" s="548"/>
      <c r="CF3651" s="548"/>
      <c r="CG3651" s="548"/>
      <c r="CH3651" s="548"/>
      <c r="GF3651" s="24">
        <v>3.3</v>
      </c>
      <c r="GG3651" s="24">
        <v>3.2</v>
      </c>
      <c r="GJ3651" s="24" t="s">
        <v>3387</v>
      </c>
      <c r="JD3651" s="249"/>
    </row>
    <row r="3652" spans="1:264" s="24" customFormat="1" x14ac:dyDescent="0.25">
      <c r="A3652" s="24">
        <v>168</v>
      </c>
      <c r="B3652" s="42" t="s">
        <v>3383</v>
      </c>
      <c r="C3652" s="24" t="s">
        <v>3323</v>
      </c>
      <c r="D3652" s="24" t="s">
        <v>3358</v>
      </c>
      <c r="E3652" s="24">
        <v>2005</v>
      </c>
      <c r="F3652" s="24">
        <v>2002</v>
      </c>
      <c r="G3652" s="24" t="s">
        <v>3367</v>
      </c>
      <c r="H3652" s="24" t="s">
        <v>2767</v>
      </c>
      <c r="I3652" s="24" t="s">
        <v>2829</v>
      </c>
      <c r="J3652" s="24">
        <v>-14.25</v>
      </c>
      <c r="K3652" s="24">
        <v>32</v>
      </c>
      <c r="L3652" s="24">
        <v>988</v>
      </c>
      <c r="P3652" s="24">
        <v>850</v>
      </c>
      <c r="R3652" s="42" t="s">
        <v>1847</v>
      </c>
      <c r="S3652" s="42" t="s">
        <v>1728</v>
      </c>
      <c r="T3652" s="42"/>
      <c r="U3652" s="42" t="s">
        <v>1864</v>
      </c>
      <c r="V3652" s="42" t="s">
        <v>1382</v>
      </c>
      <c r="W3652" s="42" t="s">
        <v>1717</v>
      </c>
      <c r="X3652" s="42" t="s">
        <v>1382</v>
      </c>
      <c r="Y3652" s="42" t="s">
        <v>1382</v>
      </c>
      <c r="AA3652" s="321">
        <v>82</v>
      </c>
      <c r="AB3652" s="321">
        <v>6</v>
      </c>
      <c r="AC3652" s="24" t="s">
        <v>175</v>
      </c>
      <c r="AD3652" s="24">
        <v>4.51</v>
      </c>
      <c r="AE3652" s="24">
        <v>0.42</v>
      </c>
      <c r="AG3652" s="24" t="s">
        <v>3373</v>
      </c>
      <c r="AH3652" s="24" t="s">
        <v>3380</v>
      </c>
      <c r="AI3652" s="24" t="s">
        <v>577</v>
      </c>
      <c r="AJ3652" s="24" t="s">
        <v>1645</v>
      </c>
      <c r="AK3652" s="24" t="s">
        <v>132</v>
      </c>
      <c r="AW3652" s="24" t="s">
        <v>3376</v>
      </c>
      <c r="AX3652" s="24">
        <v>4</v>
      </c>
      <c r="AZ3652" s="24" t="s">
        <v>141</v>
      </c>
      <c r="BK3652" s="24">
        <v>300</v>
      </c>
      <c r="BL3652" s="24">
        <v>800</v>
      </c>
      <c r="BP3652" s="395"/>
      <c r="BQ3652" s="395"/>
      <c r="BU3652" s="395"/>
      <c r="BV3652" s="395"/>
      <c r="BZ3652" s="395"/>
      <c r="CA3652" s="395"/>
      <c r="CE3652" s="548"/>
      <c r="CF3652" s="548"/>
      <c r="CG3652" s="548"/>
      <c r="CH3652" s="548"/>
      <c r="GF3652" s="24">
        <v>3.3</v>
      </c>
      <c r="GG3652" s="24">
        <v>3.3</v>
      </c>
      <c r="GJ3652" s="24" t="s">
        <v>3387</v>
      </c>
      <c r="JD3652" s="249"/>
    </row>
    <row r="3653" spans="1:264" s="24" customFormat="1" x14ac:dyDescent="0.25">
      <c r="A3653" s="24">
        <v>168</v>
      </c>
      <c r="B3653" s="42" t="s">
        <v>3383</v>
      </c>
      <c r="C3653" s="24" t="s">
        <v>3323</v>
      </c>
      <c r="D3653" s="24" t="s">
        <v>3358</v>
      </c>
      <c r="E3653" s="24">
        <v>2005</v>
      </c>
      <c r="F3653" s="24">
        <v>2002</v>
      </c>
      <c r="G3653" s="24" t="s">
        <v>3367</v>
      </c>
      <c r="H3653" s="24" t="s">
        <v>2767</v>
      </c>
      <c r="I3653" s="24" t="s">
        <v>2829</v>
      </c>
      <c r="J3653" s="24">
        <v>-14.25</v>
      </c>
      <c r="K3653" s="24">
        <v>32</v>
      </c>
      <c r="L3653" s="24">
        <v>988</v>
      </c>
      <c r="P3653" s="24">
        <v>850</v>
      </c>
      <c r="R3653" s="42" t="s">
        <v>1847</v>
      </c>
      <c r="S3653" s="42" t="s">
        <v>1728</v>
      </c>
      <c r="T3653" s="42"/>
      <c r="U3653" s="42" t="s">
        <v>1864</v>
      </c>
      <c r="V3653" s="42" t="s">
        <v>1382</v>
      </c>
      <c r="W3653" s="42" t="s">
        <v>1717</v>
      </c>
      <c r="X3653" s="42" t="s">
        <v>1382</v>
      </c>
      <c r="Y3653" s="42" t="s">
        <v>1382</v>
      </c>
      <c r="AA3653" s="321">
        <v>82</v>
      </c>
      <c r="AB3653" s="321">
        <v>6</v>
      </c>
      <c r="AC3653" s="24" t="s">
        <v>175</v>
      </c>
      <c r="AD3653" s="24">
        <v>4.51</v>
      </c>
      <c r="AE3653" s="24">
        <v>0.42</v>
      </c>
      <c r="AG3653" s="24" t="s">
        <v>3373</v>
      </c>
      <c r="AH3653" s="24" t="s">
        <v>3381</v>
      </c>
      <c r="AI3653" s="24" t="s">
        <v>577</v>
      </c>
      <c r="AJ3653" s="24" t="s">
        <v>1645</v>
      </c>
      <c r="AK3653" s="24" t="s">
        <v>132</v>
      </c>
      <c r="AW3653" s="24" t="s">
        <v>3376</v>
      </c>
      <c r="AX3653" s="24">
        <v>4</v>
      </c>
      <c r="AZ3653" s="24" t="s">
        <v>141</v>
      </c>
      <c r="BK3653" s="24">
        <v>300</v>
      </c>
      <c r="BL3653" s="24">
        <v>600</v>
      </c>
      <c r="BP3653" s="395"/>
      <c r="BQ3653" s="395"/>
      <c r="BU3653" s="395"/>
      <c r="BV3653" s="395"/>
      <c r="BZ3653" s="395"/>
      <c r="CA3653" s="395"/>
      <c r="CE3653" s="548"/>
      <c r="CF3653" s="548"/>
      <c r="CG3653" s="548"/>
      <c r="CH3653" s="548"/>
      <c r="GF3653" s="24">
        <v>3.3</v>
      </c>
      <c r="GG3653" s="24">
        <v>1.2</v>
      </c>
      <c r="GJ3653" s="24" t="s">
        <v>3387</v>
      </c>
      <c r="JD3653" s="249"/>
    </row>
    <row r="3654" spans="1:264" s="24" customFormat="1" x14ac:dyDescent="0.25">
      <c r="A3654" s="24">
        <v>168</v>
      </c>
      <c r="B3654" s="42" t="s">
        <v>3383</v>
      </c>
      <c r="C3654" s="24" t="s">
        <v>3323</v>
      </c>
      <c r="D3654" s="24" t="s">
        <v>3358</v>
      </c>
      <c r="E3654" s="24">
        <v>2005</v>
      </c>
      <c r="F3654" s="24">
        <v>2002</v>
      </c>
      <c r="G3654" s="24" t="s">
        <v>3367</v>
      </c>
      <c r="H3654" s="24" t="s">
        <v>2767</v>
      </c>
      <c r="I3654" s="24" t="s">
        <v>2829</v>
      </c>
      <c r="J3654" s="24">
        <v>-14.25</v>
      </c>
      <c r="K3654" s="24">
        <v>32</v>
      </c>
      <c r="L3654" s="24">
        <v>988</v>
      </c>
      <c r="P3654" s="24">
        <v>850</v>
      </c>
      <c r="R3654" s="42" t="s">
        <v>1847</v>
      </c>
      <c r="S3654" s="42" t="s">
        <v>1728</v>
      </c>
      <c r="T3654" s="42"/>
      <c r="U3654" s="42" t="s">
        <v>1864</v>
      </c>
      <c r="V3654" s="42" t="s">
        <v>1382</v>
      </c>
      <c r="W3654" s="42" t="s">
        <v>1717</v>
      </c>
      <c r="X3654" s="42" t="s">
        <v>1382</v>
      </c>
      <c r="Y3654" s="42" t="s">
        <v>1382</v>
      </c>
      <c r="AA3654" s="321">
        <v>82</v>
      </c>
      <c r="AB3654" s="321">
        <v>6</v>
      </c>
      <c r="AC3654" s="24" t="s">
        <v>175</v>
      </c>
      <c r="AD3654" s="24">
        <v>4.51</v>
      </c>
      <c r="AE3654" s="24">
        <v>0.42</v>
      </c>
      <c r="AG3654" s="24" t="s">
        <v>3373</v>
      </c>
      <c r="AH3654" s="24" t="s">
        <v>3382</v>
      </c>
      <c r="AI3654" s="24" t="s">
        <v>577</v>
      </c>
      <c r="AJ3654" s="24" t="s">
        <v>1645</v>
      </c>
      <c r="AK3654" s="24" t="s">
        <v>132</v>
      </c>
      <c r="AW3654" s="24" t="s">
        <v>3376</v>
      </c>
      <c r="AX3654" s="24">
        <v>4</v>
      </c>
      <c r="AZ3654" s="24" t="s">
        <v>141</v>
      </c>
      <c r="BK3654" s="24">
        <v>300</v>
      </c>
      <c r="BL3654" s="24">
        <v>600</v>
      </c>
      <c r="BP3654" s="395"/>
      <c r="BQ3654" s="395"/>
      <c r="BU3654" s="395"/>
      <c r="BV3654" s="395"/>
      <c r="BZ3654" s="395"/>
      <c r="CA3654" s="395"/>
      <c r="CE3654" s="548"/>
      <c r="CF3654" s="548"/>
      <c r="CG3654" s="548"/>
      <c r="CH3654" s="548"/>
      <c r="GF3654" s="24">
        <v>3.3</v>
      </c>
      <c r="GG3654" s="24">
        <v>1.5</v>
      </c>
      <c r="GJ3654" s="24" t="s">
        <v>3387</v>
      </c>
      <c r="JD3654" s="249"/>
    </row>
    <row r="3655" spans="1:264" s="32" customFormat="1" x14ac:dyDescent="0.25">
      <c r="A3655" s="32">
        <v>168</v>
      </c>
      <c r="B3655" s="44" t="s">
        <v>3384</v>
      </c>
      <c r="C3655" s="32" t="s">
        <v>3323</v>
      </c>
      <c r="D3655" s="32" t="s">
        <v>3358</v>
      </c>
      <c r="E3655" s="32">
        <v>2005</v>
      </c>
      <c r="F3655" s="32">
        <v>2002</v>
      </c>
      <c r="G3655" s="32" t="s">
        <v>3367</v>
      </c>
      <c r="H3655" s="32" t="s">
        <v>3368</v>
      </c>
      <c r="I3655" s="32" t="s">
        <v>2829</v>
      </c>
      <c r="J3655" s="32">
        <v>-13.13</v>
      </c>
      <c r="K3655" s="32">
        <v>27.85</v>
      </c>
      <c r="L3655" s="32">
        <v>1204.5</v>
      </c>
      <c r="P3655" s="32">
        <v>850</v>
      </c>
      <c r="R3655" s="44" t="s">
        <v>1847</v>
      </c>
      <c r="S3655" s="44" t="s">
        <v>1728</v>
      </c>
      <c r="T3655" s="44"/>
      <c r="U3655" s="44" t="s">
        <v>1864</v>
      </c>
      <c r="V3655" s="44" t="s">
        <v>1382</v>
      </c>
      <c r="W3655" s="44" t="s">
        <v>1717</v>
      </c>
      <c r="X3655" s="44" t="s">
        <v>1382</v>
      </c>
      <c r="Y3655" s="44" t="s">
        <v>1382</v>
      </c>
      <c r="AA3655" s="323">
        <v>64</v>
      </c>
      <c r="AB3655" s="323">
        <v>14</v>
      </c>
      <c r="AC3655" s="32" t="s">
        <v>240</v>
      </c>
      <c r="AD3655" s="32">
        <v>5.08</v>
      </c>
      <c r="AE3655" s="32">
        <v>0.44</v>
      </c>
      <c r="AH3655" s="32" t="s">
        <v>3377</v>
      </c>
      <c r="AI3655" s="32" t="s">
        <v>577</v>
      </c>
      <c r="AJ3655" s="32" t="s">
        <v>1645</v>
      </c>
      <c r="AK3655" s="32" t="s">
        <v>132</v>
      </c>
      <c r="AW3655" s="32" t="s">
        <v>3375</v>
      </c>
      <c r="AX3655" s="32">
        <v>4</v>
      </c>
      <c r="AZ3655" s="32" t="s">
        <v>141</v>
      </c>
      <c r="BK3655" s="32">
        <v>2100</v>
      </c>
      <c r="BL3655" s="32">
        <v>2800</v>
      </c>
      <c r="BP3655" s="397"/>
      <c r="BQ3655" s="397"/>
      <c r="BU3655" s="397"/>
      <c r="BV3655" s="397"/>
      <c r="BZ3655" s="397"/>
      <c r="CA3655" s="397"/>
      <c r="CE3655" s="550"/>
      <c r="CF3655" s="550"/>
      <c r="CG3655" s="550"/>
      <c r="CH3655" s="550"/>
      <c r="GF3655" s="32">
        <v>7.7</v>
      </c>
      <c r="GG3655" s="32">
        <v>26.2</v>
      </c>
      <c r="GJ3655" s="32" t="s">
        <v>3387</v>
      </c>
      <c r="JD3655" s="243"/>
    </row>
    <row r="3656" spans="1:264" s="32" customFormat="1" x14ac:dyDescent="0.25">
      <c r="A3656" s="32">
        <v>168</v>
      </c>
      <c r="B3656" s="44" t="s">
        <v>3384</v>
      </c>
      <c r="C3656" s="32" t="s">
        <v>3323</v>
      </c>
      <c r="D3656" s="32" t="s">
        <v>3358</v>
      </c>
      <c r="E3656" s="32">
        <v>2005</v>
      </c>
      <c r="F3656" s="32">
        <v>2002</v>
      </c>
      <c r="G3656" s="32" t="s">
        <v>3367</v>
      </c>
      <c r="H3656" s="32" t="s">
        <v>3368</v>
      </c>
      <c r="I3656" s="32" t="s">
        <v>2829</v>
      </c>
      <c r="J3656" s="32">
        <v>-13.13</v>
      </c>
      <c r="K3656" s="32">
        <v>27.85</v>
      </c>
      <c r="L3656" s="32">
        <v>1204.5</v>
      </c>
      <c r="P3656" s="32">
        <v>850</v>
      </c>
      <c r="R3656" s="44" t="s">
        <v>1847</v>
      </c>
      <c r="S3656" s="44" t="s">
        <v>1728</v>
      </c>
      <c r="T3656" s="44"/>
      <c r="U3656" s="44" t="s">
        <v>1864</v>
      </c>
      <c r="V3656" s="44" t="s">
        <v>1382</v>
      </c>
      <c r="W3656" s="44" t="s">
        <v>1717</v>
      </c>
      <c r="X3656" s="44" t="s">
        <v>1382</v>
      </c>
      <c r="Y3656" s="44" t="s">
        <v>1382</v>
      </c>
      <c r="AA3656" s="323">
        <v>64</v>
      </c>
      <c r="AB3656" s="323">
        <v>14</v>
      </c>
      <c r="AC3656" s="32" t="s">
        <v>240</v>
      </c>
      <c r="AD3656" s="32">
        <v>5.08</v>
      </c>
      <c r="AE3656" s="32">
        <v>0.44</v>
      </c>
      <c r="AH3656" s="32" t="s">
        <v>2918</v>
      </c>
      <c r="AI3656" s="32" t="s">
        <v>577</v>
      </c>
      <c r="AJ3656" s="32" t="s">
        <v>1645</v>
      </c>
      <c r="AK3656" s="32" t="s">
        <v>132</v>
      </c>
      <c r="AW3656" s="32" t="s">
        <v>3375</v>
      </c>
      <c r="AX3656" s="32">
        <v>4</v>
      </c>
      <c r="AZ3656" s="32" t="s">
        <v>141</v>
      </c>
      <c r="BK3656" s="32">
        <v>2100</v>
      </c>
      <c r="BL3656" s="32">
        <v>4700</v>
      </c>
      <c r="BP3656" s="397"/>
      <c r="BQ3656" s="397"/>
      <c r="BU3656" s="397"/>
      <c r="BV3656" s="397"/>
      <c r="BZ3656" s="397"/>
      <c r="CA3656" s="397"/>
      <c r="CE3656" s="550"/>
      <c r="CF3656" s="550"/>
      <c r="CG3656" s="550"/>
      <c r="CH3656" s="550"/>
      <c r="GF3656" s="32">
        <v>7.7</v>
      </c>
      <c r="GG3656" s="32">
        <v>11.5</v>
      </c>
      <c r="GJ3656" s="32" t="s">
        <v>3387</v>
      </c>
      <c r="JD3656" s="243"/>
    </row>
    <row r="3657" spans="1:264" s="32" customFormat="1" x14ac:dyDescent="0.25">
      <c r="A3657" s="32">
        <v>168</v>
      </c>
      <c r="B3657" s="44" t="s">
        <v>3384</v>
      </c>
      <c r="C3657" s="32" t="s">
        <v>3323</v>
      </c>
      <c r="D3657" s="32" t="s">
        <v>3358</v>
      </c>
      <c r="E3657" s="32">
        <v>2005</v>
      </c>
      <c r="F3657" s="32">
        <v>2002</v>
      </c>
      <c r="G3657" s="32" t="s">
        <v>3367</v>
      </c>
      <c r="H3657" s="32" t="s">
        <v>3368</v>
      </c>
      <c r="I3657" s="32" t="s">
        <v>2829</v>
      </c>
      <c r="J3657" s="32">
        <v>-13.13</v>
      </c>
      <c r="K3657" s="32">
        <v>27.85</v>
      </c>
      <c r="L3657" s="32">
        <v>1204.5</v>
      </c>
      <c r="P3657" s="32">
        <v>850</v>
      </c>
      <c r="R3657" s="44" t="s">
        <v>1847</v>
      </c>
      <c r="S3657" s="44" t="s">
        <v>1728</v>
      </c>
      <c r="T3657" s="44"/>
      <c r="U3657" s="44" t="s">
        <v>1864</v>
      </c>
      <c r="V3657" s="44" t="s">
        <v>1382</v>
      </c>
      <c r="W3657" s="44" t="s">
        <v>1717</v>
      </c>
      <c r="X3657" s="44" t="s">
        <v>1382</v>
      </c>
      <c r="Y3657" s="44" t="s">
        <v>1382</v>
      </c>
      <c r="AA3657" s="323">
        <v>64</v>
      </c>
      <c r="AB3657" s="323">
        <v>14</v>
      </c>
      <c r="AC3657" s="32" t="s">
        <v>240</v>
      </c>
      <c r="AD3657" s="32">
        <v>5.08</v>
      </c>
      <c r="AE3657" s="32">
        <v>0.44</v>
      </c>
      <c r="AH3657" s="32" t="s">
        <v>3165</v>
      </c>
      <c r="AI3657" s="32" t="s">
        <v>577</v>
      </c>
      <c r="AJ3657" s="32" t="s">
        <v>1645</v>
      </c>
      <c r="AK3657" s="32" t="s">
        <v>132</v>
      </c>
      <c r="AW3657" s="32" t="s">
        <v>3375</v>
      </c>
      <c r="AX3657" s="32">
        <v>4</v>
      </c>
      <c r="AZ3657" s="32" t="s">
        <v>141</v>
      </c>
      <c r="BK3657" s="32">
        <v>2100</v>
      </c>
      <c r="BL3657" s="32">
        <v>3200</v>
      </c>
      <c r="BP3657" s="397"/>
      <c r="BQ3657" s="397"/>
      <c r="BU3657" s="397"/>
      <c r="BV3657" s="397"/>
      <c r="BZ3657" s="397"/>
      <c r="CA3657" s="397"/>
      <c r="CE3657" s="550"/>
      <c r="CF3657" s="550"/>
      <c r="CG3657" s="550"/>
      <c r="CH3657" s="550"/>
      <c r="GF3657" s="32">
        <v>7.7</v>
      </c>
      <c r="GG3657" s="32">
        <v>10.8</v>
      </c>
      <c r="GJ3657" s="32" t="s">
        <v>3387</v>
      </c>
      <c r="JD3657" s="243"/>
    </row>
    <row r="3658" spans="1:264" s="32" customFormat="1" x14ac:dyDescent="0.25">
      <c r="A3658" s="32">
        <v>168</v>
      </c>
      <c r="B3658" s="44" t="s">
        <v>3384</v>
      </c>
      <c r="C3658" s="32" t="s">
        <v>3323</v>
      </c>
      <c r="D3658" s="32" t="s">
        <v>3358</v>
      </c>
      <c r="E3658" s="32">
        <v>2005</v>
      </c>
      <c r="F3658" s="32">
        <v>2002</v>
      </c>
      <c r="G3658" s="32" t="s">
        <v>3367</v>
      </c>
      <c r="H3658" s="32" t="s">
        <v>3368</v>
      </c>
      <c r="I3658" s="32" t="s">
        <v>2829</v>
      </c>
      <c r="J3658" s="32">
        <v>-13.13</v>
      </c>
      <c r="K3658" s="32">
        <v>27.85</v>
      </c>
      <c r="L3658" s="32">
        <v>1204.5</v>
      </c>
      <c r="P3658" s="32">
        <v>850</v>
      </c>
      <c r="R3658" s="44" t="s">
        <v>1847</v>
      </c>
      <c r="S3658" s="44" t="s">
        <v>1728</v>
      </c>
      <c r="T3658" s="44"/>
      <c r="U3658" s="44" t="s">
        <v>1864</v>
      </c>
      <c r="V3658" s="44" t="s">
        <v>1382</v>
      </c>
      <c r="W3658" s="44" t="s">
        <v>1717</v>
      </c>
      <c r="X3658" s="44" t="s">
        <v>1382</v>
      </c>
      <c r="Y3658" s="44" t="s">
        <v>1382</v>
      </c>
      <c r="AA3658" s="323">
        <v>64</v>
      </c>
      <c r="AB3658" s="323">
        <v>14</v>
      </c>
      <c r="AC3658" s="32" t="s">
        <v>240</v>
      </c>
      <c r="AD3658" s="32">
        <v>5.08</v>
      </c>
      <c r="AE3658" s="32">
        <v>0.44</v>
      </c>
      <c r="AH3658" s="32" t="s">
        <v>3378</v>
      </c>
      <c r="AI3658" s="32" t="s">
        <v>577</v>
      </c>
      <c r="AJ3658" s="32" t="s">
        <v>1645</v>
      </c>
      <c r="AK3658" s="32" t="s">
        <v>132</v>
      </c>
      <c r="AW3658" s="32" t="s">
        <v>3375</v>
      </c>
      <c r="AX3658" s="32">
        <v>4</v>
      </c>
      <c r="AZ3658" s="32" t="s">
        <v>141</v>
      </c>
      <c r="BK3658" s="32">
        <v>2100</v>
      </c>
      <c r="BL3658" s="32">
        <v>3000</v>
      </c>
      <c r="BP3658" s="397"/>
      <c r="BQ3658" s="397"/>
      <c r="BU3658" s="397"/>
      <c r="BV3658" s="397"/>
      <c r="BZ3658" s="397"/>
      <c r="CA3658" s="397"/>
      <c r="CE3658" s="550"/>
      <c r="CF3658" s="550"/>
      <c r="CG3658" s="550"/>
      <c r="CH3658" s="550"/>
      <c r="GF3658" s="32">
        <v>7.7</v>
      </c>
      <c r="GG3658" s="32">
        <v>6.8</v>
      </c>
      <c r="GJ3658" s="32" t="s">
        <v>3387</v>
      </c>
      <c r="JD3658" s="243"/>
    </row>
    <row r="3659" spans="1:264" s="32" customFormat="1" x14ac:dyDescent="0.25">
      <c r="A3659" s="32">
        <v>168</v>
      </c>
      <c r="B3659" s="44" t="s">
        <v>3384</v>
      </c>
      <c r="C3659" s="32" t="s">
        <v>3323</v>
      </c>
      <c r="D3659" s="32" t="s">
        <v>3358</v>
      </c>
      <c r="E3659" s="32">
        <v>2005</v>
      </c>
      <c r="F3659" s="32">
        <v>2002</v>
      </c>
      <c r="G3659" s="32" t="s">
        <v>3367</v>
      </c>
      <c r="H3659" s="32" t="s">
        <v>3368</v>
      </c>
      <c r="I3659" s="32" t="s">
        <v>2829</v>
      </c>
      <c r="J3659" s="32">
        <v>-13.13</v>
      </c>
      <c r="K3659" s="32">
        <v>27.85</v>
      </c>
      <c r="L3659" s="32">
        <v>1204.5</v>
      </c>
      <c r="P3659" s="32">
        <v>850</v>
      </c>
      <c r="R3659" s="44" t="s">
        <v>1847</v>
      </c>
      <c r="S3659" s="44" t="s">
        <v>1728</v>
      </c>
      <c r="T3659" s="44"/>
      <c r="U3659" s="44" t="s">
        <v>1864</v>
      </c>
      <c r="V3659" s="44" t="s">
        <v>1382</v>
      </c>
      <c r="W3659" s="44" t="s">
        <v>1717</v>
      </c>
      <c r="X3659" s="44" t="s">
        <v>1382</v>
      </c>
      <c r="Y3659" s="44" t="s">
        <v>1382</v>
      </c>
      <c r="AA3659" s="323">
        <v>64</v>
      </c>
      <c r="AB3659" s="323">
        <v>14</v>
      </c>
      <c r="AC3659" s="32" t="s">
        <v>240</v>
      </c>
      <c r="AD3659" s="32">
        <v>5.08</v>
      </c>
      <c r="AE3659" s="32">
        <v>0.44</v>
      </c>
      <c r="AH3659" s="32" t="s">
        <v>3379</v>
      </c>
      <c r="AI3659" s="32" t="s">
        <v>577</v>
      </c>
      <c r="AJ3659" s="32" t="s">
        <v>1645</v>
      </c>
      <c r="AK3659" s="32" t="s">
        <v>132</v>
      </c>
      <c r="AW3659" s="32" t="s">
        <v>3375</v>
      </c>
      <c r="AX3659" s="32">
        <v>4</v>
      </c>
      <c r="AZ3659" s="32" t="s">
        <v>141</v>
      </c>
      <c r="BK3659" s="32">
        <v>2100</v>
      </c>
      <c r="BL3659" s="32">
        <v>3500</v>
      </c>
      <c r="BP3659" s="397"/>
      <c r="BQ3659" s="397"/>
      <c r="BU3659" s="397"/>
      <c r="BV3659" s="397"/>
      <c r="BZ3659" s="397"/>
      <c r="CA3659" s="397"/>
      <c r="CE3659" s="550"/>
      <c r="CF3659" s="550"/>
      <c r="CG3659" s="550"/>
      <c r="CH3659" s="550"/>
      <c r="GF3659" s="32">
        <v>7.7</v>
      </c>
      <c r="GG3659" s="32">
        <v>9</v>
      </c>
      <c r="GJ3659" s="32" t="s">
        <v>3387</v>
      </c>
      <c r="JD3659" s="243"/>
    </row>
    <row r="3660" spans="1:264" s="32" customFormat="1" x14ac:dyDescent="0.25">
      <c r="A3660" s="32">
        <v>168</v>
      </c>
      <c r="B3660" s="44" t="s">
        <v>3384</v>
      </c>
      <c r="C3660" s="32" t="s">
        <v>3323</v>
      </c>
      <c r="D3660" s="32" t="s">
        <v>3358</v>
      </c>
      <c r="E3660" s="32">
        <v>2005</v>
      </c>
      <c r="F3660" s="32">
        <v>2002</v>
      </c>
      <c r="G3660" s="32" t="s">
        <v>3367</v>
      </c>
      <c r="H3660" s="32" t="s">
        <v>3368</v>
      </c>
      <c r="I3660" s="32" t="s">
        <v>2829</v>
      </c>
      <c r="J3660" s="32">
        <v>-13.13</v>
      </c>
      <c r="K3660" s="32">
        <v>27.85</v>
      </c>
      <c r="L3660" s="32">
        <v>1204.5</v>
      </c>
      <c r="P3660" s="32">
        <v>850</v>
      </c>
      <c r="R3660" s="44" t="s">
        <v>1847</v>
      </c>
      <c r="S3660" s="44" t="s">
        <v>1728</v>
      </c>
      <c r="T3660" s="44"/>
      <c r="U3660" s="44" t="s">
        <v>1864</v>
      </c>
      <c r="V3660" s="44" t="s">
        <v>1382</v>
      </c>
      <c r="W3660" s="44" t="s">
        <v>1717</v>
      </c>
      <c r="X3660" s="44" t="s">
        <v>1382</v>
      </c>
      <c r="Y3660" s="44" t="s">
        <v>1382</v>
      </c>
      <c r="AA3660" s="323">
        <v>64</v>
      </c>
      <c r="AB3660" s="323">
        <v>14</v>
      </c>
      <c r="AC3660" s="32" t="s">
        <v>240</v>
      </c>
      <c r="AD3660" s="32">
        <v>5.08</v>
      </c>
      <c r="AE3660" s="32">
        <v>0.44</v>
      </c>
      <c r="AH3660" s="32" t="s">
        <v>3380</v>
      </c>
      <c r="AI3660" s="32" t="s">
        <v>577</v>
      </c>
      <c r="AJ3660" s="32" t="s">
        <v>1645</v>
      </c>
      <c r="AK3660" s="32" t="s">
        <v>132</v>
      </c>
      <c r="AW3660" s="32" t="s">
        <v>3375</v>
      </c>
      <c r="AX3660" s="32">
        <v>4</v>
      </c>
      <c r="AZ3660" s="32" t="s">
        <v>141</v>
      </c>
      <c r="BK3660" s="32">
        <v>2100</v>
      </c>
      <c r="BL3660" s="32">
        <v>3600</v>
      </c>
      <c r="BP3660" s="397"/>
      <c r="BQ3660" s="397"/>
      <c r="BU3660" s="397"/>
      <c r="BV3660" s="397"/>
      <c r="BZ3660" s="397"/>
      <c r="CA3660" s="397"/>
      <c r="CE3660" s="550"/>
      <c r="CF3660" s="550"/>
      <c r="CG3660" s="550"/>
      <c r="CH3660" s="550"/>
      <c r="GF3660" s="32">
        <v>7.7</v>
      </c>
      <c r="GG3660" s="32">
        <v>12</v>
      </c>
      <c r="GJ3660" s="32" t="s">
        <v>3387</v>
      </c>
      <c r="JD3660" s="243"/>
    </row>
    <row r="3661" spans="1:264" s="32" customFormat="1" x14ac:dyDescent="0.25">
      <c r="A3661" s="32">
        <v>168</v>
      </c>
      <c r="B3661" s="44" t="s">
        <v>3384</v>
      </c>
      <c r="C3661" s="32" t="s">
        <v>3323</v>
      </c>
      <c r="D3661" s="32" t="s">
        <v>3358</v>
      </c>
      <c r="E3661" s="32">
        <v>2005</v>
      </c>
      <c r="F3661" s="32">
        <v>2002</v>
      </c>
      <c r="G3661" s="32" t="s">
        <v>3367</v>
      </c>
      <c r="H3661" s="32" t="s">
        <v>3368</v>
      </c>
      <c r="I3661" s="32" t="s">
        <v>2829</v>
      </c>
      <c r="J3661" s="32">
        <v>-13.13</v>
      </c>
      <c r="K3661" s="32">
        <v>27.85</v>
      </c>
      <c r="L3661" s="32">
        <v>1204.5</v>
      </c>
      <c r="P3661" s="32">
        <v>850</v>
      </c>
      <c r="R3661" s="44" t="s">
        <v>1847</v>
      </c>
      <c r="S3661" s="44" t="s">
        <v>1728</v>
      </c>
      <c r="T3661" s="44"/>
      <c r="U3661" s="44" t="s">
        <v>1864</v>
      </c>
      <c r="V3661" s="44" t="s">
        <v>1382</v>
      </c>
      <c r="W3661" s="44" t="s">
        <v>1717</v>
      </c>
      <c r="X3661" s="44" t="s">
        <v>1382</v>
      </c>
      <c r="Y3661" s="44" t="s">
        <v>1382</v>
      </c>
      <c r="AA3661" s="323">
        <v>64</v>
      </c>
      <c r="AB3661" s="323">
        <v>14</v>
      </c>
      <c r="AC3661" s="32" t="s">
        <v>240</v>
      </c>
      <c r="AD3661" s="32">
        <v>5.08</v>
      </c>
      <c r="AE3661" s="32">
        <v>0.44</v>
      </c>
      <c r="AH3661" s="32" t="s">
        <v>3381</v>
      </c>
      <c r="AI3661" s="32" t="s">
        <v>577</v>
      </c>
      <c r="AJ3661" s="32" t="s">
        <v>1645</v>
      </c>
      <c r="AK3661" s="32" t="s">
        <v>132</v>
      </c>
      <c r="AW3661" s="32" t="s">
        <v>3375</v>
      </c>
      <c r="AX3661" s="32">
        <v>4</v>
      </c>
      <c r="AZ3661" s="32" t="s">
        <v>141</v>
      </c>
      <c r="BK3661" s="32">
        <v>2100</v>
      </c>
      <c r="BL3661" s="32">
        <v>3600</v>
      </c>
      <c r="BP3661" s="397"/>
      <c r="BQ3661" s="397"/>
      <c r="BU3661" s="397"/>
      <c r="BV3661" s="397"/>
      <c r="BZ3661" s="397"/>
      <c r="CA3661" s="397"/>
      <c r="CE3661" s="550"/>
      <c r="CF3661" s="550"/>
      <c r="CG3661" s="550"/>
      <c r="CH3661" s="550"/>
      <c r="GF3661" s="32">
        <v>7.7</v>
      </c>
      <c r="GG3661" s="32">
        <v>8.3000000000000007</v>
      </c>
      <c r="GJ3661" s="32" t="s">
        <v>3387</v>
      </c>
      <c r="JD3661" s="243"/>
    </row>
    <row r="3662" spans="1:264" s="32" customFormat="1" x14ac:dyDescent="0.25">
      <c r="A3662" s="32">
        <v>168</v>
      </c>
      <c r="B3662" s="44" t="s">
        <v>3384</v>
      </c>
      <c r="C3662" s="32" t="s">
        <v>3323</v>
      </c>
      <c r="D3662" s="32" t="s">
        <v>3358</v>
      </c>
      <c r="E3662" s="32">
        <v>2005</v>
      </c>
      <c r="F3662" s="32">
        <v>2002</v>
      </c>
      <c r="G3662" s="32" t="s">
        <v>3367</v>
      </c>
      <c r="H3662" s="32" t="s">
        <v>3368</v>
      </c>
      <c r="I3662" s="32" t="s">
        <v>2829</v>
      </c>
      <c r="J3662" s="32">
        <v>-13.13</v>
      </c>
      <c r="K3662" s="32">
        <v>27.85</v>
      </c>
      <c r="L3662" s="32">
        <v>1204.5</v>
      </c>
      <c r="P3662" s="32">
        <v>850</v>
      </c>
      <c r="R3662" s="44" t="s">
        <v>1847</v>
      </c>
      <c r="S3662" s="44" t="s">
        <v>1728</v>
      </c>
      <c r="T3662" s="44"/>
      <c r="U3662" s="44" t="s">
        <v>1864</v>
      </c>
      <c r="V3662" s="44" t="s">
        <v>1382</v>
      </c>
      <c r="W3662" s="44" t="s">
        <v>1717</v>
      </c>
      <c r="X3662" s="44" t="s">
        <v>1382</v>
      </c>
      <c r="Y3662" s="44" t="s">
        <v>1382</v>
      </c>
      <c r="AA3662" s="323">
        <v>64</v>
      </c>
      <c r="AB3662" s="323">
        <v>14</v>
      </c>
      <c r="AC3662" s="32" t="s">
        <v>240</v>
      </c>
      <c r="AD3662" s="32">
        <v>5.08</v>
      </c>
      <c r="AE3662" s="32">
        <v>0.44</v>
      </c>
      <c r="AH3662" s="32" t="s">
        <v>3382</v>
      </c>
      <c r="AI3662" s="32" t="s">
        <v>577</v>
      </c>
      <c r="AJ3662" s="32" t="s">
        <v>1645</v>
      </c>
      <c r="AK3662" s="32" t="s">
        <v>132</v>
      </c>
      <c r="AW3662" s="32" t="s">
        <v>3375</v>
      </c>
      <c r="AX3662" s="32">
        <v>4</v>
      </c>
      <c r="AZ3662" s="32" t="s">
        <v>141</v>
      </c>
      <c r="BK3662" s="32">
        <v>2100</v>
      </c>
      <c r="BL3662" s="32">
        <v>3500</v>
      </c>
      <c r="BP3662" s="397"/>
      <c r="BQ3662" s="397"/>
      <c r="BU3662" s="397"/>
      <c r="BV3662" s="397"/>
      <c r="BZ3662" s="397"/>
      <c r="CA3662" s="397"/>
      <c r="CE3662" s="550"/>
      <c r="CF3662" s="550"/>
      <c r="CG3662" s="550"/>
      <c r="CH3662" s="550"/>
      <c r="GF3662" s="32">
        <v>7.7</v>
      </c>
      <c r="GG3662" s="32">
        <v>3.9</v>
      </c>
      <c r="GJ3662" s="32" t="s">
        <v>3387</v>
      </c>
      <c r="JD3662" s="243"/>
    </row>
    <row r="3663" spans="1:264" s="32" customFormat="1" x14ac:dyDescent="0.25">
      <c r="A3663" s="32">
        <v>168</v>
      </c>
      <c r="B3663" s="44" t="s">
        <v>3384</v>
      </c>
      <c r="C3663" s="32" t="s">
        <v>3323</v>
      </c>
      <c r="D3663" s="32" t="s">
        <v>3358</v>
      </c>
      <c r="E3663" s="32">
        <v>2005</v>
      </c>
      <c r="F3663" s="32">
        <v>2002</v>
      </c>
      <c r="G3663" s="32" t="s">
        <v>3367</v>
      </c>
      <c r="H3663" s="32" t="s">
        <v>3368</v>
      </c>
      <c r="I3663" s="32" t="s">
        <v>2829</v>
      </c>
      <c r="J3663" s="32">
        <v>-13.13</v>
      </c>
      <c r="K3663" s="32">
        <v>27.85</v>
      </c>
      <c r="L3663" s="32">
        <v>1204.5</v>
      </c>
      <c r="P3663" s="32">
        <v>850</v>
      </c>
      <c r="R3663" s="44" t="s">
        <v>1847</v>
      </c>
      <c r="S3663" s="44" t="s">
        <v>1728</v>
      </c>
      <c r="T3663" s="44"/>
      <c r="U3663" s="44" t="s">
        <v>1864</v>
      </c>
      <c r="V3663" s="44" t="s">
        <v>1382</v>
      </c>
      <c r="W3663" s="44" t="s">
        <v>1717</v>
      </c>
      <c r="X3663" s="44" t="s">
        <v>1382</v>
      </c>
      <c r="Y3663" s="44" t="s">
        <v>1382</v>
      </c>
      <c r="AA3663" s="323">
        <v>64</v>
      </c>
      <c r="AB3663" s="323">
        <v>14</v>
      </c>
      <c r="AC3663" s="32" t="s">
        <v>240</v>
      </c>
      <c r="AD3663" s="32">
        <v>5.08</v>
      </c>
      <c r="AE3663" s="32">
        <v>0.44</v>
      </c>
      <c r="AH3663" s="32" t="s">
        <v>3377</v>
      </c>
      <c r="AI3663" s="32" t="s">
        <v>577</v>
      </c>
      <c r="AJ3663" s="32" t="s">
        <v>1645</v>
      </c>
      <c r="AK3663" s="32" t="s">
        <v>132</v>
      </c>
      <c r="AW3663" s="32" t="s">
        <v>3376</v>
      </c>
      <c r="AX3663" s="32">
        <v>4</v>
      </c>
      <c r="AZ3663" s="32" t="s">
        <v>141</v>
      </c>
      <c r="BK3663" s="32">
        <v>1500</v>
      </c>
      <c r="BL3663" s="32">
        <v>2800</v>
      </c>
      <c r="BP3663" s="397"/>
      <c r="BQ3663" s="397"/>
      <c r="BU3663" s="397"/>
      <c r="BV3663" s="397"/>
      <c r="BZ3663" s="397"/>
      <c r="CA3663" s="397"/>
      <c r="CE3663" s="550"/>
      <c r="CF3663" s="550"/>
      <c r="CG3663" s="550"/>
      <c r="CH3663" s="550"/>
      <c r="GF3663" s="32">
        <v>12.9</v>
      </c>
      <c r="GG3663" s="32">
        <v>26.2</v>
      </c>
      <c r="GJ3663" s="32" t="s">
        <v>3387</v>
      </c>
      <c r="JD3663" s="243"/>
    </row>
    <row r="3664" spans="1:264" s="32" customFormat="1" x14ac:dyDescent="0.25">
      <c r="A3664" s="32">
        <v>168</v>
      </c>
      <c r="B3664" s="44" t="s">
        <v>3384</v>
      </c>
      <c r="C3664" s="32" t="s">
        <v>3323</v>
      </c>
      <c r="D3664" s="32" t="s">
        <v>3358</v>
      </c>
      <c r="E3664" s="32">
        <v>2005</v>
      </c>
      <c r="F3664" s="32">
        <v>2002</v>
      </c>
      <c r="G3664" s="32" t="s">
        <v>3367</v>
      </c>
      <c r="H3664" s="32" t="s">
        <v>3368</v>
      </c>
      <c r="I3664" s="32" t="s">
        <v>2829</v>
      </c>
      <c r="J3664" s="32">
        <v>-13.13</v>
      </c>
      <c r="K3664" s="32">
        <v>27.85</v>
      </c>
      <c r="L3664" s="32">
        <v>1204.5</v>
      </c>
      <c r="P3664" s="32">
        <v>850</v>
      </c>
      <c r="R3664" s="44" t="s">
        <v>1847</v>
      </c>
      <c r="S3664" s="44" t="s">
        <v>1728</v>
      </c>
      <c r="T3664" s="44"/>
      <c r="U3664" s="44" t="s">
        <v>1864</v>
      </c>
      <c r="V3664" s="44" t="s">
        <v>1382</v>
      </c>
      <c r="W3664" s="44" t="s">
        <v>1717</v>
      </c>
      <c r="X3664" s="44" t="s">
        <v>1382</v>
      </c>
      <c r="Y3664" s="44" t="s">
        <v>1382</v>
      </c>
      <c r="AA3664" s="323">
        <v>64</v>
      </c>
      <c r="AB3664" s="323">
        <v>14</v>
      </c>
      <c r="AC3664" s="32" t="s">
        <v>240</v>
      </c>
      <c r="AD3664" s="32">
        <v>5.08</v>
      </c>
      <c r="AE3664" s="32">
        <v>0.44</v>
      </c>
      <c r="AH3664" s="32" t="s">
        <v>2918</v>
      </c>
      <c r="AI3664" s="32" t="s">
        <v>577</v>
      </c>
      <c r="AJ3664" s="32" t="s">
        <v>1645</v>
      </c>
      <c r="AK3664" s="32" t="s">
        <v>132</v>
      </c>
      <c r="AW3664" s="32" t="s">
        <v>3376</v>
      </c>
      <c r="AX3664" s="32">
        <v>4</v>
      </c>
      <c r="AZ3664" s="32" t="s">
        <v>141</v>
      </c>
      <c r="BK3664" s="32">
        <v>1500</v>
      </c>
      <c r="BL3664" s="32">
        <v>4700</v>
      </c>
      <c r="BP3664" s="397"/>
      <c r="BQ3664" s="397"/>
      <c r="BU3664" s="397"/>
      <c r="BV3664" s="397"/>
      <c r="BZ3664" s="397"/>
      <c r="CA3664" s="397"/>
      <c r="CE3664" s="550"/>
      <c r="CF3664" s="550"/>
      <c r="CG3664" s="550"/>
      <c r="CH3664" s="550"/>
      <c r="GF3664" s="32">
        <v>12.9</v>
      </c>
      <c r="GG3664" s="32">
        <v>11.5</v>
      </c>
      <c r="GJ3664" s="32" t="s">
        <v>3387</v>
      </c>
      <c r="JD3664" s="243"/>
    </row>
    <row r="3665" spans="1:264" s="32" customFormat="1" x14ac:dyDescent="0.25">
      <c r="A3665" s="32">
        <v>168</v>
      </c>
      <c r="B3665" s="44" t="s">
        <v>3384</v>
      </c>
      <c r="C3665" s="32" t="s">
        <v>3323</v>
      </c>
      <c r="D3665" s="32" t="s">
        <v>3358</v>
      </c>
      <c r="E3665" s="32">
        <v>2005</v>
      </c>
      <c r="F3665" s="32">
        <v>2002</v>
      </c>
      <c r="G3665" s="32" t="s">
        <v>3367</v>
      </c>
      <c r="H3665" s="32" t="s">
        <v>3368</v>
      </c>
      <c r="I3665" s="32" t="s">
        <v>2829</v>
      </c>
      <c r="J3665" s="32">
        <v>-13.13</v>
      </c>
      <c r="K3665" s="32">
        <v>27.85</v>
      </c>
      <c r="L3665" s="32">
        <v>1204.5</v>
      </c>
      <c r="P3665" s="32">
        <v>850</v>
      </c>
      <c r="R3665" s="44" t="s">
        <v>1847</v>
      </c>
      <c r="S3665" s="44" t="s">
        <v>1728</v>
      </c>
      <c r="T3665" s="44"/>
      <c r="U3665" s="44" t="s">
        <v>1864</v>
      </c>
      <c r="V3665" s="44" t="s">
        <v>1382</v>
      </c>
      <c r="W3665" s="44" t="s">
        <v>1717</v>
      </c>
      <c r="X3665" s="44" t="s">
        <v>1382</v>
      </c>
      <c r="Y3665" s="44" t="s">
        <v>1382</v>
      </c>
      <c r="AA3665" s="323">
        <v>64</v>
      </c>
      <c r="AB3665" s="323">
        <v>14</v>
      </c>
      <c r="AC3665" s="32" t="s">
        <v>240</v>
      </c>
      <c r="AD3665" s="32">
        <v>5.08</v>
      </c>
      <c r="AE3665" s="32">
        <v>0.44</v>
      </c>
      <c r="AH3665" s="32" t="s">
        <v>3165</v>
      </c>
      <c r="AI3665" s="32" t="s">
        <v>577</v>
      </c>
      <c r="AJ3665" s="32" t="s">
        <v>1645</v>
      </c>
      <c r="AK3665" s="32" t="s">
        <v>132</v>
      </c>
      <c r="AW3665" s="32" t="s">
        <v>3376</v>
      </c>
      <c r="AX3665" s="32">
        <v>4</v>
      </c>
      <c r="AZ3665" s="32" t="s">
        <v>141</v>
      </c>
      <c r="BK3665" s="32">
        <v>1500</v>
      </c>
      <c r="BL3665" s="32">
        <v>3200</v>
      </c>
      <c r="BP3665" s="397"/>
      <c r="BQ3665" s="397"/>
      <c r="BU3665" s="397"/>
      <c r="BV3665" s="397"/>
      <c r="BZ3665" s="397"/>
      <c r="CA3665" s="397"/>
      <c r="CE3665" s="550"/>
      <c r="CF3665" s="550"/>
      <c r="CG3665" s="550"/>
      <c r="CH3665" s="550"/>
      <c r="GF3665" s="32">
        <v>12.9</v>
      </c>
      <c r="GG3665" s="32">
        <v>10.8</v>
      </c>
      <c r="GJ3665" s="32" t="s">
        <v>3387</v>
      </c>
      <c r="JD3665" s="243"/>
    </row>
    <row r="3666" spans="1:264" s="32" customFormat="1" x14ac:dyDescent="0.25">
      <c r="A3666" s="32">
        <v>168</v>
      </c>
      <c r="B3666" s="44" t="s">
        <v>3384</v>
      </c>
      <c r="C3666" s="32" t="s">
        <v>3323</v>
      </c>
      <c r="D3666" s="32" t="s">
        <v>3358</v>
      </c>
      <c r="E3666" s="32">
        <v>2005</v>
      </c>
      <c r="F3666" s="32">
        <v>2002</v>
      </c>
      <c r="G3666" s="32" t="s">
        <v>3367</v>
      </c>
      <c r="H3666" s="32" t="s">
        <v>3368</v>
      </c>
      <c r="I3666" s="32" t="s">
        <v>2829</v>
      </c>
      <c r="J3666" s="32">
        <v>-13.13</v>
      </c>
      <c r="K3666" s="32">
        <v>27.85</v>
      </c>
      <c r="L3666" s="32">
        <v>1204.5</v>
      </c>
      <c r="P3666" s="32">
        <v>850</v>
      </c>
      <c r="R3666" s="44" t="s">
        <v>1847</v>
      </c>
      <c r="S3666" s="44" t="s">
        <v>1728</v>
      </c>
      <c r="T3666" s="44"/>
      <c r="U3666" s="44" t="s">
        <v>1864</v>
      </c>
      <c r="V3666" s="44" t="s">
        <v>1382</v>
      </c>
      <c r="W3666" s="44" t="s">
        <v>1717</v>
      </c>
      <c r="X3666" s="44" t="s">
        <v>1382</v>
      </c>
      <c r="Y3666" s="44" t="s">
        <v>1382</v>
      </c>
      <c r="AA3666" s="323">
        <v>64</v>
      </c>
      <c r="AB3666" s="323">
        <v>14</v>
      </c>
      <c r="AC3666" s="32" t="s">
        <v>240</v>
      </c>
      <c r="AD3666" s="32">
        <v>5.08</v>
      </c>
      <c r="AE3666" s="32">
        <v>0.44</v>
      </c>
      <c r="AH3666" s="32" t="s">
        <v>3378</v>
      </c>
      <c r="AI3666" s="32" t="s">
        <v>577</v>
      </c>
      <c r="AJ3666" s="32" t="s">
        <v>1645</v>
      </c>
      <c r="AK3666" s="32" t="s">
        <v>132</v>
      </c>
      <c r="AW3666" s="32" t="s">
        <v>3376</v>
      </c>
      <c r="AX3666" s="32">
        <v>4</v>
      </c>
      <c r="AZ3666" s="32" t="s">
        <v>141</v>
      </c>
      <c r="BK3666" s="32">
        <v>1500</v>
      </c>
      <c r="BL3666" s="32">
        <v>3000</v>
      </c>
      <c r="BP3666" s="397"/>
      <c r="BQ3666" s="397"/>
      <c r="BU3666" s="397"/>
      <c r="BV3666" s="397"/>
      <c r="BZ3666" s="397"/>
      <c r="CA3666" s="397"/>
      <c r="CE3666" s="550"/>
      <c r="CF3666" s="550"/>
      <c r="CG3666" s="550"/>
      <c r="CH3666" s="550"/>
      <c r="GF3666" s="32">
        <v>12.9</v>
      </c>
      <c r="GG3666" s="32">
        <v>6.8</v>
      </c>
      <c r="GJ3666" s="32" t="s">
        <v>3387</v>
      </c>
      <c r="JD3666" s="243"/>
    </row>
    <row r="3667" spans="1:264" s="32" customFormat="1" x14ac:dyDescent="0.25">
      <c r="A3667" s="32">
        <v>168</v>
      </c>
      <c r="B3667" s="44" t="s">
        <v>3384</v>
      </c>
      <c r="C3667" s="32" t="s">
        <v>3323</v>
      </c>
      <c r="D3667" s="32" t="s">
        <v>3358</v>
      </c>
      <c r="E3667" s="32">
        <v>2005</v>
      </c>
      <c r="F3667" s="32">
        <v>2002</v>
      </c>
      <c r="G3667" s="32" t="s">
        <v>3367</v>
      </c>
      <c r="H3667" s="32" t="s">
        <v>3368</v>
      </c>
      <c r="I3667" s="32" t="s">
        <v>2829</v>
      </c>
      <c r="J3667" s="32">
        <v>-13.13</v>
      </c>
      <c r="K3667" s="32">
        <v>27.85</v>
      </c>
      <c r="L3667" s="32">
        <v>1204.5</v>
      </c>
      <c r="P3667" s="32">
        <v>850</v>
      </c>
      <c r="R3667" s="44" t="s">
        <v>1847</v>
      </c>
      <c r="S3667" s="44" t="s">
        <v>1728</v>
      </c>
      <c r="T3667" s="44"/>
      <c r="U3667" s="44" t="s">
        <v>1864</v>
      </c>
      <c r="V3667" s="44" t="s">
        <v>1382</v>
      </c>
      <c r="W3667" s="44" t="s">
        <v>1717</v>
      </c>
      <c r="X3667" s="44" t="s">
        <v>1382</v>
      </c>
      <c r="Y3667" s="44" t="s">
        <v>1382</v>
      </c>
      <c r="AA3667" s="323">
        <v>64</v>
      </c>
      <c r="AB3667" s="323">
        <v>14</v>
      </c>
      <c r="AC3667" s="32" t="s">
        <v>240</v>
      </c>
      <c r="AD3667" s="32">
        <v>5.08</v>
      </c>
      <c r="AE3667" s="32">
        <v>0.44</v>
      </c>
      <c r="AH3667" s="32" t="s">
        <v>3379</v>
      </c>
      <c r="AI3667" s="32" t="s">
        <v>577</v>
      </c>
      <c r="AJ3667" s="32" t="s">
        <v>1645</v>
      </c>
      <c r="AK3667" s="32" t="s">
        <v>132</v>
      </c>
      <c r="AW3667" s="32" t="s">
        <v>3376</v>
      </c>
      <c r="AX3667" s="32">
        <v>4</v>
      </c>
      <c r="AZ3667" s="32" t="s">
        <v>141</v>
      </c>
      <c r="BK3667" s="32">
        <v>1500</v>
      </c>
      <c r="BL3667" s="32">
        <v>3500</v>
      </c>
      <c r="BP3667" s="397"/>
      <c r="BQ3667" s="397"/>
      <c r="BU3667" s="397"/>
      <c r="BV3667" s="397"/>
      <c r="BZ3667" s="397"/>
      <c r="CA3667" s="397"/>
      <c r="CE3667" s="550"/>
      <c r="CF3667" s="550"/>
      <c r="CG3667" s="550"/>
      <c r="CH3667" s="550"/>
      <c r="GF3667" s="32">
        <v>12.9</v>
      </c>
      <c r="GG3667" s="32">
        <v>9</v>
      </c>
      <c r="GJ3667" s="32" t="s">
        <v>3387</v>
      </c>
      <c r="JD3667" s="243"/>
    </row>
    <row r="3668" spans="1:264" s="32" customFormat="1" x14ac:dyDescent="0.25">
      <c r="A3668" s="32">
        <v>168</v>
      </c>
      <c r="B3668" s="44" t="s">
        <v>3384</v>
      </c>
      <c r="C3668" s="32" t="s">
        <v>3323</v>
      </c>
      <c r="D3668" s="32" t="s">
        <v>3358</v>
      </c>
      <c r="E3668" s="32">
        <v>2005</v>
      </c>
      <c r="F3668" s="32">
        <v>2002</v>
      </c>
      <c r="G3668" s="32" t="s">
        <v>3367</v>
      </c>
      <c r="H3668" s="32" t="s">
        <v>3368</v>
      </c>
      <c r="I3668" s="32" t="s">
        <v>2829</v>
      </c>
      <c r="J3668" s="32">
        <v>-13.13</v>
      </c>
      <c r="K3668" s="32">
        <v>27.85</v>
      </c>
      <c r="L3668" s="32">
        <v>1204.5</v>
      </c>
      <c r="P3668" s="32">
        <v>850</v>
      </c>
      <c r="R3668" s="44" t="s">
        <v>1847</v>
      </c>
      <c r="S3668" s="44" t="s">
        <v>1728</v>
      </c>
      <c r="T3668" s="44"/>
      <c r="U3668" s="44" t="s">
        <v>1864</v>
      </c>
      <c r="V3668" s="44" t="s">
        <v>1382</v>
      </c>
      <c r="W3668" s="44" t="s">
        <v>1717</v>
      </c>
      <c r="X3668" s="44" t="s">
        <v>1382</v>
      </c>
      <c r="Y3668" s="44" t="s">
        <v>1382</v>
      </c>
      <c r="AA3668" s="323">
        <v>64</v>
      </c>
      <c r="AB3668" s="323">
        <v>14</v>
      </c>
      <c r="AC3668" s="32" t="s">
        <v>240</v>
      </c>
      <c r="AD3668" s="32">
        <v>5.08</v>
      </c>
      <c r="AE3668" s="32">
        <v>0.44</v>
      </c>
      <c r="AH3668" s="32" t="s">
        <v>3380</v>
      </c>
      <c r="AI3668" s="32" t="s">
        <v>577</v>
      </c>
      <c r="AJ3668" s="32" t="s">
        <v>1645</v>
      </c>
      <c r="AK3668" s="32" t="s">
        <v>132</v>
      </c>
      <c r="AW3668" s="32" t="s">
        <v>3376</v>
      </c>
      <c r="AX3668" s="32">
        <v>4</v>
      </c>
      <c r="AZ3668" s="32" t="s">
        <v>141</v>
      </c>
      <c r="BK3668" s="32">
        <v>1500</v>
      </c>
      <c r="BL3668" s="32">
        <v>3600</v>
      </c>
      <c r="BP3668" s="397"/>
      <c r="BQ3668" s="397"/>
      <c r="BU3668" s="397"/>
      <c r="BV3668" s="397"/>
      <c r="BZ3668" s="397"/>
      <c r="CA3668" s="397"/>
      <c r="CE3668" s="550"/>
      <c r="CF3668" s="550"/>
      <c r="CG3668" s="550"/>
      <c r="CH3668" s="550"/>
      <c r="GF3668" s="32">
        <v>12.9</v>
      </c>
      <c r="GG3668" s="32">
        <v>12</v>
      </c>
      <c r="GJ3668" s="32" t="s">
        <v>3387</v>
      </c>
      <c r="JD3668" s="243"/>
    </row>
    <row r="3669" spans="1:264" s="32" customFormat="1" x14ac:dyDescent="0.25">
      <c r="A3669" s="32">
        <v>168</v>
      </c>
      <c r="B3669" s="44" t="s">
        <v>3384</v>
      </c>
      <c r="C3669" s="32" t="s">
        <v>3323</v>
      </c>
      <c r="D3669" s="32" t="s">
        <v>3358</v>
      </c>
      <c r="E3669" s="32">
        <v>2005</v>
      </c>
      <c r="F3669" s="32">
        <v>2002</v>
      </c>
      <c r="G3669" s="32" t="s">
        <v>3367</v>
      </c>
      <c r="H3669" s="32" t="s">
        <v>3368</v>
      </c>
      <c r="I3669" s="32" t="s">
        <v>2829</v>
      </c>
      <c r="J3669" s="32">
        <v>-13.13</v>
      </c>
      <c r="K3669" s="32">
        <v>27.85</v>
      </c>
      <c r="L3669" s="32">
        <v>1204.5</v>
      </c>
      <c r="P3669" s="32">
        <v>850</v>
      </c>
      <c r="R3669" s="44" t="s">
        <v>1847</v>
      </c>
      <c r="S3669" s="44" t="s">
        <v>1728</v>
      </c>
      <c r="T3669" s="44"/>
      <c r="U3669" s="44" t="s">
        <v>1864</v>
      </c>
      <c r="V3669" s="44" t="s">
        <v>1382</v>
      </c>
      <c r="W3669" s="44" t="s">
        <v>1717</v>
      </c>
      <c r="X3669" s="44" t="s">
        <v>1382</v>
      </c>
      <c r="Y3669" s="44" t="s">
        <v>1382</v>
      </c>
      <c r="AA3669" s="323">
        <v>64</v>
      </c>
      <c r="AB3669" s="323">
        <v>14</v>
      </c>
      <c r="AC3669" s="32" t="s">
        <v>240</v>
      </c>
      <c r="AD3669" s="32">
        <v>5.08</v>
      </c>
      <c r="AE3669" s="32">
        <v>0.44</v>
      </c>
      <c r="AH3669" s="32" t="s">
        <v>3381</v>
      </c>
      <c r="AI3669" s="32" t="s">
        <v>577</v>
      </c>
      <c r="AJ3669" s="32" t="s">
        <v>1645</v>
      </c>
      <c r="AK3669" s="32" t="s">
        <v>132</v>
      </c>
      <c r="AW3669" s="32" t="s">
        <v>3376</v>
      </c>
      <c r="AX3669" s="32">
        <v>4</v>
      </c>
      <c r="AZ3669" s="32" t="s">
        <v>141</v>
      </c>
      <c r="BK3669" s="32">
        <v>1500</v>
      </c>
      <c r="BL3669" s="32">
        <v>3600</v>
      </c>
      <c r="BP3669" s="397"/>
      <c r="BQ3669" s="397"/>
      <c r="BU3669" s="397"/>
      <c r="BV3669" s="397"/>
      <c r="BZ3669" s="397"/>
      <c r="CA3669" s="397"/>
      <c r="CE3669" s="550"/>
      <c r="CF3669" s="550"/>
      <c r="CG3669" s="550"/>
      <c r="CH3669" s="550"/>
      <c r="GF3669" s="32">
        <v>12.9</v>
      </c>
      <c r="GG3669" s="32">
        <v>8.3000000000000007</v>
      </c>
      <c r="GJ3669" s="32" t="s">
        <v>3387</v>
      </c>
      <c r="JD3669" s="243"/>
    </row>
    <row r="3670" spans="1:264" s="32" customFormat="1" x14ac:dyDescent="0.25">
      <c r="A3670" s="32">
        <v>168</v>
      </c>
      <c r="B3670" s="44" t="s">
        <v>3384</v>
      </c>
      <c r="C3670" s="32" t="s">
        <v>3323</v>
      </c>
      <c r="D3670" s="32" t="s">
        <v>3358</v>
      </c>
      <c r="E3670" s="32">
        <v>2005</v>
      </c>
      <c r="F3670" s="32">
        <v>2002</v>
      </c>
      <c r="G3670" s="32" t="s">
        <v>3367</v>
      </c>
      <c r="H3670" s="32" t="s">
        <v>3368</v>
      </c>
      <c r="I3670" s="32" t="s">
        <v>2829</v>
      </c>
      <c r="J3670" s="32">
        <v>-13.13</v>
      </c>
      <c r="K3670" s="32">
        <v>27.85</v>
      </c>
      <c r="L3670" s="32">
        <v>1204.5</v>
      </c>
      <c r="P3670" s="32">
        <v>850</v>
      </c>
      <c r="R3670" s="44" t="s">
        <v>1847</v>
      </c>
      <c r="S3670" s="44" t="s">
        <v>1728</v>
      </c>
      <c r="T3670" s="44"/>
      <c r="U3670" s="44" t="s">
        <v>1864</v>
      </c>
      <c r="V3670" s="44" t="s">
        <v>1382</v>
      </c>
      <c r="W3670" s="44" t="s">
        <v>1717</v>
      </c>
      <c r="X3670" s="44" t="s">
        <v>1382</v>
      </c>
      <c r="Y3670" s="44" t="s">
        <v>1382</v>
      </c>
      <c r="AA3670" s="323">
        <v>64</v>
      </c>
      <c r="AB3670" s="323">
        <v>14</v>
      </c>
      <c r="AC3670" s="32" t="s">
        <v>240</v>
      </c>
      <c r="AD3670" s="32">
        <v>5.08</v>
      </c>
      <c r="AE3670" s="32">
        <v>0.44</v>
      </c>
      <c r="AH3670" s="32" t="s">
        <v>3382</v>
      </c>
      <c r="AI3670" s="32" t="s">
        <v>577</v>
      </c>
      <c r="AJ3670" s="32" t="s">
        <v>1645</v>
      </c>
      <c r="AK3670" s="32" t="s">
        <v>132</v>
      </c>
      <c r="AW3670" s="32" t="s">
        <v>3376</v>
      </c>
      <c r="AX3670" s="32">
        <v>4</v>
      </c>
      <c r="AZ3670" s="32" t="s">
        <v>141</v>
      </c>
      <c r="BK3670" s="32">
        <v>1500</v>
      </c>
      <c r="BL3670" s="32">
        <v>3500</v>
      </c>
      <c r="BP3670" s="397"/>
      <c r="BQ3670" s="397"/>
      <c r="BU3670" s="397"/>
      <c r="BV3670" s="397"/>
      <c r="BZ3670" s="397"/>
      <c r="CA3670" s="397"/>
      <c r="CE3670" s="550"/>
      <c r="CF3670" s="550"/>
      <c r="CG3670" s="550"/>
      <c r="CH3670" s="550"/>
      <c r="GF3670" s="32">
        <v>12.9</v>
      </c>
      <c r="GG3670" s="32">
        <v>3.9</v>
      </c>
      <c r="GJ3670" s="32" t="s">
        <v>3387</v>
      </c>
      <c r="JD3670" s="243"/>
    </row>
    <row r="3671" spans="1:264" s="24" customFormat="1" x14ac:dyDescent="0.25">
      <c r="A3671" s="24">
        <v>168</v>
      </c>
      <c r="B3671" s="42" t="s">
        <v>3385</v>
      </c>
      <c r="C3671" s="24" t="s">
        <v>3323</v>
      </c>
      <c r="D3671" s="24" t="s">
        <v>3358</v>
      </c>
      <c r="E3671" s="24">
        <v>2005</v>
      </c>
      <c r="F3671" s="24">
        <v>2002</v>
      </c>
      <c r="G3671" s="24" t="s">
        <v>3367</v>
      </c>
      <c r="H3671" s="24" t="s">
        <v>3369</v>
      </c>
      <c r="I3671" s="24" t="s">
        <v>2829</v>
      </c>
      <c r="J3671" s="24">
        <v>-13.25</v>
      </c>
      <c r="K3671" s="24">
        <v>32.6</v>
      </c>
      <c r="L3671" s="24">
        <v>1015</v>
      </c>
      <c r="N3671" s="24">
        <v>20.5</v>
      </c>
      <c r="P3671" s="24">
        <v>960</v>
      </c>
      <c r="R3671" s="42" t="s">
        <v>1847</v>
      </c>
      <c r="S3671" s="42" t="s">
        <v>1728</v>
      </c>
      <c r="T3671" s="42"/>
      <c r="U3671" s="42" t="s">
        <v>1864</v>
      </c>
      <c r="V3671" s="42" t="s">
        <v>1382</v>
      </c>
      <c r="W3671" s="42" t="s">
        <v>1717</v>
      </c>
      <c r="X3671" s="42" t="s">
        <v>1382</v>
      </c>
      <c r="Y3671" s="42" t="s">
        <v>1382</v>
      </c>
      <c r="AA3671" s="321">
        <v>71</v>
      </c>
      <c r="AB3671" s="321">
        <v>12</v>
      </c>
      <c r="AC3671" s="24" t="s">
        <v>175</v>
      </c>
      <c r="AD3671" s="24">
        <v>4.51</v>
      </c>
      <c r="AE3671" s="24">
        <v>0.74</v>
      </c>
      <c r="AG3671" s="24" t="s">
        <v>2755</v>
      </c>
      <c r="AH3671" s="24" t="s">
        <v>3377</v>
      </c>
      <c r="AI3671" s="24" t="s">
        <v>577</v>
      </c>
      <c r="AJ3671" s="24" t="s">
        <v>1645</v>
      </c>
      <c r="AK3671" s="24" t="s">
        <v>132</v>
      </c>
      <c r="AW3671" s="24" t="s">
        <v>3375</v>
      </c>
      <c r="AX3671" s="24">
        <v>4</v>
      </c>
      <c r="AZ3671" s="24" t="s">
        <v>141</v>
      </c>
      <c r="BK3671" s="24">
        <v>800</v>
      </c>
      <c r="BL3671" s="24">
        <v>2800</v>
      </c>
      <c r="BP3671" s="395"/>
      <c r="BQ3671" s="395"/>
      <c r="BU3671" s="395"/>
      <c r="BV3671" s="395"/>
      <c r="BZ3671" s="395"/>
      <c r="CA3671" s="395"/>
      <c r="CE3671" s="548"/>
      <c r="CF3671" s="548"/>
      <c r="CG3671" s="548"/>
      <c r="CH3671" s="548"/>
      <c r="GF3671" s="24">
        <v>13.1</v>
      </c>
      <c r="GG3671" s="24">
        <v>8.8000000000000007</v>
      </c>
      <c r="GJ3671" s="24" t="s">
        <v>3387</v>
      </c>
      <c r="JD3671" s="249"/>
    </row>
    <row r="3672" spans="1:264" s="24" customFormat="1" x14ac:dyDescent="0.25">
      <c r="A3672" s="24">
        <v>168</v>
      </c>
      <c r="B3672" s="42" t="s">
        <v>3385</v>
      </c>
      <c r="C3672" s="24" t="s">
        <v>3323</v>
      </c>
      <c r="D3672" s="24" t="s">
        <v>3358</v>
      </c>
      <c r="E3672" s="24">
        <v>2005</v>
      </c>
      <c r="F3672" s="24">
        <v>2002</v>
      </c>
      <c r="G3672" s="24" t="s">
        <v>3367</v>
      </c>
      <c r="H3672" s="24" t="s">
        <v>3369</v>
      </c>
      <c r="I3672" s="24" t="s">
        <v>2829</v>
      </c>
      <c r="J3672" s="24">
        <v>-13.25</v>
      </c>
      <c r="K3672" s="24">
        <v>32.6</v>
      </c>
      <c r="L3672" s="24">
        <v>1015</v>
      </c>
      <c r="N3672" s="24">
        <v>20.5</v>
      </c>
      <c r="P3672" s="24">
        <v>960</v>
      </c>
      <c r="R3672" s="42" t="s">
        <v>1847</v>
      </c>
      <c r="S3672" s="42" t="s">
        <v>1728</v>
      </c>
      <c r="T3672" s="42"/>
      <c r="U3672" s="42" t="s">
        <v>1864</v>
      </c>
      <c r="V3672" s="42" t="s">
        <v>1382</v>
      </c>
      <c r="W3672" s="42" t="s">
        <v>1717</v>
      </c>
      <c r="X3672" s="42" t="s">
        <v>1382</v>
      </c>
      <c r="Y3672" s="42" t="s">
        <v>1382</v>
      </c>
      <c r="AA3672" s="321">
        <v>71</v>
      </c>
      <c r="AB3672" s="321">
        <v>12</v>
      </c>
      <c r="AC3672" s="24" t="s">
        <v>175</v>
      </c>
      <c r="AD3672" s="24">
        <v>4.51</v>
      </c>
      <c r="AE3672" s="24">
        <v>0.74</v>
      </c>
      <c r="AG3672" s="24" t="s">
        <v>2755</v>
      </c>
      <c r="AH3672" s="24" t="s">
        <v>2918</v>
      </c>
      <c r="AI3672" s="24" t="s">
        <v>577</v>
      </c>
      <c r="AJ3672" s="24" t="s">
        <v>1645</v>
      </c>
      <c r="AK3672" s="24" t="s">
        <v>132</v>
      </c>
      <c r="AW3672" s="24" t="s">
        <v>3375</v>
      </c>
      <c r="AX3672" s="24">
        <v>4</v>
      </c>
      <c r="AZ3672" s="24" t="s">
        <v>141</v>
      </c>
      <c r="BK3672" s="24">
        <v>800</v>
      </c>
      <c r="BL3672" s="24">
        <v>4400</v>
      </c>
      <c r="BP3672" s="395"/>
      <c r="BQ3672" s="395"/>
      <c r="BU3672" s="395"/>
      <c r="BV3672" s="395"/>
      <c r="BZ3672" s="395"/>
      <c r="CA3672" s="395"/>
      <c r="CE3672" s="548"/>
      <c r="CF3672" s="548"/>
      <c r="CG3672" s="548"/>
      <c r="CH3672" s="548"/>
      <c r="GF3672" s="24">
        <v>13.1</v>
      </c>
      <c r="GG3672" s="24">
        <v>6</v>
      </c>
      <c r="GJ3672" s="24" t="s">
        <v>3387</v>
      </c>
      <c r="JD3672" s="249"/>
    </row>
    <row r="3673" spans="1:264" s="24" customFormat="1" x14ac:dyDescent="0.25">
      <c r="A3673" s="24">
        <v>168</v>
      </c>
      <c r="B3673" s="42" t="s">
        <v>3385</v>
      </c>
      <c r="C3673" s="24" t="s">
        <v>3323</v>
      </c>
      <c r="D3673" s="24" t="s">
        <v>3358</v>
      </c>
      <c r="E3673" s="24">
        <v>2005</v>
      </c>
      <c r="F3673" s="24">
        <v>2002</v>
      </c>
      <c r="G3673" s="24" t="s">
        <v>3367</v>
      </c>
      <c r="H3673" s="24" t="s">
        <v>3369</v>
      </c>
      <c r="I3673" s="24" t="s">
        <v>2829</v>
      </c>
      <c r="J3673" s="24">
        <v>-13.25</v>
      </c>
      <c r="K3673" s="24">
        <v>32.6</v>
      </c>
      <c r="L3673" s="24">
        <v>1015</v>
      </c>
      <c r="N3673" s="24">
        <v>20.5</v>
      </c>
      <c r="P3673" s="24">
        <v>960</v>
      </c>
      <c r="R3673" s="42" t="s">
        <v>1847</v>
      </c>
      <c r="S3673" s="42" t="s">
        <v>1728</v>
      </c>
      <c r="T3673" s="42"/>
      <c r="U3673" s="42" t="s">
        <v>1864</v>
      </c>
      <c r="V3673" s="42" t="s">
        <v>1382</v>
      </c>
      <c r="W3673" s="42" t="s">
        <v>1717</v>
      </c>
      <c r="X3673" s="42" t="s">
        <v>1382</v>
      </c>
      <c r="Y3673" s="42" t="s">
        <v>1382</v>
      </c>
      <c r="AA3673" s="321">
        <v>71</v>
      </c>
      <c r="AB3673" s="321">
        <v>12</v>
      </c>
      <c r="AC3673" s="24" t="s">
        <v>175</v>
      </c>
      <c r="AD3673" s="24">
        <v>4.51</v>
      </c>
      <c r="AE3673" s="24">
        <v>0.74</v>
      </c>
      <c r="AG3673" s="24" t="s">
        <v>2755</v>
      </c>
      <c r="AH3673" s="24" t="s">
        <v>3165</v>
      </c>
      <c r="AI3673" s="24" t="s">
        <v>577</v>
      </c>
      <c r="AJ3673" s="24" t="s">
        <v>1645</v>
      </c>
      <c r="AK3673" s="24" t="s">
        <v>132</v>
      </c>
      <c r="AW3673" s="24" t="s">
        <v>3375</v>
      </c>
      <c r="AX3673" s="24">
        <v>4</v>
      </c>
      <c r="AZ3673" s="24" t="s">
        <v>141</v>
      </c>
      <c r="BK3673" s="24">
        <v>800</v>
      </c>
      <c r="BL3673" s="24">
        <v>3300</v>
      </c>
      <c r="BP3673" s="395"/>
      <c r="BQ3673" s="395"/>
      <c r="BU3673" s="395"/>
      <c r="BV3673" s="395"/>
      <c r="BZ3673" s="395"/>
      <c r="CA3673" s="395"/>
      <c r="CE3673" s="548"/>
      <c r="CF3673" s="548"/>
      <c r="CG3673" s="548"/>
      <c r="CH3673" s="548"/>
      <c r="GF3673" s="24">
        <v>13.1</v>
      </c>
      <c r="GG3673" s="24">
        <v>13.4</v>
      </c>
      <c r="GJ3673" s="24" t="s">
        <v>3387</v>
      </c>
      <c r="JD3673" s="249"/>
    </row>
    <row r="3674" spans="1:264" s="24" customFormat="1" x14ac:dyDescent="0.25">
      <c r="A3674" s="24">
        <v>168</v>
      </c>
      <c r="B3674" s="42" t="s">
        <v>3385</v>
      </c>
      <c r="C3674" s="24" t="s">
        <v>3323</v>
      </c>
      <c r="D3674" s="24" t="s">
        <v>3358</v>
      </c>
      <c r="E3674" s="24">
        <v>2005</v>
      </c>
      <c r="F3674" s="24">
        <v>2002</v>
      </c>
      <c r="G3674" s="24" t="s">
        <v>3367</v>
      </c>
      <c r="H3674" s="24" t="s">
        <v>3369</v>
      </c>
      <c r="I3674" s="24" t="s">
        <v>2829</v>
      </c>
      <c r="J3674" s="24">
        <v>-13.25</v>
      </c>
      <c r="K3674" s="24">
        <v>32.6</v>
      </c>
      <c r="L3674" s="24">
        <v>1015</v>
      </c>
      <c r="N3674" s="24">
        <v>20.5</v>
      </c>
      <c r="P3674" s="24">
        <v>960</v>
      </c>
      <c r="R3674" s="42" t="s">
        <v>1847</v>
      </c>
      <c r="S3674" s="42" t="s">
        <v>1728</v>
      </c>
      <c r="T3674" s="42"/>
      <c r="U3674" s="42" t="s">
        <v>1864</v>
      </c>
      <c r="V3674" s="42" t="s">
        <v>1382</v>
      </c>
      <c r="W3674" s="42" t="s">
        <v>1717</v>
      </c>
      <c r="X3674" s="42" t="s">
        <v>1382</v>
      </c>
      <c r="Y3674" s="42" t="s">
        <v>1382</v>
      </c>
      <c r="AA3674" s="321">
        <v>71</v>
      </c>
      <c r="AB3674" s="321">
        <v>12</v>
      </c>
      <c r="AC3674" s="24" t="s">
        <v>175</v>
      </c>
      <c r="AD3674" s="24">
        <v>4.51</v>
      </c>
      <c r="AE3674" s="24">
        <v>0.74</v>
      </c>
      <c r="AG3674" s="24" t="s">
        <v>2755</v>
      </c>
      <c r="AH3674" s="24" t="s">
        <v>3378</v>
      </c>
      <c r="AI3674" s="24" t="s">
        <v>577</v>
      </c>
      <c r="AJ3674" s="24" t="s">
        <v>1645</v>
      </c>
      <c r="AK3674" s="24" t="s">
        <v>132</v>
      </c>
      <c r="AW3674" s="24" t="s">
        <v>3375</v>
      </c>
      <c r="AX3674" s="24">
        <v>4</v>
      </c>
      <c r="AZ3674" s="24" t="s">
        <v>141</v>
      </c>
      <c r="BK3674" s="24">
        <v>800</v>
      </c>
      <c r="BL3674" s="24">
        <v>2800</v>
      </c>
      <c r="BP3674" s="395"/>
      <c r="BQ3674" s="395"/>
      <c r="BU3674" s="395"/>
      <c r="BV3674" s="395"/>
      <c r="BZ3674" s="395"/>
      <c r="CA3674" s="395"/>
      <c r="CE3674" s="548"/>
      <c r="CF3674" s="548"/>
      <c r="CG3674" s="548"/>
      <c r="CH3674" s="548"/>
      <c r="GF3674" s="24">
        <v>13.1</v>
      </c>
      <c r="GG3674" s="24">
        <v>18</v>
      </c>
      <c r="GJ3674" s="24" t="s">
        <v>3387</v>
      </c>
      <c r="JD3674" s="249"/>
    </row>
    <row r="3675" spans="1:264" s="24" customFormat="1" x14ac:dyDescent="0.25">
      <c r="A3675" s="24">
        <v>168</v>
      </c>
      <c r="B3675" s="42" t="s">
        <v>3385</v>
      </c>
      <c r="C3675" s="24" t="s">
        <v>3323</v>
      </c>
      <c r="D3675" s="24" t="s">
        <v>3358</v>
      </c>
      <c r="E3675" s="24">
        <v>2005</v>
      </c>
      <c r="F3675" s="24">
        <v>2002</v>
      </c>
      <c r="G3675" s="24" t="s">
        <v>3367</v>
      </c>
      <c r="H3675" s="24" t="s">
        <v>3369</v>
      </c>
      <c r="I3675" s="24" t="s">
        <v>2829</v>
      </c>
      <c r="J3675" s="24">
        <v>-13.25</v>
      </c>
      <c r="K3675" s="24">
        <v>32.6</v>
      </c>
      <c r="L3675" s="24">
        <v>1015</v>
      </c>
      <c r="N3675" s="24">
        <v>20.5</v>
      </c>
      <c r="P3675" s="24">
        <v>960</v>
      </c>
      <c r="R3675" s="42" t="s">
        <v>1847</v>
      </c>
      <c r="S3675" s="42" t="s">
        <v>1728</v>
      </c>
      <c r="T3675" s="42"/>
      <c r="U3675" s="42" t="s">
        <v>1864</v>
      </c>
      <c r="V3675" s="42" t="s">
        <v>1382</v>
      </c>
      <c r="W3675" s="42" t="s">
        <v>1717</v>
      </c>
      <c r="X3675" s="42" t="s">
        <v>1382</v>
      </c>
      <c r="Y3675" s="42" t="s">
        <v>1382</v>
      </c>
      <c r="AA3675" s="321">
        <v>71</v>
      </c>
      <c r="AB3675" s="321">
        <v>12</v>
      </c>
      <c r="AC3675" s="24" t="s">
        <v>175</v>
      </c>
      <c r="AD3675" s="24">
        <v>4.51</v>
      </c>
      <c r="AE3675" s="24">
        <v>0.74</v>
      </c>
      <c r="AG3675" s="24" t="s">
        <v>2755</v>
      </c>
      <c r="AH3675" s="24" t="s">
        <v>3379</v>
      </c>
      <c r="AI3675" s="24" t="s">
        <v>577</v>
      </c>
      <c r="AJ3675" s="24" t="s">
        <v>1645</v>
      </c>
      <c r="AK3675" s="24" t="s">
        <v>132</v>
      </c>
      <c r="AW3675" s="24" t="s">
        <v>3375</v>
      </c>
      <c r="AX3675" s="24">
        <v>4</v>
      </c>
      <c r="AZ3675" s="24" t="s">
        <v>141</v>
      </c>
      <c r="BK3675" s="24">
        <v>800</v>
      </c>
      <c r="BL3675" s="24">
        <v>3200</v>
      </c>
      <c r="BP3675" s="395"/>
      <c r="BQ3675" s="395"/>
      <c r="BU3675" s="395"/>
      <c r="BV3675" s="395"/>
      <c r="BZ3675" s="395"/>
      <c r="CA3675" s="395"/>
      <c r="CE3675" s="548"/>
      <c r="CF3675" s="548"/>
      <c r="CG3675" s="548"/>
      <c r="CH3675" s="548"/>
      <c r="GF3675" s="24">
        <v>13.1</v>
      </c>
      <c r="GG3675" s="24">
        <v>11.3</v>
      </c>
      <c r="GJ3675" s="24" t="s">
        <v>3387</v>
      </c>
      <c r="JD3675" s="249"/>
    </row>
    <row r="3676" spans="1:264" s="24" customFormat="1" x14ac:dyDescent="0.25">
      <c r="A3676" s="24">
        <v>168</v>
      </c>
      <c r="B3676" s="42" t="s">
        <v>3385</v>
      </c>
      <c r="C3676" s="24" t="s">
        <v>3323</v>
      </c>
      <c r="D3676" s="24" t="s">
        <v>3358</v>
      </c>
      <c r="E3676" s="24">
        <v>2005</v>
      </c>
      <c r="F3676" s="24">
        <v>2002</v>
      </c>
      <c r="G3676" s="24" t="s">
        <v>3367</v>
      </c>
      <c r="H3676" s="24" t="s">
        <v>3369</v>
      </c>
      <c r="I3676" s="24" t="s">
        <v>2829</v>
      </c>
      <c r="J3676" s="24">
        <v>-13.25</v>
      </c>
      <c r="K3676" s="24">
        <v>32.6</v>
      </c>
      <c r="L3676" s="24">
        <v>1015</v>
      </c>
      <c r="N3676" s="24">
        <v>20.5</v>
      </c>
      <c r="P3676" s="24">
        <v>960</v>
      </c>
      <c r="R3676" s="42" t="s">
        <v>1847</v>
      </c>
      <c r="S3676" s="42" t="s">
        <v>1728</v>
      </c>
      <c r="T3676" s="42"/>
      <c r="U3676" s="42" t="s">
        <v>1864</v>
      </c>
      <c r="V3676" s="42" t="s">
        <v>1382</v>
      </c>
      <c r="W3676" s="42" t="s">
        <v>1717</v>
      </c>
      <c r="X3676" s="42" t="s">
        <v>1382</v>
      </c>
      <c r="Y3676" s="42" t="s">
        <v>1382</v>
      </c>
      <c r="AA3676" s="321">
        <v>71</v>
      </c>
      <c r="AB3676" s="321">
        <v>12</v>
      </c>
      <c r="AC3676" s="24" t="s">
        <v>175</v>
      </c>
      <c r="AD3676" s="24">
        <v>4.51</v>
      </c>
      <c r="AE3676" s="24">
        <v>0.74</v>
      </c>
      <c r="AG3676" s="24" t="s">
        <v>2755</v>
      </c>
      <c r="AH3676" s="24" t="s">
        <v>3380</v>
      </c>
      <c r="AI3676" s="24" t="s">
        <v>577</v>
      </c>
      <c r="AJ3676" s="24" t="s">
        <v>1645</v>
      </c>
      <c r="AK3676" s="24" t="s">
        <v>132</v>
      </c>
      <c r="AW3676" s="24" t="s">
        <v>3375</v>
      </c>
      <c r="AX3676" s="24">
        <v>4</v>
      </c>
      <c r="AZ3676" s="24" t="s">
        <v>141</v>
      </c>
      <c r="BK3676" s="24">
        <v>800</v>
      </c>
      <c r="BL3676" s="24">
        <v>2300</v>
      </c>
      <c r="BP3676" s="395"/>
      <c r="BQ3676" s="395"/>
      <c r="BU3676" s="395"/>
      <c r="BV3676" s="395"/>
      <c r="BZ3676" s="395"/>
      <c r="CA3676" s="395"/>
      <c r="CE3676" s="548"/>
      <c r="CF3676" s="548"/>
      <c r="CG3676" s="548"/>
      <c r="CH3676" s="548"/>
      <c r="GF3676" s="24">
        <v>13.1</v>
      </c>
      <c r="GG3676" s="24">
        <v>8.1</v>
      </c>
      <c r="GJ3676" s="24" t="s">
        <v>3387</v>
      </c>
      <c r="JD3676" s="249"/>
    </row>
    <row r="3677" spans="1:264" s="24" customFormat="1" x14ac:dyDescent="0.25">
      <c r="A3677" s="24">
        <v>168</v>
      </c>
      <c r="B3677" s="42" t="s">
        <v>3385</v>
      </c>
      <c r="C3677" s="24" t="s">
        <v>3323</v>
      </c>
      <c r="D3677" s="24" t="s">
        <v>3358</v>
      </c>
      <c r="E3677" s="24">
        <v>2005</v>
      </c>
      <c r="F3677" s="24">
        <v>2002</v>
      </c>
      <c r="G3677" s="24" t="s">
        <v>3367</v>
      </c>
      <c r="H3677" s="24" t="s">
        <v>3369</v>
      </c>
      <c r="I3677" s="24" t="s">
        <v>2829</v>
      </c>
      <c r="J3677" s="24">
        <v>-13.25</v>
      </c>
      <c r="K3677" s="24">
        <v>32.6</v>
      </c>
      <c r="L3677" s="24">
        <v>1015</v>
      </c>
      <c r="N3677" s="24">
        <v>20.5</v>
      </c>
      <c r="P3677" s="24">
        <v>960</v>
      </c>
      <c r="R3677" s="42" t="s">
        <v>1847</v>
      </c>
      <c r="S3677" s="42" t="s">
        <v>1728</v>
      </c>
      <c r="T3677" s="42"/>
      <c r="U3677" s="42" t="s">
        <v>1864</v>
      </c>
      <c r="V3677" s="42" t="s">
        <v>1382</v>
      </c>
      <c r="W3677" s="42" t="s">
        <v>1717</v>
      </c>
      <c r="X3677" s="42" t="s">
        <v>1382</v>
      </c>
      <c r="Y3677" s="42" t="s">
        <v>1382</v>
      </c>
      <c r="AA3677" s="321">
        <v>71</v>
      </c>
      <c r="AB3677" s="321">
        <v>12</v>
      </c>
      <c r="AC3677" s="24" t="s">
        <v>175</v>
      </c>
      <c r="AD3677" s="24">
        <v>4.51</v>
      </c>
      <c r="AE3677" s="24">
        <v>0.74</v>
      </c>
      <c r="AG3677" s="24" t="s">
        <v>2755</v>
      </c>
      <c r="AH3677" s="24" t="s">
        <v>3381</v>
      </c>
      <c r="AI3677" s="24" t="s">
        <v>577</v>
      </c>
      <c r="AJ3677" s="24" t="s">
        <v>1645</v>
      </c>
      <c r="AK3677" s="24" t="s">
        <v>132</v>
      </c>
      <c r="AW3677" s="24" t="s">
        <v>3375</v>
      </c>
      <c r="AX3677" s="24">
        <v>4</v>
      </c>
      <c r="AZ3677" s="24" t="s">
        <v>141</v>
      </c>
      <c r="BK3677" s="24">
        <v>800</v>
      </c>
      <c r="BL3677" s="24">
        <v>3400</v>
      </c>
      <c r="BP3677" s="395"/>
      <c r="BQ3677" s="395"/>
      <c r="BU3677" s="395"/>
      <c r="BV3677" s="395"/>
      <c r="BZ3677" s="395"/>
      <c r="CA3677" s="395"/>
      <c r="CE3677" s="548"/>
      <c r="CF3677" s="548"/>
      <c r="CG3677" s="548"/>
      <c r="CH3677" s="548"/>
      <c r="GF3677" s="24">
        <v>13.1</v>
      </c>
      <c r="GG3677" s="24">
        <v>9.3000000000000007</v>
      </c>
      <c r="GJ3677" s="24" t="s">
        <v>3387</v>
      </c>
      <c r="JD3677" s="249"/>
    </row>
    <row r="3678" spans="1:264" s="24" customFormat="1" x14ac:dyDescent="0.25">
      <c r="A3678" s="24">
        <v>168</v>
      </c>
      <c r="B3678" s="42" t="s">
        <v>3385</v>
      </c>
      <c r="C3678" s="24" t="s">
        <v>3323</v>
      </c>
      <c r="D3678" s="24" t="s">
        <v>3358</v>
      </c>
      <c r="E3678" s="24">
        <v>2005</v>
      </c>
      <c r="F3678" s="24">
        <v>2002</v>
      </c>
      <c r="G3678" s="24" t="s">
        <v>3367</v>
      </c>
      <c r="H3678" s="24" t="s">
        <v>3369</v>
      </c>
      <c r="I3678" s="24" t="s">
        <v>2829</v>
      </c>
      <c r="J3678" s="24">
        <v>-13.25</v>
      </c>
      <c r="K3678" s="24">
        <v>32.6</v>
      </c>
      <c r="L3678" s="24">
        <v>1015</v>
      </c>
      <c r="N3678" s="24">
        <v>20.5</v>
      </c>
      <c r="P3678" s="24">
        <v>960</v>
      </c>
      <c r="R3678" s="42" t="s">
        <v>1847</v>
      </c>
      <c r="S3678" s="42" t="s">
        <v>1728</v>
      </c>
      <c r="T3678" s="42"/>
      <c r="U3678" s="42" t="s">
        <v>1864</v>
      </c>
      <c r="V3678" s="42" t="s">
        <v>1382</v>
      </c>
      <c r="W3678" s="42" t="s">
        <v>1717</v>
      </c>
      <c r="X3678" s="42" t="s">
        <v>1382</v>
      </c>
      <c r="Y3678" s="42" t="s">
        <v>1382</v>
      </c>
      <c r="AA3678" s="321">
        <v>71</v>
      </c>
      <c r="AB3678" s="321">
        <v>12</v>
      </c>
      <c r="AC3678" s="24" t="s">
        <v>175</v>
      </c>
      <c r="AD3678" s="24">
        <v>4.51</v>
      </c>
      <c r="AE3678" s="24">
        <v>0.74</v>
      </c>
      <c r="AG3678" s="24" t="s">
        <v>2755</v>
      </c>
      <c r="AH3678" s="24" t="s">
        <v>3382</v>
      </c>
      <c r="AI3678" s="24" t="s">
        <v>577</v>
      </c>
      <c r="AJ3678" s="24" t="s">
        <v>1645</v>
      </c>
      <c r="AK3678" s="24" t="s">
        <v>132</v>
      </c>
      <c r="AW3678" s="24" t="s">
        <v>3375</v>
      </c>
      <c r="AX3678" s="24">
        <v>4</v>
      </c>
      <c r="AZ3678" s="24" t="s">
        <v>141</v>
      </c>
      <c r="BK3678" s="24">
        <v>800</v>
      </c>
      <c r="BL3678" s="24">
        <v>2900</v>
      </c>
      <c r="BP3678" s="395"/>
      <c r="BQ3678" s="395"/>
      <c r="BU3678" s="395"/>
      <c r="BV3678" s="395"/>
      <c r="BZ3678" s="395"/>
      <c r="CA3678" s="395"/>
      <c r="CE3678" s="548"/>
      <c r="CF3678" s="548"/>
      <c r="CG3678" s="548"/>
      <c r="CH3678" s="548"/>
      <c r="GF3678" s="24">
        <v>13.1</v>
      </c>
      <c r="GG3678" s="24">
        <v>4.9000000000000004</v>
      </c>
      <c r="GJ3678" s="24" t="s">
        <v>3387</v>
      </c>
      <c r="JD3678" s="249"/>
    </row>
    <row r="3679" spans="1:264" s="24" customFormat="1" x14ac:dyDescent="0.25">
      <c r="A3679" s="24">
        <v>168</v>
      </c>
      <c r="B3679" s="42" t="s">
        <v>3385</v>
      </c>
      <c r="C3679" s="24" t="s">
        <v>3323</v>
      </c>
      <c r="D3679" s="24" t="s">
        <v>3358</v>
      </c>
      <c r="E3679" s="24">
        <v>2005</v>
      </c>
      <c r="F3679" s="24">
        <v>2002</v>
      </c>
      <c r="G3679" s="24" t="s">
        <v>3367</v>
      </c>
      <c r="H3679" s="24" t="s">
        <v>3369</v>
      </c>
      <c r="I3679" s="24" t="s">
        <v>2829</v>
      </c>
      <c r="J3679" s="24">
        <v>-13.25</v>
      </c>
      <c r="K3679" s="24">
        <v>32.6</v>
      </c>
      <c r="L3679" s="24">
        <v>1015</v>
      </c>
      <c r="N3679" s="24">
        <v>20.5</v>
      </c>
      <c r="P3679" s="24">
        <v>960</v>
      </c>
      <c r="R3679" s="42" t="s">
        <v>1847</v>
      </c>
      <c r="S3679" s="42" t="s">
        <v>1728</v>
      </c>
      <c r="T3679" s="42"/>
      <c r="U3679" s="42" t="s">
        <v>1864</v>
      </c>
      <c r="V3679" s="42" t="s">
        <v>1382</v>
      </c>
      <c r="W3679" s="42" t="s">
        <v>1717</v>
      </c>
      <c r="X3679" s="42" t="s">
        <v>1382</v>
      </c>
      <c r="Y3679" s="42" t="s">
        <v>1382</v>
      </c>
      <c r="AA3679" s="321">
        <v>71</v>
      </c>
      <c r="AB3679" s="321">
        <v>12</v>
      </c>
      <c r="AC3679" s="24" t="s">
        <v>175</v>
      </c>
      <c r="AD3679" s="24">
        <v>4.51</v>
      </c>
      <c r="AE3679" s="24">
        <v>0.74</v>
      </c>
      <c r="AG3679" s="24" t="s">
        <v>2755</v>
      </c>
      <c r="AH3679" s="24" t="s">
        <v>3377</v>
      </c>
      <c r="AI3679" s="24" t="s">
        <v>577</v>
      </c>
      <c r="AJ3679" s="24" t="s">
        <v>1645</v>
      </c>
      <c r="AK3679" s="24" t="s">
        <v>132</v>
      </c>
      <c r="AW3679" s="24" t="s">
        <v>3376</v>
      </c>
      <c r="AX3679" s="24">
        <v>4</v>
      </c>
      <c r="AZ3679" s="24" t="s">
        <v>141</v>
      </c>
      <c r="BK3679" s="24">
        <v>1700</v>
      </c>
      <c r="BL3679" s="24">
        <v>2800</v>
      </c>
      <c r="BP3679" s="395"/>
      <c r="BQ3679" s="395"/>
      <c r="BU3679" s="395"/>
      <c r="BV3679" s="395"/>
      <c r="BZ3679" s="395"/>
      <c r="CA3679" s="395"/>
      <c r="CE3679" s="548"/>
      <c r="CF3679" s="548"/>
      <c r="CG3679" s="548"/>
      <c r="CH3679" s="548"/>
      <c r="GF3679" s="24">
        <v>4.0999999999999996</v>
      </c>
      <c r="GG3679" s="24">
        <v>8.8000000000000007</v>
      </c>
      <c r="GJ3679" s="24" t="s">
        <v>3387</v>
      </c>
      <c r="JD3679" s="249"/>
    </row>
    <row r="3680" spans="1:264" s="24" customFormat="1" x14ac:dyDescent="0.25">
      <c r="A3680" s="24">
        <v>168</v>
      </c>
      <c r="B3680" s="42" t="s">
        <v>3385</v>
      </c>
      <c r="C3680" s="24" t="s">
        <v>3323</v>
      </c>
      <c r="D3680" s="24" t="s">
        <v>3358</v>
      </c>
      <c r="E3680" s="24">
        <v>2005</v>
      </c>
      <c r="F3680" s="24">
        <v>2002</v>
      </c>
      <c r="G3680" s="24" t="s">
        <v>3367</v>
      </c>
      <c r="H3680" s="24" t="s">
        <v>3369</v>
      </c>
      <c r="I3680" s="24" t="s">
        <v>2829</v>
      </c>
      <c r="J3680" s="24">
        <v>-13.25</v>
      </c>
      <c r="K3680" s="24">
        <v>32.6</v>
      </c>
      <c r="L3680" s="24">
        <v>1015</v>
      </c>
      <c r="N3680" s="24">
        <v>20.5</v>
      </c>
      <c r="P3680" s="24">
        <v>960</v>
      </c>
      <c r="R3680" s="42" t="s">
        <v>1847</v>
      </c>
      <c r="S3680" s="42" t="s">
        <v>1728</v>
      </c>
      <c r="T3680" s="42"/>
      <c r="U3680" s="42" t="s">
        <v>1864</v>
      </c>
      <c r="V3680" s="42" t="s">
        <v>1382</v>
      </c>
      <c r="W3680" s="42" t="s">
        <v>1717</v>
      </c>
      <c r="X3680" s="42" t="s">
        <v>1382</v>
      </c>
      <c r="Y3680" s="42" t="s">
        <v>1382</v>
      </c>
      <c r="AA3680" s="321">
        <v>71</v>
      </c>
      <c r="AB3680" s="321">
        <v>12</v>
      </c>
      <c r="AC3680" s="24" t="s">
        <v>175</v>
      </c>
      <c r="AD3680" s="24">
        <v>4.51</v>
      </c>
      <c r="AE3680" s="24">
        <v>0.74</v>
      </c>
      <c r="AG3680" s="24" t="s">
        <v>2755</v>
      </c>
      <c r="AH3680" s="24" t="s">
        <v>2918</v>
      </c>
      <c r="AI3680" s="24" t="s">
        <v>577</v>
      </c>
      <c r="AJ3680" s="24" t="s">
        <v>1645</v>
      </c>
      <c r="AK3680" s="24" t="s">
        <v>132</v>
      </c>
      <c r="AW3680" s="24" t="s">
        <v>3376</v>
      </c>
      <c r="AX3680" s="24">
        <v>4</v>
      </c>
      <c r="AZ3680" s="24" t="s">
        <v>141</v>
      </c>
      <c r="BK3680" s="24">
        <v>1700</v>
      </c>
      <c r="BL3680" s="24">
        <v>4400</v>
      </c>
      <c r="BP3680" s="395"/>
      <c r="BQ3680" s="395"/>
      <c r="BU3680" s="395"/>
      <c r="BV3680" s="395"/>
      <c r="BZ3680" s="395"/>
      <c r="CA3680" s="395"/>
      <c r="CE3680" s="548"/>
      <c r="CF3680" s="548"/>
      <c r="CG3680" s="548"/>
      <c r="CH3680" s="548"/>
      <c r="GF3680" s="24">
        <v>4.0999999999999996</v>
      </c>
      <c r="GG3680" s="24">
        <v>6</v>
      </c>
      <c r="GJ3680" s="24" t="s">
        <v>3387</v>
      </c>
      <c r="JD3680" s="249"/>
    </row>
    <row r="3681" spans="1:264" s="24" customFormat="1" x14ac:dyDescent="0.25">
      <c r="A3681" s="24">
        <v>168</v>
      </c>
      <c r="B3681" s="42" t="s">
        <v>3385</v>
      </c>
      <c r="C3681" s="24" t="s">
        <v>3323</v>
      </c>
      <c r="D3681" s="24" t="s">
        <v>3358</v>
      </c>
      <c r="E3681" s="24">
        <v>2005</v>
      </c>
      <c r="F3681" s="24">
        <v>2002</v>
      </c>
      <c r="G3681" s="24" t="s">
        <v>3367</v>
      </c>
      <c r="H3681" s="24" t="s">
        <v>3369</v>
      </c>
      <c r="I3681" s="24" t="s">
        <v>2829</v>
      </c>
      <c r="J3681" s="24">
        <v>-13.25</v>
      </c>
      <c r="K3681" s="24">
        <v>32.6</v>
      </c>
      <c r="L3681" s="24">
        <v>1015</v>
      </c>
      <c r="N3681" s="24">
        <v>20.5</v>
      </c>
      <c r="P3681" s="24">
        <v>960</v>
      </c>
      <c r="R3681" s="42" t="s">
        <v>1847</v>
      </c>
      <c r="S3681" s="42" t="s">
        <v>1728</v>
      </c>
      <c r="T3681" s="42"/>
      <c r="U3681" s="42" t="s">
        <v>1864</v>
      </c>
      <c r="V3681" s="42" t="s">
        <v>1382</v>
      </c>
      <c r="W3681" s="42" t="s">
        <v>1717</v>
      </c>
      <c r="X3681" s="42" t="s">
        <v>1382</v>
      </c>
      <c r="Y3681" s="42" t="s">
        <v>1382</v>
      </c>
      <c r="AA3681" s="321">
        <v>71</v>
      </c>
      <c r="AB3681" s="321">
        <v>12</v>
      </c>
      <c r="AC3681" s="24" t="s">
        <v>175</v>
      </c>
      <c r="AD3681" s="24">
        <v>4.51</v>
      </c>
      <c r="AE3681" s="24">
        <v>0.74</v>
      </c>
      <c r="AG3681" s="24" t="s">
        <v>2755</v>
      </c>
      <c r="AH3681" s="24" t="s">
        <v>3165</v>
      </c>
      <c r="AI3681" s="24" t="s">
        <v>577</v>
      </c>
      <c r="AJ3681" s="24" t="s">
        <v>1645</v>
      </c>
      <c r="AK3681" s="24" t="s">
        <v>132</v>
      </c>
      <c r="AW3681" s="24" t="s">
        <v>3376</v>
      </c>
      <c r="AX3681" s="24">
        <v>4</v>
      </c>
      <c r="AZ3681" s="24" t="s">
        <v>141</v>
      </c>
      <c r="BK3681" s="24">
        <v>1700</v>
      </c>
      <c r="BL3681" s="24">
        <v>3300</v>
      </c>
      <c r="BP3681" s="395"/>
      <c r="BQ3681" s="395"/>
      <c r="BU3681" s="395"/>
      <c r="BV3681" s="395"/>
      <c r="BZ3681" s="395"/>
      <c r="CA3681" s="395"/>
      <c r="CE3681" s="548"/>
      <c r="CF3681" s="548"/>
      <c r="CG3681" s="548"/>
      <c r="CH3681" s="548"/>
      <c r="GF3681" s="24">
        <v>4.0999999999999996</v>
      </c>
      <c r="GG3681" s="24">
        <v>13.4</v>
      </c>
      <c r="GJ3681" s="24" t="s">
        <v>3387</v>
      </c>
      <c r="JD3681" s="249"/>
    </row>
    <row r="3682" spans="1:264" s="24" customFormat="1" x14ac:dyDescent="0.25">
      <c r="A3682" s="24">
        <v>168</v>
      </c>
      <c r="B3682" s="42" t="s">
        <v>3385</v>
      </c>
      <c r="C3682" s="24" t="s">
        <v>3323</v>
      </c>
      <c r="D3682" s="24" t="s">
        <v>3358</v>
      </c>
      <c r="E3682" s="24">
        <v>2005</v>
      </c>
      <c r="F3682" s="24">
        <v>2002</v>
      </c>
      <c r="G3682" s="24" t="s">
        <v>3367</v>
      </c>
      <c r="H3682" s="24" t="s">
        <v>3369</v>
      </c>
      <c r="I3682" s="24" t="s">
        <v>2829</v>
      </c>
      <c r="J3682" s="24">
        <v>-13.25</v>
      </c>
      <c r="K3682" s="24">
        <v>32.6</v>
      </c>
      <c r="L3682" s="24">
        <v>1015</v>
      </c>
      <c r="N3682" s="24">
        <v>20.5</v>
      </c>
      <c r="P3682" s="24">
        <v>960</v>
      </c>
      <c r="R3682" s="42" t="s">
        <v>1847</v>
      </c>
      <c r="S3682" s="42" t="s">
        <v>1728</v>
      </c>
      <c r="T3682" s="42"/>
      <c r="U3682" s="42" t="s">
        <v>1864</v>
      </c>
      <c r="V3682" s="42" t="s">
        <v>1382</v>
      </c>
      <c r="W3682" s="42" t="s">
        <v>1717</v>
      </c>
      <c r="X3682" s="42" t="s">
        <v>1382</v>
      </c>
      <c r="Y3682" s="42" t="s">
        <v>1382</v>
      </c>
      <c r="AA3682" s="321">
        <v>71</v>
      </c>
      <c r="AB3682" s="321">
        <v>12</v>
      </c>
      <c r="AC3682" s="24" t="s">
        <v>175</v>
      </c>
      <c r="AD3682" s="24">
        <v>4.51</v>
      </c>
      <c r="AE3682" s="24">
        <v>0.74</v>
      </c>
      <c r="AG3682" s="24" t="s">
        <v>2755</v>
      </c>
      <c r="AH3682" s="24" t="s">
        <v>3378</v>
      </c>
      <c r="AI3682" s="24" t="s">
        <v>577</v>
      </c>
      <c r="AJ3682" s="24" t="s">
        <v>1645</v>
      </c>
      <c r="AK3682" s="24" t="s">
        <v>132</v>
      </c>
      <c r="AW3682" s="24" t="s">
        <v>3376</v>
      </c>
      <c r="AX3682" s="24">
        <v>4</v>
      </c>
      <c r="AZ3682" s="24" t="s">
        <v>141</v>
      </c>
      <c r="BK3682" s="24">
        <v>1700</v>
      </c>
      <c r="BL3682" s="24">
        <v>2800</v>
      </c>
      <c r="BP3682" s="395"/>
      <c r="BQ3682" s="395"/>
      <c r="BU3682" s="395"/>
      <c r="BV3682" s="395"/>
      <c r="BZ3682" s="395"/>
      <c r="CA3682" s="395"/>
      <c r="CE3682" s="548"/>
      <c r="CF3682" s="548"/>
      <c r="CG3682" s="548"/>
      <c r="CH3682" s="548"/>
      <c r="GF3682" s="24">
        <v>4.0999999999999996</v>
      </c>
      <c r="GG3682" s="24">
        <v>18</v>
      </c>
      <c r="GJ3682" s="24" t="s">
        <v>3387</v>
      </c>
      <c r="JD3682" s="249"/>
    </row>
    <row r="3683" spans="1:264" s="24" customFormat="1" x14ac:dyDescent="0.25">
      <c r="A3683" s="24">
        <v>168</v>
      </c>
      <c r="B3683" s="42" t="s">
        <v>3385</v>
      </c>
      <c r="C3683" s="24" t="s">
        <v>3323</v>
      </c>
      <c r="D3683" s="24" t="s">
        <v>3358</v>
      </c>
      <c r="E3683" s="24">
        <v>2005</v>
      </c>
      <c r="F3683" s="24">
        <v>2002</v>
      </c>
      <c r="G3683" s="24" t="s">
        <v>3367</v>
      </c>
      <c r="H3683" s="24" t="s">
        <v>3369</v>
      </c>
      <c r="I3683" s="24" t="s">
        <v>2829</v>
      </c>
      <c r="J3683" s="24">
        <v>-13.25</v>
      </c>
      <c r="K3683" s="24">
        <v>32.6</v>
      </c>
      <c r="L3683" s="24">
        <v>1015</v>
      </c>
      <c r="N3683" s="24">
        <v>20.5</v>
      </c>
      <c r="P3683" s="24">
        <v>960</v>
      </c>
      <c r="R3683" s="42" t="s">
        <v>1847</v>
      </c>
      <c r="S3683" s="42" t="s">
        <v>1728</v>
      </c>
      <c r="T3683" s="42"/>
      <c r="U3683" s="42" t="s">
        <v>1864</v>
      </c>
      <c r="V3683" s="42" t="s">
        <v>1382</v>
      </c>
      <c r="W3683" s="42" t="s">
        <v>1717</v>
      </c>
      <c r="X3683" s="42" t="s">
        <v>1382</v>
      </c>
      <c r="Y3683" s="42" t="s">
        <v>1382</v>
      </c>
      <c r="AA3683" s="321">
        <v>71</v>
      </c>
      <c r="AB3683" s="321">
        <v>12</v>
      </c>
      <c r="AC3683" s="24" t="s">
        <v>175</v>
      </c>
      <c r="AD3683" s="24">
        <v>4.51</v>
      </c>
      <c r="AE3683" s="24">
        <v>0.74</v>
      </c>
      <c r="AG3683" s="24" t="s">
        <v>2755</v>
      </c>
      <c r="AH3683" s="24" t="s">
        <v>3379</v>
      </c>
      <c r="AI3683" s="24" t="s">
        <v>577</v>
      </c>
      <c r="AJ3683" s="24" t="s">
        <v>1645</v>
      </c>
      <c r="AK3683" s="24" t="s">
        <v>132</v>
      </c>
      <c r="AW3683" s="24" t="s">
        <v>3376</v>
      </c>
      <c r="AX3683" s="24">
        <v>4</v>
      </c>
      <c r="AZ3683" s="24" t="s">
        <v>141</v>
      </c>
      <c r="BK3683" s="24">
        <v>1700</v>
      </c>
      <c r="BL3683" s="24">
        <v>3200</v>
      </c>
      <c r="BP3683" s="395"/>
      <c r="BQ3683" s="395"/>
      <c r="BU3683" s="395"/>
      <c r="BV3683" s="395"/>
      <c r="BZ3683" s="395"/>
      <c r="CA3683" s="395"/>
      <c r="CE3683" s="548"/>
      <c r="CF3683" s="548"/>
      <c r="CG3683" s="548"/>
      <c r="CH3683" s="548"/>
      <c r="GF3683" s="24">
        <v>4.0999999999999996</v>
      </c>
      <c r="GG3683" s="24">
        <v>11.3</v>
      </c>
      <c r="GJ3683" s="24" t="s">
        <v>3387</v>
      </c>
      <c r="JD3683" s="249"/>
    </row>
    <row r="3684" spans="1:264" s="24" customFormat="1" x14ac:dyDescent="0.25">
      <c r="A3684" s="24">
        <v>168</v>
      </c>
      <c r="B3684" s="42" t="s">
        <v>3385</v>
      </c>
      <c r="C3684" s="24" t="s">
        <v>3323</v>
      </c>
      <c r="D3684" s="24" t="s">
        <v>3358</v>
      </c>
      <c r="E3684" s="24">
        <v>2005</v>
      </c>
      <c r="F3684" s="24">
        <v>2002</v>
      </c>
      <c r="G3684" s="24" t="s">
        <v>3367</v>
      </c>
      <c r="H3684" s="24" t="s">
        <v>3369</v>
      </c>
      <c r="I3684" s="24" t="s">
        <v>2829</v>
      </c>
      <c r="J3684" s="24">
        <v>-13.25</v>
      </c>
      <c r="K3684" s="24">
        <v>32.6</v>
      </c>
      <c r="L3684" s="24">
        <v>1015</v>
      </c>
      <c r="N3684" s="24">
        <v>20.5</v>
      </c>
      <c r="P3684" s="24">
        <v>960</v>
      </c>
      <c r="R3684" s="42" t="s">
        <v>1847</v>
      </c>
      <c r="S3684" s="42" t="s">
        <v>1728</v>
      </c>
      <c r="T3684" s="42"/>
      <c r="U3684" s="42" t="s">
        <v>1864</v>
      </c>
      <c r="V3684" s="42" t="s">
        <v>1382</v>
      </c>
      <c r="W3684" s="42" t="s">
        <v>1717</v>
      </c>
      <c r="X3684" s="42" t="s">
        <v>1382</v>
      </c>
      <c r="Y3684" s="42" t="s">
        <v>1382</v>
      </c>
      <c r="AA3684" s="321">
        <v>71</v>
      </c>
      <c r="AB3684" s="321">
        <v>12</v>
      </c>
      <c r="AC3684" s="24" t="s">
        <v>175</v>
      </c>
      <c r="AD3684" s="24">
        <v>4.51</v>
      </c>
      <c r="AE3684" s="24">
        <v>0.74</v>
      </c>
      <c r="AG3684" s="24" t="s">
        <v>2755</v>
      </c>
      <c r="AH3684" s="24" t="s">
        <v>3380</v>
      </c>
      <c r="AI3684" s="24" t="s">
        <v>577</v>
      </c>
      <c r="AJ3684" s="24" t="s">
        <v>1645</v>
      </c>
      <c r="AK3684" s="24" t="s">
        <v>132</v>
      </c>
      <c r="AW3684" s="24" t="s">
        <v>3376</v>
      </c>
      <c r="AX3684" s="24">
        <v>4</v>
      </c>
      <c r="AZ3684" s="24" t="s">
        <v>141</v>
      </c>
      <c r="BK3684" s="24">
        <v>1700</v>
      </c>
      <c r="BL3684" s="24">
        <v>2300</v>
      </c>
      <c r="BP3684" s="395"/>
      <c r="BQ3684" s="395"/>
      <c r="BU3684" s="395"/>
      <c r="BV3684" s="395"/>
      <c r="BZ3684" s="395"/>
      <c r="CA3684" s="395"/>
      <c r="CE3684" s="548"/>
      <c r="CF3684" s="548"/>
      <c r="CG3684" s="548"/>
      <c r="CH3684" s="548"/>
      <c r="GF3684" s="24">
        <v>4.0999999999999996</v>
      </c>
      <c r="GG3684" s="24">
        <v>8.1</v>
      </c>
      <c r="GJ3684" s="24" t="s">
        <v>3387</v>
      </c>
      <c r="JD3684" s="249"/>
    </row>
    <row r="3685" spans="1:264" s="24" customFormat="1" x14ac:dyDescent="0.25">
      <c r="A3685" s="24">
        <v>168</v>
      </c>
      <c r="B3685" s="42" t="s">
        <v>3385</v>
      </c>
      <c r="C3685" s="24" t="s">
        <v>3323</v>
      </c>
      <c r="D3685" s="24" t="s">
        <v>3358</v>
      </c>
      <c r="E3685" s="24">
        <v>2005</v>
      </c>
      <c r="F3685" s="24">
        <v>2002</v>
      </c>
      <c r="G3685" s="24" t="s">
        <v>3367</v>
      </c>
      <c r="H3685" s="24" t="s">
        <v>3369</v>
      </c>
      <c r="I3685" s="24" t="s">
        <v>2829</v>
      </c>
      <c r="J3685" s="24">
        <v>-13.25</v>
      </c>
      <c r="K3685" s="24">
        <v>32.6</v>
      </c>
      <c r="L3685" s="24">
        <v>1015</v>
      </c>
      <c r="N3685" s="24">
        <v>20.5</v>
      </c>
      <c r="P3685" s="24">
        <v>960</v>
      </c>
      <c r="R3685" s="42" t="s">
        <v>1847</v>
      </c>
      <c r="S3685" s="42" t="s">
        <v>1728</v>
      </c>
      <c r="T3685" s="42"/>
      <c r="U3685" s="42" t="s">
        <v>1864</v>
      </c>
      <c r="V3685" s="42" t="s">
        <v>1382</v>
      </c>
      <c r="W3685" s="42" t="s">
        <v>1717</v>
      </c>
      <c r="X3685" s="42" t="s">
        <v>1382</v>
      </c>
      <c r="Y3685" s="42" t="s">
        <v>1382</v>
      </c>
      <c r="AA3685" s="321">
        <v>71</v>
      </c>
      <c r="AB3685" s="321">
        <v>12</v>
      </c>
      <c r="AC3685" s="24" t="s">
        <v>175</v>
      </c>
      <c r="AD3685" s="24">
        <v>4.51</v>
      </c>
      <c r="AE3685" s="24">
        <v>0.74</v>
      </c>
      <c r="AG3685" s="24" t="s">
        <v>2755</v>
      </c>
      <c r="AH3685" s="24" t="s">
        <v>3381</v>
      </c>
      <c r="AI3685" s="24" t="s">
        <v>577</v>
      </c>
      <c r="AJ3685" s="24" t="s">
        <v>1645</v>
      </c>
      <c r="AK3685" s="24" t="s">
        <v>132</v>
      </c>
      <c r="AW3685" s="24" t="s">
        <v>3376</v>
      </c>
      <c r="AX3685" s="24">
        <v>4</v>
      </c>
      <c r="AZ3685" s="24" t="s">
        <v>141</v>
      </c>
      <c r="BK3685" s="24">
        <v>1700</v>
      </c>
      <c r="BL3685" s="24">
        <v>3400</v>
      </c>
      <c r="BP3685" s="395"/>
      <c r="BQ3685" s="395"/>
      <c r="BU3685" s="395"/>
      <c r="BV3685" s="395"/>
      <c r="BZ3685" s="395"/>
      <c r="CA3685" s="395"/>
      <c r="CE3685" s="548"/>
      <c r="CF3685" s="548"/>
      <c r="CG3685" s="548"/>
      <c r="CH3685" s="548"/>
      <c r="GF3685" s="24">
        <v>4.0999999999999996</v>
      </c>
      <c r="GG3685" s="24">
        <v>9.3000000000000007</v>
      </c>
      <c r="GJ3685" s="24" t="s">
        <v>3387</v>
      </c>
      <c r="JD3685" s="249"/>
    </row>
    <row r="3686" spans="1:264" s="24" customFormat="1" x14ac:dyDescent="0.25">
      <c r="A3686" s="24">
        <v>168</v>
      </c>
      <c r="B3686" s="42" t="s">
        <v>3385</v>
      </c>
      <c r="C3686" s="24" t="s">
        <v>3323</v>
      </c>
      <c r="D3686" s="24" t="s">
        <v>3358</v>
      </c>
      <c r="E3686" s="24">
        <v>2005</v>
      </c>
      <c r="F3686" s="24">
        <v>2002</v>
      </c>
      <c r="G3686" s="24" t="s">
        <v>3367</v>
      </c>
      <c r="H3686" s="24" t="s">
        <v>3369</v>
      </c>
      <c r="I3686" s="24" t="s">
        <v>2829</v>
      </c>
      <c r="J3686" s="24">
        <v>-13.25</v>
      </c>
      <c r="K3686" s="24">
        <v>32.6</v>
      </c>
      <c r="L3686" s="24">
        <v>1015</v>
      </c>
      <c r="N3686" s="24">
        <v>20.5</v>
      </c>
      <c r="P3686" s="24">
        <v>960</v>
      </c>
      <c r="R3686" s="42" t="s">
        <v>1847</v>
      </c>
      <c r="S3686" s="42" t="s">
        <v>1728</v>
      </c>
      <c r="T3686" s="42"/>
      <c r="U3686" s="42" t="s">
        <v>1864</v>
      </c>
      <c r="V3686" s="42" t="s">
        <v>1382</v>
      </c>
      <c r="W3686" s="42" t="s">
        <v>1717</v>
      </c>
      <c r="X3686" s="42" t="s">
        <v>1382</v>
      </c>
      <c r="Y3686" s="42" t="s">
        <v>1382</v>
      </c>
      <c r="AA3686" s="321">
        <v>71</v>
      </c>
      <c r="AB3686" s="321">
        <v>12</v>
      </c>
      <c r="AC3686" s="24" t="s">
        <v>175</v>
      </c>
      <c r="AD3686" s="24">
        <v>4.51</v>
      </c>
      <c r="AE3686" s="24">
        <v>0.74</v>
      </c>
      <c r="AG3686" s="24" t="s">
        <v>2755</v>
      </c>
      <c r="AH3686" s="24" t="s">
        <v>3382</v>
      </c>
      <c r="AI3686" s="24" t="s">
        <v>577</v>
      </c>
      <c r="AJ3686" s="24" t="s">
        <v>1645</v>
      </c>
      <c r="AK3686" s="24" t="s">
        <v>132</v>
      </c>
      <c r="AW3686" s="24" t="s">
        <v>3376</v>
      </c>
      <c r="AX3686" s="24">
        <v>4</v>
      </c>
      <c r="AZ3686" s="24" t="s">
        <v>141</v>
      </c>
      <c r="BK3686" s="24">
        <v>1700</v>
      </c>
      <c r="BL3686" s="24">
        <v>2900</v>
      </c>
      <c r="BP3686" s="395"/>
      <c r="BQ3686" s="395"/>
      <c r="BU3686" s="395"/>
      <c r="BV3686" s="395"/>
      <c r="BZ3686" s="395"/>
      <c r="CA3686" s="395"/>
      <c r="CE3686" s="548"/>
      <c r="CF3686" s="548"/>
      <c r="CG3686" s="548"/>
      <c r="CH3686" s="548"/>
      <c r="GF3686" s="24">
        <v>4.0999999999999996</v>
      </c>
      <c r="GG3686" s="24">
        <v>4.9000000000000004</v>
      </c>
      <c r="GJ3686" s="24" t="s">
        <v>3387</v>
      </c>
      <c r="JD3686" s="249"/>
    </row>
    <row r="3687" spans="1:264" s="32" customFormat="1" x14ac:dyDescent="0.25">
      <c r="A3687" s="32">
        <v>168</v>
      </c>
      <c r="B3687" s="44" t="s">
        <v>3386</v>
      </c>
      <c r="C3687" s="32" t="s">
        <v>3323</v>
      </c>
      <c r="D3687" s="32" t="s">
        <v>3358</v>
      </c>
      <c r="E3687" s="32">
        <v>2005</v>
      </c>
      <c r="F3687" s="32">
        <v>2002</v>
      </c>
      <c r="G3687" s="32" t="s">
        <v>3367</v>
      </c>
      <c r="H3687" s="32" t="s">
        <v>3370</v>
      </c>
      <c r="I3687" s="32" t="s">
        <v>2829</v>
      </c>
      <c r="J3687" s="32">
        <v>-13.14</v>
      </c>
      <c r="K3687" s="32">
        <v>27.84</v>
      </c>
      <c r="L3687" s="32">
        <v>1204</v>
      </c>
      <c r="P3687" s="32">
        <v>960</v>
      </c>
      <c r="R3687" s="44" t="s">
        <v>1847</v>
      </c>
      <c r="S3687" s="44" t="s">
        <v>1728</v>
      </c>
      <c r="T3687" s="44"/>
      <c r="U3687" s="44" t="s">
        <v>1864</v>
      </c>
      <c r="V3687" s="44" t="s">
        <v>1382</v>
      </c>
      <c r="W3687" s="44" t="s">
        <v>1717</v>
      </c>
      <c r="X3687" s="44" t="s">
        <v>1382</v>
      </c>
      <c r="Y3687" s="44" t="s">
        <v>1382</v>
      </c>
      <c r="AA3687" s="323">
        <v>84</v>
      </c>
      <c r="AB3687" s="323">
        <v>9</v>
      </c>
      <c r="AC3687" s="32" t="s">
        <v>202</v>
      </c>
      <c r="AD3687" s="32">
        <v>4.96</v>
      </c>
      <c r="AE3687" s="32">
        <v>0.56000000000000005</v>
      </c>
      <c r="AH3687" s="32" t="s">
        <v>3377</v>
      </c>
      <c r="AI3687" s="32" t="s">
        <v>577</v>
      </c>
      <c r="AJ3687" s="32" t="s">
        <v>1645</v>
      </c>
      <c r="AK3687" s="32" t="s">
        <v>132</v>
      </c>
      <c r="AW3687" s="32" t="s">
        <v>3375</v>
      </c>
      <c r="AX3687" s="32">
        <v>4</v>
      </c>
      <c r="AZ3687" s="32" t="s">
        <v>141</v>
      </c>
      <c r="BK3687" s="32">
        <v>700</v>
      </c>
      <c r="BL3687" s="32">
        <v>1200</v>
      </c>
      <c r="BP3687" s="397"/>
      <c r="BQ3687" s="397"/>
      <c r="BU3687" s="397"/>
      <c r="BV3687" s="397"/>
      <c r="BZ3687" s="397"/>
      <c r="CA3687" s="397"/>
      <c r="CE3687" s="550"/>
      <c r="CF3687" s="550"/>
      <c r="CG3687" s="550"/>
      <c r="CH3687" s="550"/>
      <c r="GF3687" s="32">
        <v>12.6</v>
      </c>
      <c r="GG3687" s="32">
        <v>8.3000000000000007</v>
      </c>
      <c r="GJ3687" s="32" t="s">
        <v>3387</v>
      </c>
      <c r="JD3687" s="243"/>
    </row>
    <row r="3688" spans="1:264" s="32" customFormat="1" x14ac:dyDescent="0.25">
      <c r="A3688" s="32">
        <v>168</v>
      </c>
      <c r="B3688" s="44" t="s">
        <v>3386</v>
      </c>
      <c r="C3688" s="32" t="s">
        <v>3323</v>
      </c>
      <c r="D3688" s="32" t="s">
        <v>3358</v>
      </c>
      <c r="E3688" s="32">
        <v>2005</v>
      </c>
      <c r="F3688" s="32">
        <v>2002</v>
      </c>
      <c r="G3688" s="32" t="s">
        <v>3367</v>
      </c>
      <c r="H3688" s="32" t="s">
        <v>3370</v>
      </c>
      <c r="I3688" s="32" t="s">
        <v>2829</v>
      </c>
      <c r="J3688" s="32">
        <v>-13.14</v>
      </c>
      <c r="K3688" s="32">
        <v>27.84</v>
      </c>
      <c r="L3688" s="32">
        <v>1204</v>
      </c>
      <c r="P3688" s="32">
        <v>960</v>
      </c>
      <c r="R3688" s="44" t="s">
        <v>1847</v>
      </c>
      <c r="S3688" s="44" t="s">
        <v>1728</v>
      </c>
      <c r="T3688" s="44"/>
      <c r="U3688" s="44" t="s">
        <v>1864</v>
      </c>
      <c r="V3688" s="44" t="s">
        <v>1382</v>
      </c>
      <c r="W3688" s="44" t="s">
        <v>1717</v>
      </c>
      <c r="X3688" s="44" t="s">
        <v>1382</v>
      </c>
      <c r="Y3688" s="44" t="s">
        <v>1382</v>
      </c>
      <c r="AA3688" s="323">
        <v>84</v>
      </c>
      <c r="AB3688" s="323">
        <v>9</v>
      </c>
      <c r="AC3688" s="32" t="s">
        <v>202</v>
      </c>
      <c r="AD3688" s="32">
        <v>4.96</v>
      </c>
      <c r="AE3688" s="32">
        <v>0.56000000000000005</v>
      </c>
      <c r="AH3688" s="32" t="s">
        <v>2918</v>
      </c>
      <c r="AI3688" s="32" t="s">
        <v>577</v>
      </c>
      <c r="AJ3688" s="32" t="s">
        <v>1645</v>
      </c>
      <c r="AK3688" s="32" t="s">
        <v>132</v>
      </c>
      <c r="AW3688" s="32" t="s">
        <v>3375</v>
      </c>
      <c r="AX3688" s="32">
        <v>4</v>
      </c>
      <c r="AZ3688" s="32" t="s">
        <v>141</v>
      </c>
      <c r="BK3688" s="32">
        <v>700</v>
      </c>
      <c r="BL3688" s="32">
        <v>2300</v>
      </c>
      <c r="BP3688" s="397"/>
      <c r="BQ3688" s="397"/>
      <c r="BU3688" s="397"/>
      <c r="BV3688" s="397"/>
      <c r="BZ3688" s="397"/>
      <c r="CA3688" s="397"/>
      <c r="CE3688" s="550"/>
      <c r="CF3688" s="550"/>
      <c r="CG3688" s="550"/>
      <c r="CH3688" s="550"/>
      <c r="GF3688" s="32">
        <v>12.6</v>
      </c>
      <c r="GG3688" s="32">
        <v>18.5</v>
      </c>
      <c r="GJ3688" s="32" t="s">
        <v>3387</v>
      </c>
      <c r="JD3688" s="243"/>
    </row>
    <row r="3689" spans="1:264" s="32" customFormat="1" x14ac:dyDescent="0.25">
      <c r="A3689" s="32">
        <v>168</v>
      </c>
      <c r="B3689" s="44" t="s">
        <v>3386</v>
      </c>
      <c r="C3689" s="32" t="s">
        <v>3323</v>
      </c>
      <c r="D3689" s="32" t="s">
        <v>3358</v>
      </c>
      <c r="E3689" s="32">
        <v>2005</v>
      </c>
      <c r="F3689" s="32">
        <v>2002</v>
      </c>
      <c r="G3689" s="32" t="s">
        <v>3367</v>
      </c>
      <c r="H3689" s="32" t="s">
        <v>3370</v>
      </c>
      <c r="I3689" s="32" t="s">
        <v>2829</v>
      </c>
      <c r="J3689" s="32">
        <v>-13.14</v>
      </c>
      <c r="K3689" s="32">
        <v>27.84</v>
      </c>
      <c r="L3689" s="32">
        <v>1204</v>
      </c>
      <c r="P3689" s="32">
        <v>960</v>
      </c>
      <c r="R3689" s="44" t="s">
        <v>1847</v>
      </c>
      <c r="S3689" s="44" t="s">
        <v>1728</v>
      </c>
      <c r="T3689" s="44"/>
      <c r="U3689" s="44" t="s">
        <v>1864</v>
      </c>
      <c r="V3689" s="44" t="s">
        <v>1382</v>
      </c>
      <c r="W3689" s="44" t="s">
        <v>1717</v>
      </c>
      <c r="X3689" s="44" t="s">
        <v>1382</v>
      </c>
      <c r="Y3689" s="44" t="s">
        <v>1382</v>
      </c>
      <c r="AA3689" s="323">
        <v>84</v>
      </c>
      <c r="AB3689" s="323">
        <v>9</v>
      </c>
      <c r="AC3689" s="32" t="s">
        <v>202</v>
      </c>
      <c r="AD3689" s="32">
        <v>4.96</v>
      </c>
      <c r="AE3689" s="32">
        <v>0.56000000000000005</v>
      </c>
      <c r="AH3689" s="32" t="s">
        <v>3165</v>
      </c>
      <c r="AI3689" s="32" t="s">
        <v>577</v>
      </c>
      <c r="AJ3689" s="32" t="s">
        <v>1645</v>
      </c>
      <c r="AK3689" s="32" t="s">
        <v>132</v>
      </c>
      <c r="AW3689" s="32" t="s">
        <v>3375</v>
      </c>
      <c r="AX3689" s="32">
        <v>4</v>
      </c>
      <c r="AZ3689" s="32" t="s">
        <v>141</v>
      </c>
      <c r="BK3689" s="32">
        <v>700</v>
      </c>
      <c r="BL3689" s="32">
        <v>1500</v>
      </c>
      <c r="BP3689" s="397"/>
      <c r="BQ3689" s="397"/>
      <c r="BU3689" s="397"/>
      <c r="BV3689" s="397"/>
      <c r="BZ3689" s="397"/>
      <c r="CA3689" s="397"/>
      <c r="CE3689" s="550"/>
      <c r="CF3689" s="550"/>
      <c r="CG3689" s="550"/>
      <c r="CH3689" s="550"/>
      <c r="GF3689" s="32">
        <v>12.6</v>
      </c>
      <c r="GG3689" s="32">
        <v>1.4</v>
      </c>
      <c r="GJ3689" s="32" t="s">
        <v>3387</v>
      </c>
      <c r="JD3689" s="243"/>
    </row>
    <row r="3690" spans="1:264" s="32" customFormat="1" x14ac:dyDescent="0.25">
      <c r="A3690" s="32">
        <v>168</v>
      </c>
      <c r="B3690" s="44" t="s">
        <v>3386</v>
      </c>
      <c r="C3690" s="32" t="s">
        <v>3323</v>
      </c>
      <c r="D3690" s="32" t="s">
        <v>3358</v>
      </c>
      <c r="E3690" s="32">
        <v>2005</v>
      </c>
      <c r="F3690" s="32">
        <v>2002</v>
      </c>
      <c r="G3690" s="32" t="s">
        <v>3367</v>
      </c>
      <c r="H3690" s="32" t="s">
        <v>3370</v>
      </c>
      <c r="I3690" s="32" t="s">
        <v>2829</v>
      </c>
      <c r="J3690" s="32">
        <v>-13.14</v>
      </c>
      <c r="K3690" s="32">
        <v>27.84</v>
      </c>
      <c r="L3690" s="32">
        <v>1204</v>
      </c>
      <c r="P3690" s="32">
        <v>960</v>
      </c>
      <c r="R3690" s="44" t="s">
        <v>1847</v>
      </c>
      <c r="S3690" s="44" t="s">
        <v>1728</v>
      </c>
      <c r="T3690" s="44"/>
      <c r="U3690" s="44" t="s">
        <v>1864</v>
      </c>
      <c r="V3690" s="44" t="s">
        <v>1382</v>
      </c>
      <c r="W3690" s="44" t="s">
        <v>1717</v>
      </c>
      <c r="X3690" s="44" t="s">
        <v>1382</v>
      </c>
      <c r="Y3690" s="44" t="s">
        <v>1382</v>
      </c>
      <c r="AA3690" s="323">
        <v>84</v>
      </c>
      <c r="AB3690" s="323">
        <v>9</v>
      </c>
      <c r="AC3690" s="32" t="s">
        <v>202</v>
      </c>
      <c r="AD3690" s="32">
        <v>4.96</v>
      </c>
      <c r="AE3690" s="32">
        <v>0.56000000000000005</v>
      </c>
      <c r="AH3690" s="32" t="s">
        <v>3378</v>
      </c>
      <c r="AI3690" s="32" t="s">
        <v>577</v>
      </c>
      <c r="AJ3690" s="32" t="s">
        <v>1645</v>
      </c>
      <c r="AK3690" s="32" t="s">
        <v>132</v>
      </c>
      <c r="AW3690" s="32" t="s">
        <v>3375</v>
      </c>
      <c r="AX3690" s="32">
        <v>4</v>
      </c>
      <c r="AZ3690" s="32" t="s">
        <v>141</v>
      </c>
      <c r="BK3690" s="32">
        <v>700</v>
      </c>
      <c r="BL3690" s="32">
        <v>1000</v>
      </c>
      <c r="BP3690" s="397"/>
      <c r="BQ3690" s="397"/>
      <c r="BU3690" s="397"/>
      <c r="BV3690" s="397"/>
      <c r="BZ3690" s="397"/>
      <c r="CA3690" s="397"/>
      <c r="CE3690" s="550"/>
      <c r="CF3690" s="550"/>
      <c r="CG3690" s="550"/>
      <c r="CH3690" s="550"/>
      <c r="GF3690" s="32">
        <v>12.6</v>
      </c>
      <c r="GG3690" s="32">
        <v>8.4</v>
      </c>
      <c r="GJ3690" s="32" t="s">
        <v>3387</v>
      </c>
      <c r="JD3690" s="243"/>
    </row>
    <row r="3691" spans="1:264" s="32" customFormat="1" x14ac:dyDescent="0.25">
      <c r="A3691" s="32">
        <v>168</v>
      </c>
      <c r="B3691" s="44" t="s">
        <v>3386</v>
      </c>
      <c r="C3691" s="32" t="s">
        <v>3323</v>
      </c>
      <c r="D3691" s="32" t="s">
        <v>3358</v>
      </c>
      <c r="E3691" s="32">
        <v>2005</v>
      </c>
      <c r="F3691" s="32">
        <v>2002</v>
      </c>
      <c r="G3691" s="32" t="s">
        <v>3367</v>
      </c>
      <c r="H3691" s="32" t="s">
        <v>3370</v>
      </c>
      <c r="I3691" s="32" t="s">
        <v>2829</v>
      </c>
      <c r="J3691" s="32">
        <v>-13.14</v>
      </c>
      <c r="K3691" s="32">
        <v>27.84</v>
      </c>
      <c r="L3691" s="32">
        <v>1204</v>
      </c>
      <c r="P3691" s="32">
        <v>960</v>
      </c>
      <c r="R3691" s="44" t="s">
        <v>1847</v>
      </c>
      <c r="S3691" s="44" t="s">
        <v>1728</v>
      </c>
      <c r="T3691" s="44"/>
      <c r="U3691" s="44" t="s">
        <v>1864</v>
      </c>
      <c r="V3691" s="44" t="s">
        <v>1382</v>
      </c>
      <c r="W3691" s="44" t="s">
        <v>1717</v>
      </c>
      <c r="X3691" s="44" t="s">
        <v>1382</v>
      </c>
      <c r="Y3691" s="44" t="s">
        <v>1382</v>
      </c>
      <c r="AA3691" s="323">
        <v>84</v>
      </c>
      <c r="AB3691" s="323">
        <v>9</v>
      </c>
      <c r="AC3691" s="32" t="s">
        <v>202</v>
      </c>
      <c r="AD3691" s="32">
        <v>4.96</v>
      </c>
      <c r="AE3691" s="32">
        <v>0.56000000000000005</v>
      </c>
      <c r="AH3691" s="32" t="s">
        <v>3379</v>
      </c>
      <c r="AI3691" s="32" t="s">
        <v>577</v>
      </c>
      <c r="AJ3691" s="32" t="s">
        <v>1645</v>
      </c>
      <c r="AK3691" s="32" t="s">
        <v>132</v>
      </c>
      <c r="AW3691" s="32" t="s">
        <v>3375</v>
      </c>
      <c r="AX3691" s="32">
        <v>4</v>
      </c>
      <c r="AZ3691" s="32" t="s">
        <v>141</v>
      </c>
      <c r="BK3691" s="32">
        <v>700</v>
      </c>
      <c r="BL3691" s="32">
        <v>800</v>
      </c>
      <c r="BP3691" s="397"/>
      <c r="BQ3691" s="397"/>
      <c r="BU3691" s="397"/>
      <c r="BV3691" s="397"/>
      <c r="BZ3691" s="397"/>
      <c r="CA3691" s="397"/>
      <c r="CE3691" s="550"/>
      <c r="CF3691" s="550"/>
      <c r="CG3691" s="550"/>
      <c r="CH3691" s="550"/>
      <c r="GF3691" s="32">
        <v>12.6</v>
      </c>
      <c r="GG3691" s="32">
        <v>4.7</v>
      </c>
      <c r="GJ3691" s="32" t="s">
        <v>3387</v>
      </c>
      <c r="JD3691" s="243"/>
    </row>
    <row r="3692" spans="1:264" s="32" customFormat="1" x14ac:dyDescent="0.25">
      <c r="A3692" s="32">
        <v>168</v>
      </c>
      <c r="B3692" s="44" t="s">
        <v>3386</v>
      </c>
      <c r="C3692" s="32" t="s">
        <v>3323</v>
      </c>
      <c r="D3692" s="32" t="s">
        <v>3358</v>
      </c>
      <c r="E3692" s="32">
        <v>2005</v>
      </c>
      <c r="F3692" s="32">
        <v>2002</v>
      </c>
      <c r="G3692" s="32" t="s">
        <v>3367</v>
      </c>
      <c r="H3692" s="32" t="s">
        <v>3370</v>
      </c>
      <c r="I3692" s="32" t="s">
        <v>2829</v>
      </c>
      <c r="J3692" s="32">
        <v>-13.14</v>
      </c>
      <c r="K3692" s="32">
        <v>27.84</v>
      </c>
      <c r="L3692" s="32">
        <v>1204</v>
      </c>
      <c r="P3692" s="32">
        <v>960</v>
      </c>
      <c r="R3692" s="44" t="s">
        <v>1847</v>
      </c>
      <c r="S3692" s="44" t="s">
        <v>1728</v>
      </c>
      <c r="T3692" s="44"/>
      <c r="U3692" s="44" t="s">
        <v>1864</v>
      </c>
      <c r="V3692" s="44" t="s">
        <v>1382</v>
      </c>
      <c r="W3692" s="44" t="s">
        <v>1717</v>
      </c>
      <c r="X3692" s="44" t="s">
        <v>1382</v>
      </c>
      <c r="Y3692" s="44" t="s">
        <v>1382</v>
      </c>
      <c r="AA3692" s="323">
        <v>84</v>
      </c>
      <c r="AB3692" s="323">
        <v>9</v>
      </c>
      <c r="AC3692" s="32" t="s">
        <v>202</v>
      </c>
      <c r="AD3692" s="32">
        <v>4.96</v>
      </c>
      <c r="AE3692" s="32">
        <v>0.56000000000000005</v>
      </c>
      <c r="AH3692" s="32" t="s">
        <v>3380</v>
      </c>
      <c r="AI3692" s="32" t="s">
        <v>577</v>
      </c>
      <c r="AJ3692" s="32" t="s">
        <v>1645</v>
      </c>
      <c r="AK3692" s="32" t="s">
        <v>132</v>
      </c>
      <c r="AW3692" s="32" t="s">
        <v>3375</v>
      </c>
      <c r="AX3692" s="32">
        <v>4</v>
      </c>
      <c r="AZ3692" s="32" t="s">
        <v>141</v>
      </c>
      <c r="BK3692" s="32">
        <v>700</v>
      </c>
      <c r="BL3692" s="32">
        <v>1100</v>
      </c>
      <c r="BP3692" s="397"/>
      <c r="BQ3692" s="397"/>
      <c r="BU3692" s="397"/>
      <c r="BV3692" s="397"/>
      <c r="BZ3692" s="397"/>
      <c r="CA3692" s="397"/>
      <c r="CE3692" s="550"/>
      <c r="CF3692" s="550"/>
      <c r="CG3692" s="550"/>
      <c r="CH3692" s="550"/>
      <c r="GF3692" s="32">
        <v>12.6</v>
      </c>
      <c r="GG3692" s="32">
        <v>2.6</v>
      </c>
      <c r="GJ3692" s="32" t="s">
        <v>3387</v>
      </c>
      <c r="JD3692" s="243"/>
    </row>
    <row r="3693" spans="1:264" s="32" customFormat="1" x14ac:dyDescent="0.25">
      <c r="A3693" s="32">
        <v>168</v>
      </c>
      <c r="B3693" s="44" t="s">
        <v>3386</v>
      </c>
      <c r="C3693" s="32" t="s">
        <v>3323</v>
      </c>
      <c r="D3693" s="32" t="s">
        <v>3358</v>
      </c>
      <c r="E3693" s="32">
        <v>2005</v>
      </c>
      <c r="F3693" s="32">
        <v>2002</v>
      </c>
      <c r="G3693" s="32" t="s">
        <v>3367</v>
      </c>
      <c r="H3693" s="32" t="s">
        <v>3370</v>
      </c>
      <c r="I3693" s="32" t="s">
        <v>2829</v>
      </c>
      <c r="J3693" s="32">
        <v>-13.14</v>
      </c>
      <c r="K3693" s="32">
        <v>27.84</v>
      </c>
      <c r="L3693" s="32">
        <v>1204</v>
      </c>
      <c r="P3693" s="32">
        <v>960</v>
      </c>
      <c r="R3693" s="44" t="s">
        <v>1847</v>
      </c>
      <c r="S3693" s="44" t="s">
        <v>1728</v>
      </c>
      <c r="T3693" s="44"/>
      <c r="U3693" s="44" t="s">
        <v>1864</v>
      </c>
      <c r="V3693" s="44" t="s">
        <v>1382</v>
      </c>
      <c r="W3693" s="44" t="s">
        <v>1717</v>
      </c>
      <c r="X3693" s="44" t="s">
        <v>1382</v>
      </c>
      <c r="Y3693" s="44" t="s">
        <v>1382</v>
      </c>
      <c r="AA3693" s="323">
        <v>84</v>
      </c>
      <c r="AB3693" s="323">
        <v>9</v>
      </c>
      <c r="AC3693" s="32" t="s">
        <v>202</v>
      </c>
      <c r="AD3693" s="32">
        <v>4.96</v>
      </c>
      <c r="AE3693" s="32">
        <v>0.56000000000000005</v>
      </c>
      <c r="AH3693" s="32" t="s">
        <v>3381</v>
      </c>
      <c r="AI3693" s="32" t="s">
        <v>577</v>
      </c>
      <c r="AJ3693" s="32" t="s">
        <v>1645</v>
      </c>
      <c r="AK3693" s="32" t="s">
        <v>132</v>
      </c>
      <c r="AW3693" s="32" t="s">
        <v>3375</v>
      </c>
      <c r="AX3693" s="32">
        <v>4</v>
      </c>
      <c r="AZ3693" s="32" t="s">
        <v>141</v>
      </c>
      <c r="BK3693" s="32">
        <v>700</v>
      </c>
      <c r="BL3693" s="32">
        <v>1100</v>
      </c>
      <c r="BP3693" s="397"/>
      <c r="BQ3693" s="397"/>
      <c r="BU3693" s="397"/>
      <c r="BV3693" s="397"/>
      <c r="BZ3693" s="397"/>
      <c r="CA3693" s="397"/>
      <c r="CE3693" s="550"/>
      <c r="CF3693" s="550"/>
      <c r="CG3693" s="550"/>
      <c r="CH3693" s="550"/>
      <c r="GF3693" s="32">
        <v>12.6</v>
      </c>
      <c r="GG3693" s="32">
        <v>4.8</v>
      </c>
      <c r="GJ3693" s="32" t="s">
        <v>3387</v>
      </c>
      <c r="JD3693" s="243"/>
    </row>
    <row r="3694" spans="1:264" s="32" customFormat="1" x14ac:dyDescent="0.25">
      <c r="A3694" s="32">
        <v>168</v>
      </c>
      <c r="B3694" s="44" t="s">
        <v>3386</v>
      </c>
      <c r="C3694" s="32" t="s">
        <v>3323</v>
      </c>
      <c r="D3694" s="32" t="s">
        <v>3358</v>
      </c>
      <c r="E3694" s="32">
        <v>2005</v>
      </c>
      <c r="F3694" s="32">
        <v>2002</v>
      </c>
      <c r="G3694" s="32" t="s">
        <v>3367</v>
      </c>
      <c r="H3694" s="32" t="s">
        <v>3370</v>
      </c>
      <c r="I3694" s="32" t="s">
        <v>2829</v>
      </c>
      <c r="J3694" s="32">
        <v>-13.14</v>
      </c>
      <c r="K3694" s="32">
        <v>27.84</v>
      </c>
      <c r="L3694" s="32">
        <v>1204</v>
      </c>
      <c r="P3694" s="32">
        <v>960</v>
      </c>
      <c r="R3694" s="44" t="s">
        <v>1847</v>
      </c>
      <c r="S3694" s="44" t="s">
        <v>1728</v>
      </c>
      <c r="T3694" s="44"/>
      <c r="U3694" s="44" t="s">
        <v>1864</v>
      </c>
      <c r="V3694" s="44" t="s">
        <v>1382</v>
      </c>
      <c r="W3694" s="44" t="s">
        <v>1717</v>
      </c>
      <c r="X3694" s="44" t="s">
        <v>1382</v>
      </c>
      <c r="Y3694" s="44" t="s">
        <v>1382</v>
      </c>
      <c r="AA3694" s="323">
        <v>84</v>
      </c>
      <c r="AB3694" s="323">
        <v>9</v>
      </c>
      <c r="AC3694" s="32" t="s">
        <v>202</v>
      </c>
      <c r="AD3694" s="32">
        <v>4.96</v>
      </c>
      <c r="AE3694" s="32">
        <v>0.56000000000000005</v>
      </c>
      <c r="AH3694" s="32" t="s">
        <v>3382</v>
      </c>
      <c r="AI3694" s="32" t="s">
        <v>577</v>
      </c>
      <c r="AJ3694" s="32" t="s">
        <v>1645</v>
      </c>
      <c r="AK3694" s="32" t="s">
        <v>132</v>
      </c>
      <c r="AW3694" s="32" t="s">
        <v>3375</v>
      </c>
      <c r="AX3694" s="32">
        <v>4</v>
      </c>
      <c r="AZ3694" s="32" t="s">
        <v>141</v>
      </c>
      <c r="BK3694" s="32">
        <v>700</v>
      </c>
      <c r="BL3694" s="32">
        <v>900</v>
      </c>
      <c r="BP3694" s="397"/>
      <c r="BQ3694" s="397"/>
      <c r="BU3694" s="397"/>
      <c r="BV3694" s="397"/>
      <c r="BZ3694" s="397"/>
      <c r="CA3694" s="397"/>
      <c r="CE3694" s="550"/>
      <c r="CF3694" s="550"/>
      <c r="CG3694" s="550"/>
      <c r="CH3694" s="550"/>
      <c r="GF3694" s="32">
        <v>12.6</v>
      </c>
      <c r="GG3694" s="32">
        <v>5.6</v>
      </c>
      <c r="GJ3694" s="32" t="s">
        <v>3387</v>
      </c>
      <c r="JD3694" s="243"/>
    </row>
    <row r="3695" spans="1:264" s="32" customFormat="1" x14ac:dyDescent="0.25">
      <c r="A3695" s="32">
        <v>168</v>
      </c>
      <c r="B3695" s="44" t="s">
        <v>3386</v>
      </c>
      <c r="C3695" s="32" t="s">
        <v>3323</v>
      </c>
      <c r="D3695" s="32" t="s">
        <v>3358</v>
      </c>
      <c r="E3695" s="32">
        <v>2005</v>
      </c>
      <c r="F3695" s="32">
        <v>2002</v>
      </c>
      <c r="G3695" s="32" t="s">
        <v>3367</v>
      </c>
      <c r="H3695" s="32" t="s">
        <v>3370</v>
      </c>
      <c r="I3695" s="32" t="s">
        <v>2829</v>
      </c>
      <c r="J3695" s="32">
        <v>-13.14</v>
      </c>
      <c r="K3695" s="32">
        <v>27.84</v>
      </c>
      <c r="L3695" s="32">
        <v>1204</v>
      </c>
      <c r="P3695" s="32">
        <v>960</v>
      </c>
      <c r="R3695" s="44" t="s">
        <v>1847</v>
      </c>
      <c r="S3695" s="44" t="s">
        <v>1728</v>
      </c>
      <c r="T3695" s="44"/>
      <c r="U3695" s="44" t="s">
        <v>1864</v>
      </c>
      <c r="V3695" s="44" t="s">
        <v>1382</v>
      </c>
      <c r="W3695" s="44" t="s">
        <v>1717</v>
      </c>
      <c r="X3695" s="44" t="s">
        <v>1382</v>
      </c>
      <c r="Y3695" s="44" t="s">
        <v>1382</v>
      </c>
      <c r="AA3695" s="323">
        <v>84</v>
      </c>
      <c r="AB3695" s="323">
        <v>9</v>
      </c>
      <c r="AC3695" s="32" t="s">
        <v>202</v>
      </c>
      <c r="AD3695" s="32">
        <v>4.96</v>
      </c>
      <c r="AE3695" s="32">
        <v>0.56000000000000005</v>
      </c>
      <c r="AH3695" s="32" t="s">
        <v>3377</v>
      </c>
      <c r="AI3695" s="32" t="s">
        <v>577</v>
      </c>
      <c r="AJ3695" s="32" t="s">
        <v>1645</v>
      </c>
      <c r="AK3695" s="32" t="s">
        <v>132</v>
      </c>
      <c r="AW3695" s="32" t="s">
        <v>3376</v>
      </c>
      <c r="AX3695" s="32">
        <v>4</v>
      </c>
      <c r="AZ3695" s="32" t="s">
        <v>141</v>
      </c>
      <c r="BK3695" s="32">
        <v>700</v>
      </c>
      <c r="BL3695" s="32">
        <v>1200</v>
      </c>
      <c r="BP3695" s="397"/>
      <c r="BQ3695" s="397"/>
      <c r="BU3695" s="397"/>
      <c r="BV3695" s="397"/>
      <c r="BZ3695" s="397"/>
      <c r="CA3695" s="397"/>
      <c r="CE3695" s="550"/>
      <c r="CF3695" s="550"/>
      <c r="CG3695" s="550"/>
      <c r="CH3695" s="550"/>
      <c r="GF3695" s="32">
        <v>11.7</v>
      </c>
      <c r="GG3695" s="32">
        <v>8.3000000000000007</v>
      </c>
      <c r="GJ3695" s="32" t="s">
        <v>3387</v>
      </c>
      <c r="JD3695" s="243"/>
    </row>
    <row r="3696" spans="1:264" s="32" customFormat="1" x14ac:dyDescent="0.25">
      <c r="A3696" s="32">
        <v>168</v>
      </c>
      <c r="B3696" s="44" t="s">
        <v>3386</v>
      </c>
      <c r="C3696" s="32" t="s">
        <v>3323</v>
      </c>
      <c r="D3696" s="32" t="s">
        <v>3358</v>
      </c>
      <c r="E3696" s="32">
        <v>2005</v>
      </c>
      <c r="F3696" s="32">
        <v>2002</v>
      </c>
      <c r="G3696" s="32" t="s">
        <v>3367</v>
      </c>
      <c r="H3696" s="32" t="s">
        <v>3370</v>
      </c>
      <c r="I3696" s="32" t="s">
        <v>2829</v>
      </c>
      <c r="J3696" s="32">
        <v>-13.14</v>
      </c>
      <c r="K3696" s="32">
        <v>27.84</v>
      </c>
      <c r="L3696" s="32">
        <v>1204</v>
      </c>
      <c r="P3696" s="32">
        <v>960</v>
      </c>
      <c r="R3696" s="44" t="s">
        <v>1847</v>
      </c>
      <c r="S3696" s="44" t="s">
        <v>1728</v>
      </c>
      <c r="T3696" s="44"/>
      <c r="U3696" s="44" t="s">
        <v>1864</v>
      </c>
      <c r="V3696" s="44" t="s">
        <v>1382</v>
      </c>
      <c r="W3696" s="44" t="s">
        <v>1717</v>
      </c>
      <c r="X3696" s="44" t="s">
        <v>1382</v>
      </c>
      <c r="Y3696" s="44" t="s">
        <v>1382</v>
      </c>
      <c r="AA3696" s="323">
        <v>84</v>
      </c>
      <c r="AB3696" s="323">
        <v>9</v>
      </c>
      <c r="AC3696" s="32" t="s">
        <v>202</v>
      </c>
      <c r="AD3696" s="32">
        <v>4.96</v>
      </c>
      <c r="AE3696" s="32">
        <v>0.56000000000000005</v>
      </c>
      <c r="AH3696" s="32" t="s">
        <v>2918</v>
      </c>
      <c r="AI3696" s="32" t="s">
        <v>577</v>
      </c>
      <c r="AJ3696" s="32" t="s">
        <v>1645</v>
      </c>
      <c r="AK3696" s="32" t="s">
        <v>132</v>
      </c>
      <c r="AW3696" s="32" t="s">
        <v>3376</v>
      </c>
      <c r="AX3696" s="32">
        <v>4</v>
      </c>
      <c r="AZ3696" s="32" t="s">
        <v>141</v>
      </c>
      <c r="BK3696" s="32">
        <v>700</v>
      </c>
      <c r="BL3696" s="32">
        <v>2300</v>
      </c>
      <c r="BP3696" s="397"/>
      <c r="BQ3696" s="397"/>
      <c r="BU3696" s="397"/>
      <c r="BV3696" s="397"/>
      <c r="BZ3696" s="397"/>
      <c r="CA3696" s="397"/>
      <c r="CE3696" s="550"/>
      <c r="CF3696" s="550"/>
      <c r="CG3696" s="550"/>
      <c r="CH3696" s="550"/>
      <c r="GF3696" s="32">
        <v>11.7</v>
      </c>
      <c r="GG3696" s="32">
        <v>18.5</v>
      </c>
      <c r="GJ3696" s="32" t="s">
        <v>3387</v>
      </c>
      <c r="JD3696" s="243"/>
    </row>
    <row r="3697" spans="1:264" s="32" customFormat="1" x14ac:dyDescent="0.25">
      <c r="A3697" s="32">
        <v>168</v>
      </c>
      <c r="B3697" s="44" t="s">
        <v>3386</v>
      </c>
      <c r="C3697" s="32" t="s">
        <v>3323</v>
      </c>
      <c r="D3697" s="32" t="s">
        <v>3358</v>
      </c>
      <c r="E3697" s="32">
        <v>2005</v>
      </c>
      <c r="F3697" s="32">
        <v>2002</v>
      </c>
      <c r="G3697" s="32" t="s">
        <v>3367</v>
      </c>
      <c r="H3697" s="32" t="s">
        <v>3370</v>
      </c>
      <c r="I3697" s="32" t="s">
        <v>2829</v>
      </c>
      <c r="J3697" s="32">
        <v>-13.14</v>
      </c>
      <c r="K3697" s="32">
        <v>27.84</v>
      </c>
      <c r="L3697" s="32">
        <v>1204</v>
      </c>
      <c r="P3697" s="32">
        <v>960</v>
      </c>
      <c r="R3697" s="44" t="s">
        <v>1847</v>
      </c>
      <c r="S3697" s="44" t="s">
        <v>1728</v>
      </c>
      <c r="T3697" s="44"/>
      <c r="U3697" s="44" t="s">
        <v>1864</v>
      </c>
      <c r="V3697" s="44" t="s">
        <v>1382</v>
      </c>
      <c r="W3697" s="44" t="s">
        <v>1717</v>
      </c>
      <c r="X3697" s="44" t="s">
        <v>1382</v>
      </c>
      <c r="Y3697" s="44" t="s">
        <v>1382</v>
      </c>
      <c r="AA3697" s="323">
        <v>84</v>
      </c>
      <c r="AB3697" s="323">
        <v>9</v>
      </c>
      <c r="AC3697" s="32" t="s">
        <v>202</v>
      </c>
      <c r="AD3697" s="32">
        <v>4.96</v>
      </c>
      <c r="AE3697" s="32">
        <v>0.56000000000000005</v>
      </c>
      <c r="AH3697" s="32" t="s">
        <v>3165</v>
      </c>
      <c r="AI3697" s="32" t="s">
        <v>577</v>
      </c>
      <c r="AJ3697" s="32" t="s">
        <v>1645</v>
      </c>
      <c r="AK3697" s="32" t="s">
        <v>132</v>
      </c>
      <c r="AW3697" s="32" t="s">
        <v>3376</v>
      </c>
      <c r="AX3697" s="32">
        <v>4</v>
      </c>
      <c r="AZ3697" s="32" t="s">
        <v>141</v>
      </c>
      <c r="BK3697" s="32">
        <v>700</v>
      </c>
      <c r="BL3697" s="32">
        <v>1500</v>
      </c>
      <c r="BP3697" s="397"/>
      <c r="BQ3697" s="397"/>
      <c r="BU3697" s="397"/>
      <c r="BV3697" s="397"/>
      <c r="BZ3697" s="397"/>
      <c r="CA3697" s="397"/>
      <c r="CE3697" s="550"/>
      <c r="CF3697" s="550"/>
      <c r="CG3697" s="550"/>
      <c r="CH3697" s="550"/>
      <c r="GF3697" s="32">
        <v>11.7</v>
      </c>
      <c r="GG3697" s="32">
        <v>1.4</v>
      </c>
      <c r="GJ3697" s="32" t="s">
        <v>3387</v>
      </c>
      <c r="JD3697" s="243"/>
    </row>
    <row r="3698" spans="1:264" s="32" customFormat="1" x14ac:dyDescent="0.25">
      <c r="A3698" s="32">
        <v>168</v>
      </c>
      <c r="B3698" s="44" t="s">
        <v>3386</v>
      </c>
      <c r="C3698" s="32" t="s">
        <v>3323</v>
      </c>
      <c r="D3698" s="32" t="s">
        <v>3358</v>
      </c>
      <c r="E3698" s="32">
        <v>2005</v>
      </c>
      <c r="F3698" s="32">
        <v>2002</v>
      </c>
      <c r="G3698" s="32" t="s">
        <v>3367</v>
      </c>
      <c r="H3698" s="32" t="s">
        <v>3370</v>
      </c>
      <c r="I3698" s="32" t="s">
        <v>2829</v>
      </c>
      <c r="J3698" s="32">
        <v>-13.14</v>
      </c>
      <c r="K3698" s="32">
        <v>27.84</v>
      </c>
      <c r="L3698" s="32">
        <v>1204</v>
      </c>
      <c r="P3698" s="32">
        <v>960</v>
      </c>
      <c r="R3698" s="44" t="s">
        <v>1847</v>
      </c>
      <c r="S3698" s="44" t="s">
        <v>1728</v>
      </c>
      <c r="T3698" s="44"/>
      <c r="U3698" s="44" t="s">
        <v>1864</v>
      </c>
      <c r="V3698" s="44" t="s">
        <v>1382</v>
      </c>
      <c r="W3698" s="44" t="s">
        <v>1717</v>
      </c>
      <c r="X3698" s="44" t="s">
        <v>1382</v>
      </c>
      <c r="Y3698" s="44" t="s">
        <v>1382</v>
      </c>
      <c r="AA3698" s="323">
        <v>84</v>
      </c>
      <c r="AB3698" s="323">
        <v>9</v>
      </c>
      <c r="AC3698" s="32" t="s">
        <v>202</v>
      </c>
      <c r="AD3698" s="32">
        <v>4.96</v>
      </c>
      <c r="AE3698" s="32">
        <v>0.56000000000000005</v>
      </c>
      <c r="AH3698" s="32" t="s">
        <v>3378</v>
      </c>
      <c r="AI3698" s="32" t="s">
        <v>577</v>
      </c>
      <c r="AJ3698" s="32" t="s">
        <v>1645</v>
      </c>
      <c r="AK3698" s="32" t="s">
        <v>132</v>
      </c>
      <c r="AW3698" s="32" t="s">
        <v>3376</v>
      </c>
      <c r="AX3698" s="32">
        <v>4</v>
      </c>
      <c r="AZ3698" s="32" t="s">
        <v>141</v>
      </c>
      <c r="BK3698" s="32">
        <v>700</v>
      </c>
      <c r="BL3698" s="32">
        <v>1000</v>
      </c>
      <c r="BP3698" s="397"/>
      <c r="BQ3698" s="397"/>
      <c r="BU3698" s="397"/>
      <c r="BV3698" s="397"/>
      <c r="BZ3698" s="397"/>
      <c r="CA3698" s="397"/>
      <c r="CE3698" s="550"/>
      <c r="CF3698" s="550"/>
      <c r="CG3698" s="550"/>
      <c r="CH3698" s="550"/>
      <c r="GF3698" s="32">
        <v>11.7</v>
      </c>
      <c r="GG3698" s="32">
        <v>8.4</v>
      </c>
      <c r="GJ3698" s="32" t="s">
        <v>3387</v>
      </c>
      <c r="JD3698" s="243"/>
    </row>
    <row r="3699" spans="1:264" s="32" customFormat="1" x14ac:dyDescent="0.25">
      <c r="A3699" s="32">
        <v>168</v>
      </c>
      <c r="B3699" s="44" t="s">
        <v>3386</v>
      </c>
      <c r="C3699" s="32" t="s">
        <v>3323</v>
      </c>
      <c r="D3699" s="32" t="s">
        <v>3358</v>
      </c>
      <c r="E3699" s="32">
        <v>2005</v>
      </c>
      <c r="F3699" s="32">
        <v>2002</v>
      </c>
      <c r="G3699" s="32" t="s">
        <v>3367</v>
      </c>
      <c r="H3699" s="32" t="s">
        <v>3370</v>
      </c>
      <c r="I3699" s="32" t="s">
        <v>2829</v>
      </c>
      <c r="J3699" s="32">
        <v>-13.14</v>
      </c>
      <c r="K3699" s="32">
        <v>27.84</v>
      </c>
      <c r="L3699" s="32">
        <v>1204</v>
      </c>
      <c r="P3699" s="32">
        <v>960</v>
      </c>
      <c r="R3699" s="44" t="s">
        <v>1847</v>
      </c>
      <c r="S3699" s="44" t="s">
        <v>1728</v>
      </c>
      <c r="T3699" s="44"/>
      <c r="U3699" s="44" t="s">
        <v>1864</v>
      </c>
      <c r="V3699" s="44" t="s">
        <v>1382</v>
      </c>
      <c r="W3699" s="44" t="s">
        <v>1717</v>
      </c>
      <c r="X3699" s="44" t="s">
        <v>1382</v>
      </c>
      <c r="Y3699" s="44" t="s">
        <v>1382</v>
      </c>
      <c r="AA3699" s="323">
        <v>84</v>
      </c>
      <c r="AB3699" s="323">
        <v>9</v>
      </c>
      <c r="AC3699" s="32" t="s">
        <v>202</v>
      </c>
      <c r="AD3699" s="32">
        <v>4.96</v>
      </c>
      <c r="AE3699" s="32">
        <v>0.56000000000000005</v>
      </c>
      <c r="AH3699" s="32" t="s">
        <v>3379</v>
      </c>
      <c r="AI3699" s="32" t="s">
        <v>577</v>
      </c>
      <c r="AJ3699" s="32" t="s">
        <v>1645</v>
      </c>
      <c r="AK3699" s="32" t="s">
        <v>132</v>
      </c>
      <c r="AW3699" s="32" t="s">
        <v>3376</v>
      </c>
      <c r="AX3699" s="32">
        <v>4</v>
      </c>
      <c r="AZ3699" s="32" t="s">
        <v>141</v>
      </c>
      <c r="BK3699" s="32">
        <v>700</v>
      </c>
      <c r="BL3699" s="32">
        <v>800</v>
      </c>
      <c r="BP3699" s="397"/>
      <c r="BQ3699" s="397"/>
      <c r="BU3699" s="397"/>
      <c r="BV3699" s="397"/>
      <c r="BZ3699" s="397"/>
      <c r="CA3699" s="397"/>
      <c r="CE3699" s="550"/>
      <c r="CF3699" s="550"/>
      <c r="CG3699" s="550"/>
      <c r="CH3699" s="550"/>
      <c r="GF3699" s="32">
        <v>11.7</v>
      </c>
      <c r="GG3699" s="32">
        <v>4.7</v>
      </c>
      <c r="GJ3699" s="32" t="s">
        <v>3387</v>
      </c>
      <c r="JD3699" s="243"/>
    </row>
    <row r="3700" spans="1:264" s="32" customFormat="1" x14ac:dyDescent="0.25">
      <c r="A3700" s="32">
        <v>168</v>
      </c>
      <c r="B3700" s="44" t="s">
        <v>3386</v>
      </c>
      <c r="C3700" s="32" t="s">
        <v>3323</v>
      </c>
      <c r="D3700" s="32" t="s">
        <v>3358</v>
      </c>
      <c r="E3700" s="32">
        <v>2005</v>
      </c>
      <c r="F3700" s="32">
        <v>2002</v>
      </c>
      <c r="G3700" s="32" t="s">
        <v>3367</v>
      </c>
      <c r="H3700" s="32" t="s">
        <v>3370</v>
      </c>
      <c r="I3700" s="32" t="s">
        <v>2829</v>
      </c>
      <c r="J3700" s="32">
        <v>-13.14</v>
      </c>
      <c r="K3700" s="32">
        <v>27.84</v>
      </c>
      <c r="L3700" s="32">
        <v>1204</v>
      </c>
      <c r="P3700" s="32">
        <v>960</v>
      </c>
      <c r="R3700" s="44" t="s">
        <v>1847</v>
      </c>
      <c r="S3700" s="44" t="s">
        <v>1728</v>
      </c>
      <c r="T3700" s="44"/>
      <c r="U3700" s="44" t="s">
        <v>1864</v>
      </c>
      <c r="V3700" s="44" t="s">
        <v>1382</v>
      </c>
      <c r="W3700" s="44" t="s">
        <v>1717</v>
      </c>
      <c r="X3700" s="44" t="s">
        <v>1382</v>
      </c>
      <c r="Y3700" s="44" t="s">
        <v>1382</v>
      </c>
      <c r="AA3700" s="323">
        <v>84</v>
      </c>
      <c r="AB3700" s="323">
        <v>9</v>
      </c>
      <c r="AC3700" s="32" t="s">
        <v>202</v>
      </c>
      <c r="AD3700" s="32">
        <v>4.96</v>
      </c>
      <c r="AE3700" s="32">
        <v>0.56000000000000005</v>
      </c>
      <c r="AH3700" s="32" t="s">
        <v>3380</v>
      </c>
      <c r="AI3700" s="32" t="s">
        <v>577</v>
      </c>
      <c r="AJ3700" s="32" t="s">
        <v>1645</v>
      </c>
      <c r="AK3700" s="32" t="s">
        <v>132</v>
      </c>
      <c r="AW3700" s="32" t="s">
        <v>3376</v>
      </c>
      <c r="AX3700" s="32">
        <v>4</v>
      </c>
      <c r="AZ3700" s="32" t="s">
        <v>141</v>
      </c>
      <c r="BK3700" s="32">
        <v>700</v>
      </c>
      <c r="BL3700" s="32">
        <v>1100</v>
      </c>
      <c r="BP3700" s="397"/>
      <c r="BQ3700" s="397"/>
      <c r="BU3700" s="397"/>
      <c r="BV3700" s="397"/>
      <c r="BZ3700" s="397"/>
      <c r="CA3700" s="397"/>
      <c r="CE3700" s="550"/>
      <c r="CF3700" s="550"/>
      <c r="CG3700" s="550"/>
      <c r="CH3700" s="550"/>
      <c r="GF3700" s="32">
        <v>11.7</v>
      </c>
      <c r="GG3700" s="32">
        <v>2.6</v>
      </c>
      <c r="GJ3700" s="32" t="s">
        <v>3387</v>
      </c>
      <c r="JD3700" s="243"/>
    </row>
    <row r="3701" spans="1:264" s="32" customFormat="1" x14ac:dyDescent="0.25">
      <c r="A3701" s="32">
        <v>168</v>
      </c>
      <c r="B3701" s="44" t="s">
        <v>3386</v>
      </c>
      <c r="C3701" s="32" t="s">
        <v>3323</v>
      </c>
      <c r="D3701" s="32" t="s">
        <v>3358</v>
      </c>
      <c r="E3701" s="32">
        <v>2005</v>
      </c>
      <c r="F3701" s="32">
        <v>2002</v>
      </c>
      <c r="G3701" s="32" t="s">
        <v>3367</v>
      </c>
      <c r="H3701" s="32" t="s">
        <v>3370</v>
      </c>
      <c r="I3701" s="32" t="s">
        <v>2829</v>
      </c>
      <c r="J3701" s="32">
        <v>-13.14</v>
      </c>
      <c r="K3701" s="32">
        <v>27.84</v>
      </c>
      <c r="L3701" s="32">
        <v>1204</v>
      </c>
      <c r="P3701" s="32">
        <v>960</v>
      </c>
      <c r="R3701" s="44" t="s">
        <v>1847</v>
      </c>
      <c r="S3701" s="44" t="s">
        <v>1728</v>
      </c>
      <c r="T3701" s="44"/>
      <c r="U3701" s="44" t="s">
        <v>1864</v>
      </c>
      <c r="V3701" s="44" t="s">
        <v>1382</v>
      </c>
      <c r="W3701" s="44" t="s">
        <v>1717</v>
      </c>
      <c r="X3701" s="44" t="s">
        <v>1382</v>
      </c>
      <c r="Y3701" s="44" t="s">
        <v>1382</v>
      </c>
      <c r="AA3701" s="323">
        <v>84</v>
      </c>
      <c r="AB3701" s="323">
        <v>9</v>
      </c>
      <c r="AC3701" s="32" t="s">
        <v>202</v>
      </c>
      <c r="AD3701" s="32">
        <v>4.96</v>
      </c>
      <c r="AE3701" s="32">
        <v>0.56000000000000005</v>
      </c>
      <c r="AH3701" s="32" t="s">
        <v>3381</v>
      </c>
      <c r="AI3701" s="32" t="s">
        <v>577</v>
      </c>
      <c r="AJ3701" s="32" t="s">
        <v>1645</v>
      </c>
      <c r="AK3701" s="32" t="s">
        <v>132</v>
      </c>
      <c r="AW3701" s="32" t="s">
        <v>3376</v>
      </c>
      <c r="AX3701" s="32">
        <v>4</v>
      </c>
      <c r="AZ3701" s="32" t="s">
        <v>141</v>
      </c>
      <c r="BK3701" s="32">
        <v>700</v>
      </c>
      <c r="BL3701" s="32">
        <v>1100</v>
      </c>
      <c r="BP3701" s="397"/>
      <c r="BQ3701" s="397"/>
      <c r="BU3701" s="397"/>
      <c r="BV3701" s="397"/>
      <c r="BZ3701" s="397"/>
      <c r="CA3701" s="397"/>
      <c r="CE3701" s="550"/>
      <c r="CF3701" s="550"/>
      <c r="CG3701" s="550"/>
      <c r="CH3701" s="550"/>
      <c r="GF3701" s="32">
        <v>11.7</v>
      </c>
      <c r="GG3701" s="32">
        <v>4.8</v>
      </c>
      <c r="GJ3701" s="32" t="s">
        <v>3387</v>
      </c>
      <c r="JD3701" s="243"/>
    </row>
    <row r="3702" spans="1:264" s="32" customFormat="1" x14ac:dyDescent="0.25">
      <c r="A3702" s="32">
        <v>168</v>
      </c>
      <c r="B3702" s="44" t="s">
        <v>3386</v>
      </c>
      <c r="C3702" s="32" t="s">
        <v>3323</v>
      </c>
      <c r="D3702" s="32" t="s">
        <v>3358</v>
      </c>
      <c r="E3702" s="32">
        <v>2005</v>
      </c>
      <c r="F3702" s="32">
        <v>2002</v>
      </c>
      <c r="G3702" s="32" t="s">
        <v>3367</v>
      </c>
      <c r="H3702" s="32" t="s">
        <v>3370</v>
      </c>
      <c r="I3702" s="32" t="s">
        <v>2829</v>
      </c>
      <c r="J3702" s="32">
        <v>-13.14</v>
      </c>
      <c r="K3702" s="32">
        <v>27.84</v>
      </c>
      <c r="L3702" s="32">
        <v>1204</v>
      </c>
      <c r="P3702" s="32">
        <v>960</v>
      </c>
      <c r="R3702" s="44" t="s">
        <v>1847</v>
      </c>
      <c r="S3702" s="44" t="s">
        <v>1728</v>
      </c>
      <c r="T3702" s="44"/>
      <c r="U3702" s="44" t="s">
        <v>1864</v>
      </c>
      <c r="V3702" s="44" t="s">
        <v>1382</v>
      </c>
      <c r="W3702" s="44" t="s">
        <v>1717</v>
      </c>
      <c r="X3702" s="44" t="s">
        <v>1382</v>
      </c>
      <c r="Y3702" s="44" t="s">
        <v>1382</v>
      </c>
      <c r="AA3702" s="323">
        <v>84</v>
      </c>
      <c r="AB3702" s="323">
        <v>9</v>
      </c>
      <c r="AC3702" s="32" t="s">
        <v>202</v>
      </c>
      <c r="AD3702" s="32">
        <v>4.96</v>
      </c>
      <c r="AE3702" s="32">
        <v>0.56000000000000005</v>
      </c>
      <c r="AH3702" s="32" t="s">
        <v>3382</v>
      </c>
      <c r="AI3702" s="32" t="s">
        <v>577</v>
      </c>
      <c r="AJ3702" s="32" t="s">
        <v>1645</v>
      </c>
      <c r="AK3702" s="32" t="s">
        <v>132</v>
      </c>
      <c r="AW3702" s="32" t="s">
        <v>3376</v>
      </c>
      <c r="AX3702" s="32">
        <v>4</v>
      </c>
      <c r="AZ3702" s="32" t="s">
        <v>141</v>
      </c>
      <c r="BK3702" s="32">
        <v>700</v>
      </c>
      <c r="BL3702" s="32">
        <v>900</v>
      </c>
      <c r="BP3702" s="397"/>
      <c r="BQ3702" s="397"/>
      <c r="BU3702" s="397"/>
      <c r="BV3702" s="397"/>
      <c r="BZ3702" s="397"/>
      <c r="CA3702" s="397"/>
      <c r="CE3702" s="550"/>
      <c r="CF3702" s="550"/>
      <c r="CG3702" s="550"/>
      <c r="CH3702" s="550"/>
      <c r="GF3702" s="32">
        <v>11.7</v>
      </c>
      <c r="GG3702" s="32">
        <v>5.6</v>
      </c>
      <c r="GJ3702" s="32" t="s">
        <v>3387</v>
      </c>
      <c r="JD3702" s="243"/>
    </row>
    <row r="3703" spans="1:264" s="24" customFormat="1" x14ac:dyDescent="0.25">
      <c r="A3703" s="24">
        <v>168</v>
      </c>
      <c r="B3703" s="42" t="s">
        <v>3388</v>
      </c>
      <c r="C3703" s="24" t="s">
        <v>3323</v>
      </c>
      <c r="D3703" s="24" t="s">
        <v>3358</v>
      </c>
      <c r="E3703" s="24">
        <v>2005</v>
      </c>
      <c r="F3703" s="24">
        <v>2001</v>
      </c>
      <c r="G3703" s="24" t="s">
        <v>3367</v>
      </c>
      <c r="H3703" s="24" t="s">
        <v>3371</v>
      </c>
      <c r="I3703" s="24" t="s">
        <v>2829</v>
      </c>
      <c r="J3703" s="24">
        <v>-13.5</v>
      </c>
      <c r="K3703" s="24">
        <v>32.56666666666667</v>
      </c>
      <c r="L3703" s="24">
        <v>1028</v>
      </c>
      <c r="N3703" s="24">
        <v>20.5</v>
      </c>
      <c r="P3703" s="24">
        <v>960</v>
      </c>
      <c r="R3703" s="42" t="s">
        <v>1977</v>
      </c>
      <c r="S3703" s="42" t="s">
        <v>1728</v>
      </c>
      <c r="U3703" s="42" t="s">
        <v>1864</v>
      </c>
      <c r="V3703" s="42" t="s">
        <v>1382</v>
      </c>
      <c r="W3703" s="42" t="s">
        <v>1717</v>
      </c>
      <c r="X3703" s="42" t="s">
        <v>1382</v>
      </c>
      <c r="Y3703" s="42" t="s">
        <v>1382</v>
      </c>
      <c r="AA3703" s="321">
        <v>61</v>
      </c>
      <c r="AB3703" s="321">
        <v>11</v>
      </c>
      <c r="AC3703" s="24" t="s">
        <v>240</v>
      </c>
      <c r="AD3703" s="24">
        <v>5.3</v>
      </c>
      <c r="AE3703" s="24">
        <v>1.02</v>
      </c>
      <c r="AG3703" s="24" t="s">
        <v>2755</v>
      </c>
      <c r="AI3703" s="24" t="s">
        <v>577</v>
      </c>
      <c r="AJ3703" s="24" t="s">
        <v>1645</v>
      </c>
      <c r="AK3703" s="24" t="s">
        <v>132</v>
      </c>
      <c r="AW3703" s="24" t="s">
        <v>3375</v>
      </c>
      <c r="AX3703" s="24">
        <v>4</v>
      </c>
      <c r="AZ3703" s="24" t="s">
        <v>141</v>
      </c>
      <c r="BK3703" s="24">
        <v>600</v>
      </c>
      <c r="BL3703" s="24">
        <v>1500</v>
      </c>
      <c r="BP3703" s="395"/>
      <c r="BQ3703" s="395"/>
      <c r="BU3703" s="395"/>
      <c r="BV3703" s="395"/>
      <c r="BZ3703" s="395"/>
      <c r="CA3703" s="395"/>
      <c r="CE3703" s="548"/>
      <c r="CF3703" s="548"/>
      <c r="CG3703" s="548"/>
      <c r="CH3703" s="548"/>
      <c r="GF3703" s="24">
        <v>48.2</v>
      </c>
      <c r="GG3703" s="24">
        <v>36</v>
      </c>
      <c r="GJ3703" s="24" t="s">
        <v>3387</v>
      </c>
      <c r="JD3703" s="249"/>
    </row>
    <row r="3704" spans="1:264" s="24" customFormat="1" x14ac:dyDescent="0.25">
      <c r="A3704" s="24">
        <v>168</v>
      </c>
      <c r="B3704" s="42" t="s">
        <v>3388</v>
      </c>
      <c r="C3704" s="24" t="s">
        <v>3323</v>
      </c>
      <c r="D3704" s="24" t="s">
        <v>3358</v>
      </c>
      <c r="E3704" s="24">
        <v>2005</v>
      </c>
      <c r="F3704" s="24">
        <v>2001</v>
      </c>
      <c r="G3704" s="24" t="s">
        <v>3367</v>
      </c>
      <c r="H3704" s="24" t="s">
        <v>3371</v>
      </c>
      <c r="I3704" s="24" t="s">
        <v>2829</v>
      </c>
      <c r="J3704" s="24">
        <v>-13.5</v>
      </c>
      <c r="K3704" s="24">
        <v>32.56666666666667</v>
      </c>
      <c r="L3704" s="24">
        <v>1028</v>
      </c>
      <c r="N3704" s="24">
        <v>20.5</v>
      </c>
      <c r="P3704" s="24">
        <v>960</v>
      </c>
      <c r="R3704" s="42" t="s">
        <v>1977</v>
      </c>
      <c r="S3704" s="42" t="s">
        <v>1728</v>
      </c>
      <c r="U3704" s="42" t="s">
        <v>1864</v>
      </c>
      <c r="V3704" s="42" t="s">
        <v>1382</v>
      </c>
      <c r="W3704" s="42" t="s">
        <v>1717</v>
      </c>
      <c r="X3704" s="42" t="s">
        <v>1382</v>
      </c>
      <c r="Y3704" s="42" t="s">
        <v>1382</v>
      </c>
      <c r="AA3704" s="321">
        <v>61</v>
      </c>
      <c r="AB3704" s="321">
        <v>11</v>
      </c>
      <c r="AC3704" s="24" t="s">
        <v>240</v>
      </c>
      <c r="AD3704" s="24">
        <v>5.3</v>
      </c>
      <c r="AE3704" s="24">
        <v>1.02</v>
      </c>
      <c r="AG3704" s="24" t="s">
        <v>2755</v>
      </c>
      <c r="AI3704" s="24" t="s">
        <v>577</v>
      </c>
      <c r="AJ3704" s="24" t="s">
        <v>1645</v>
      </c>
      <c r="AK3704" s="24" t="s">
        <v>132</v>
      </c>
      <c r="AW3704" s="24" t="s">
        <v>3375</v>
      </c>
      <c r="AX3704" s="24">
        <v>4</v>
      </c>
      <c r="AZ3704" s="24" t="s">
        <v>141</v>
      </c>
      <c r="BK3704" s="24">
        <v>600</v>
      </c>
      <c r="BL3704" s="24">
        <v>1500</v>
      </c>
      <c r="BP3704" s="395"/>
      <c r="BQ3704" s="395"/>
      <c r="BU3704" s="395"/>
      <c r="BV3704" s="395"/>
      <c r="BZ3704" s="395"/>
      <c r="CA3704" s="395"/>
      <c r="CE3704" s="548"/>
      <c r="CF3704" s="548"/>
      <c r="CG3704" s="548"/>
      <c r="CH3704" s="548"/>
      <c r="GF3704" s="24">
        <v>48.2</v>
      </c>
      <c r="GG3704" s="24">
        <v>30.2</v>
      </c>
      <c r="GJ3704" s="24" t="s">
        <v>3387</v>
      </c>
      <c r="JD3704" s="249"/>
    </row>
    <row r="3705" spans="1:264" s="24" customFormat="1" x14ac:dyDescent="0.25">
      <c r="A3705" s="24">
        <v>168</v>
      </c>
      <c r="B3705" s="42" t="s">
        <v>3388</v>
      </c>
      <c r="C3705" s="24" t="s">
        <v>3323</v>
      </c>
      <c r="D3705" s="24" t="s">
        <v>3358</v>
      </c>
      <c r="E3705" s="24">
        <v>2005</v>
      </c>
      <c r="F3705" s="24">
        <v>2001</v>
      </c>
      <c r="G3705" s="24" t="s">
        <v>3367</v>
      </c>
      <c r="H3705" s="24" t="s">
        <v>3371</v>
      </c>
      <c r="I3705" s="24" t="s">
        <v>2829</v>
      </c>
      <c r="J3705" s="24">
        <v>-13.5</v>
      </c>
      <c r="K3705" s="24">
        <v>32.56666666666667</v>
      </c>
      <c r="L3705" s="24">
        <v>1028</v>
      </c>
      <c r="N3705" s="24">
        <v>20.5</v>
      </c>
      <c r="P3705" s="24">
        <v>960</v>
      </c>
      <c r="R3705" s="42" t="s">
        <v>1977</v>
      </c>
      <c r="S3705" s="42" t="s">
        <v>1728</v>
      </c>
      <c r="U3705" s="42" t="s">
        <v>1864</v>
      </c>
      <c r="V3705" s="42" t="s">
        <v>1382</v>
      </c>
      <c r="W3705" s="42" t="s">
        <v>1717</v>
      </c>
      <c r="X3705" s="42" t="s">
        <v>1382</v>
      </c>
      <c r="Y3705" s="42" t="s">
        <v>1382</v>
      </c>
      <c r="AA3705" s="321">
        <v>61</v>
      </c>
      <c r="AB3705" s="321">
        <v>11</v>
      </c>
      <c r="AC3705" s="24" t="s">
        <v>240</v>
      </c>
      <c r="AD3705" s="24">
        <v>5.3</v>
      </c>
      <c r="AE3705" s="24">
        <v>1.02</v>
      </c>
      <c r="AG3705" s="24" t="s">
        <v>2755</v>
      </c>
      <c r="AI3705" s="24" t="s">
        <v>577</v>
      </c>
      <c r="AJ3705" s="24" t="s">
        <v>1645</v>
      </c>
      <c r="AK3705" s="24" t="s">
        <v>132</v>
      </c>
      <c r="AW3705" s="24" t="s">
        <v>3375</v>
      </c>
      <c r="AX3705" s="24">
        <v>4</v>
      </c>
      <c r="AZ3705" s="24" t="s">
        <v>141</v>
      </c>
      <c r="BK3705" s="24">
        <v>600</v>
      </c>
      <c r="BL3705" s="24">
        <v>3700</v>
      </c>
      <c r="BP3705" s="395"/>
      <c r="BQ3705" s="395"/>
      <c r="BU3705" s="395"/>
      <c r="BV3705" s="395"/>
      <c r="BZ3705" s="395"/>
      <c r="CA3705" s="395"/>
      <c r="CE3705" s="548"/>
      <c r="CF3705" s="548"/>
      <c r="CG3705" s="548"/>
      <c r="CH3705" s="548"/>
      <c r="GF3705" s="24">
        <v>48.2</v>
      </c>
      <c r="GG3705" s="24">
        <v>23.4</v>
      </c>
      <c r="GJ3705" s="24" t="s">
        <v>3387</v>
      </c>
      <c r="JD3705" s="249"/>
    </row>
    <row r="3706" spans="1:264" s="24" customFormat="1" x14ac:dyDescent="0.25">
      <c r="A3706" s="24">
        <v>168</v>
      </c>
      <c r="B3706" s="42" t="s">
        <v>3388</v>
      </c>
      <c r="C3706" s="24" t="s">
        <v>3323</v>
      </c>
      <c r="D3706" s="24" t="s">
        <v>3358</v>
      </c>
      <c r="E3706" s="24">
        <v>2005</v>
      </c>
      <c r="F3706" s="24">
        <v>2001</v>
      </c>
      <c r="G3706" s="24" t="s">
        <v>3367</v>
      </c>
      <c r="H3706" s="24" t="s">
        <v>3371</v>
      </c>
      <c r="I3706" s="24" t="s">
        <v>2829</v>
      </c>
      <c r="J3706" s="24">
        <v>-13.5</v>
      </c>
      <c r="K3706" s="24">
        <v>32.56666666666667</v>
      </c>
      <c r="L3706" s="24">
        <v>1028</v>
      </c>
      <c r="N3706" s="24">
        <v>20.5</v>
      </c>
      <c r="P3706" s="24">
        <v>960</v>
      </c>
      <c r="R3706" s="42" t="s">
        <v>1977</v>
      </c>
      <c r="S3706" s="42" t="s">
        <v>1728</v>
      </c>
      <c r="U3706" s="42" t="s">
        <v>1864</v>
      </c>
      <c r="V3706" s="42" t="s">
        <v>1382</v>
      </c>
      <c r="W3706" s="42" t="s">
        <v>1717</v>
      </c>
      <c r="X3706" s="42" t="s">
        <v>1382</v>
      </c>
      <c r="Y3706" s="42" t="s">
        <v>1382</v>
      </c>
      <c r="AA3706" s="321">
        <v>61</v>
      </c>
      <c r="AB3706" s="321">
        <v>11</v>
      </c>
      <c r="AC3706" s="24" t="s">
        <v>240</v>
      </c>
      <c r="AD3706" s="24">
        <v>5.3</v>
      </c>
      <c r="AE3706" s="24">
        <v>1.02</v>
      </c>
      <c r="AG3706" s="24" t="s">
        <v>2755</v>
      </c>
      <c r="AI3706" s="24" t="s">
        <v>577</v>
      </c>
      <c r="AJ3706" s="24" t="s">
        <v>1645</v>
      </c>
      <c r="AK3706" s="24" t="s">
        <v>132</v>
      </c>
      <c r="AW3706" s="24" t="s">
        <v>3375</v>
      </c>
      <c r="AX3706" s="24">
        <v>4</v>
      </c>
      <c r="AZ3706" s="24" t="s">
        <v>141</v>
      </c>
      <c r="BK3706" s="24">
        <v>600</v>
      </c>
      <c r="BL3706" s="24">
        <v>2500</v>
      </c>
      <c r="BP3706" s="395"/>
      <c r="BQ3706" s="395"/>
      <c r="BU3706" s="395"/>
      <c r="BV3706" s="395"/>
      <c r="BZ3706" s="395"/>
      <c r="CA3706" s="395"/>
      <c r="CE3706" s="548"/>
      <c r="CF3706" s="548"/>
      <c r="CG3706" s="548"/>
      <c r="CH3706" s="548"/>
      <c r="GF3706" s="24">
        <v>48.2</v>
      </c>
      <c r="GG3706" s="24">
        <v>27.8</v>
      </c>
      <c r="GJ3706" s="24" t="s">
        <v>3387</v>
      </c>
      <c r="JD3706" s="249"/>
    </row>
    <row r="3707" spans="1:264" s="24" customFormat="1" x14ac:dyDescent="0.25">
      <c r="A3707" s="24">
        <v>168</v>
      </c>
      <c r="B3707" s="42" t="s">
        <v>3388</v>
      </c>
      <c r="C3707" s="24" t="s">
        <v>3323</v>
      </c>
      <c r="D3707" s="24" t="s">
        <v>3358</v>
      </c>
      <c r="E3707" s="24">
        <v>2005</v>
      </c>
      <c r="F3707" s="24">
        <v>2001</v>
      </c>
      <c r="G3707" s="24" t="s">
        <v>3367</v>
      </c>
      <c r="H3707" s="24" t="s">
        <v>3371</v>
      </c>
      <c r="I3707" s="24" t="s">
        <v>2829</v>
      </c>
      <c r="J3707" s="24">
        <v>-13.5</v>
      </c>
      <c r="K3707" s="24">
        <v>32.56666666666667</v>
      </c>
      <c r="L3707" s="24">
        <v>1028</v>
      </c>
      <c r="N3707" s="24">
        <v>20.5</v>
      </c>
      <c r="P3707" s="24">
        <v>960</v>
      </c>
      <c r="R3707" s="42" t="s">
        <v>1977</v>
      </c>
      <c r="S3707" s="42" t="s">
        <v>1728</v>
      </c>
      <c r="U3707" s="42" t="s">
        <v>1864</v>
      </c>
      <c r="V3707" s="42" t="s">
        <v>1382</v>
      </c>
      <c r="W3707" s="42" t="s">
        <v>1717</v>
      </c>
      <c r="X3707" s="42" t="s">
        <v>1382</v>
      </c>
      <c r="Y3707" s="42" t="s">
        <v>1382</v>
      </c>
      <c r="AA3707" s="321">
        <v>61</v>
      </c>
      <c r="AB3707" s="321">
        <v>11</v>
      </c>
      <c r="AC3707" s="24" t="s">
        <v>240</v>
      </c>
      <c r="AD3707" s="24">
        <v>5.3</v>
      </c>
      <c r="AE3707" s="24">
        <v>1.02</v>
      </c>
      <c r="AG3707" s="24" t="s">
        <v>2755</v>
      </c>
      <c r="AI3707" s="24" t="s">
        <v>577</v>
      </c>
      <c r="AJ3707" s="24" t="s">
        <v>1645</v>
      </c>
      <c r="AK3707" s="24" t="s">
        <v>132</v>
      </c>
      <c r="AW3707" s="24" t="s">
        <v>3375</v>
      </c>
      <c r="AX3707" s="24">
        <v>4</v>
      </c>
      <c r="AZ3707" s="24" t="s">
        <v>141</v>
      </c>
      <c r="BK3707" s="24">
        <v>600</v>
      </c>
      <c r="BL3707" s="24">
        <v>1600</v>
      </c>
      <c r="BP3707" s="395"/>
      <c r="BQ3707" s="395"/>
      <c r="BU3707" s="395"/>
      <c r="BV3707" s="395"/>
      <c r="BZ3707" s="395"/>
      <c r="CA3707" s="395"/>
      <c r="CE3707" s="548"/>
      <c r="CF3707" s="548"/>
      <c r="CG3707" s="548"/>
      <c r="CH3707" s="548"/>
      <c r="GF3707" s="24">
        <v>48.2</v>
      </c>
      <c r="GG3707" s="24">
        <v>19.8</v>
      </c>
      <c r="GJ3707" s="24" t="s">
        <v>3387</v>
      </c>
      <c r="JD3707" s="249"/>
    </row>
    <row r="3708" spans="1:264" s="136" customFormat="1" x14ac:dyDescent="0.25">
      <c r="A3708" s="136">
        <v>168</v>
      </c>
      <c r="B3708" s="137" t="s">
        <v>3388</v>
      </c>
      <c r="C3708" s="136" t="s">
        <v>3323</v>
      </c>
      <c r="D3708" s="136" t="s">
        <v>3358</v>
      </c>
      <c r="E3708" s="136">
        <v>2005</v>
      </c>
      <c r="F3708" s="136">
        <v>2001</v>
      </c>
      <c r="G3708" s="136" t="s">
        <v>3367</v>
      </c>
      <c r="H3708" s="136" t="s">
        <v>3371</v>
      </c>
      <c r="I3708" s="136" t="s">
        <v>2829</v>
      </c>
      <c r="J3708" s="136">
        <v>-13.5</v>
      </c>
      <c r="K3708" s="136">
        <v>32.56666666666667</v>
      </c>
      <c r="L3708" s="136">
        <v>1028</v>
      </c>
      <c r="N3708" s="136">
        <v>20.5</v>
      </c>
      <c r="P3708" s="136">
        <v>960</v>
      </c>
      <c r="R3708" s="137" t="s">
        <v>1977</v>
      </c>
      <c r="S3708" s="137" t="s">
        <v>1728</v>
      </c>
      <c r="U3708" s="137" t="s">
        <v>1864</v>
      </c>
      <c r="V3708" s="137" t="s">
        <v>1382</v>
      </c>
      <c r="W3708" s="137" t="s">
        <v>1717</v>
      </c>
      <c r="X3708" s="137" t="s">
        <v>1382</v>
      </c>
      <c r="Y3708" s="137" t="s">
        <v>1382</v>
      </c>
      <c r="AA3708" s="357">
        <v>61</v>
      </c>
      <c r="AB3708" s="357">
        <v>11</v>
      </c>
      <c r="AC3708" s="136" t="s">
        <v>240</v>
      </c>
      <c r="AD3708" s="136">
        <v>5.3</v>
      </c>
      <c r="AE3708" s="136">
        <v>1.02</v>
      </c>
      <c r="AG3708" s="136" t="s">
        <v>2755</v>
      </c>
      <c r="AI3708" s="136" t="s">
        <v>577</v>
      </c>
      <c r="AJ3708" s="136" t="s">
        <v>1645</v>
      </c>
      <c r="AK3708" s="136" t="s">
        <v>132</v>
      </c>
      <c r="AW3708" s="136" t="s">
        <v>3376</v>
      </c>
      <c r="AX3708" s="136">
        <v>4</v>
      </c>
      <c r="AZ3708" s="136" t="s">
        <v>141</v>
      </c>
      <c r="BK3708" s="136">
        <v>200</v>
      </c>
      <c r="BL3708" s="136">
        <v>1500</v>
      </c>
      <c r="BP3708" s="432"/>
      <c r="BQ3708" s="432"/>
      <c r="BU3708" s="432"/>
      <c r="BV3708" s="432"/>
      <c r="BZ3708" s="432"/>
      <c r="CA3708" s="432"/>
      <c r="CE3708" s="585"/>
      <c r="CF3708" s="585"/>
      <c r="CG3708" s="585"/>
      <c r="CH3708" s="585"/>
      <c r="GF3708" s="136">
        <v>53.9</v>
      </c>
      <c r="GG3708" s="136">
        <v>36</v>
      </c>
      <c r="GJ3708" s="136" t="s">
        <v>3387</v>
      </c>
      <c r="JD3708" s="500"/>
    </row>
    <row r="3709" spans="1:264" s="136" customFormat="1" x14ac:dyDescent="0.25">
      <c r="A3709" s="136">
        <v>168</v>
      </c>
      <c r="B3709" s="137" t="s">
        <v>3388</v>
      </c>
      <c r="C3709" s="136" t="s">
        <v>3323</v>
      </c>
      <c r="D3709" s="136" t="s">
        <v>3358</v>
      </c>
      <c r="E3709" s="136">
        <v>2005</v>
      </c>
      <c r="F3709" s="136">
        <v>2001</v>
      </c>
      <c r="G3709" s="136" t="s">
        <v>3367</v>
      </c>
      <c r="H3709" s="136" t="s">
        <v>3371</v>
      </c>
      <c r="I3709" s="136" t="s">
        <v>2829</v>
      </c>
      <c r="J3709" s="136">
        <v>-13.5</v>
      </c>
      <c r="K3709" s="136">
        <v>32.56666666666667</v>
      </c>
      <c r="L3709" s="136">
        <v>1028</v>
      </c>
      <c r="N3709" s="136">
        <v>20.5</v>
      </c>
      <c r="P3709" s="136">
        <v>960</v>
      </c>
      <c r="R3709" s="137" t="s">
        <v>1977</v>
      </c>
      <c r="S3709" s="137" t="s">
        <v>1728</v>
      </c>
      <c r="U3709" s="137" t="s">
        <v>1864</v>
      </c>
      <c r="V3709" s="137" t="s">
        <v>1382</v>
      </c>
      <c r="W3709" s="137" t="s">
        <v>1717</v>
      </c>
      <c r="X3709" s="137" t="s">
        <v>1382</v>
      </c>
      <c r="Y3709" s="137" t="s">
        <v>1382</v>
      </c>
      <c r="AA3709" s="357">
        <v>61</v>
      </c>
      <c r="AB3709" s="357">
        <v>11</v>
      </c>
      <c r="AC3709" s="136" t="s">
        <v>240</v>
      </c>
      <c r="AD3709" s="136">
        <v>5.3</v>
      </c>
      <c r="AE3709" s="136">
        <v>1.02</v>
      </c>
      <c r="AG3709" s="136" t="s">
        <v>2755</v>
      </c>
      <c r="AI3709" s="136" t="s">
        <v>577</v>
      </c>
      <c r="AJ3709" s="136" t="s">
        <v>1645</v>
      </c>
      <c r="AK3709" s="136" t="s">
        <v>132</v>
      </c>
      <c r="AW3709" s="136" t="s">
        <v>3376</v>
      </c>
      <c r="AX3709" s="136">
        <v>4</v>
      </c>
      <c r="AZ3709" s="136" t="s">
        <v>141</v>
      </c>
      <c r="BK3709" s="136">
        <v>200</v>
      </c>
      <c r="BL3709" s="136">
        <v>1500</v>
      </c>
      <c r="BP3709" s="432"/>
      <c r="BQ3709" s="432"/>
      <c r="BU3709" s="432"/>
      <c r="BV3709" s="432"/>
      <c r="BZ3709" s="432"/>
      <c r="CA3709" s="432"/>
      <c r="CE3709" s="585"/>
      <c r="CF3709" s="585"/>
      <c r="CG3709" s="585"/>
      <c r="CH3709" s="585"/>
      <c r="GF3709" s="136">
        <v>53.9</v>
      </c>
      <c r="GG3709" s="136">
        <v>30.2</v>
      </c>
      <c r="GJ3709" s="136" t="s">
        <v>3387</v>
      </c>
      <c r="JD3709" s="500"/>
    </row>
    <row r="3710" spans="1:264" s="136" customFormat="1" x14ac:dyDescent="0.25">
      <c r="A3710" s="136">
        <v>168</v>
      </c>
      <c r="B3710" s="137" t="s">
        <v>3388</v>
      </c>
      <c r="C3710" s="136" t="s">
        <v>3323</v>
      </c>
      <c r="D3710" s="136" t="s">
        <v>3358</v>
      </c>
      <c r="E3710" s="136">
        <v>2005</v>
      </c>
      <c r="F3710" s="136">
        <v>2001</v>
      </c>
      <c r="G3710" s="136" t="s">
        <v>3367</v>
      </c>
      <c r="H3710" s="136" t="s">
        <v>3371</v>
      </c>
      <c r="I3710" s="136" t="s">
        <v>2829</v>
      </c>
      <c r="J3710" s="136">
        <v>-13.5</v>
      </c>
      <c r="K3710" s="136">
        <v>32.56666666666667</v>
      </c>
      <c r="L3710" s="136">
        <v>1028</v>
      </c>
      <c r="N3710" s="136">
        <v>20.5</v>
      </c>
      <c r="P3710" s="136">
        <v>960</v>
      </c>
      <c r="R3710" s="137" t="s">
        <v>1977</v>
      </c>
      <c r="S3710" s="137" t="s">
        <v>1728</v>
      </c>
      <c r="U3710" s="137" t="s">
        <v>1864</v>
      </c>
      <c r="V3710" s="137" t="s">
        <v>1382</v>
      </c>
      <c r="W3710" s="137" t="s">
        <v>1717</v>
      </c>
      <c r="X3710" s="137" t="s">
        <v>1382</v>
      </c>
      <c r="Y3710" s="137" t="s">
        <v>1382</v>
      </c>
      <c r="AA3710" s="357">
        <v>61</v>
      </c>
      <c r="AB3710" s="357">
        <v>11</v>
      </c>
      <c r="AC3710" s="136" t="s">
        <v>240</v>
      </c>
      <c r="AD3710" s="136">
        <v>5.3</v>
      </c>
      <c r="AE3710" s="136">
        <v>1.02</v>
      </c>
      <c r="AG3710" s="136" t="s">
        <v>2755</v>
      </c>
      <c r="AI3710" s="136" t="s">
        <v>577</v>
      </c>
      <c r="AJ3710" s="136" t="s">
        <v>1645</v>
      </c>
      <c r="AK3710" s="136" t="s">
        <v>132</v>
      </c>
      <c r="AW3710" s="136" t="s">
        <v>3376</v>
      </c>
      <c r="AX3710" s="136">
        <v>4</v>
      </c>
      <c r="AZ3710" s="136" t="s">
        <v>141</v>
      </c>
      <c r="BK3710" s="136">
        <v>200</v>
      </c>
      <c r="BL3710" s="136">
        <v>3700</v>
      </c>
      <c r="BP3710" s="432"/>
      <c r="BQ3710" s="432"/>
      <c r="BU3710" s="432"/>
      <c r="BV3710" s="432"/>
      <c r="BZ3710" s="432"/>
      <c r="CA3710" s="432"/>
      <c r="CE3710" s="585"/>
      <c r="CF3710" s="585"/>
      <c r="CG3710" s="585"/>
      <c r="CH3710" s="585"/>
      <c r="GF3710" s="136">
        <v>53.9</v>
      </c>
      <c r="GG3710" s="136">
        <v>23.4</v>
      </c>
      <c r="GJ3710" s="136" t="s">
        <v>3387</v>
      </c>
      <c r="JD3710" s="500"/>
    </row>
    <row r="3711" spans="1:264" s="136" customFormat="1" x14ac:dyDescent="0.25">
      <c r="A3711" s="136">
        <v>168</v>
      </c>
      <c r="B3711" s="137" t="s">
        <v>3388</v>
      </c>
      <c r="C3711" s="136" t="s">
        <v>3323</v>
      </c>
      <c r="D3711" s="136" t="s">
        <v>3358</v>
      </c>
      <c r="E3711" s="136">
        <v>2005</v>
      </c>
      <c r="F3711" s="136">
        <v>2001</v>
      </c>
      <c r="G3711" s="136" t="s">
        <v>3367</v>
      </c>
      <c r="H3711" s="136" t="s">
        <v>3371</v>
      </c>
      <c r="I3711" s="136" t="s">
        <v>2829</v>
      </c>
      <c r="J3711" s="136">
        <v>-13.5</v>
      </c>
      <c r="K3711" s="136">
        <v>32.56666666666667</v>
      </c>
      <c r="L3711" s="136">
        <v>1028</v>
      </c>
      <c r="N3711" s="136">
        <v>20.5</v>
      </c>
      <c r="P3711" s="136">
        <v>960</v>
      </c>
      <c r="R3711" s="137" t="s">
        <v>1977</v>
      </c>
      <c r="S3711" s="137" t="s">
        <v>1728</v>
      </c>
      <c r="U3711" s="137" t="s">
        <v>1864</v>
      </c>
      <c r="V3711" s="137" t="s">
        <v>1382</v>
      </c>
      <c r="W3711" s="137" t="s">
        <v>1717</v>
      </c>
      <c r="X3711" s="137" t="s">
        <v>1382</v>
      </c>
      <c r="Y3711" s="137" t="s">
        <v>1382</v>
      </c>
      <c r="AA3711" s="357">
        <v>61</v>
      </c>
      <c r="AB3711" s="357">
        <v>11</v>
      </c>
      <c r="AC3711" s="136" t="s">
        <v>240</v>
      </c>
      <c r="AD3711" s="136">
        <v>5.3</v>
      </c>
      <c r="AE3711" s="136">
        <v>1.02</v>
      </c>
      <c r="AG3711" s="136" t="s">
        <v>2755</v>
      </c>
      <c r="AI3711" s="136" t="s">
        <v>577</v>
      </c>
      <c r="AJ3711" s="136" t="s">
        <v>1645</v>
      </c>
      <c r="AK3711" s="136" t="s">
        <v>132</v>
      </c>
      <c r="AW3711" s="136" t="s">
        <v>3376</v>
      </c>
      <c r="AX3711" s="136">
        <v>4</v>
      </c>
      <c r="AZ3711" s="136" t="s">
        <v>141</v>
      </c>
      <c r="BK3711" s="136">
        <v>200</v>
      </c>
      <c r="BL3711" s="136">
        <v>2500</v>
      </c>
      <c r="BP3711" s="432"/>
      <c r="BQ3711" s="432"/>
      <c r="BU3711" s="432"/>
      <c r="BV3711" s="432"/>
      <c r="BZ3711" s="432"/>
      <c r="CA3711" s="432"/>
      <c r="CE3711" s="585"/>
      <c r="CF3711" s="585"/>
      <c r="CG3711" s="585"/>
      <c r="CH3711" s="585"/>
      <c r="GF3711" s="136">
        <v>53.9</v>
      </c>
      <c r="GG3711" s="136">
        <v>27.8</v>
      </c>
      <c r="GJ3711" s="136" t="s">
        <v>3387</v>
      </c>
      <c r="JD3711" s="500"/>
    </row>
    <row r="3712" spans="1:264" s="136" customFormat="1" x14ac:dyDescent="0.25">
      <c r="A3712" s="136">
        <v>168</v>
      </c>
      <c r="B3712" s="137" t="s">
        <v>3388</v>
      </c>
      <c r="C3712" s="136" t="s">
        <v>3323</v>
      </c>
      <c r="D3712" s="136" t="s">
        <v>3358</v>
      </c>
      <c r="E3712" s="136">
        <v>2005</v>
      </c>
      <c r="F3712" s="136">
        <v>2001</v>
      </c>
      <c r="G3712" s="136" t="s">
        <v>3367</v>
      </c>
      <c r="H3712" s="136" t="s">
        <v>3371</v>
      </c>
      <c r="I3712" s="136" t="s">
        <v>2829</v>
      </c>
      <c r="J3712" s="136">
        <v>-13.5</v>
      </c>
      <c r="K3712" s="136">
        <v>32.56666666666667</v>
      </c>
      <c r="L3712" s="136">
        <v>1028</v>
      </c>
      <c r="N3712" s="136">
        <v>20.5</v>
      </c>
      <c r="P3712" s="136">
        <v>960</v>
      </c>
      <c r="R3712" s="137" t="s">
        <v>1977</v>
      </c>
      <c r="S3712" s="137" t="s">
        <v>1728</v>
      </c>
      <c r="U3712" s="137" t="s">
        <v>1864</v>
      </c>
      <c r="V3712" s="137" t="s">
        <v>1382</v>
      </c>
      <c r="W3712" s="137" t="s">
        <v>1717</v>
      </c>
      <c r="X3712" s="137" t="s">
        <v>1382</v>
      </c>
      <c r="Y3712" s="137" t="s">
        <v>1382</v>
      </c>
      <c r="AA3712" s="357">
        <v>61</v>
      </c>
      <c r="AB3712" s="357">
        <v>11</v>
      </c>
      <c r="AC3712" s="136" t="s">
        <v>240</v>
      </c>
      <c r="AD3712" s="136">
        <v>5.3</v>
      </c>
      <c r="AE3712" s="136">
        <v>1.02</v>
      </c>
      <c r="AG3712" s="136" t="s">
        <v>2755</v>
      </c>
      <c r="AI3712" s="136" t="s">
        <v>577</v>
      </c>
      <c r="AJ3712" s="136" t="s">
        <v>1645</v>
      </c>
      <c r="AK3712" s="136" t="s">
        <v>132</v>
      </c>
      <c r="AW3712" s="136" t="s">
        <v>3376</v>
      </c>
      <c r="AX3712" s="136">
        <v>4</v>
      </c>
      <c r="AZ3712" s="136" t="s">
        <v>141</v>
      </c>
      <c r="BK3712" s="136">
        <v>200</v>
      </c>
      <c r="BL3712" s="136">
        <v>1600</v>
      </c>
      <c r="BP3712" s="432"/>
      <c r="BQ3712" s="432"/>
      <c r="BU3712" s="432"/>
      <c r="BV3712" s="432"/>
      <c r="BZ3712" s="432"/>
      <c r="CA3712" s="432"/>
      <c r="CE3712" s="585"/>
      <c r="CF3712" s="585"/>
      <c r="CG3712" s="585"/>
      <c r="CH3712" s="585"/>
      <c r="GF3712" s="136">
        <v>53.9</v>
      </c>
      <c r="GG3712" s="136">
        <v>19.8</v>
      </c>
      <c r="GJ3712" s="136" t="s">
        <v>3387</v>
      </c>
      <c r="JD3712" s="500"/>
    </row>
    <row r="3713" spans="1:264" s="24" customFormat="1" x14ac:dyDescent="0.25">
      <c r="A3713" s="24">
        <v>168</v>
      </c>
      <c r="B3713" s="42" t="s">
        <v>3388</v>
      </c>
      <c r="C3713" s="24" t="s">
        <v>3323</v>
      </c>
      <c r="D3713" s="24" t="s">
        <v>3358</v>
      </c>
      <c r="E3713" s="24">
        <v>2005</v>
      </c>
      <c r="F3713" s="24">
        <v>2002</v>
      </c>
      <c r="G3713" s="24" t="s">
        <v>3367</v>
      </c>
      <c r="H3713" s="24" t="s">
        <v>3371</v>
      </c>
      <c r="I3713" s="24" t="s">
        <v>2829</v>
      </c>
      <c r="J3713" s="24">
        <v>-13.5</v>
      </c>
      <c r="K3713" s="24">
        <v>32.56666666666667</v>
      </c>
      <c r="L3713" s="24">
        <v>1028</v>
      </c>
      <c r="N3713" s="24">
        <v>20.5</v>
      </c>
      <c r="P3713" s="24">
        <v>960</v>
      </c>
      <c r="R3713" s="42" t="s">
        <v>1847</v>
      </c>
      <c r="S3713" s="42" t="s">
        <v>1728</v>
      </c>
      <c r="U3713" s="42" t="s">
        <v>1864</v>
      </c>
      <c r="V3713" s="42" t="s">
        <v>1382</v>
      </c>
      <c r="W3713" s="42" t="s">
        <v>1717</v>
      </c>
      <c r="X3713" s="42" t="s">
        <v>1382</v>
      </c>
      <c r="Y3713" s="42" t="s">
        <v>1382</v>
      </c>
      <c r="AA3713" s="321">
        <v>61</v>
      </c>
      <c r="AB3713" s="321">
        <v>11</v>
      </c>
      <c r="AC3713" s="24" t="s">
        <v>240</v>
      </c>
      <c r="AD3713" s="24">
        <v>5.3</v>
      </c>
      <c r="AE3713" s="24">
        <v>1.02</v>
      </c>
      <c r="AG3713" s="24" t="s">
        <v>2755</v>
      </c>
      <c r="AI3713" s="24" t="s">
        <v>577</v>
      </c>
      <c r="AJ3713" s="24" t="s">
        <v>1645</v>
      </c>
      <c r="AK3713" s="24" t="s">
        <v>132</v>
      </c>
      <c r="AW3713" s="24" t="s">
        <v>3375</v>
      </c>
      <c r="AX3713" s="24">
        <v>4</v>
      </c>
      <c r="AZ3713" s="24" t="s">
        <v>141</v>
      </c>
      <c r="BK3713" s="24">
        <v>500</v>
      </c>
      <c r="BL3713" s="24">
        <v>700</v>
      </c>
      <c r="BP3713" s="395"/>
      <c r="BQ3713" s="395"/>
      <c r="BU3713" s="395"/>
      <c r="BV3713" s="395"/>
      <c r="BZ3713" s="395"/>
      <c r="CA3713" s="395"/>
      <c r="CE3713" s="548"/>
      <c r="CF3713" s="548"/>
      <c r="CG3713" s="548"/>
      <c r="CH3713" s="548"/>
      <c r="GF3713" s="24">
        <v>16.7</v>
      </c>
      <c r="GG3713" s="24">
        <v>21.1</v>
      </c>
      <c r="GJ3713" s="24" t="s">
        <v>3387</v>
      </c>
      <c r="JD3713" s="249"/>
    </row>
    <row r="3714" spans="1:264" s="24" customFormat="1" x14ac:dyDescent="0.25">
      <c r="A3714" s="24">
        <v>168</v>
      </c>
      <c r="B3714" s="42" t="s">
        <v>3388</v>
      </c>
      <c r="C3714" s="24" t="s">
        <v>3323</v>
      </c>
      <c r="D3714" s="24" t="s">
        <v>3358</v>
      </c>
      <c r="E3714" s="24">
        <v>2005</v>
      </c>
      <c r="F3714" s="24">
        <v>2002</v>
      </c>
      <c r="G3714" s="24" t="s">
        <v>3367</v>
      </c>
      <c r="H3714" s="24" t="s">
        <v>3371</v>
      </c>
      <c r="I3714" s="24" t="s">
        <v>2829</v>
      </c>
      <c r="J3714" s="24">
        <v>-13.5</v>
      </c>
      <c r="K3714" s="24">
        <v>32.56666666666667</v>
      </c>
      <c r="L3714" s="24">
        <v>1028</v>
      </c>
      <c r="N3714" s="24">
        <v>20.5</v>
      </c>
      <c r="P3714" s="24">
        <v>960</v>
      </c>
      <c r="R3714" s="42" t="s">
        <v>1847</v>
      </c>
      <c r="S3714" s="42" t="s">
        <v>1728</v>
      </c>
      <c r="U3714" s="42" t="s">
        <v>1864</v>
      </c>
      <c r="V3714" s="42" t="s">
        <v>1382</v>
      </c>
      <c r="W3714" s="42" t="s">
        <v>1717</v>
      </c>
      <c r="X3714" s="42" t="s">
        <v>1382</v>
      </c>
      <c r="Y3714" s="42" t="s">
        <v>1382</v>
      </c>
      <c r="AA3714" s="321">
        <v>61</v>
      </c>
      <c r="AB3714" s="321">
        <v>11</v>
      </c>
      <c r="AC3714" s="24" t="s">
        <v>240</v>
      </c>
      <c r="AD3714" s="24">
        <v>5.3</v>
      </c>
      <c r="AE3714" s="24">
        <v>1.02</v>
      </c>
      <c r="AG3714" s="24" t="s">
        <v>2755</v>
      </c>
      <c r="AI3714" s="24" t="s">
        <v>577</v>
      </c>
      <c r="AJ3714" s="24" t="s">
        <v>1645</v>
      </c>
      <c r="AK3714" s="24" t="s">
        <v>132</v>
      </c>
      <c r="AW3714" s="24" t="s">
        <v>3375</v>
      </c>
      <c r="AX3714" s="24">
        <v>4</v>
      </c>
      <c r="AZ3714" s="24" t="s">
        <v>141</v>
      </c>
      <c r="BK3714" s="24">
        <v>500</v>
      </c>
      <c r="BL3714" s="24">
        <v>1200</v>
      </c>
      <c r="BP3714" s="395"/>
      <c r="BQ3714" s="395"/>
      <c r="BU3714" s="395"/>
      <c r="BV3714" s="395"/>
      <c r="BZ3714" s="395"/>
      <c r="CA3714" s="395"/>
      <c r="CE3714" s="548"/>
      <c r="CF3714" s="548"/>
      <c r="CG3714" s="548"/>
      <c r="CH3714" s="548"/>
      <c r="GF3714" s="24">
        <v>16.7</v>
      </c>
      <c r="GG3714" s="24">
        <v>34</v>
      </c>
      <c r="GJ3714" s="24" t="s">
        <v>3387</v>
      </c>
      <c r="JD3714" s="249"/>
    </row>
    <row r="3715" spans="1:264" s="24" customFormat="1" x14ac:dyDescent="0.25">
      <c r="A3715" s="24">
        <v>168</v>
      </c>
      <c r="B3715" s="42" t="s">
        <v>3388</v>
      </c>
      <c r="C3715" s="24" t="s">
        <v>3323</v>
      </c>
      <c r="D3715" s="24" t="s">
        <v>3358</v>
      </c>
      <c r="E3715" s="24">
        <v>2005</v>
      </c>
      <c r="F3715" s="24">
        <v>2002</v>
      </c>
      <c r="G3715" s="24" t="s">
        <v>3367</v>
      </c>
      <c r="H3715" s="24" t="s">
        <v>3371</v>
      </c>
      <c r="I3715" s="24" t="s">
        <v>2829</v>
      </c>
      <c r="J3715" s="24">
        <v>-13.5</v>
      </c>
      <c r="K3715" s="24">
        <v>32.56666666666667</v>
      </c>
      <c r="L3715" s="24">
        <v>1028</v>
      </c>
      <c r="N3715" s="24">
        <v>20.5</v>
      </c>
      <c r="P3715" s="24">
        <v>960</v>
      </c>
      <c r="R3715" s="42" t="s">
        <v>1847</v>
      </c>
      <c r="S3715" s="42" t="s">
        <v>1728</v>
      </c>
      <c r="U3715" s="42" t="s">
        <v>1864</v>
      </c>
      <c r="V3715" s="42" t="s">
        <v>1382</v>
      </c>
      <c r="W3715" s="42" t="s">
        <v>1717</v>
      </c>
      <c r="X3715" s="42" t="s">
        <v>1382</v>
      </c>
      <c r="Y3715" s="42" t="s">
        <v>1382</v>
      </c>
      <c r="AA3715" s="321">
        <v>61</v>
      </c>
      <c r="AB3715" s="321">
        <v>11</v>
      </c>
      <c r="AC3715" s="24" t="s">
        <v>240</v>
      </c>
      <c r="AD3715" s="24">
        <v>5.3</v>
      </c>
      <c r="AE3715" s="24">
        <v>1.02</v>
      </c>
      <c r="AG3715" s="24" t="s">
        <v>2755</v>
      </c>
      <c r="AI3715" s="24" t="s">
        <v>577</v>
      </c>
      <c r="AJ3715" s="24" t="s">
        <v>1645</v>
      </c>
      <c r="AK3715" s="24" t="s">
        <v>132</v>
      </c>
      <c r="AW3715" s="24" t="s">
        <v>3375</v>
      </c>
      <c r="AX3715" s="24">
        <v>4</v>
      </c>
      <c r="AZ3715" s="24" t="s">
        <v>141</v>
      </c>
      <c r="BK3715" s="24">
        <v>500</v>
      </c>
      <c r="BL3715" s="24">
        <v>3500</v>
      </c>
      <c r="BP3715" s="395"/>
      <c r="BQ3715" s="395"/>
      <c r="BU3715" s="395"/>
      <c r="BV3715" s="395"/>
      <c r="BZ3715" s="395"/>
      <c r="CA3715" s="395"/>
      <c r="CE3715" s="548"/>
      <c r="CF3715" s="548"/>
      <c r="CG3715" s="548"/>
      <c r="CH3715" s="548"/>
      <c r="GF3715" s="24">
        <v>16.7</v>
      </c>
      <c r="GG3715" s="24">
        <v>18.7</v>
      </c>
      <c r="GJ3715" s="24" t="s">
        <v>3387</v>
      </c>
      <c r="JD3715" s="249"/>
    </row>
    <row r="3716" spans="1:264" s="24" customFormat="1" x14ac:dyDescent="0.25">
      <c r="A3716" s="24">
        <v>168</v>
      </c>
      <c r="B3716" s="42" t="s">
        <v>3388</v>
      </c>
      <c r="C3716" s="24" t="s">
        <v>3323</v>
      </c>
      <c r="D3716" s="24" t="s">
        <v>3358</v>
      </c>
      <c r="E3716" s="24">
        <v>2005</v>
      </c>
      <c r="F3716" s="24">
        <v>2002</v>
      </c>
      <c r="G3716" s="24" t="s">
        <v>3367</v>
      </c>
      <c r="H3716" s="24" t="s">
        <v>3371</v>
      </c>
      <c r="I3716" s="24" t="s">
        <v>2829</v>
      </c>
      <c r="J3716" s="24">
        <v>-13.5</v>
      </c>
      <c r="K3716" s="24">
        <v>32.56666666666667</v>
      </c>
      <c r="L3716" s="24">
        <v>1028</v>
      </c>
      <c r="N3716" s="24">
        <v>20.5</v>
      </c>
      <c r="P3716" s="24">
        <v>960</v>
      </c>
      <c r="R3716" s="42" t="s">
        <v>1847</v>
      </c>
      <c r="S3716" s="42" t="s">
        <v>1728</v>
      </c>
      <c r="U3716" s="42" t="s">
        <v>1864</v>
      </c>
      <c r="V3716" s="42" t="s">
        <v>1382</v>
      </c>
      <c r="W3716" s="42" t="s">
        <v>1717</v>
      </c>
      <c r="X3716" s="42" t="s">
        <v>1382</v>
      </c>
      <c r="Y3716" s="42" t="s">
        <v>1382</v>
      </c>
      <c r="AA3716" s="321">
        <v>61</v>
      </c>
      <c r="AB3716" s="321">
        <v>11</v>
      </c>
      <c r="AC3716" s="24" t="s">
        <v>240</v>
      </c>
      <c r="AD3716" s="24">
        <v>5.3</v>
      </c>
      <c r="AE3716" s="24">
        <v>1.02</v>
      </c>
      <c r="AG3716" s="24" t="s">
        <v>2755</v>
      </c>
      <c r="AI3716" s="24" t="s">
        <v>577</v>
      </c>
      <c r="AJ3716" s="24" t="s">
        <v>1645</v>
      </c>
      <c r="AK3716" s="24" t="s">
        <v>132</v>
      </c>
      <c r="AW3716" s="24" t="s">
        <v>3375</v>
      </c>
      <c r="AX3716" s="24">
        <v>4</v>
      </c>
      <c r="AZ3716" s="24" t="s">
        <v>141</v>
      </c>
      <c r="BK3716" s="24">
        <v>500</v>
      </c>
      <c r="BL3716" s="24">
        <v>1600</v>
      </c>
      <c r="BP3716" s="395"/>
      <c r="BQ3716" s="395"/>
      <c r="BU3716" s="395"/>
      <c r="BV3716" s="395"/>
      <c r="BZ3716" s="395"/>
      <c r="CA3716" s="395"/>
      <c r="CE3716" s="548"/>
      <c r="CF3716" s="548"/>
      <c r="CG3716" s="548"/>
      <c r="CH3716" s="548"/>
      <c r="GF3716" s="24">
        <v>16.7</v>
      </c>
      <c r="GG3716" s="24">
        <v>15.3</v>
      </c>
      <c r="GJ3716" s="24" t="s">
        <v>3387</v>
      </c>
      <c r="JD3716" s="249"/>
    </row>
    <row r="3717" spans="1:264" s="24" customFormat="1" x14ac:dyDescent="0.25">
      <c r="A3717" s="24">
        <v>168</v>
      </c>
      <c r="B3717" s="42" t="s">
        <v>3388</v>
      </c>
      <c r="C3717" s="24" t="s">
        <v>3323</v>
      </c>
      <c r="D3717" s="24" t="s">
        <v>3358</v>
      </c>
      <c r="E3717" s="24">
        <v>2005</v>
      </c>
      <c r="F3717" s="24">
        <v>2002</v>
      </c>
      <c r="G3717" s="24" t="s">
        <v>3367</v>
      </c>
      <c r="H3717" s="24" t="s">
        <v>3371</v>
      </c>
      <c r="I3717" s="24" t="s">
        <v>2829</v>
      </c>
      <c r="J3717" s="24">
        <v>-13.5</v>
      </c>
      <c r="K3717" s="24">
        <v>32.56666666666667</v>
      </c>
      <c r="L3717" s="24">
        <v>1028</v>
      </c>
      <c r="N3717" s="24">
        <v>20.5</v>
      </c>
      <c r="P3717" s="24">
        <v>960</v>
      </c>
      <c r="R3717" s="42" t="s">
        <v>1847</v>
      </c>
      <c r="S3717" s="42" t="s">
        <v>1728</v>
      </c>
      <c r="U3717" s="42" t="s">
        <v>1864</v>
      </c>
      <c r="V3717" s="42" t="s">
        <v>1382</v>
      </c>
      <c r="W3717" s="42" t="s">
        <v>1717</v>
      </c>
      <c r="X3717" s="42" t="s">
        <v>1382</v>
      </c>
      <c r="Y3717" s="42" t="s">
        <v>1382</v>
      </c>
      <c r="AA3717" s="321">
        <v>61</v>
      </c>
      <c r="AB3717" s="321">
        <v>11</v>
      </c>
      <c r="AC3717" s="24" t="s">
        <v>240</v>
      </c>
      <c r="AD3717" s="24">
        <v>5.3</v>
      </c>
      <c r="AE3717" s="24">
        <v>1.02</v>
      </c>
      <c r="AG3717" s="24" t="s">
        <v>2755</v>
      </c>
      <c r="AI3717" s="24" t="s">
        <v>577</v>
      </c>
      <c r="AJ3717" s="24" t="s">
        <v>1645</v>
      </c>
      <c r="AK3717" s="24" t="s">
        <v>132</v>
      </c>
      <c r="AW3717" s="24" t="s">
        <v>3375</v>
      </c>
      <c r="AX3717" s="24">
        <v>4</v>
      </c>
      <c r="AZ3717" s="24" t="s">
        <v>141</v>
      </c>
      <c r="BK3717" s="24">
        <v>500</v>
      </c>
      <c r="BL3717" s="24">
        <v>1000</v>
      </c>
      <c r="BP3717" s="395"/>
      <c r="BQ3717" s="395"/>
      <c r="BU3717" s="395"/>
      <c r="BV3717" s="395"/>
      <c r="BZ3717" s="395"/>
      <c r="CA3717" s="395"/>
      <c r="CE3717" s="548"/>
      <c r="CF3717" s="548"/>
      <c r="CG3717" s="548"/>
      <c r="CH3717" s="548"/>
      <c r="GF3717" s="24">
        <v>16.7</v>
      </c>
      <c r="GG3717" s="24">
        <v>25</v>
      </c>
      <c r="GJ3717" s="24" t="s">
        <v>3387</v>
      </c>
      <c r="JD3717" s="249"/>
    </row>
    <row r="3718" spans="1:264" s="136" customFormat="1" x14ac:dyDescent="0.25">
      <c r="A3718" s="136">
        <v>168</v>
      </c>
      <c r="B3718" s="137" t="s">
        <v>3388</v>
      </c>
      <c r="C3718" s="136" t="s">
        <v>3323</v>
      </c>
      <c r="D3718" s="136" t="s">
        <v>3358</v>
      </c>
      <c r="E3718" s="136">
        <v>2005</v>
      </c>
      <c r="F3718" s="136">
        <v>2002</v>
      </c>
      <c r="G3718" s="136" t="s">
        <v>3367</v>
      </c>
      <c r="H3718" s="136" t="s">
        <v>3371</v>
      </c>
      <c r="I3718" s="136" t="s">
        <v>2829</v>
      </c>
      <c r="J3718" s="136">
        <v>-13.5</v>
      </c>
      <c r="K3718" s="136">
        <v>32.56666666666667</v>
      </c>
      <c r="L3718" s="136">
        <v>1028</v>
      </c>
      <c r="N3718" s="136">
        <v>20.5</v>
      </c>
      <c r="P3718" s="136">
        <v>960</v>
      </c>
      <c r="R3718" s="137" t="s">
        <v>1847</v>
      </c>
      <c r="S3718" s="137" t="s">
        <v>1728</v>
      </c>
      <c r="U3718" s="137" t="s">
        <v>1864</v>
      </c>
      <c r="V3718" s="137" t="s">
        <v>1382</v>
      </c>
      <c r="W3718" s="137" t="s">
        <v>1717</v>
      </c>
      <c r="X3718" s="137" t="s">
        <v>1382</v>
      </c>
      <c r="Y3718" s="137" t="s">
        <v>1382</v>
      </c>
      <c r="AA3718" s="357">
        <v>61</v>
      </c>
      <c r="AB3718" s="357">
        <v>11</v>
      </c>
      <c r="AC3718" s="136" t="s">
        <v>240</v>
      </c>
      <c r="AD3718" s="136">
        <v>5.3</v>
      </c>
      <c r="AE3718" s="136">
        <v>1.02</v>
      </c>
      <c r="AG3718" s="136" t="s">
        <v>2755</v>
      </c>
      <c r="AI3718" s="136" t="s">
        <v>577</v>
      </c>
      <c r="AJ3718" s="136" t="s">
        <v>1645</v>
      </c>
      <c r="AK3718" s="136" t="s">
        <v>132</v>
      </c>
      <c r="AW3718" s="136" t="s">
        <v>3376</v>
      </c>
      <c r="AX3718" s="136">
        <v>4</v>
      </c>
      <c r="AZ3718" s="136" t="s">
        <v>141</v>
      </c>
      <c r="BK3718" s="136">
        <v>100</v>
      </c>
      <c r="BL3718" s="136">
        <v>700</v>
      </c>
      <c r="BP3718" s="432"/>
      <c r="BQ3718" s="432"/>
      <c r="BU3718" s="432"/>
      <c r="BV3718" s="432"/>
      <c r="BZ3718" s="432"/>
      <c r="CA3718" s="432"/>
      <c r="CE3718" s="585"/>
      <c r="CF3718" s="585"/>
      <c r="CG3718" s="585"/>
      <c r="CH3718" s="585"/>
      <c r="GF3718" s="136">
        <v>6.5</v>
      </c>
      <c r="GG3718" s="136">
        <v>21.1</v>
      </c>
      <c r="GJ3718" s="24" t="s">
        <v>3387</v>
      </c>
      <c r="JD3718" s="500"/>
    </row>
    <row r="3719" spans="1:264" s="136" customFormat="1" x14ac:dyDescent="0.25">
      <c r="A3719" s="136">
        <v>168</v>
      </c>
      <c r="B3719" s="137" t="s">
        <v>3388</v>
      </c>
      <c r="C3719" s="136" t="s">
        <v>3323</v>
      </c>
      <c r="D3719" s="136" t="s">
        <v>3358</v>
      </c>
      <c r="E3719" s="136">
        <v>2005</v>
      </c>
      <c r="F3719" s="136">
        <v>2002</v>
      </c>
      <c r="G3719" s="136" t="s">
        <v>3367</v>
      </c>
      <c r="H3719" s="136" t="s">
        <v>3371</v>
      </c>
      <c r="I3719" s="136" t="s">
        <v>2829</v>
      </c>
      <c r="J3719" s="136">
        <v>-13.5</v>
      </c>
      <c r="K3719" s="136">
        <v>32.56666666666667</v>
      </c>
      <c r="L3719" s="136">
        <v>1028</v>
      </c>
      <c r="N3719" s="136">
        <v>20.5</v>
      </c>
      <c r="P3719" s="136">
        <v>960</v>
      </c>
      <c r="R3719" s="137" t="s">
        <v>1847</v>
      </c>
      <c r="S3719" s="137" t="s">
        <v>1728</v>
      </c>
      <c r="U3719" s="137" t="s">
        <v>1864</v>
      </c>
      <c r="V3719" s="137" t="s">
        <v>1382</v>
      </c>
      <c r="W3719" s="137" t="s">
        <v>1717</v>
      </c>
      <c r="X3719" s="137" t="s">
        <v>1382</v>
      </c>
      <c r="Y3719" s="137" t="s">
        <v>1382</v>
      </c>
      <c r="AA3719" s="357">
        <v>61</v>
      </c>
      <c r="AB3719" s="357">
        <v>11</v>
      </c>
      <c r="AC3719" s="136" t="s">
        <v>240</v>
      </c>
      <c r="AD3719" s="136">
        <v>5.3</v>
      </c>
      <c r="AE3719" s="136">
        <v>1.02</v>
      </c>
      <c r="AG3719" s="136" t="s">
        <v>2755</v>
      </c>
      <c r="AI3719" s="136" t="s">
        <v>577</v>
      </c>
      <c r="AJ3719" s="136" t="s">
        <v>1645</v>
      </c>
      <c r="AK3719" s="136" t="s">
        <v>132</v>
      </c>
      <c r="AW3719" s="136" t="s">
        <v>3376</v>
      </c>
      <c r="AX3719" s="136">
        <v>4</v>
      </c>
      <c r="AZ3719" s="136" t="s">
        <v>141</v>
      </c>
      <c r="BK3719" s="136">
        <v>100</v>
      </c>
      <c r="BL3719" s="136">
        <v>1200</v>
      </c>
      <c r="BP3719" s="432"/>
      <c r="BQ3719" s="432"/>
      <c r="BU3719" s="432"/>
      <c r="BV3719" s="432"/>
      <c r="BZ3719" s="432"/>
      <c r="CA3719" s="432"/>
      <c r="CE3719" s="585"/>
      <c r="CF3719" s="585"/>
      <c r="CG3719" s="585"/>
      <c r="CH3719" s="585"/>
      <c r="GF3719" s="136">
        <v>6.5</v>
      </c>
      <c r="GG3719" s="136">
        <v>34</v>
      </c>
      <c r="GJ3719" s="24" t="s">
        <v>3387</v>
      </c>
      <c r="JD3719" s="500"/>
    </row>
    <row r="3720" spans="1:264" s="136" customFormat="1" x14ac:dyDescent="0.25">
      <c r="A3720" s="136">
        <v>168</v>
      </c>
      <c r="B3720" s="137" t="s">
        <v>3388</v>
      </c>
      <c r="C3720" s="136" t="s">
        <v>3323</v>
      </c>
      <c r="D3720" s="136" t="s">
        <v>3358</v>
      </c>
      <c r="E3720" s="136">
        <v>2005</v>
      </c>
      <c r="F3720" s="136">
        <v>2002</v>
      </c>
      <c r="G3720" s="136" t="s">
        <v>3367</v>
      </c>
      <c r="H3720" s="136" t="s">
        <v>3371</v>
      </c>
      <c r="I3720" s="136" t="s">
        <v>2829</v>
      </c>
      <c r="J3720" s="136">
        <v>-13.5</v>
      </c>
      <c r="K3720" s="136">
        <v>32.56666666666667</v>
      </c>
      <c r="L3720" s="136">
        <v>1028</v>
      </c>
      <c r="N3720" s="136">
        <v>20.5</v>
      </c>
      <c r="P3720" s="136">
        <v>960</v>
      </c>
      <c r="R3720" s="137" t="s">
        <v>1847</v>
      </c>
      <c r="S3720" s="137" t="s">
        <v>1728</v>
      </c>
      <c r="U3720" s="137" t="s">
        <v>1864</v>
      </c>
      <c r="V3720" s="137" t="s">
        <v>1382</v>
      </c>
      <c r="W3720" s="137" t="s">
        <v>1717</v>
      </c>
      <c r="X3720" s="137" t="s">
        <v>1382</v>
      </c>
      <c r="Y3720" s="137" t="s">
        <v>1382</v>
      </c>
      <c r="AA3720" s="357">
        <v>61</v>
      </c>
      <c r="AB3720" s="357">
        <v>11</v>
      </c>
      <c r="AC3720" s="136" t="s">
        <v>240</v>
      </c>
      <c r="AD3720" s="136">
        <v>5.3</v>
      </c>
      <c r="AE3720" s="136">
        <v>1.02</v>
      </c>
      <c r="AG3720" s="136" t="s">
        <v>2755</v>
      </c>
      <c r="AI3720" s="136" t="s">
        <v>577</v>
      </c>
      <c r="AJ3720" s="136" t="s">
        <v>1645</v>
      </c>
      <c r="AK3720" s="136" t="s">
        <v>132</v>
      </c>
      <c r="AW3720" s="136" t="s">
        <v>3376</v>
      </c>
      <c r="AX3720" s="136">
        <v>4</v>
      </c>
      <c r="AZ3720" s="136" t="s">
        <v>141</v>
      </c>
      <c r="BK3720" s="136">
        <v>100</v>
      </c>
      <c r="BL3720" s="136">
        <v>3500</v>
      </c>
      <c r="BP3720" s="432"/>
      <c r="BQ3720" s="432"/>
      <c r="BU3720" s="432"/>
      <c r="BV3720" s="432"/>
      <c r="BZ3720" s="432"/>
      <c r="CA3720" s="432"/>
      <c r="CE3720" s="585"/>
      <c r="CF3720" s="585"/>
      <c r="CG3720" s="585"/>
      <c r="CH3720" s="585"/>
      <c r="GF3720" s="136">
        <v>6.5</v>
      </c>
      <c r="GG3720" s="136">
        <v>18.7</v>
      </c>
      <c r="GJ3720" s="24" t="s">
        <v>3387</v>
      </c>
      <c r="JD3720" s="500"/>
    </row>
    <row r="3721" spans="1:264" s="136" customFormat="1" x14ac:dyDescent="0.25">
      <c r="A3721" s="136">
        <v>168</v>
      </c>
      <c r="B3721" s="137" t="s">
        <v>3388</v>
      </c>
      <c r="C3721" s="136" t="s">
        <v>3323</v>
      </c>
      <c r="D3721" s="136" t="s">
        <v>3358</v>
      </c>
      <c r="E3721" s="136">
        <v>2005</v>
      </c>
      <c r="F3721" s="136">
        <v>2002</v>
      </c>
      <c r="G3721" s="136" t="s">
        <v>3367</v>
      </c>
      <c r="H3721" s="136" t="s">
        <v>3371</v>
      </c>
      <c r="I3721" s="136" t="s">
        <v>2829</v>
      </c>
      <c r="J3721" s="136">
        <v>-13.5</v>
      </c>
      <c r="K3721" s="136">
        <v>32.56666666666667</v>
      </c>
      <c r="L3721" s="136">
        <v>1028</v>
      </c>
      <c r="N3721" s="136">
        <v>20.5</v>
      </c>
      <c r="P3721" s="136">
        <v>960</v>
      </c>
      <c r="R3721" s="137" t="s">
        <v>1847</v>
      </c>
      <c r="S3721" s="137" t="s">
        <v>1728</v>
      </c>
      <c r="U3721" s="137" t="s">
        <v>1864</v>
      </c>
      <c r="V3721" s="137" t="s">
        <v>1382</v>
      </c>
      <c r="W3721" s="137" t="s">
        <v>1717</v>
      </c>
      <c r="X3721" s="137" t="s">
        <v>1382</v>
      </c>
      <c r="Y3721" s="137" t="s">
        <v>1382</v>
      </c>
      <c r="AA3721" s="357">
        <v>61</v>
      </c>
      <c r="AB3721" s="357">
        <v>11</v>
      </c>
      <c r="AC3721" s="136" t="s">
        <v>240</v>
      </c>
      <c r="AD3721" s="136">
        <v>5.3</v>
      </c>
      <c r="AE3721" s="136">
        <v>1.02</v>
      </c>
      <c r="AG3721" s="136" t="s">
        <v>2755</v>
      </c>
      <c r="AI3721" s="136" t="s">
        <v>577</v>
      </c>
      <c r="AJ3721" s="136" t="s">
        <v>1645</v>
      </c>
      <c r="AK3721" s="136" t="s">
        <v>132</v>
      </c>
      <c r="AW3721" s="136" t="s">
        <v>3376</v>
      </c>
      <c r="AX3721" s="136">
        <v>4</v>
      </c>
      <c r="AZ3721" s="136" t="s">
        <v>141</v>
      </c>
      <c r="BK3721" s="136">
        <v>100</v>
      </c>
      <c r="BL3721" s="136">
        <v>1600</v>
      </c>
      <c r="BP3721" s="432"/>
      <c r="BQ3721" s="432"/>
      <c r="BU3721" s="432"/>
      <c r="BV3721" s="432"/>
      <c r="BZ3721" s="432"/>
      <c r="CA3721" s="432"/>
      <c r="CE3721" s="585"/>
      <c r="CF3721" s="585"/>
      <c r="CG3721" s="585"/>
      <c r="CH3721" s="585"/>
      <c r="GF3721" s="136">
        <v>6.5</v>
      </c>
      <c r="GG3721" s="136">
        <v>15.3</v>
      </c>
      <c r="GJ3721" s="24" t="s">
        <v>3387</v>
      </c>
      <c r="JD3721" s="500"/>
    </row>
    <row r="3722" spans="1:264" s="136" customFormat="1" x14ac:dyDescent="0.25">
      <c r="A3722" s="136">
        <v>168</v>
      </c>
      <c r="B3722" s="137" t="s">
        <v>3388</v>
      </c>
      <c r="C3722" s="136" t="s">
        <v>3323</v>
      </c>
      <c r="D3722" s="136" t="s">
        <v>3358</v>
      </c>
      <c r="E3722" s="136">
        <v>2005</v>
      </c>
      <c r="F3722" s="136">
        <v>2002</v>
      </c>
      <c r="G3722" s="136" t="s">
        <v>3367</v>
      </c>
      <c r="H3722" s="136" t="s">
        <v>3371</v>
      </c>
      <c r="I3722" s="136" t="s">
        <v>2829</v>
      </c>
      <c r="J3722" s="136">
        <v>-13.5</v>
      </c>
      <c r="K3722" s="136">
        <v>32.56666666666667</v>
      </c>
      <c r="L3722" s="136">
        <v>1028</v>
      </c>
      <c r="N3722" s="136">
        <v>20.5</v>
      </c>
      <c r="P3722" s="136">
        <v>960</v>
      </c>
      <c r="R3722" s="137" t="s">
        <v>1847</v>
      </c>
      <c r="S3722" s="137" t="s">
        <v>1728</v>
      </c>
      <c r="U3722" s="137" t="s">
        <v>1864</v>
      </c>
      <c r="V3722" s="137" t="s">
        <v>1382</v>
      </c>
      <c r="W3722" s="137" t="s">
        <v>1717</v>
      </c>
      <c r="X3722" s="137" t="s">
        <v>1382</v>
      </c>
      <c r="Y3722" s="137" t="s">
        <v>1382</v>
      </c>
      <c r="AA3722" s="357">
        <v>61</v>
      </c>
      <c r="AB3722" s="357">
        <v>11</v>
      </c>
      <c r="AC3722" s="136" t="s">
        <v>240</v>
      </c>
      <c r="AD3722" s="136">
        <v>5.3</v>
      </c>
      <c r="AE3722" s="136">
        <v>1.02</v>
      </c>
      <c r="AG3722" s="136" t="s">
        <v>2755</v>
      </c>
      <c r="AI3722" s="136" t="s">
        <v>577</v>
      </c>
      <c r="AJ3722" s="136" t="s">
        <v>1645</v>
      </c>
      <c r="AK3722" s="136" t="s">
        <v>132</v>
      </c>
      <c r="AW3722" s="136" t="s">
        <v>3376</v>
      </c>
      <c r="AX3722" s="136">
        <v>4</v>
      </c>
      <c r="AZ3722" s="136" t="s">
        <v>141</v>
      </c>
      <c r="BK3722" s="136">
        <v>100</v>
      </c>
      <c r="BL3722" s="136">
        <v>1000</v>
      </c>
      <c r="BP3722" s="432"/>
      <c r="BQ3722" s="432"/>
      <c r="BU3722" s="432"/>
      <c r="BV3722" s="432"/>
      <c r="BZ3722" s="432"/>
      <c r="CA3722" s="432"/>
      <c r="CE3722" s="585"/>
      <c r="CF3722" s="585"/>
      <c r="CG3722" s="585"/>
      <c r="CH3722" s="585"/>
      <c r="GF3722" s="136">
        <v>6.5</v>
      </c>
      <c r="GG3722" s="136">
        <v>25</v>
      </c>
      <c r="GJ3722" s="24" t="s">
        <v>3387</v>
      </c>
      <c r="JD3722" s="500"/>
    </row>
    <row r="3723" spans="1:264" s="32" customFormat="1" x14ac:dyDescent="0.25">
      <c r="A3723" s="32">
        <v>168</v>
      </c>
      <c r="B3723" s="44" t="s">
        <v>3389</v>
      </c>
      <c r="C3723" s="32" t="s">
        <v>3323</v>
      </c>
      <c r="D3723" s="32" t="s">
        <v>3358</v>
      </c>
      <c r="E3723" s="32">
        <v>2005</v>
      </c>
      <c r="F3723" s="32">
        <v>2002</v>
      </c>
      <c r="G3723" s="32" t="s">
        <v>3367</v>
      </c>
      <c r="H3723" s="32" t="s">
        <v>3372</v>
      </c>
      <c r="I3723" s="32" t="s">
        <v>2829</v>
      </c>
      <c r="J3723" s="32">
        <v>-13.25</v>
      </c>
      <c r="K3723" s="32">
        <v>32.6</v>
      </c>
      <c r="L3723" s="32">
        <v>1015</v>
      </c>
      <c r="N3723" s="32">
        <v>20.5</v>
      </c>
      <c r="P3723" s="32">
        <v>960</v>
      </c>
      <c r="R3723" s="44" t="s">
        <v>1847</v>
      </c>
      <c r="S3723" s="44" t="s">
        <v>1728</v>
      </c>
      <c r="T3723" s="44"/>
      <c r="U3723" s="44" t="s">
        <v>1864</v>
      </c>
      <c r="V3723" s="44" t="s">
        <v>1382</v>
      </c>
      <c r="W3723" s="44" t="s">
        <v>1717</v>
      </c>
      <c r="X3723" s="44" t="s">
        <v>1382</v>
      </c>
      <c r="Y3723" s="44" t="s">
        <v>1382</v>
      </c>
      <c r="AA3723" s="323">
        <v>68</v>
      </c>
      <c r="AB3723" s="323">
        <v>16</v>
      </c>
      <c r="AC3723" s="32" t="s">
        <v>240</v>
      </c>
      <c r="AD3723" s="32">
        <v>4.3499999999999996</v>
      </c>
      <c r="AE3723" s="32">
        <v>0.97</v>
      </c>
      <c r="AG3723" s="32" t="s">
        <v>2755</v>
      </c>
      <c r="AH3723" s="32" t="s">
        <v>3390</v>
      </c>
      <c r="AI3723" s="32" t="s">
        <v>577</v>
      </c>
      <c r="AJ3723" s="32" t="s">
        <v>1645</v>
      </c>
      <c r="AK3723" s="32" t="s">
        <v>132</v>
      </c>
      <c r="AW3723" s="32" t="s">
        <v>3375</v>
      </c>
      <c r="AX3723" s="32">
        <v>4</v>
      </c>
      <c r="AZ3723" s="32" t="s">
        <v>141</v>
      </c>
      <c r="BB3723" s="32">
        <v>500</v>
      </c>
      <c r="BK3723" s="32">
        <v>2500</v>
      </c>
      <c r="BL3723" s="32">
        <v>3700</v>
      </c>
      <c r="BP3723" s="397"/>
      <c r="BQ3723" s="397"/>
      <c r="BU3723" s="397"/>
      <c r="BV3723" s="397"/>
      <c r="BZ3723" s="397"/>
      <c r="CA3723" s="397"/>
      <c r="CE3723" s="550"/>
      <c r="CF3723" s="550"/>
      <c r="CG3723" s="550"/>
      <c r="CH3723" s="550"/>
      <c r="CJ3723" s="32">
        <v>10.8</v>
      </c>
      <c r="CK3723" s="32">
        <v>14.2</v>
      </c>
      <c r="CN3723" s="32" t="s">
        <v>465</v>
      </c>
      <c r="FL3723" s="32">
        <v>16.2</v>
      </c>
      <c r="FM3723" s="32">
        <v>15.6</v>
      </c>
      <c r="FP3723" s="32" t="s">
        <v>3400</v>
      </c>
      <c r="GF3723" s="32">
        <v>8.4</v>
      </c>
      <c r="GG3723" s="32">
        <v>16.3</v>
      </c>
      <c r="GJ3723" s="32" t="s">
        <v>3387</v>
      </c>
      <c r="JD3723" s="243"/>
    </row>
    <row r="3724" spans="1:264" s="32" customFormat="1" x14ac:dyDescent="0.25">
      <c r="A3724" s="32">
        <v>168</v>
      </c>
      <c r="B3724" s="44" t="s">
        <v>3389</v>
      </c>
      <c r="C3724" s="32" t="s">
        <v>3323</v>
      </c>
      <c r="D3724" s="32" t="s">
        <v>3358</v>
      </c>
      <c r="E3724" s="32">
        <v>2005</v>
      </c>
      <c r="F3724" s="32">
        <v>2002</v>
      </c>
      <c r="G3724" s="32" t="s">
        <v>3367</v>
      </c>
      <c r="H3724" s="32" t="s">
        <v>3372</v>
      </c>
      <c r="I3724" s="32" t="s">
        <v>2829</v>
      </c>
      <c r="J3724" s="32">
        <v>-13.25</v>
      </c>
      <c r="K3724" s="32">
        <v>32.6</v>
      </c>
      <c r="L3724" s="32">
        <v>1015</v>
      </c>
      <c r="N3724" s="32">
        <v>20.5</v>
      </c>
      <c r="P3724" s="32">
        <v>960</v>
      </c>
      <c r="R3724" s="44" t="s">
        <v>1847</v>
      </c>
      <c r="S3724" s="44" t="s">
        <v>1728</v>
      </c>
      <c r="T3724" s="44"/>
      <c r="U3724" s="44" t="s">
        <v>1864</v>
      </c>
      <c r="V3724" s="44" t="s">
        <v>1382</v>
      </c>
      <c r="W3724" s="44" t="s">
        <v>1717</v>
      </c>
      <c r="X3724" s="44" t="s">
        <v>1382</v>
      </c>
      <c r="Y3724" s="44" t="s">
        <v>1382</v>
      </c>
      <c r="AA3724" s="323">
        <v>68</v>
      </c>
      <c r="AB3724" s="323">
        <v>16</v>
      </c>
      <c r="AC3724" s="32" t="s">
        <v>240</v>
      </c>
      <c r="AD3724" s="32">
        <v>4.3499999999999996</v>
      </c>
      <c r="AE3724" s="32">
        <v>0.97</v>
      </c>
      <c r="AG3724" s="32" t="s">
        <v>2755</v>
      </c>
      <c r="AH3724" s="32" t="s">
        <v>3391</v>
      </c>
      <c r="AI3724" s="32" t="s">
        <v>577</v>
      </c>
      <c r="AJ3724" s="32" t="s">
        <v>1645</v>
      </c>
      <c r="AK3724" s="32" t="s">
        <v>132</v>
      </c>
      <c r="AW3724" s="32" t="s">
        <v>3375</v>
      </c>
      <c r="AX3724" s="32">
        <v>4</v>
      </c>
      <c r="AZ3724" s="32" t="s">
        <v>141</v>
      </c>
      <c r="BB3724" s="32">
        <v>800</v>
      </c>
      <c r="BK3724" s="32">
        <v>2500</v>
      </c>
      <c r="BL3724" s="32">
        <v>3600</v>
      </c>
      <c r="BP3724" s="397"/>
      <c r="BQ3724" s="397"/>
      <c r="BU3724" s="397"/>
      <c r="BV3724" s="397"/>
      <c r="BZ3724" s="397"/>
      <c r="CA3724" s="397"/>
      <c r="CE3724" s="550"/>
      <c r="CF3724" s="550"/>
      <c r="CG3724" s="550"/>
      <c r="CH3724" s="550"/>
      <c r="CJ3724" s="32">
        <v>10.8</v>
      </c>
      <c r="CK3724" s="32">
        <v>8.8000000000000007</v>
      </c>
      <c r="CN3724" s="32" t="s">
        <v>465</v>
      </c>
      <c r="FL3724" s="32">
        <v>16.2</v>
      </c>
      <c r="FM3724" s="32">
        <v>15.1</v>
      </c>
      <c r="FP3724" s="32" t="s">
        <v>3400</v>
      </c>
      <c r="GF3724" s="32">
        <v>8.4</v>
      </c>
      <c r="GG3724" s="32">
        <v>8.9</v>
      </c>
      <c r="GJ3724" s="32" t="s">
        <v>3387</v>
      </c>
      <c r="JD3724" s="243"/>
    </row>
    <row r="3725" spans="1:264" s="32" customFormat="1" x14ac:dyDescent="0.25">
      <c r="A3725" s="32">
        <v>168</v>
      </c>
      <c r="B3725" s="44" t="s">
        <v>3389</v>
      </c>
      <c r="C3725" s="32" t="s">
        <v>3323</v>
      </c>
      <c r="D3725" s="32" t="s">
        <v>3358</v>
      </c>
      <c r="E3725" s="32">
        <v>2005</v>
      </c>
      <c r="F3725" s="32">
        <v>2002</v>
      </c>
      <c r="G3725" s="32" t="s">
        <v>3367</v>
      </c>
      <c r="H3725" s="32" t="s">
        <v>3372</v>
      </c>
      <c r="I3725" s="32" t="s">
        <v>2829</v>
      </c>
      <c r="J3725" s="32">
        <v>-13.25</v>
      </c>
      <c r="K3725" s="32">
        <v>32.6</v>
      </c>
      <c r="L3725" s="32">
        <v>1015</v>
      </c>
      <c r="N3725" s="32">
        <v>20.5</v>
      </c>
      <c r="P3725" s="32">
        <v>960</v>
      </c>
      <c r="R3725" s="44" t="s">
        <v>1847</v>
      </c>
      <c r="S3725" s="44" t="s">
        <v>1728</v>
      </c>
      <c r="T3725" s="44"/>
      <c r="U3725" s="44" t="s">
        <v>1864</v>
      </c>
      <c r="V3725" s="44" t="s">
        <v>1382</v>
      </c>
      <c r="W3725" s="44" t="s">
        <v>1717</v>
      </c>
      <c r="X3725" s="44" t="s">
        <v>1382</v>
      </c>
      <c r="Y3725" s="44" t="s">
        <v>1382</v>
      </c>
      <c r="AA3725" s="323">
        <v>68</v>
      </c>
      <c r="AB3725" s="323">
        <v>16</v>
      </c>
      <c r="AC3725" s="32" t="s">
        <v>240</v>
      </c>
      <c r="AD3725" s="32">
        <v>4.3499999999999996</v>
      </c>
      <c r="AE3725" s="32">
        <v>0.97</v>
      </c>
      <c r="AG3725" s="32" t="s">
        <v>2755</v>
      </c>
      <c r="AH3725" s="32" t="s">
        <v>3395</v>
      </c>
      <c r="AI3725" s="32" t="s">
        <v>1583</v>
      </c>
      <c r="AJ3725" s="32" t="s">
        <v>1645</v>
      </c>
      <c r="AK3725" s="32" t="s">
        <v>132</v>
      </c>
      <c r="AW3725" s="32" t="s">
        <v>3375</v>
      </c>
      <c r="AX3725" s="32">
        <v>4</v>
      </c>
      <c r="AZ3725" s="32" t="s">
        <v>141</v>
      </c>
      <c r="BB3725" s="32">
        <v>500</v>
      </c>
      <c r="BK3725" s="32">
        <v>2500</v>
      </c>
      <c r="BL3725" s="32">
        <v>3300</v>
      </c>
      <c r="BP3725" s="397"/>
      <c r="BQ3725" s="397"/>
      <c r="BU3725" s="397"/>
      <c r="BV3725" s="397"/>
      <c r="BZ3725" s="397"/>
      <c r="CA3725" s="397"/>
      <c r="CE3725" s="550"/>
      <c r="CF3725" s="550"/>
      <c r="CG3725" s="550"/>
      <c r="CH3725" s="550"/>
      <c r="CJ3725" s="32">
        <v>10.8</v>
      </c>
      <c r="CK3725" s="32">
        <v>11.7</v>
      </c>
      <c r="CN3725" s="32" t="s">
        <v>465</v>
      </c>
      <c r="FL3725" s="32">
        <v>16.2</v>
      </c>
      <c r="FM3725" s="32">
        <v>15.8</v>
      </c>
      <c r="FP3725" s="32" t="s">
        <v>3400</v>
      </c>
      <c r="GF3725" s="32">
        <v>8.4</v>
      </c>
      <c r="GG3725" s="32">
        <v>8.1999999999999993</v>
      </c>
      <c r="GJ3725" s="32" t="s">
        <v>3387</v>
      </c>
      <c r="JD3725" s="243"/>
    </row>
    <row r="3726" spans="1:264" s="32" customFormat="1" x14ac:dyDescent="0.25">
      <c r="A3726" s="32">
        <v>168</v>
      </c>
      <c r="B3726" s="44" t="s">
        <v>3389</v>
      </c>
      <c r="C3726" s="32" t="s">
        <v>3323</v>
      </c>
      <c r="D3726" s="32" t="s">
        <v>3358</v>
      </c>
      <c r="E3726" s="32">
        <v>2005</v>
      </c>
      <c r="F3726" s="32">
        <v>2002</v>
      </c>
      <c r="G3726" s="32" t="s">
        <v>3367</v>
      </c>
      <c r="H3726" s="32" t="s">
        <v>3372</v>
      </c>
      <c r="I3726" s="32" t="s">
        <v>2829</v>
      </c>
      <c r="J3726" s="32">
        <v>-13.25</v>
      </c>
      <c r="K3726" s="32">
        <v>32.6</v>
      </c>
      <c r="L3726" s="32">
        <v>1015</v>
      </c>
      <c r="N3726" s="32">
        <v>20.5</v>
      </c>
      <c r="P3726" s="32">
        <v>960</v>
      </c>
      <c r="R3726" s="44" t="s">
        <v>1847</v>
      </c>
      <c r="S3726" s="44" t="s">
        <v>1728</v>
      </c>
      <c r="T3726" s="44"/>
      <c r="U3726" s="44" t="s">
        <v>1864</v>
      </c>
      <c r="V3726" s="44" t="s">
        <v>1382</v>
      </c>
      <c r="W3726" s="44" t="s">
        <v>1717</v>
      </c>
      <c r="X3726" s="44" t="s">
        <v>1382</v>
      </c>
      <c r="Y3726" s="44" t="s">
        <v>1382</v>
      </c>
      <c r="AA3726" s="323">
        <v>68</v>
      </c>
      <c r="AB3726" s="323">
        <v>16</v>
      </c>
      <c r="AC3726" s="32" t="s">
        <v>240</v>
      </c>
      <c r="AD3726" s="32">
        <v>4.3499999999999996</v>
      </c>
      <c r="AE3726" s="32">
        <v>0.97</v>
      </c>
      <c r="AG3726" s="32" t="s">
        <v>2755</v>
      </c>
      <c r="AH3726" s="32" t="s">
        <v>3399</v>
      </c>
      <c r="AI3726" s="32" t="s">
        <v>1583</v>
      </c>
      <c r="AJ3726" s="32" t="s">
        <v>1645</v>
      </c>
      <c r="AK3726" s="32" t="s">
        <v>132</v>
      </c>
      <c r="AW3726" s="32" t="s">
        <v>3375</v>
      </c>
      <c r="AX3726" s="32">
        <v>4</v>
      </c>
      <c r="AZ3726" s="32" t="s">
        <v>141</v>
      </c>
      <c r="BB3726" s="32">
        <v>500</v>
      </c>
      <c r="BK3726" s="32">
        <v>2500</v>
      </c>
      <c r="BL3726" s="32">
        <v>4300</v>
      </c>
      <c r="BP3726" s="397"/>
      <c r="BQ3726" s="397"/>
      <c r="BU3726" s="397"/>
      <c r="BV3726" s="397"/>
      <c r="BZ3726" s="397"/>
      <c r="CA3726" s="397"/>
      <c r="CE3726" s="550"/>
      <c r="CF3726" s="550"/>
      <c r="CG3726" s="550"/>
      <c r="CH3726" s="550"/>
      <c r="CJ3726" s="32">
        <v>10.8</v>
      </c>
      <c r="CK3726" s="32">
        <v>10.5</v>
      </c>
      <c r="CN3726" s="32" t="s">
        <v>465</v>
      </c>
      <c r="FL3726" s="32">
        <v>16.2</v>
      </c>
      <c r="FM3726" s="32">
        <v>16.2</v>
      </c>
      <c r="FP3726" s="32" t="s">
        <v>3400</v>
      </c>
      <c r="GF3726" s="32">
        <v>8.4</v>
      </c>
      <c r="GG3726" s="32">
        <v>7.7</v>
      </c>
      <c r="GJ3726" s="32" t="s">
        <v>3387</v>
      </c>
      <c r="JD3726" s="243"/>
    </row>
    <row r="3727" spans="1:264" s="32" customFormat="1" x14ac:dyDescent="0.25">
      <c r="A3727" s="32">
        <v>168</v>
      </c>
      <c r="B3727" s="44" t="s">
        <v>3389</v>
      </c>
      <c r="C3727" s="32" t="s">
        <v>3323</v>
      </c>
      <c r="D3727" s="32" t="s">
        <v>3358</v>
      </c>
      <c r="E3727" s="32">
        <v>2005</v>
      </c>
      <c r="F3727" s="32">
        <v>2002</v>
      </c>
      <c r="G3727" s="32" t="s">
        <v>3367</v>
      </c>
      <c r="H3727" s="32" t="s">
        <v>3372</v>
      </c>
      <c r="I3727" s="32" t="s">
        <v>2829</v>
      </c>
      <c r="J3727" s="32">
        <v>-13.25</v>
      </c>
      <c r="K3727" s="32">
        <v>32.6</v>
      </c>
      <c r="L3727" s="32">
        <v>1015</v>
      </c>
      <c r="N3727" s="32">
        <v>20.5</v>
      </c>
      <c r="P3727" s="32">
        <v>960</v>
      </c>
      <c r="R3727" s="44" t="s">
        <v>1847</v>
      </c>
      <c r="S3727" s="44" t="s">
        <v>1728</v>
      </c>
      <c r="T3727" s="44"/>
      <c r="U3727" s="44" t="s">
        <v>1864</v>
      </c>
      <c r="V3727" s="44" t="s">
        <v>1382</v>
      </c>
      <c r="W3727" s="44" t="s">
        <v>1717</v>
      </c>
      <c r="X3727" s="44" t="s">
        <v>1382</v>
      </c>
      <c r="Y3727" s="44" t="s">
        <v>1382</v>
      </c>
      <c r="AA3727" s="323">
        <v>68</v>
      </c>
      <c r="AB3727" s="323">
        <v>16</v>
      </c>
      <c r="AC3727" s="32" t="s">
        <v>240</v>
      </c>
      <c r="AD3727" s="32">
        <v>4.3499999999999996</v>
      </c>
      <c r="AE3727" s="32">
        <v>0.97</v>
      </c>
      <c r="AG3727" s="32" t="s">
        <v>2755</v>
      </c>
      <c r="AH3727" s="32" t="s">
        <v>3396</v>
      </c>
      <c r="AI3727" s="32" t="s">
        <v>1583</v>
      </c>
      <c r="AJ3727" s="32" t="s">
        <v>1645</v>
      </c>
      <c r="AK3727" s="32" t="s">
        <v>132</v>
      </c>
      <c r="AW3727" s="32" t="s">
        <v>3375</v>
      </c>
      <c r="AX3727" s="32">
        <v>4</v>
      </c>
      <c r="AZ3727" s="32" t="s">
        <v>141</v>
      </c>
      <c r="BB3727" s="32">
        <v>500</v>
      </c>
      <c r="BK3727" s="32">
        <v>2500</v>
      </c>
      <c r="BL3727" s="32">
        <v>4600</v>
      </c>
      <c r="BP3727" s="397"/>
      <c r="BQ3727" s="397"/>
      <c r="BU3727" s="397"/>
      <c r="BV3727" s="397"/>
      <c r="BZ3727" s="397"/>
      <c r="CA3727" s="397"/>
      <c r="CE3727" s="550"/>
      <c r="CF3727" s="550"/>
      <c r="CG3727" s="550"/>
      <c r="CH3727" s="550"/>
      <c r="CJ3727" s="32">
        <v>10.8</v>
      </c>
      <c r="CK3727" s="32">
        <v>13.5</v>
      </c>
      <c r="CN3727" s="32" t="s">
        <v>465</v>
      </c>
      <c r="FL3727" s="32">
        <v>16.2</v>
      </c>
      <c r="FM3727" s="32">
        <v>15.5</v>
      </c>
      <c r="FP3727" s="32" t="s">
        <v>3400</v>
      </c>
      <c r="GF3727" s="32">
        <v>8.4</v>
      </c>
      <c r="GG3727" s="32">
        <v>6.5</v>
      </c>
      <c r="GJ3727" s="32" t="s">
        <v>3387</v>
      </c>
      <c r="JD3727" s="243"/>
    </row>
    <row r="3728" spans="1:264" s="32" customFormat="1" x14ac:dyDescent="0.25">
      <c r="A3728" s="32">
        <v>168</v>
      </c>
      <c r="B3728" s="44" t="s">
        <v>3389</v>
      </c>
      <c r="C3728" s="32" t="s">
        <v>3323</v>
      </c>
      <c r="D3728" s="32" t="s">
        <v>3358</v>
      </c>
      <c r="E3728" s="32">
        <v>2005</v>
      </c>
      <c r="F3728" s="32">
        <v>2002</v>
      </c>
      <c r="G3728" s="32" t="s">
        <v>3367</v>
      </c>
      <c r="H3728" s="32" t="s">
        <v>3372</v>
      </c>
      <c r="I3728" s="32" t="s">
        <v>2829</v>
      </c>
      <c r="J3728" s="32">
        <v>-13.25</v>
      </c>
      <c r="K3728" s="32">
        <v>32.6</v>
      </c>
      <c r="L3728" s="32">
        <v>1015</v>
      </c>
      <c r="N3728" s="32">
        <v>20.5</v>
      </c>
      <c r="P3728" s="32">
        <v>960</v>
      </c>
      <c r="R3728" s="44" t="s">
        <v>1847</v>
      </c>
      <c r="S3728" s="44" t="s">
        <v>1728</v>
      </c>
      <c r="T3728" s="44"/>
      <c r="U3728" s="44" t="s">
        <v>1864</v>
      </c>
      <c r="V3728" s="44" t="s">
        <v>1382</v>
      </c>
      <c r="W3728" s="44" t="s">
        <v>1717</v>
      </c>
      <c r="X3728" s="44" t="s">
        <v>1382</v>
      </c>
      <c r="Y3728" s="44" t="s">
        <v>1382</v>
      </c>
      <c r="AA3728" s="323">
        <v>68</v>
      </c>
      <c r="AB3728" s="323">
        <v>16</v>
      </c>
      <c r="AC3728" s="32" t="s">
        <v>240</v>
      </c>
      <c r="AD3728" s="32">
        <v>4.3499999999999996</v>
      </c>
      <c r="AE3728" s="32">
        <v>0.97</v>
      </c>
      <c r="AG3728" s="32" t="s">
        <v>2755</v>
      </c>
      <c r="AH3728" s="32" t="s">
        <v>3392</v>
      </c>
      <c r="AI3728" s="32" t="s">
        <v>577</v>
      </c>
      <c r="AJ3728" s="32" t="s">
        <v>1645</v>
      </c>
      <c r="AK3728" s="32" t="s">
        <v>132</v>
      </c>
      <c r="AW3728" s="32" t="s">
        <v>3375</v>
      </c>
      <c r="AX3728" s="32">
        <v>4</v>
      </c>
      <c r="AZ3728" s="32" t="s">
        <v>141</v>
      </c>
      <c r="BB3728" s="32">
        <v>400</v>
      </c>
      <c r="BK3728" s="32">
        <v>2500</v>
      </c>
      <c r="BL3728" s="32">
        <v>4300</v>
      </c>
      <c r="BP3728" s="397"/>
      <c r="BQ3728" s="397"/>
      <c r="BU3728" s="397"/>
      <c r="BV3728" s="397"/>
      <c r="BZ3728" s="397"/>
      <c r="CA3728" s="397"/>
      <c r="CE3728" s="550"/>
      <c r="CF3728" s="550"/>
      <c r="CG3728" s="550"/>
      <c r="CH3728" s="550"/>
      <c r="CJ3728" s="32">
        <v>10.8</v>
      </c>
      <c r="CK3728" s="32">
        <v>10.199999999999999</v>
      </c>
      <c r="CN3728" s="32" t="s">
        <v>465</v>
      </c>
      <c r="FL3728" s="32">
        <v>16.2</v>
      </c>
      <c r="FM3728" s="32">
        <v>16</v>
      </c>
      <c r="FP3728" s="32" t="s">
        <v>3400</v>
      </c>
      <c r="GF3728" s="32">
        <v>8.4</v>
      </c>
      <c r="GG3728" s="32">
        <v>5.8</v>
      </c>
      <c r="GJ3728" s="32" t="s">
        <v>3387</v>
      </c>
      <c r="JD3728" s="243"/>
    </row>
    <row r="3729" spans="1:264" s="32" customFormat="1" x14ac:dyDescent="0.25">
      <c r="A3729" s="32">
        <v>168</v>
      </c>
      <c r="B3729" s="44" t="s">
        <v>3389</v>
      </c>
      <c r="C3729" s="32" t="s">
        <v>3323</v>
      </c>
      <c r="D3729" s="32" t="s">
        <v>3358</v>
      </c>
      <c r="E3729" s="32">
        <v>2005</v>
      </c>
      <c r="F3729" s="32">
        <v>2002</v>
      </c>
      <c r="G3729" s="32" t="s">
        <v>3367</v>
      </c>
      <c r="H3729" s="32" t="s">
        <v>3372</v>
      </c>
      <c r="I3729" s="32" t="s">
        <v>2829</v>
      </c>
      <c r="J3729" s="32">
        <v>-13.25</v>
      </c>
      <c r="K3729" s="32">
        <v>32.6</v>
      </c>
      <c r="L3729" s="32">
        <v>1015</v>
      </c>
      <c r="N3729" s="32">
        <v>20.5</v>
      </c>
      <c r="P3729" s="32">
        <v>960</v>
      </c>
      <c r="R3729" s="44" t="s">
        <v>1847</v>
      </c>
      <c r="S3729" s="44" t="s">
        <v>1728</v>
      </c>
      <c r="T3729" s="44"/>
      <c r="U3729" s="44" t="s">
        <v>1864</v>
      </c>
      <c r="V3729" s="44" t="s">
        <v>1382</v>
      </c>
      <c r="W3729" s="44" t="s">
        <v>1717</v>
      </c>
      <c r="X3729" s="44" t="s">
        <v>1382</v>
      </c>
      <c r="Y3729" s="44" t="s">
        <v>1382</v>
      </c>
      <c r="AA3729" s="323">
        <v>68</v>
      </c>
      <c r="AB3729" s="323">
        <v>16</v>
      </c>
      <c r="AC3729" s="32" t="s">
        <v>240</v>
      </c>
      <c r="AD3729" s="32">
        <v>4.3499999999999996</v>
      </c>
      <c r="AE3729" s="32">
        <v>0.97</v>
      </c>
      <c r="AG3729" s="32" t="s">
        <v>2755</v>
      </c>
      <c r="AH3729" s="32" t="s">
        <v>3393</v>
      </c>
      <c r="AI3729" s="32" t="s">
        <v>577</v>
      </c>
      <c r="AJ3729" s="32" t="s">
        <v>1645</v>
      </c>
      <c r="AK3729" s="32" t="s">
        <v>132</v>
      </c>
      <c r="AW3729" s="32" t="s">
        <v>3375</v>
      </c>
      <c r="AX3729" s="32">
        <v>4</v>
      </c>
      <c r="AZ3729" s="32" t="s">
        <v>141</v>
      </c>
      <c r="BB3729" s="32">
        <v>300</v>
      </c>
      <c r="BK3729" s="32">
        <v>2500</v>
      </c>
      <c r="BL3729" s="32">
        <v>3900</v>
      </c>
      <c r="BP3729" s="397"/>
      <c r="BQ3729" s="397"/>
      <c r="BU3729" s="397"/>
      <c r="BV3729" s="397"/>
      <c r="BZ3729" s="397"/>
      <c r="CA3729" s="397"/>
      <c r="CE3729" s="550"/>
      <c r="CF3729" s="550"/>
      <c r="CG3729" s="550"/>
      <c r="CH3729" s="550"/>
      <c r="CJ3729" s="32">
        <v>10.8</v>
      </c>
      <c r="CK3729" s="32">
        <v>14.9</v>
      </c>
      <c r="CN3729" s="32" t="s">
        <v>465</v>
      </c>
      <c r="FL3729" s="32">
        <v>16.2</v>
      </c>
      <c r="FM3729" s="32">
        <v>15.3</v>
      </c>
      <c r="FP3729" s="32" t="s">
        <v>3400</v>
      </c>
      <c r="GF3729" s="32">
        <v>8.4</v>
      </c>
      <c r="GG3729" s="32">
        <v>4.8</v>
      </c>
      <c r="GJ3729" s="32" t="s">
        <v>3387</v>
      </c>
      <c r="JD3729" s="243"/>
    </row>
    <row r="3730" spans="1:264" s="32" customFormat="1" x14ac:dyDescent="0.25">
      <c r="A3730" s="32">
        <v>168</v>
      </c>
      <c r="B3730" s="44" t="s">
        <v>3389</v>
      </c>
      <c r="C3730" s="32" t="s">
        <v>3323</v>
      </c>
      <c r="D3730" s="32" t="s">
        <v>3358</v>
      </c>
      <c r="E3730" s="32">
        <v>2005</v>
      </c>
      <c r="F3730" s="32">
        <v>2002</v>
      </c>
      <c r="G3730" s="32" t="s">
        <v>3367</v>
      </c>
      <c r="H3730" s="32" t="s">
        <v>3372</v>
      </c>
      <c r="I3730" s="32" t="s">
        <v>2829</v>
      </c>
      <c r="J3730" s="32">
        <v>-13.25</v>
      </c>
      <c r="K3730" s="32">
        <v>32.6</v>
      </c>
      <c r="L3730" s="32">
        <v>1015</v>
      </c>
      <c r="N3730" s="32">
        <v>20.5</v>
      </c>
      <c r="P3730" s="32">
        <v>960</v>
      </c>
      <c r="R3730" s="44" t="s">
        <v>1847</v>
      </c>
      <c r="S3730" s="44" t="s">
        <v>1728</v>
      </c>
      <c r="T3730" s="44"/>
      <c r="U3730" s="44" t="s">
        <v>1864</v>
      </c>
      <c r="V3730" s="44" t="s">
        <v>1382</v>
      </c>
      <c r="W3730" s="44" t="s">
        <v>1717</v>
      </c>
      <c r="X3730" s="44" t="s">
        <v>1382</v>
      </c>
      <c r="Y3730" s="44" t="s">
        <v>1382</v>
      </c>
      <c r="AA3730" s="323">
        <v>68</v>
      </c>
      <c r="AB3730" s="323">
        <v>16</v>
      </c>
      <c r="AC3730" s="32" t="s">
        <v>240</v>
      </c>
      <c r="AD3730" s="32">
        <v>4.3499999999999996</v>
      </c>
      <c r="AE3730" s="32">
        <v>0.97</v>
      </c>
      <c r="AG3730" s="32" t="s">
        <v>2755</v>
      </c>
      <c r="AH3730" s="32" t="s">
        <v>3397</v>
      </c>
      <c r="AI3730" s="32" t="s">
        <v>1583</v>
      </c>
      <c r="AJ3730" s="32" t="s">
        <v>1645</v>
      </c>
      <c r="AK3730" s="32" t="s">
        <v>132</v>
      </c>
      <c r="AW3730" s="32" t="s">
        <v>3375</v>
      </c>
      <c r="AX3730" s="32">
        <v>4</v>
      </c>
      <c r="AZ3730" s="32" t="s">
        <v>141</v>
      </c>
      <c r="BB3730" s="32">
        <v>600</v>
      </c>
      <c r="BK3730" s="32">
        <v>2500</v>
      </c>
      <c r="BL3730" s="32">
        <v>4300</v>
      </c>
      <c r="BP3730" s="397"/>
      <c r="BQ3730" s="397"/>
      <c r="BU3730" s="397"/>
      <c r="BV3730" s="397"/>
      <c r="BZ3730" s="397"/>
      <c r="CA3730" s="397"/>
      <c r="CE3730" s="550"/>
      <c r="CF3730" s="550"/>
      <c r="CG3730" s="550"/>
      <c r="CH3730" s="550"/>
      <c r="CJ3730" s="32">
        <v>10.8</v>
      </c>
      <c r="CK3730" s="32">
        <v>20.5</v>
      </c>
      <c r="CN3730" s="32" t="s">
        <v>465</v>
      </c>
      <c r="FL3730" s="32">
        <v>16.2</v>
      </c>
      <c r="FM3730" s="32">
        <v>15.8</v>
      </c>
      <c r="FP3730" s="32" t="s">
        <v>3400</v>
      </c>
      <c r="GF3730" s="32">
        <v>8.4</v>
      </c>
      <c r="GG3730" s="32">
        <v>4.5999999999999996</v>
      </c>
      <c r="GJ3730" s="32" t="s">
        <v>3387</v>
      </c>
      <c r="JD3730" s="243"/>
    </row>
    <row r="3731" spans="1:264" s="32" customFormat="1" x14ac:dyDescent="0.25">
      <c r="A3731" s="32">
        <v>168</v>
      </c>
      <c r="B3731" s="44" t="s">
        <v>3389</v>
      </c>
      <c r="C3731" s="32" t="s">
        <v>3323</v>
      </c>
      <c r="D3731" s="32" t="s">
        <v>3358</v>
      </c>
      <c r="E3731" s="32">
        <v>2005</v>
      </c>
      <c r="F3731" s="32">
        <v>2002</v>
      </c>
      <c r="G3731" s="32" t="s">
        <v>3367</v>
      </c>
      <c r="H3731" s="32" t="s">
        <v>3372</v>
      </c>
      <c r="I3731" s="32" t="s">
        <v>2829</v>
      </c>
      <c r="J3731" s="32">
        <v>-13.25</v>
      </c>
      <c r="K3731" s="32">
        <v>32.6</v>
      </c>
      <c r="L3731" s="32">
        <v>1015</v>
      </c>
      <c r="N3731" s="32">
        <v>20.5</v>
      </c>
      <c r="P3731" s="32">
        <v>960</v>
      </c>
      <c r="R3731" s="44" t="s">
        <v>1847</v>
      </c>
      <c r="S3731" s="44" t="s">
        <v>1728</v>
      </c>
      <c r="T3731" s="44"/>
      <c r="U3731" s="44" t="s">
        <v>1864</v>
      </c>
      <c r="V3731" s="44" t="s">
        <v>1382</v>
      </c>
      <c r="W3731" s="44" t="s">
        <v>1717</v>
      </c>
      <c r="X3731" s="44" t="s">
        <v>1382</v>
      </c>
      <c r="Y3731" s="44" t="s">
        <v>1382</v>
      </c>
      <c r="AA3731" s="323">
        <v>68</v>
      </c>
      <c r="AB3731" s="323">
        <v>16</v>
      </c>
      <c r="AC3731" s="32" t="s">
        <v>240</v>
      </c>
      <c r="AD3731" s="32">
        <v>4.3499999999999996</v>
      </c>
      <c r="AE3731" s="32">
        <v>0.97</v>
      </c>
      <c r="AG3731" s="32" t="s">
        <v>2755</v>
      </c>
      <c r="AH3731" s="32" t="s">
        <v>3394</v>
      </c>
      <c r="AI3731" s="32" t="s">
        <v>577</v>
      </c>
      <c r="AJ3731" s="32" t="s">
        <v>1645</v>
      </c>
      <c r="AK3731" s="32" t="s">
        <v>132</v>
      </c>
      <c r="AW3731" s="32" t="s">
        <v>3375</v>
      </c>
      <c r="AX3731" s="32">
        <v>4</v>
      </c>
      <c r="AZ3731" s="32" t="s">
        <v>141</v>
      </c>
      <c r="BB3731" s="32">
        <v>800</v>
      </c>
      <c r="BK3731" s="32">
        <v>2500</v>
      </c>
      <c r="BL3731" s="32">
        <v>4100</v>
      </c>
      <c r="BP3731" s="397"/>
      <c r="BQ3731" s="397"/>
      <c r="BU3731" s="397"/>
      <c r="BV3731" s="397"/>
      <c r="BZ3731" s="397"/>
      <c r="CA3731" s="397"/>
      <c r="CE3731" s="550"/>
      <c r="CF3731" s="550"/>
      <c r="CG3731" s="550"/>
      <c r="CH3731" s="550"/>
      <c r="CJ3731" s="32">
        <v>10.8</v>
      </c>
      <c r="CK3731" s="32">
        <v>15.9</v>
      </c>
      <c r="CN3731" s="32" t="s">
        <v>465</v>
      </c>
      <c r="FL3731" s="32">
        <v>16.2</v>
      </c>
      <c r="FM3731" s="32">
        <v>15.7</v>
      </c>
      <c r="FP3731" s="32" t="s">
        <v>3400</v>
      </c>
      <c r="GF3731" s="32">
        <v>8.4</v>
      </c>
      <c r="GG3731" s="32">
        <v>4</v>
      </c>
      <c r="GJ3731" s="32" t="s">
        <v>3387</v>
      </c>
      <c r="JD3731" s="243"/>
    </row>
    <row r="3732" spans="1:264" s="32" customFormat="1" x14ac:dyDescent="0.25">
      <c r="A3732" s="32">
        <v>168</v>
      </c>
      <c r="B3732" s="44" t="s">
        <v>3389</v>
      </c>
      <c r="C3732" s="32" t="s">
        <v>3323</v>
      </c>
      <c r="D3732" s="32" t="s">
        <v>3358</v>
      </c>
      <c r="E3732" s="32">
        <v>2005</v>
      </c>
      <c r="F3732" s="32">
        <v>2002</v>
      </c>
      <c r="G3732" s="32" t="s">
        <v>3367</v>
      </c>
      <c r="H3732" s="32" t="s">
        <v>3372</v>
      </c>
      <c r="I3732" s="32" t="s">
        <v>2829</v>
      </c>
      <c r="J3732" s="32">
        <v>-13.25</v>
      </c>
      <c r="K3732" s="32">
        <v>32.6</v>
      </c>
      <c r="L3732" s="32">
        <v>1015</v>
      </c>
      <c r="N3732" s="32">
        <v>20.5</v>
      </c>
      <c r="P3732" s="32">
        <v>960</v>
      </c>
      <c r="R3732" s="44" t="s">
        <v>1847</v>
      </c>
      <c r="S3732" s="44" t="s">
        <v>1728</v>
      </c>
      <c r="T3732" s="44"/>
      <c r="U3732" s="44" t="s">
        <v>1864</v>
      </c>
      <c r="V3732" s="44" t="s">
        <v>1382</v>
      </c>
      <c r="W3732" s="44" t="s">
        <v>1717</v>
      </c>
      <c r="X3732" s="44" t="s">
        <v>1382</v>
      </c>
      <c r="Y3732" s="44" t="s">
        <v>1382</v>
      </c>
      <c r="AA3732" s="323">
        <v>68</v>
      </c>
      <c r="AB3732" s="323">
        <v>16</v>
      </c>
      <c r="AC3732" s="32" t="s">
        <v>240</v>
      </c>
      <c r="AD3732" s="32">
        <v>4.3499999999999996</v>
      </c>
      <c r="AE3732" s="32">
        <v>0.97</v>
      </c>
      <c r="AG3732" s="32" t="s">
        <v>2755</v>
      </c>
      <c r="AH3732" s="32" t="s">
        <v>3398</v>
      </c>
      <c r="AI3732" s="32" t="s">
        <v>1583</v>
      </c>
      <c r="AJ3732" s="32" t="s">
        <v>1645</v>
      </c>
      <c r="AK3732" s="32" t="s">
        <v>132</v>
      </c>
      <c r="AW3732" s="32" t="s">
        <v>3375</v>
      </c>
      <c r="AX3732" s="32">
        <v>4</v>
      </c>
      <c r="AZ3732" s="32" t="s">
        <v>141</v>
      </c>
      <c r="BB3732" s="32">
        <v>600</v>
      </c>
      <c r="BK3732" s="32">
        <v>2500</v>
      </c>
      <c r="BL3732" s="32">
        <v>4600</v>
      </c>
      <c r="BP3732" s="397"/>
      <c r="BQ3732" s="397"/>
      <c r="BU3732" s="397"/>
      <c r="BV3732" s="397"/>
      <c r="BZ3732" s="397"/>
      <c r="CA3732" s="397"/>
      <c r="CE3732" s="550"/>
      <c r="CF3732" s="550"/>
      <c r="CG3732" s="550"/>
      <c r="CH3732" s="550"/>
      <c r="CJ3732" s="32">
        <v>10.8</v>
      </c>
      <c r="CK3732" s="32">
        <v>17.100000000000001</v>
      </c>
      <c r="CN3732" s="32" t="s">
        <v>465</v>
      </c>
      <c r="FL3732" s="32">
        <v>16.2</v>
      </c>
      <c r="FM3732" s="32">
        <v>15</v>
      </c>
      <c r="FP3732" s="32" t="s">
        <v>3400</v>
      </c>
      <c r="GF3732" s="32">
        <v>8.4</v>
      </c>
      <c r="GG3732" s="32">
        <v>2.7</v>
      </c>
      <c r="GJ3732" s="32" t="s">
        <v>3387</v>
      </c>
      <c r="JD3732" s="243"/>
    </row>
    <row r="3733" spans="1:264" s="134" customFormat="1" x14ac:dyDescent="0.25">
      <c r="A3733" s="134">
        <v>168</v>
      </c>
      <c r="B3733" s="135" t="s">
        <v>3389</v>
      </c>
      <c r="C3733" s="134" t="s">
        <v>3323</v>
      </c>
      <c r="D3733" s="134" t="s">
        <v>3358</v>
      </c>
      <c r="E3733" s="134">
        <v>2005</v>
      </c>
      <c r="F3733" s="134">
        <v>2002</v>
      </c>
      <c r="G3733" s="134" t="s">
        <v>3367</v>
      </c>
      <c r="H3733" s="134" t="s">
        <v>3372</v>
      </c>
      <c r="I3733" s="134" t="s">
        <v>2829</v>
      </c>
      <c r="J3733" s="134">
        <v>-13.25</v>
      </c>
      <c r="K3733" s="134">
        <v>32.6</v>
      </c>
      <c r="L3733" s="134">
        <v>1015</v>
      </c>
      <c r="N3733" s="134">
        <v>20.5</v>
      </c>
      <c r="P3733" s="134">
        <v>960</v>
      </c>
      <c r="R3733" s="135" t="s">
        <v>1847</v>
      </c>
      <c r="S3733" s="135" t="s">
        <v>1728</v>
      </c>
      <c r="T3733" s="135"/>
      <c r="U3733" s="135" t="s">
        <v>1864</v>
      </c>
      <c r="V3733" s="135" t="s">
        <v>1382</v>
      </c>
      <c r="W3733" s="135" t="s">
        <v>1717</v>
      </c>
      <c r="X3733" s="135" t="s">
        <v>1382</v>
      </c>
      <c r="Y3733" s="135" t="s">
        <v>1382</v>
      </c>
      <c r="AA3733" s="356">
        <v>68</v>
      </c>
      <c r="AB3733" s="356">
        <v>16</v>
      </c>
      <c r="AC3733" s="134" t="s">
        <v>240</v>
      </c>
      <c r="AD3733" s="134">
        <v>4.3499999999999996</v>
      </c>
      <c r="AE3733" s="134">
        <v>0.97</v>
      </c>
      <c r="AG3733" s="134" t="s">
        <v>2755</v>
      </c>
      <c r="AH3733" s="134" t="s">
        <v>3390</v>
      </c>
      <c r="AI3733" s="134" t="s">
        <v>577</v>
      </c>
      <c r="AJ3733" s="134" t="s">
        <v>1645</v>
      </c>
      <c r="AK3733" s="134" t="s">
        <v>132</v>
      </c>
      <c r="AW3733" s="134" t="s">
        <v>3376</v>
      </c>
      <c r="AX3733" s="134">
        <v>4</v>
      </c>
      <c r="AZ3733" s="134" t="s">
        <v>141</v>
      </c>
      <c r="BB3733" s="134">
        <v>500</v>
      </c>
      <c r="BK3733" s="134">
        <v>1700</v>
      </c>
      <c r="BL3733" s="134">
        <v>3700</v>
      </c>
      <c r="BP3733" s="431"/>
      <c r="BQ3733" s="431"/>
      <c r="BU3733" s="431"/>
      <c r="BV3733" s="431"/>
      <c r="BZ3733" s="431"/>
      <c r="CA3733" s="431"/>
      <c r="CE3733" s="584"/>
      <c r="CF3733" s="584"/>
      <c r="CG3733" s="584"/>
      <c r="CH3733" s="584"/>
      <c r="CJ3733" s="134">
        <v>4.4000000000000004</v>
      </c>
      <c r="CK3733" s="134">
        <v>14.2</v>
      </c>
      <c r="CN3733" s="32" t="s">
        <v>465</v>
      </c>
      <c r="FL3733" s="134">
        <v>10.3</v>
      </c>
      <c r="FM3733" s="134">
        <v>15.6</v>
      </c>
      <c r="FP3733" s="134" t="s">
        <v>3400</v>
      </c>
      <c r="GF3733" s="134">
        <v>14.7</v>
      </c>
      <c r="GG3733" s="134">
        <v>16.3</v>
      </c>
      <c r="GJ3733" s="134" t="s">
        <v>3387</v>
      </c>
      <c r="JD3733" s="501"/>
    </row>
    <row r="3734" spans="1:264" s="134" customFormat="1" x14ac:dyDescent="0.25">
      <c r="A3734" s="134">
        <v>168</v>
      </c>
      <c r="B3734" s="135" t="s">
        <v>3389</v>
      </c>
      <c r="C3734" s="134" t="s">
        <v>3323</v>
      </c>
      <c r="D3734" s="134" t="s">
        <v>3358</v>
      </c>
      <c r="E3734" s="134">
        <v>2005</v>
      </c>
      <c r="F3734" s="134">
        <v>2002</v>
      </c>
      <c r="G3734" s="134" t="s">
        <v>3367</v>
      </c>
      <c r="H3734" s="134" t="s">
        <v>3372</v>
      </c>
      <c r="I3734" s="134" t="s">
        <v>2829</v>
      </c>
      <c r="J3734" s="134">
        <v>-13.25</v>
      </c>
      <c r="K3734" s="134">
        <v>32.6</v>
      </c>
      <c r="L3734" s="134">
        <v>1015</v>
      </c>
      <c r="N3734" s="134">
        <v>20.5</v>
      </c>
      <c r="P3734" s="134">
        <v>960</v>
      </c>
      <c r="R3734" s="135" t="s">
        <v>1847</v>
      </c>
      <c r="S3734" s="135" t="s">
        <v>1728</v>
      </c>
      <c r="T3734" s="135"/>
      <c r="U3734" s="135" t="s">
        <v>1864</v>
      </c>
      <c r="V3734" s="135" t="s">
        <v>1382</v>
      </c>
      <c r="W3734" s="135" t="s">
        <v>1717</v>
      </c>
      <c r="X3734" s="135" t="s">
        <v>1382</v>
      </c>
      <c r="Y3734" s="135" t="s">
        <v>1382</v>
      </c>
      <c r="AA3734" s="356">
        <v>68</v>
      </c>
      <c r="AB3734" s="356">
        <v>16</v>
      </c>
      <c r="AC3734" s="134" t="s">
        <v>240</v>
      </c>
      <c r="AD3734" s="134">
        <v>4.3499999999999996</v>
      </c>
      <c r="AE3734" s="134">
        <v>0.97</v>
      </c>
      <c r="AG3734" s="134" t="s">
        <v>2755</v>
      </c>
      <c r="AH3734" s="134" t="s">
        <v>3391</v>
      </c>
      <c r="AI3734" s="134" t="s">
        <v>577</v>
      </c>
      <c r="AJ3734" s="134" t="s">
        <v>1645</v>
      </c>
      <c r="AK3734" s="134" t="s">
        <v>132</v>
      </c>
      <c r="AW3734" s="134" t="s">
        <v>3376</v>
      </c>
      <c r="AX3734" s="134">
        <v>4</v>
      </c>
      <c r="AZ3734" s="134" t="s">
        <v>141</v>
      </c>
      <c r="BB3734" s="134">
        <v>800</v>
      </c>
      <c r="BK3734" s="134">
        <v>1700</v>
      </c>
      <c r="BL3734" s="134">
        <v>3600</v>
      </c>
      <c r="BP3734" s="431"/>
      <c r="BQ3734" s="431"/>
      <c r="BU3734" s="431"/>
      <c r="BV3734" s="431"/>
      <c r="BZ3734" s="431"/>
      <c r="CA3734" s="431"/>
      <c r="CE3734" s="584"/>
      <c r="CF3734" s="584"/>
      <c r="CG3734" s="584"/>
      <c r="CH3734" s="584"/>
      <c r="CJ3734" s="134">
        <v>4.4000000000000004</v>
      </c>
      <c r="CK3734" s="134">
        <v>8.8000000000000007</v>
      </c>
      <c r="CN3734" s="32" t="s">
        <v>465</v>
      </c>
      <c r="FL3734" s="134">
        <v>10.3</v>
      </c>
      <c r="FM3734" s="134">
        <v>15.1</v>
      </c>
      <c r="FP3734" s="134" t="s">
        <v>3400</v>
      </c>
      <c r="GF3734" s="134">
        <v>14.7</v>
      </c>
      <c r="GG3734" s="134">
        <v>8.9</v>
      </c>
      <c r="GJ3734" s="134" t="s">
        <v>3387</v>
      </c>
      <c r="JD3734" s="501"/>
    </row>
    <row r="3735" spans="1:264" s="134" customFormat="1" x14ac:dyDescent="0.25">
      <c r="A3735" s="134">
        <v>168</v>
      </c>
      <c r="B3735" s="135" t="s">
        <v>3389</v>
      </c>
      <c r="C3735" s="134" t="s">
        <v>3323</v>
      </c>
      <c r="D3735" s="134" t="s">
        <v>3358</v>
      </c>
      <c r="E3735" s="134">
        <v>2005</v>
      </c>
      <c r="F3735" s="134">
        <v>2002</v>
      </c>
      <c r="G3735" s="134" t="s">
        <v>3367</v>
      </c>
      <c r="H3735" s="134" t="s">
        <v>3372</v>
      </c>
      <c r="I3735" s="134" t="s">
        <v>2829</v>
      </c>
      <c r="J3735" s="134">
        <v>-13.25</v>
      </c>
      <c r="K3735" s="134">
        <v>32.6</v>
      </c>
      <c r="L3735" s="134">
        <v>1015</v>
      </c>
      <c r="N3735" s="134">
        <v>20.5</v>
      </c>
      <c r="P3735" s="134">
        <v>960</v>
      </c>
      <c r="R3735" s="135" t="s">
        <v>1847</v>
      </c>
      <c r="S3735" s="135" t="s">
        <v>1728</v>
      </c>
      <c r="T3735" s="135"/>
      <c r="U3735" s="135" t="s">
        <v>1864</v>
      </c>
      <c r="V3735" s="135" t="s">
        <v>1382</v>
      </c>
      <c r="W3735" s="135" t="s">
        <v>1717</v>
      </c>
      <c r="X3735" s="135" t="s">
        <v>1382</v>
      </c>
      <c r="Y3735" s="135" t="s">
        <v>1382</v>
      </c>
      <c r="AA3735" s="356">
        <v>68</v>
      </c>
      <c r="AB3735" s="356">
        <v>16</v>
      </c>
      <c r="AC3735" s="134" t="s">
        <v>240</v>
      </c>
      <c r="AD3735" s="134">
        <v>4.3499999999999996</v>
      </c>
      <c r="AE3735" s="134">
        <v>0.97</v>
      </c>
      <c r="AG3735" s="134" t="s">
        <v>2755</v>
      </c>
      <c r="AH3735" s="134" t="s">
        <v>3395</v>
      </c>
      <c r="AI3735" s="134" t="s">
        <v>1583</v>
      </c>
      <c r="AJ3735" s="134" t="s">
        <v>1645</v>
      </c>
      <c r="AK3735" s="134" t="s">
        <v>132</v>
      </c>
      <c r="AW3735" s="134" t="s">
        <v>3376</v>
      </c>
      <c r="AX3735" s="134">
        <v>4</v>
      </c>
      <c r="AZ3735" s="134" t="s">
        <v>141</v>
      </c>
      <c r="BB3735" s="134">
        <v>500</v>
      </c>
      <c r="BK3735" s="134">
        <v>1700</v>
      </c>
      <c r="BL3735" s="134">
        <v>3300</v>
      </c>
      <c r="BP3735" s="431"/>
      <c r="BQ3735" s="431"/>
      <c r="BU3735" s="431"/>
      <c r="BV3735" s="431"/>
      <c r="BZ3735" s="431"/>
      <c r="CA3735" s="431"/>
      <c r="CE3735" s="584"/>
      <c r="CF3735" s="584"/>
      <c r="CG3735" s="584"/>
      <c r="CH3735" s="584"/>
      <c r="CJ3735" s="134">
        <v>4.4000000000000004</v>
      </c>
      <c r="CK3735" s="134">
        <v>11.7</v>
      </c>
      <c r="CN3735" s="32" t="s">
        <v>465</v>
      </c>
      <c r="FL3735" s="134">
        <v>10.3</v>
      </c>
      <c r="FM3735" s="134">
        <v>15.8</v>
      </c>
      <c r="FP3735" s="134" t="s">
        <v>3400</v>
      </c>
      <c r="GF3735" s="134">
        <v>14.7</v>
      </c>
      <c r="GG3735" s="134">
        <v>8.1999999999999993</v>
      </c>
      <c r="GJ3735" s="134" t="s">
        <v>3387</v>
      </c>
      <c r="JD3735" s="501"/>
    </row>
    <row r="3736" spans="1:264" s="134" customFormat="1" x14ac:dyDescent="0.25">
      <c r="A3736" s="134">
        <v>168</v>
      </c>
      <c r="B3736" s="135" t="s">
        <v>3389</v>
      </c>
      <c r="C3736" s="134" t="s">
        <v>3323</v>
      </c>
      <c r="D3736" s="134" t="s">
        <v>3358</v>
      </c>
      <c r="E3736" s="134">
        <v>2005</v>
      </c>
      <c r="F3736" s="134">
        <v>2002</v>
      </c>
      <c r="G3736" s="134" t="s">
        <v>3367</v>
      </c>
      <c r="H3736" s="134" t="s">
        <v>3372</v>
      </c>
      <c r="I3736" s="134" t="s">
        <v>2829</v>
      </c>
      <c r="J3736" s="134">
        <v>-13.25</v>
      </c>
      <c r="K3736" s="134">
        <v>32.6</v>
      </c>
      <c r="L3736" s="134">
        <v>1015</v>
      </c>
      <c r="N3736" s="134">
        <v>20.5</v>
      </c>
      <c r="P3736" s="134">
        <v>960</v>
      </c>
      <c r="R3736" s="135" t="s">
        <v>1847</v>
      </c>
      <c r="S3736" s="135" t="s">
        <v>1728</v>
      </c>
      <c r="T3736" s="135"/>
      <c r="U3736" s="135" t="s">
        <v>1864</v>
      </c>
      <c r="V3736" s="135" t="s">
        <v>1382</v>
      </c>
      <c r="W3736" s="135" t="s">
        <v>1717</v>
      </c>
      <c r="X3736" s="135" t="s">
        <v>1382</v>
      </c>
      <c r="Y3736" s="135" t="s">
        <v>1382</v>
      </c>
      <c r="AA3736" s="356">
        <v>68</v>
      </c>
      <c r="AB3736" s="356">
        <v>16</v>
      </c>
      <c r="AC3736" s="134" t="s">
        <v>240</v>
      </c>
      <c r="AD3736" s="134">
        <v>4.3499999999999996</v>
      </c>
      <c r="AE3736" s="134">
        <v>0.97</v>
      </c>
      <c r="AG3736" s="134" t="s">
        <v>2755</v>
      </c>
      <c r="AH3736" s="134" t="s">
        <v>3399</v>
      </c>
      <c r="AI3736" s="134" t="s">
        <v>1583</v>
      </c>
      <c r="AJ3736" s="134" t="s">
        <v>1645</v>
      </c>
      <c r="AK3736" s="134" t="s">
        <v>132</v>
      </c>
      <c r="AW3736" s="134" t="s">
        <v>3376</v>
      </c>
      <c r="AX3736" s="134">
        <v>4</v>
      </c>
      <c r="AZ3736" s="134" t="s">
        <v>141</v>
      </c>
      <c r="BB3736" s="134">
        <v>500</v>
      </c>
      <c r="BK3736" s="134">
        <v>1700</v>
      </c>
      <c r="BL3736" s="134">
        <v>4300</v>
      </c>
      <c r="BP3736" s="431"/>
      <c r="BQ3736" s="431"/>
      <c r="BU3736" s="431"/>
      <c r="BV3736" s="431"/>
      <c r="BZ3736" s="431"/>
      <c r="CA3736" s="431"/>
      <c r="CE3736" s="584"/>
      <c r="CF3736" s="584"/>
      <c r="CG3736" s="584"/>
      <c r="CH3736" s="584"/>
      <c r="CJ3736" s="134">
        <v>4.4000000000000004</v>
      </c>
      <c r="CK3736" s="134">
        <v>10.5</v>
      </c>
      <c r="CN3736" s="32" t="s">
        <v>465</v>
      </c>
      <c r="FL3736" s="134">
        <v>10.3</v>
      </c>
      <c r="FM3736" s="134">
        <v>16.2</v>
      </c>
      <c r="FP3736" s="134" t="s">
        <v>3400</v>
      </c>
      <c r="GF3736" s="134">
        <v>14.7</v>
      </c>
      <c r="GG3736" s="134">
        <v>7.7</v>
      </c>
      <c r="GJ3736" s="134" t="s">
        <v>3387</v>
      </c>
      <c r="JD3736" s="501"/>
    </row>
    <row r="3737" spans="1:264" s="134" customFormat="1" x14ac:dyDescent="0.25">
      <c r="A3737" s="134">
        <v>168</v>
      </c>
      <c r="B3737" s="135" t="s">
        <v>3389</v>
      </c>
      <c r="C3737" s="134" t="s">
        <v>3323</v>
      </c>
      <c r="D3737" s="134" t="s">
        <v>3358</v>
      </c>
      <c r="E3737" s="134">
        <v>2005</v>
      </c>
      <c r="F3737" s="134">
        <v>2002</v>
      </c>
      <c r="G3737" s="134" t="s">
        <v>3367</v>
      </c>
      <c r="H3737" s="134" t="s">
        <v>3372</v>
      </c>
      <c r="I3737" s="134" t="s">
        <v>2829</v>
      </c>
      <c r="J3737" s="134">
        <v>-13.25</v>
      </c>
      <c r="K3737" s="134">
        <v>32.6</v>
      </c>
      <c r="L3737" s="134">
        <v>1015</v>
      </c>
      <c r="N3737" s="134">
        <v>20.5</v>
      </c>
      <c r="P3737" s="134">
        <v>960</v>
      </c>
      <c r="R3737" s="135" t="s">
        <v>1847</v>
      </c>
      <c r="S3737" s="135" t="s">
        <v>1728</v>
      </c>
      <c r="T3737" s="135"/>
      <c r="U3737" s="135" t="s">
        <v>1864</v>
      </c>
      <c r="V3737" s="135" t="s">
        <v>1382</v>
      </c>
      <c r="W3737" s="135" t="s">
        <v>1717</v>
      </c>
      <c r="X3737" s="135" t="s">
        <v>1382</v>
      </c>
      <c r="Y3737" s="135" t="s">
        <v>1382</v>
      </c>
      <c r="AA3737" s="356">
        <v>68</v>
      </c>
      <c r="AB3737" s="356">
        <v>16</v>
      </c>
      <c r="AC3737" s="134" t="s">
        <v>240</v>
      </c>
      <c r="AD3737" s="134">
        <v>4.3499999999999996</v>
      </c>
      <c r="AE3737" s="134">
        <v>0.97</v>
      </c>
      <c r="AG3737" s="134" t="s">
        <v>2755</v>
      </c>
      <c r="AH3737" s="134" t="s">
        <v>3396</v>
      </c>
      <c r="AI3737" s="134" t="s">
        <v>1583</v>
      </c>
      <c r="AJ3737" s="134" t="s">
        <v>1645</v>
      </c>
      <c r="AK3737" s="134" t="s">
        <v>132</v>
      </c>
      <c r="AW3737" s="134" t="s">
        <v>3376</v>
      </c>
      <c r="AX3737" s="134">
        <v>4</v>
      </c>
      <c r="AZ3737" s="134" t="s">
        <v>141</v>
      </c>
      <c r="BB3737" s="134">
        <v>500</v>
      </c>
      <c r="BK3737" s="134">
        <v>1700</v>
      </c>
      <c r="BL3737" s="134">
        <v>4600</v>
      </c>
      <c r="BP3737" s="431"/>
      <c r="BQ3737" s="431"/>
      <c r="BU3737" s="431"/>
      <c r="BV3737" s="431"/>
      <c r="BZ3737" s="431"/>
      <c r="CA3737" s="431"/>
      <c r="CE3737" s="584"/>
      <c r="CF3737" s="584"/>
      <c r="CG3737" s="584"/>
      <c r="CH3737" s="584"/>
      <c r="CJ3737" s="134">
        <v>4.4000000000000004</v>
      </c>
      <c r="CK3737" s="134">
        <v>13.5</v>
      </c>
      <c r="CN3737" s="32" t="s">
        <v>465</v>
      </c>
      <c r="FL3737" s="134">
        <v>10.3</v>
      </c>
      <c r="FM3737" s="134">
        <v>15.5</v>
      </c>
      <c r="FP3737" s="134" t="s">
        <v>3400</v>
      </c>
      <c r="GF3737" s="134">
        <v>14.7</v>
      </c>
      <c r="GG3737" s="134">
        <v>6.5</v>
      </c>
      <c r="GJ3737" s="134" t="s">
        <v>3387</v>
      </c>
      <c r="JD3737" s="501"/>
    </row>
    <row r="3738" spans="1:264" s="134" customFormat="1" x14ac:dyDescent="0.25">
      <c r="A3738" s="134">
        <v>168</v>
      </c>
      <c r="B3738" s="135" t="s">
        <v>3389</v>
      </c>
      <c r="C3738" s="134" t="s">
        <v>3323</v>
      </c>
      <c r="D3738" s="134" t="s">
        <v>3358</v>
      </c>
      <c r="E3738" s="134">
        <v>2005</v>
      </c>
      <c r="F3738" s="134">
        <v>2002</v>
      </c>
      <c r="G3738" s="134" t="s">
        <v>3367</v>
      </c>
      <c r="H3738" s="134" t="s">
        <v>3372</v>
      </c>
      <c r="I3738" s="134" t="s">
        <v>2829</v>
      </c>
      <c r="J3738" s="134">
        <v>-13.25</v>
      </c>
      <c r="K3738" s="134">
        <v>32.6</v>
      </c>
      <c r="L3738" s="134">
        <v>1015</v>
      </c>
      <c r="N3738" s="134">
        <v>20.5</v>
      </c>
      <c r="P3738" s="134">
        <v>960</v>
      </c>
      <c r="R3738" s="135" t="s">
        <v>1847</v>
      </c>
      <c r="S3738" s="135" t="s">
        <v>1728</v>
      </c>
      <c r="T3738" s="135"/>
      <c r="U3738" s="135" t="s">
        <v>1864</v>
      </c>
      <c r="V3738" s="135" t="s">
        <v>1382</v>
      </c>
      <c r="W3738" s="135" t="s">
        <v>1717</v>
      </c>
      <c r="X3738" s="135" t="s">
        <v>1382</v>
      </c>
      <c r="Y3738" s="135" t="s">
        <v>1382</v>
      </c>
      <c r="AA3738" s="356">
        <v>68</v>
      </c>
      <c r="AB3738" s="356">
        <v>16</v>
      </c>
      <c r="AC3738" s="134" t="s">
        <v>240</v>
      </c>
      <c r="AD3738" s="134">
        <v>4.3499999999999996</v>
      </c>
      <c r="AE3738" s="134">
        <v>0.97</v>
      </c>
      <c r="AG3738" s="134" t="s">
        <v>2755</v>
      </c>
      <c r="AH3738" s="134" t="s">
        <v>3392</v>
      </c>
      <c r="AI3738" s="134" t="s">
        <v>577</v>
      </c>
      <c r="AJ3738" s="134" t="s">
        <v>1645</v>
      </c>
      <c r="AK3738" s="134" t="s">
        <v>132</v>
      </c>
      <c r="AW3738" s="134" t="s">
        <v>3376</v>
      </c>
      <c r="AX3738" s="134">
        <v>4</v>
      </c>
      <c r="AZ3738" s="134" t="s">
        <v>141</v>
      </c>
      <c r="BB3738" s="134">
        <v>400</v>
      </c>
      <c r="BK3738" s="134">
        <v>1700</v>
      </c>
      <c r="BL3738" s="134">
        <v>4300</v>
      </c>
      <c r="BP3738" s="431"/>
      <c r="BQ3738" s="431"/>
      <c r="BU3738" s="431"/>
      <c r="BV3738" s="431"/>
      <c r="BZ3738" s="431"/>
      <c r="CA3738" s="431"/>
      <c r="CE3738" s="584"/>
      <c r="CF3738" s="584"/>
      <c r="CG3738" s="584"/>
      <c r="CH3738" s="584"/>
      <c r="CJ3738" s="134">
        <v>4.4000000000000004</v>
      </c>
      <c r="CK3738" s="134">
        <v>10.199999999999999</v>
      </c>
      <c r="CN3738" s="32" t="s">
        <v>465</v>
      </c>
      <c r="FL3738" s="134">
        <v>10.3</v>
      </c>
      <c r="FM3738" s="134">
        <v>16</v>
      </c>
      <c r="FP3738" s="134" t="s">
        <v>3400</v>
      </c>
      <c r="GF3738" s="134">
        <v>14.7</v>
      </c>
      <c r="GG3738" s="134">
        <v>5.8</v>
      </c>
      <c r="GJ3738" s="134" t="s">
        <v>3387</v>
      </c>
      <c r="JD3738" s="501"/>
    </row>
    <row r="3739" spans="1:264" s="134" customFormat="1" x14ac:dyDescent="0.25">
      <c r="A3739" s="134">
        <v>168</v>
      </c>
      <c r="B3739" s="135" t="s">
        <v>3389</v>
      </c>
      <c r="C3739" s="134" t="s">
        <v>3323</v>
      </c>
      <c r="D3739" s="134" t="s">
        <v>3358</v>
      </c>
      <c r="E3739" s="134">
        <v>2005</v>
      </c>
      <c r="F3739" s="134">
        <v>2002</v>
      </c>
      <c r="G3739" s="134" t="s">
        <v>3367</v>
      </c>
      <c r="H3739" s="134" t="s">
        <v>3372</v>
      </c>
      <c r="I3739" s="134" t="s">
        <v>2829</v>
      </c>
      <c r="J3739" s="134">
        <v>-13.25</v>
      </c>
      <c r="K3739" s="134">
        <v>32.6</v>
      </c>
      <c r="L3739" s="134">
        <v>1015</v>
      </c>
      <c r="N3739" s="134">
        <v>20.5</v>
      </c>
      <c r="P3739" s="134">
        <v>960</v>
      </c>
      <c r="R3739" s="135" t="s">
        <v>1847</v>
      </c>
      <c r="S3739" s="135" t="s">
        <v>1728</v>
      </c>
      <c r="T3739" s="135"/>
      <c r="U3739" s="135" t="s">
        <v>1864</v>
      </c>
      <c r="V3739" s="135" t="s">
        <v>1382</v>
      </c>
      <c r="W3739" s="135" t="s">
        <v>1717</v>
      </c>
      <c r="X3739" s="135" t="s">
        <v>1382</v>
      </c>
      <c r="Y3739" s="135" t="s">
        <v>1382</v>
      </c>
      <c r="AA3739" s="356">
        <v>68</v>
      </c>
      <c r="AB3739" s="356">
        <v>16</v>
      </c>
      <c r="AC3739" s="134" t="s">
        <v>240</v>
      </c>
      <c r="AD3739" s="134">
        <v>4.3499999999999996</v>
      </c>
      <c r="AE3739" s="134">
        <v>0.97</v>
      </c>
      <c r="AG3739" s="134" t="s">
        <v>2755</v>
      </c>
      <c r="AH3739" s="134" t="s">
        <v>3393</v>
      </c>
      <c r="AI3739" s="134" t="s">
        <v>577</v>
      </c>
      <c r="AJ3739" s="134" t="s">
        <v>1645</v>
      </c>
      <c r="AK3739" s="134" t="s">
        <v>132</v>
      </c>
      <c r="AW3739" s="134" t="s">
        <v>3376</v>
      </c>
      <c r="AX3739" s="134">
        <v>4</v>
      </c>
      <c r="AZ3739" s="134" t="s">
        <v>141</v>
      </c>
      <c r="BB3739" s="134">
        <v>300</v>
      </c>
      <c r="BK3739" s="134">
        <v>1700</v>
      </c>
      <c r="BL3739" s="134">
        <v>3900</v>
      </c>
      <c r="BP3739" s="431"/>
      <c r="BQ3739" s="431"/>
      <c r="BU3739" s="431"/>
      <c r="BV3739" s="431"/>
      <c r="BZ3739" s="431"/>
      <c r="CA3739" s="431"/>
      <c r="CE3739" s="584"/>
      <c r="CF3739" s="584"/>
      <c r="CG3739" s="584"/>
      <c r="CH3739" s="584"/>
      <c r="CJ3739" s="134">
        <v>4.4000000000000004</v>
      </c>
      <c r="CK3739" s="134">
        <v>14.9</v>
      </c>
      <c r="CN3739" s="32" t="s">
        <v>465</v>
      </c>
      <c r="FL3739" s="134">
        <v>10.3</v>
      </c>
      <c r="FM3739" s="134">
        <v>15.3</v>
      </c>
      <c r="FP3739" s="134" t="s">
        <v>3400</v>
      </c>
      <c r="GF3739" s="134">
        <v>14.7</v>
      </c>
      <c r="GG3739" s="134">
        <v>4.8</v>
      </c>
      <c r="GJ3739" s="134" t="s">
        <v>3387</v>
      </c>
      <c r="JD3739" s="501"/>
    </row>
    <row r="3740" spans="1:264" s="134" customFormat="1" x14ac:dyDescent="0.25">
      <c r="A3740" s="134">
        <v>168</v>
      </c>
      <c r="B3740" s="135" t="s">
        <v>3389</v>
      </c>
      <c r="C3740" s="134" t="s">
        <v>3323</v>
      </c>
      <c r="D3740" s="134" t="s">
        <v>3358</v>
      </c>
      <c r="E3740" s="134">
        <v>2005</v>
      </c>
      <c r="F3740" s="134">
        <v>2002</v>
      </c>
      <c r="G3740" s="134" t="s">
        <v>3367</v>
      </c>
      <c r="H3740" s="134" t="s">
        <v>3372</v>
      </c>
      <c r="I3740" s="134" t="s">
        <v>2829</v>
      </c>
      <c r="J3740" s="134">
        <v>-13.25</v>
      </c>
      <c r="K3740" s="134">
        <v>32.6</v>
      </c>
      <c r="L3740" s="134">
        <v>1015</v>
      </c>
      <c r="N3740" s="134">
        <v>20.5</v>
      </c>
      <c r="P3740" s="134">
        <v>960</v>
      </c>
      <c r="R3740" s="135" t="s">
        <v>1847</v>
      </c>
      <c r="S3740" s="135" t="s">
        <v>1728</v>
      </c>
      <c r="T3740" s="135"/>
      <c r="U3740" s="135" t="s">
        <v>1864</v>
      </c>
      <c r="V3740" s="135" t="s">
        <v>1382</v>
      </c>
      <c r="W3740" s="135" t="s">
        <v>1717</v>
      </c>
      <c r="X3740" s="135" t="s">
        <v>1382</v>
      </c>
      <c r="Y3740" s="135" t="s">
        <v>1382</v>
      </c>
      <c r="AA3740" s="356">
        <v>68</v>
      </c>
      <c r="AB3740" s="356">
        <v>16</v>
      </c>
      <c r="AC3740" s="134" t="s">
        <v>240</v>
      </c>
      <c r="AD3740" s="134">
        <v>4.3499999999999996</v>
      </c>
      <c r="AE3740" s="134">
        <v>0.97</v>
      </c>
      <c r="AG3740" s="134" t="s">
        <v>2755</v>
      </c>
      <c r="AH3740" s="134" t="s">
        <v>3397</v>
      </c>
      <c r="AI3740" s="134" t="s">
        <v>1583</v>
      </c>
      <c r="AJ3740" s="134" t="s">
        <v>1645</v>
      </c>
      <c r="AK3740" s="134" t="s">
        <v>132</v>
      </c>
      <c r="AW3740" s="134" t="s">
        <v>3376</v>
      </c>
      <c r="AX3740" s="134">
        <v>4</v>
      </c>
      <c r="AZ3740" s="134" t="s">
        <v>141</v>
      </c>
      <c r="BB3740" s="134">
        <v>600</v>
      </c>
      <c r="BK3740" s="134">
        <v>1700</v>
      </c>
      <c r="BL3740" s="134">
        <v>4300</v>
      </c>
      <c r="BP3740" s="431"/>
      <c r="BQ3740" s="431"/>
      <c r="BU3740" s="431"/>
      <c r="BV3740" s="431"/>
      <c r="BZ3740" s="431"/>
      <c r="CA3740" s="431"/>
      <c r="CE3740" s="584"/>
      <c r="CF3740" s="584"/>
      <c r="CG3740" s="584"/>
      <c r="CH3740" s="584"/>
      <c r="CJ3740" s="134">
        <v>4.4000000000000004</v>
      </c>
      <c r="CK3740" s="134">
        <v>20.5</v>
      </c>
      <c r="CN3740" s="32" t="s">
        <v>465</v>
      </c>
      <c r="FL3740" s="134">
        <v>10.3</v>
      </c>
      <c r="FM3740" s="134">
        <v>15.8</v>
      </c>
      <c r="FP3740" s="134" t="s">
        <v>3400</v>
      </c>
      <c r="GF3740" s="134">
        <v>14.7</v>
      </c>
      <c r="GG3740" s="134">
        <v>4.5999999999999996</v>
      </c>
      <c r="GJ3740" s="134" t="s">
        <v>3387</v>
      </c>
      <c r="JD3740" s="501"/>
    </row>
    <row r="3741" spans="1:264" s="134" customFormat="1" x14ac:dyDescent="0.25">
      <c r="A3741" s="134">
        <v>168</v>
      </c>
      <c r="B3741" s="135" t="s">
        <v>3389</v>
      </c>
      <c r="C3741" s="134" t="s">
        <v>3323</v>
      </c>
      <c r="D3741" s="134" t="s">
        <v>3358</v>
      </c>
      <c r="E3741" s="134">
        <v>2005</v>
      </c>
      <c r="F3741" s="134">
        <v>2002</v>
      </c>
      <c r="G3741" s="134" t="s">
        <v>3367</v>
      </c>
      <c r="H3741" s="134" t="s">
        <v>3372</v>
      </c>
      <c r="I3741" s="134" t="s">
        <v>2829</v>
      </c>
      <c r="J3741" s="134">
        <v>-13.25</v>
      </c>
      <c r="K3741" s="134">
        <v>32.6</v>
      </c>
      <c r="L3741" s="134">
        <v>1015</v>
      </c>
      <c r="N3741" s="134">
        <v>20.5</v>
      </c>
      <c r="P3741" s="134">
        <v>960</v>
      </c>
      <c r="R3741" s="135" t="s">
        <v>1847</v>
      </c>
      <c r="S3741" s="135" t="s">
        <v>1728</v>
      </c>
      <c r="T3741" s="135"/>
      <c r="U3741" s="135" t="s">
        <v>1864</v>
      </c>
      <c r="V3741" s="135" t="s">
        <v>1382</v>
      </c>
      <c r="W3741" s="135" t="s">
        <v>1717</v>
      </c>
      <c r="X3741" s="135" t="s">
        <v>1382</v>
      </c>
      <c r="Y3741" s="135" t="s">
        <v>1382</v>
      </c>
      <c r="AA3741" s="356">
        <v>68</v>
      </c>
      <c r="AB3741" s="356">
        <v>16</v>
      </c>
      <c r="AC3741" s="134" t="s">
        <v>240</v>
      </c>
      <c r="AD3741" s="134">
        <v>4.3499999999999996</v>
      </c>
      <c r="AE3741" s="134">
        <v>0.97</v>
      </c>
      <c r="AG3741" s="134" t="s">
        <v>2755</v>
      </c>
      <c r="AH3741" s="134" t="s">
        <v>3394</v>
      </c>
      <c r="AI3741" s="134" t="s">
        <v>577</v>
      </c>
      <c r="AJ3741" s="134" t="s">
        <v>1645</v>
      </c>
      <c r="AK3741" s="134" t="s">
        <v>132</v>
      </c>
      <c r="AW3741" s="134" t="s">
        <v>3376</v>
      </c>
      <c r="AX3741" s="134">
        <v>4</v>
      </c>
      <c r="AZ3741" s="134" t="s">
        <v>141</v>
      </c>
      <c r="BB3741" s="134">
        <v>800</v>
      </c>
      <c r="BK3741" s="134">
        <v>1700</v>
      </c>
      <c r="BL3741" s="134">
        <v>4100</v>
      </c>
      <c r="BP3741" s="431"/>
      <c r="BQ3741" s="431"/>
      <c r="BU3741" s="431"/>
      <c r="BV3741" s="431"/>
      <c r="BZ3741" s="431"/>
      <c r="CA3741" s="431"/>
      <c r="CE3741" s="584"/>
      <c r="CF3741" s="584"/>
      <c r="CG3741" s="584"/>
      <c r="CH3741" s="584"/>
      <c r="CJ3741" s="134">
        <v>4.4000000000000004</v>
      </c>
      <c r="CK3741" s="134">
        <v>15.9</v>
      </c>
      <c r="CN3741" s="32" t="s">
        <v>465</v>
      </c>
      <c r="FL3741" s="134">
        <v>10.3</v>
      </c>
      <c r="FM3741" s="134">
        <v>15.7</v>
      </c>
      <c r="FP3741" s="134" t="s">
        <v>3400</v>
      </c>
      <c r="GF3741" s="134">
        <v>14.7</v>
      </c>
      <c r="GG3741" s="134">
        <v>4</v>
      </c>
      <c r="GJ3741" s="134" t="s">
        <v>3387</v>
      </c>
      <c r="JD3741" s="501"/>
    </row>
    <row r="3742" spans="1:264" s="134" customFormat="1" x14ac:dyDescent="0.25">
      <c r="A3742" s="134">
        <v>168</v>
      </c>
      <c r="B3742" s="135" t="s">
        <v>3389</v>
      </c>
      <c r="C3742" s="134" t="s">
        <v>3323</v>
      </c>
      <c r="D3742" s="134" t="s">
        <v>3358</v>
      </c>
      <c r="E3742" s="134">
        <v>2005</v>
      </c>
      <c r="F3742" s="134">
        <v>2002</v>
      </c>
      <c r="G3742" s="134" t="s">
        <v>3367</v>
      </c>
      <c r="H3742" s="134" t="s">
        <v>3372</v>
      </c>
      <c r="I3742" s="134" t="s">
        <v>2829</v>
      </c>
      <c r="J3742" s="134">
        <v>-13.25</v>
      </c>
      <c r="K3742" s="134">
        <v>32.6</v>
      </c>
      <c r="L3742" s="134">
        <v>1015</v>
      </c>
      <c r="N3742" s="134">
        <v>20.5</v>
      </c>
      <c r="P3742" s="134">
        <v>960</v>
      </c>
      <c r="R3742" s="135" t="s">
        <v>1847</v>
      </c>
      <c r="S3742" s="135" t="s">
        <v>1728</v>
      </c>
      <c r="T3742" s="135"/>
      <c r="U3742" s="135" t="s">
        <v>1864</v>
      </c>
      <c r="V3742" s="135" t="s">
        <v>1382</v>
      </c>
      <c r="W3742" s="135" t="s">
        <v>1717</v>
      </c>
      <c r="X3742" s="135" t="s">
        <v>1382</v>
      </c>
      <c r="Y3742" s="135" t="s">
        <v>1382</v>
      </c>
      <c r="AA3742" s="356">
        <v>68</v>
      </c>
      <c r="AB3742" s="356">
        <v>16</v>
      </c>
      <c r="AC3742" s="134" t="s">
        <v>240</v>
      </c>
      <c r="AD3742" s="134">
        <v>4.3499999999999996</v>
      </c>
      <c r="AE3742" s="134">
        <v>0.97</v>
      </c>
      <c r="AG3742" s="134" t="s">
        <v>2755</v>
      </c>
      <c r="AH3742" s="134" t="s">
        <v>3398</v>
      </c>
      <c r="AI3742" s="134" t="s">
        <v>1583</v>
      </c>
      <c r="AJ3742" s="134" t="s">
        <v>1645</v>
      </c>
      <c r="AK3742" s="134" t="s">
        <v>132</v>
      </c>
      <c r="AW3742" s="134" t="s">
        <v>3376</v>
      </c>
      <c r="AX3742" s="134">
        <v>4</v>
      </c>
      <c r="AZ3742" s="134" t="s">
        <v>141</v>
      </c>
      <c r="BB3742" s="134">
        <v>600</v>
      </c>
      <c r="BK3742" s="134">
        <v>1700</v>
      </c>
      <c r="BL3742" s="134">
        <v>4600</v>
      </c>
      <c r="BP3742" s="431"/>
      <c r="BQ3742" s="431"/>
      <c r="BU3742" s="431"/>
      <c r="BV3742" s="431"/>
      <c r="BZ3742" s="431"/>
      <c r="CA3742" s="431"/>
      <c r="CE3742" s="584"/>
      <c r="CF3742" s="584"/>
      <c r="CG3742" s="584"/>
      <c r="CH3742" s="584"/>
      <c r="CJ3742" s="134">
        <v>4.4000000000000004</v>
      </c>
      <c r="CK3742" s="134">
        <v>17.100000000000001</v>
      </c>
      <c r="CN3742" s="32" t="s">
        <v>465</v>
      </c>
      <c r="FL3742" s="134">
        <v>10.3</v>
      </c>
      <c r="FM3742" s="134">
        <v>15</v>
      </c>
      <c r="FP3742" s="134" t="s">
        <v>3400</v>
      </c>
      <c r="GF3742" s="134">
        <v>14.7</v>
      </c>
      <c r="GG3742" s="134">
        <v>2.7</v>
      </c>
      <c r="GJ3742" s="134" t="s">
        <v>3387</v>
      </c>
      <c r="JD3742" s="501"/>
    </row>
    <row r="3743" spans="1:264" s="126" customFormat="1" x14ac:dyDescent="0.25">
      <c r="A3743" s="126">
        <v>169</v>
      </c>
      <c r="B3743" s="478" t="s">
        <v>3408</v>
      </c>
      <c r="C3743" s="126" t="s">
        <v>3401</v>
      </c>
      <c r="D3743" s="126" t="s">
        <v>3402</v>
      </c>
      <c r="E3743" s="126">
        <v>2002</v>
      </c>
      <c r="F3743" s="126">
        <v>1998</v>
      </c>
      <c r="G3743" s="126" t="s">
        <v>2766</v>
      </c>
      <c r="H3743" s="126" t="s">
        <v>3403</v>
      </c>
      <c r="I3743" s="126" t="s">
        <v>2836</v>
      </c>
      <c r="J3743" s="126">
        <f>0+6/60</f>
        <v>0.1</v>
      </c>
      <c r="K3743" s="126">
        <f>34+34/60</f>
        <v>34.56666666666667</v>
      </c>
      <c r="L3743" s="126">
        <v>1240</v>
      </c>
      <c r="P3743" s="126">
        <v>1800</v>
      </c>
      <c r="R3743" s="478" t="s">
        <v>1847</v>
      </c>
      <c r="S3743" s="478" t="s">
        <v>1847</v>
      </c>
      <c r="T3743" s="478"/>
      <c r="U3743" s="478" t="s">
        <v>2869</v>
      </c>
      <c r="V3743" s="478" t="s">
        <v>1382</v>
      </c>
      <c r="W3743" s="478" t="s">
        <v>1717</v>
      </c>
      <c r="X3743" s="478" t="s">
        <v>1382</v>
      </c>
      <c r="Y3743" s="478" t="s">
        <v>1382</v>
      </c>
      <c r="AA3743" s="479">
        <v>30</v>
      </c>
      <c r="AB3743" s="479">
        <f>100-30-49</f>
        <v>21</v>
      </c>
      <c r="AC3743" s="126" t="s">
        <v>796</v>
      </c>
      <c r="AD3743" s="126">
        <v>5.5</v>
      </c>
      <c r="AE3743" s="126">
        <v>1.5</v>
      </c>
      <c r="AG3743" s="126" t="s">
        <v>3404</v>
      </c>
      <c r="AH3743" s="126" t="s">
        <v>3405</v>
      </c>
      <c r="AI3743" s="126" t="s">
        <v>1129</v>
      </c>
      <c r="AJ3743" s="126" t="s">
        <v>1645</v>
      </c>
      <c r="AK3743" s="126" t="s">
        <v>132</v>
      </c>
      <c r="AW3743" s="126" t="s">
        <v>3293</v>
      </c>
      <c r="AX3743" s="126">
        <v>4</v>
      </c>
      <c r="AY3743" s="126">
        <v>4</v>
      </c>
      <c r="AZ3743" s="126" t="s">
        <v>141</v>
      </c>
      <c r="BP3743" s="481"/>
      <c r="BQ3743" s="481"/>
      <c r="BU3743" s="481">
        <v>1.92</v>
      </c>
      <c r="BV3743" s="481">
        <v>2.0699999999999998</v>
      </c>
      <c r="BW3743" s="126">
        <f>0.05*SQRT(16)</f>
        <v>0.2</v>
      </c>
      <c r="BX3743" s="126">
        <f>0.05*SQRT(16)</f>
        <v>0.2</v>
      </c>
      <c r="BY3743" s="126" t="s">
        <v>164</v>
      </c>
      <c r="BZ3743" s="481"/>
      <c r="CA3743" s="481"/>
      <c r="CE3743" s="605">
        <v>1.92</v>
      </c>
      <c r="CF3743" s="605">
        <v>2.0699999999999998</v>
      </c>
      <c r="CG3743" s="605">
        <v>0.2</v>
      </c>
      <c r="CH3743" s="605">
        <v>0.2</v>
      </c>
      <c r="CI3743" s="126" t="s">
        <v>4546</v>
      </c>
      <c r="CJ3743" s="126">
        <v>1.59</v>
      </c>
      <c r="CK3743" s="126">
        <v>1.74</v>
      </c>
      <c r="CL3743" s="126">
        <f>0.04*SQRT(14)</f>
        <v>0.14966629547095767</v>
      </c>
      <c r="CM3743" s="126">
        <f>0.04*SQRT(14)</f>
        <v>0.14966629547095767</v>
      </c>
      <c r="CN3743" s="126" t="s">
        <v>234</v>
      </c>
      <c r="CO3743" s="126">
        <v>0.69</v>
      </c>
      <c r="CP3743" s="126">
        <v>0.72</v>
      </c>
      <c r="CQ3743" s="126">
        <f>0.01*SQRT(16)</f>
        <v>0.04</v>
      </c>
      <c r="CR3743" s="126">
        <f>0.01*SQRT(16)</f>
        <v>0.04</v>
      </c>
      <c r="CS3743" s="126" t="s">
        <v>3407</v>
      </c>
      <c r="JD3743" s="480"/>
    </row>
    <row r="3744" spans="1:264" s="126" customFormat="1" x14ac:dyDescent="0.25">
      <c r="A3744" s="126">
        <v>169</v>
      </c>
      <c r="B3744" s="478" t="s">
        <v>3408</v>
      </c>
      <c r="C3744" s="126" t="s">
        <v>3401</v>
      </c>
      <c r="D3744" s="126" t="s">
        <v>3402</v>
      </c>
      <c r="E3744" s="126">
        <v>2002</v>
      </c>
      <c r="F3744" s="126">
        <v>1998</v>
      </c>
      <c r="G3744" s="126" t="s">
        <v>2766</v>
      </c>
      <c r="H3744" s="126" t="s">
        <v>3403</v>
      </c>
      <c r="I3744" s="126" t="s">
        <v>2836</v>
      </c>
      <c r="J3744" s="126">
        <f>0+6/60</f>
        <v>0.1</v>
      </c>
      <c r="K3744" s="126">
        <f>34+34/60</f>
        <v>34.56666666666667</v>
      </c>
      <c r="L3744" s="126">
        <v>1240</v>
      </c>
      <c r="P3744" s="126">
        <v>1800</v>
      </c>
      <c r="R3744" s="478" t="s">
        <v>1847</v>
      </c>
      <c r="S3744" s="478" t="s">
        <v>1847</v>
      </c>
      <c r="T3744" s="478"/>
      <c r="U3744" s="478" t="s">
        <v>2869</v>
      </c>
      <c r="V3744" s="478" t="s">
        <v>1382</v>
      </c>
      <c r="W3744" s="478" t="s">
        <v>1717</v>
      </c>
      <c r="X3744" s="478" t="s">
        <v>1382</v>
      </c>
      <c r="Y3744" s="478" t="s">
        <v>1382</v>
      </c>
      <c r="AA3744" s="479">
        <v>30</v>
      </c>
      <c r="AB3744" s="479">
        <f>100-30-49</f>
        <v>21</v>
      </c>
      <c r="AC3744" s="126" t="s">
        <v>796</v>
      </c>
      <c r="AD3744" s="126">
        <v>5.5</v>
      </c>
      <c r="AE3744" s="126">
        <v>1.5</v>
      </c>
      <c r="AG3744" s="126" t="s">
        <v>3404</v>
      </c>
      <c r="AH3744" s="126" t="s">
        <v>2744</v>
      </c>
      <c r="AI3744" s="126" t="s">
        <v>577</v>
      </c>
      <c r="AJ3744" s="126" t="s">
        <v>1645</v>
      </c>
      <c r="AK3744" s="126" t="s">
        <v>132</v>
      </c>
      <c r="AW3744" s="126" t="s">
        <v>3293</v>
      </c>
      <c r="AX3744" s="126">
        <v>4</v>
      </c>
      <c r="AY3744" s="126">
        <v>4</v>
      </c>
      <c r="AZ3744" s="126" t="s">
        <v>141</v>
      </c>
      <c r="BP3744" s="481"/>
      <c r="BQ3744" s="481"/>
      <c r="BU3744" s="481">
        <v>1.92</v>
      </c>
      <c r="BV3744" s="481">
        <v>2.08</v>
      </c>
      <c r="BW3744" s="126">
        <f t="shared" ref="BW3744:BX3746" si="495">0.05*SQRT(16)</f>
        <v>0.2</v>
      </c>
      <c r="BX3744" s="126">
        <f t="shared" si="495"/>
        <v>0.2</v>
      </c>
      <c r="BY3744" s="126" t="s">
        <v>164</v>
      </c>
      <c r="BZ3744" s="481"/>
      <c r="CA3744" s="481"/>
      <c r="CE3744" s="605">
        <v>1.92</v>
      </c>
      <c r="CF3744" s="605">
        <v>2.08</v>
      </c>
      <c r="CG3744" s="605">
        <v>0.2</v>
      </c>
      <c r="CH3744" s="605">
        <v>0.2</v>
      </c>
      <c r="CI3744" s="126" t="s">
        <v>4546</v>
      </c>
      <c r="CJ3744" s="126">
        <v>1.59</v>
      </c>
      <c r="CK3744" s="126">
        <v>1.76</v>
      </c>
      <c r="CL3744" s="126">
        <f t="shared" ref="CL3744:CM3746" si="496">0.04*SQRT(14)</f>
        <v>0.14966629547095767</v>
      </c>
      <c r="CM3744" s="126">
        <f t="shared" si="496"/>
        <v>0.14966629547095767</v>
      </c>
      <c r="CN3744" s="126" t="s">
        <v>234</v>
      </c>
      <c r="CO3744" s="126">
        <v>0.69</v>
      </c>
      <c r="CP3744" s="126">
        <v>0.72</v>
      </c>
      <c r="CQ3744" s="126">
        <f t="shared" ref="CQ3744:CR3746" si="497">0.01*SQRT(16)</f>
        <v>0.04</v>
      </c>
      <c r="CR3744" s="126">
        <f t="shared" si="497"/>
        <v>0.04</v>
      </c>
      <c r="CS3744" s="126" t="s">
        <v>3407</v>
      </c>
      <c r="JD3744" s="480"/>
    </row>
    <row r="3745" spans="1:264" s="126" customFormat="1" x14ac:dyDescent="0.25">
      <c r="A3745" s="126">
        <v>169</v>
      </c>
      <c r="B3745" s="478" t="s">
        <v>3408</v>
      </c>
      <c r="C3745" s="126" t="s">
        <v>3401</v>
      </c>
      <c r="D3745" s="126" t="s">
        <v>3402</v>
      </c>
      <c r="E3745" s="126">
        <v>2002</v>
      </c>
      <c r="F3745" s="126">
        <v>1998</v>
      </c>
      <c r="G3745" s="126" t="s">
        <v>2766</v>
      </c>
      <c r="H3745" s="126" t="s">
        <v>3403</v>
      </c>
      <c r="I3745" s="126" t="s">
        <v>2836</v>
      </c>
      <c r="J3745" s="126">
        <f>0+6/60</f>
        <v>0.1</v>
      </c>
      <c r="K3745" s="126">
        <f>34+34/60</f>
        <v>34.56666666666667</v>
      </c>
      <c r="L3745" s="126">
        <v>1240</v>
      </c>
      <c r="P3745" s="126">
        <v>1800</v>
      </c>
      <c r="R3745" s="478" t="s">
        <v>1847</v>
      </c>
      <c r="S3745" s="478" t="s">
        <v>1847</v>
      </c>
      <c r="T3745" s="478"/>
      <c r="U3745" s="478" t="s">
        <v>2869</v>
      </c>
      <c r="V3745" s="478" t="s">
        <v>1382</v>
      </c>
      <c r="W3745" s="478" t="s">
        <v>1717</v>
      </c>
      <c r="X3745" s="478" t="s">
        <v>1382</v>
      </c>
      <c r="Y3745" s="478" t="s">
        <v>1382</v>
      </c>
      <c r="AA3745" s="479">
        <v>30</v>
      </c>
      <c r="AB3745" s="479">
        <f>100-30-49</f>
        <v>21</v>
      </c>
      <c r="AC3745" s="126" t="s">
        <v>796</v>
      </c>
      <c r="AD3745" s="126">
        <v>5.5</v>
      </c>
      <c r="AE3745" s="126">
        <v>1.5</v>
      </c>
      <c r="AG3745" s="126" t="s">
        <v>3404</v>
      </c>
      <c r="AH3745" s="126" t="s">
        <v>3405</v>
      </c>
      <c r="AI3745" s="126" t="s">
        <v>1129</v>
      </c>
      <c r="AJ3745" s="126" t="s">
        <v>1645</v>
      </c>
      <c r="AK3745" s="126" t="s">
        <v>132</v>
      </c>
      <c r="AW3745" s="126" t="s">
        <v>3406</v>
      </c>
      <c r="AX3745" s="126">
        <v>4</v>
      </c>
      <c r="AY3745" s="126">
        <v>4</v>
      </c>
      <c r="AZ3745" s="126" t="s">
        <v>141</v>
      </c>
      <c r="BP3745" s="481"/>
      <c r="BQ3745" s="481"/>
      <c r="BU3745" s="481">
        <v>1.91</v>
      </c>
      <c r="BV3745" s="481">
        <v>2.0699999999999998</v>
      </c>
      <c r="BW3745" s="126">
        <f t="shared" si="495"/>
        <v>0.2</v>
      </c>
      <c r="BX3745" s="126">
        <f t="shared" si="495"/>
        <v>0.2</v>
      </c>
      <c r="BY3745" s="126" t="s">
        <v>164</v>
      </c>
      <c r="BZ3745" s="481"/>
      <c r="CA3745" s="481"/>
      <c r="CE3745" s="605">
        <v>1.91</v>
      </c>
      <c r="CF3745" s="605">
        <v>2.0699999999999998</v>
      </c>
      <c r="CG3745" s="605">
        <v>0.2</v>
      </c>
      <c r="CH3745" s="605">
        <v>0.2</v>
      </c>
      <c r="CI3745" s="126" t="s">
        <v>4546</v>
      </c>
      <c r="CJ3745" s="126">
        <v>1.59</v>
      </c>
      <c r="CK3745" s="126">
        <v>1.74</v>
      </c>
      <c r="CL3745" s="126">
        <f t="shared" si="496"/>
        <v>0.14966629547095767</v>
      </c>
      <c r="CM3745" s="126">
        <f t="shared" si="496"/>
        <v>0.14966629547095767</v>
      </c>
      <c r="CN3745" s="126" t="s">
        <v>234</v>
      </c>
      <c r="CO3745" s="126">
        <v>0.7</v>
      </c>
      <c r="CP3745" s="126">
        <v>0.72</v>
      </c>
      <c r="CQ3745" s="126">
        <f t="shared" si="497"/>
        <v>0.04</v>
      </c>
      <c r="CR3745" s="126">
        <f t="shared" si="497"/>
        <v>0.04</v>
      </c>
      <c r="CS3745" s="126" t="s">
        <v>3407</v>
      </c>
      <c r="JD3745" s="480"/>
    </row>
    <row r="3746" spans="1:264" s="126" customFormat="1" x14ac:dyDescent="0.25">
      <c r="A3746" s="126">
        <v>169</v>
      </c>
      <c r="B3746" s="478" t="s">
        <v>3408</v>
      </c>
      <c r="C3746" s="126" t="s">
        <v>3401</v>
      </c>
      <c r="D3746" s="126" t="s">
        <v>3402</v>
      </c>
      <c r="E3746" s="126">
        <v>2002</v>
      </c>
      <c r="F3746" s="126">
        <v>1998</v>
      </c>
      <c r="G3746" s="126" t="s">
        <v>2766</v>
      </c>
      <c r="H3746" s="126" t="s">
        <v>3403</v>
      </c>
      <c r="I3746" s="126" t="s">
        <v>2836</v>
      </c>
      <c r="J3746" s="126">
        <f>0+6/60</f>
        <v>0.1</v>
      </c>
      <c r="K3746" s="126">
        <f>34+34/60</f>
        <v>34.56666666666667</v>
      </c>
      <c r="L3746" s="126">
        <v>1240</v>
      </c>
      <c r="P3746" s="126">
        <v>1800</v>
      </c>
      <c r="R3746" s="478" t="s">
        <v>1847</v>
      </c>
      <c r="S3746" s="478" t="s">
        <v>1847</v>
      </c>
      <c r="T3746" s="478"/>
      <c r="U3746" s="478" t="s">
        <v>2869</v>
      </c>
      <c r="V3746" s="478" t="s">
        <v>1382</v>
      </c>
      <c r="W3746" s="478" t="s">
        <v>1717</v>
      </c>
      <c r="X3746" s="478" t="s">
        <v>1382</v>
      </c>
      <c r="Y3746" s="478" t="s">
        <v>1382</v>
      </c>
      <c r="AA3746" s="479">
        <v>30</v>
      </c>
      <c r="AB3746" s="479">
        <f>100-30-49</f>
        <v>21</v>
      </c>
      <c r="AC3746" s="126" t="s">
        <v>796</v>
      </c>
      <c r="AD3746" s="126">
        <v>5.5</v>
      </c>
      <c r="AE3746" s="126">
        <v>1.5</v>
      </c>
      <c r="AG3746" s="126" t="s">
        <v>3404</v>
      </c>
      <c r="AH3746" s="126" t="s">
        <v>2744</v>
      </c>
      <c r="AI3746" s="126" t="s">
        <v>577</v>
      </c>
      <c r="AJ3746" s="126" t="s">
        <v>1645</v>
      </c>
      <c r="AK3746" s="126" t="s">
        <v>132</v>
      </c>
      <c r="AW3746" s="126" t="s">
        <v>3406</v>
      </c>
      <c r="AX3746" s="126">
        <v>4</v>
      </c>
      <c r="AY3746" s="126">
        <v>4</v>
      </c>
      <c r="AZ3746" s="126" t="s">
        <v>141</v>
      </c>
      <c r="BP3746" s="481"/>
      <c r="BQ3746" s="481"/>
      <c r="BU3746" s="481">
        <v>1.91</v>
      </c>
      <c r="BV3746" s="481">
        <v>2.08</v>
      </c>
      <c r="BW3746" s="126">
        <f t="shared" si="495"/>
        <v>0.2</v>
      </c>
      <c r="BX3746" s="126">
        <f t="shared" si="495"/>
        <v>0.2</v>
      </c>
      <c r="BY3746" s="126" t="s">
        <v>164</v>
      </c>
      <c r="BZ3746" s="481"/>
      <c r="CA3746" s="481"/>
      <c r="CE3746" s="605">
        <v>1.91</v>
      </c>
      <c r="CF3746" s="605">
        <v>2.08</v>
      </c>
      <c r="CG3746" s="605">
        <v>0.2</v>
      </c>
      <c r="CH3746" s="605">
        <v>0.2</v>
      </c>
      <c r="CI3746" s="126" t="s">
        <v>4546</v>
      </c>
      <c r="CJ3746" s="126">
        <v>1.59</v>
      </c>
      <c r="CK3746" s="126">
        <v>1.76</v>
      </c>
      <c r="CL3746" s="126">
        <f t="shared" si="496"/>
        <v>0.14966629547095767</v>
      </c>
      <c r="CM3746" s="126">
        <f t="shared" si="496"/>
        <v>0.14966629547095767</v>
      </c>
      <c r="CN3746" s="126" t="s">
        <v>234</v>
      </c>
      <c r="CO3746" s="126">
        <v>0.7</v>
      </c>
      <c r="CP3746" s="126">
        <v>0.72</v>
      </c>
      <c r="CQ3746" s="126">
        <f t="shared" si="497"/>
        <v>0.04</v>
      </c>
      <c r="CR3746" s="126">
        <f t="shared" si="497"/>
        <v>0.04</v>
      </c>
      <c r="CS3746" s="126" t="s">
        <v>3407</v>
      </c>
      <c r="JD3746" s="480"/>
    </row>
    <row r="3747" spans="1:264" s="24" customFormat="1" x14ac:dyDescent="0.25">
      <c r="A3747" s="24">
        <v>170</v>
      </c>
      <c r="B3747" s="42" t="s">
        <v>3414</v>
      </c>
      <c r="C3747" s="24" t="s">
        <v>3409</v>
      </c>
      <c r="D3747" s="24" t="s">
        <v>3410</v>
      </c>
      <c r="E3747" s="24">
        <v>2006</v>
      </c>
      <c r="F3747" s="24">
        <v>2002</v>
      </c>
      <c r="G3747" s="24" t="s">
        <v>302</v>
      </c>
      <c r="H3747" s="24" t="s">
        <v>3411</v>
      </c>
      <c r="I3747" s="24" t="s">
        <v>2892</v>
      </c>
      <c r="J3747" s="24">
        <f t="shared" ref="J3747:J3786" si="498">6+22/60</f>
        <v>6.3666666666666663</v>
      </c>
      <c r="K3747" s="24">
        <f t="shared" ref="K3747:K3786" si="499">1+13/60</f>
        <v>1.2166666666666668</v>
      </c>
      <c r="L3747" s="24">
        <v>50</v>
      </c>
      <c r="P3747" s="24">
        <v>950</v>
      </c>
      <c r="R3747" s="42" t="s">
        <v>1977</v>
      </c>
      <c r="S3747" s="42" t="s">
        <v>1847</v>
      </c>
      <c r="T3747" s="42"/>
      <c r="U3747" s="42" t="s">
        <v>1996</v>
      </c>
      <c r="V3747" s="42" t="s">
        <v>1382</v>
      </c>
      <c r="W3747" s="42" t="s">
        <v>1717</v>
      </c>
      <c r="X3747" s="42" t="s">
        <v>1382</v>
      </c>
      <c r="Y3747" s="42" t="s">
        <v>1382</v>
      </c>
      <c r="AA3747" s="321"/>
      <c r="AB3747" s="321"/>
      <c r="AD3747" s="24">
        <f t="shared" ref="AD3747:AD3786" si="500">(5.2+6.8)/2</f>
        <v>6</v>
      </c>
      <c r="AE3747" s="24">
        <v>0.8</v>
      </c>
      <c r="AH3747" s="24" t="s">
        <v>2742</v>
      </c>
      <c r="AI3747" s="24" t="s">
        <v>577</v>
      </c>
      <c r="AJ3747" s="24" t="s">
        <v>1645</v>
      </c>
      <c r="AK3747" s="24" t="s">
        <v>132</v>
      </c>
      <c r="AW3747" s="24" t="s">
        <v>160</v>
      </c>
      <c r="AX3747" s="24">
        <v>3</v>
      </c>
      <c r="AZ3747" s="24" t="s">
        <v>2955</v>
      </c>
      <c r="BK3747" s="24">
        <v>6100</v>
      </c>
      <c r="BL3747" s="24">
        <v>6200</v>
      </c>
      <c r="BO3747" s="24" t="s">
        <v>3416</v>
      </c>
      <c r="BP3747" s="395"/>
      <c r="BQ3747" s="395"/>
      <c r="BU3747" s="395"/>
      <c r="BV3747" s="395"/>
      <c r="BZ3747" s="395"/>
      <c r="CA3747" s="395"/>
      <c r="CE3747" s="548"/>
      <c r="CF3747" s="548"/>
      <c r="CG3747" s="548"/>
      <c r="CH3747" s="548"/>
      <c r="JD3747" s="249"/>
    </row>
    <row r="3748" spans="1:264" s="24" customFormat="1" x14ac:dyDescent="0.25">
      <c r="A3748" s="24">
        <v>170</v>
      </c>
      <c r="B3748" s="42" t="s">
        <v>3414</v>
      </c>
      <c r="C3748" s="24" t="s">
        <v>3409</v>
      </c>
      <c r="D3748" s="24" t="s">
        <v>3410</v>
      </c>
      <c r="E3748" s="24">
        <v>2006</v>
      </c>
      <c r="F3748" s="24">
        <v>2002</v>
      </c>
      <c r="G3748" s="24" t="s">
        <v>302</v>
      </c>
      <c r="H3748" s="24" t="s">
        <v>3411</v>
      </c>
      <c r="I3748" s="24" t="s">
        <v>2892</v>
      </c>
      <c r="J3748" s="24">
        <f t="shared" si="498"/>
        <v>6.3666666666666663</v>
      </c>
      <c r="K3748" s="24">
        <f t="shared" si="499"/>
        <v>1.2166666666666668</v>
      </c>
      <c r="L3748" s="24">
        <v>50</v>
      </c>
      <c r="P3748" s="24">
        <v>950</v>
      </c>
      <c r="R3748" s="42" t="s">
        <v>1977</v>
      </c>
      <c r="S3748" s="42" t="s">
        <v>1847</v>
      </c>
      <c r="T3748" s="42"/>
      <c r="U3748" s="42" t="s">
        <v>1996</v>
      </c>
      <c r="V3748" s="42" t="s">
        <v>1382</v>
      </c>
      <c r="W3748" s="42" t="s">
        <v>1717</v>
      </c>
      <c r="X3748" s="42" t="s">
        <v>1382</v>
      </c>
      <c r="Y3748" s="42" t="s">
        <v>1382</v>
      </c>
      <c r="AA3748" s="321"/>
      <c r="AB3748" s="321"/>
      <c r="AD3748" s="24">
        <f t="shared" si="500"/>
        <v>6</v>
      </c>
      <c r="AE3748" s="24">
        <v>0.8</v>
      </c>
      <c r="AH3748" s="24" t="s">
        <v>2742</v>
      </c>
      <c r="AI3748" s="24" t="s">
        <v>577</v>
      </c>
      <c r="AJ3748" s="24" t="s">
        <v>1645</v>
      </c>
      <c r="AK3748" s="24" t="s">
        <v>132</v>
      </c>
      <c r="AW3748" s="24" t="s">
        <v>160</v>
      </c>
      <c r="AX3748" s="24">
        <v>3</v>
      </c>
      <c r="AZ3748" s="24" t="s">
        <v>2955</v>
      </c>
      <c r="BK3748" s="24">
        <v>6300</v>
      </c>
      <c r="BL3748" s="24">
        <v>6500</v>
      </c>
      <c r="BO3748" s="24" t="s">
        <v>3416</v>
      </c>
      <c r="BP3748" s="395"/>
      <c r="BQ3748" s="395"/>
      <c r="BU3748" s="395"/>
      <c r="BV3748" s="395"/>
      <c r="BZ3748" s="395"/>
      <c r="CA3748" s="395"/>
      <c r="CE3748" s="548"/>
      <c r="CF3748" s="548"/>
      <c r="CG3748" s="548"/>
      <c r="CH3748" s="548"/>
      <c r="JD3748" s="249"/>
    </row>
    <row r="3749" spans="1:264" s="24" customFormat="1" x14ac:dyDescent="0.25">
      <c r="A3749" s="24">
        <v>170</v>
      </c>
      <c r="B3749" s="42" t="s">
        <v>3414</v>
      </c>
      <c r="C3749" s="24" t="s">
        <v>3409</v>
      </c>
      <c r="D3749" s="24" t="s">
        <v>3410</v>
      </c>
      <c r="E3749" s="24">
        <v>2006</v>
      </c>
      <c r="F3749" s="24">
        <v>2002</v>
      </c>
      <c r="G3749" s="24" t="s">
        <v>302</v>
      </c>
      <c r="H3749" s="24" t="s">
        <v>3411</v>
      </c>
      <c r="I3749" s="24" t="s">
        <v>2892</v>
      </c>
      <c r="J3749" s="24">
        <f t="shared" si="498"/>
        <v>6.3666666666666663</v>
      </c>
      <c r="K3749" s="24">
        <f t="shared" si="499"/>
        <v>1.2166666666666668</v>
      </c>
      <c r="L3749" s="24">
        <v>50</v>
      </c>
      <c r="P3749" s="24">
        <v>950</v>
      </c>
      <c r="R3749" s="42" t="s">
        <v>1977</v>
      </c>
      <c r="S3749" s="42" t="s">
        <v>1847</v>
      </c>
      <c r="T3749" s="42"/>
      <c r="U3749" s="42" t="s">
        <v>1996</v>
      </c>
      <c r="V3749" s="42" t="s">
        <v>1382</v>
      </c>
      <c r="W3749" s="42" t="s">
        <v>1717</v>
      </c>
      <c r="X3749" s="42" t="s">
        <v>1382</v>
      </c>
      <c r="Y3749" s="42" t="s">
        <v>1382</v>
      </c>
      <c r="AA3749" s="321"/>
      <c r="AB3749" s="321"/>
      <c r="AD3749" s="24">
        <f t="shared" si="500"/>
        <v>6</v>
      </c>
      <c r="AE3749" s="24">
        <v>0.8</v>
      </c>
      <c r="AH3749" s="24" t="s">
        <v>2742</v>
      </c>
      <c r="AI3749" s="24" t="s">
        <v>577</v>
      </c>
      <c r="AJ3749" s="24" t="s">
        <v>1645</v>
      </c>
      <c r="AK3749" s="24" t="s">
        <v>132</v>
      </c>
      <c r="AW3749" s="24" t="s">
        <v>160</v>
      </c>
      <c r="AX3749" s="24">
        <v>3</v>
      </c>
      <c r="AZ3749" s="24" t="s">
        <v>2955</v>
      </c>
      <c r="BK3749" s="24">
        <v>6300</v>
      </c>
      <c r="BL3749" s="24">
        <v>6200</v>
      </c>
      <c r="BO3749" s="24" t="s">
        <v>3416</v>
      </c>
      <c r="BP3749" s="395"/>
      <c r="BQ3749" s="395"/>
      <c r="BU3749" s="395"/>
      <c r="BV3749" s="395"/>
      <c r="BZ3749" s="395"/>
      <c r="CA3749" s="395"/>
      <c r="CE3749" s="548"/>
      <c r="CF3749" s="548"/>
      <c r="CG3749" s="548"/>
      <c r="CH3749" s="548"/>
      <c r="JD3749" s="249"/>
    </row>
    <row r="3750" spans="1:264" s="24" customFormat="1" x14ac:dyDescent="0.25">
      <c r="A3750" s="24">
        <v>170</v>
      </c>
      <c r="B3750" s="42" t="s">
        <v>3414</v>
      </c>
      <c r="C3750" s="24" t="s">
        <v>3409</v>
      </c>
      <c r="D3750" s="24" t="s">
        <v>3410</v>
      </c>
      <c r="E3750" s="24">
        <v>2006</v>
      </c>
      <c r="F3750" s="24">
        <v>2002</v>
      </c>
      <c r="G3750" s="24" t="s">
        <v>302</v>
      </c>
      <c r="H3750" s="24" t="s">
        <v>3411</v>
      </c>
      <c r="I3750" s="24" t="s">
        <v>2892</v>
      </c>
      <c r="J3750" s="24">
        <f t="shared" si="498"/>
        <v>6.3666666666666663</v>
      </c>
      <c r="K3750" s="24">
        <f t="shared" si="499"/>
        <v>1.2166666666666668</v>
      </c>
      <c r="L3750" s="24">
        <v>50</v>
      </c>
      <c r="P3750" s="24">
        <v>950</v>
      </c>
      <c r="R3750" s="42" t="s">
        <v>1977</v>
      </c>
      <c r="S3750" s="42" t="s">
        <v>1847</v>
      </c>
      <c r="T3750" s="42"/>
      <c r="U3750" s="42" t="s">
        <v>1996</v>
      </c>
      <c r="V3750" s="42" t="s">
        <v>1382</v>
      </c>
      <c r="W3750" s="42" t="s">
        <v>1717</v>
      </c>
      <c r="X3750" s="42" t="s">
        <v>1382</v>
      </c>
      <c r="Y3750" s="42" t="s">
        <v>1382</v>
      </c>
      <c r="AA3750" s="321"/>
      <c r="AB3750" s="321"/>
      <c r="AD3750" s="24">
        <f t="shared" si="500"/>
        <v>6</v>
      </c>
      <c r="AE3750" s="24">
        <v>0.8</v>
      </c>
      <c r="AH3750" s="24" t="s">
        <v>2742</v>
      </c>
      <c r="AI3750" s="24" t="s">
        <v>577</v>
      </c>
      <c r="AJ3750" s="24" t="s">
        <v>1645</v>
      </c>
      <c r="AK3750" s="24" t="s">
        <v>132</v>
      </c>
      <c r="AW3750" s="24" t="s">
        <v>160</v>
      </c>
      <c r="AX3750" s="24">
        <v>3</v>
      </c>
      <c r="AZ3750" s="24" t="s">
        <v>2955</v>
      </c>
      <c r="BK3750" s="24">
        <v>6500</v>
      </c>
      <c r="BL3750" s="24">
        <v>6500</v>
      </c>
      <c r="BO3750" s="24" t="s">
        <v>3416</v>
      </c>
      <c r="BP3750" s="395"/>
      <c r="BQ3750" s="395"/>
      <c r="BU3750" s="395"/>
      <c r="BV3750" s="395"/>
      <c r="BZ3750" s="395"/>
      <c r="CA3750" s="395"/>
      <c r="CE3750" s="548"/>
      <c r="CF3750" s="548"/>
      <c r="CG3750" s="548"/>
      <c r="CH3750" s="548"/>
      <c r="JD3750" s="249"/>
    </row>
    <row r="3751" spans="1:264" s="24" customFormat="1" x14ac:dyDescent="0.25">
      <c r="A3751" s="24">
        <v>170</v>
      </c>
      <c r="B3751" s="42" t="s">
        <v>3414</v>
      </c>
      <c r="C3751" s="24" t="s">
        <v>3409</v>
      </c>
      <c r="D3751" s="24" t="s">
        <v>3410</v>
      </c>
      <c r="E3751" s="24">
        <v>2006</v>
      </c>
      <c r="F3751" s="24">
        <v>2002</v>
      </c>
      <c r="G3751" s="24" t="s">
        <v>302</v>
      </c>
      <c r="H3751" s="24" t="s">
        <v>3411</v>
      </c>
      <c r="I3751" s="24" t="s">
        <v>2892</v>
      </c>
      <c r="J3751" s="24">
        <f t="shared" si="498"/>
        <v>6.3666666666666663</v>
      </c>
      <c r="K3751" s="24">
        <f t="shared" si="499"/>
        <v>1.2166666666666668</v>
      </c>
      <c r="L3751" s="24">
        <v>50</v>
      </c>
      <c r="P3751" s="24">
        <v>950</v>
      </c>
      <c r="R3751" s="42" t="s">
        <v>1977</v>
      </c>
      <c r="S3751" s="42" t="s">
        <v>1847</v>
      </c>
      <c r="T3751" s="42"/>
      <c r="U3751" s="42" t="s">
        <v>1996</v>
      </c>
      <c r="V3751" s="42" t="s">
        <v>1382</v>
      </c>
      <c r="W3751" s="42" t="s">
        <v>1717</v>
      </c>
      <c r="X3751" s="42" t="s">
        <v>1382</v>
      </c>
      <c r="Y3751" s="42" t="s">
        <v>1382</v>
      </c>
      <c r="AA3751" s="321"/>
      <c r="AB3751" s="321"/>
      <c r="AD3751" s="24">
        <f t="shared" si="500"/>
        <v>6</v>
      </c>
      <c r="AE3751" s="24">
        <v>0.8</v>
      </c>
      <c r="AH3751" s="24" t="s">
        <v>2742</v>
      </c>
      <c r="AI3751" s="24" t="s">
        <v>577</v>
      </c>
      <c r="AJ3751" s="24" t="s">
        <v>1645</v>
      </c>
      <c r="AK3751" s="24" t="s">
        <v>132</v>
      </c>
      <c r="AW3751" s="24" t="s">
        <v>160</v>
      </c>
      <c r="AX3751" s="24">
        <v>3</v>
      </c>
      <c r="AZ3751" s="24" t="s">
        <v>2955</v>
      </c>
      <c r="BK3751" s="24">
        <v>6500</v>
      </c>
      <c r="BL3751" s="24">
        <v>6300</v>
      </c>
      <c r="BO3751" s="24" t="s">
        <v>3416</v>
      </c>
      <c r="BP3751" s="395"/>
      <c r="BQ3751" s="395"/>
      <c r="BU3751" s="395"/>
      <c r="BV3751" s="395"/>
      <c r="BZ3751" s="395"/>
      <c r="CA3751" s="395"/>
      <c r="CE3751" s="548"/>
      <c r="CF3751" s="548"/>
      <c r="CG3751" s="548"/>
      <c r="CH3751" s="548"/>
      <c r="JD3751" s="249"/>
    </row>
    <row r="3752" spans="1:264" s="24" customFormat="1" x14ac:dyDescent="0.25">
      <c r="A3752" s="24">
        <v>170</v>
      </c>
      <c r="B3752" s="42" t="s">
        <v>3414</v>
      </c>
      <c r="C3752" s="24" t="s">
        <v>3409</v>
      </c>
      <c r="D3752" s="24" t="s">
        <v>3410</v>
      </c>
      <c r="E3752" s="24">
        <v>2006</v>
      </c>
      <c r="F3752" s="24">
        <v>2003</v>
      </c>
      <c r="G3752" s="24" t="s">
        <v>302</v>
      </c>
      <c r="H3752" s="24" t="s">
        <v>3411</v>
      </c>
      <c r="I3752" s="24" t="s">
        <v>2892</v>
      </c>
      <c r="J3752" s="24">
        <f t="shared" si="498"/>
        <v>6.3666666666666663</v>
      </c>
      <c r="K3752" s="24">
        <f t="shared" si="499"/>
        <v>1.2166666666666668</v>
      </c>
      <c r="L3752" s="24">
        <v>50</v>
      </c>
      <c r="P3752" s="24">
        <v>950</v>
      </c>
      <c r="R3752" s="42" t="s">
        <v>1847</v>
      </c>
      <c r="S3752" s="42" t="s">
        <v>1847</v>
      </c>
      <c r="T3752" s="42"/>
      <c r="U3752" s="42" t="s">
        <v>1996</v>
      </c>
      <c r="V3752" s="42" t="s">
        <v>1382</v>
      </c>
      <c r="W3752" s="42" t="s">
        <v>1717</v>
      </c>
      <c r="X3752" s="42" t="s">
        <v>1382</v>
      </c>
      <c r="Y3752" s="42" t="s">
        <v>1382</v>
      </c>
      <c r="AA3752" s="321"/>
      <c r="AB3752" s="321"/>
      <c r="AD3752" s="24">
        <f t="shared" si="500"/>
        <v>6</v>
      </c>
      <c r="AE3752" s="24">
        <v>0.8</v>
      </c>
      <c r="AH3752" s="24" t="s">
        <v>2742</v>
      </c>
      <c r="AI3752" s="24" t="s">
        <v>577</v>
      </c>
      <c r="AJ3752" s="24" t="s">
        <v>1645</v>
      </c>
      <c r="AK3752" s="24" t="s">
        <v>132</v>
      </c>
      <c r="AW3752" s="24" t="s">
        <v>160</v>
      </c>
      <c r="AX3752" s="24">
        <v>3</v>
      </c>
      <c r="AZ3752" s="24" t="s">
        <v>2955</v>
      </c>
      <c r="BK3752" s="24">
        <v>4500</v>
      </c>
      <c r="BL3752" s="24">
        <v>6900</v>
      </c>
      <c r="BO3752" s="24" t="s">
        <v>3417</v>
      </c>
      <c r="BP3752" s="395"/>
      <c r="BQ3752" s="395"/>
      <c r="BU3752" s="395"/>
      <c r="BV3752" s="395"/>
      <c r="BZ3752" s="395"/>
      <c r="CA3752" s="395"/>
      <c r="CE3752" s="548"/>
      <c r="CF3752" s="548"/>
      <c r="CG3752" s="548"/>
      <c r="CH3752" s="548"/>
      <c r="JD3752" s="249"/>
    </row>
    <row r="3753" spans="1:264" s="24" customFormat="1" x14ac:dyDescent="0.25">
      <c r="A3753" s="24">
        <v>170</v>
      </c>
      <c r="B3753" s="42" t="s">
        <v>3414</v>
      </c>
      <c r="C3753" s="24" t="s">
        <v>3409</v>
      </c>
      <c r="D3753" s="24" t="s">
        <v>3410</v>
      </c>
      <c r="E3753" s="24">
        <v>2006</v>
      </c>
      <c r="F3753" s="24">
        <v>2003</v>
      </c>
      <c r="G3753" s="24" t="s">
        <v>302</v>
      </c>
      <c r="H3753" s="24" t="s">
        <v>3411</v>
      </c>
      <c r="I3753" s="24" t="s">
        <v>2892</v>
      </c>
      <c r="J3753" s="24">
        <f t="shared" si="498"/>
        <v>6.3666666666666663</v>
      </c>
      <c r="K3753" s="24">
        <f t="shared" si="499"/>
        <v>1.2166666666666668</v>
      </c>
      <c r="L3753" s="24">
        <v>50</v>
      </c>
      <c r="P3753" s="24">
        <v>950</v>
      </c>
      <c r="R3753" s="42" t="s">
        <v>1847</v>
      </c>
      <c r="S3753" s="42" t="s">
        <v>1847</v>
      </c>
      <c r="T3753" s="42"/>
      <c r="U3753" s="42" t="s">
        <v>1996</v>
      </c>
      <c r="V3753" s="42" t="s">
        <v>1382</v>
      </c>
      <c r="W3753" s="42" t="s">
        <v>1717</v>
      </c>
      <c r="X3753" s="42" t="s">
        <v>1382</v>
      </c>
      <c r="Y3753" s="42" t="s">
        <v>1382</v>
      </c>
      <c r="AA3753" s="321"/>
      <c r="AB3753" s="321"/>
      <c r="AD3753" s="24">
        <f t="shared" si="500"/>
        <v>6</v>
      </c>
      <c r="AE3753" s="24">
        <v>0.8</v>
      </c>
      <c r="AH3753" s="24" t="s">
        <v>2742</v>
      </c>
      <c r="AI3753" s="24" t="s">
        <v>577</v>
      </c>
      <c r="AJ3753" s="24" t="s">
        <v>1645</v>
      </c>
      <c r="AK3753" s="24" t="s">
        <v>132</v>
      </c>
      <c r="AW3753" s="24" t="s">
        <v>160</v>
      </c>
      <c r="AX3753" s="24">
        <v>3</v>
      </c>
      <c r="AZ3753" s="24" t="s">
        <v>2955</v>
      </c>
      <c r="BK3753" s="24">
        <v>5700</v>
      </c>
      <c r="BL3753" s="24">
        <v>6800</v>
      </c>
      <c r="BO3753" s="24" t="s">
        <v>3417</v>
      </c>
      <c r="BP3753" s="395"/>
      <c r="BQ3753" s="395"/>
      <c r="BU3753" s="395"/>
      <c r="BV3753" s="395"/>
      <c r="BZ3753" s="395"/>
      <c r="CA3753" s="395"/>
      <c r="CE3753" s="548"/>
      <c r="CF3753" s="548"/>
      <c r="CG3753" s="548"/>
      <c r="CH3753" s="548"/>
      <c r="JD3753" s="249"/>
    </row>
    <row r="3754" spans="1:264" s="24" customFormat="1" x14ac:dyDescent="0.25">
      <c r="A3754" s="24">
        <v>170</v>
      </c>
      <c r="B3754" s="42" t="s">
        <v>3414</v>
      </c>
      <c r="C3754" s="24" t="s">
        <v>3409</v>
      </c>
      <c r="D3754" s="24" t="s">
        <v>3410</v>
      </c>
      <c r="E3754" s="24">
        <v>2006</v>
      </c>
      <c r="F3754" s="24">
        <v>2003</v>
      </c>
      <c r="G3754" s="24" t="s">
        <v>302</v>
      </c>
      <c r="H3754" s="24" t="s">
        <v>3411</v>
      </c>
      <c r="I3754" s="24" t="s">
        <v>2892</v>
      </c>
      <c r="J3754" s="24">
        <f t="shared" si="498"/>
        <v>6.3666666666666663</v>
      </c>
      <c r="K3754" s="24">
        <f t="shared" si="499"/>
        <v>1.2166666666666668</v>
      </c>
      <c r="L3754" s="24">
        <v>50</v>
      </c>
      <c r="P3754" s="24">
        <v>950</v>
      </c>
      <c r="R3754" s="42" t="s">
        <v>1847</v>
      </c>
      <c r="S3754" s="42" t="s">
        <v>1847</v>
      </c>
      <c r="T3754" s="42"/>
      <c r="U3754" s="42" t="s">
        <v>1996</v>
      </c>
      <c r="V3754" s="42" t="s">
        <v>1382</v>
      </c>
      <c r="W3754" s="42" t="s">
        <v>1717</v>
      </c>
      <c r="X3754" s="42" t="s">
        <v>1382</v>
      </c>
      <c r="Y3754" s="42" t="s">
        <v>1382</v>
      </c>
      <c r="AA3754" s="321"/>
      <c r="AB3754" s="321"/>
      <c r="AD3754" s="24">
        <f t="shared" si="500"/>
        <v>6</v>
      </c>
      <c r="AE3754" s="24">
        <v>0.8</v>
      </c>
      <c r="AH3754" s="24" t="s">
        <v>2742</v>
      </c>
      <c r="AI3754" s="24" t="s">
        <v>577</v>
      </c>
      <c r="AJ3754" s="24" t="s">
        <v>1645</v>
      </c>
      <c r="AK3754" s="24" t="s">
        <v>132</v>
      </c>
      <c r="AW3754" s="24" t="s">
        <v>160</v>
      </c>
      <c r="AX3754" s="24">
        <v>3</v>
      </c>
      <c r="AZ3754" s="24" t="s">
        <v>2955</v>
      </c>
      <c r="BK3754" s="24">
        <v>5600</v>
      </c>
      <c r="BL3754" s="24">
        <v>7000</v>
      </c>
      <c r="BO3754" s="24" t="s">
        <v>3417</v>
      </c>
      <c r="BP3754" s="395"/>
      <c r="BQ3754" s="395"/>
      <c r="BU3754" s="395"/>
      <c r="BV3754" s="395"/>
      <c r="BZ3754" s="395"/>
      <c r="CA3754" s="395"/>
      <c r="CE3754" s="548"/>
      <c r="CF3754" s="548"/>
      <c r="CG3754" s="548"/>
      <c r="CH3754" s="548"/>
      <c r="JD3754" s="249"/>
    </row>
    <row r="3755" spans="1:264" s="24" customFormat="1" x14ac:dyDescent="0.25">
      <c r="A3755" s="24">
        <v>170</v>
      </c>
      <c r="B3755" s="42" t="s">
        <v>3414</v>
      </c>
      <c r="C3755" s="24" t="s">
        <v>3409</v>
      </c>
      <c r="D3755" s="24" t="s">
        <v>3410</v>
      </c>
      <c r="E3755" s="24">
        <v>2006</v>
      </c>
      <c r="F3755" s="24">
        <v>2003</v>
      </c>
      <c r="G3755" s="24" t="s">
        <v>302</v>
      </c>
      <c r="H3755" s="24" t="s">
        <v>3411</v>
      </c>
      <c r="I3755" s="24" t="s">
        <v>2892</v>
      </c>
      <c r="J3755" s="24">
        <f t="shared" si="498"/>
        <v>6.3666666666666663</v>
      </c>
      <c r="K3755" s="24">
        <f t="shared" si="499"/>
        <v>1.2166666666666668</v>
      </c>
      <c r="L3755" s="24">
        <v>50</v>
      </c>
      <c r="P3755" s="24">
        <v>950</v>
      </c>
      <c r="R3755" s="42" t="s">
        <v>1847</v>
      </c>
      <c r="S3755" s="42" t="s">
        <v>1847</v>
      </c>
      <c r="T3755" s="42"/>
      <c r="U3755" s="42" t="s">
        <v>1996</v>
      </c>
      <c r="V3755" s="42" t="s">
        <v>1382</v>
      </c>
      <c r="W3755" s="42" t="s">
        <v>1717</v>
      </c>
      <c r="X3755" s="42" t="s">
        <v>1382</v>
      </c>
      <c r="Y3755" s="42" t="s">
        <v>1382</v>
      </c>
      <c r="AA3755" s="321"/>
      <c r="AB3755" s="321"/>
      <c r="AD3755" s="24">
        <f t="shared" si="500"/>
        <v>6</v>
      </c>
      <c r="AE3755" s="24">
        <v>0.8</v>
      </c>
      <c r="AH3755" s="24" t="s">
        <v>2742</v>
      </c>
      <c r="AI3755" s="24" t="s">
        <v>577</v>
      </c>
      <c r="AJ3755" s="24" t="s">
        <v>1645</v>
      </c>
      <c r="AK3755" s="24" t="s">
        <v>132</v>
      </c>
      <c r="AW3755" s="24" t="s">
        <v>160</v>
      </c>
      <c r="AX3755" s="24">
        <v>3</v>
      </c>
      <c r="AZ3755" s="24" t="s">
        <v>2955</v>
      </c>
      <c r="BK3755" s="24">
        <v>5900</v>
      </c>
      <c r="BL3755" s="24">
        <v>7000</v>
      </c>
      <c r="BO3755" s="24" t="s">
        <v>3417</v>
      </c>
      <c r="BP3755" s="395"/>
      <c r="BQ3755" s="395"/>
      <c r="BU3755" s="395"/>
      <c r="BV3755" s="395"/>
      <c r="BZ3755" s="395"/>
      <c r="CA3755" s="395"/>
      <c r="CE3755" s="548"/>
      <c r="CF3755" s="548"/>
      <c r="CG3755" s="548"/>
      <c r="CH3755" s="548"/>
      <c r="JD3755" s="249"/>
    </row>
    <row r="3756" spans="1:264" s="24" customFormat="1" x14ac:dyDescent="0.25">
      <c r="A3756" s="24">
        <v>170</v>
      </c>
      <c r="B3756" s="42" t="s">
        <v>3414</v>
      </c>
      <c r="C3756" s="24" t="s">
        <v>3409</v>
      </c>
      <c r="D3756" s="24" t="s">
        <v>3410</v>
      </c>
      <c r="E3756" s="24">
        <v>2006</v>
      </c>
      <c r="F3756" s="24">
        <v>2003</v>
      </c>
      <c r="G3756" s="24" t="s">
        <v>302</v>
      </c>
      <c r="H3756" s="24" t="s">
        <v>3411</v>
      </c>
      <c r="I3756" s="24" t="s">
        <v>2892</v>
      </c>
      <c r="J3756" s="24">
        <f t="shared" si="498"/>
        <v>6.3666666666666663</v>
      </c>
      <c r="K3756" s="24">
        <f t="shared" si="499"/>
        <v>1.2166666666666668</v>
      </c>
      <c r="L3756" s="24">
        <v>50</v>
      </c>
      <c r="P3756" s="24">
        <v>950</v>
      </c>
      <c r="R3756" s="42" t="s">
        <v>1847</v>
      </c>
      <c r="S3756" s="42" t="s">
        <v>1847</v>
      </c>
      <c r="T3756" s="42"/>
      <c r="U3756" s="42" t="s">
        <v>1996</v>
      </c>
      <c r="V3756" s="42" t="s">
        <v>1382</v>
      </c>
      <c r="W3756" s="42" t="s">
        <v>1717</v>
      </c>
      <c r="X3756" s="42" t="s">
        <v>1382</v>
      </c>
      <c r="Y3756" s="42" t="s">
        <v>1382</v>
      </c>
      <c r="AA3756" s="321"/>
      <c r="AB3756" s="321"/>
      <c r="AD3756" s="24">
        <f t="shared" si="500"/>
        <v>6</v>
      </c>
      <c r="AE3756" s="24">
        <v>0.8</v>
      </c>
      <c r="AH3756" s="24" t="s">
        <v>2742</v>
      </c>
      <c r="AI3756" s="24" t="s">
        <v>577</v>
      </c>
      <c r="AJ3756" s="24" t="s">
        <v>1645</v>
      </c>
      <c r="AK3756" s="24" t="s">
        <v>132</v>
      </c>
      <c r="AW3756" s="24" t="s">
        <v>160</v>
      </c>
      <c r="AX3756" s="24">
        <v>3</v>
      </c>
      <c r="AZ3756" s="24" t="s">
        <v>2955</v>
      </c>
      <c r="BK3756" s="24">
        <v>5400</v>
      </c>
      <c r="BL3756" s="24">
        <v>6900</v>
      </c>
      <c r="BO3756" s="24" t="s">
        <v>3417</v>
      </c>
      <c r="BP3756" s="395"/>
      <c r="BQ3756" s="395"/>
      <c r="BU3756" s="395"/>
      <c r="BV3756" s="395"/>
      <c r="BZ3756" s="395"/>
      <c r="CA3756" s="395"/>
      <c r="CE3756" s="548"/>
      <c r="CF3756" s="548"/>
      <c r="CG3756" s="548"/>
      <c r="CH3756" s="548"/>
      <c r="JD3756" s="249"/>
    </row>
    <row r="3757" spans="1:264" s="32" customFormat="1" x14ac:dyDescent="0.25">
      <c r="A3757" s="32">
        <v>170</v>
      </c>
      <c r="B3757" s="44" t="s">
        <v>3415</v>
      </c>
      <c r="C3757" s="32" t="s">
        <v>3409</v>
      </c>
      <c r="D3757" s="32" t="s">
        <v>3410</v>
      </c>
      <c r="E3757" s="32">
        <v>2006</v>
      </c>
      <c r="F3757" s="32">
        <v>2002</v>
      </c>
      <c r="G3757" s="32" t="s">
        <v>302</v>
      </c>
      <c r="H3757" s="32" t="s">
        <v>3411</v>
      </c>
      <c r="I3757" s="32" t="s">
        <v>2892</v>
      </c>
      <c r="J3757" s="32">
        <f t="shared" si="498"/>
        <v>6.3666666666666663</v>
      </c>
      <c r="K3757" s="32">
        <f t="shared" si="499"/>
        <v>1.2166666666666668</v>
      </c>
      <c r="L3757" s="32">
        <v>50</v>
      </c>
      <c r="P3757" s="32">
        <v>950</v>
      </c>
      <c r="R3757" s="44" t="s">
        <v>1977</v>
      </c>
      <c r="S3757" s="44" t="s">
        <v>1847</v>
      </c>
      <c r="T3757" s="44"/>
      <c r="U3757" s="44" t="s">
        <v>1996</v>
      </c>
      <c r="V3757" s="44" t="s">
        <v>1382</v>
      </c>
      <c r="W3757" s="44" t="s">
        <v>1717</v>
      </c>
      <c r="X3757" s="44" t="s">
        <v>1382</v>
      </c>
      <c r="Y3757" s="44" t="s">
        <v>1382</v>
      </c>
      <c r="AA3757" s="323"/>
      <c r="AB3757" s="323"/>
      <c r="AD3757" s="32">
        <f t="shared" si="500"/>
        <v>6</v>
      </c>
      <c r="AE3757" s="32">
        <v>0.8</v>
      </c>
      <c r="AH3757" s="32" t="s">
        <v>3413</v>
      </c>
      <c r="AI3757" s="32" t="s">
        <v>1583</v>
      </c>
      <c r="AJ3757" s="32" t="s">
        <v>1645</v>
      </c>
      <c r="AK3757" s="32" t="s">
        <v>132</v>
      </c>
      <c r="AW3757" s="32" t="s">
        <v>160</v>
      </c>
      <c r="AX3757" s="32">
        <v>3</v>
      </c>
      <c r="AZ3757" s="32" t="s">
        <v>2955</v>
      </c>
      <c r="BK3757" s="32">
        <v>6100</v>
      </c>
      <c r="BL3757" s="32">
        <v>6200</v>
      </c>
      <c r="BO3757" s="32" t="s">
        <v>3416</v>
      </c>
      <c r="BP3757" s="397"/>
      <c r="BQ3757" s="397"/>
      <c r="BU3757" s="397"/>
      <c r="BV3757" s="397"/>
      <c r="BZ3757" s="397"/>
      <c r="CA3757" s="397"/>
      <c r="CE3757" s="550"/>
      <c r="CF3757" s="550"/>
      <c r="CG3757" s="550"/>
      <c r="CH3757" s="550"/>
      <c r="JD3757" s="243"/>
    </row>
    <row r="3758" spans="1:264" s="32" customFormat="1" x14ac:dyDescent="0.25">
      <c r="A3758" s="32">
        <v>170</v>
      </c>
      <c r="B3758" s="44" t="s">
        <v>3415</v>
      </c>
      <c r="C3758" s="32" t="s">
        <v>3409</v>
      </c>
      <c r="D3758" s="32" t="s">
        <v>3410</v>
      </c>
      <c r="E3758" s="32">
        <v>2006</v>
      </c>
      <c r="F3758" s="32">
        <v>2002</v>
      </c>
      <c r="G3758" s="32" t="s">
        <v>302</v>
      </c>
      <c r="H3758" s="32" t="s">
        <v>3411</v>
      </c>
      <c r="I3758" s="32" t="s">
        <v>2892</v>
      </c>
      <c r="J3758" s="32">
        <f t="shared" si="498"/>
        <v>6.3666666666666663</v>
      </c>
      <c r="K3758" s="32">
        <f t="shared" si="499"/>
        <v>1.2166666666666668</v>
      </c>
      <c r="L3758" s="32">
        <v>50</v>
      </c>
      <c r="P3758" s="32">
        <v>950</v>
      </c>
      <c r="R3758" s="44" t="s">
        <v>1977</v>
      </c>
      <c r="S3758" s="44" t="s">
        <v>1847</v>
      </c>
      <c r="T3758" s="44"/>
      <c r="U3758" s="44" t="s">
        <v>1996</v>
      </c>
      <c r="V3758" s="44" t="s">
        <v>1382</v>
      </c>
      <c r="W3758" s="44" t="s">
        <v>1717</v>
      </c>
      <c r="X3758" s="44" t="s">
        <v>1382</v>
      </c>
      <c r="Y3758" s="44" t="s">
        <v>1382</v>
      </c>
      <c r="AA3758" s="323"/>
      <c r="AB3758" s="323"/>
      <c r="AD3758" s="32">
        <f t="shared" si="500"/>
        <v>6</v>
      </c>
      <c r="AE3758" s="32">
        <v>0.8</v>
      </c>
      <c r="AH3758" s="32" t="s">
        <v>3413</v>
      </c>
      <c r="AI3758" s="32" t="s">
        <v>1583</v>
      </c>
      <c r="AJ3758" s="32" t="s">
        <v>1645</v>
      </c>
      <c r="AK3758" s="32" t="s">
        <v>132</v>
      </c>
      <c r="AW3758" s="32" t="s">
        <v>160</v>
      </c>
      <c r="AX3758" s="32">
        <v>3</v>
      </c>
      <c r="AZ3758" s="32" t="s">
        <v>2955</v>
      </c>
      <c r="BK3758" s="32">
        <v>6300</v>
      </c>
      <c r="BL3758" s="32">
        <v>6500</v>
      </c>
      <c r="BO3758" s="32" t="s">
        <v>3416</v>
      </c>
      <c r="BP3758" s="397"/>
      <c r="BQ3758" s="397"/>
      <c r="BU3758" s="397"/>
      <c r="BV3758" s="397"/>
      <c r="BZ3758" s="397"/>
      <c r="CA3758" s="397"/>
      <c r="CE3758" s="550"/>
      <c r="CF3758" s="550"/>
      <c r="CG3758" s="550"/>
      <c r="CH3758" s="550"/>
      <c r="JD3758" s="243"/>
    </row>
    <row r="3759" spans="1:264" s="32" customFormat="1" x14ac:dyDescent="0.25">
      <c r="A3759" s="32">
        <v>170</v>
      </c>
      <c r="B3759" s="44" t="s">
        <v>3415</v>
      </c>
      <c r="C3759" s="32" t="s">
        <v>3409</v>
      </c>
      <c r="D3759" s="32" t="s">
        <v>3410</v>
      </c>
      <c r="E3759" s="32">
        <v>2006</v>
      </c>
      <c r="F3759" s="32">
        <v>2002</v>
      </c>
      <c r="G3759" s="32" t="s">
        <v>302</v>
      </c>
      <c r="H3759" s="32" t="s">
        <v>3411</v>
      </c>
      <c r="I3759" s="32" t="s">
        <v>2892</v>
      </c>
      <c r="J3759" s="32">
        <f t="shared" si="498"/>
        <v>6.3666666666666663</v>
      </c>
      <c r="K3759" s="32">
        <f t="shared" si="499"/>
        <v>1.2166666666666668</v>
      </c>
      <c r="L3759" s="32">
        <v>50</v>
      </c>
      <c r="P3759" s="32">
        <v>950</v>
      </c>
      <c r="R3759" s="44" t="s">
        <v>1977</v>
      </c>
      <c r="S3759" s="44" t="s">
        <v>1847</v>
      </c>
      <c r="T3759" s="44"/>
      <c r="U3759" s="44" t="s">
        <v>1996</v>
      </c>
      <c r="V3759" s="44" t="s">
        <v>1382</v>
      </c>
      <c r="W3759" s="44" t="s">
        <v>1717</v>
      </c>
      <c r="X3759" s="44" t="s">
        <v>1382</v>
      </c>
      <c r="Y3759" s="44" t="s">
        <v>1382</v>
      </c>
      <c r="AA3759" s="323"/>
      <c r="AB3759" s="323"/>
      <c r="AD3759" s="32">
        <f t="shared" si="500"/>
        <v>6</v>
      </c>
      <c r="AE3759" s="32">
        <v>0.8</v>
      </c>
      <c r="AH3759" s="32" t="s">
        <v>3413</v>
      </c>
      <c r="AI3759" s="32" t="s">
        <v>1583</v>
      </c>
      <c r="AJ3759" s="32" t="s">
        <v>1645</v>
      </c>
      <c r="AK3759" s="32" t="s">
        <v>132</v>
      </c>
      <c r="AW3759" s="32" t="s">
        <v>160</v>
      </c>
      <c r="AX3759" s="32">
        <v>3</v>
      </c>
      <c r="AZ3759" s="32" t="s">
        <v>2955</v>
      </c>
      <c r="BK3759" s="32">
        <v>6300</v>
      </c>
      <c r="BL3759" s="32">
        <v>6200</v>
      </c>
      <c r="BO3759" s="32" t="s">
        <v>3416</v>
      </c>
      <c r="BP3759" s="397"/>
      <c r="BQ3759" s="397"/>
      <c r="BU3759" s="397"/>
      <c r="BV3759" s="397"/>
      <c r="BZ3759" s="397"/>
      <c r="CA3759" s="397"/>
      <c r="CE3759" s="550"/>
      <c r="CF3759" s="550"/>
      <c r="CG3759" s="550"/>
      <c r="CH3759" s="550"/>
      <c r="JD3759" s="243"/>
    </row>
    <row r="3760" spans="1:264" s="32" customFormat="1" x14ac:dyDescent="0.25">
      <c r="A3760" s="32">
        <v>170</v>
      </c>
      <c r="B3760" s="44" t="s">
        <v>3415</v>
      </c>
      <c r="C3760" s="32" t="s">
        <v>3409</v>
      </c>
      <c r="D3760" s="32" t="s">
        <v>3410</v>
      </c>
      <c r="E3760" s="32">
        <v>2006</v>
      </c>
      <c r="F3760" s="32">
        <v>2002</v>
      </c>
      <c r="G3760" s="32" t="s">
        <v>302</v>
      </c>
      <c r="H3760" s="32" t="s">
        <v>3411</v>
      </c>
      <c r="I3760" s="32" t="s">
        <v>2892</v>
      </c>
      <c r="J3760" s="32">
        <f t="shared" si="498"/>
        <v>6.3666666666666663</v>
      </c>
      <c r="K3760" s="32">
        <f t="shared" si="499"/>
        <v>1.2166666666666668</v>
      </c>
      <c r="L3760" s="32">
        <v>50</v>
      </c>
      <c r="P3760" s="32">
        <v>950</v>
      </c>
      <c r="R3760" s="44" t="s">
        <v>1977</v>
      </c>
      <c r="S3760" s="44" t="s">
        <v>1847</v>
      </c>
      <c r="T3760" s="44"/>
      <c r="U3760" s="44" t="s">
        <v>1996</v>
      </c>
      <c r="V3760" s="44" t="s">
        <v>1382</v>
      </c>
      <c r="W3760" s="44" t="s">
        <v>1717</v>
      </c>
      <c r="X3760" s="44" t="s">
        <v>1382</v>
      </c>
      <c r="Y3760" s="44" t="s">
        <v>1382</v>
      </c>
      <c r="AA3760" s="323"/>
      <c r="AB3760" s="323"/>
      <c r="AD3760" s="32">
        <f t="shared" si="500"/>
        <v>6</v>
      </c>
      <c r="AE3760" s="32">
        <v>0.8</v>
      </c>
      <c r="AH3760" s="32" t="s">
        <v>3413</v>
      </c>
      <c r="AI3760" s="32" t="s">
        <v>1583</v>
      </c>
      <c r="AJ3760" s="32" t="s">
        <v>1645</v>
      </c>
      <c r="AK3760" s="32" t="s">
        <v>132</v>
      </c>
      <c r="AW3760" s="32" t="s">
        <v>160</v>
      </c>
      <c r="AX3760" s="32">
        <v>3</v>
      </c>
      <c r="AZ3760" s="32" t="s">
        <v>2955</v>
      </c>
      <c r="BK3760" s="32">
        <v>6500</v>
      </c>
      <c r="BL3760" s="32">
        <v>6500</v>
      </c>
      <c r="BO3760" s="32" t="s">
        <v>3416</v>
      </c>
      <c r="BP3760" s="397"/>
      <c r="BQ3760" s="397"/>
      <c r="BU3760" s="397"/>
      <c r="BV3760" s="397"/>
      <c r="BZ3760" s="397"/>
      <c r="CA3760" s="397"/>
      <c r="CE3760" s="550"/>
      <c r="CF3760" s="550"/>
      <c r="CG3760" s="550"/>
      <c r="CH3760" s="550"/>
      <c r="JD3760" s="243"/>
    </row>
    <row r="3761" spans="1:264" s="32" customFormat="1" x14ac:dyDescent="0.25">
      <c r="A3761" s="32">
        <v>170</v>
      </c>
      <c r="B3761" s="44" t="s">
        <v>3415</v>
      </c>
      <c r="C3761" s="32" t="s">
        <v>3409</v>
      </c>
      <c r="D3761" s="32" t="s">
        <v>3410</v>
      </c>
      <c r="E3761" s="32">
        <v>2006</v>
      </c>
      <c r="F3761" s="32">
        <v>2002</v>
      </c>
      <c r="G3761" s="32" t="s">
        <v>302</v>
      </c>
      <c r="H3761" s="32" t="s">
        <v>3411</v>
      </c>
      <c r="I3761" s="32" t="s">
        <v>2892</v>
      </c>
      <c r="J3761" s="32">
        <f t="shared" si="498"/>
        <v>6.3666666666666663</v>
      </c>
      <c r="K3761" s="32">
        <f t="shared" si="499"/>
        <v>1.2166666666666668</v>
      </c>
      <c r="L3761" s="32">
        <v>50</v>
      </c>
      <c r="P3761" s="32">
        <v>950</v>
      </c>
      <c r="R3761" s="44" t="s">
        <v>1977</v>
      </c>
      <c r="S3761" s="44" t="s">
        <v>1847</v>
      </c>
      <c r="T3761" s="44"/>
      <c r="U3761" s="44" t="s">
        <v>1996</v>
      </c>
      <c r="V3761" s="44" t="s">
        <v>1382</v>
      </c>
      <c r="W3761" s="44" t="s">
        <v>1717</v>
      </c>
      <c r="X3761" s="44" t="s">
        <v>1382</v>
      </c>
      <c r="Y3761" s="44" t="s">
        <v>1382</v>
      </c>
      <c r="AA3761" s="323"/>
      <c r="AB3761" s="323"/>
      <c r="AD3761" s="32">
        <f t="shared" si="500"/>
        <v>6</v>
      </c>
      <c r="AE3761" s="32">
        <v>0.8</v>
      </c>
      <c r="AH3761" s="32" t="s">
        <v>3413</v>
      </c>
      <c r="AI3761" s="32" t="s">
        <v>1583</v>
      </c>
      <c r="AJ3761" s="32" t="s">
        <v>1645</v>
      </c>
      <c r="AK3761" s="32" t="s">
        <v>132</v>
      </c>
      <c r="AW3761" s="32" t="s">
        <v>160</v>
      </c>
      <c r="AX3761" s="32">
        <v>3</v>
      </c>
      <c r="AZ3761" s="32" t="s">
        <v>2955</v>
      </c>
      <c r="BK3761" s="32">
        <v>6500</v>
      </c>
      <c r="BL3761" s="32">
        <v>6300</v>
      </c>
      <c r="BO3761" s="32" t="s">
        <v>3416</v>
      </c>
      <c r="BP3761" s="397"/>
      <c r="BQ3761" s="397"/>
      <c r="BU3761" s="397"/>
      <c r="BV3761" s="397"/>
      <c r="BZ3761" s="397"/>
      <c r="CA3761" s="397"/>
      <c r="CE3761" s="550"/>
      <c r="CF3761" s="550"/>
      <c r="CG3761" s="550"/>
      <c r="CH3761" s="550"/>
      <c r="JD3761" s="243"/>
    </row>
    <row r="3762" spans="1:264" s="32" customFormat="1" x14ac:dyDescent="0.25">
      <c r="A3762" s="32">
        <v>170</v>
      </c>
      <c r="B3762" s="44" t="s">
        <v>3415</v>
      </c>
      <c r="C3762" s="32" t="s">
        <v>3409</v>
      </c>
      <c r="D3762" s="32" t="s">
        <v>3410</v>
      </c>
      <c r="E3762" s="32">
        <v>2006</v>
      </c>
      <c r="F3762" s="32">
        <v>2003</v>
      </c>
      <c r="G3762" s="32" t="s">
        <v>302</v>
      </c>
      <c r="H3762" s="32" t="s">
        <v>3411</v>
      </c>
      <c r="I3762" s="32" t="s">
        <v>2892</v>
      </c>
      <c r="J3762" s="32">
        <f t="shared" si="498"/>
        <v>6.3666666666666663</v>
      </c>
      <c r="K3762" s="32">
        <f t="shared" si="499"/>
        <v>1.2166666666666668</v>
      </c>
      <c r="L3762" s="32">
        <v>50</v>
      </c>
      <c r="P3762" s="32">
        <v>950</v>
      </c>
      <c r="R3762" s="44" t="s">
        <v>1847</v>
      </c>
      <c r="S3762" s="44" t="s">
        <v>1847</v>
      </c>
      <c r="T3762" s="44"/>
      <c r="U3762" s="44" t="s">
        <v>1996</v>
      </c>
      <c r="V3762" s="44" t="s">
        <v>1382</v>
      </c>
      <c r="W3762" s="44" t="s">
        <v>1717</v>
      </c>
      <c r="X3762" s="44" t="s">
        <v>1382</v>
      </c>
      <c r="Y3762" s="44" t="s">
        <v>1382</v>
      </c>
      <c r="AA3762" s="323"/>
      <c r="AB3762" s="323"/>
      <c r="AD3762" s="32">
        <f t="shared" si="500"/>
        <v>6</v>
      </c>
      <c r="AE3762" s="32">
        <v>0.8</v>
      </c>
      <c r="AH3762" s="32" t="s">
        <v>3413</v>
      </c>
      <c r="AI3762" s="32" t="s">
        <v>1583</v>
      </c>
      <c r="AJ3762" s="32" t="s">
        <v>1645</v>
      </c>
      <c r="AK3762" s="32" t="s">
        <v>132</v>
      </c>
      <c r="AW3762" s="32" t="s">
        <v>160</v>
      </c>
      <c r="AX3762" s="32">
        <v>3</v>
      </c>
      <c r="AZ3762" s="32" t="s">
        <v>2955</v>
      </c>
      <c r="BK3762" s="32">
        <v>4500</v>
      </c>
      <c r="BL3762" s="32">
        <v>6900</v>
      </c>
      <c r="BO3762" s="32" t="s">
        <v>3417</v>
      </c>
      <c r="BP3762" s="397"/>
      <c r="BQ3762" s="397"/>
      <c r="BU3762" s="397"/>
      <c r="BV3762" s="397"/>
      <c r="BZ3762" s="397"/>
      <c r="CA3762" s="397"/>
      <c r="CE3762" s="550"/>
      <c r="CF3762" s="550"/>
      <c r="CG3762" s="550"/>
      <c r="CH3762" s="550"/>
      <c r="JD3762" s="243"/>
    </row>
    <row r="3763" spans="1:264" s="32" customFormat="1" x14ac:dyDescent="0.25">
      <c r="A3763" s="32">
        <v>170</v>
      </c>
      <c r="B3763" s="44" t="s">
        <v>3415</v>
      </c>
      <c r="C3763" s="32" t="s">
        <v>3409</v>
      </c>
      <c r="D3763" s="32" t="s">
        <v>3410</v>
      </c>
      <c r="E3763" s="32">
        <v>2006</v>
      </c>
      <c r="F3763" s="32">
        <v>2003</v>
      </c>
      <c r="G3763" s="32" t="s">
        <v>302</v>
      </c>
      <c r="H3763" s="32" t="s">
        <v>3411</v>
      </c>
      <c r="I3763" s="32" t="s">
        <v>2892</v>
      </c>
      <c r="J3763" s="32">
        <f t="shared" si="498"/>
        <v>6.3666666666666663</v>
      </c>
      <c r="K3763" s="32">
        <f t="shared" si="499"/>
        <v>1.2166666666666668</v>
      </c>
      <c r="L3763" s="32">
        <v>50</v>
      </c>
      <c r="P3763" s="32">
        <v>950</v>
      </c>
      <c r="R3763" s="44" t="s">
        <v>1847</v>
      </c>
      <c r="S3763" s="44" t="s">
        <v>1847</v>
      </c>
      <c r="T3763" s="44"/>
      <c r="U3763" s="44" t="s">
        <v>1996</v>
      </c>
      <c r="V3763" s="44" t="s">
        <v>1382</v>
      </c>
      <c r="W3763" s="44" t="s">
        <v>1717</v>
      </c>
      <c r="X3763" s="44" t="s">
        <v>1382</v>
      </c>
      <c r="Y3763" s="44" t="s">
        <v>1382</v>
      </c>
      <c r="AA3763" s="323"/>
      <c r="AB3763" s="323"/>
      <c r="AD3763" s="32">
        <f t="shared" si="500"/>
        <v>6</v>
      </c>
      <c r="AE3763" s="32">
        <v>0.8</v>
      </c>
      <c r="AH3763" s="32" t="s">
        <v>3413</v>
      </c>
      <c r="AI3763" s="32" t="s">
        <v>1583</v>
      </c>
      <c r="AJ3763" s="32" t="s">
        <v>1645</v>
      </c>
      <c r="AK3763" s="32" t="s">
        <v>132</v>
      </c>
      <c r="AW3763" s="32" t="s">
        <v>160</v>
      </c>
      <c r="AX3763" s="32">
        <v>3</v>
      </c>
      <c r="AZ3763" s="32" t="s">
        <v>2955</v>
      </c>
      <c r="BK3763" s="32">
        <v>5700</v>
      </c>
      <c r="BL3763" s="32">
        <v>6800</v>
      </c>
      <c r="BO3763" s="32" t="s">
        <v>3417</v>
      </c>
      <c r="BP3763" s="397"/>
      <c r="BQ3763" s="397"/>
      <c r="BU3763" s="397"/>
      <c r="BV3763" s="397"/>
      <c r="BZ3763" s="397"/>
      <c r="CA3763" s="397"/>
      <c r="CE3763" s="550"/>
      <c r="CF3763" s="550"/>
      <c r="CG3763" s="550"/>
      <c r="CH3763" s="550"/>
      <c r="JD3763" s="243"/>
    </row>
    <row r="3764" spans="1:264" s="32" customFormat="1" x14ac:dyDescent="0.25">
      <c r="A3764" s="32">
        <v>170</v>
      </c>
      <c r="B3764" s="44" t="s">
        <v>3415</v>
      </c>
      <c r="C3764" s="32" t="s">
        <v>3409</v>
      </c>
      <c r="D3764" s="32" t="s">
        <v>3410</v>
      </c>
      <c r="E3764" s="32">
        <v>2006</v>
      </c>
      <c r="F3764" s="32">
        <v>2003</v>
      </c>
      <c r="G3764" s="32" t="s">
        <v>302</v>
      </c>
      <c r="H3764" s="32" t="s">
        <v>3411</v>
      </c>
      <c r="I3764" s="32" t="s">
        <v>2892</v>
      </c>
      <c r="J3764" s="32">
        <f t="shared" si="498"/>
        <v>6.3666666666666663</v>
      </c>
      <c r="K3764" s="32">
        <f t="shared" si="499"/>
        <v>1.2166666666666668</v>
      </c>
      <c r="L3764" s="32">
        <v>50</v>
      </c>
      <c r="P3764" s="32">
        <v>950</v>
      </c>
      <c r="R3764" s="44" t="s">
        <v>1847</v>
      </c>
      <c r="S3764" s="44" t="s">
        <v>1847</v>
      </c>
      <c r="T3764" s="44"/>
      <c r="U3764" s="44" t="s">
        <v>1996</v>
      </c>
      <c r="V3764" s="44" t="s">
        <v>1382</v>
      </c>
      <c r="W3764" s="44" t="s">
        <v>1717</v>
      </c>
      <c r="X3764" s="44" t="s">
        <v>1382</v>
      </c>
      <c r="Y3764" s="44" t="s">
        <v>1382</v>
      </c>
      <c r="AA3764" s="323"/>
      <c r="AB3764" s="323"/>
      <c r="AD3764" s="32">
        <f t="shared" si="500"/>
        <v>6</v>
      </c>
      <c r="AE3764" s="32">
        <v>0.8</v>
      </c>
      <c r="AH3764" s="32" t="s">
        <v>3413</v>
      </c>
      <c r="AI3764" s="32" t="s">
        <v>1583</v>
      </c>
      <c r="AJ3764" s="32" t="s">
        <v>1645</v>
      </c>
      <c r="AK3764" s="32" t="s">
        <v>132</v>
      </c>
      <c r="AW3764" s="32" t="s">
        <v>160</v>
      </c>
      <c r="AX3764" s="32">
        <v>3</v>
      </c>
      <c r="AZ3764" s="32" t="s">
        <v>2955</v>
      </c>
      <c r="BK3764" s="32">
        <v>5600</v>
      </c>
      <c r="BL3764" s="32">
        <v>7000</v>
      </c>
      <c r="BO3764" s="32" t="s">
        <v>3417</v>
      </c>
      <c r="BP3764" s="397"/>
      <c r="BQ3764" s="397"/>
      <c r="BU3764" s="397"/>
      <c r="BV3764" s="397"/>
      <c r="BZ3764" s="397"/>
      <c r="CA3764" s="397"/>
      <c r="CE3764" s="550"/>
      <c r="CF3764" s="550"/>
      <c r="CG3764" s="550"/>
      <c r="CH3764" s="550"/>
      <c r="JD3764" s="243"/>
    </row>
    <row r="3765" spans="1:264" s="32" customFormat="1" x14ac:dyDescent="0.25">
      <c r="A3765" s="32">
        <v>170</v>
      </c>
      <c r="B3765" s="44" t="s">
        <v>3415</v>
      </c>
      <c r="C3765" s="32" t="s">
        <v>3409</v>
      </c>
      <c r="D3765" s="32" t="s">
        <v>3410</v>
      </c>
      <c r="E3765" s="32">
        <v>2006</v>
      </c>
      <c r="F3765" s="32">
        <v>2003</v>
      </c>
      <c r="G3765" s="32" t="s">
        <v>302</v>
      </c>
      <c r="H3765" s="32" t="s">
        <v>3411</v>
      </c>
      <c r="I3765" s="32" t="s">
        <v>2892</v>
      </c>
      <c r="J3765" s="32">
        <f t="shared" si="498"/>
        <v>6.3666666666666663</v>
      </c>
      <c r="K3765" s="32">
        <f t="shared" si="499"/>
        <v>1.2166666666666668</v>
      </c>
      <c r="L3765" s="32">
        <v>50</v>
      </c>
      <c r="P3765" s="32">
        <v>950</v>
      </c>
      <c r="R3765" s="44" t="s">
        <v>1847</v>
      </c>
      <c r="S3765" s="44" t="s">
        <v>1847</v>
      </c>
      <c r="T3765" s="44"/>
      <c r="U3765" s="44" t="s">
        <v>1996</v>
      </c>
      <c r="V3765" s="44" t="s">
        <v>1382</v>
      </c>
      <c r="W3765" s="44" t="s">
        <v>1717</v>
      </c>
      <c r="X3765" s="44" t="s">
        <v>1382</v>
      </c>
      <c r="Y3765" s="44" t="s">
        <v>1382</v>
      </c>
      <c r="AA3765" s="323"/>
      <c r="AB3765" s="323"/>
      <c r="AD3765" s="32">
        <f t="shared" si="500"/>
        <v>6</v>
      </c>
      <c r="AE3765" s="32">
        <v>0.8</v>
      </c>
      <c r="AH3765" s="32" t="s">
        <v>3413</v>
      </c>
      <c r="AI3765" s="32" t="s">
        <v>1583</v>
      </c>
      <c r="AJ3765" s="32" t="s">
        <v>1645</v>
      </c>
      <c r="AK3765" s="32" t="s">
        <v>132</v>
      </c>
      <c r="AW3765" s="32" t="s">
        <v>160</v>
      </c>
      <c r="AX3765" s="32">
        <v>3</v>
      </c>
      <c r="AZ3765" s="32" t="s">
        <v>2955</v>
      </c>
      <c r="BK3765" s="32">
        <v>5900</v>
      </c>
      <c r="BL3765" s="32">
        <v>7000</v>
      </c>
      <c r="BO3765" s="32" t="s">
        <v>3417</v>
      </c>
      <c r="BP3765" s="397"/>
      <c r="BQ3765" s="397"/>
      <c r="BU3765" s="397"/>
      <c r="BV3765" s="397"/>
      <c r="BZ3765" s="397"/>
      <c r="CA3765" s="397"/>
      <c r="CE3765" s="550"/>
      <c r="CF3765" s="550"/>
      <c r="CG3765" s="550"/>
      <c r="CH3765" s="550"/>
      <c r="JD3765" s="243"/>
    </row>
    <row r="3766" spans="1:264" s="32" customFormat="1" x14ac:dyDescent="0.25">
      <c r="A3766" s="32">
        <v>170</v>
      </c>
      <c r="B3766" s="44" t="s">
        <v>3415</v>
      </c>
      <c r="C3766" s="32" t="s">
        <v>3409</v>
      </c>
      <c r="D3766" s="32" t="s">
        <v>3410</v>
      </c>
      <c r="E3766" s="32">
        <v>2006</v>
      </c>
      <c r="F3766" s="32">
        <v>2003</v>
      </c>
      <c r="G3766" s="32" t="s">
        <v>302</v>
      </c>
      <c r="H3766" s="32" t="s">
        <v>3411</v>
      </c>
      <c r="I3766" s="32" t="s">
        <v>2892</v>
      </c>
      <c r="J3766" s="32">
        <f t="shared" si="498"/>
        <v>6.3666666666666663</v>
      </c>
      <c r="K3766" s="32">
        <f t="shared" si="499"/>
        <v>1.2166666666666668</v>
      </c>
      <c r="L3766" s="32">
        <v>50</v>
      </c>
      <c r="P3766" s="32">
        <v>950</v>
      </c>
      <c r="R3766" s="44" t="s">
        <v>1847</v>
      </c>
      <c r="S3766" s="44" t="s">
        <v>1847</v>
      </c>
      <c r="T3766" s="44"/>
      <c r="U3766" s="44" t="s">
        <v>1996</v>
      </c>
      <c r="V3766" s="44" t="s">
        <v>1382</v>
      </c>
      <c r="W3766" s="44" t="s">
        <v>1717</v>
      </c>
      <c r="X3766" s="44" t="s">
        <v>1382</v>
      </c>
      <c r="Y3766" s="44" t="s">
        <v>1382</v>
      </c>
      <c r="AA3766" s="323"/>
      <c r="AB3766" s="323"/>
      <c r="AD3766" s="32">
        <f t="shared" si="500"/>
        <v>6</v>
      </c>
      <c r="AE3766" s="32">
        <v>0.8</v>
      </c>
      <c r="AH3766" s="32" t="s">
        <v>3413</v>
      </c>
      <c r="AI3766" s="32" t="s">
        <v>1583</v>
      </c>
      <c r="AJ3766" s="32" t="s">
        <v>1645</v>
      </c>
      <c r="AK3766" s="32" t="s">
        <v>132</v>
      </c>
      <c r="AW3766" s="32" t="s">
        <v>160</v>
      </c>
      <c r="AX3766" s="32">
        <v>3</v>
      </c>
      <c r="AZ3766" s="32" t="s">
        <v>2955</v>
      </c>
      <c r="BK3766" s="32">
        <v>5400</v>
      </c>
      <c r="BL3766" s="32">
        <v>6900</v>
      </c>
      <c r="BO3766" s="32" t="s">
        <v>3417</v>
      </c>
      <c r="BP3766" s="397"/>
      <c r="BQ3766" s="397"/>
      <c r="BU3766" s="397"/>
      <c r="BV3766" s="397"/>
      <c r="BZ3766" s="397"/>
      <c r="CA3766" s="397"/>
      <c r="CE3766" s="550"/>
      <c r="CF3766" s="550"/>
      <c r="CG3766" s="550"/>
      <c r="CH3766" s="550"/>
      <c r="JD3766" s="243"/>
    </row>
    <row r="3767" spans="1:264" s="24" customFormat="1" x14ac:dyDescent="0.25">
      <c r="A3767" s="24">
        <v>170</v>
      </c>
      <c r="B3767" s="42" t="s">
        <v>3414</v>
      </c>
      <c r="C3767" s="24" t="s">
        <v>3409</v>
      </c>
      <c r="D3767" s="24" t="s">
        <v>3410</v>
      </c>
      <c r="E3767" s="24">
        <v>2006</v>
      </c>
      <c r="F3767" s="24">
        <v>2002</v>
      </c>
      <c r="G3767" s="24" t="s">
        <v>302</v>
      </c>
      <c r="H3767" s="24" t="s">
        <v>3411</v>
      </c>
      <c r="I3767" s="24" t="s">
        <v>2892</v>
      </c>
      <c r="J3767" s="24">
        <f t="shared" si="498"/>
        <v>6.3666666666666663</v>
      </c>
      <c r="K3767" s="24">
        <f t="shared" si="499"/>
        <v>1.2166666666666668</v>
      </c>
      <c r="L3767" s="24">
        <v>50</v>
      </c>
      <c r="P3767" s="24">
        <v>950</v>
      </c>
      <c r="R3767" s="42" t="s">
        <v>1977</v>
      </c>
      <c r="S3767" s="42" t="s">
        <v>1847</v>
      </c>
      <c r="T3767" s="42"/>
      <c r="U3767" s="42" t="s">
        <v>1996</v>
      </c>
      <c r="V3767" s="42" t="s">
        <v>1382</v>
      </c>
      <c r="W3767" s="42" t="s">
        <v>1717</v>
      </c>
      <c r="X3767" s="42" t="s">
        <v>1382</v>
      </c>
      <c r="Y3767" s="42" t="s">
        <v>1382</v>
      </c>
      <c r="AA3767" s="321"/>
      <c r="AB3767" s="321"/>
      <c r="AD3767" s="24">
        <f t="shared" si="500"/>
        <v>6</v>
      </c>
      <c r="AE3767" s="24">
        <v>0.8</v>
      </c>
      <c r="AH3767" s="24" t="s">
        <v>3412</v>
      </c>
      <c r="AI3767" s="24" t="s">
        <v>577</v>
      </c>
      <c r="AJ3767" s="24" t="s">
        <v>1645</v>
      </c>
      <c r="AK3767" s="24" t="s">
        <v>132</v>
      </c>
      <c r="AW3767" s="24" t="s">
        <v>160</v>
      </c>
      <c r="AX3767" s="24">
        <v>3</v>
      </c>
      <c r="AZ3767" s="24" t="s">
        <v>2955</v>
      </c>
      <c r="BK3767" s="24">
        <v>6100</v>
      </c>
      <c r="BL3767" s="24">
        <v>6300</v>
      </c>
      <c r="BO3767" s="24" t="s">
        <v>3416</v>
      </c>
      <c r="BP3767" s="395"/>
      <c r="BQ3767" s="395"/>
      <c r="BU3767" s="395"/>
      <c r="BV3767" s="395"/>
      <c r="BZ3767" s="395"/>
      <c r="CA3767" s="395"/>
      <c r="CE3767" s="548"/>
      <c r="CF3767" s="548"/>
      <c r="CG3767" s="548"/>
      <c r="CH3767" s="548"/>
      <c r="JD3767" s="249"/>
    </row>
    <row r="3768" spans="1:264" s="24" customFormat="1" x14ac:dyDescent="0.25">
      <c r="A3768" s="24">
        <v>170</v>
      </c>
      <c r="B3768" s="42" t="s">
        <v>3414</v>
      </c>
      <c r="C3768" s="24" t="s">
        <v>3409</v>
      </c>
      <c r="D3768" s="24" t="s">
        <v>3410</v>
      </c>
      <c r="E3768" s="24">
        <v>2006</v>
      </c>
      <c r="F3768" s="24">
        <v>2002</v>
      </c>
      <c r="G3768" s="24" t="s">
        <v>302</v>
      </c>
      <c r="H3768" s="24" t="s">
        <v>3411</v>
      </c>
      <c r="I3768" s="24" t="s">
        <v>2892</v>
      </c>
      <c r="J3768" s="24">
        <f t="shared" si="498"/>
        <v>6.3666666666666663</v>
      </c>
      <c r="K3768" s="24">
        <f t="shared" si="499"/>
        <v>1.2166666666666668</v>
      </c>
      <c r="L3768" s="24">
        <v>50</v>
      </c>
      <c r="P3768" s="24">
        <v>950</v>
      </c>
      <c r="R3768" s="42" t="s">
        <v>1977</v>
      </c>
      <c r="S3768" s="42" t="s">
        <v>1847</v>
      </c>
      <c r="T3768" s="42"/>
      <c r="U3768" s="42" t="s">
        <v>1996</v>
      </c>
      <c r="V3768" s="42" t="s">
        <v>1382</v>
      </c>
      <c r="W3768" s="42" t="s">
        <v>1717</v>
      </c>
      <c r="X3768" s="42" t="s">
        <v>1382</v>
      </c>
      <c r="Y3768" s="42" t="s">
        <v>1382</v>
      </c>
      <c r="AA3768" s="321"/>
      <c r="AB3768" s="321"/>
      <c r="AD3768" s="24">
        <f t="shared" si="500"/>
        <v>6</v>
      </c>
      <c r="AE3768" s="24">
        <v>0.8</v>
      </c>
      <c r="AH3768" s="24" t="s">
        <v>3412</v>
      </c>
      <c r="AI3768" s="24" t="s">
        <v>577</v>
      </c>
      <c r="AJ3768" s="24" t="s">
        <v>1645</v>
      </c>
      <c r="AK3768" s="24" t="s">
        <v>132</v>
      </c>
      <c r="AW3768" s="24" t="s">
        <v>160</v>
      </c>
      <c r="AX3768" s="24">
        <v>3</v>
      </c>
      <c r="AZ3768" s="24" t="s">
        <v>2955</v>
      </c>
      <c r="BK3768" s="24">
        <v>6300</v>
      </c>
      <c r="BL3768" s="24">
        <v>6400</v>
      </c>
      <c r="BO3768" s="24" t="s">
        <v>3416</v>
      </c>
      <c r="BP3768" s="395"/>
      <c r="BQ3768" s="395"/>
      <c r="BU3768" s="395"/>
      <c r="BV3768" s="395"/>
      <c r="BZ3768" s="395"/>
      <c r="CA3768" s="395"/>
      <c r="CE3768" s="548"/>
      <c r="CF3768" s="548"/>
      <c r="CG3768" s="548"/>
      <c r="CH3768" s="548"/>
      <c r="JD3768" s="249"/>
    </row>
    <row r="3769" spans="1:264" s="24" customFormat="1" x14ac:dyDescent="0.25">
      <c r="A3769" s="24">
        <v>170</v>
      </c>
      <c r="B3769" s="42" t="s">
        <v>3414</v>
      </c>
      <c r="C3769" s="24" t="s">
        <v>3409</v>
      </c>
      <c r="D3769" s="24" t="s">
        <v>3410</v>
      </c>
      <c r="E3769" s="24">
        <v>2006</v>
      </c>
      <c r="F3769" s="24">
        <v>2002</v>
      </c>
      <c r="G3769" s="24" t="s">
        <v>302</v>
      </c>
      <c r="H3769" s="24" t="s">
        <v>3411</v>
      </c>
      <c r="I3769" s="24" t="s">
        <v>2892</v>
      </c>
      <c r="J3769" s="24">
        <f t="shared" si="498"/>
        <v>6.3666666666666663</v>
      </c>
      <c r="K3769" s="24">
        <f t="shared" si="499"/>
        <v>1.2166666666666668</v>
      </c>
      <c r="L3769" s="24">
        <v>50</v>
      </c>
      <c r="P3769" s="24">
        <v>950</v>
      </c>
      <c r="R3769" s="42" t="s">
        <v>1977</v>
      </c>
      <c r="S3769" s="42" t="s">
        <v>1847</v>
      </c>
      <c r="T3769" s="42"/>
      <c r="U3769" s="42" t="s">
        <v>1996</v>
      </c>
      <c r="V3769" s="42" t="s">
        <v>1382</v>
      </c>
      <c r="W3769" s="42" t="s">
        <v>1717</v>
      </c>
      <c r="X3769" s="42" t="s">
        <v>1382</v>
      </c>
      <c r="Y3769" s="42" t="s">
        <v>1382</v>
      </c>
      <c r="AA3769" s="321"/>
      <c r="AB3769" s="321"/>
      <c r="AD3769" s="24">
        <f t="shared" si="500"/>
        <v>6</v>
      </c>
      <c r="AE3769" s="24">
        <v>0.8</v>
      </c>
      <c r="AH3769" s="24" t="s">
        <v>3412</v>
      </c>
      <c r="AI3769" s="24" t="s">
        <v>577</v>
      </c>
      <c r="AJ3769" s="24" t="s">
        <v>1645</v>
      </c>
      <c r="AK3769" s="24" t="s">
        <v>132</v>
      </c>
      <c r="AW3769" s="24" t="s">
        <v>160</v>
      </c>
      <c r="AX3769" s="24">
        <v>3</v>
      </c>
      <c r="AZ3769" s="24" t="s">
        <v>2955</v>
      </c>
      <c r="BK3769" s="24">
        <v>6300</v>
      </c>
      <c r="BL3769" s="24">
        <v>6300</v>
      </c>
      <c r="BO3769" s="24" t="s">
        <v>3416</v>
      </c>
      <c r="BP3769" s="395"/>
      <c r="BQ3769" s="395"/>
      <c r="BU3769" s="395"/>
      <c r="BV3769" s="395"/>
      <c r="BZ3769" s="395"/>
      <c r="CA3769" s="395"/>
      <c r="CE3769" s="548"/>
      <c r="CF3769" s="548"/>
      <c r="CG3769" s="548"/>
      <c r="CH3769" s="548"/>
      <c r="JD3769" s="249"/>
    </row>
    <row r="3770" spans="1:264" s="24" customFormat="1" x14ac:dyDescent="0.25">
      <c r="A3770" s="24">
        <v>170</v>
      </c>
      <c r="B3770" s="42" t="s">
        <v>3414</v>
      </c>
      <c r="C3770" s="24" t="s">
        <v>3409</v>
      </c>
      <c r="D3770" s="24" t="s">
        <v>3410</v>
      </c>
      <c r="E3770" s="24">
        <v>2006</v>
      </c>
      <c r="F3770" s="24">
        <v>2002</v>
      </c>
      <c r="G3770" s="24" t="s">
        <v>302</v>
      </c>
      <c r="H3770" s="24" t="s">
        <v>3411</v>
      </c>
      <c r="I3770" s="24" t="s">
        <v>2892</v>
      </c>
      <c r="J3770" s="24">
        <f t="shared" si="498"/>
        <v>6.3666666666666663</v>
      </c>
      <c r="K3770" s="24">
        <f t="shared" si="499"/>
        <v>1.2166666666666668</v>
      </c>
      <c r="L3770" s="24">
        <v>50</v>
      </c>
      <c r="P3770" s="24">
        <v>950</v>
      </c>
      <c r="R3770" s="42" t="s">
        <v>1977</v>
      </c>
      <c r="S3770" s="42" t="s">
        <v>1847</v>
      </c>
      <c r="T3770" s="42"/>
      <c r="U3770" s="42" t="s">
        <v>1996</v>
      </c>
      <c r="V3770" s="42" t="s">
        <v>1382</v>
      </c>
      <c r="W3770" s="42" t="s">
        <v>1717</v>
      </c>
      <c r="X3770" s="42" t="s">
        <v>1382</v>
      </c>
      <c r="Y3770" s="42" t="s">
        <v>1382</v>
      </c>
      <c r="AA3770" s="321"/>
      <c r="AB3770" s="321"/>
      <c r="AD3770" s="24">
        <f t="shared" si="500"/>
        <v>6</v>
      </c>
      <c r="AE3770" s="24">
        <v>0.8</v>
      </c>
      <c r="AH3770" s="24" t="s">
        <v>3412</v>
      </c>
      <c r="AI3770" s="24" t="s">
        <v>577</v>
      </c>
      <c r="AJ3770" s="24" t="s">
        <v>1645</v>
      </c>
      <c r="AK3770" s="24" t="s">
        <v>132</v>
      </c>
      <c r="AW3770" s="24" t="s">
        <v>160</v>
      </c>
      <c r="AX3770" s="24">
        <v>3</v>
      </c>
      <c r="AZ3770" s="24" t="s">
        <v>2955</v>
      </c>
      <c r="BK3770" s="24">
        <v>6500</v>
      </c>
      <c r="BL3770" s="24">
        <v>6200</v>
      </c>
      <c r="BO3770" s="24" t="s">
        <v>3416</v>
      </c>
      <c r="BP3770" s="395"/>
      <c r="BQ3770" s="395"/>
      <c r="BU3770" s="395"/>
      <c r="BV3770" s="395"/>
      <c r="BZ3770" s="395"/>
      <c r="CA3770" s="395"/>
      <c r="CE3770" s="548"/>
      <c r="CF3770" s="548"/>
      <c r="CG3770" s="548"/>
      <c r="CH3770" s="548"/>
      <c r="JD3770" s="249"/>
    </row>
    <row r="3771" spans="1:264" s="24" customFormat="1" x14ac:dyDescent="0.25">
      <c r="A3771" s="24">
        <v>170</v>
      </c>
      <c r="B3771" s="42" t="s">
        <v>3414</v>
      </c>
      <c r="C3771" s="24" t="s">
        <v>3409</v>
      </c>
      <c r="D3771" s="24" t="s">
        <v>3410</v>
      </c>
      <c r="E3771" s="24">
        <v>2006</v>
      </c>
      <c r="F3771" s="24">
        <v>2002</v>
      </c>
      <c r="G3771" s="24" t="s">
        <v>302</v>
      </c>
      <c r="H3771" s="24" t="s">
        <v>3411</v>
      </c>
      <c r="I3771" s="24" t="s">
        <v>2892</v>
      </c>
      <c r="J3771" s="24">
        <f t="shared" si="498"/>
        <v>6.3666666666666663</v>
      </c>
      <c r="K3771" s="24">
        <f t="shared" si="499"/>
        <v>1.2166666666666668</v>
      </c>
      <c r="L3771" s="24">
        <v>50</v>
      </c>
      <c r="P3771" s="24">
        <v>950</v>
      </c>
      <c r="R3771" s="42" t="s">
        <v>1977</v>
      </c>
      <c r="S3771" s="42" t="s">
        <v>1847</v>
      </c>
      <c r="T3771" s="42"/>
      <c r="U3771" s="42" t="s">
        <v>1996</v>
      </c>
      <c r="V3771" s="42" t="s">
        <v>1382</v>
      </c>
      <c r="W3771" s="42" t="s">
        <v>1717</v>
      </c>
      <c r="X3771" s="42" t="s">
        <v>1382</v>
      </c>
      <c r="Y3771" s="42" t="s">
        <v>1382</v>
      </c>
      <c r="AA3771" s="321"/>
      <c r="AB3771" s="321"/>
      <c r="AD3771" s="24">
        <f t="shared" si="500"/>
        <v>6</v>
      </c>
      <c r="AE3771" s="24">
        <v>0.8</v>
      </c>
      <c r="AH3771" s="24" t="s">
        <v>3412</v>
      </c>
      <c r="AI3771" s="24" t="s">
        <v>577</v>
      </c>
      <c r="AJ3771" s="24" t="s">
        <v>1645</v>
      </c>
      <c r="AK3771" s="24" t="s">
        <v>132</v>
      </c>
      <c r="AW3771" s="24" t="s">
        <v>160</v>
      </c>
      <c r="AX3771" s="24">
        <v>3</v>
      </c>
      <c r="AZ3771" s="24" t="s">
        <v>2955</v>
      </c>
      <c r="BK3771" s="24">
        <v>6500</v>
      </c>
      <c r="BL3771" s="24">
        <v>6300</v>
      </c>
      <c r="BO3771" s="24" t="s">
        <v>3416</v>
      </c>
      <c r="BP3771" s="395"/>
      <c r="BQ3771" s="395"/>
      <c r="BU3771" s="395"/>
      <c r="BV3771" s="395"/>
      <c r="BZ3771" s="395"/>
      <c r="CA3771" s="395"/>
      <c r="CE3771" s="548"/>
      <c r="CF3771" s="548"/>
      <c r="CG3771" s="548"/>
      <c r="CH3771" s="548"/>
      <c r="JD3771" s="249"/>
    </row>
    <row r="3772" spans="1:264" s="24" customFormat="1" x14ac:dyDescent="0.25">
      <c r="A3772" s="24">
        <v>170</v>
      </c>
      <c r="B3772" s="42" t="s">
        <v>3414</v>
      </c>
      <c r="C3772" s="24" t="s">
        <v>3409</v>
      </c>
      <c r="D3772" s="24" t="s">
        <v>3410</v>
      </c>
      <c r="E3772" s="24">
        <v>2006</v>
      </c>
      <c r="F3772" s="24">
        <v>2003</v>
      </c>
      <c r="G3772" s="24" t="s">
        <v>302</v>
      </c>
      <c r="H3772" s="24" t="s">
        <v>3411</v>
      </c>
      <c r="I3772" s="24" t="s">
        <v>2892</v>
      </c>
      <c r="J3772" s="24">
        <f t="shared" si="498"/>
        <v>6.3666666666666663</v>
      </c>
      <c r="K3772" s="24">
        <f t="shared" si="499"/>
        <v>1.2166666666666668</v>
      </c>
      <c r="L3772" s="24">
        <v>50</v>
      </c>
      <c r="P3772" s="24">
        <v>950</v>
      </c>
      <c r="R3772" s="42" t="s">
        <v>1847</v>
      </c>
      <c r="S3772" s="42" t="s">
        <v>1847</v>
      </c>
      <c r="T3772" s="42"/>
      <c r="U3772" s="42" t="s">
        <v>1996</v>
      </c>
      <c r="V3772" s="42" t="s">
        <v>1382</v>
      </c>
      <c r="W3772" s="42" t="s">
        <v>1717</v>
      </c>
      <c r="X3772" s="42" t="s">
        <v>1382</v>
      </c>
      <c r="Y3772" s="42" t="s">
        <v>1382</v>
      </c>
      <c r="AA3772" s="321"/>
      <c r="AB3772" s="321"/>
      <c r="AD3772" s="24">
        <f t="shared" si="500"/>
        <v>6</v>
      </c>
      <c r="AE3772" s="24">
        <v>0.8</v>
      </c>
      <c r="AH3772" s="24" t="s">
        <v>3412</v>
      </c>
      <c r="AI3772" s="24" t="s">
        <v>577</v>
      </c>
      <c r="AJ3772" s="24" t="s">
        <v>1645</v>
      </c>
      <c r="AK3772" s="24" t="s">
        <v>132</v>
      </c>
      <c r="AW3772" s="24" t="s">
        <v>160</v>
      </c>
      <c r="AX3772" s="24">
        <v>3</v>
      </c>
      <c r="AZ3772" s="24" t="s">
        <v>2955</v>
      </c>
      <c r="BK3772" s="24">
        <v>4500</v>
      </c>
      <c r="BL3772" s="24">
        <v>6600</v>
      </c>
      <c r="BO3772" s="24" t="s">
        <v>3417</v>
      </c>
      <c r="BP3772" s="395"/>
      <c r="BQ3772" s="395"/>
      <c r="BU3772" s="395"/>
      <c r="BV3772" s="395"/>
      <c r="BZ3772" s="395"/>
      <c r="CA3772" s="395"/>
      <c r="CE3772" s="548"/>
      <c r="CF3772" s="548"/>
      <c r="CG3772" s="548"/>
      <c r="CH3772" s="548"/>
      <c r="JD3772" s="249"/>
    </row>
    <row r="3773" spans="1:264" s="24" customFormat="1" x14ac:dyDescent="0.25">
      <c r="A3773" s="24">
        <v>170</v>
      </c>
      <c r="B3773" s="42" t="s">
        <v>3414</v>
      </c>
      <c r="C3773" s="24" t="s">
        <v>3409</v>
      </c>
      <c r="D3773" s="24" t="s">
        <v>3410</v>
      </c>
      <c r="E3773" s="24">
        <v>2006</v>
      </c>
      <c r="F3773" s="24">
        <v>2003</v>
      </c>
      <c r="G3773" s="24" t="s">
        <v>302</v>
      </c>
      <c r="H3773" s="24" t="s">
        <v>3411</v>
      </c>
      <c r="I3773" s="24" t="s">
        <v>2892</v>
      </c>
      <c r="J3773" s="24">
        <f t="shared" si="498"/>
        <v>6.3666666666666663</v>
      </c>
      <c r="K3773" s="24">
        <f t="shared" si="499"/>
        <v>1.2166666666666668</v>
      </c>
      <c r="L3773" s="24">
        <v>50</v>
      </c>
      <c r="P3773" s="24">
        <v>950</v>
      </c>
      <c r="R3773" s="42" t="s">
        <v>1847</v>
      </c>
      <c r="S3773" s="42" t="s">
        <v>1847</v>
      </c>
      <c r="T3773" s="42"/>
      <c r="U3773" s="42" t="s">
        <v>1996</v>
      </c>
      <c r="V3773" s="42" t="s">
        <v>1382</v>
      </c>
      <c r="W3773" s="42" t="s">
        <v>1717</v>
      </c>
      <c r="X3773" s="42" t="s">
        <v>1382</v>
      </c>
      <c r="Y3773" s="42" t="s">
        <v>1382</v>
      </c>
      <c r="AA3773" s="321"/>
      <c r="AB3773" s="321"/>
      <c r="AD3773" s="24">
        <f t="shared" si="500"/>
        <v>6</v>
      </c>
      <c r="AE3773" s="24">
        <v>0.8</v>
      </c>
      <c r="AH3773" s="24" t="s">
        <v>3412</v>
      </c>
      <c r="AI3773" s="24" t="s">
        <v>577</v>
      </c>
      <c r="AJ3773" s="24" t="s">
        <v>1645</v>
      </c>
      <c r="AK3773" s="24" t="s">
        <v>132</v>
      </c>
      <c r="AW3773" s="24" t="s">
        <v>160</v>
      </c>
      <c r="AX3773" s="24">
        <v>3</v>
      </c>
      <c r="AZ3773" s="24" t="s">
        <v>2955</v>
      </c>
      <c r="BK3773" s="24">
        <v>5700</v>
      </c>
      <c r="BL3773" s="24">
        <v>6700</v>
      </c>
      <c r="BO3773" s="24" t="s">
        <v>3417</v>
      </c>
      <c r="BP3773" s="395"/>
      <c r="BQ3773" s="395"/>
      <c r="BU3773" s="395"/>
      <c r="BV3773" s="395"/>
      <c r="BZ3773" s="395"/>
      <c r="CA3773" s="395"/>
      <c r="CE3773" s="548"/>
      <c r="CF3773" s="548"/>
      <c r="CG3773" s="548"/>
      <c r="CH3773" s="548"/>
      <c r="JD3773" s="249"/>
    </row>
    <row r="3774" spans="1:264" s="24" customFormat="1" x14ac:dyDescent="0.25">
      <c r="A3774" s="24">
        <v>170</v>
      </c>
      <c r="B3774" s="42" t="s">
        <v>3414</v>
      </c>
      <c r="C3774" s="24" t="s">
        <v>3409</v>
      </c>
      <c r="D3774" s="24" t="s">
        <v>3410</v>
      </c>
      <c r="E3774" s="24">
        <v>2006</v>
      </c>
      <c r="F3774" s="24">
        <v>2003</v>
      </c>
      <c r="G3774" s="24" t="s">
        <v>302</v>
      </c>
      <c r="H3774" s="24" t="s">
        <v>3411</v>
      </c>
      <c r="I3774" s="24" t="s">
        <v>2892</v>
      </c>
      <c r="J3774" s="24">
        <f t="shared" si="498"/>
        <v>6.3666666666666663</v>
      </c>
      <c r="K3774" s="24">
        <f t="shared" si="499"/>
        <v>1.2166666666666668</v>
      </c>
      <c r="L3774" s="24">
        <v>50</v>
      </c>
      <c r="P3774" s="24">
        <v>950</v>
      </c>
      <c r="R3774" s="42" t="s">
        <v>1847</v>
      </c>
      <c r="S3774" s="42" t="s">
        <v>1847</v>
      </c>
      <c r="T3774" s="42"/>
      <c r="U3774" s="42" t="s">
        <v>1996</v>
      </c>
      <c r="V3774" s="42" t="s">
        <v>1382</v>
      </c>
      <c r="W3774" s="42" t="s">
        <v>1717</v>
      </c>
      <c r="X3774" s="42" t="s">
        <v>1382</v>
      </c>
      <c r="Y3774" s="42" t="s">
        <v>1382</v>
      </c>
      <c r="AA3774" s="321"/>
      <c r="AB3774" s="321"/>
      <c r="AD3774" s="24">
        <f t="shared" si="500"/>
        <v>6</v>
      </c>
      <c r="AE3774" s="24">
        <v>0.8</v>
      </c>
      <c r="AH3774" s="24" t="s">
        <v>3412</v>
      </c>
      <c r="AI3774" s="24" t="s">
        <v>577</v>
      </c>
      <c r="AJ3774" s="24" t="s">
        <v>1645</v>
      </c>
      <c r="AK3774" s="24" t="s">
        <v>132</v>
      </c>
      <c r="AW3774" s="24" t="s">
        <v>160</v>
      </c>
      <c r="AX3774" s="24">
        <v>3</v>
      </c>
      <c r="AZ3774" s="24" t="s">
        <v>2955</v>
      </c>
      <c r="BK3774" s="24">
        <v>5600</v>
      </c>
      <c r="BL3774" s="24">
        <v>6600</v>
      </c>
      <c r="BO3774" s="24" t="s">
        <v>3417</v>
      </c>
      <c r="BP3774" s="395"/>
      <c r="BQ3774" s="395"/>
      <c r="BU3774" s="395"/>
      <c r="BV3774" s="395"/>
      <c r="BZ3774" s="395"/>
      <c r="CA3774" s="395"/>
      <c r="CE3774" s="548"/>
      <c r="CF3774" s="548"/>
      <c r="CG3774" s="548"/>
      <c r="CH3774" s="548"/>
      <c r="JD3774" s="249"/>
    </row>
    <row r="3775" spans="1:264" s="24" customFormat="1" x14ac:dyDescent="0.25">
      <c r="A3775" s="24">
        <v>170</v>
      </c>
      <c r="B3775" s="42" t="s">
        <v>3414</v>
      </c>
      <c r="C3775" s="24" t="s">
        <v>3409</v>
      </c>
      <c r="D3775" s="24" t="s">
        <v>3410</v>
      </c>
      <c r="E3775" s="24">
        <v>2006</v>
      </c>
      <c r="F3775" s="24">
        <v>2003</v>
      </c>
      <c r="G3775" s="24" t="s">
        <v>302</v>
      </c>
      <c r="H3775" s="24" t="s">
        <v>3411</v>
      </c>
      <c r="I3775" s="24" t="s">
        <v>2892</v>
      </c>
      <c r="J3775" s="24">
        <f t="shared" si="498"/>
        <v>6.3666666666666663</v>
      </c>
      <c r="K3775" s="24">
        <f t="shared" si="499"/>
        <v>1.2166666666666668</v>
      </c>
      <c r="L3775" s="24">
        <v>50</v>
      </c>
      <c r="P3775" s="24">
        <v>950</v>
      </c>
      <c r="R3775" s="42" t="s">
        <v>1847</v>
      </c>
      <c r="S3775" s="42" t="s">
        <v>1847</v>
      </c>
      <c r="T3775" s="42"/>
      <c r="U3775" s="42" t="s">
        <v>1996</v>
      </c>
      <c r="V3775" s="42" t="s">
        <v>1382</v>
      </c>
      <c r="W3775" s="42" t="s">
        <v>1717</v>
      </c>
      <c r="X3775" s="42" t="s">
        <v>1382</v>
      </c>
      <c r="Y3775" s="42" t="s">
        <v>1382</v>
      </c>
      <c r="AA3775" s="321"/>
      <c r="AB3775" s="321"/>
      <c r="AD3775" s="24">
        <f t="shared" si="500"/>
        <v>6</v>
      </c>
      <c r="AE3775" s="24">
        <v>0.8</v>
      </c>
      <c r="AH3775" s="24" t="s">
        <v>3412</v>
      </c>
      <c r="AI3775" s="24" t="s">
        <v>577</v>
      </c>
      <c r="AJ3775" s="24" t="s">
        <v>1645</v>
      </c>
      <c r="AK3775" s="24" t="s">
        <v>132</v>
      </c>
      <c r="AW3775" s="24" t="s">
        <v>160</v>
      </c>
      <c r="AX3775" s="24">
        <v>3</v>
      </c>
      <c r="AZ3775" s="24" t="s">
        <v>2955</v>
      </c>
      <c r="BK3775" s="24">
        <v>5900</v>
      </c>
      <c r="BL3775" s="24">
        <v>6700</v>
      </c>
      <c r="BO3775" s="24" t="s">
        <v>3417</v>
      </c>
      <c r="BP3775" s="395"/>
      <c r="BQ3775" s="395"/>
      <c r="BU3775" s="395"/>
      <c r="BV3775" s="395"/>
      <c r="BZ3775" s="395"/>
      <c r="CA3775" s="395"/>
      <c r="CE3775" s="548"/>
      <c r="CF3775" s="548"/>
      <c r="CG3775" s="548"/>
      <c r="CH3775" s="548"/>
      <c r="JD3775" s="249"/>
    </row>
    <row r="3776" spans="1:264" s="24" customFormat="1" x14ac:dyDescent="0.25">
      <c r="A3776" s="24">
        <v>170</v>
      </c>
      <c r="B3776" s="42" t="s">
        <v>3414</v>
      </c>
      <c r="C3776" s="24" t="s">
        <v>3409</v>
      </c>
      <c r="D3776" s="24" t="s">
        <v>3410</v>
      </c>
      <c r="E3776" s="24">
        <v>2006</v>
      </c>
      <c r="F3776" s="24">
        <v>2003</v>
      </c>
      <c r="G3776" s="24" t="s">
        <v>302</v>
      </c>
      <c r="H3776" s="24" t="s">
        <v>3411</v>
      </c>
      <c r="I3776" s="24" t="s">
        <v>2892</v>
      </c>
      <c r="J3776" s="24">
        <f t="shared" si="498"/>
        <v>6.3666666666666663</v>
      </c>
      <c r="K3776" s="24">
        <f t="shared" si="499"/>
        <v>1.2166666666666668</v>
      </c>
      <c r="L3776" s="24">
        <v>50</v>
      </c>
      <c r="P3776" s="24">
        <v>950</v>
      </c>
      <c r="R3776" s="42" t="s">
        <v>1847</v>
      </c>
      <c r="S3776" s="42" t="s">
        <v>1847</v>
      </c>
      <c r="T3776" s="42"/>
      <c r="U3776" s="42" t="s">
        <v>1996</v>
      </c>
      <c r="V3776" s="42" t="s">
        <v>1382</v>
      </c>
      <c r="W3776" s="42" t="s">
        <v>1717</v>
      </c>
      <c r="X3776" s="42" t="s">
        <v>1382</v>
      </c>
      <c r="Y3776" s="42" t="s">
        <v>1382</v>
      </c>
      <c r="AA3776" s="321"/>
      <c r="AB3776" s="321"/>
      <c r="AD3776" s="24">
        <f t="shared" si="500"/>
        <v>6</v>
      </c>
      <c r="AE3776" s="24">
        <v>0.8</v>
      </c>
      <c r="AH3776" s="24" t="s">
        <v>3412</v>
      </c>
      <c r="AI3776" s="24" t="s">
        <v>577</v>
      </c>
      <c r="AJ3776" s="24" t="s">
        <v>1645</v>
      </c>
      <c r="AK3776" s="24" t="s">
        <v>132</v>
      </c>
      <c r="AW3776" s="24" t="s">
        <v>160</v>
      </c>
      <c r="AX3776" s="24">
        <v>3</v>
      </c>
      <c r="AZ3776" s="24" t="s">
        <v>2955</v>
      </c>
      <c r="BK3776" s="24">
        <v>5400</v>
      </c>
      <c r="BL3776" s="24">
        <v>6600</v>
      </c>
      <c r="BO3776" s="24" t="s">
        <v>3417</v>
      </c>
      <c r="BP3776" s="395"/>
      <c r="BQ3776" s="395"/>
      <c r="BU3776" s="395"/>
      <c r="BV3776" s="395"/>
      <c r="BZ3776" s="395"/>
      <c r="CA3776" s="395"/>
      <c r="CE3776" s="548"/>
      <c r="CF3776" s="548"/>
      <c r="CG3776" s="548"/>
      <c r="CH3776" s="548"/>
      <c r="JD3776" s="249"/>
    </row>
    <row r="3777" spans="1:264" s="32" customFormat="1" x14ac:dyDescent="0.25">
      <c r="A3777" s="32">
        <v>170</v>
      </c>
      <c r="B3777" s="44" t="s">
        <v>3415</v>
      </c>
      <c r="C3777" s="32" t="s">
        <v>3409</v>
      </c>
      <c r="D3777" s="32" t="s">
        <v>3410</v>
      </c>
      <c r="E3777" s="32">
        <v>2006</v>
      </c>
      <c r="F3777" s="32">
        <v>2002</v>
      </c>
      <c r="G3777" s="32" t="s">
        <v>302</v>
      </c>
      <c r="H3777" s="32" t="s">
        <v>3411</v>
      </c>
      <c r="I3777" s="32" t="s">
        <v>2892</v>
      </c>
      <c r="J3777" s="32">
        <f t="shared" si="498"/>
        <v>6.3666666666666663</v>
      </c>
      <c r="K3777" s="32">
        <f t="shared" si="499"/>
        <v>1.2166666666666668</v>
      </c>
      <c r="L3777" s="32">
        <v>50</v>
      </c>
      <c r="P3777" s="32">
        <v>950</v>
      </c>
      <c r="R3777" s="44" t="s">
        <v>1977</v>
      </c>
      <c r="S3777" s="44" t="s">
        <v>1847</v>
      </c>
      <c r="T3777" s="44"/>
      <c r="U3777" s="44" t="s">
        <v>1996</v>
      </c>
      <c r="V3777" s="44" t="s">
        <v>1382</v>
      </c>
      <c r="W3777" s="44" t="s">
        <v>1717</v>
      </c>
      <c r="X3777" s="44" t="s">
        <v>1382</v>
      </c>
      <c r="Y3777" s="44" t="s">
        <v>1382</v>
      </c>
      <c r="AA3777" s="323"/>
      <c r="AB3777" s="323"/>
      <c r="AD3777" s="32">
        <f t="shared" si="500"/>
        <v>6</v>
      </c>
      <c r="AE3777" s="32">
        <v>0.8</v>
      </c>
      <c r="AH3777" s="32" t="s">
        <v>3413</v>
      </c>
      <c r="AI3777" s="32" t="s">
        <v>1583</v>
      </c>
      <c r="AJ3777" s="32" t="s">
        <v>1645</v>
      </c>
      <c r="AK3777" s="32" t="s">
        <v>132</v>
      </c>
      <c r="AW3777" s="32" t="s">
        <v>160</v>
      </c>
      <c r="AX3777" s="32">
        <v>3</v>
      </c>
      <c r="AZ3777" s="32" t="s">
        <v>2955</v>
      </c>
      <c r="BK3777" s="32">
        <v>6100</v>
      </c>
      <c r="BL3777" s="32">
        <v>6300</v>
      </c>
      <c r="BO3777" s="32" t="s">
        <v>3416</v>
      </c>
      <c r="BP3777" s="397"/>
      <c r="BQ3777" s="397"/>
      <c r="BU3777" s="397"/>
      <c r="BV3777" s="397"/>
      <c r="BZ3777" s="397"/>
      <c r="CA3777" s="397"/>
      <c r="CE3777" s="550"/>
      <c r="CF3777" s="550"/>
      <c r="CG3777" s="550"/>
      <c r="CH3777" s="550"/>
      <c r="JD3777" s="243"/>
    </row>
    <row r="3778" spans="1:264" s="32" customFormat="1" x14ac:dyDescent="0.25">
      <c r="A3778" s="32">
        <v>170</v>
      </c>
      <c r="B3778" s="44" t="s">
        <v>3415</v>
      </c>
      <c r="C3778" s="32" t="s">
        <v>3409</v>
      </c>
      <c r="D3778" s="32" t="s">
        <v>3410</v>
      </c>
      <c r="E3778" s="32">
        <v>2006</v>
      </c>
      <c r="F3778" s="32">
        <v>2002</v>
      </c>
      <c r="G3778" s="32" t="s">
        <v>302</v>
      </c>
      <c r="H3778" s="32" t="s">
        <v>3411</v>
      </c>
      <c r="I3778" s="32" t="s">
        <v>2892</v>
      </c>
      <c r="J3778" s="32">
        <f t="shared" si="498"/>
        <v>6.3666666666666663</v>
      </c>
      <c r="K3778" s="32">
        <f t="shared" si="499"/>
        <v>1.2166666666666668</v>
      </c>
      <c r="L3778" s="32">
        <v>50</v>
      </c>
      <c r="P3778" s="32">
        <v>950</v>
      </c>
      <c r="R3778" s="44" t="s">
        <v>1977</v>
      </c>
      <c r="S3778" s="44" t="s">
        <v>1847</v>
      </c>
      <c r="T3778" s="44"/>
      <c r="U3778" s="44" t="s">
        <v>1996</v>
      </c>
      <c r="V3778" s="44" t="s">
        <v>1382</v>
      </c>
      <c r="W3778" s="44" t="s">
        <v>1717</v>
      </c>
      <c r="X3778" s="44" t="s">
        <v>1382</v>
      </c>
      <c r="Y3778" s="44" t="s">
        <v>1382</v>
      </c>
      <c r="AA3778" s="323"/>
      <c r="AB3778" s="323"/>
      <c r="AD3778" s="32">
        <f t="shared" si="500"/>
        <v>6</v>
      </c>
      <c r="AE3778" s="32">
        <v>0.8</v>
      </c>
      <c r="AH3778" s="32" t="s">
        <v>3413</v>
      </c>
      <c r="AI3778" s="32" t="s">
        <v>1583</v>
      </c>
      <c r="AJ3778" s="32" t="s">
        <v>1645</v>
      </c>
      <c r="AK3778" s="32" t="s">
        <v>132</v>
      </c>
      <c r="AW3778" s="32" t="s">
        <v>160</v>
      </c>
      <c r="AX3778" s="32">
        <v>3</v>
      </c>
      <c r="AZ3778" s="32" t="s">
        <v>2955</v>
      </c>
      <c r="BK3778" s="32">
        <v>6300</v>
      </c>
      <c r="BL3778" s="32">
        <v>6400</v>
      </c>
      <c r="BO3778" s="32" t="s">
        <v>3416</v>
      </c>
      <c r="BP3778" s="397"/>
      <c r="BQ3778" s="397"/>
      <c r="BU3778" s="397"/>
      <c r="BV3778" s="397"/>
      <c r="BZ3778" s="397"/>
      <c r="CA3778" s="397"/>
      <c r="CE3778" s="550"/>
      <c r="CF3778" s="550"/>
      <c r="CG3778" s="550"/>
      <c r="CH3778" s="550"/>
      <c r="JD3778" s="243"/>
    </row>
    <row r="3779" spans="1:264" s="32" customFormat="1" x14ac:dyDescent="0.25">
      <c r="A3779" s="32">
        <v>170</v>
      </c>
      <c r="B3779" s="44" t="s">
        <v>3415</v>
      </c>
      <c r="C3779" s="32" t="s">
        <v>3409</v>
      </c>
      <c r="D3779" s="32" t="s">
        <v>3410</v>
      </c>
      <c r="E3779" s="32">
        <v>2006</v>
      </c>
      <c r="F3779" s="32">
        <v>2002</v>
      </c>
      <c r="G3779" s="32" t="s">
        <v>302</v>
      </c>
      <c r="H3779" s="32" t="s">
        <v>3411</v>
      </c>
      <c r="I3779" s="32" t="s">
        <v>2892</v>
      </c>
      <c r="J3779" s="32">
        <f t="shared" si="498"/>
        <v>6.3666666666666663</v>
      </c>
      <c r="K3779" s="32">
        <f t="shared" si="499"/>
        <v>1.2166666666666668</v>
      </c>
      <c r="L3779" s="32">
        <v>50</v>
      </c>
      <c r="P3779" s="32">
        <v>950</v>
      </c>
      <c r="R3779" s="44" t="s">
        <v>1977</v>
      </c>
      <c r="S3779" s="44" t="s">
        <v>1847</v>
      </c>
      <c r="T3779" s="44"/>
      <c r="U3779" s="44" t="s">
        <v>1996</v>
      </c>
      <c r="V3779" s="44" t="s">
        <v>1382</v>
      </c>
      <c r="W3779" s="44" t="s">
        <v>1717</v>
      </c>
      <c r="X3779" s="44" t="s">
        <v>1382</v>
      </c>
      <c r="Y3779" s="44" t="s">
        <v>1382</v>
      </c>
      <c r="AA3779" s="323"/>
      <c r="AB3779" s="323"/>
      <c r="AD3779" s="32">
        <f t="shared" si="500"/>
        <v>6</v>
      </c>
      <c r="AE3779" s="32">
        <v>0.8</v>
      </c>
      <c r="AH3779" s="32" t="s">
        <v>3413</v>
      </c>
      <c r="AI3779" s="32" t="s">
        <v>1583</v>
      </c>
      <c r="AJ3779" s="32" t="s">
        <v>1645</v>
      </c>
      <c r="AK3779" s="32" t="s">
        <v>132</v>
      </c>
      <c r="AW3779" s="32" t="s">
        <v>160</v>
      </c>
      <c r="AX3779" s="32">
        <v>3</v>
      </c>
      <c r="AZ3779" s="32" t="s">
        <v>2955</v>
      </c>
      <c r="BK3779" s="32">
        <v>6300</v>
      </c>
      <c r="BL3779" s="32">
        <v>6300</v>
      </c>
      <c r="BO3779" s="32" t="s">
        <v>3416</v>
      </c>
      <c r="BP3779" s="397"/>
      <c r="BQ3779" s="397"/>
      <c r="BU3779" s="397"/>
      <c r="BV3779" s="397"/>
      <c r="BZ3779" s="397"/>
      <c r="CA3779" s="397"/>
      <c r="CE3779" s="550"/>
      <c r="CF3779" s="550"/>
      <c r="CG3779" s="550"/>
      <c r="CH3779" s="550"/>
      <c r="JD3779" s="243"/>
    </row>
    <row r="3780" spans="1:264" s="32" customFormat="1" x14ac:dyDescent="0.25">
      <c r="A3780" s="32">
        <v>170</v>
      </c>
      <c r="B3780" s="44" t="s">
        <v>3415</v>
      </c>
      <c r="C3780" s="32" t="s">
        <v>3409</v>
      </c>
      <c r="D3780" s="32" t="s">
        <v>3410</v>
      </c>
      <c r="E3780" s="32">
        <v>2006</v>
      </c>
      <c r="F3780" s="32">
        <v>2002</v>
      </c>
      <c r="G3780" s="32" t="s">
        <v>302</v>
      </c>
      <c r="H3780" s="32" t="s">
        <v>3411</v>
      </c>
      <c r="I3780" s="32" t="s">
        <v>2892</v>
      </c>
      <c r="J3780" s="32">
        <f t="shared" si="498"/>
        <v>6.3666666666666663</v>
      </c>
      <c r="K3780" s="32">
        <f t="shared" si="499"/>
        <v>1.2166666666666668</v>
      </c>
      <c r="L3780" s="32">
        <v>50</v>
      </c>
      <c r="P3780" s="32">
        <v>950</v>
      </c>
      <c r="R3780" s="44" t="s">
        <v>1977</v>
      </c>
      <c r="S3780" s="44" t="s">
        <v>1847</v>
      </c>
      <c r="T3780" s="44"/>
      <c r="U3780" s="44" t="s">
        <v>1996</v>
      </c>
      <c r="V3780" s="44" t="s">
        <v>1382</v>
      </c>
      <c r="W3780" s="44" t="s">
        <v>1717</v>
      </c>
      <c r="X3780" s="44" t="s">
        <v>1382</v>
      </c>
      <c r="Y3780" s="44" t="s">
        <v>1382</v>
      </c>
      <c r="AA3780" s="323"/>
      <c r="AB3780" s="323"/>
      <c r="AD3780" s="32">
        <f t="shared" si="500"/>
        <v>6</v>
      </c>
      <c r="AE3780" s="32">
        <v>0.8</v>
      </c>
      <c r="AH3780" s="32" t="s">
        <v>3413</v>
      </c>
      <c r="AI3780" s="32" t="s">
        <v>1583</v>
      </c>
      <c r="AJ3780" s="32" t="s">
        <v>1645</v>
      </c>
      <c r="AK3780" s="32" t="s">
        <v>132</v>
      </c>
      <c r="AW3780" s="32" t="s">
        <v>160</v>
      </c>
      <c r="AX3780" s="32">
        <v>3</v>
      </c>
      <c r="AZ3780" s="32" t="s">
        <v>2955</v>
      </c>
      <c r="BK3780" s="32">
        <v>6500</v>
      </c>
      <c r="BL3780" s="32">
        <v>6200</v>
      </c>
      <c r="BO3780" s="32" t="s">
        <v>3416</v>
      </c>
      <c r="BP3780" s="397"/>
      <c r="BQ3780" s="397"/>
      <c r="BU3780" s="397"/>
      <c r="BV3780" s="397"/>
      <c r="BZ3780" s="397"/>
      <c r="CA3780" s="397"/>
      <c r="CE3780" s="550"/>
      <c r="CF3780" s="550"/>
      <c r="CG3780" s="550"/>
      <c r="CH3780" s="550"/>
      <c r="JD3780" s="243"/>
    </row>
    <row r="3781" spans="1:264" s="32" customFormat="1" x14ac:dyDescent="0.25">
      <c r="A3781" s="32">
        <v>170</v>
      </c>
      <c r="B3781" s="44" t="s">
        <v>3415</v>
      </c>
      <c r="C3781" s="32" t="s">
        <v>3409</v>
      </c>
      <c r="D3781" s="32" t="s">
        <v>3410</v>
      </c>
      <c r="E3781" s="32">
        <v>2006</v>
      </c>
      <c r="F3781" s="32">
        <v>2002</v>
      </c>
      <c r="G3781" s="32" t="s">
        <v>302</v>
      </c>
      <c r="H3781" s="32" t="s">
        <v>3411</v>
      </c>
      <c r="I3781" s="32" t="s">
        <v>2892</v>
      </c>
      <c r="J3781" s="32">
        <f t="shared" si="498"/>
        <v>6.3666666666666663</v>
      </c>
      <c r="K3781" s="32">
        <f t="shared" si="499"/>
        <v>1.2166666666666668</v>
      </c>
      <c r="L3781" s="32">
        <v>50</v>
      </c>
      <c r="P3781" s="32">
        <v>950</v>
      </c>
      <c r="R3781" s="44" t="s">
        <v>1977</v>
      </c>
      <c r="S3781" s="44" t="s">
        <v>1847</v>
      </c>
      <c r="T3781" s="44"/>
      <c r="U3781" s="44" t="s">
        <v>1996</v>
      </c>
      <c r="V3781" s="44" t="s">
        <v>1382</v>
      </c>
      <c r="W3781" s="44" t="s">
        <v>1717</v>
      </c>
      <c r="X3781" s="44" t="s">
        <v>1382</v>
      </c>
      <c r="Y3781" s="44" t="s">
        <v>1382</v>
      </c>
      <c r="AA3781" s="323"/>
      <c r="AB3781" s="323"/>
      <c r="AD3781" s="32">
        <f t="shared" si="500"/>
        <v>6</v>
      </c>
      <c r="AE3781" s="32">
        <v>0.8</v>
      </c>
      <c r="AH3781" s="32" t="s">
        <v>3413</v>
      </c>
      <c r="AI3781" s="32" t="s">
        <v>1583</v>
      </c>
      <c r="AJ3781" s="32" t="s">
        <v>1645</v>
      </c>
      <c r="AK3781" s="32" t="s">
        <v>132</v>
      </c>
      <c r="AW3781" s="32" t="s">
        <v>160</v>
      </c>
      <c r="AX3781" s="32">
        <v>3</v>
      </c>
      <c r="AZ3781" s="32" t="s">
        <v>2955</v>
      </c>
      <c r="BK3781" s="32">
        <v>6500</v>
      </c>
      <c r="BL3781" s="32">
        <v>6300</v>
      </c>
      <c r="BO3781" s="32" t="s">
        <v>3416</v>
      </c>
      <c r="BP3781" s="397"/>
      <c r="BQ3781" s="397"/>
      <c r="BU3781" s="397"/>
      <c r="BV3781" s="397"/>
      <c r="BZ3781" s="397"/>
      <c r="CA3781" s="397"/>
      <c r="CE3781" s="550"/>
      <c r="CF3781" s="550"/>
      <c r="CG3781" s="550"/>
      <c r="CH3781" s="550"/>
      <c r="JD3781" s="243"/>
    </row>
    <row r="3782" spans="1:264" s="32" customFormat="1" x14ac:dyDescent="0.25">
      <c r="A3782" s="32">
        <v>170</v>
      </c>
      <c r="B3782" s="44" t="s">
        <v>3415</v>
      </c>
      <c r="C3782" s="32" t="s">
        <v>3409</v>
      </c>
      <c r="D3782" s="32" t="s">
        <v>3410</v>
      </c>
      <c r="E3782" s="32">
        <v>2006</v>
      </c>
      <c r="F3782" s="32">
        <v>2003</v>
      </c>
      <c r="G3782" s="32" t="s">
        <v>302</v>
      </c>
      <c r="H3782" s="32" t="s">
        <v>3411</v>
      </c>
      <c r="I3782" s="32" t="s">
        <v>2892</v>
      </c>
      <c r="J3782" s="32">
        <f t="shared" si="498"/>
        <v>6.3666666666666663</v>
      </c>
      <c r="K3782" s="32">
        <f t="shared" si="499"/>
        <v>1.2166666666666668</v>
      </c>
      <c r="L3782" s="32">
        <v>50</v>
      </c>
      <c r="P3782" s="32">
        <v>950</v>
      </c>
      <c r="R3782" s="44" t="s">
        <v>1847</v>
      </c>
      <c r="S3782" s="44" t="s">
        <v>1847</v>
      </c>
      <c r="T3782" s="44"/>
      <c r="U3782" s="44" t="s">
        <v>1996</v>
      </c>
      <c r="V3782" s="44" t="s">
        <v>1382</v>
      </c>
      <c r="W3782" s="44" t="s">
        <v>1717</v>
      </c>
      <c r="X3782" s="44" t="s">
        <v>1382</v>
      </c>
      <c r="Y3782" s="44" t="s">
        <v>1382</v>
      </c>
      <c r="AA3782" s="323"/>
      <c r="AB3782" s="323"/>
      <c r="AD3782" s="32">
        <f t="shared" si="500"/>
        <v>6</v>
      </c>
      <c r="AE3782" s="32">
        <v>0.8</v>
      </c>
      <c r="AH3782" s="32" t="s">
        <v>3413</v>
      </c>
      <c r="AI3782" s="32" t="s">
        <v>1583</v>
      </c>
      <c r="AJ3782" s="32" t="s">
        <v>1645</v>
      </c>
      <c r="AK3782" s="32" t="s">
        <v>132</v>
      </c>
      <c r="AW3782" s="32" t="s">
        <v>160</v>
      </c>
      <c r="AX3782" s="32">
        <v>3</v>
      </c>
      <c r="AZ3782" s="32" t="s">
        <v>2955</v>
      </c>
      <c r="BK3782" s="32">
        <v>4500</v>
      </c>
      <c r="BL3782" s="32">
        <v>6600</v>
      </c>
      <c r="BO3782" s="32" t="s">
        <v>3417</v>
      </c>
      <c r="BP3782" s="397"/>
      <c r="BQ3782" s="397"/>
      <c r="BU3782" s="397"/>
      <c r="BV3782" s="397"/>
      <c r="BZ3782" s="397"/>
      <c r="CA3782" s="397"/>
      <c r="CE3782" s="550"/>
      <c r="CF3782" s="550"/>
      <c r="CG3782" s="550"/>
      <c r="CH3782" s="550"/>
      <c r="JD3782" s="243"/>
    </row>
    <row r="3783" spans="1:264" s="32" customFormat="1" x14ac:dyDescent="0.25">
      <c r="A3783" s="32">
        <v>170</v>
      </c>
      <c r="B3783" s="44" t="s">
        <v>3415</v>
      </c>
      <c r="C3783" s="32" t="s">
        <v>3409</v>
      </c>
      <c r="D3783" s="32" t="s">
        <v>3410</v>
      </c>
      <c r="E3783" s="32">
        <v>2006</v>
      </c>
      <c r="F3783" s="32">
        <v>2003</v>
      </c>
      <c r="G3783" s="32" t="s">
        <v>302</v>
      </c>
      <c r="H3783" s="32" t="s">
        <v>3411</v>
      </c>
      <c r="I3783" s="32" t="s">
        <v>2892</v>
      </c>
      <c r="J3783" s="32">
        <f t="shared" si="498"/>
        <v>6.3666666666666663</v>
      </c>
      <c r="K3783" s="32">
        <f t="shared" si="499"/>
        <v>1.2166666666666668</v>
      </c>
      <c r="L3783" s="32">
        <v>50</v>
      </c>
      <c r="P3783" s="32">
        <v>950</v>
      </c>
      <c r="R3783" s="44" t="s">
        <v>1847</v>
      </c>
      <c r="S3783" s="44" t="s">
        <v>1847</v>
      </c>
      <c r="T3783" s="44"/>
      <c r="U3783" s="44" t="s">
        <v>1996</v>
      </c>
      <c r="V3783" s="44" t="s">
        <v>1382</v>
      </c>
      <c r="W3783" s="44" t="s">
        <v>1717</v>
      </c>
      <c r="X3783" s="44" t="s">
        <v>1382</v>
      </c>
      <c r="Y3783" s="44" t="s">
        <v>1382</v>
      </c>
      <c r="AA3783" s="323"/>
      <c r="AB3783" s="323"/>
      <c r="AD3783" s="32">
        <f t="shared" si="500"/>
        <v>6</v>
      </c>
      <c r="AE3783" s="32">
        <v>0.8</v>
      </c>
      <c r="AH3783" s="32" t="s">
        <v>3413</v>
      </c>
      <c r="AI3783" s="32" t="s">
        <v>1583</v>
      </c>
      <c r="AJ3783" s="32" t="s">
        <v>1645</v>
      </c>
      <c r="AK3783" s="32" t="s">
        <v>132</v>
      </c>
      <c r="AW3783" s="32" t="s">
        <v>160</v>
      </c>
      <c r="AX3783" s="32">
        <v>3</v>
      </c>
      <c r="AZ3783" s="32" t="s">
        <v>2955</v>
      </c>
      <c r="BK3783" s="32">
        <v>5700</v>
      </c>
      <c r="BL3783" s="32">
        <v>6700</v>
      </c>
      <c r="BO3783" s="32" t="s">
        <v>3417</v>
      </c>
      <c r="BP3783" s="397"/>
      <c r="BQ3783" s="397"/>
      <c r="BU3783" s="397"/>
      <c r="BV3783" s="397"/>
      <c r="BZ3783" s="397"/>
      <c r="CA3783" s="397"/>
      <c r="CE3783" s="550"/>
      <c r="CF3783" s="550"/>
      <c r="CG3783" s="550"/>
      <c r="CH3783" s="550"/>
      <c r="JD3783" s="243"/>
    </row>
    <row r="3784" spans="1:264" s="32" customFormat="1" x14ac:dyDescent="0.25">
      <c r="A3784" s="32">
        <v>170</v>
      </c>
      <c r="B3784" s="44" t="s">
        <v>3415</v>
      </c>
      <c r="C3784" s="32" t="s">
        <v>3409</v>
      </c>
      <c r="D3784" s="32" t="s">
        <v>3410</v>
      </c>
      <c r="E3784" s="32">
        <v>2006</v>
      </c>
      <c r="F3784" s="32">
        <v>2003</v>
      </c>
      <c r="G3784" s="32" t="s">
        <v>302</v>
      </c>
      <c r="H3784" s="32" t="s">
        <v>3411</v>
      </c>
      <c r="I3784" s="32" t="s">
        <v>2892</v>
      </c>
      <c r="J3784" s="32">
        <f t="shared" si="498"/>
        <v>6.3666666666666663</v>
      </c>
      <c r="K3784" s="32">
        <f t="shared" si="499"/>
        <v>1.2166666666666668</v>
      </c>
      <c r="L3784" s="32">
        <v>50</v>
      </c>
      <c r="P3784" s="32">
        <v>950</v>
      </c>
      <c r="R3784" s="44" t="s">
        <v>1847</v>
      </c>
      <c r="S3784" s="44" t="s">
        <v>1847</v>
      </c>
      <c r="T3784" s="44"/>
      <c r="U3784" s="44" t="s">
        <v>1996</v>
      </c>
      <c r="V3784" s="44" t="s">
        <v>1382</v>
      </c>
      <c r="W3784" s="44" t="s">
        <v>1717</v>
      </c>
      <c r="X3784" s="44" t="s">
        <v>1382</v>
      </c>
      <c r="Y3784" s="44" t="s">
        <v>1382</v>
      </c>
      <c r="AA3784" s="323"/>
      <c r="AB3784" s="323"/>
      <c r="AD3784" s="32">
        <f t="shared" si="500"/>
        <v>6</v>
      </c>
      <c r="AE3784" s="32">
        <v>0.8</v>
      </c>
      <c r="AH3784" s="32" t="s">
        <v>3413</v>
      </c>
      <c r="AI3784" s="32" t="s">
        <v>1583</v>
      </c>
      <c r="AJ3784" s="32" t="s">
        <v>1645</v>
      </c>
      <c r="AK3784" s="32" t="s">
        <v>132</v>
      </c>
      <c r="AW3784" s="32" t="s">
        <v>160</v>
      </c>
      <c r="AX3784" s="32">
        <v>3</v>
      </c>
      <c r="AZ3784" s="32" t="s">
        <v>2955</v>
      </c>
      <c r="BK3784" s="32">
        <v>5600</v>
      </c>
      <c r="BL3784" s="32">
        <v>6600</v>
      </c>
      <c r="BO3784" s="32" t="s">
        <v>3417</v>
      </c>
      <c r="BP3784" s="397"/>
      <c r="BQ3784" s="397"/>
      <c r="BU3784" s="397"/>
      <c r="BV3784" s="397"/>
      <c r="BZ3784" s="397"/>
      <c r="CA3784" s="397"/>
      <c r="CE3784" s="550"/>
      <c r="CF3784" s="550"/>
      <c r="CG3784" s="550"/>
      <c r="CH3784" s="550"/>
      <c r="JD3784" s="243"/>
    </row>
    <row r="3785" spans="1:264" s="32" customFormat="1" x14ac:dyDescent="0.25">
      <c r="A3785" s="32">
        <v>170</v>
      </c>
      <c r="B3785" s="44" t="s">
        <v>3415</v>
      </c>
      <c r="C3785" s="32" t="s">
        <v>3409</v>
      </c>
      <c r="D3785" s="32" t="s">
        <v>3410</v>
      </c>
      <c r="E3785" s="32">
        <v>2006</v>
      </c>
      <c r="F3785" s="32">
        <v>2003</v>
      </c>
      <c r="G3785" s="32" t="s">
        <v>302</v>
      </c>
      <c r="H3785" s="32" t="s">
        <v>3411</v>
      </c>
      <c r="I3785" s="32" t="s">
        <v>2892</v>
      </c>
      <c r="J3785" s="32">
        <f t="shared" si="498"/>
        <v>6.3666666666666663</v>
      </c>
      <c r="K3785" s="32">
        <f t="shared" si="499"/>
        <v>1.2166666666666668</v>
      </c>
      <c r="L3785" s="32">
        <v>50</v>
      </c>
      <c r="P3785" s="32">
        <v>950</v>
      </c>
      <c r="R3785" s="44" t="s">
        <v>1847</v>
      </c>
      <c r="S3785" s="44" t="s">
        <v>1847</v>
      </c>
      <c r="T3785" s="44"/>
      <c r="U3785" s="44" t="s">
        <v>1996</v>
      </c>
      <c r="V3785" s="44" t="s">
        <v>1382</v>
      </c>
      <c r="W3785" s="44" t="s">
        <v>1717</v>
      </c>
      <c r="X3785" s="44" t="s">
        <v>1382</v>
      </c>
      <c r="Y3785" s="44" t="s">
        <v>1382</v>
      </c>
      <c r="AA3785" s="323"/>
      <c r="AB3785" s="323"/>
      <c r="AD3785" s="32">
        <f t="shared" si="500"/>
        <v>6</v>
      </c>
      <c r="AE3785" s="32">
        <v>0.8</v>
      </c>
      <c r="AH3785" s="32" t="s">
        <v>3413</v>
      </c>
      <c r="AI3785" s="32" t="s">
        <v>1583</v>
      </c>
      <c r="AJ3785" s="32" t="s">
        <v>1645</v>
      </c>
      <c r="AK3785" s="32" t="s">
        <v>132</v>
      </c>
      <c r="AW3785" s="32" t="s">
        <v>160</v>
      </c>
      <c r="AX3785" s="32">
        <v>3</v>
      </c>
      <c r="AZ3785" s="32" t="s">
        <v>2955</v>
      </c>
      <c r="BK3785" s="32">
        <v>5900</v>
      </c>
      <c r="BL3785" s="32">
        <v>6700</v>
      </c>
      <c r="BO3785" s="32" t="s">
        <v>3417</v>
      </c>
      <c r="BP3785" s="397"/>
      <c r="BQ3785" s="397"/>
      <c r="BU3785" s="397"/>
      <c r="BV3785" s="397"/>
      <c r="BZ3785" s="397"/>
      <c r="CA3785" s="397"/>
      <c r="CE3785" s="550"/>
      <c r="CF3785" s="550"/>
      <c r="CG3785" s="550"/>
      <c r="CH3785" s="550"/>
      <c r="JD3785" s="243"/>
    </row>
    <row r="3786" spans="1:264" s="32" customFormat="1" x14ac:dyDescent="0.25">
      <c r="A3786" s="32">
        <v>170</v>
      </c>
      <c r="B3786" s="44" t="s">
        <v>3415</v>
      </c>
      <c r="C3786" s="32" t="s">
        <v>3409</v>
      </c>
      <c r="D3786" s="32" t="s">
        <v>3410</v>
      </c>
      <c r="E3786" s="32">
        <v>2006</v>
      </c>
      <c r="F3786" s="32">
        <v>2003</v>
      </c>
      <c r="G3786" s="32" t="s">
        <v>302</v>
      </c>
      <c r="H3786" s="32" t="s">
        <v>3411</v>
      </c>
      <c r="I3786" s="32" t="s">
        <v>2892</v>
      </c>
      <c r="J3786" s="32">
        <f t="shared" si="498"/>
        <v>6.3666666666666663</v>
      </c>
      <c r="K3786" s="32">
        <f t="shared" si="499"/>
        <v>1.2166666666666668</v>
      </c>
      <c r="L3786" s="32">
        <v>50</v>
      </c>
      <c r="P3786" s="32">
        <v>950</v>
      </c>
      <c r="R3786" s="44" t="s">
        <v>1847</v>
      </c>
      <c r="S3786" s="44" t="s">
        <v>1847</v>
      </c>
      <c r="T3786" s="44"/>
      <c r="U3786" s="44" t="s">
        <v>1996</v>
      </c>
      <c r="V3786" s="44" t="s">
        <v>1382</v>
      </c>
      <c r="W3786" s="44" t="s">
        <v>1717</v>
      </c>
      <c r="X3786" s="44" t="s">
        <v>1382</v>
      </c>
      <c r="Y3786" s="44" t="s">
        <v>1382</v>
      </c>
      <c r="AA3786" s="323"/>
      <c r="AB3786" s="323"/>
      <c r="AD3786" s="32">
        <f t="shared" si="500"/>
        <v>6</v>
      </c>
      <c r="AE3786" s="32">
        <v>0.8</v>
      </c>
      <c r="AH3786" s="32" t="s">
        <v>3413</v>
      </c>
      <c r="AI3786" s="32" t="s">
        <v>1583</v>
      </c>
      <c r="AJ3786" s="32" t="s">
        <v>1645</v>
      </c>
      <c r="AK3786" s="32" t="s">
        <v>132</v>
      </c>
      <c r="AW3786" s="32" t="s">
        <v>160</v>
      </c>
      <c r="AX3786" s="32">
        <v>3</v>
      </c>
      <c r="AZ3786" s="32" t="s">
        <v>2955</v>
      </c>
      <c r="BK3786" s="32">
        <v>5400</v>
      </c>
      <c r="BL3786" s="32">
        <v>6600</v>
      </c>
      <c r="BO3786" s="32" t="s">
        <v>3417</v>
      </c>
      <c r="BP3786" s="397"/>
      <c r="BQ3786" s="397"/>
      <c r="BU3786" s="397"/>
      <c r="BV3786" s="397"/>
      <c r="BZ3786" s="397"/>
      <c r="CA3786" s="397"/>
      <c r="CE3786" s="550"/>
      <c r="CF3786" s="550"/>
      <c r="CG3786" s="550"/>
      <c r="CH3786" s="550"/>
      <c r="JD3786" s="243"/>
    </row>
    <row r="3787" spans="1:264" s="126" customFormat="1" x14ac:dyDescent="0.25">
      <c r="A3787" s="126">
        <v>171</v>
      </c>
      <c r="B3787" s="478" t="s">
        <v>3414</v>
      </c>
      <c r="C3787" s="126" t="s">
        <v>3418</v>
      </c>
      <c r="D3787" s="126" t="s">
        <v>3358</v>
      </c>
      <c r="E3787" s="126">
        <v>2000</v>
      </c>
      <c r="F3787" s="126">
        <v>1995</v>
      </c>
      <c r="G3787" s="126" t="s">
        <v>2933</v>
      </c>
      <c r="H3787" s="126" t="s">
        <v>3419</v>
      </c>
      <c r="I3787" s="126" t="s">
        <v>2823</v>
      </c>
      <c r="J3787" s="126">
        <f t="shared" ref="J3787:J3809" si="501">7+35/60</f>
        <v>7.583333333333333</v>
      </c>
      <c r="K3787" s="126">
        <f t="shared" ref="K3787:K3809" si="502">3+52/60</f>
        <v>3.8666666666666667</v>
      </c>
      <c r="L3787" s="126">
        <v>200</v>
      </c>
      <c r="N3787" s="126">
        <v>26.2</v>
      </c>
      <c r="P3787" s="126">
        <v>1300</v>
      </c>
      <c r="R3787" s="478" t="s">
        <v>1847</v>
      </c>
      <c r="S3787" s="478" t="s">
        <v>1728</v>
      </c>
      <c r="T3787" s="478"/>
      <c r="U3787" s="478" t="s">
        <v>1999</v>
      </c>
      <c r="V3787" s="478" t="s">
        <v>1379</v>
      </c>
      <c r="W3787" s="478" t="s">
        <v>1715</v>
      </c>
      <c r="X3787" s="478" t="s">
        <v>1379</v>
      </c>
      <c r="Y3787" s="478" t="s">
        <v>1379</v>
      </c>
      <c r="AA3787" s="479">
        <v>83.3</v>
      </c>
      <c r="AB3787" s="479">
        <v>11.2</v>
      </c>
      <c r="AC3787" s="126" t="s">
        <v>175</v>
      </c>
      <c r="AD3787" s="126">
        <v>6</v>
      </c>
      <c r="AE3787" s="126">
        <v>0.84</v>
      </c>
      <c r="AH3787" s="126" t="s">
        <v>3422</v>
      </c>
      <c r="AI3787" s="126" t="s">
        <v>577</v>
      </c>
      <c r="AJ3787" s="126" t="s">
        <v>1645</v>
      </c>
      <c r="AK3787" s="126" t="s">
        <v>132</v>
      </c>
      <c r="AW3787" s="126" t="s">
        <v>160</v>
      </c>
      <c r="AX3787" s="126">
        <v>3</v>
      </c>
      <c r="AZ3787" s="126" t="s">
        <v>2955</v>
      </c>
      <c r="BC3787" s="126">
        <f>430/27.4</f>
        <v>15.693430656934307</v>
      </c>
      <c r="BE3787" s="126" t="s">
        <v>3420</v>
      </c>
      <c r="BF3787" s="126">
        <v>2380</v>
      </c>
      <c r="BG3787" s="126">
        <v>3700</v>
      </c>
      <c r="BK3787" s="126">
        <v>1050</v>
      </c>
      <c r="BL3787" s="126">
        <v>1380</v>
      </c>
      <c r="BP3787" s="481"/>
      <c r="BQ3787" s="481"/>
      <c r="BU3787" s="481"/>
      <c r="BV3787" s="481"/>
      <c r="BZ3787" s="481"/>
      <c r="CA3787" s="481"/>
      <c r="CE3787" s="605"/>
      <c r="CF3787" s="605"/>
      <c r="CG3787" s="605"/>
      <c r="CH3787" s="605"/>
      <c r="JD3787" s="480"/>
    </row>
    <row r="3788" spans="1:264" s="126" customFormat="1" x14ac:dyDescent="0.25">
      <c r="A3788" s="126">
        <v>171</v>
      </c>
      <c r="B3788" s="478" t="s">
        <v>3414</v>
      </c>
      <c r="C3788" s="126" t="s">
        <v>3418</v>
      </c>
      <c r="D3788" s="126" t="s">
        <v>3358</v>
      </c>
      <c r="E3788" s="126">
        <v>2000</v>
      </c>
      <c r="F3788" s="126">
        <v>1995</v>
      </c>
      <c r="G3788" s="126" t="s">
        <v>2933</v>
      </c>
      <c r="H3788" s="126" t="s">
        <v>3419</v>
      </c>
      <c r="I3788" s="126" t="s">
        <v>2823</v>
      </c>
      <c r="J3788" s="126">
        <f t="shared" si="501"/>
        <v>7.583333333333333</v>
      </c>
      <c r="K3788" s="126">
        <f t="shared" si="502"/>
        <v>3.8666666666666667</v>
      </c>
      <c r="L3788" s="126">
        <v>200</v>
      </c>
      <c r="N3788" s="126">
        <v>26.2</v>
      </c>
      <c r="P3788" s="126">
        <v>1300</v>
      </c>
      <c r="R3788" s="478" t="s">
        <v>1847</v>
      </c>
      <c r="S3788" s="478" t="s">
        <v>1728</v>
      </c>
      <c r="T3788" s="478"/>
      <c r="U3788" s="478" t="s">
        <v>1999</v>
      </c>
      <c r="V3788" s="478" t="s">
        <v>1379</v>
      </c>
      <c r="W3788" s="478" t="s">
        <v>1715</v>
      </c>
      <c r="X3788" s="478" t="s">
        <v>1379</v>
      </c>
      <c r="Y3788" s="478" t="s">
        <v>1379</v>
      </c>
      <c r="AA3788" s="479">
        <v>83.3</v>
      </c>
      <c r="AB3788" s="479">
        <v>11.2</v>
      </c>
      <c r="AC3788" s="126" t="s">
        <v>175</v>
      </c>
      <c r="AD3788" s="126">
        <v>6</v>
      </c>
      <c r="AE3788" s="126">
        <v>0.84</v>
      </c>
      <c r="AH3788" s="126" t="s">
        <v>3423</v>
      </c>
      <c r="AI3788" s="126" t="s">
        <v>577</v>
      </c>
      <c r="AJ3788" s="126" t="s">
        <v>1645</v>
      </c>
      <c r="AK3788" s="126" t="s">
        <v>132</v>
      </c>
      <c r="AW3788" s="126" t="s">
        <v>160</v>
      </c>
      <c r="AX3788" s="126">
        <v>3</v>
      </c>
      <c r="AZ3788" s="126" t="s">
        <v>2955</v>
      </c>
      <c r="BC3788" s="126">
        <f>425/34.6</f>
        <v>12.283236994219653</v>
      </c>
      <c r="BE3788" s="126" t="s">
        <v>3420</v>
      </c>
      <c r="BF3788" s="126">
        <v>2380</v>
      </c>
      <c r="BG3788" s="126">
        <v>3180</v>
      </c>
      <c r="BK3788" s="126">
        <v>1050</v>
      </c>
      <c r="BL3788" s="126">
        <v>1460</v>
      </c>
      <c r="BP3788" s="481"/>
      <c r="BQ3788" s="481"/>
      <c r="BU3788" s="481"/>
      <c r="BV3788" s="481"/>
      <c r="BZ3788" s="481"/>
      <c r="CA3788" s="481"/>
      <c r="CE3788" s="605"/>
      <c r="CF3788" s="605"/>
      <c r="CG3788" s="605"/>
      <c r="CH3788" s="605"/>
      <c r="JD3788" s="480"/>
    </row>
    <row r="3789" spans="1:264" s="126" customFormat="1" x14ac:dyDescent="0.25">
      <c r="A3789" s="126">
        <v>171</v>
      </c>
      <c r="B3789" s="478" t="s">
        <v>3414</v>
      </c>
      <c r="C3789" s="126" t="s">
        <v>3418</v>
      </c>
      <c r="D3789" s="126" t="s">
        <v>3358</v>
      </c>
      <c r="E3789" s="126">
        <v>2000</v>
      </c>
      <c r="F3789" s="126">
        <v>1995</v>
      </c>
      <c r="G3789" s="126" t="s">
        <v>2933</v>
      </c>
      <c r="H3789" s="126" t="s">
        <v>3419</v>
      </c>
      <c r="I3789" s="126" t="s">
        <v>2823</v>
      </c>
      <c r="J3789" s="126">
        <f t="shared" si="501"/>
        <v>7.583333333333333</v>
      </c>
      <c r="K3789" s="126">
        <f t="shared" si="502"/>
        <v>3.8666666666666667</v>
      </c>
      <c r="L3789" s="126">
        <v>200</v>
      </c>
      <c r="N3789" s="126">
        <v>26.2</v>
      </c>
      <c r="P3789" s="126">
        <v>1300</v>
      </c>
      <c r="R3789" s="478" t="s">
        <v>1847</v>
      </c>
      <c r="S3789" s="478" t="s">
        <v>1728</v>
      </c>
      <c r="T3789" s="478"/>
      <c r="U3789" s="478" t="s">
        <v>1999</v>
      </c>
      <c r="V3789" s="478" t="s">
        <v>1379</v>
      </c>
      <c r="W3789" s="478" t="s">
        <v>1715</v>
      </c>
      <c r="X3789" s="478" t="s">
        <v>1379</v>
      </c>
      <c r="Y3789" s="478" t="s">
        <v>1379</v>
      </c>
      <c r="AA3789" s="479">
        <v>83.3</v>
      </c>
      <c r="AB3789" s="479">
        <v>11.2</v>
      </c>
      <c r="AC3789" s="126" t="s">
        <v>175</v>
      </c>
      <c r="AD3789" s="126">
        <v>6</v>
      </c>
      <c r="AE3789" s="126">
        <v>0.84</v>
      </c>
      <c r="AH3789" s="126" t="s">
        <v>3424</v>
      </c>
      <c r="AI3789" s="126" t="s">
        <v>577</v>
      </c>
      <c r="AJ3789" s="126" t="s">
        <v>1645</v>
      </c>
      <c r="AK3789" s="126" t="s">
        <v>132</v>
      </c>
      <c r="AW3789" s="126" t="s">
        <v>160</v>
      </c>
      <c r="AX3789" s="126">
        <v>3</v>
      </c>
      <c r="AZ3789" s="126" t="s">
        <v>2955</v>
      </c>
      <c r="BC3789" s="126">
        <f>380/32.1</f>
        <v>11.838006230529594</v>
      </c>
      <c r="BE3789" s="126" t="s">
        <v>3420</v>
      </c>
      <c r="BF3789" s="126">
        <v>2380</v>
      </c>
      <c r="BG3789" s="126">
        <v>3230</v>
      </c>
      <c r="BK3789" s="126">
        <v>1050</v>
      </c>
      <c r="BL3789" s="126">
        <v>1480</v>
      </c>
      <c r="BP3789" s="481"/>
      <c r="BQ3789" s="481"/>
      <c r="BU3789" s="481"/>
      <c r="BV3789" s="481"/>
      <c r="BZ3789" s="481"/>
      <c r="CA3789" s="481"/>
      <c r="CE3789" s="605"/>
      <c r="CF3789" s="605"/>
      <c r="CG3789" s="605"/>
      <c r="CH3789" s="605"/>
      <c r="JD3789" s="480"/>
    </row>
    <row r="3790" spans="1:264" s="126" customFormat="1" x14ac:dyDescent="0.25">
      <c r="A3790" s="126">
        <v>171</v>
      </c>
      <c r="B3790" s="478" t="s">
        <v>3414</v>
      </c>
      <c r="C3790" s="126" t="s">
        <v>3418</v>
      </c>
      <c r="D3790" s="126" t="s">
        <v>3358</v>
      </c>
      <c r="E3790" s="126">
        <v>2000</v>
      </c>
      <c r="F3790" s="126">
        <v>1995</v>
      </c>
      <c r="G3790" s="126" t="s">
        <v>2933</v>
      </c>
      <c r="H3790" s="126" t="s">
        <v>3419</v>
      </c>
      <c r="I3790" s="126" t="s">
        <v>2823</v>
      </c>
      <c r="J3790" s="126">
        <f t="shared" si="501"/>
        <v>7.583333333333333</v>
      </c>
      <c r="K3790" s="126">
        <f t="shared" si="502"/>
        <v>3.8666666666666667</v>
      </c>
      <c r="L3790" s="126">
        <v>200</v>
      </c>
      <c r="N3790" s="126">
        <v>26.2</v>
      </c>
      <c r="P3790" s="126">
        <v>1300</v>
      </c>
      <c r="R3790" s="478" t="s">
        <v>1847</v>
      </c>
      <c r="S3790" s="478" t="s">
        <v>1728</v>
      </c>
      <c r="T3790" s="478"/>
      <c r="U3790" s="478" t="s">
        <v>1999</v>
      </c>
      <c r="V3790" s="478" t="s">
        <v>1379</v>
      </c>
      <c r="W3790" s="478" t="s">
        <v>1715</v>
      </c>
      <c r="X3790" s="478" t="s">
        <v>1379</v>
      </c>
      <c r="Y3790" s="478" t="s">
        <v>1379</v>
      </c>
      <c r="AA3790" s="479">
        <v>83.3</v>
      </c>
      <c r="AB3790" s="479">
        <v>11.2</v>
      </c>
      <c r="AC3790" s="126" t="s">
        <v>175</v>
      </c>
      <c r="AD3790" s="126">
        <v>6</v>
      </c>
      <c r="AE3790" s="126">
        <v>0.84</v>
      </c>
      <c r="AH3790" s="126" t="s">
        <v>3425</v>
      </c>
      <c r="AI3790" s="126" t="s">
        <v>577</v>
      </c>
      <c r="AJ3790" s="126" t="s">
        <v>1645</v>
      </c>
      <c r="AK3790" s="126" t="s">
        <v>132</v>
      </c>
      <c r="AW3790" s="126" t="s">
        <v>160</v>
      </c>
      <c r="AX3790" s="126">
        <v>3</v>
      </c>
      <c r="AZ3790" s="126" t="s">
        <v>2955</v>
      </c>
      <c r="BC3790" s="126">
        <f>434/33.7</f>
        <v>12.87833827893175</v>
      </c>
      <c r="BE3790" s="126" t="s">
        <v>3420</v>
      </c>
      <c r="BF3790" s="126">
        <v>2380</v>
      </c>
      <c r="BG3790" s="126">
        <v>4200</v>
      </c>
      <c r="BK3790" s="126">
        <v>1050</v>
      </c>
      <c r="BL3790" s="126">
        <v>1890</v>
      </c>
      <c r="BP3790" s="481"/>
      <c r="BQ3790" s="481"/>
      <c r="BU3790" s="481"/>
      <c r="BV3790" s="481"/>
      <c r="BZ3790" s="481"/>
      <c r="CA3790" s="481"/>
      <c r="CE3790" s="605"/>
      <c r="CF3790" s="605"/>
      <c r="CG3790" s="605"/>
      <c r="CH3790" s="605"/>
      <c r="JD3790" s="480"/>
    </row>
    <row r="3791" spans="1:264" s="126" customFormat="1" x14ac:dyDescent="0.25">
      <c r="A3791" s="126">
        <v>171</v>
      </c>
      <c r="B3791" s="478" t="s">
        <v>3414</v>
      </c>
      <c r="C3791" s="126" t="s">
        <v>3418</v>
      </c>
      <c r="D3791" s="126" t="s">
        <v>3358</v>
      </c>
      <c r="E3791" s="126">
        <v>2000</v>
      </c>
      <c r="F3791" s="126">
        <v>1995</v>
      </c>
      <c r="G3791" s="126" t="s">
        <v>2933</v>
      </c>
      <c r="H3791" s="126" t="s">
        <v>3419</v>
      </c>
      <c r="I3791" s="126" t="s">
        <v>2823</v>
      </c>
      <c r="J3791" s="126">
        <f t="shared" si="501"/>
        <v>7.583333333333333</v>
      </c>
      <c r="K3791" s="126">
        <f t="shared" si="502"/>
        <v>3.8666666666666667</v>
      </c>
      <c r="L3791" s="126">
        <v>200</v>
      </c>
      <c r="N3791" s="126">
        <v>26.2</v>
      </c>
      <c r="P3791" s="126">
        <v>1300</v>
      </c>
      <c r="R3791" s="478" t="s">
        <v>1847</v>
      </c>
      <c r="S3791" s="478" t="s">
        <v>1728</v>
      </c>
      <c r="T3791" s="478"/>
      <c r="U3791" s="478" t="s">
        <v>1999</v>
      </c>
      <c r="V3791" s="478" t="s">
        <v>1379</v>
      </c>
      <c r="W3791" s="478" t="s">
        <v>1715</v>
      </c>
      <c r="X3791" s="478" t="s">
        <v>1379</v>
      </c>
      <c r="Y3791" s="478" t="s">
        <v>1379</v>
      </c>
      <c r="AA3791" s="479">
        <v>83.3</v>
      </c>
      <c r="AB3791" s="479">
        <v>11.2</v>
      </c>
      <c r="AC3791" s="126" t="s">
        <v>175</v>
      </c>
      <c r="AD3791" s="126">
        <v>6</v>
      </c>
      <c r="AE3791" s="126">
        <v>0.84</v>
      </c>
      <c r="AH3791" s="126" t="s">
        <v>3426</v>
      </c>
      <c r="AI3791" s="126" t="s">
        <v>577</v>
      </c>
      <c r="AJ3791" s="126" t="s">
        <v>1645</v>
      </c>
      <c r="AK3791" s="126" t="s">
        <v>132</v>
      </c>
      <c r="AW3791" s="126" t="s">
        <v>160</v>
      </c>
      <c r="AX3791" s="126">
        <v>3</v>
      </c>
      <c r="AZ3791" s="126" t="s">
        <v>2955</v>
      </c>
      <c r="BC3791" s="126">
        <f>414/27.2</f>
        <v>15.220588235294118</v>
      </c>
      <c r="BE3791" s="126" t="s">
        <v>3420</v>
      </c>
      <c r="BF3791" s="126">
        <v>2380</v>
      </c>
      <c r="BG3791" s="126">
        <v>4150</v>
      </c>
      <c r="BK3791" s="126">
        <v>1050</v>
      </c>
      <c r="BL3791" s="126">
        <v>1630</v>
      </c>
      <c r="BP3791" s="481"/>
      <c r="BQ3791" s="481"/>
      <c r="BU3791" s="481"/>
      <c r="BV3791" s="481"/>
      <c r="BZ3791" s="481"/>
      <c r="CA3791" s="481"/>
      <c r="CE3791" s="605"/>
      <c r="CF3791" s="605"/>
      <c r="CG3791" s="605"/>
      <c r="CH3791" s="605"/>
      <c r="JD3791" s="480"/>
    </row>
    <row r="3792" spans="1:264" s="126" customFormat="1" x14ac:dyDescent="0.25">
      <c r="A3792" s="126">
        <v>171</v>
      </c>
      <c r="B3792" s="478" t="s">
        <v>3414</v>
      </c>
      <c r="C3792" s="126" t="s">
        <v>3418</v>
      </c>
      <c r="D3792" s="126" t="s">
        <v>3358</v>
      </c>
      <c r="E3792" s="126">
        <v>2000</v>
      </c>
      <c r="F3792" s="126">
        <v>1995</v>
      </c>
      <c r="G3792" s="126" t="s">
        <v>2933</v>
      </c>
      <c r="H3792" s="126" t="s">
        <v>3419</v>
      </c>
      <c r="I3792" s="126" t="s">
        <v>2823</v>
      </c>
      <c r="J3792" s="126">
        <f t="shared" si="501"/>
        <v>7.583333333333333</v>
      </c>
      <c r="K3792" s="126">
        <f t="shared" si="502"/>
        <v>3.8666666666666667</v>
      </c>
      <c r="L3792" s="126">
        <v>200</v>
      </c>
      <c r="N3792" s="126">
        <v>26.2</v>
      </c>
      <c r="P3792" s="126">
        <v>1300</v>
      </c>
      <c r="R3792" s="478" t="s">
        <v>1847</v>
      </c>
      <c r="S3792" s="478" t="s">
        <v>1728</v>
      </c>
      <c r="T3792" s="478"/>
      <c r="U3792" s="478" t="s">
        <v>1999</v>
      </c>
      <c r="V3792" s="478" t="s">
        <v>1379</v>
      </c>
      <c r="W3792" s="478" t="s">
        <v>1715</v>
      </c>
      <c r="X3792" s="478" t="s">
        <v>1379</v>
      </c>
      <c r="Y3792" s="478" t="s">
        <v>1379</v>
      </c>
      <c r="AA3792" s="479">
        <v>83.3</v>
      </c>
      <c r="AB3792" s="479">
        <v>11.2</v>
      </c>
      <c r="AC3792" s="126" t="s">
        <v>175</v>
      </c>
      <c r="AD3792" s="126">
        <v>6</v>
      </c>
      <c r="AE3792" s="126">
        <v>0.84</v>
      </c>
      <c r="AH3792" s="126" t="s">
        <v>3427</v>
      </c>
      <c r="AI3792" s="126" t="s">
        <v>577</v>
      </c>
      <c r="AJ3792" s="126" t="s">
        <v>1645</v>
      </c>
      <c r="AK3792" s="126" t="s">
        <v>132</v>
      </c>
      <c r="AW3792" s="126" t="s">
        <v>160</v>
      </c>
      <c r="AX3792" s="126">
        <v>3</v>
      </c>
      <c r="AZ3792" s="126" t="s">
        <v>2955</v>
      </c>
      <c r="BC3792" s="126">
        <f>420/33.8</f>
        <v>12.42603550295858</v>
      </c>
      <c r="BE3792" s="126" t="s">
        <v>3420</v>
      </c>
      <c r="BF3792" s="126">
        <v>2380</v>
      </c>
      <c r="BG3792" s="126">
        <v>3400</v>
      </c>
      <c r="BK3792" s="126">
        <v>1050</v>
      </c>
      <c r="BL3792" s="126">
        <v>1450</v>
      </c>
      <c r="BP3792" s="481"/>
      <c r="BQ3792" s="481"/>
      <c r="BU3792" s="481"/>
      <c r="BV3792" s="481"/>
      <c r="BZ3792" s="481"/>
      <c r="CA3792" s="481"/>
      <c r="CE3792" s="605"/>
      <c r="CF3792" s="605"/>
      <c r="CG3792" s="605"/>
      <c r="CH3792" s="605"/>
      <c r="JD3792" s="480"/>
    </row>
    <row r="3793" spans="1:264" s="126" customFormat="1" x14ac:dyDescent="0.25">
      <c r="A3793" s="126">
        <v>171</v>
      </c>
      <c r="B3793" s="478" t="s">
        <v>3414</v>
      </c>
      <c r="C3793" s="126" t="s">
        <v>3418</v>
      </c>
      <c r="D3793" s="126" t="s">
        <v>3358</v>
      </c>
      <c r="E3793" s="126">
        <v>2000</v>
      </c>
      <c r="F3793" s="126">
        <v>1995</v>
      </c>
      <c r="G3793" s="126" t="s">
        <v>2933</v>
      </c>
      <c r="H3793" s="126" t="s">
        <v>3419</v>
      </c>
      <c r="I3793" s="126" t="s">
        <v>2823</v>
      </c>
      <c r="J3793" s="126">
        <f t="shared" si="501"/>
        <v>7.583333333333333</v>
      </c>
      <c r="K3793" s="126">
        <f t="shared" si="502"/>
        <v>3.8666666666666667</v>
      </c>
      <c r="L3793" s="126">
        <v>200</v>
      </c>
      <c r="N3793" s="126">
        <v>26.2</v>
      </c>
      <c r="P3793" s="126">
        <v>1300</v>
      </c>
      <c r="R3793" s="478" t="s">
        <v>1847</v>
      </c>
      <c r="S3793" s="478" t="s">
        <v>1728</v>
      </c>
      <c r="T3793" s="478"/>
      <c r="U3793" s="478" t="s">
        <v>1999</v>
      </c>
      <c r="V3793" s="478" t="s">
        <v>1379</v>
      </c>
      <c r="W3793" s="478" t="s">
        <v>1715</v>
      </c>
      <c r="X3793" s="478" t="s">
        <v>1379</v>
      </c>
      <c r="Y3793" s="478" t="s">
        <v>1379</v>
      </c>
      <c r="AA3793" s="479">
        <v>83.3</v>
      </c>
      <c r="AB3793" s="479">
        <v>11.2</v>
      </c>
      <c r="AC3793" s="126" t="s">
        <v>175</v>
      </c>
      <c r="AD3793" s="126">
        <v>6</v>
      </c>
      <c r="AE3793" s="126">
        <v>0.84</v>
      </c>
      <c r="AH3793" s="126" t="s">
        <v>3428</v>
      </c>
      <c r="AI3793" s="126" t="s">
        <v>577</v>
      </c>
      <c r="AJ3793" s="126" t="s">
        <v>1645</v>
      </c>
      <c r="AK3793" s="126" t="s">
        <v>132</v>
      </c>
      <c r="AW3793" s="126" t="s">
        <v>160</v>
      </c>
      <c r="AX3793" s="126">
        <v>3</v>
      </c>
      <c r="AZ3793" s="126" t="s">
        <v>2955</v>
      </c>
      <c r="BC3793" s="126">
        <f>425/31.4</f>
        <v>13.535031847133759</v>
      </c>
      <c r="BE3793" s="126" t="s">
        <v>3420</v>
      </c>
      <c r="BF3793" s="126">
        <v>2380</v>
      </c>
      <c r="BG3793" s="126">
        <v>3200</v>
      </c>
      <c r="BK3793" s="126">
        <v>1050</v>
      </c>
      <c r="BL3793" s="126">
        <v>1310</v>
      </c>
      <c r="BP3793" s="481"/>
      <c r="BQ3793" s="481"/>
      <c r="BU3793" s="481"/>
      <c r="BV3793" s="481"/>
      <c r="BZ3793" s="481"/>
      <c r="CA3793" s="481"/>
      <c r="CE3793" s="605"/>
      <c r="CF3793" s="605"/>
      <c r="CG3793" s="605"/>
      <c r="CH3793" s="605"/>
      <c r="JD3793" s="480"/>
    </row>
    <row r="3794" spans="1:264" s="126" customFormat="1" x14ac:dyDescent="0.25">
      <c r="A3794" s="126">
        <v>171</v>
      </c>
      <c r="B3794" s="478" t="s">
        <v>3414</v>
      </c>
      <c r="C3794" s="126" t="s">
        <v>3418</v>
      </c>
      <c r="D3794" s="126" t="s">
        <v>3358</v>
      </c>
      <c r="E3794" s="126">
        <v>2000</v>
      </c>
      <c r="F3794" s="126">
        <v>1995</v>
      </c>
      <c r="G3794" s="126" t="s">
        <v>2933</v>
      </c>
      <c r="H3794" s="126" t="s">
        <v>3419</v>
      </c>
      <c r="I3794" s="126" t="s">
        <v>2823</v>
      </c>
      <c r="J3794" s="126">
        <f t="shared" si="501"/>
        <v>7.583333333333333</v>
      </c>
      <c r="K3794" s="126">
        <f t="shared" si="502"/>
        <v>3.8666666666666667</v>
      </c>
      <c r="L3794" s="126">
        <v>200</v>
      </c>
      <c r="N3794" s="126">
        <v>26.2</v>
      </c>
      <c r="P3794" s="126">
        <v>1300</v>
      </c>
      <c r="R3794" s="478" t="s">
        <v>1847</v>
      </c>
      <c r="S3794" s="478" t="s">
        <v>1728</v>
      </c>
      <c r="T3794" s="478"/>
      <c r="U3794" s="478" t="s">
        <v>1999</v>
      </c>
      <c r="V3794" s="478" t="s">
        <v>1379</v>
      </c>
      <c r="W3794" s="478" t="s">
        <v>1715</v>
      </c>
      <c r="X3794" s="478" t="s">
        <v>1379</v>
      </c>
      <c r="Y3794" s="478" t="s">
        <v>1379</v>
      </c>
      <c r="AA3794" s="479">
        <v>83.3</v>
      </c>
      <c r="AB3794" s="479">
        <v>11.2</v>
      </c>
      <c r="AC3794" s="126" t="s">
        <v>175</v>
      </c>
      <c r="AD3794" s="126">
        <v>6</v>
      </c>
      <c r="AE3794" s="126">
        <v>0.84</v>
      </c>
      <c r="AH3794" s="126" t="s">
        <v>3429</v>
      </c>
      <c r="AI3794" s="126" t="s">
        <v>577</v>
      </c>
      <c r="AJ3794" s="126" t="s">
        <v>1645</v>
      </c>
      <c r="AK3794" s="126" t="s">
        <v>132</v>
      </c>
      <c r="AW3794" s="126" t="s">
        <v>160</v>
      </c>
      <c r="AX3794" s="126">
        <v>3</v>
      </c>
      <c r="AZ3794" s="126" t="s">
        <v>2955</v>
      </c>
      <c r="BC3794" s="126">
        <f>438/28.1</f>
        <v>15.587188612099643</v>
      </c>
      <c r="BE3794" s="126" t="s">
        <v>3420</v>
      </c>
      <c r="BF3794" s="126">
        <v>2380</v>
      </c>
      <c r="BG3794" s="126">
        <v>5930</v>
      </c>
      <c r="BK3794" s="126">
        <v>1050</v>
      </c>
      <c r="BL3794" s="126">
        <v>2230</v>
      </c>
      <c r="BP3794" s="481"/>
      <c r="BQ3794" s="481"/>
      <c r="BU3794" s="481"/>
      <c r="BV3794" s="481"/>
      <c r="BZ3794" s="481"/>
      <c r="CA3794" s="481"/>
      <c r="CE3794" s="605"/>
      <c r="CF3794" s="605"/>
      <c r="CG3794" s="605"/>
      <c r="CH3794" s="605"/>
      <c r="JD3794" s="480"/>
    </row>
    <row r="3795" spans="1:264" s="126" customFormat="1" x14ac:dyDescent="0.25">
      <c r="A3795" s="126">
        <v>171</v>
      </c>
      <c r="B3795" s="478" t="s">
        <v>3414</v>
      </c>
      <c r="C3795" s="126" t="s">
        <v>3418</v>
      </c>
      <c r="D3795" s="126" t="s">
        <v>3358</v>
      </c>
      <c r="E3795" s="126">
        <v>2000</v>
      </c>
      <c r="F3795" s="126">
        <v>1995</v>
      </c>
      <c r="G3795" s="126" t="s">
        <v>2933</v>
      </c>
      <c r="H3795" s="126" t="s">
        <v>3419</v>
      </c>
      <c r="I3795" s="126" t="s">
        <v>2823</v>
      </c>
      <c r="J3795" s="126">
        <f t="shared" si="501"/>
        <v>7.583333333333333</v>
      </c>
      <c r="K3795" s="126">
        <f t="shared" si="502"/>
        <v>3.8666666666666667</v>
      </c>
      <c r="L3795" s="126">
        <v>200</v>
      </c>
      <c r="N3795" s="126">
        <v>26.2</v>
      </c>
      <c r="P3795" s="126">
        <v>1300</v>
      </c>
      <c r="R3795" s="478" t="s">
        <v>1847</v>
      </c>
      <c r="S3795" s="478" t="s">
        <v>1728</v>
      </c>
      <c r="T3795" s="478"/>
      <c r="U3795" s="478" t="s">
        <v>1999</v>
      </c>
      <c r="V3795" s="478" t="s">
        <v>1379</v>
      </c>
      <c r="W3795" s="478" t="s">
        <v>1715</v>
      </c>
      <c r="X3795" s="478" t="s">
        <v>1379</v>
      </c>
      <c r="Y3795" s="478" t="s">
        <v>1379</v>
      </c>
      <c r="AA3795" s="479">
        <v>83.3</v>
      </c>
      <c r="AB3795" s="479">
        <v>11.2</v>
      </c>
      <c r="AC3795" s="126" t="s">
        <v>175</v>
      </c>
      <c r="AD3795" s="126">
        <v>6</v>
      </c>
      <c r="AE3795" s="126">
        <v>0.84</v>
      </c>
      <c r="AH3795" s="126" t="s">
        <v>3430</v>
      </c>
      <c r="AI3795" s="126" t="s">
        <v>577</v>
      </c>
      <c r="AJ3795" s="126" t="s">
        <v>1645</v>
      </c>
      <c r="AK3795" s="126" t="s">
        <v>132</v>
      </c>
      <c r="AW3795" s="126" t="s">
        <v>160</v>
      </c>
      <c r="AX3795" s="126">
        <v>3</v>
      </c>
      <c r="AZ3795" s="126" t="s">
        <v>2955</v>
      </c>
      <c r="BC3795" s="126">
        <f>416/35.5</f>
        <v>11.71830985915493</v>
      </c>
      <c r="BE3795" s="126" t="s">
        <v>3420</v>
      </c>
      <c r="BF3795" s="126">
        <v>2380</v>
      </c>
      <c r="BG3795" s="126">
        <v>6100</v>
      </c>
      <c r="BK3795" s="126">
        <v>1050</v>
      </c>
      <c r="BL3795" s="126">
        <v>2090</v>
      </c>
      <c r="BP3795" s="481"/>
      <c r="BQ3795" s="481"/>
      <c r="BU3795" s="481"/>
      <c r="BV3795" s="481"/>
      <c r="BZ3795" s="481"/>
      <c r="CA3795" s="481"/>
      <c r="CE3795" s="605"/>
      <c r="CF3795" s="605"/>
      <c r="CG3795" s="605"/>
      <c r="CH3795" s="605"/>
      <c r="JD3795" s="480"/>
    </row>
    <row r="3796" spans="1:264" s="126" customFormat="1" x14ac:dyDescent="0.25">
      <c r="A3796" s="126">
        <v>171</v>
      </c>
      <c r="B3796" s="478" t="s">
        <v>3414</v>
      </c>
      <c r="C3796" s="126" t="s">
        <v>3418</v>
      </c>
      <c r="D3796" s="126" t="s">
        <v>3358</v>
      </c>
      <c r="E3796" s="126">
        <v>2000</v>
      </c>
      <c r="F3796" s="126">
        <v>1995</v>
      </c>
      <c r="G3796" s="126" t="s">
        <v>2933</v>
      </c>
      <c r="H3796" s="126" t="s">
        <v>3419</v>
      </c>
      <c r="I3796" s="126" t="s">
        <v>2823</v>
      </c>
      <c r="J3796" s="126">
        <f t="shared" si="501"/>
        <v>7.583333333333333</v>
      </c>
      <c r="K3796" s="126">
        <f t="shared" si="502"/>
        <v>3.8666666666666667</v>
      </c>
      <c r="L3796" s="126">
        <v>200</v>
      </c>
      <c r="N3796" s="126">
        <v>26.2</v>
      </c>
      <c r="P3796" s="126">
        <v>1300</v>
      </c>
      <c r="R3796" s="478" t="s">
        <v>1847</v>
      </c>
      <c r="S3796" s="478" t="s">
        <v>1728</v>
      </c>
      <c r="T3796" s="478"/>
      <c r="U3796" s="478" t="s">
        <v>1999</v>
      </c>
      <c r="V3796" s="478" t="s">
        <v>1379</v>
      </c>
      <c r="W3796" s="478" t="s">
        <v>1715</v>
      </c>
      <c r="X3796" s="478" t="s">
        <v>1379</v>
      </c>
      <c r="Y3796" s="478" t="s">
        <v>1379</v>
      </c>
      <c r="AA3796" s="479">
        <v>83.3</v>
      </c>
      <c r="AB3796" s="479">
        <v>11.2</v>
      </c>
      <c r="AC3796" s="126" t="s">
        <v>175</v>
      </c>
      <c r="AD3796" s="126">
        <v>6</v>
      </c>
      <c r="AE3796" s="126">
        <v>0.84</v>
      </c>
      <c r="AH3796" s="126" t="s">
        <v>3431</v>
      </c>
      <c r="AI3796" s="126" t="s">
        <v>577</v>
      </c>
      <c r="AJ3796" s="126" t="s">
        <v>1645</v>
      </c>
      <c r="AK3796" s="126" t="s">
        <v>132</v>
      </c>
      <c r="AW3796" s="126" t="s">
        <v>160</v>
      </c>
      <c r="AX3796" s="126">
        <v>3</v>
      </c>
      <c r="AZ3796" s="126" t="s">
        <v>2955</v>
      </c>
      <c r="BC3796" s="126">
        <f>450/37.5</f>
        <v>12</v>
      </c>
      <c r="BE3796" s="126" t="s">
        <v>3420</v>
      </c>
      <c r="BF3796" s="126">
        <v>2380</v>
      </c>
      <c r="BG3796" s="126">
        <v>4730</v>
      </c>
      <c r="BK3796" s="126">
        <v>1050</v>
      </c>
      <c r="BL3796" s="126">
        <v>1610</v>
      </c>
      <c r="BP3796" s="481"/>
      <c r="BQ3796" s="481"/>
      <c r="BU3796" s="481"/>
      <c r="BV3796" s="481"/>
      <c r="BZ3796" s="481"/>
      <c r="CA3796" s="481"/>
      <c r="CE3796" s="605"/>
      <c r="CF3796" s="605"/>
      <c r="CG3796" s="605"/>
      <c r="CH3796" s="605"/>
      <c r="JD3796" s="480"/>
    </row>
    <row r="3797" spans="1:264" s="36" customFormat="1" x14ac:dyDescent="0.25">
      <c r="A3797" s="36">
        <v>171</v>
      </c>
      <c r="B3797" s="51" t="s">
        <v>3415</v>
      </c>
      <c r="C3797" s="36" t="s">
        <v>3418</v>
      </c>
      <c r="D3797" s="36" t="s">
        <v>3358</v>
      </c>
      <c r="E3797" s="36">
        <v>2000</v>
      </c>
      <c r="F3797" s="36">
        <v>1995</v>
      </c>
      <c r="G3797" s="36" t="s">
        <v>2933</v>
      </c>
      <c r="H3797" s="36" t="s">
        <v>3419</v>
      </c>
      <c r="I3797" s="36" t="s">
        <v>2823</v>
      </c>
      <c r="J3797" s="36">
        <f t="shared" si="501"/>
        <v>7.583333333333333</v>
      </c>
      <c r="K3797" s="36">
        <f t="shared" si="502"/>
        <v>3.8666666666666667</v>
      </c>
      <c r="L3797" s="36">
        <v>200</v>
      </c>
      <c r="N3797" s="36">
        <v>26.2</v>
      </c>
      <c r="P3797" s="36">
        <v>1300</v>
      </c>
      <c r="R3797" s="51" t="s">
        <v>1847</v>
      </c>
      <c r="S3797" s="51" t="s">
        <v>1728</v>
      </c>
      <c r="T3797" s="51"/>
      <c r="U3797" s="51" t="s">
        <v>1999</v>
      </c>
      <c r="V3797" s="51" t="s">
        <v>1379</v>
      </c>
      <c r="W3797" s="51" t="s">
        <v>1715</v>
      </c>
      <c r="X3797" s="51" t="s">
        <v>1379</v>
      </c>
      <c r="Y3797" s="51" t="s">
        <v>1379</v>
      </c>
      <c r="AA3797" s="331">
        <v>81.8</v>
      </c>
      <c r="AB3797" s="331">
        <v>11</v>
      </c>
      <c r="AC3797" s="36" t="s">
        <v>175</v>
      </c>
      <c r="AD3797" s="36">
        <v>6.2</v>
      </c>
      <c r="AE3797" s="36">
        <v>0.66</v>
      </c>
      <c r="AH3797" s="36" t="s">
        <v>3422</v>
      </c>
      <c r="AI3797" s="36" t="s">
        <v>577</v>
      </c>
      <c r="AJ3797" s="36" t="s">
        <v>1645</v>
      </c>
      <c r="AK3797" s="36" t="s">
        <v>132</v>
      </c>
      <c r="AW3797" s="36" t="s">
        <v>160</v>
      </c>
      <c r="AX3797" s="36">
        <v>3</v>
      </c>
      <c r="AZ3797" s="36" t="s">
        <v>2955</v>
      </c>
      <c r="BC3797" s="36">
        <f>430/28.6</f>
        <v>15.034965034965035</v>
      </c>
      <c r="BE3797" s="36" t="s">
        <v>3421</v>
      </c>
      <c r="BF3797" s="36">
        <v>2000</v>
      </c>
      <c r="BG3797" s="36">
        <v>3010</v>
      </c>
      <c r="BK3797" s="36">
        <v>570</v>
      </c>
      <c r="BL3797" s="36">
        <v>1060</v>
      </c>
      <c r="BP3797" s="407"/>
      <c r="BQ3797" s="407"/>
      <c r="BU3797" s="407"/>
      <c r="BV3797" s="407"/>
      <c r="BZ3797" s="407"/>
      <c r="CA3797" s="407"/>
      <c r="CE3797" s="560"/>
      <c r="CF3797" s="560"/>
      <c r="CG3797" s="560"/>
      <c r="CH3797" s="560"/>
      <c r="JD3797" s="230"/>
    </row>
    <row r="3798" spans="1:264" s="36" customFormat="1" x14ac:dyDescent="0.25">
      <c r="A3798" s="36">
        <v>171</v>
      </c>
      <c r="B3798" s="51" t="s">
        <v>3415</v>
      </c>
      <c r="C3798" s="36" t="s">
        <v>3418</v>
      </c>
      <c r="D3798" s="36" t="s">
        <v>3358</v>
      </c>
      <c r="E3798" s="36">
        <v>2000</v>
      </c>
      <c r="F3798" s="36">
        <v>1995</v>
      </c>
      <c r="G3798" s="36" t="s">
        <v>2933</v>
      </c>
      <c r="H3798" s="36" t="s">
        <v>3419</v>
      </c>
      <c r="I3798" s="36" t="s">
        <v>2823</v>
      </c>
      <c r="J3798" s="36">
        <f t="shared" si="501"/>
        <v>7.583333333333333</v>
      </c>
      <c r="K3798" s="36">
        <f t="shared" si="502"/>
        <v>3.8666666666666667</v>
      </c>
      <c r="L3798" s="36">
        <v>200</v>
      </c>
      <c r="N3798" s="36">
        <v>26.2</v>
      </c>
      <c r="P3798" s="36">
        <v>1300</v>
      </c>
      <c r="R3798" s="51" t="s">
        <v>1847</v>
      </c>
      <c r="S3798" s="51" t="s">
        <v>1728</v>
      </c>
      <c r="T3798" s="51"/>
      <c r="U3798" s="51" t="s">
        <v>1999</v>
      </c>
      <c r="V3798" s="51" t="s">
        <v>1379</v>
      </c>
      <c r="W3798" s="51" t="s">
        <v>1715</v>
      </c>
      <c r="X3798" s="51" t="s">
        <v>1379</v>
      </c>
      <c r="Y3798" s="51" t="s">
        <v>1379</v>
      </c>
      <c r="AA3798" s="331">
        <v>81.8</v>
      </c>
      <c r="AB3798" s="331">
        <v>11.2</v>
      </c>
      <c r="AC3798" s="36" t="s">
        <v>175</v>
      </c>
      <c r="AD3798" s="36">
        <v>6.2</v>
      </c>
      <c r="AE3798" s="36">
        <v>0.66</v>
      </c>
      <c r="AH3798" s="36" t="s">
        <v>3423</v>
      </c>
      <c r="AI3798" s="36" t="s">
        <v>577</v>
      </c>
      <c r="AJ3798" s="36" t="s">
        <v>1645</v>
      </c>
      <c r="AK3798" s="36" t="s">
        <v>132</v>
      </c>
      <c r="AW3798" s="36" t="s">
        <v>160</v>
      </c>
      <c r="AX3798" s="36">
        <v>3</v>
      </c>
      <c r="AZ3798" s="36" t="s">
        <v>2955</v>
      </c>
      <c r="BC3798" s="36">
        <f>425/29.6</f>
        <v>14.358108108108107</v>
      </c>
      <c r="BE3798" s="36" t="s">
        <v>3421</v>
      </c>
      <c r="BF3798" s="36">
        <v>2000</v>
      </c>
      <c r="BG3798" s="36">
        <v>3030</v>
      </c>
      <c r="BK3798" s="36">
        <v>570</v>
      </c>
      <c r="BL3798" s="36">
        <v>950</v>
      </c>
      <c r="BP3798" s="407"/>
      <c r="BQ3798" s="407"/>
      <c r="BU3798" s="407"/>
      <c r="BV3798" s="407"/>
      <c r="BZ3798" s="407"/>
      <c r="CA3798" s="407"/>
      <c r="CE3798" s="560"/>
      <c r="CF3798" s="560"/>
      <c r="CG3798" s="560"/>
      <c r="CH3798" s="560"/>
      <c r="JD3798" s="230"/>
    </row>
    <row r="3799" spans="1:264" s="36" customFormat="1" x14ac:dyDescent="0.25">
      <c r="A3799" s="36">
        <v>171</v>
      </c>
      <c r="B3799" s="51" t="s">
        <v>3415</v>
      </c>
      <c r="C3799" s="36" t="s">
        <v>3418</v>
      </c>
      <c r="D3799" s="36" t="s">
        <v>3358</v>
      </c>
      <c r="E3799" s="36">
        <v>2000</v>
      </c>
      <c r="F3799" s="36">
        <v>1995</v>
      </c>
      <c r="G3799" s="36" t="s">
        <v>2933</v>
      </c>
      <c r="H3799" s="36" t="s">
        <v>3419</v>
      </c>
      <c r="I3799" s="36" t="s">
        <v>2823</v>
      </c>
      <c r="J3799" s="36">
        <f t="shared" si="501"/>
        <v>7.583333333333333</v>
      </c>
      <c r="K3799" s="36">
        <f t="shared" si="502"/>
        <v>3.8666666666666667</v>
      </c>
      <c r="L3799" s="36">
        <v>200</v>
      </c>
      <c r="N3799" s="36">
        <v>26.2</v>
      </c>
      <c r="P3799" s="36">
        <v>1300</v>
      </c>
      <c r="R3799" s="51" t="s">
        <v>1847</v>
      </c>
      <c r="S3799" s="51" t="s">
        <v>1728</v>
      </c>
      <c r="T3799" s="51"/>
      <c r="U3799" s="51" t="s">
        <v>1999</v>
      </c>
      <c r="V3799" s="51" t="s">
        <v>1379</v>
      </c>
      <c r="W3799" s="51" t="s">
        <v>1715</v>
      </c>
      <c r="X3799" s="51" t="s">
        <v>1379</v>
      </c>
      <c r="Y3799" s="51" t="s">
        <v>1379</v>
      </c>
      <c r="AA3799" s="331">
        <v>81.8</v>
      </c>
      <c r="AB3799" s="331">
        <v>11.2</v>
      </c>
      <c r="AC3799" s="36" t="s">
        <v>175</v>
      </c>
      <c r="AD3799" s="36">
        <v>6.2</v>
      </c>
      <c r="AE3799" s="36">
        <v>0.66</v>
      </c>
      <c r="AH3799" s="36" t="s">
        <v>3424</v>
      </c>
      <c r="AI3799" s="36" t="s">
        <v>577</v>
      </c>
      <c r="AJ3799" s="36" t="s">
        <v>1645</v>
      </c>
      <c r="AK3799" s="36" t="s">
        <v>132</v>
      </c>
      <c r="AW3799" s="36" t="s">
        <v>160</v>
      </c>
      <c r="AX3799" s="36">
        <v>3</v>
      </c>
      <c r="AZ3799" s="36" t="s">
        <v>2955</v>
      </c>
      <c r="BC3799" s="36">
        <f>380/27.8</f>
        <v>13.669064748201439</v>
      </c>
      <c r="BE3799" s="36" t="s">
        <v>3421</v>
      </c>
      <c r="BF3799" s="36">
        <v>2000</v>
      </c>
      <c r="BG3799" s="36">
        <v>3110</v>
      </c>
      <c r="BK3799" s="36">
        <v>570</v>
      </c>
      <c r="BL3799" s="36">
        <v>1200</v>
      </c>
      <c r="BP3799" s="407"/>
      <c r="BQ3799" s="407"/>
      <c r="BU3799" s="407"/>
      <c r="BV3799" s="407"/>
      <c r="BZ3799" s="407"/>
      <c r="CA3799" s="407"/>
      <c r="CE3799" s="560"/>
      <c r="CF3799" s="560"/>
      <c r="CG3799" s="560"/>
      <c r="CH3799" s="560"/>
      <c r="JD3799" s="230"/>
    </row>
    <row r="3800" spans="1:264" s="36" customFormat="1" x14ac:dyDescent="0.25">
      <c r="A3800" s="36">
        <v>171</v>
      </c>
      <c r="B3800" s="51" t="s">
        <v>3415</v>
      </c>
      <c r="C3800" s="36" t="s">
        <v>3418</v>
      </c>
      <c r="D3800" s="36" t="s">
        <v>3358</v>
      </c>
      <c r="E3800" s="36">
        <v>2000</v>
      </c>
      <c r="F3800" s="36">
        <v>1995</v>
      </c>
      <c r="G3800" s="36" t="s">
        <v>2933</v>
      </c>
      <c r="H3800" s="36" t="s">
        <v>3419</v>
      </c>
      <c r="I3800" s="36" t="s">
        <v>2823</v>
      </c>
      <c r="J3800" s="36">
        <f t="shared" si="501"/>
        <v>7.583333333333333</v>
      </c>
      <c r="K3800" s="36">
        <f t="shared" si="502"/>
        <v>3.8666666666666667</v>
      </c>
      <c r="L3800" s="36">
        <v>200</v>
      </c>
      <c r="N3800" s="36">
        <v>26.2</v>
      </c>
      <c r="P3800" s="36">
        <v>1300</v>
      </c>
      <c r="R3800" s="51" t="s">
        <v>1847</v>
      </c>
      <c r="S3800" s="51" t="s">
        <v>1728</v>
      </c>
      <c r="T3800" s="51"/>
      <c r="U3800" s="51" t="s">
        <v>1999</v>
      </c>
      <c r="V3800" s="51" t="s">
        <v>1379</v>
      </c>
      <c r="W3800" s="51" t="s">
        <v>1715</v>
      </c>
      <c r="X3800" s="51" t="s">
        <v>1379</v>
      </c>
      <c r="Y3800" s="51" t="s">
        <v>1379</v>
      </c>
      <c r="AA3800" s="331">
        <v>81.8</v>
      </c>
      <c r="AB3800" s="331">
        <v>11.2</v>
      </c>
      <c r="AC3800" s="36" t="s">
        <v>175</v>
      </c>
      <c r="AD3800" s="36">
        <v>6.2</v>
      </c>
      <c r="AE3800" s="36">
        <v>0.66</v>
      </c>
      <c r="AH3800" s="36" t="s">
        <v>3425</v>
      </c>
      <c r="AI3800" s="36" t="s">
        <v>577</v>
      </c>
      <c r="AJ3800" s="36" t="s">
        <v>1645</v>
      </c>
      <c r="AK3800" s="36" t="s">
        <v>132</v>
      </c>
      <c r="AW3800" s="36" t="s">
        <v>160</v>
      </c>
      <c r="AX3800" s="36">
        <v>3</v>
      </c>
      <c r="AZ3800" s="36" t="s">
        <v>2955</v>
      </c>
      <c r="BC3800" s="36">
        <f>434/33.8</f>
        <v>12.840236686390533</v>
      </c>
      <c r="BE3800" s="36" t="s">
        <v>3421</v>
      </c>
      <c r="BF3800" s="36">
        <v>2000</v>
      </c>
      <c r="BG3800" s="36">
        <v>3600</v>
      </c>
      <c r="BK3800" s="36">
        <v>570</v>
      </c>
      <c r="BL3800" s="36">
        <v>1110</v>
      </c>
      <c r="BP3800" s="407"/>
      <c r="BQ3800" s="407"/>
      <c r="BU3800" s="407"/>
      <c r="BV3800" s="407"/>
      <c r="BZ3800" s="407"/>
      <c r="CA3800" s="407"/>
      <c r="CE3800" s="560"/>
      <c r="CF3800" s="560"/>
      <c r="CG3800" s="560"/>
      <c r="CH3800" s="560"/>
      <c r="JD3800" s="230"/>
    </row>
    <row r="3801" spans="1:264" s="36" customFormat="1" x14ac:dyDescent="0.25">
      <c r="A3801" s="36">
        <v>171</v>
      </c>
      <c r="B3801" s="51" t="s">
        <v>3415</v>
      </c>
      <c r="C3801" s="36" t="s">
        <v>3418</v>
      </c>
      <c r="D3801" s="36" t="s">
        <v>3358</v>
      </c>
      <c r="E3801" s="36">
        <v>2000</v>
      </c>
      <c r="F3801" s="36">
        <v>1995</v>
      </c>
      <c r="G3801" s="36" t="s">
        <v>2933</v>
      </c>
      <c r="H3801" s="36" t="s">
        <v>3419</v>
      </c>
      <c r="I3801" s="36" t="s">
        <v>2823</v>
      </c>
      <c r="J3801" s="36">
        <f t="shared" si="501"/>
        <v>7.583333333333333</v>
      </c>
      <c r="K3801" s="36">
        <f t="shared" si="502"/>
        <v>3.8666666666666667</v>
      </c>
      <c r="L3801" s="36">
        <v>200</v>
      </c>
      <c r="N3801" s="36">
        <v>26.2</v>
      </c>
      <c r="P3801" s="36">
        <v>1300</v>
      </c>
      <c r="R3801" s="51" t="s">
        <v>1847</v>
      </c>
      <c r="S3801" s="51" t="s">
        <v>1728</v>
      </c>
      <c r="T3801" s="51"/>
      <c r="U3801" s="51" t="s">
        <v>1999</v>
      </c>
      <c r="V3801" s="51" t="s">
        <v>1379</v>
      </c>
      <c r="W3801" s="51" t="s">
        <v>1715</v>
      </c>
      <c r="X3801" s="51" t="s">
        <v>1379</v>
      </c>
      <c r="Y3801" s="51" t="s">
        <v>1379</v>
      </c>
      <c r="AA3801" s="331">
        <v>81.8</v>
      </c>
      <c r="AB3801" s="331">
        <v>11.2</v>
      </c>
      <c r="AC3801" s="36" t="s">
        <v>175</v>
      </c>
      <c r="AD3801" s="36">
        <v>6.2</v>
      </c>
      <c r="AE3801" s="36">
        <v>0.66</v>
      </c>
      <c r="AH3801" s="36" t="s">
        <v>3426</v>
      </c>
      <c r="AI3801" s="36" t="s">
        <v>577</v>
      </c>
      <c r="AJ3801" s="36" t="s">
        <v>1645</v>
      </c>
      <c r="AK3801" s="36" t="s">
        <v>132</v>
      </c>
      <c r="AW3801" s="36" t="s">
        <v>160</v>
      </c>
      <c r="AX3801" s="36">
        <v>3</v>
      </c>
      <c r="AZ3801" s="36" t="s">
        <v>2955</v>
      </c>
      <c r="BC3801" s="36">
        <f>414/27</f>
        <v>15.333333333333334</v>
      </c>
      <c r="BE3801" s="36" t="s">
        <v>3421</v>
      </c>
      <c r="BF3801" s="36">
        <v>2000</v>
      </c>
      <c r="BG3801" s="36">
        <v>2910</v>
      </c>
      <c r="BK3801" s="36">
        <v>570</v>
      </c>
      <c r="BL3801" s="36">
        <v>1050</v>
      </c>
      <c r="BP3801" s="407"/>
      <c r="BQ3801" s="407"/>
      <c r="BU3801" s="407"/>
      <c r="BV3801" s="407"/>
      <c r="BZ3801" s="407"/>
      <c r="CA3801" s="407"/>
      <c r="CE3801" s="560"/>
      <c r="CF3801" s="560"/>
      <c r="CG3801" s="560"/>
      <c r="CH3801" s="560"/>
      <c r="JD3801" s="230"/>
    </row>
    <row r="3802" spans="1:264" s="36" customFormat="1" x14ac:dyDescent="0.25">
      <c r="A3802" s="36">
        <v>171</v>
      </c>
      <c r="B3802" s="51" t="s">
        <v>3415</v>
      </c>
      <c r="C3802" s="36" t="s">
        <v>3418</v>
      </c>
      <c r="D3802" s="36" t="s">
        <v>3358</v>
      </c>
      <c r="E3802" s="36">
        <v>2000</v>
      </c>
      <c r="F3802" s="36">
        <v>1995</v>
      </c>
      <c r="G3802" s="36" t="s">
        <v>2933</v>
      </c>
      <c r="H3802" s="36" t="s">
        <v>3419</v>
      </c>
      <c r="I3802" s="36" t="s">
        <v>2823</v>
      </c>
      <c r="J3802" s="36">
        <f t="shared" si="501"/>
        <v>7.583333333333333</v>
      </c>
      <c r="K3802" s="36">
        <f t="shared" si="502"/>
        <v>3.8666666666666667</v>
      </c>
      <c r="L3802" s="36">
        <v>200</v>
      </c>
      <c r="N3802" s="36">
        <v>26.2</v>
      </c>
      <c r="P3802" s="36">
        <v>1300</v>
      </c>
      <c r="R3802" s="51" t="s">
        <v>1847</v>
      </c>
      <c r="S3802" s="51" t="s">
        <v>1728</v>
      </c>
      <c r="T3802" s="51"/>
      <c r="U3802" s="51" t="s">
        <v>1999</v>
      </c>
      <c r="V3802" s="51" t="s">
        <v>1379</v>
      </c>
      <c r="W3802" s="51" t="s">
        <v>1715</v>
      </c>
      <c r="X3802" s="51" t="s">
        <v>1379</v>
      </c>
      <c r="Y3802" s="51" t="s">
        <v>1379</v>
      </c>
      <c r="AA3802" s="331">
        <v>81.8</v>
      </c>
      <c r="AB3802" s="331">
        <v>11.2</v>
      </c>
      <c r="AC3802" s="36" t="s">
        <v>175</v>
      </c>
      <c r="AD3802" s="36">
        <v>6.2</v>
      </c>
      <c r="AE3802" s="36">
        <v>0.66</v>
      </c>
      <c r="AH3802" s="36" t="s">
        <v>3427</v>
      </c>
      <c r="AI3802" s="36" t="s">
        <v>577</v>
      </c>
      <c r="AJ3802" s="36" t="s">
        <v>1645</v>
      </c>
      <c r="AK3802" s="36" t="s">
        <v>132</v>
      </c>
      <c r="AW3802" s="36" t="s">
        <v>160</v>
      </c>
      <c r="AX3802" s="36">
        <v>3</v>
      </c>
      <c r="AZ3802" s="36" t="s">
        <v>2955</v>
      </c>
      <c r="BC3802" s="36">
        <f>420/31.1</f>
        <v>13.504823151125402</v>
      </c>
      <c r="BE3802" s="36" t="s">
        <v>3421</v>
      </c>
      <c r="BF3802" s="36">
        <v>2000</v>
      </c>
      <c r="BG3802" s="36">
        <v>2660</v>
      </c>
      <c r="BK3802" s="36">
        <v>570</v>
      </c>
      <c r="BL3802" s="36">
        <v>750</v>
      </c>
      <c r="BP3802" s="407"/>
      <c r="BQ3802" s="407"/>
      <c r="BU3802" s="407"/>
      <c r="BV3802" s="407"/>
      <c r="BZ3802" s="407"/>
      <c r="CA3802" s="407"/>
      <c r="CE3802" s="560"/>
      <c r="CF3802" s="560"/>
      <c r="CG3802" s="560"/>
      <c r="CH3802" s="560"/>
      <c r="JD3802" s="230"/>
    </row>
    <row r="3803" spans="1:264" s="36" customFormat="1" x14ac:dyDescent="0.25">
      <c r="A3803" s="36">
        <v>171</v>
      </c>
      <c r="B3803" s="51" t="s">
        <v>3415</v>
      </c>
      <c r="C3803" s="36" t="s">
        <v>3418</v>
      </c>
      <c r="D3803" s="36" t="s">
        <v>3358</v>
      </c>
      <c r="E3803" s="36">
        <v>2000</v>
      </c>
      <c r="F3803" s="36">
        <v>1995</v>
      </c>
      <c r="G3803" s="36" t="s">
        <v>2933</v>
      </c>
      <c r="H3803" s="36" t="s">
        <v>3419</v>
      </c>
      <c r="I3803" s="36" t="s">
        <v>2823</v>
      </c>
      <c r="J3803" s="36">
        <f t="shared" si="501"/>
        <v>7.583333333333333</v>
      </c>
      <c r="K3803" s="36">
        <f t="shared" si="502"/>
        <v>3.8666666666666667</v>
      </c>
      <c r="L3803" s="36">
        <v>200</v>
      </c>
      <c r="N3803" s="36">
        <v>26.2</v>
      </c>
      <c r="P3803" s="36">
        <v>1300</v>
      </c>
      <c r="R3803" s="51" t="s">
        <v>1847</v>
      </c>
      <c r="S3803" s="51" t="s">
        <v>1728</v>
      </c>
      <c r="T3803" s="51"/>
      <c r="U3803" s="51" t="s">
        <v>1999</v>
      </c>
      <c r="V3803" s="51" t="s">
        <v>1379</v>
      </c>
      <c r="W3803" s="51" t="s">
        <v>1715</v>
      </c>
      <c r="X3803" s="51" t="s">
        <v>1379</v>
      </c>
      <c r="Y3803" s="51" t="s">
        <v>1379</v>
      </c>
      <c r="AA3803" s="331">
        <v>81.8</v>
      </c>
      <c r="AB3803" s="331">
        <v>11.2</v>
      </c>
      <c r="AC3803" s="36" t="s">
        <v>175</v>
      </c>
      <c r="AD3803" s="36">
        <v>6.2</v>
      </c>
      <c r="AE3803" s="36">
        <v>0.66</v>
      </c>
      <c r="AH3803" s="36" t="s">
        <v>3428</v>
      </c>
      <c r="AI3803" s="36" t="s">
        <v>577</v>
      </c>
      <c r="AJ3803" s="36" t="s">
        <v>1645</v>
      </c>
      <c r="AK3803" s="36" t="s">
        <v>132</v>
      </c>
      <c r="AW3803" s="36" t="s">
        <v>160</v>
      </c>
      <c r="AX3803" s="36">
        <v>3</v>
      </c>
      <c r="AZ3803" s="36" t="s">
        <v>2955</v>
      </c>
      <c r="BC3803" s="36">
        <f>425/21.2</f>
        <v>20.047169811320757</v>
      </c>
      <c r="BE3803" s="36" t="s">
        <v>3421</v>
      </c>
      <c r="BF3803" s="36">
        <v>2000</v>
      </c>
      <c r="BG3803" s="36">
        <v>2290</v>
      </c>
      <c r="BK3803" s="36">
        <v>570</v>
      </c>
      <c r="BL3803" s="36">
        <v>860</v>
      </c>
      <c r="BP3803" s="407"/>
      <c r="BQ3803" s="407"/>
      <c r="BU3803" s="407"/>
      <c r="BV3803" s="407"/>
      <c r="BZ3803" s="407"/>
      <c r="CA3803" s="407"/>
      <c r="CE3803" s="560"/>
      <c r="CF3803" s="560"/>
      <c r="CG3803" s="560"/>
      <c r="CH3803" s="560"/>
      <c r="JD3803" s="230"/>
    </row>
    <row r="3804" spans="1:264" s="36" customFormat="1" x14ac:dyDescent="0.25">
      <c r="A3804" s="36">
        <v>171</v>
      </c>
      <c r="B3804" s="51" t="s">
        <v>3415</v>
      </c>
      <c r="C3804" s="36" t="s">
        <v>3418</v>
      </c>
      <c r="D3804" s="36" t="s">
        <v>3358</v>
      </c>
      <c r="E3804" s="36">
        <v>2000</v>
      </c>
      <c r="F3804" s="36">
        <v>1995</v>
      </c>
      <c r="G3804" s="36" t="s">
        <v>2933</v>
      </c>
      <c r="H3804" s="36" t="s">
        <v>3419</v>
      </c>
      <c r="I3804" s="36" t="s">
        <v>2823</v>
      </c>
      <c r="J3804" s="36">
        <f t="shared" si="501"/>
        <v>7.583333333333333</v>
      </c>
      <c r="K3804" s="36">
        <f t="shared" si="502"/>
        <v>3.8666666666666667</v>
      </c>
      <c r="L3804" s="36">
        <v>200</v>
      </c>
      <c r="N3804" s="36">
        <v>26.2</v>
      </c>
      <c r="P3804" s="36">
        <v>1300</v>
      </c>
      <c r="R3804" s="51" t="s">
        <v>1847</v>
      </c>
      <c r="S3804" s="51" t="s">
        <v>1728</v>
      </c>
      <c r="T3804" s="51"/>
      <c r="U3804" s="51" t="s">
        <v>1999</v>
      </c>
      <c r="V3804" s="51" t="s">
        <v>1379</v>
      </c>
      <c r="W3804" s="51" t="s">
        <v>1715</v>
      </c>
      <c r="X3804" s="51" t="s">
        <v>1379</v>
      </c>
      <c r="Y3804" s="51" t="s">
        <v>1379</v>
      </c>
      <c r="AA3804" s="331">
        <v>81.8</v>
      </c>
      <c r="AB3804" s="331">
        <v>11.2</v>
      </c>
      <c r="AC3804" s="36" t="s">
        <v>175</v>
      </c>
      <c r="AD3804" s="36">
        <v>6.2</v>
      </c>
      <c r="AE3804" s="36">
        <v>0.66</v>
      </c>
      <c r="AH3804" s="36" t="s">
        <v>3429</v>
      </c>
      <c r="AI3804" s="36" t="s">
        <v>577</v>
      </c>
      <c r="AJ3804" s="36" t="s">
        <v>1645</v>
      </c>
      <c r="AK3804" s="36" t="s">
        <v>132</v>
      </c>
      <c r="AW3804" s="36" t="s">
        <v>160</v>
      </c>
      <c r="AX3804" s="36">
        <v>3</v>
      </c>
      <c r="AZ3804" s="36" t="s">
        <v>2955</v>
      </c>
      <c r="BC3804" s="36">
        <f>438/27.4</f>
        <v>15.985401459854016</v>
      </c>
      <c r="BE3804" s="36" t="s">
        <v>3421</v>
      </c>
      <c r="BF3804" s="36">
        <v>2000</v>
      </c>
      <c r="BG3804" s="36">
        <v>3330</v>
      </c>
      <c r="BK3804" s="36">
        <v>570</v>
      </c>
      <c r="BL3804" s="36">
        <v>1000</v>
      </c>
      <c r="BP3804" s="407"/>
      <c r="BQ3804" s="407"/>
      <c r="BU3804" s="407"/>
      <c r="BV3804" s="407"/>
      <c r="BZ3804" s="407"/>
      <c r="CA3804" s="407"/>
      <c r="CE3804" s="560"/>
      <c r="CF3804" s="560"/>
      <c r="CG3804" s="560"/>
      <c r="CH3804" s="560"/>
      <c r="JD3804" s="230"/>
    </row>
    <row r="3805" spans="1:264" s="36" customFormat="1" x14ac:dyDescent="0.25">
      <c r="A3805" s="36">
        <v>171</v>
      </c>
      <c r="B3805" s="51" t="s">
        <v>3415</v>
      </c>
      <c r="C3805" s="36" t="s">
        <v>3418</v>
      </c>
      <c r="D3805" s="36" t="s">
        <v>3358</v>
      </c>
      <c r="E3805" s="36">
        <v>2000</v>
      </c>
      <c r="F3805" s="36">
        <v>1995</v>
      </c>
      <c r="G3805" s="36" t="s">
        <v>2933</v>
      </c>
      <c r="H3805" s="36" t="s">
        <v>3419</v>
      </c>
      <c r="I3805" s="36" t="s">
        <v>2823</v>
      </c>
      <c r="J3805" s="36">
        <f t="shared" si="501"/>
        <v>7.583333333333333</v>
      </c>
      <c r="K3805" s="36">
        <f t="shared" si="502"/>
        <v>3.8666666666666667</v>
      </c>
      <c r="L3805" s="36">
        <v>200</v>
      </c>
      <c r="N3805" s="36">
        <v>26.2</v>
      </c>
      <c r="P3805" s="36">
        <v>1300</v>
      </c>
      <c r="R3805" s="51" t="s">
        <v>1847</v>
      </c>
      <c r="S3805" s="51" t="s">
        <v>1728</v>
      </c>
      <c r="T3805" s="51"/>
      <c r="U3805" s="51" t="s">
        <v>1999</v>
      </c>
      <c r="V3805" s="51" t="s">
        <v>1379</v>
      </c>
      <c r="W3805" s="51" t="s">
        <v>1715</v>
      </c>
      <c r="X3805" s="51" t="s">
        <v>1379</v>
      </c>
      <c r="Y3805" s="51" t="s">
        <v>1379</v>
      </c>
      <c r="AA3805" s="331">
        <v>81.8</v>
      </c>
      <c r="AB3805" s="331">
        <v>11.2</v>
      </c>
      <c r="AC3805" s="36" t="s">
        <v>175</v>
      </c>
      <c r="AD3805" s="36">
        <v>6.2</v>
      </c>
      <c r="AE3805" s="36">
        <v>0.66</v>
      </c>
      <c r="AH3805" s="36" t="s">
        <v>3430</v>
      </c>
      <c r="AI3805" s="36" t="s">
        <v>577</v>
      </c>
      <c r="AJ3805" s="36" t="s">
        <v>1645</v>
      </c>
      <c r="AK3805" s="36" t="s">
        <v>132</v>
      </c>
      <c r="AW3805" s="36" t="s">
        <v>160</v>
      </c>
      <c r="AX3805" s="36">
        <v>3</v>
      </c>
      <c r="AZ3805" s="36" t="s">
        <v>2955</v>
      </c>
      <c r="BC3805" s="36">
        <f>416/34.8</f>
        <v>11.954022988505749</v>
      </c>
      <c r="BE3805" s="36" t="s">
        <v>3421</v>
      </c>
      <c r="BF3805" s="36">
        <v>2000</v>
      </c>
      <c r="BG3805" s="36">
        <v>3200</v>
      </c>
      <c r="BK3805" s="36">
        <v>570</v>
      </c>
      <c r="BL3805" s="36">
        <v>1090</v>
      </c>
      <c r="BP3805" s="407"/>
      <c r="BQ3805" s="407"/>
      <c r="BU3805" s="407"/>
      <c r="BV3805" s="407"/>
      <c r="BZ3805" s="407"/>
      <c r="CA3805" s="407"/>
      <c r="CE3805" s="560"/>
      <c r="CF3805" s="560"/>
      <c r="CG3805" s="560"/>
      <c r="CH3805" s="560"/>
      <c r="JD3805" s="230"/>
    </row>
    <row r="3806" spans="1:264" s="36" customFormat="1" x14ac:dyDescent="0.25">
      <c r="A3806" s="36">
        <v>171</v>
      </c>
      <c r="B3806" s="51" t="s">
        <v>3415</v>
      </c>
      <c r="C3806" s="36" t="s">
        <v>3418</v>
      </c>
      <c r="D3806" s="36" t="s">
        <v>3358</v>
      </c>
      <c r="E3806" s="36">
        <v>2000</v>
      </c>
      <c r="F3806" s="36">
        <v>1995</v>
      </c>
      <c r="G3806" s="36" t="s">
        <v>2933</v>
      </c>
      <c r="H3806" s="36" t="s">
        <v>3419</v>
      </c>
      <c r="I3806" s="36" t="s">
        <v>2823</v>
      </c>
      <c r="J3806" s="36">
        <f t="shared" si="501"/>
        <v>7.583333333333333</v>
      </c>
      <c r="K3806" s="36">
        <f t="shared" si="502"/>
        <v>3.8666666666666667</v>
      </c>
      <c r="L3806" s="36">
        <v>200</v>
      </c>
      <c r="N3806" s="36">
        <v>26.2</v>
      </c>
      <c r="P3806" s="36">
        <v>1300</v>
      </c>
      <c r="R3806" s="51" t="s">
        <v>1847</v>
      </c>
      <c r="S3806" s="51" t="s">
        <v>1728</v>
      </c>
      <c r="T3806" s="51"/>
      <c r="U3806" s="51" t="s">
        <v>1999</v>
      </c>
      <c r="V3806" s="51" t="s">
        <v>1379</v>
      </c>
      <c r="W3806" s="51" t="s">
        <v>1715</v>
      </c>
      <c r="X3806" s="51" t="s">
        <v>1379</v>
      </c>
      <c r="Y3806" s="51" t="s">
        <v>1379</v>
      </c>
      <c r="AA3806" s="331">
        <v>81.8</v>
      </c>
      <c r="AB3806" s="331">
        <v>11.2</v>
      </c>
      <c r="AC3806" s="36" t="s">
        <v>175</v>
      </c>
      <c r="AD3806" s="36">
        <v>6.2</v>
      </c>
      <c r="AE3806" s="36">
        <v>0.66</v>
      </c>
      <c r="AH3806" s="36" t="s">
        <v>3431</v>
      </c>
      <c r="AI3806" s="36" t="s">
        <v>577</v>
      </c>
      <c r="AJ3806" s="36" t="s">
        <v>1645</v>
      </c>
      <c r="AK3806" s="36" t="s">
        <v>132</v>
      </c>
      <c r="AW3806" s="36" t="s">
        <v>160</v>
      </c>
      <c r="AX3806" s="36">
        <v>3</v>
      </c>
      <c r="AZ3806" s="36" t="s">
        <v>2955</v>
      </c>
      <c r="BC3806" s="36">
        <f>450/34.8</f>
        <v>12.931034482758621</v>
      </c>
      <c r="BE3806" s="36" t="s">
        <v>3421</v>
      </c>
      <c r="BF3806" s="36">
        <v>2000</v>
      </c>
      <c r="BG3806" s="36">
        <v>3540</v>
      </c>
      <c r="BK3806" s="36">
        <v>570</v>
      </c>
      <c r="BL3806" s="36">
        <v>1270</v>
      </c>
      <c r="BP3806" s="407"/>
      <c r="BQ3806" s="407"/>
      <c r="BU3806" s="407"/>
      <c r="BV3806" s="407"/>
      <c r="BZ3806" s="407"/>
      <c r="CA3806" s="407"/>
      <c r="CE3806" s="560"/>
      <c r="CF3806" s="560"/>
      <c r="CG3806" s="560"/>
      <c r="CH3806" s="560"/>
      <c r="JD3806" s="230"/>
    </row>
    <row r="3807" spans="1:264" s="36" customFormat="1" x14ac:dyDescent="0.25">
      <c r="A3807" s="36">
        <v>171</v>
      </c>
      <c r="B3807" s="51" t="s">
        <v>3415</v>
      </c>
      <c r="C3807" s="36" t="s">
        <v>3418</v>
      </c>
      <c r="D3807" s="36" t="s">
        <v>3358</v>
      </c>
      <c r="E3807" s="36">
        <v>2000</v>
      </c>
      <c r="F3807" s="36">
        <v>1995</v>
      </c>
      <c r="G3807" s="36" t="s">
        <v>2933</v>
      </c>
      <c r="H3807" s="36" t="s">
        <v>3419</v>
      </c>
      <c r="I3807" s="36" t="s">
        <v>2823</v>
      </c>
      <c r="J3807" s="36">
        <f t="shared" si="501"/>
        <v>7.583333333333333</v>
      </c>
      <c r="K3807" s="36">
        <f t="shared" si="502"/>
        <v>3.8666666666666667</v>
      </c>
      <c r="L3807" s="36">
        <v>200</v>
      </c>
      <c r="N3807" s="36">
        <v>26.2</v>
      </c>
      <c r="P3807" s="36">
        <v>1300</v>
      </c>
      <c r="R3807" s="51" t="s">
        <v>1847</v>
      </c>
      <c r="S3807" s="51" t="s">
        <v>1728</v>
      </c>
      <c r="T3807" s="51"/>
      <c r="U3807" s="51" t="s">
        <v>1999</v>
      </c>
      <c r="V3807" s="51" t="s">
        <v>1379</v>
      </c>
      <c r="W3807" s="51" t="s">
        <v>1715</v>
      </c>
      <c r="X3807" s="51" t="s">
        <v>1379</v>
      </c>
      <c r="Y3807" s="51" t="s">
        <v>1379</v>
      </c>
      <c r="AA3807" s="331">
        <v>81.8</v>
      </c>
      <c r="AB3807" s="331">
        <v>11.2</v>
      </c>
      <c r="AC3807" s="36" t="s">
        <v>175</v>
      </c>
      <c r="AD3807" s="36">
        <v>6.2</v>
      </c>
      <c r="AE3807" s="36">
        <v>0.66</v>
      </c>
      <c r="AH3807" s="36" t="s">
        <v>3432</v>
      </c>
      <c r="AI3807" s="36" t="s">
        <v>577</v>
      </c>
      <c r="AJ3807" s="36" t="s">
        <v>1645</v>
      </c>
      <c r="AK3807" s="36" t="s">
        <v>132</v>
      </c>
      <c r="AW3807" s="36" t="s">
        <v>160</v>
      </c>
      <c r="AX3807" s="36">
        <v>3</v>
      </c>
      <c r="AZ3807" s="36" t="s">
        <v>2955</v>
      </c>
      <c r="BC3807" s="36">
        <f>478/27.8</f>
        <v>17.194244604316545</v>
      </c>
      <c r="BE3807" s="36" t="s">
        <v>3421</v>
      </c>
      <c r="BF3807" s="36">
        <v>2000</v>
      </c>
      <c r="BG3807" s="36">
        <v>3910</v>
      </c>
      <c r="BK3807" s="36">
        <v>570</v>
      </c>
      <c r="BL3807" s="36">
        <v>1330</v>
      </c>
      <c r="BP3807" s="407"/>
      <c r="BQ3807" s="407"/>
      <c r="BU3807" s="407"/>
      <c r="BV3807" s="407"/>
      <c r="BZ3807" s="407"/>
      <c r="CA3807" s="407"/>
      <c r="CE3807" s="560"/>
      <c r="CF3807" s="560"/>
      <c r="CG3807" s="560"/>
      <c r="CH3807" s="560"/>
      <c r="JD3807" s="230"/>
    </row>
    <row r="3808" spans="1:264" s="36" customFormat="1" x14ac:dyDescent="0.25">
      <c r="A3808" s="36">
        <v>171</v>
      </c>
      <c r="B3808" s="51" t="s">
        <v>3415</v>
      </c>
      <c r="C3808" s="36" t="s">
        <v>3418</v>
      </c>
      <c r="D3808" s="36" t="s">
        <v>3358</v>
      </c>
      <c r="E3808" s="36">
        <v>2000</v>
      </c>
      <c r="F3808" s="36">
        <v>1995</v>
      </c>
      <c r="G3808" s="36" t="s">
        <v>2933</v>
      </c>
      <c r="H3808" s="36" t="s">
        <v>3419</v>
      </c>
      <c r="I3808" s="36" t="s">
        <v>2823</v>
      </c>
      <c r="J3808" s="36">
        <f t="shared" si="501"/>
        <v>7.583333333333333</v>
      </c>
      <c r="K3808" s="36">
        <f t="shared" si="502"/>
        <v>3.8666666666666667</v>
      </c>
      <c r="L3808" s="36">
        <v>200</v>
      </c>
      <c r="N3808" s="36">
        <v>26.2</v>
      </c>
      <c r="P3808" s="36">
        <v>1300</v>
      </c>
      <c r="R3808" s="51" t="s">
        <v>1847</v>
      </c>
      <c r="S3808" s="51" t="s">
        <v>1728</v>
      </c>
      <c r="T3808" s="51"/>
      <c r="U3808" s="51" t="s">
        <v>1999</v>
      </c>
      <c r="V3808" s="51" t="s">
        <v>1379</v>
      </c>
      <c r="W3808" s="51" t="s">
        <v>1715</v>
      </c>
      <c r="X3808" s="51" t="s">
        <v>1379</v>
      </c>
      <c r="Y3808" s="51" t="s">
        <v>1379</v>
      </c>
      <c r="AA3808" s="331">
        <v>81.8</v>
      </c>
      <c r="AB3808" s="331">
        <v>11.2</v>
      </c>
      <c r="AC3808" s="36" t="s">
        <v>175</v>
      </c>
      <c r="AD3808" s="36">
        <v>6.2</v>
      </c>
      <c r="AE3808" s="36">
        <v>0.66</v>
      </c>
      <c r="AH3808" s="36" t="s">
        <v>3433</v>
      </c>
      <c r="AI3808" s="36" t="s">
        <v>577</v>
      </c>
      <c r="AJ3808" s="36" t="s">
        <v>1645</v>
      </c>
      <c r="AK3808" s="36" t="s">
        <v>132</v>
      </c>
      <c r="AW3808" s="36" t="s">
        <v>160</v>
      </c>
      <c r="AX3808" s="36">
        <v>3</v>
      </c>
      <c r="AZ3808" s="36" t="s">
        <v>2955</v>
      </c>
      <c r="BC3808" s="36">
        <f>437/28.7</f>
        <v>15.226480836236934</v>
      </c>
      <c r="BE3808" s="36" t="s">
        <v>3421</v>
      </c>
      <c r="BF3808" s="36">
        <v>2000</v>
      </c>
      <c r="BG3808" s="36">
        <v>2440</v>
      </c>
      <c r="BK3808" s="36">
        <v>570</v>
      </c>
      <c r="BL3808" s="36">
        <v>620</v>
      </c>
      <c r="BP3808" s="407"/>
      <c r="BQ3808" s="407"/>
      <c r="BU3808" s="407"/>
      <c r="BV3808" s="407"/>
      <c r="BZ3808" s="407"/>
      <c r="CA3808" s="407"/>
      <c r="CE3808" s="560"/>
      <c r="CF3808" s="560"/>
      <c r="CG3808" s="560"/>
      <c r="CH3808" s="560"/>
      <c r="JD3808" s="230"/>
    </row>
    <row r="3809" spans="1:264" s="36" customFormat="1" x14ac:dyDescent="0.25">
      <c r="A3809" s="36">
        <v>171</v>
      </c>
      <c r="B3809" s="51" t="s">
        <v>3415</v>
      </c>
      <c r="C3809" s="36" t="s">
        <v>3418</v>
      </c>
      <c r="D3809" s="36" t="s">
        <v>3358</v>
      </c>
      <c r="E3809" s="36">
        <v>2000</v>
      </c>
      <c r="F3809" s="36">
        <v>1995</v>
      </c>
      <c r="G3809" s="36" t="s">
        <v>2933</v>
      </c>
      <c r="H3809" s="36" t="s">
        <v>3419</v>
      </c>
      <c r="I3809" s="36" t="s">
        <v>2823</v>
      </c>
      <c r="J3809" s="36">
        <f t="shared" si="501"/>
        <v>7.583333333333333</v>
      </c>
      <c r="K3809" s="36">
        <f t="shared" si="502"/>
        <v>3.8666666666666667</v>
      </c>
      <c r="L3809" s="36">
        <v>200</v>
      </c>
      <c r="N3809" s="36">
        <v>26.2</v>
      </c>
      <c r="P3809" s="36">
        <v>1300</v>
      </c>
      <c r="R3809" s="51" t="s">
        <v>1847</v>
      </c>
      <c r="S3809" s="51" t="s">
        <v>1728</v>
      </c>
      <c r="T3809" s="51"/>
      <c r="U3809" s="51" t="s">
        <v>1999</v>
      </c>
      <c r="V3809" s="51" t="s">
        <v>1379</v>
      </c>
      <c r="W3809" s="51" t="s">
        <v>1715</v>
      </c>
      <c r="X3809" s="51" t="s">
        <v>1379</v>
      </c>
      <c r="Y3809" s="51" t="s">
        <v>1379</v>
      </c>
      <c r="AA3809" s="331">
        <v>81.8</v>
      </c>
      <c r="AB3809" s="331">
        <v>11.2</v>
      </c>
      <c r="AC3809" s="36" t="s">
        <v>175</v>
      </c>
      <c r="AD3809" s="36">
        <v>6.2</v>
      </c>
      <c r="AE3809" s="36">
        <v>0.66</v>
      </c>
      <c r="AH3809" s="36" t="s">
        <v>3434</v>
      </c>
      <c r="AI3809" s="36" t="s">
        <v>577</v>
      </c>
      <c r="AJ3809" s="36" t="s">
        <v>1645</v>
      </c>
      <c r="AK3809" s="36" t="s">
        <v>132</v>
      </c>
      <c r="AW3809" s="36" t="s">
        <v>160</v>
      </c>
      <c r="AX3809" s="36">
        <v>3</v>
      </c>
      <c r="AZ3809" s="36" t="s">
        <v>2955</v>
      </c>
      <c r="BC3809" s="36">
        <f>433/26.3</f>
        <v>16.463878326996198</v>
      </c>
      <c r="BE3809" s="36" t="s">
        <v>3421</v>
      </c>
      <c r="BF3809" s="36">
        <v>2000</v>
      </c>
      <c r="BG3809" s="36">
        <v>2760</v>
      </c>
      <c r="BK3809" s="36">
        <v>570</v>
      </c>
      <c r="BL3809" s="36">
        <v>1160</v>
      </c>
      <c r="BP3809" s="407"/>
      <c r="BQ3809" s="407"/>
      <c r="BU3809" s="407"/>
      <c r="BV3809" s="407"/>
      <c r="BZ3809" s="407"/>
      <c r="CA3809" s="407"/>
      <c r="CE3809" s="560"/>
      <c r="CF3809" s="560"/>
      <c r="CG3809" s="560"/>
      <c r="CH3809" s="560"/>
      <c r="JD3809" s="230"/>
    </row>
    <row r="3810" spans="1:264" s="24" customFormat="1" x14ac:dyDescent="0.25">
      <c r="A3810" s="24">
        <v>172</v>
      </c>
      <c r="B3810" s="42" t="s">
        <v>3439</v>
      </c>
      <c r="C3810" s="24" t="s">
        <v>3418</v>
      </c>
      <c r="D3810" s="24" t="s">
        <v>3358</v>
      </c>
      <c r="E3810" s="24">
        <v>2005</v>
      </c>
      <c r="F3810" s="24">
        <v>1989</v>
      </c>
      <c r="G3810" s="24" t="s">
        <v>2738</v>
      </c>
      <c r="H3810" s="24" t="s">
        <v>3435</v>
      </c>
      <c r="I3810" s="24" t="s">
        <v>2823</v>
      </c>
      <c r="J3810" s="24">
        <v>7.5</v>
      </c>
      <c r="K3810" s="24">
        <f t="shared" ref="K3810:K3841" si="503">3+54/60</f>
        <v>3.9</v>
      </c>
      <c r="L3810" s="24">
        <v>213</v>
      </c>
      <c r="P3810" s="24">
        <v>1247</v>
      </c>
      <c r="R3810" s="42" t="s">
        <v>1977</v>
      </c>
      <c r="S3810" s="42" t="s">
        <v>1931</v>
      </c>
      <c r="T3810" s="42"/>
      <c r="U3810" s="42" t="s">
        <v>3438</v>
      </c>
      <c r="V3810" s="42" t="s">
        <v>1394</v>
      </c>
      <c r="W3810" s="42" t="s">
        <v>1722</v>
      </c>
      <c r="X3810" s="42" t="s">
        <v>1394</v>
      </c>
      <c r="Y3810" s="42" t="s">
        <v>1394</v>
      </c>
      <c r="AA3810" s="321">
        <v>77.2</v>
      </c>
      <c r="AB3810" s="321">
        <v>11</v>
      </c>
      <c r="AC3810" s="24" t="s">
        <v>175</v>
      </c>
      <c r="AD3810" s="24">
        <v>7.8</v>
      </c>
      <c r="AE3810" s="24">
        <v>2.17</v>
      </c>
      <c r="AG3810" s="24" t="s">
        <v>3436</v>
      </c>
      <c r="AH3810" s="24" t="s">
        <v>3437</v>
      </c>
      <c r="AI3810" s="24" t="s">
        <v>577</v>
      </c>
      <c r="AJ3810" s="24" t="s">
        <v>1645</v>
      </c>
      <c r="AK3810" s="24" t="s">
        <v>132</v>
      </c>
      <c r="AW3810" s="24" t="s">
        <v>3293</v>
      </c>
      <c r="BK3810" s="24">
        <v>1300</v>
      </c>
      <c r="BL3810" s="24">
        <v>1530</v>
      </c>
      <c r="BP3810" s="395"/>
      <c r="BQ3810" s="395"/>
      <c r="BU3810" s="395">
        <v>1.1299999999999999</v>
      </c>
      <c r="BV3810" s="395">
        <v>1.27</v>
      </c>
      <c r="BZ3810" s="395"/>
      <c r="CA3810" s="395"/>
      <c r="CE3810" s="548">
        <v>1.1299999999999999</v>
      </c>
      <c r="CF3810" s="548">
        <v>1.27</v>
      </c>
      <c r="CG3810" s="548"/>
      <c r="CH3810" s="548"/>
      <c r="CI3810" s="24" t="s">
        <v>4546</v>
      </c>
      <c r="CO3810" s="24">
        <v>5.7</v>
      </c>
      <c r="CP3810" s="24">
        <v>5.9</v>
      </c>
      <c r="CS3810" s="24" t="s">
        <v>3443</v>
      </c>
      <c r="CT3810" s="24">
        <v>0.25</v>
      </c>
      <c r="CU3810" s="24">
        <v>0.23</v>
      </c>
      <c r="CX3810" s="24" t="s">
        <v>3444</v>
      </c>
      <c r="CY3810" s="395">
        <v>6.4</v>
      </c>
      <c r="CZ3810" s="395">
        <v>6.4</v>
      </c>
      <c r="DD3810" s="24">
        <f>3.2+0.56+0.25</f>
        <v>4.01</v>
      </c>
      <c r="DE3810" s="24">
        <f>3.9+0.57+0.23</f>
        <v>4.7</v>
      </c>
      <c r="DH3810" s="24" t="s">
        <v>2701</v>
      </c>
      <c r="JD3810" s="249"/>
    </row>
    <row r="3811" spans="1:264" s="24" customFormat="1" x14ac:dyDescent="0.25">
      <c r="A3811" s="24">
        <v>172</v>
      </c>
      <c r="B3811" s="42" t="s">
        <v>3439</v>
      </c>
      <c r="C3811" s="24" t="s">
        <v>3418</v>
      </c>
      <c r="D3811" s="24" t="s">
        <v>3358</v>
      </c>
      <c r="E3811" s="24">
        <v>2005</v>
      </c>
      <c r="F3811" s="24">
        <v>1989</v>
      </c>
      <c r="G3811" s="24" t="s">
        <v>2738</v>
      </c>
      <c r="H3811" s="24" t="s">
        <v>3435</v>
      </c>
      <c r="I3811" s="24" t="s">
        <v>2823</v>
      </c>
      <c r="J3811" s="24">
        <v>7.5</v>
      </c>
      <c r="K3811" s="24">
        <f t="shared" si="503"/>
        <v>3.9</v>
      </c>
      <c r="L3811" s="24">
        <v>213</v>
      </c>
      <c r="P3811" s="24">
        <v>1247</v>
      </c>
      <c r="R3811" s="42" t="s">
        <v>1977</v>
      </c>
      <c r="S3811" s="42" t="s">
        <v>1931</v>
      </c>
      <c r="T3811" s="42"/>
      <c r="U3811" s="42" t="s">
        <v>3438</v>
      </c>
      <c r="V3811" s="42" t="s">
        <v>1394</v>
      </c>
      <c r="W3811" s="42" t="s">
        <v>1722</v>
      </c>
      <c r="X3811" s="42" t="s">
        <v>1394</v>
      </c>
      <c r="Y3811" s="42" t="s">
        <v>1394</v>
      </c>
      <c r="AA3811" s="321">
        <v>77.2</v>
      </c>
      <c r="AB3811" s="321">
        <v>11</v>
      </c>
      <c r="AC3811" s="24" t="s">
        <v>175</v>
      </c>
      <c r="AD3811" s="24">
        <v>7.8</v>
      </c>
      <c r="AE3811" s="24">
        <v>2.17</v>
      </c>
      <c r="AG3811" s="24" t="s">
        <v>3436</v>
      </c>
      <c r="AH3811" s="24" t="s">
        <v>3437</v>
      </c>
      <c r="AI3811" s="24" t="s">
        <v>577</v>
      </c>
      <c r="AJ3811" s="24" t="s">
        <v>1645</v>
      </c>
      <c r="AK3811" s="24" t="s">
        <v>132</v>
      </c>
      <c r="AW3811" s="24" t="s">
        <v>3293</v>
      </c>
      <c r="BK3811" s="24">
        <v>1420</v>
      </c>
      <c r="BL3811" s="24">
        <v>1600</v>
      </c>
      <c r="BP3811" s="395"/>
      <c r="BQ3811" s="395"/>
      <c r="BU3811" s="395">
        <v>1.1299999999999999</v>
      </c>
      <c r="BV3811" s="395">
        <v>1.52</v>
      </c>
      <c r="BZ3811" s="395"/>
      <c r="CA3811" s="395"/>
      <c r="CE3811" s="548">
        <v>1.1299999999999999</v>
      </c>
      <c r="CF3811" s="548">
        <v>1.52</v>
      </c>
      <c r="CG3811" s="548"/>
      <c r="CH3811" s="548"/>
      <c r="CI3811" s="24" t="s">
        <v>4546</v>
      </c>
      <c r="CO3811" s="24">
        <v>5.7</v>
      </c>
      <c r="CP3811" s="24">
        <v>7.2</v>
      </c>
      <c r="CS3811" s="24" t="s">
        <v>3443</v>
      </c>
      <c r="CT3811" s="24">
        <v>0.25</v>
      </c>
      <c r="CU3811" s="24">
        <v>0.31</v>
      </c>
      <c r="CX3811" s="24" t="s">
        <v>3444</v>
      </c>
      <c r="CY3811" s="395">
        <v>6.4</v>
      </c>
      <c r="CZ3811" s="395">
        <v>6.4</v>
      </c>
      <c r="DD3811" s="24">
        <f t="shared" ref="DD3811:DD3812" si="504">3.2+0.56+0.25</f>
        <v>4.01</v>
      </c>
      <c r="DE3811" s="24">
        <f>3.3+0.7+0.31</f>
        <v>4.3099999999999996</v>
      </c>
      <c r="DH3811" s="24" t="s">
        <v>2701</v>
      </c>
      <c r="JD3811" s="249"/>
    </row>
    <row r="3812" spans="1:264" s="24" customFormat="1" x14ac:dyDescent="0.25">
      <c r="A3812" s="24">
        <v>172</v>
      </c>
      <c r="B3812" s="42" t="s">
        <v>3439</v>
      </c>
      <c r="C3812" s="24" t="s">
        <v>3418</v>
      </c>
      <c r="D3812" s="24" t="s">
        <v>3358</v>
      </c>
      <c r="E3812" s="24">
        <v>2005</v>
      </c>
      <c r="F3812" s="24">
        <v>1989</v>
      </c>
      <c r="G3812" s="24" t="s">
        <v>2738</v>
      </c>
      <c r="H3812" s="24" t="s">
        <v>3435</v>
      </c>
      <c r="I3812" s="24" t="s">
        <v>2823</v>
      </c>
      <c r="J3812" s="24">
        <v>7.5</v>
      </c>
      <c r="K3812" s="24">
        <f t="shared" si="503"/>
        <v>3.9</v>
      </c>
      <c r="L3812" s="24">
        <v>213</v>
      </c>
      <c r="P3812" s="24">
        <v>1247</v>
      </c>
      <c r="R3812" s="42" t="s">
        <v>1977</v>
      </c>
      <c r="S3812" s="42" t="s">
        <v>1931</v>
      </c>
      <c r="T3812" s="42"/>
      <c r="U3812" s="42" t="s">
        <v>3438</v>
      </c>
      <c r="V3812" s="42" t="s">
        <v>1394</v>
      </c>
      <c r="W3812" s="42" t="s">
        <v>1722</v>
      </c>
      <c r="X3812" s="42" t="s">
        <v>1394</v>
      </c>
      <c r="Y3812" s="42" t="s">
        <v>1394</v>
      </c>
      <c r="AA3812" s="321">
        <v>77.2</v>
      </c>
      <c r="AB3812" s="321">
        <v>11</v>
      </c>
      <c r="AC3812" s="24" t="s">
        <v>175</v>
      </c>
      <c r="AD3812" s="24">
        <v>7.8</v>
      </c>
      <c r="AE3812" s="24">
        <v>2.17</v>
      </c>
      <c r="AG3812" s="24" t="s">
        <v>3436</v>
      </c>
      <c r="AH3812" s="24" t="s">
        <v>3437</v>
      </c>
      <c r="AI3812" s="24" t="s">
        <v>577</v>
      </c>
      <c r="AJ3812" s="24" t="s">
        <v>1645</v>
      </c>
      <c r="AK3812" s="24" t="s">
        <v>132</v>
      </c>
      <c r="AW3812" s="24" t="s">
        <v>3293</v>
      </c>
      <c r="BK3812" s="24">
        <v>1350</v>
      </c>
      <c r="BL3812" s="24">
        <v>1730</v>
      </c>
      <c r="BP3812" s="395"/>
      <c r="BQ3812" s="395"/>
      <c r="BU3812" s="395">
        <v>1.1299999999999999</v>
      </c>
      <c r="BV3812" s="395">
        <v>1.55</v>
      </c>
      <c r="BZ3812" s="395"/>
      <c r="CA3812" s="395"/>
      <c r="CE3812" s="548">
        <v>1.1299999999999999</v>
      </c>
      <c r="CF3812" s="548">
        <v>1.55</v>
      </c>
      <c r="CG3812" s="548"/>
      <c r="CH3812" s="548"/>
      <c r="CI3812" s="24" t="s">
        <v>4546</v>
      </c>
      <c r="CO3812" s="24">
        <v>5.7</v>
      </c>
      <c r="CP3812" s="24">
        <v>9.1999999999999993</v>
      </c>
      <c r="CS3812" s="24" t="s">
        <v>3443</v>
      </c>
      <c r="CT3812" s="24">
        <v>0.25</v>
      </c>
      <c r="CU3812" s="24">
        <v>0.38</v>
      </c>
      <c r="CX3812" s="24" t="s">
        <v>3444</v>
      </c>
      <c r="CY3812" s="395">
        <v>6.4</v>
      </c>
      <c r="CZ3812" s="395">
        <v>6.6</v>
      </c>
      <c r="DD3812" s="24">
        <f t="shared" si="504"/>
        <v>4.01</v>
      </c>
      <c r="DE3812" s="24">
        <f>4+0.82+0.38</f>
        <v>5.2</v>
      </c>
      <c r="DH3812" s="24" t="s">
        <v>2701</v>
      </c>
      <c r="JD3812" s="249"/>
    </row>
    <row r="3813" spans="1:264" s="24" customFormat="1" x14ac:dyDescent="0.25">
      <c r="A3813" s="24">
        <v>172</v>
      </c>
      <c r="B3813" s="42" t="s">
        <v>3439</v>
      </c>
      <c r="C3813" s="24" t="s">
        <v>3418</v>
      </c>
      <c r="D3813" s="24" t="s">
        <v>3358</v>
      </c>
      <c r="E3813" s="24">
        <v>2005</v>
      </c>
      <c r="F3813" s="24">
        <v>1989</v>
      </c>
      <c r="G3813" s="24" t="s">
        <v>2738</v>
      </c>
      <c r="H3813" s="24" t="s">
        <v>3435</v>
      </c>
      <c r="I3813" s="24" t="s">
        <v>2823</v>
      </c>
      <c r="J3813" s="24">
        <v>7.5</v>
      </c>
      <c r="K3813" s="24">
        <f t="shared" si="503"/>
        <v>3.9</v>
      </c>
      <c r="L3813" s="24">
        <v>213</v>
      </c>
      <c r="P3813" s="24">
        <v>1247</v>
      </c>
      <c r="R3813" s="42" t="s">
        <v>1977</v>
      </c>
      <c r="S3813" s="42" t="s">
        <v>1931</v>
      </c>
      <c r="T3813" s="42"/>
      <c r="U3813" s="42" t="s">
        <v>3438</v>
      </c>
      <c r="V3813" s="42" t="s">
        <v>1382</v>
      </c>
      <c r="W3813" s="42" t="s">
        <v>1717</v>
      </c>
      <c r="X3813" s="42" t="s">
        <v>1382</v>
      </c>
      <c r="Y3813" s="42" t="s">
        <v>1382</v>
      </c>
      <c r="AA3813" s="321">
        <v>77.2</v>
      </c>
      <c r="AB3813" s="321">
        <v>11</v>
      </c>
      <c r="AC3813" s="24" t="s">
        <v>175</v>
      </c>
      <c r="AD3813" s="24">
        <v>7.8</v>
      </c>
      <c r="AE3813" s="24">
        <v>2.17</v>
      </c>
      <c r="AG3813" s="24" t="s">
        <v>3436</v>
      </c>
      <c r="AH3813" s="24" t="s">
        <v>3437</v>
      </c>
      <c r="AI3813" s="24" t="s">
        <v>577</v>
      </c>
      <c r="AJ3813" s="24" t="s">
        <v>1645</v>
      </c>
      <c r="AK3813" s="24" t="s">
        <v>132</v>
      </c>
      <c r="AW3813" s="24" t="s">
        <v>3293</v>
      </c>
      <c r="BK3813" s="24">
        <v>1400</v>
      </c>
      <c r="BL3813" s="24">
        <v>1300</v>
      </c>
      <c r="BP3813" s="395"/>
      <c r="BQ3813" s="395"/>
      <c r="BU3813" s="395"/>
      <c r="BV3813" s="395"/>
      <c r="BZ3813" s="395"/>
      <c r="CA3813" s="395"/>
      <c r="CE3813" s="548"/>
      <c r="CF3813" s="548"/>
      <c r="CG3813" s="548"/>
      <c r="CH3813" s="548"/>
      <c r="JD3813" s="249"/>
    </row>
    <row r="3814" spans="1:264" s="32" customFormat="1" x14ac:dyDescent="0.25">
      <c r="A3814" s="32">
        <v>172</v>
      </c>
      <c r="B3814" s="44" t="s">
        <v>3439</v>
      </c>
      <c r="C3814" s="32" t="s">
        <v>3418</v>
      </c>
      <c r="D3814" s="32" t="s">
        <v>3358</v>
      </c>
      <c r="E3814" s="32">
        <v>2005</v>
      </c>
      <c r="F3814" s="32">
        <v>1990</v>
      </c>
      <c r="G3814" s="32" t="s">
        <v>2738</v>
      </c>
      <c r="H3814" s="32" t="s">
        <v>3435</v>
      </c>
      <c r="I3814" s="32" t="s">
        <v>2823</v>
      </c>
      <c r="J3814" s="32">
        <v>7.5</v>
      </c>
      <c r="K3814" s="32">
        <f t="shared" si="503"/>
        <v>3.9</v>
      </c>
      <c r="L3814" s="32">
        <v>213</v>
      </c>
      <c r="P3814" s="32">
        <v>1247</v>
      </c>
      <c r="R3814" s="44" t="s">
        <v>1847</v>
      </c>
      <c r="S3814" s="44" t="s">
        <v>1931</v>
      </c>
      <c r="T3814" s="44"/>
      <c r="U3814" s="44" t="s">
        <v>3438</v>
      </c>
      <c r="V3814" s="44" t="s">
        <v>1412</v>
      </c>
      <c r="W3814" s="44" t="s">
        <v>1719</v>
      </c>
      <c r="X3814" s="44" t="s">
        <v>1412</v>
      </c>
      <c r="Y3814" s="44" t="s">
        <v>1412</v>
      </c>
      <c r="AA3814" s="323">
        <v>77.2</v>
      </c>
      <c r="AB3814" s="323">
        <v>11</v>
      </c>
      <c r="AC3814" s="32" t="s">
        <v>175</v>
      </c>
      <c r="AD3814" s="32">
        <v>7.8</v>
      </c>
      <c r="AE3814" s="32">
        <v>2.17</v>
      </c>
      <c r="AG3814" s="32" t="s">
        <v>3436</v>
      </c>
      <c r="AH3814" s="32" t="s">
        <v>3437</v>
      </c>
      <c r="AI3814" s="32" t="s">
        <v>577</v>
      </c>
      <c r="AJ3814" s="32" t="s">
        <v>1645</v>
      </c>
      <c r="AK3814" s="32" t="s">
        <v>132</v>
      </c>
      <c r="AW3814" s="32" t="s">
        <v>3293</v>
      </c>
      <c r="BK3814" s="32">
        <v>1880</v>
      </c>
      <c r="BL3814" s="32">
        <v>1900</v>
      </c>
      <c r="BP3814" s="397"/>
      <c r="BQ3814" s="397"/>
      <c r="BU3814" s="397">
        <v>0.85</v>
      </c>
      <c r="BV3814" s="397">
        <v>0.79</v>
      </c>
      <c r="BZ3814" s="397"/>
      <c r="CA3814" s="397"/>
      <c r="CE3814" s="550">
        <v>0.85</v>
      </c>
      <c r="CF3814" s="550">
        <v>0.79</v>
      </c>
      <c r="CG3814" s="550"/>
      <c r="CH3814" s="550"/>
      <c r="CI3814" s="32" t="s">
        <v>4546</v>
      </c>
      <c r="CO3814" s="32">
        <v>2.2999999999999998</v>
      </c>
      <c r="CP3814" s="32">
        <v>2.8</v>
      </c>
      <c r="CS3814" s="32" t="s">
        <v>3443</v>
      </c>
      <c r="CT3814" s="32">
        <v>0.18</v>
      </c>
      <c r="CU3814" s="32">
        <v>0.15</v>
      </c>
      <c r="CX3814" s="32" t="s">
        <v>3444</v>
      </c>
      <c r="CY3814" s="32">
        <v>6</v>
      </c>
      <c r="CZ3814" s="32">
        <v>6.1</v>
      </c>
      <c r="DD3814" s="32">
        <f>2.9+0.45+0.18</f>
        <v>3.5300000000000002</v>
      </c>
      <c r="DE3814" s="32">
        <f>3.4+0.48+0.15</f>
        <v>4.03</v>
      </c>
      <c r="DH3814" s="32" t="s">
        <v>2701</v>
      </c>
      <c r="JD3814" s="243"/>
    </row>
    <row r="3815" spans="1:264" s="32" customFormat="1" x14ac:dyDescent="0.25">
      <c r="A3815" s="32">
        <v>172</v>
      </c>
      <c r="B3815" s="44" t="s">
        <v>3439</v>
      </c>
      <c r="C3815" s="32" t="s">
        <v>3418</v>
      </c>
      <c r="D3815" s="32" t="s">
        <v>3358</v>
      </c>
      <c r="E3815" s="32">
        <v>2005</v>
      </c>
      <c r="F3815" s="32">
        <v>1990</v>
      </c>
      <c r="G3815" s="32" t="s">
        <v>2738</v>
      </c>
      <c r="H3815" s="32" t="s">
        <v>3435</v>
      </c>
      <c r="I3815" s="32" t="s">
        <v>2823</v>
      </c>
      <c r="J3815" s="32">
        <v>7.5</v>
      </c>
      <c r="K3815" s="32">
        <f t="shared" si="503"/>
        <v>3.9</v>
      </c>
      <c r="L3815" s="32">
        <v>213</v>
      </c>
      <c r="P3815" s="32">
        <v>1247</v>
      </c>
      <c r="R3815" s="44" t="s">
        <v>1847</v>
      </c>
      <c r="S3815" s="44" t="s">
        <v>1931</v>
      </c>
      <c r="T3815" s="44"/>
      <c r="U3815" s="44" t="s">
        <v>3438</v>
      </c>
      <c r="V3815" s="44" t="s">
        <v>1412</v>
      </c>
      <c r="W3815" s="44" t="s">
        <v>1719</v>
      </c>
      <c r="X3815" s="44" t="s">
        <v>1412</v>
      </c>
      <c r="Y3815" s="44" t="s">
        <v>1412</v>
      </c>
      <c r="AA3815" s="323">
        <v>77.2</v>
      </c>
      <c r="AB3815" s="323">
        <v>11</v>
      </c>
      <c r="AC3815" s="32" t="s">
        <v>175</v>
      </c>
      <c r="AD3815" s="32">
        <v>7.8</v>
      </c>
      <c r="AE3815" s="32">
        <v>2.17</v>
      </c>
      <c r="AG3815" s="32" t="s">
        <v>3436</v>
      </c>
      <c r="AH3815" s="32" t="s">
        <v>3437</v>
      </c>
      <c r="AI3815" s="32" t="s">
        <v>577</v>
      </c>
      <c r="AJ3815" s="32" t="s">
        <v>1645</v>
      </c>
      <c r="AK3815" s="32" t="s">
        <v>132</v>
      </c>
      <c r="AW3815" s="32" t="s">
        <v>3293</v>
      </c>
      <c r="BP3815" s="397"/>
      <c r="BQ3815" s="397"/>
      <c r="BU3815" s="397">
        <v>0.85</v>
      </c>
      <c r="BV3815" s="397">
        <v>0.87</v>
      </c>
      <c r="BZ3815" s="397"/>
      <c r="CA3815" s="397"/>
      <c r="CE3815" s="550">
        <v>0.85</v>
      </c>
      <c r="CF3815" s="550">
        <v>0.87</v>
      </c>
      <c r="CG3815" s="550"/>
      <c r="CH3815" s="550"/>
      <c r="CI3815" s="32" t="s">
        <v>4546</v>
      </c>
      <c r="CO3815" s="32">
        <v>2.2999999999999998</v>
      </c>
      <c r="CP3815" s="32">
        <v>2.4</v>
      </c>
      <c r="CS3815" s="32" t="s">
        <v>3443</v>
      </c>
      <c r="CT3815" s="32">
        <v>0.18</v>
      </c>
      <c r="CU3815" s="32">
        <v>0.2</v>
      </c>
      <c r="CX3815" s="32" t="s">
        <v>3444</v>
      </c>
      <c r="CY3815" s="32">
        <v>6</v>
      </c>
      <c r="CZ3815" s="32">
        <v>6.1</v>
      </c>
      <c r="DD3815" s="32">
        <f t="shared" ref="DD3815:DD3816" si="505">2.9+0.45+0.18</f>
        <v>3.5300000000000002</v>
      </c>
      <c r="DE3815" s="32">
        <f>2.8+0.48+0.2</f>
        <v>3.48</v>
      </c>
      <c r="DH3815" s="32" t="s">
        <v>2701</v>
      </c>
      <c r="JD3815" s="243"/>
    </row>
    <row r="3816" spans="1:264" s="32" customFormat="1" x14ac:dyDescent="0.25">
      <c r="A3816" s="32">
        <v>172</v>
      </c>
      <c r="B3816" s="44" t="s">
        <v>3439</v>
      </c>
      <c r="C3816" s="32" t="s">
        <v>3418</v>
      </c>
      <c r="D3816" s="32" t="s">
        <v>3358</v>
      </c>
      <c r="E3816" s="32">
        <v>2005</v>
      </c>
      <c r="F3816" s="32">
        <v>1990</v>
      </c>
      <c r="G3816" s="32" t="s">
        <v>2738</v>
      </c>
      <c r="H3816" s="32" t="s">
        <v>3435</v>
      </c>
      <c r="I3816" s="32" t="s">
        <v>2823</v>
      </c>
      <c r="J3816" s="32">
        <v>7.5</v>
      </c>
      <c r="K3816" s="32">
        <f t="shared" si="503"/>
        <v>3.9</v>
      </c>
      <c r="L3816" s="32">
        <v>213</v>
      </c>
      <c r="P3816" s="32">
        <v>1247</v>
      </c>
      <c r="R3816" s="44" t="s">
        <v>1847</v>
      </c>
      <c r="S3816" s="44" t="s">
        <v>1931</v>
      </c>
      <c r="T3816" s="44"/>
      <c r="U3816" s="44" t="s">
        <v>3438</v>
      </c>
      <c r="V3816" s="44" t="s">
        <v>1412</v>
      </c>
      <c r="W3816" s="44" t="s">
        <v>1719</v>
      </c>
      <c r="X3816" s="44" t="s">
        <v>1412</v>
      </c>
      <c r="Y3816" s="44" t="s">
        <v>1412</v>
      </c>
      <c r="AA3816" s="323">
        <v>77.2</v>
      </c>
      <c r="AB3816" s="323">
        <v>11</v>
      </c>
      <c r="AC3816" s="32" t="s">
        <v>175</v>
      </c>
      <c r="AD3816" s="32">
        <v>7.8</v>
      </c>
      <c r="AE3816" s="32">
        <v>2.17</v>
      </c>
      <c r="AG3816" s="32" t="s">
        <v>3436</v>
      </c>
      <c r="AH3816" s="32" t="s">
        <v>3437</v>
      </c>
      <c r="AI3816" s="32" t="s">
        <v>577</v>
      </c>
      <c r="AJ3816" s="32" t="s">
        <v>1645</v>
      </c>
      <c r="AK3816" s="32" t="s">
        <v>132</v>
      </c>
      <c r="AW3816" s="32" t="s">
        <v>3293</v>
      </c>
      <c r="BP3816" s="397"/>
      <c r="BQ3816" s="397"/>
      <c r="BU3816" s="397">
        <v>0.85</v>
      </c>
      <c r="BV3816" s="397">
        <v>0.99</v>
      </c>
      <c r="BZ3816" s="397"/>
      <c r="CA3816" s="397"/>
      <c r="CE3816" s="550">
        <v>0.85</v>
      </c>
      <c r="CF3816" s="550">
        <v>0.99</v>
      </c>
      <c r="CG3816" s="550"/>
      <c r="CH3816" s="550"/>
      <c r="CI3816" s="32" t="s">
        <v>4546</v>
      </c>
      <c r="CO3816" s="32">
        <v>2.2999999999999998</v>
      </c>
      <c r="CP3816" s="32">
        <v>3.1</v>
      </c>
      <c r="CS3816" s="32" t="s">
        <v>3443</v>
      </c>
      <c r="CT3816" s="32">
        <v>0.18</v>
      </c>
      <c r="CU3816" s="32">
        <v>0.2</v>
      </c>
      <c r="CX3816" s="32" t="s">
        <v>3444</v>
      </c>
      <c r="CY3816" s="32">
        <v>6</v>
      </c>
      <c r="CZ3816" s="32">
        <v>6.2</v>
      </c>
      <c r="DD3816" s="32">
        <f t="shared" si="505"/>
        <v>3.5300000000000002</v>
      </c>
      <c r="DE3816" s="32">
        <f>3.2+0.55+0.2</f>
        <v>3.95</v>
      </c>
      <c r="DH3816" s="32" t="s">
        <v>2701</v>
      </c>
      <c r="JD3816" s="243"/>
    </row>
    <row r="3817" spans="1:264" s="32" customFormat="1" x14ac:dyDescent="0.25">
      <c r="A3817" s="32">
        <v>172</v>
      </c>
      <c r="B3817" s="44" t="s">
        <v>3439</v>
      </c>
      <c r="C3817" s="32" t="s">
        <v>3418</v>
      </c>
      <c r="D3817" s="32" t="s">
        <v>3358</v>
      </c>
      <c r="E3817" s="32">
        <v>2005</v>
      </c>
      <c r="F3817" s="32">
        <v>1990</v>
      </c>
      <c r="G3817" s="32" t="s">
        <v>2738</v>
      </c>
      <c r="H3817" s="32" t="s">
        <v>3435</v>
      </c>
      <c r="I3817" s="32" t="s">
        <v>2823</v>
      </c>
      <c r="J3817" s="32">
        <v>7.5</v>
      </c>
      <c r="K3817" s="32">
        <f t="shared" si="503"/>
        <v>3.9</v>
      </c>
      <c r="L3817" s="32">
        <v>213</v>
      </c>
      <c r="P3817" s="32">
        <v>1247</v>
      </c>
      <c r="R3817" s="44" t="s">
        <v>1847</v>
      </c>
      <c r="S3817" s="44" t="s">
        <v>1931</v>
      </c>
      <c r="T3817" s="44"/>
      <c r="U3817" s="44" t="s">
        <v>3438</v>
      </c>
      <c r="V3817" s="44" t="s">
        <v>1382</v>
      </c>
      <c r="W3817" s="44" t="s">
        <v>1717</v>
      </c>
      <c r="X3817" s="44" t="s">
        <v>1382</v>
      </c>
      <c r="Y3817" s="44" t="s">
        <v>1382</v>
      </c>
      <c r="AA3817" s="323">
        <v>77.2</v>
      </c>
      <c r="AB3817" s="323">
        <v>11</v>
      </c>
      <c r="AC3817" s="32" t="s">
        <v>175</v>
      </c>
      <c r="AD3817" s="32">
        <v>7.8</v>
      </c>
      <c r="AE3817" s="32">
        <v>2.17</v>
      </c>
      <c r="AG3817" s="32" t="s">
        <v>3436</v>
      </c>
      <c r="AH3817" s="32" t="s">
        <v>3437</v>
      </c>
      <c r="AI3817" s="32" t="s">
        <v>577</v>
      </c>
      <c r="AJ3817" s="32" t="s">
        <v>1645</v>
      </c>
      <c r="AK3817" s="32" t="s">
        <v>132</v>
      </c>
      <c r="AW3817" s="32" t="s">
        <v>3293</v>
      </c>
      <c r="BP3817" s="397"/>
      <c r="BQ3817" s="397"/>
      <c r="BU3817" s="397"/>
      <c r="BV3817" s="397"/>
      <c r="BZ3817" s="397"/>
      <c r="CA3817" s="397"/>
      <c r="CE3817" s="550"/>
      <c r="CF3817" s="550"/>
      <c r="CG3817" s="550"/>
      <c r="CH3817" s="550"/>
      <c r="JD3817" s="243"/>
    </row>
    <row r="3818" spans="1:264" s="24" customFormat="1" x14ac:dyDescent="0.25">
      <c r="A3818" s="24">
        <v>172</v>
      </c>
      <c r="B3818" s="42" t="s">
        <v>3439</v>
      </c>
      <c r="C3818" s="24" t="s">
        <v>3418</v>
      </c>
      <c r="D3818" s="24" t="s">
        <v>3358</v>
      </c>
      <c r="E3818" s="24">
        <v>2005</v>
      </c>
      <c r="F3818" s="24">
        <v>1991</v>
      </c>
      <c r="G3818" s="24" t="s">
        <v>2738</v>
      </c>
      <c r="H3818" s="24" t="s">
        <v>3435</v>
      </c>
      <c r="I3818" s="24" t="s">
        <v>2823</v>
      </c>
      <c r="J3818" s="24">
        <v>7.5</v>
      </c>
      <c r="K3818" s="24">
        <f t="shared" si="503"/>
        <v>3.9</v>
      </c>
      <c r="L3818" s="24">
        <v>213</v>
      </c>
      <c r="P3818" s="24">
        <v>1247</v>
      </c>
      <c r="R3818" s="42" t="s">
        <v>1728</v>
      </c>
      <c r="S3818" s="42" t="s">
        <v>1931</v>
      </c>
      <c r="T3818" s="42"/>
      <c r="U3818" s="42" t="s">
        <v>3438</v>
      </c>
      <c r="V3818" s="42" t="s">
        <v>1394</v>
      </c>
      <c r="W3818" s="42" t="s">
        <v>1722</v>
      </c>
      <c r="X3818" s="42" t="s">
        <v>1394</v>
      </c>
      <c r="Y3818" s="42" t="s">
        <v>1394</v>
      </c>
      <c r="AA3818" s="321">
        <v>77.2</v>
      </c>
      <c r="AB3818" s="321">
        <v>11</v>
      </c>
      <c r="AC3818" s="24" t="s">
        <v>175</v>
      </c>
      <c r="AD3818" s="24">
        <v>7.8</v>
      </c>
      <c r="AE3818" s="24">
        <v>2.17</v>
      </c>
      <c r="AG3818" s="24" t="s">
        <v>3436</v>
      </c>
      <c r="AH3818" s="24" t="s">
        <v>3437</v>
      </c>
      <c r="AI3818" s="24" t="s">
        <v>577</v>
      </c>
      <c r="AJ3818" s="24" t="s">
        <v>1645</v>
      </c>
      <c r="AK3818" s="24" t="s">
        <v>132</v>
      </c>
      <c r="AW3818" s="24" t="s">
        <v>3293</v>
      </c>
      <c r="BF3818" s="24">
        <v>2720</v>
      </c>
      <c r="BG3818" s="24">
        <v>1890</v>
      </c>
      <c r="BK3818" s="24">
        <v>2330</v>
      </c>
      <c r="BL3818" s="24">
        <v>2470</v>
      </c>
      <c r="BP3818" s="395"/>
      <c r="BQ3818" s="395"/>
      <c r="BU3818" s="395">
        <v>1.07</v>
      </c>
      <c r="BV3818" s="395">
        <v>1.17</v>
      </c>
      <c r="BZ3818" s="395"/>
      <c r="CA3818" s="395"/>
      <c r="CE3818" s="548">
        <v>1.07</v>
      </c>
      <c r="CF3818" s="548">
        <v>1.17</v>
      </c>
      <c r="CG3818" s="548"/>
      <c r="CH3818" s="548"/>
      <c r="CI3818" s="24" t="s">
        <v>4546</v>
      </c>
      <c r="CO3818" s="24">
        <v>6.6</v>
      </c>
      <c r="CP3818" s="24">
        <v>7.2</v>
      </c>
      <c r="CS3818" s="24" t="s">
        <v>3443</v>
      </c>
      <c r="CT3818" s="24">
        <v>0.3</v>
      </c>
      <c r="CU3818" s="24">
        <v>0.22</v>
      </c>
      <c r="CX3818" s="24" t="s">
        <v>3444</v>
      </c>
      <c r="CY3818" s="24">
        <v>6</v>
      </c>
      <c r="CZ3818" s="24">
        <v>6.4</v>
      </c>
      <c r="DD3818" s="24">
        <f>3.2+0.66+0.3</f>
        <v>4.16</v>
      </c>
      <c r="DE3818" s="24">
        <f>2.8+0.52+0.22</f>
        <v>3.54</v>
      </c>
      <c r="DH3818" s="24" t="s">
        <v>2701</v>
      </c>
      <c r="JD3818" s="249"/>
    </row>
    <row r="3819" spans="1:264" s="24" customFormat="1" x14ac:dyDescent="0.25">
      <c r="A3819" s="24">
        <v>172</v>
      </c>
      <c r="B3819" s="42" t="s">
        <v>3439</v>
      </c>
      <c r="C3819" s="24" t="s">
        <v>3418</v>
      </c>
      <c r="D3819" s="24" t="s">
        <v>3358</v>
      </c>
      <c r="E3819" s="24">
        <v>2005</v>
      </c>
      <c r="F3819" s="24">
        <v>1991</v>
      </c>
      <c r="G3819" s="24" t="s">
        <v>2738</v>
      </c>
      <c r="H3819" s="24" t="s">
        <v>3435</v>
      </c>
      <c r="I3819" s="24" t="s">
        <v>2823</v>
      </c>
      <c r="J3819" s="24">
        <v>7.5</v>
      </c>
      <c r="K3819" s="24">
        <f t="shared" si="503"/>
        <v>3.9</v>
      </c>
      <c r="L3819" s="24">
        <v>213</v>
      </c>
      <c r="P3819" s="24">
        <v>1247</v>
      </c>
      <c r="R3819" s="42" t="s">
        <v>1728</v>
      </c>
      <c r="S3819" s="42" t="s">
        <v>1931</v>
      </c>
      <c r="T3819" s="42"/>
      <c r="U3819" s="42" t="s">
        <v>3438</v>
      </c>
      <c r="V3819" s="42" t="s">
        <v>1394</v>
      </c>
      <c r="W3819" s="42" t="s">
        <v>1722</v>
      </c>
      <c r="X3819" s="42" t="s">
        <v>1394</v>
      </c>
      <c r="Y3819" s="42" t="s">
        <v>1394</v>
      </c>
      <c r="AA3819" s="321">
        <v>77.2</v>
      </c>
      <c r="AB3819" s="321">
        <v>11</v>
      </c>
      <c r="AC3819" s="24" t="s">
        <v>175</v>
      </c>
      <c r="AD3819" s="24">
        <v>7.8</v>
      </c>
      <c r="AE3819" s="24">
        <v>2.17</v>
      </c>
      <c r="AG3819" s="24" t="s">
        <v>3436</v>
      </c>
      <c r="AH3819" s="24" t="s">
        <v>3437</v>
      </c>
      <c r="AI3819" s="24" t="s">
        <v>577</v>
      </c>
      <c r="AJ3819" s="24" t="s">
        <v>1645</v>
      </c>
      <c r="AK3819" s="24" t="s">
        <v>132</v>
      </c>
      <c r="AW3819" s="24" t="s">
        <v>3293</v>
      </c>
      <c r="BF3819" s="24">
        <v>3140</v>
      </c>
      <c r="BG3819" s="24">
        <v>3700</v>
      </c>
      <c r="BK3819" s="24">
        <v>3010</v>
      </c>
      <c r="BL3819" s="24">
        <v>2850</v>
      </c>
      <c r="BP3819" s="395"/>
      <c r="BQ3819" s="395"/>
      <c r="BU3819" s="395">
        <v>1.07</v>
      </c>
      <c r="BV3819" s="395">
        <v>1.1200000000000001</v>
      </c>
      <c r="BZ3819" s="395"/>
      <c r="CA3819" s="395"/>
      <c r="CE3819" s="548">
        <v>1.07</v>
      </c>
      <c r="CF3819" s="548">
        <v>1.1200000000000001</v>
      </c>
      <c r="CG3819" s="548"/>
      <c r="CH3819" s="548"/>
      <c r="CI3819" s="24" t="s">
        <v>4546</v>
      </c>
      <c r="CO3819" s="24">
        <v>6.6</v>
      </c>
      <c r="CP3819" s="24">
        <v>7.5</v>
      </c>
      <c r="CS3819" s="24" t="s">
        <v>3443</v>
      </c>
      <c r="CT3819" s="24">
        <v>0.3</v>
      </c>
      <c r="CU3819" s="24">
        <v>0.25</v>
      </c>
      <c r="CX3819" s="24" t="s">
        <v>3444</v>
      </c>
      <c r="CY3819" s="24">
        <v>6</v>
      </c>
      <c r="CZ3819" s="24">
        <v>6.2</v>
      </c>
      <c r="DD3819" s="24">
        <f t="shared" ref="DD3819:DD3820" si="506">3.2+0.66+0.3</f>
        <v>4.16</v>
      </c>
      <c r="DE3819" s="24">
        <f>3.1+0.58+0.25</f>
        <v>3.93</v>
      </c>
      <c r="DH3819" s="24" t="s">
        <v>2701</v>
      </c>
      <c r="JD3819" s="249"/>
    </row>
    <row r="3820" spans="1:264" s="24" customFormat="1" x14ac:dyDescent="0.25">
      <c r="A3820" s="24">
        <v>172</v>
      </c>
      <c r="B3820" s="42" t="s">
        <v>3439</v>
      </c>
      <c r="C3820" s="24" t="s">
        <v>3418</v>
      </c>
      <c r="D3820" s="24" t="s">
        <v>3358</v>
      </c>
      <c r="E3820" s="24">
        <v>2005</v>
      </c>
      <c r="F3820" s="24">
        <v>1991</v>
      </c>
      <c r="G3820" s="24" t="s">
        <v>2738</v>
      </c>
      <c r="H3820" s="24" t="s">
        <v>3435</v>
      </c>
      <c r="I3820" s="24" t="s">
        <v>2823</v>
      </c>
      <c r="J3820" s="24">
        <v>7.5</v>
      </c>
      <c r="K3820" s="24">
        <f t="shared" si="503"/>
        <v>3.9</v>
      </c>
      <c r="L3820" s="24">
        <v>213</v>
      </c>
      <c r="P3820" s="24">
        <v>1247</v>
      </c>
      <c r="R3820" s="42" t="s">
        <v>1728</v>
      </c>
      <c r="S3820" s="42" t="s">
        <v>1931</v>
      </c>
      <c r="T3820" s="42"/>
      <c r="U3820" s="42" t="s">
        <v>3438</v>
      </c>
      <c r="V3820" s="42" t="s">
        <v>1394</v>
      </c>
      <c r="W3820" s="42" t="s">
        <v>1722</v>
      </c>
      <c r="X3820" s="42" t="s">
        <v>1394</v>
      </c>
      <c r="Y3820" s="42" t="s">
        <v>1394</v>
      </c>
      <c r="AA3820" s="321">
        <v>77.2</v>
      </c>
      <c r="AB3820" s="321">
        <v>11</v>
      </c>
      <c r="AC3820" s="24" t="s">
        <v>175</v>
      </c>
      <c r="AD3820" s="24">
        <v>7.8</v>
      </c>
      <c r="AE3820" s="24">
        <v>2.17</v>
      </c>
      <c r="AG3820" s="24" t="s">
        <v>3436</v>
      </c>
      <c r="AH3820" s="24" t="s">
        <v>3437</v>
      </c>
      <c r="AI3820" s="24" t="s">
        <v>577</v>
      </c>
      <c r="AJ3820" s="24" t="s">
        <v>1645</v>
      </c>
      <c r="AK3820" s="24" t="s">
        <v>132</v>
      </c>
      <c r="AW3820" s="24" t="s">
        <v>3293</v>
      </c>
      <c r="BP3820" s="395"/>
      <c r="BQ3820" s="395"/>
      <c r="BU3820" s="395">
        <v>1.07</v>
      </c>
      <c r="BV3820" s="395">
        <v>1.29</v>
      </c>
      <c r="BZ3820" s="395"/>
      <c r="CA3820" s="395"/>
      <c r="CE3820" s="548">
        <v>1.07</v>
      </c>
      <c r="CF3820" s="548">
        <v>1.29</v>
      </c>
      <c r="CG3820" s="548"/>
      <c r="CH3820" s="548"/>
      <c r="CI3820" s="24" t="s">
        <v>4546</v>
      </c>
      <c r="CO3820" s="24">
        <v>6.6</v>
      </c>
      <c r="CP3820" s="24">
        <v>4.7</v>
      </c>
      <c r="CS3820" s="24" t="s">
        <v>3443</v>
      </c>
      <c r="CT3820" s="24">
        <v>0.3</v>
      </c>
      <c r="CU3820" s="24">
        <v>0.26</v>
      </c>
      <c r="CX3820" s="24" t="s">
        <v>3444</v>
      </c>
      <c r="CY3820" s="24">
        <v>6</v>
      </c>
      <c r="CZ3820" s="24">
        <v>6.1</v>
      </c>
      <c r="DD3820" s="24">
        <f t="shared" si="506"/>
        <v>4.16</v>
      </c>
      <c r="DE3820" s="24">
        <f>2.4+0.55+0.25</f>
        <v>3.2</v>
      </c>
      <c r="DH3820" s="24" t="s">
        <v>2701</v>
      </c>
      <c r="JD3820" s="249"/>
    </row>
    <row r="3821" spans="1:264" s="24" customFormat="1" x14ac:dyDescent="0.25">
      <c r="A3821" s="24">
        <v>172</v>
      </c>
      <c r="B3821" s="42" t="s">
        <v>3439</v>
      </c>
      <c r="C3821" s="24" t="s">
        <v>3418</v>
      </c>
      <c r="D3821" s="24" t="s">
        <v>3358</v>
      </c>
      <c r="E3821" s="24">
        <v>2005</v>
      </c>
      <c r="F3821" s="24">
        <v>1991</v>
      </c>
      <c r="G3821" s="24" t="s">
        <v>2738</v>
      </c>
      <c r="H3821" s="24" t="s">
        <v>3435</v>
      </c>
      <c r="I3821" s="24" t="s">
        <v>2823</v>
      </c>
      <c r="J3821" s="24">
        <v>7.5</v>
      </c>
      <c r="K3821" s="24">
        <f t="shared" si="503"/>
        <v>3.9</v>
      </c>
      <c r="L3821" s="24">
        <v>213</v>
      </c>
      <c r="P3821" s="24">
        <v>1247</v>
      </c>
      <c r="R3821" s="42" t="s">
        <v>1728</v>
      </c>
      <c r="S3821" s="42" t="s">
        <v>1931</v>
      </c>
      <c r="T3821" s="42"/>
      <c r="U3821" s="42" t="s">
        <v>3438</v>
      </c>
      <c r="V3821" s="42" t="s">
        <v>1382</v>
      </c>
      <c r="W3821" s="42" t="s">
        <v>1717</v>
      </c>
      <c r="X3821" s="42" t="s">
        <v>1382</v>
      </c>
      <c r="Y3821" s="42" t="s">
        <v>1382</v>
      </c>
      <c r="AA3821" s="321">
        <v>77.2</v>
      </c>
      <c r="AB3821" s="321">
        <v>11</v>
      </c>
      <c r="AC3821" s="24" t="s">
        <v>175</v>
      </c>
      <c r="AD3821" s="24">
        <v>7.8</v>
      </c>
      <c r="AE3821" s="24">
        <v>2.17</v>
      </c>
      <c r="AG3821" s="24" t="s">
        <v>3436</v>
      </c>
      <c r="AH3821" s="24" t="s">
        <v>3437</v>
      </c>
      <c r="AI3821" s="24" t="s">
        <v>577</v>
      </c>
      <c r="AJ3821" s="24" t="s">
        <v>1645</v>
      </c>
      <c r="AK3821" s="24" t="s">
        <v>132</v>
      </c>
      <c r="AW3821" s="24" t="s">
        <v>3293</v>
      </c>
      <c r="BP3821" s="395"/>
      <c r="BQ3821" s="395"/>
      <c r="BU3821" s="395"/>
      <c r="BV3821" s="395"/>
      <c r="BZ3821" s="395"/>
      <c r="CA3821" s="395"/>
      <c r="CE3821" s="548"/>
      <c r="CF3821" s="548"/>
      <c r="CG3821" s="548"/>
      <c r="CH3821" s="548"/>
      <c r="JD3821" s="249"/>
    </row>
    <row r="3822" spans="1:264" s="32" customFormat="1" x14ac:dyDescent="0.25">
      <c r="A3822" s="32">
        <v>172</v>
      </c>
      <c r="B3822" s="44" t="s">
        <v>3439</v>
      </c>
      <c r="C3822" s="32" t="s">
        <v>3418</v>
      </c>
      <c r="D3822" s="32" t="s">
        <v>3358</v>
      </c>
      <c r="E3822" s="32">
        <v>2005</v>
      </c>
      <c r="F3822" s="32">
        <v>1992</v>
      </c>
      <c r="G3822" s="32" t="s">
        <v>2738</v>
      </c>
      <c r="H3822" s="32" t="s">
        <v>3435</v>
      </c>
      <c r="I3822" s="32" t="s">
        <v>2823</v>
      </c>
      <c r="J3822" s="32">
        <v>7.5</v>
      </c>
      <c r="K3822" s="32">
        <f t="shared" si="503"/>
        <v>3.9</v>
      </c>
      <c r="L3822" s="32">
        <v>213</v>
      </c>
      <c r="P3822" s="32">
        <v>1247</v>
      </c>
      <c r="R3822" s="44" t="s">
        <v>1858</v>
      </c>
      <c r="S3822" s="44" t="s">
        <v>1931</v>
      </c>
      <c r="T3822" s="44"/>
      <c r="U3822" s="44" t="s">
        <v>3438</v>
      </c>
      <c r="V3822" s="44" t="s">
        <v>1412</v>
      </c>
      <c r="W3822" s="44" t="s">
        <v>1719</v>
      </c>
      <c r="X3822" s="44" t="s">
        <v>1412</v>
      </c>
      <c r="Y3822" s="44" t="s">
        <v>1412</v>
      </c>
      <c r="AA3822" s="323">
        <v>77.2</v>
      </c>
      <c r="AB3822" s="323">
        <v>11</v>
      </c>
      <c r="AC3822" s="32" t="s">
        <v>175</v>
      </c>
      <c r="AD3822" s="32">
        <v>7.8</v>
      </c>
      <c r="AE3822" s="32">
        <v>2.17</v>
      </c>
      <c r="AG3822" s="32" t="s">
        <v>3436</v>
      </c>
      <c r="AH3822" s="32" t="s">
        <v>3437</v>
      </c>
      <c r="AI3822" s="32" t="s">
        <v>577</v>
      </c>
      <c r="AJ3822" s="32" t="s">
        <v>1645</v>
      </c>
      <c r="AK3822" s="32" t="s">
        <v>132</v>
      </c>
      <c r="AW3822" s="32" t="s">
        <v>3293</v>
      </c>
      <c r="BF3822" s="32">
        <v>1470</v>
      </c>
      <c r="BG3822" s="32">
        <v>2370</v>
      </c>
      <c r="BK3822" s="32">
        <v>1210</v>
      </c>
      <c r="BL3822" s="32">
        <v>710</v>
      </c>
      <c r="BP3822" s="397"/>
      <c r="BQ3822" s="397"/>
      <c r="BU3822" s="397">
        <v>0.59</v>
      </c>
      <c r="BV3822" s="397">
        <v>0.62</v>
      </c>
      <c r="BZ3822" s="397"/>
      <c r="CA3822" s="397"/>
      <c r="CE3822" s="550">
        <v>0.59</v>
      </c>
      <c r="CF3822" s="550">
        <v>0.62</v>
      </c>
      <c r="CG3822" s="550"/>
      <c r="CH3822" s="550"/>
      <c r="CI3822" s="32" t="s">
        <v>4546</v>
      </c>
      <c r="CO3822" s="32">
        <v>2.4</v>
      </c>
      <c r="CP3822" s="32">
        <v>2.2000000000000002</v>
      </c>
      <c r="CS3822" s="32" t="s">
        <v>3443</v>
      </c>
      <c r="CT3822" s="32">
        <v>0.28000000000000003</v>
      </c>
      <c r="CU3822" s="32">
        <v>0.13</v>
      </c>
      <c r="CX3822" s="32" t="s">
        <v>3444</v>
      </c>
      <c r="CY3822" s="32">
        <v>6</v>
      </c>
      <c r="CZ3822" s="32">
        <v>5.9</v>
      </c>
      <c r="DD3822" s="32">
        <f>3.5+0.5+0.28</f>
        <v>4.28</v>
      </c>
      <c r="DE3822" s="32">
        <f>2.5+0.43+0.13</f>
        <v>3.06</v>
      </c>
      <c r="DH3822" s="32" t="s">
        <v>2701</v>
      </c>
      <c r="JD3822" s="243"/>
    </row>
    <row r="3823" spans="1:264" s="32" customFormat="1" x14ac:dyDescent="0.25">
      <c r="A3823" s="32">
        <v>172</v>
      </c>
      <c r="B3823" s="44" t="s">
        <v>3439</v>
      </c>
      <c r="C3823" s="32" t="s">
        <v>3418</v>
      </c>
      <c r="D3823" s="32" t="s">
        <v>3358</v>
      </c>
      <c r="E3823" s="32">
        <v>2005</v>
      </c>
      <c r="F3823" s="32">
        <v>1992</v>
      </c>
      <c r="G3823" s="32" t="s">
        <v>2738</v>
      </c>
      <c r="H3823" s="32" t="s">
        <v>3435</v>
      </c>
      <c r="I3823" s="32" t="s">
        <v>2823</v>
      </c>
      <c r="J3823" s="32">
        <v>7.5</v>
      </c>
      <c r="K3823" s="32">
        <f t="shared" si="503"/>
        <v>3.9</v>
      </c>
      <c r="L3823" s="32">
        <v>213</v>
      </c>
      <c r="P3823" s="32">
        <v>1247</v>
      </c>
      <c r="R3823" s="44" t="s">
        <v>1858</v>
      </c>
      <c r="S3823" s="44" t="s">
        <v>1931</v>
      </c>
      <c r="T3823" s="44"/>
      <c r="U3823" s="44" t="s">
        <v>3438</v>
      </c>
      <c r="V3823" s="44" t="s">
        <v>1412</v>
      </c>
      <c r="W3823" s="44" t="s">
        <v>1719</v>
      </c>
      <c r="X3823" s="44" t="s">
        <v>1412</v>
      </c>
      <c r="Y3823" s="44" t="s">
        <v>1412</v>
      </c>
      <c r="AA3823" s="323">
        <v>77.2</v>
      </c>
      <c r="AB3823" s="323">
        <v>11</v>
      </c>
      <c r="AC3823" s="32" t="s">
        <v>175</v>
      </c>
      <c r="AD3823" s="32">
        <v>7.8</v>
      </c>
      <c r="AE3823" s="32">
        <v>2.17</v>
      </c>
      <c r="AG3823" s="32" t="s">
        <v>3436</v>
      </c>
      <c r="AH3823" s="32" t="s">
        <v>3437</v>
      </c>
      <c r="AI3823" s="32" t="s">
        <v>577</v>
      </c>
      <c r="AJ3823" s="32" t="s">
        <v>1645</v>
      </c>
      <c r="AK3823" s="32" t="s">
        <v>132</v>
      </c>
      <c r="AW3823" s="32" t="s">
        <v>3293</v>
      </c>
      <c r="BF3823" s="32">
        <v>2290</v>
      </c>
      <c r="BG3823" s="32">
        <v>3320</v>
      </c>
      <c r="BK3823" s="32">
        <v>2120</v>
      </c>
      <c r="BL3823" s="32">
        <v>1410</v>
      </c>
      <c r="BP3823" s="397"/>
      <c r="BQ3823" s="397"/>
      <c r="BU3823" s="397">
        <v>0.59</v>
      </c>
      <c r="BV3823" s="397">
        <v>0.7</v>
      </c>
      <c r="BZ3823" s="397"/>
      <c r="CA3823" s="397"/>
      <c r="CE3823" s="550">
        <v>0.59</v>
      </c>
      <c r="CF3823" s="550">
        <v>0.7</v>
      </c>
      <c r="CG3823" s="550"/>
      <c r="CH3823" s="550"/>
      <c r="CI3823" s="32" t="s">
        <v>4546</v>
      </c>
      <c r="CO3823" s="32">
        <v>2.4</v>
      </c>
      <c r="CP3823" s="32">
        <v>2.2000000000000002</v>
      </c>
      <c r="CS3823" s="32" t="s">
        <v>3443</v>
      </c>
      <c r="CT3823" s="32">
        <v>0.28000000000000003</v>
      </c>
      <c r="CU3823" s="32">
        <v>0.15</v>
      </c>
      <c r="CX3823" s="32" t="s">
        <v>3444</v>
      </c>
      <c r="CY3823" s="32">
        <v>6</v>
      </c>
      <c r="CZ3823" s="32">
        <v>5.6</v>
      </c>
      <c r="DD3823" s="32">
        <f t="shared" ref="DD3823:DD3824" si="507">3.5+0.5+0.28</f>
        <v>4.28</v>
      </c>
      <c r="DE3823" s="32">
        <f>2.5+0.45+0.15</f>
        <v>3.1</v>
      </c>
      <c r="DH3823" s="32" t="s">
        <v>2701</v>
      </c>
      <c r="JD3823" s="243"/>
    </row>
    <row r="3824" spans="1:264" s="32" customFormat="1" x14ac:dyDescent="0.25">
      <c r="A3824" s="32">
        <v>172</v>
      </c>
      <c r="B3824" s="44" t="s">
        <v>3439</v>
      </c>
      <c r="C3824" s="32" t="s">
        <v>3418</v>
      </c>
      <c r="D3824" s="32" t="s">
        <v>3358</v>
      </c>
      <c r="E3824" s="32">
        <v>2005</v>
      </c>
      <c r="F3824" s="32">
        <v>1992</v>
      </c>
      <c r="G3824" s="32" t="s">
        <v>2738</v>
      </c>
      <c r="H3824" s="32" t="s">
        <v>3435</v>
      </c>
      <c r="I3824" s="32" t="s">
        <v>2823</v>
      </c>
      <c r="J3824" s="32">
        <v>7.5</v>
      </c>
      <c r="K3824" s="32">
        <f t="shared" si="503"/>
        <v>3.9</v>
      </c>
      <c r="L3824" s="32">
        <v>213</v>
      </c>
      <c r="P3824" s="32">
        <v>1247</v>
      </c>
      <c r="R3824" s="44" t="s">
        <v>1858</v>
      </c>
      <c r="S3824" s="44" t="s">
        <v>1931</v>
      </c>
      <c r="T3824" s="44"/>
      <c r="U3824" s="44" t="s">
        <v>3438</v>
      </c>
      <c r="V3824" s="44" t="s">
        <v>1412</v>
      </c>
      <c r="W3824" s="44" t="s">
        <v>1719</v>
      </c>
      <c r="X3824" s="44" t="s">
        <v>1412</v>
      </c>
      <c r="Y3824" s="44" t="s">
        <v>1412</v>
      </c>
      <c r="AA3824" s="323">
        <v>77.2</v>
      </c>
      <c r="AB3824" s="323">
        <v>11</v>
      </c>
      <c r="AC3824" s="32" t="s">
        <v>175</v>
      </c>
      <c r="AD3824" s="32">
        <v>7.8</v>
      </c>
      <c r="AE3824" s="32">
        <v>2.17</v>
      </c>
      <c r="AG3824" s="32" t="s">
        <v>3436</v>
      </c>
      <c r="AH3824" s="32" t="s">
        <v>3437</v>
      </c>
      <c r="AI3824" s="32" t="s">
        <v>577</v>
      </c>
      <c r="AJ3824" s="32" t="s">
        <v>1645</v>
      </c>
      <c r="AK3824" s="32" t="s">
        <v>132</v>
      </c>
      <c r="AW3824" s="32" t="s">
        <v>3293</v>
      </c>
      <c r="BF3824" s="32">
        <v>3170</v>
      </c>
      <c r="BG3824" s="32">
        <v>3050</v>
      </c>
      <c r="BK3824" s="32">
        <v>3520</v>
      </c>
      <c r="BL3824" s="32">
        <v>2390</v>
      </c>
      <c r="BP3824" s="397"/>
      <c r="BQ3824" s="397"/>
      <c r="BU3824" s="397">
        <v>0.59</v>
      </c>
      <c r="BV3824" s="397">
        <v>0.75</v>
      </c>
      <c r="BZ3824" s="397"/>
      <c r="CA3824" s="397"/>
      <c r="CE3824" s="550">
        <v>0.59</v>
      </c>
      <c r="CF3824" s="550">
        <v>0.75</v>
      </c>
      <c r="CG3824" s="550"/>
      <c r="CH3824" s="550"/>
      <c r="CI3824" s="32" t="s">
        <v>4546</v>
      </c>
      <c r="CO3824" s="32">
        <v>2.4</v>
      </c>
      <c r="CP3824" s="32">
        <v>2.4</v>
      </c>
      <c r="CS3824" s="32" t="s">
        <v>3443</v>
      </c>
      <c r="CT3824" s="32">
        <v>0.28000000000000003</v>
      </c>
      <c r="CU3824" s="32">
        <v>0.18</v>
      </c>
      <c r="CX3824" s="32" t="s">
        <v>3444</v>
      </c>
      <c r="CY3824" s="32">
        <v>6</v>
      </c>
      <c r="CZ3824" s="32">
        <v>5.8</v>
      </c>
      <c r="DD3824" s="32">
        <f t="shared" si="507"/>
        <v>4.28</v>
      </c>
      <c r="DE3824" s="32">
        <f>2.1+0.4+0.18</f>
        <v>2.68</v>
      </c>
      <c r="DH3824" s="32" t="s">
        <v>2701</v>
      </c>
      <c r="JD3824" s="243"/>
    </row>
    <row r="3825" spans="1:264" s="32" customFormat="1" x14ac:dyDescent="0.25">
      <c r="A3825" s="32">
        <v>172</v>
      </c>
      <c r="B3825" s="44" t="s">
        <v>3439</v>
      </c>
      <c r="C3825" s="32" t="s">
        <v>3418</v>
      </c>
      <c r="D3825" s="32" t="s">
        <v>3358</v>
      </c>
      <c r="E3825" s="32">
        <v>2005</v>
      </c>
      <c r="F3825" s="32">
        <v>1992</v>
      </c>
      <c r="G3825" s="32" t="s">
        <v>2738</v>
      </c>
      <c r="H3825" s="32" t="s">
        <v>3435</v>
      </c>
      <c r="I3825" s="32" t="s">
        <v>2823</v>
      </c>
      <c r="J3825" s="32">
        <v>7.5</v>
      </c>
      <c r="K3825" s="32">
        <f t="shared" si="503"/>
        <v>3.9</v>
      </c>
      <c r="L3825" s="32">
        <v>213</v>
      </c>
      <c r="P3825" s="32">
        <v>1247</v>
      </c>
      <c r="R3825" s="44" t="s">
        <v>1858</v>
      </c>
      <c r="S3825" s="44" t="s">
        <v>1931</v>
      </c>
      <c r="T3825" s="44"/>
      <c r="U3825" s="44" t="s">
        <v>3438</v>
      </c>
      <c r="V3825" s="44" t="s">
        <v>1382</v>
      </c>
      <c r="W3825" s="44" t="s">
        <v>1717</v>
      </c>
      <c r="X3825" s="44" t="s">
        <v>1382</v>
      </c>
      <c r="Y3825" s="44" t="s">
        <v>1382</v>
      </c>
      <c r="AA3825" s="323">
        <v>77.2</v>
      </c>
      <c r="AB3825" s="323">
        <v>11</v>
      </c>
      <c r="AC3825" s="32" t="s">
        <v>175</v>
      </c>
      <c r="AD3825" s="32">
        <v>7.8</v>
      </c>
      <c r="AE3825" s="32">
        <v>2.17</v>
      </c>
      <c r="AG3825" s="32" t="s">
        <v>3436</v>
      </c>
      <c r="AH3825" s="32" t="s">
        <v>3437</v>
      </c>
      <c r="AI3825" s="32" t="s">
        <v>577</v>
      </c>
      <c r="AJ3825" s="32" t="s">
        <v>1645</v>
      </c>
      <c r="AK3825" s="32" t="s">
        <v>132</v>
      </c>
      <c r="AW3825" s="32" t="s">
        <v>3293</v>
      </c>
      <c r="BP3825" s="397"/>
      <c r="BQ3825" s="397"/>
      <c r="BU3825" s="397"/>
      <c r="BV3825" s="397"/>
      <c r="BZ3825" s="397"/>
      <c r="CA3825" s="397"/>
      <c r="CE3825" s="550"/>
      <c r="CF3825" s="550"/>
      <c r="CG3825" s="550"/>
      <c r="CH3825" s="550"/>
      <c r="JD3825" s="243"/>
    </row>
    <row r="3826" spans="1:264" s="24" customFormat="1" x14ac:dyDescent="0.25">
      <c r="A3826" s="24">
        <v>172</v>
      </c>
      <c r="B3826" s="42" t="s">
        <v>3439</v>
      </c>
      <c r="C3826" s="24" t="s">
        <v>3418</v>
      </c>
      <c r="D3826" s="24" t="s">
        <v>3358</v>
      </c>
      <c r="E3826" s="24">
        <v>2005</v>
      </c>
      <c r="F3826" s="24">
        <v>1993</v>
      </c>
      <c r="G3826" s="24" t="s">
        <v>2738</v>
      </c>
      <c r="H3826" s="24" t="s">
        <v>3435</v>
      </c>
      <c r="I3826" s="24" t="s">
        <v>2823</v>
      </c>
      <c r="J3826" s="24">
        <v>7.5</v>
      </c>
      <c r="K3826" s="24">
        <f t="shared" si="503"/>
        <v>3.9</v>
      </c>
      <c r="L3826" s="24">
        <v>213</v>
      </c>
      <c r="P3826" s="24">
        <v>1247</v>
      </c>
      <c r="R3826" s="42" t="s">
        <v>1722</v>
      </c>
      <c r="S3826" s="42" t="s">
        <v>1931</v>
      </c>
      <c r="T3826" s="42"/>
      <c r="U3826" s="42" t="s">
        <v>3438</v>
      </c>
      <c r="V3826" s="42" t="s">
        <v>1382</v>
      </c>
      <c r="W3826" s="42" t="s">
        <v>1717</v>
      </c>
      <c r="X3826" s="42" t="s">
        <v>1382</v>
      </c>
      <c r="Y3826" s="42" t="s">
        <v>1382</v>
      </c>
      <c r="AA3826" s="321">
        <v>77.2</v>
      </c>
      <c r="AB3826" s="321">
        <v>11</v>
      </c>
      <c r="AC3826" s="24" t="s">
        <v>175</v>
      </c>
      <c r="AD3826" s="24">
        <v>7.8</v>
      </c>
      <c r="AE3826" s="24">
        <v>2.17</v>
      </c>
      <c r="AG3826" s="24" t="s">
        <v>3436</v>
      </c>
      <c r="AH3826" s="24" t="s">
        <v>3437</v>
      </c>
      <c r="AI3826" s="24" t="s">
        <v>577</v>
      </c>
      <c r="AJ3826" s="24" t="s">
        <v>1645</v>
      </c>
      <c r="AK3826" s="24" t="s">
        <v>132</v>
      </c>
      <c r="AW3826" s="24" t="s">
        <v>3293</v>
      </c>
      <c r="BF3826" s="24">
        <v>1310</v>
      </c>
      <c r="BG3826" s="24">
        <v>1580</v>
      </c>
      <c r="BK3826" s="24">
        <v>1160</v>
      </c>
      <c r="BL3826" s="24">
        <v>1490</v>
      </c>
      <c r="BP3826" s="395"/>
      <c r="BQ3826" s="395"/>
      <c r="BU3826" s="395"/>
      <c r="BV3826" s="395"/>
      <c r="BZ3826" s="395"/>
      <c r="CA3826" s="395"/>
      <c r="CE3826" s="548"/>
      <c r="CF3826" s="548"/>
      <c r="CG3826" s="548"/>
      <c r="CH3826" s="548"/>
      <c r="JD3826" s="249"/>
    </row>
    <row r="3827" spans="1:264" s="24" customFormat="1" x14ac:dyDescent="0.25">
      <c r="A3827" s="24">
        <v>172</v>
      </c>
      <c r="B3827" s="42" t="s">
        <v>3439</v>
      </c>
      <c r="C3827" s="24" t="s">
        <v>3418</v>
      </c>
      <c r="D3827" s="24" t="s">
        <v>3358</v>
      </c>
      <c r="E3827" s="24">
        <v>2005</v>
      </c>
      <c r="F3827" s="24">
        <v>1993</v>
      </c>
      <c r="G3827" s="24" t="s">
        <v>2738</v>
      </c>
      <c r="H3827" s="24" t="s">
        <v>3435</v>
      </c>
      <c r="I3827" s="24" t="s">
        <v>2823</v>
      </c>
      <c r="J3827" s="24">
        <v>7.5</v>
      </c>
      <c r="K3827" s="24">
        <f t="shared" si="503"/>
        <v>3.9</v>
      </c>
      <c r="L3827" s="24">
        <v>213</v>
      </c>
      <c r="P3827" s="24">
        <v>1247</v>
      </c>
      <c r="R3827" s="42" t="s">
        <v>1722</v>
      </c>
      <c r="S3827" s="42" t="s">
        <v>1931</v>
      </c>
      <c r="T3827" s="42"/>
      <c r="U3827" s="42" t="s">
        <v>3438</v>
      </c>
      <c r="V3827" s="42" t="s">
        <v>1382</v>
      </c>
      <c r="W3827" s="42" t="s">
        <v>1717</v>
      </c>
      <c r="X3827" s="42" t="s">
        <v>1382</v>
      </c>
      <c r="Y3827" s="42" t="s">
        <v>1382</v>
      </c>
      <c r="AA3827" s="321">
        <v>77.2</v>
      </c>
      <c r="AB3827" s="321">
        <v>11</v>
      </c>
      <c r="AC3827" s="24" t="s">
        <v>175</v>
      </c>
      <c r="AD3827" s="24">
        <v>7.8</v>
      </c>
      <c r="AE3827" s="24">
        <v>2.17</v>
      </c>
      <c r="AG3827" s="24" t="s">
        <v>3436</v>
      </c>
      <c r="AH3827" s="24" t="s">
        <v>3437</v>
      </c>
      <c r="AI3827" s="24" t="s">
        <v>577</v>
      </c>
      <c r="AJ3827" s="24" t="s">
        <v>1645</v>
      </c>
      <c r="AK3827" s="24" t="s">
        <v>132</v>
      </c>
      <c r="AW3827" s="24" t="s">
        <v>3293</v>
      </c>
      <c r="BF3827" s="24">
        <v>2620</v>
      </c>
      <c r="BG3827" s="24">
        <v>3320</v>
      </c>
      <c r="BK3827" s="24">
        <v>2460</v>
      </c>
      <c r="BL3827" s="24">
        <v>2410</v>
      </c>
      <c r="BP3827" s="395"/>
      <c r="BQ3827" s="395"/>
      <c r="BU3827" s="395"/>
      <c r="BV3827" s="395"/>
      <c r="BZ3827" s="395"/>
      <c r="CA3827" s="395"/>
      <c r="CE3827" s="548"/>
      <c r="CF3827" s="548"/>
      <c r="CG3827" s="548"/>
      <c r="CH3827" s="548"/>
      <c r="JD3827" s="249"/>
    </row>
    <row r="3828" spans="1:264" s="24" customFormat="1" x14ac:dyDescent="0.25">
      <c r="A3828" s="24">
        <v>172</v>
      </c>
      <c r="B3828" s="42" t="s">
        <v>3439</v>
      </c>
      <c r="C3828" s="24" t="s">
        <v>3418</v>
      </c>
      <c r="D3828" s="24" t="s">
        <v>3358</v>
      </c>
      <c r="E3828" s="24">
        <v>2005</v>
      </c>
      <c r="F3828" s="24">
        <v>1993</v>
      </c>
      <c r="G3828" s="24" t="s">
        <v>2738</v>
      </c>
      <c r="H3828" s="24" t="s">
        <v>3435</v>
      </c>
      <c r="I3828" s="24" t="s">
        <v>2823</v>
      </c>
      <c r="J3828" s="24">
        <v>7.5</v>
      </c>
      <c r="K3828" s="24">
        <f t="shared" si="503"/>
        <v>3.9</v>
      </c>
      <c r="L3828" s="24">
        <v>213</v>
      </c>
      <c r="P3828" s="24">
        <v>1247</v>
      </c>
      <c r="R3828" s="42" t="s">
        <v>1722</v>
      </c>
      <c r="S3828" s="42" t="s">
        <v>1931</v>
      </c>
      <c r="T3828" s="42"/>
      <c r="U3828" s="42" t="s">
        <v>3438</v>
      </c>
      <c r="V3828" s="42" t="s">
        <v>1382</v>
      </c>
      <c r="W3828" s="42" t="s">
        <v>1717</v>
      </c>
      <c r="X3828" s="42" t="s">
        <v>1382</v>
      </c>
      <c r="Y3828" s="42" t="s">
        <v>1382</v>
      </c>
      <c r="AA3828" s="321">
        <v>77.2</v>
      </c>
      <c r="AB3828" s="321">
        <v>11</v>
      </c>
      <c r="AC3828" s="24" t="s">
        <v>175</v>
      </c>
      <c r="AD3828" s="24">
        <v>7.8</v>
      </c>
      <c r="AE3828" s="24">
        <v>2.17</v>
      </c>
      <c r="AG3828" s="24" t="s">
        <v>3436</v>
      </c>
      <c r="AH3828" s="24" t="s">
        <v>3437</v>
      </c>
      <c r="AI3828" s="24" t="s">
        <v>577</v>
      </c>
      <c r="AJ3828" s="24" t="s">
        <v>1645</v>
      </c>
      <c r="AK3828" s="24" t="s">
        <v>132</v>
      </c>
      <c r="AW3828" s="24" t="s">
        <v>3293</v>
      </c>
      <c r="BF3828" s="24">
        <v>3900</v>
      </c>
      <c r="BG3828" s="24">
        <v>3730</v>
      </c>
      <c r="BK3828" s="24">
        <v>3250</v>
      </c>
      <c r="BL3828" s="24">
        <v>3150</v>
      </c>
      <c r="BP3828" s="395"/>
      <c r="BQ3828" s="395"/>
      <c r="BU3828" s="395"/>
      <c r="BV3828" s="395"/>
      <c r="BZ3828" s="395"/>
      <c r="CA3828" s="395"/>
      <c r="CE3828" s="548"/>
      <c r="CF3828" s="548"/>
      <c r="CG3828" s="548"/>
      <c r="CH3828" s="548"/>
      <c r="JD3828" s="249"/>
    </row>
    <row r="3829" spans="1:264" s="24" customFormat="1" x14ac:dyDescent="0.25">
      <c r="A3829" s="24">
        <v>172</v>
      </c>
      <c r="B3829" s="42" t="s">
        <v>3439</v>
      </c>
      <c r="C3829" s="24" t="s">
        <v>3418</v>
      </c>
      <c r="D3829" s="24" t="s">
        <v>3358</v>
      </c>
      <c r="E3829" s="24">
        <v>2005</v>
      </c>
      <c r="F3829" s="24">
        <v>1993</v>
      </c>
      <c r="G3829" s="24" t="s">
        <v>2738</v>
      </c>
      <c r="H3829" s="24" t="s">
        <v>3435</v>
      </c>
      <c r="I3829" s="24" t="s">
        <v>2823</v>
      </c>
      <c r="J3829" s="24">
        <v>7.5</v>
      </c>
      <c r="K3829" s="24">
        <f t="shared" si="503"/>
        <v>3.9</v>
      </c>
      <c r="L3829" s="24">
        <v>213</v>
      </c>
      <c r="P3829" s="24">
        <v>1247</v>
      </c>
      <c r="R3829" s="42" t="s">
        <v>1722</v>
      </c>
      <c r="S3829" s="42" t="s">
        <v>1931</v>
      </c>
      <c r="T3829" s="42"/>
      <c r="U3829" s="42" t="s">
        <v>3438</v>
      </c>
      <c r="V3829" s="42" t="s">
        <v>1382</v>
      </c>
      <c r="W3829" s="42" t="s">
        <v>1717</v>
      </c>
      <c r="X3829" s="42" t="s">
        <v>1382</v>
      </c>
      <c r="Y3829" s="42" t="s">
        <v>1382</v>
      </c>
      <c r="AA3829" s="321">
        <v>77.2</v>
      </c>
      <c r="AB3829" s="321">
        <v>11</v>
      </c>
      <c r="AC3829" s="24" t="s">
        <v>175</v>
      </c>
      <c r="AD3829" s="24">
        <v>7.8</v>
      </c>
      <c r="AE3829" s="24">
        <v>2.17</v>
      </c>
      <c r="AG3829" s="24" t="s">
        <v>3436</v>
      </c>
      <c r="AH3829" s="24" t="s">
        <v>3437</v>
      </c>
      <c r="AI3829" s="24" t="s">
        <v>577</v>
      </c>
      <c r="AJ3829" s="24" t="s">
        <v>1645</v>
      </c>
      <c r="AK3829" s="24" t="s">
        <v>132</v>
      </c>
      <c r="AW3829" s="24" t="s">
        <v>3293</v>
      </c>
      <c r="BF3829" s="24">
        <v>3440</v>
      </c>
      <c r="BG3829" s="24">
        <v>3780</v>
      </c>
      <c r="BK3829" s="24">
        <v>3190</v>
      </c>
      <c r="BL3829" s="24">
        <v>3120</v>
      </c>
      <c r="BP3829" s="395"/>
      <c r="BQ3829" s="395"/>
      <c r="BU3829" s="395"/>
      <c r="BV3829" s="395"/>
      <c r="BZ3829" s="395"/>
      <c r="CA3829" s="395"/>
      <c r="CE3829" s="548"/>
      <c r="CF3829" s="548"/>
      <c r="CG3829" s="548"/>
      <c r="CH3829" s="548"/>
      <c r="JD3829" s="249"/>
    </row>
    <row r="3830" spans="1:264" s="32" customFormat="1" x14ac:dyDescent="0.25">
      <c r="A3830" s="32">
        <v>172</v>
      </c>
      <c r="B3830" s="44" t="s">
        <v>3439</v>
      </c>
      <c r="C3830" s="32" t="s">
        <v>3418</v>
      </c>
      <c r="D3830" s="32" t="s">
        <v>3358</v>
      </c>
      <c r="E3830" s="32">
        <v>2005</v>
      </c>
      <c r="F3830" s="32">
        <v>1994</v>
      </c>
      <c r="G3830" s="32" t="s">
        <v>2738</v>
      </c>
      <c r="H3830" s="32" t="s">
        <v>3435</v>
      </c>
      <c r="I3830" s="32" t="s">
        <v>2823</v>
      </c>
      <c r="J3830" s="32">
        <v>7.5</v>
      </c>
      <c r="K3830" s="32">
        <f t="shared" si="503"/>
        <v>3.9</v>
      </c>
      <c r="L3830" s="32">
        <v>213</v>
      </c>
      <c r="P3830" s="32">
        <v>1247</v>
      </c>
      <c r="R3830" s="44" t="s">
        <v>1843</v>
      </c>
      <c r="S3830" s="44" t="s">
        <v>1931</v>
      </c>
      <c r="T3830" s="44"/>
      <c r="U3830" s="44" t="s">
        <v>3438</v>
      </c>
      <c r="V3830" s="44" t="s">
        <v>1382</v>
      </c>
      <c r="W3830" s="44" t="s">
        <v>1717</v>
      </c>
      <c r="X3830" s="44" t="s">
        <v>1382</v>
      </c>
      <c r="Y3830" s="44" t="s">
        <v>1382</v>
      </c>
      <c r="AA3830" s="323">
        <v>77.2</v>
      </c>
      <c r="AB3830" s="323">
        <v>11</v>
      </c>
      <c r="AC3830" s="32" t="s">
        <v>175</v>
      </c>
      <c r="AD3830" s="32">
        <v>7.8</v>
      </c>
      <c r="AE3830" s="32">
        <v>2.17</v>
      </c>
      <c r="AG3830" s="32" t="s">
        <v>3436</v>
      </c>
      <c r="AH3830" s="32" t="s">
        <v>3437</v>
      </c>
      <c r="AI3830" s="32" t="s">
        <v>577</v>
      </c>
      <c r="AJ3830" s="32" t="s">
        <v>1645</v>
      </c>
      <c r="AK3830" s="32" t="s">
        <v>132</v>
      </c>
      <c r="AW3830" s="32" t="s">
        <v>3293</v>
      </c>
      <c r="BF3830" s="32">
        <v>1360</v>
      </c>
      <c r="BG3830" s="32">
        <v>1390</v>
      </c>
      <c r="BK3830" s="32">
        <v>1100</v>
      </c>
      <c r="BL3830" s="32">
        <v>1280</v>
      </c>
      <c r="BP3830" s="397"/>
      <c r="BQ3830" s="397"/>
      <c r="BU3830" s="397"/>
      <c r="BV3830" s="397"/>
      <c r="BZ3830" s="397"/>
      <c r="CA3830" s="397"/>
      <c r="CE3830" s="550"/>
      <c r="CF3830" s="550"/>
      <c r="CG3830" s="550"/>
      <c r="CH3830" s="550"/>
      <c r="JD3830" s="243"/>
    </row>
    <row r="3831" spans="1:264" s="32" customFormat="1" x14ac:dyDescent="0.25">
      <c r="A3831" s="32">
        <v>172</v>
      </c>
      <c r="B3831" s="44" t="s">
        <v>3439</v>
      </c>
      <c r="C3831" s="32" t="s">
        <v>3418</v>
      </c>
      <c r="D3831" s="32" t="s">
        <v>3358</v>
      </c>
      <c r="E3831" s="32">
        <v>2005</v>
      </c>
      <c r="F3831" s="32">
        <v>1994</v>
      </c>
      <c r="G3831" s="32" t="s">
        <v>2738</v>
      </c>
      <c r="H3831" s="32" t="s">
        <v>3435</v>
      </c>
      <c r="I3831" s="32" t="s">
        <v>2823</v>
      </c>
      <c r="J3831" s="32">
        <v>7.5</v>
      </c>
      <c r="K3831" s="32">
        <f t="shared" si="503"/>
        <v>3.9</v>
      </c>
      <c r="L3831" s="32">
        <v>213</v>
      </c>
      <c r="P3831" s="32">
        <v>1247</v>
      </c>
      <c r="R3831" s="44" t="s">
        <v>1843</v>
      </c>
      <c r="S3831" s="44" t="s">
        <v>1931</v>
      </c>
      <c r="T3831" s="44"/>
      <c r="U3831" s="44" t="s">
        <v>3438</v>
      </c>
      <c r="V3831" s="44" t="s">
        <v>1382</v>
      </c>
      <c r="W3831" s="44" t="s">
        <v>1717</v>
      </c>
      <c r="X3831" s="44" t="s">
        <v>1382</v>
      </c>
      <c r="Y3831" s="44" t="s">
        <v>1382</v>
      </c>
      <c r="AA3831" s="323">
        <v>77.2</v>
      </c>
      <c r="AB3831" s="323">
        <v>11</v>
      </c>
      <c r="AC3831" s="32" t="s">
        <v>175</v>
      </c>
      <c r="AD3831" s="32">
        <v>7.8</v>
      </c>
      <c r="AE3831" s="32">
        <v>2.17</v>
      </c>
      <c r="AG3831" s="32" t="s">
        <v>3436</v>
      </c>
      <c r="AH3831" s="32" t="s">
        <v>3437</v>
      </c>
      <c r="AI3831" s="32" t="s">
        <v>577</v>
      </c>
      <c r="AJ3831" s="32" t="s">
        <v>1645</v>
      </c>
      <c r="AK3831" s="32" t="s">
        <v>132</v>
      </c>
      <c r="AW3831" s="32" t="s">
        <v>3293</v>
      </c>
      <c r="BF3831" s="32">
        <v>2110</v>
      </c>
      <c r="BG3831" s="32">
        <v>2850</v>
      </c>
      <c r="BK3831" s="32">
        <v>2090</v>
      </c>
      <c r="BL3831" s="32">
        <v>2050</v>
      </c>
      <c r="BP3831" s="397"/>
      <c r="BQ3831" s="397"/>
      <c r="BU3831" s="397"/>
      <c r="BV3831" s="397"/>
      <c r="BZ3831" s="397"/>
      <c r="CA3831" s="397"/>
      <c r="CE3831" s="550"/>
      <c r="CF3831" s="550"/>
      <c r="CG3831" s="550"/>
      <c r="CH3831" s="550"/>
      <c r="JD3831" s="243"/>
    </row>
    <row r="3832" spans="1:264" s="32" customFormat="1" x14ac:dyDescent="0.25">
      <c r="A3832" s="32">
        <v>172</v>
      </c>
      <c r="B3832" s="44" t="s">
        <v>3439</v>
      </c>
      <c r="C3832" s="32" t="s">
        <v>3418</v>
      </c>
      <c r="D3832" s="32" t="s">
        <v>3358</v>
      </c>
      <c r="E3832" s="32">
        <v>2005</v>
      </c>
      <c r="F3832" s="32">
        <v>1994</v>
      </c>
      <c r="G3832" s="32" t="s">
        <v>2738</v>
      </c>
      <c r="H3832" s="32" t="s">
        <v>3435</v>
      </c>
      <c r="I3832" s="32" t="s">
        <v>2823</v>
      </c>
      <c r="J3832" s="32">
        <v>7.5</v>
      </c>
      <c r="K3832" s="32">
        <f t="shared" si="503"/>
        <v>3.9</v>
      </c>
      <c r="L3832" s="32">
        <v>213</v>
      </c>
      <c r="P3832" s="32">
        <v>1247</v>
      </c>
      <c r="R3832" s="44" t="s">
        <v>1843</v>
      </c>
      <c r="S3832" s="44" t="s">
        <v>1931</v>
      </c>
      <c r="T3832" s="44"/>
      <c r="U3832" s="44" t="s">
        <v>3438</v>
      </c>
      <c r="V3832" s="44" t="s">
        <v>1382</v>
      </c>
      <c r="W3832" s="44" t="s">
        <v>1717</v>
      </c>
      <c r="X3832" s="44" t="s">
        <v>1382</v>
      </c>
      <c r="Y3832" s="44" t="s">
        <v>1382</v>
      </c>
      <c r="AA3832" s="323">
        <v>77.2</v>
      </c>
      <c r="AB3832" s="323">
        <v>11</v>
      </c>
      <c r="AC3832" s="32" t="s">
        <v>175</v>
      </c>
      <c r="AD3832" s="32">
        <v>7.8</v>
      </c>
      <c r="AE3832" s="32">
        <v>2.17</v>
      </c>
      <c r="AG3832" s="32" t="s">
        <v>3436</v>
      </c>
      <c r="AH3832" s="32" t="s">
        <v>3437</v>
      </c>
      <c r="AI3832" s="32" t="s">
        <v>577</v>
      </c>
      <c r="AJ3832" s="32" t="s">
        <v>1645</v>
      </c>
      <c r="AK3832" s="32" t="s">
        <v>132</v>
      </c>
      <c r="AW3832" s="32" t="s">
        <v>3293</v>
      </c>
      <c r="BF3832" s="32">
        <v>2920</v>
      </c>
      <c r="BG3832" s="32">
        <v>3270</v>
      </c>
      <c r="BK3832" s="32">
        <v>2780</v>
      </c>
      <c r="BL3832" s="32">
        <v>2790</v>
      </c>
      <c r="BP3832" s="397"/>
      <c r="BQ3832" s="397"/>
      <c r="BU3832" s="397"/>
      <c r="BV3832" s="397"/>
      <c r="BZ3832" s="397"/>
      <c r="CA3832" s="397"/>
      <c r="CE3832" s="550"/>
      <c r="CF3832" s="550"/>
      <c r="CG3832" s="550"/>
      <c r="CH3832" s="550"/>
      <c r="JD3832" s="243"/>
    </row>
    <row r="3833" spans="1:264" s="32" customFormat="1" x14ac:dyDescent="0.25">
      <c r="A3833" s="32">
        <v>172</v>
      </c>
      <c r="B3833" s="44" t="s">
        <v>3439</v>
      </c>
      <c r="C3833" s="32" t="s">
        <v>3418</v>
      </c>
      <c r="D3833" s="32" t="s">
        <v>3358</v>
      </c>
      <c r="E3833" s="32">
        <v>2005</v>
      </c>
      <c r="F3833" s="32">
        <v>1994</v>
      </c>
      <c r="G3833" s="32" t="s">
        <v>2738</v>
      </c>
      <c r="H3833" s="32" t="s">
        <v>3435</v>
      </c>
      <c r="I3833" s="32" t="s">
        <v>2823</v>
      </c>
      <c r="J3833" s="32">
        <v>7.5</v>
      </c>
      <c r="K3833" s="32">
        <f t="shared" si="503"/>
        <v>3.9</v>
      </c>
      <c r="L3833" s="32">
        <v>213</v>
      </c>
      <c r="P3833" s="32">
        <v>1247</v>
      </c>
      <c r="R3833" s="44" t="s">
        <v>1843</v>
      </c>
      <c r="S3833" s="44" t="s">
        <v>1931</v>
      </c>
      <c r="T3833" s="44"/>
      <c r="U3833" s="44" t="s">
        <v>3438</v>
      </c>
      <c r="V3833" s="44" t="s">
        <v>1382</v>
      </c>
      <c r="W3833" s="44" t="s">
        <v>1717</v>
      </c>
      <c r="X3833" s="44" t="s">
        <v>1382</v>
      </c>
      <c r="Y3833" s="44" t="s">
        <v>1382</v>
      </c>
      <c r="AA3833" s="323">
        <v>77.2</v>
      </c>
      <c r="AB3833" s="323">
        <v>11</v>
      </c>
      <c r="AC3833" s="32" t="s">
        <v>175</v>
      </c>
      <c r="AD3833" s="32">
        <v>7.8</v>
      </c>
      <c r="AE3833" s="32">
        <v>2.17</v>
      </c>
      <c r="AG3833" s="32" t="s">
        <v>3436</v>
      </c>
      <c r="AH3833" s="32" t="s">
        <v>3437</v>
      </c>
      <c r="AI3833" s="32" t="s">
        <v>577</v>
      </c>
      <c r="AJ3833" s="32" t="s">
        <v>1645</v>
      </c>
      <c r="AK3833" s="32" t="s">
        <v>132</v>
      </c>
      <c r="AW3833" s="32" t="s">
        <v>3293</v>
      </c>
      <c r="BF3833" s="32">
        <v>3460</v>
      </c>
      <c r="BG3833" s="32">
        <v>4540</v>
      </c>
      <c r="BK3833" s="32">
        <v>2960</v>
      </c>
      <c r="BL3833" s="32">
        <v>2610</v>
      </c>
      <c r="BP3833" s="397"/>
      <c r="BQ3833" s="397"/>
      <c r="BU3833" s="397"/>
      <c r="BV3833" s="397"/>
      <c r="BZ3833" s="397"/>
      <c r="CA3833" s="397"/>
      <c r="CE3833" s="550"/>
      <c r="CF3833" s="550"/>
      <c r="CG3833" s="550"/>
      <c r="CH3833" s="550"/>
      <c r="JD3833" s="243"/>
    </row>
    <row r="3834" spans="1:264" s="24" customFormat="1" x14ac:dyDescent="0.25">
      <c r="A3834" s="24">
        <v>172</v>
      </c>
      <c r="B3834" s="42" t="s">
        <v>3439</v>
      </c>
      <c r="C3834" s="24" t="s">
        <v>3418</v>
      </c>
      <c r="D3834" s="24" t="s">
        <v>3358</v>
      </c>
      <c r="E3834" s="24">
        <v>2005</v>
      </c>
      <c r="F3834" s="24">
        <v>1995</v>
      </c>
      <c r="G3834" s="24" t="s">
        <v>2738</v>
      </c>
      <c r="H3834" s="24" t="s">
        <v>3435</v>
      </c>
      <c r="I3834" s="24" t="s">
        <v>2823</v>
      </c>
      <c r="J3834" s="24">
        <v>7.5</v>
      </c>
      <c r="K3834" s="24">
        <f t="shared" si="503"/>
        <v>3.9</v>
      </c>
      <c r="L3834" s="24">
        <v>213</v>
      </c>
      <c r="P3834" s="24">
        <v>1247</v>
      </c>
      <c r="R3834" s="42" t="s">
        <v>1734</v>
      </c>
      <c r="S3834" s="42" t="s">
        <v>1931</v>
      </c>
      <c r="T3834" s="42"/>
      <c r="U3834" s="42" t="s">
        <v>3438</v>
      </c>
      <c r="V3834" s="42" t="s">
        <v>1382</v>
      </c>
      <c r="W3834" s="42" t="s">
        <v>1717</v>
      </c>
      <c r="X3834" s="42" t="s">
        <v>1382</v>
      </c>
      <c r="Y3834" s="42" t="s">
        <v>1382</v>
      </c>
      <c r="AA3834" s="321">
        <v>77.2</v>
      </c>
      <c r="AB3834" s="321">
        <v>11</v>
      </c>
      <c r="AC3834" s="24" t="s">
        <v>175</v>
      </c>
      <c r="AD3834" s="24">
        <v>7.8</v>
      </c>
      <c r="AE3834" s="24">
        <v>2.17</v>
      </c>
      <c r="AG3834" s="24" t="s">
        <v>3436</v>
      </c>
      <c r="AH3834" s="24" t="s">
        <v>3437</v>
      </c>
      <c r="AI3834" s="24" t="s">
        <v>577</v>
      </c>
      <c r="AJ3834" s="24" t="s">
        <v>1645</v>
      </c>
      <c r="AK3834" s="24" t="s">
        <v>132</v>
      </c>
      <c r="AW3834" s="24" t="s">
        <v>3293</v>
      </c>
      <c r="BK3834" s="24">
        <v>630</v>
      </c>
      <c r="BL3834" s="24">
        <v>1020</v>
      </c>
      <c r="BP3834" s="395"/>
      <c r="BQ3834" s="395"/>
      <c r="BU3834" s="395"/>
      <c r="BV3834" s="395"/>
      <c r="BZ3834" s="395"/>
      <c r="CA3834" s="395"/>
      <c r="CE3834" s="548"/>
      <c r="CF3834" s="548"/>
      <c r="CG3834" s="548"/>
      <c r="CH3834" s="548"/>
      <c r="JD3834" s="249"/>
    </row>
    <row r="3835" spans="1:264" s="24" customFormat="1" x14ac:dyDescent="0.25">
      <c r="A3835" s="24">
        <v>172</v>
      </c>
      <c r="B3835" s="42" t="s">
        <v>3439</v>
      </c>
      <c r="C3835" s="24" t="s">
        <v>3418</v>
      </c>
      <c r="D3835" s="24" t="s">
        <v>3358</v>
      </c>
      <c r="E3835" s="24">
        <v>2005</v>
      </c>
      <c r="F3835" s="24">
        <v>1995</v>
      </c>
      <c r="G3835" s="24" t="s">
        <v>2738</v>
      </c>
      <c r="H3835" s="24" t="s">
        <v>3435</v>
      </c>
      <c r="I3835" s="24" t="s">
        <v>2823</v>
      </c>
      <c r="J3835" s="24">
        <v>7.5</v>
      </c>
      <c r="K3835" s="24">
        <f t="shared" si="503"/>
        <v>3.9</v>
      </c>
      <c r="L3835" s="24">
        <v>213</v>
      </c>
      <c r="P3835" s="24">
        <v>1247</v>
      </c>
      <c r="R3835" s="42" t="s">
        <v>1734</v>
      </c>
      <c r="S3835" s="42" t="s">
        <v>1931</v>
      </c>
      <c r="T3835" s="42"/>
      <c r="U3835" s="42" t="s">
        <v>3438</v>
      </c>
      <c r="V3835" s="42" t="s">
        <v>1382</v>
      </c>
      <c r="W3835" s="42" t="s">
        <v>1717</v>
      </c>
      <c r="X3835" s="42" t="s">
        <v>1382</v>
      </c>
      <c r="Y3835" s="42" t="s">
        <v>1382</v>
      </c>
      <c r="AA3835" s="321">
        <v>77.2</v>
      </c>
      <c r="AB3835" s="321">
        <v>11</v>
      </c>
      <c r="AC3835" s="24" t="s">
        <v>175</v>
      </c>
      <c r="AD3835" s="24">
        <v>7.8</v>
      </c>
      <c r="AE3835" s="24">
        <v>2.17</v>
      </c>
      <c r="AG3835" s="24" t="s">
        <v>3436</v>
      </c>
      <c r="AH3835" s="24" t="s">
        <v>3437</v>
      </c>
      <c r="AI3835" s="24" t="s">
        <v>577</v>
      </c>
      <c r="AJ3835" s="24" t="s">
        <v>1645</v>
      </c>
      <c r="AK3835" s="24" t="s">
        <v>132</v>
      </c>
      <c r="AW3835" s="24" t="s">
        <v>3293</v>
      </c>
      <c r="BK3835" s="24">
        <v>1380</v>
      </c>
      <c r="BL3835" s="24">
        <v>1370</v>
      </c>
      <c r="BP3835" s="395"/>
      <c r="BQ3835" s="395"/>
      <c r="BU3835" s="395"/>
      <c r="BV3835" s="395"/>
      <c r="BZ3835" s="395"/>
      <c r="CA3835" s="395"/>
      <c r="CE3835" s="548"/>
      <c r="CF3835" s="548"/>
      <c r="CG3835" s="548"/>
      <c r="CH3835" s="548"/>
      <c r="JD3835" s="249"/>
    </row>
    <row r="3836" spans="1:264" s="24" customFormat="1" x14ac:dyDescent="0.25">
      <c r="A3836" s="24">
        <v>172</v>
      </c>
      <c r="B3836" s="42" t="s">
        <v>3439</v>
      </c>
      <c r="C3836" s="24" t="s">
        <v>3418</v>
      </c>
      <c r="D3836" s="24" t="s">
        <v>3358</v>
      </c>
      <c r="E3836" s="24">
        <v>2005</v>
      </c>
      <c r="F3836" s="24">
        <v>1995</v>
      </c>
      <c r="G3836" s="24" t="s">
        <v>2738</v>
      </c>
      <c r="H3836" s="24" t="s">
        <v>3435</v>
      </c>
      <c r="I3836" s="24" t="s">
        <v>2823</v>
      </c>
      <c r="J3836" s="24">
        <v>7.5</v>
      </c>
      <c r="K3836" s="24">
        <f t="shared" si="503"/>
        <v>3.9</v>
      </c>
      <c r="L3836" s="24">
        <v>213</v>
      </c>
      <c r="P3836" s="24">
        <v>1247</v>
      </c>
      <c r="R3836" s="42" t="s">
        <v>1734</v>
      </c>
      <c r="S3836" s="42" t="s">
        <v>1931</v>
      </c>
      <c r="T3836" s="42"/>
      <c r="U3836" s="42" t="s">
        <v>3438</v>
      </c>
      <c r="V3836" s="42" t="s">
        <v>1382</v>
      </c>
      <c r="W3836" s="42" t="s">
        <v>1717</v>
      </c>
      <c r="X3836" s="42" t="s">
        <v>1382</v>
      </c>
      <c r="Y3836" s="42" t="s">
        <v>1382</v>
      </c>
      <c r="AA3836" s="321">
        <v>77.2</v>
      </c>
      <c r="AB3836" s="321">
        <v>11</v>
      </c>
      <c r="AC3836" s="24" t="s">
        <v>175</v>
      </c>
      <c r="AD3836" s="24">
        <v>7.8</v>
      </c>
      <c r="AE3836" s="24">
        <v>2.17</v>
      </c>
      <c r="AG3836" s="24" t="s">
        <v>3436</v>
      </c>
      <c r="AH3836" s="24" t="s">
        <v>3437</v>
      </c>
      <c r="AI3836" s="24" t="s">
        <v>577</v>
      </c>
      <c r="AJ3836" s="24" t="s">
        <v>1645</v>
      </c>
      <c r="AK3836" s="24" t="s">
        <v>132</v>
      </c>
      <c r="AW3836" s="24" t="s">
        <v>3293</v>
      </c>
      <c r="BK3836" s="24">
        <v>1970</v>
      </c>
      <c r="BL3836" s="24">
        <v>1740</v>
      </c>
      <c r="BP3836" s="395"/>
      <c r="BQ3836" s="395"/>
      <c r="BU3836" s="395"/>
      <c r="BV3836" s="395"/>
      <c r="BZ3836" s="395"/>
      <c r="CA3836" s="395"/>
      <c r="CE3836" s="548"/>
      <c r="CF3836" s="548"/>
      <c r="CG3836" s="548"/>
      <c r="CH3836" s="548"/>
      <c r="JD3836" s="249"/>
    </row>
    <row r="3837" spans="1:264" s="24" customFormat="1" x14ac:dyDescent="0.25">
      <c r="A3837" s="24">
        <v>172</v>
      </c>
      <c r="B3837" s="42" t="s">
        <v>3439</v>
      </c>
      <c r="C3837" s="24" t="s">
        <v>3418</v>
      </c>
      <c r="D3837" s="24" t="s">
        <v>3358</v>
      </c>
      <c r="E3837" s="24">
        <v>2005</v>
      </c>
      <c r="F3837" s="24">
        <v>1995</v>
      </c>
      <c r="G3837" s="24" t="s">
        <v>2738</v>
      </c>
      <c r="H3837" s="24" t="s">
        <v>3435</v>
      </c>
      <c r="I3837" s="24" t="s">
        <v>2823</v>
      </c>
      <c r="J3837" s="24">
        <v>7.5</v>
      </c>
      <c r="K3837" s="24">
        <f t="shared" si="503"/>
        <v>3.9</v>
      </c>
      <c r="L3837" s="24">
        <v>213</v>
      </c>
      <c r="P3837" s="24">
        <v>1247</v>
      </c>
      <c r="R3837" s="42" t="s">
        <v>1734</v>
      </c>
      <c r="S3837" s="42" t="s">
        <v>1931</v>
      </c>
      <c r="T3837" s="42"/>
      <c r="U3837" s="42" t="s">
        <v>3438</v>
      </c>
      <c r="V3837" s="42" t="s">
        <v>1382</v>
      </c>
      <c r="W3837" s="42" t="s">
        <v>1717</v>
      </c>
      <c r="X3837" s="42" t="s">
        <v>1382</v>
      </c>
      <c r="Y3837" s="42" t="s">
        <v>1382</v>
      </c>
      <c r="AA3837" s="321">
        <v>77.2</v>
      </c>
      <c r="AB3837" s="321">
        <v>11</v>
      </c>
      <c r="AC3837" s="24" t="s">
        <v>175</v>
      </c>
      <c r="AD3837" s="24">
        <v>7.8</v>
      </c>
      <c r="AE3837" s="24">
        <v>2.17</v>
      </c>
      <c r="AG3837" s="24" t="s">
        <v>3436</v>
      </c>
      <c r="AH3837" s="24" t="s">
        <v>3437</v>
      </c>
      <c r="AI3837" s="24" t="s">
        <v>577</v>
      </c>
      <c r="AJ3837" s="24" t="s">
        <v>1645</v>
      </c>
      <c r="AK3837" s="24" t="s">
        <v>132</v>
      </c>
      <c r="AW3837" s="24" t="s">
        <v>3293</v>
      </c>
      <c r="BK3837" s="24">
        <v>1940</v>
      </c>
      <c r="BL3837" s="24">
        <v>2080</v>
      </c>
      <c r="BP3837" s="395"/>
      <c r="BQ3837" s="395"/>
      <c r="BU3837" s="395"/>
      <c r="BV3837" s="395"/>
      <c r="BZ3837" s="395"/>
      <c r="CA3837" s="395"/>
      <c r="CE3837" s="548"/>
      <c r="CF3837" s="548"/>
      <c r="CG3837" s="548"/>
      <c r="CH3837" s="548"/>
      <c r="JD3837" s="249"/>
    </row>
    <row r="3838" spans="1:264" s="32" customFormat="1" x14ac:dyDescent="0.25">
      <c r="A3838" s="32">
        <v>172</v>
      </c>
      <c r="B3838" s="44" t="s">
        <v>3439</v>
      </c>
      <c r="C3838" s="32" t="s">
        <v>3418</v>
      </c>
      <c r="D3838" s="32" t="s">
        <v>3358</v>
      </c>
      <c r="E3838" s="32">
        <v>2005</v>
      </c>
      <c r="F3838" s="32">
        <v>1996</v>
      </c>
      <c r="G3838" s="32" t="s">
        <v>2738</v>
      </c>
      <c r="H3838" s="32" t="s">
        <v>3435</v>
      </c>
      <c r="I3838" s="32" t="s">
        <v>2823</v>
      </c>
      <c r="J3838" s="32">
        <v>7.5</v>
      </c>
      <c r="K3838" s="32">
        <f t="shared" si="503"/>
        <v>3.9</v>
      </c>
      <c r="L3838" s="32">
        <v>213</v>
      </c>
      <c r="P3838" s="32">
        <v>1247</v>
      </c>
      <c r="R3838" s="44" t="s">
        <v>1982</v>
      </c>
      <c r="S3838" s="44" t="s">
        <v>1931</v>
      </c>
      <c r="T3838" s="44"/>
      <c r="U3838" s="44" t="s">
        <v>3438</v>
      </c>
      <c r="V3838" s="44" t="s">
        <v>1382</v>
      </c>
      <c r="W3838" s="44" t="s">
        <v>1717</v>
      </c>
      <c r="X3838" s="44" t="s">
        <v>1382</v>
      </c>
      <c r="Y3838" s="44" t="s">
        <v>1382</v>
      </c>
      <c r="AA3838" s="323">
        <v>77.2</v>
      </c>
      <c r="AB3838" s="323">
        <v>11</v>
      </c>
      <c r="AC3838" s="32" t="s">
        <v>175</v>
      </c>
      <c r="AD3838" s="32">
        <v>7.8</v>
      </c>
      <c r="AE3838" s="32">
        <v>2.17</v>
      </c>
      <c r="AG3838" s="32" t="s">
        <v>3436</v>
      </c>
      <c r="AH3838" s="32" t="s">
        <v>3437</v>
      </c>
      <c r="AI3838" s="32" t="s">
        <v>577</v>
      </c>
      <c r="AJ3838" s="32" t="s">
        <v>1645</v>
      </c>
      <c r="AK3838" s="32" t="s">
        <v>132</v>
      </c>
      <c r="AW3838" s="32" t="s">
        <v>3293</v>
      </c>
      <c r="BK3838" s="32">
        <v>320</v>
      </c>
      <c r="BL3838" s="32">
        <v>290</v>
      </c>
      <c r="BP3838" s="397"/>
      <c r="BQ3838" s="397"/>
      <c r="BU3838" s="397"/>
      <c r="BV3838" s="397"/>
      <c r="BZ3838" s="397"/>
      <c r="CA3838" s="397"/>
      <c r="CE3838" s="550"/>
      <c r="CF3838" s="550"/>
      <c r="CG3838" s="550"/>
      <c r="CH3838" s="550"/>
      <c r="JD3838" s="243"/>
    </row>
    <row r="3839" spans="1:264" s="32" customFormat="1" x14ac:dyDescent="0.25">
      <c r="A3839" s="32">
        <v>172</v>
      </c>
      <c r="B3839" s="44" t="s">
        <v>3439</v>
      </c>
      <c r="C3839" s="32" t="s">
        <v>3418</v>
      </c>
      <c r="D3839" s="32" t="s">
        <v>3358</v>
      </c>
      <c r="E3839" s="32">
        <v>2005</v>
      </c>
      <c r="F3839" s="32">
        <v>1996</v>
      </c>
      <c r="G3839" s="32" t="s">
        <v>2738</v>
      </c>
      <c r="H3839" s="32" t="s">
        <v>3435</v>
      </c>
      <c r="I3839" s="32" t="s">
        <v>2823</v>
      </c>
      <c r="J3839" s="32">
        <v>7.5</v>
      </c>
      <c r="K3839" s="32">
        <f t="shared" si="503"/>
        <v>3.9</v>
      </c>
      <c r="L3839" s="32">
        <v>213</v>
      </c>
      <c r="P3839" s="32">
        <v>1247</v>
      </c>
      <c r="R3839" s="44" t="s">
        <v>1982</v>
      </c>
      <c r="S3839" s="44" t="s">
        <v>1931</v>
      </c>
      <c r="T3839" s="44"/>
      <c r="U3839" s="44" t="s">
        <v>3438</v>
      </c>
      <c r="V3839" s="44" t="s">
        <v>1382</v>
      </c>
      <c r="W3839" s="44" t="s">
        <v>1717</v>
      </c>
      <c r="X3839" s="44" t="s">
        <v>1382</v>
      </c>
      <c r="Y3839" s="44" t="s">
        <v>1382</v>
      </c>
      <c r="AA3839" s="323">
        <v>77.2</v>
      </c>
      <c r="AB3839" s="323">
        <v>11</v>
      </c>
      <c r="AC3839" s="32" t="s">
        <v>175</v>
      </c>
      <c r="AD3839" s="32">
        <v>7.8</v>
      </c>
      <c r="AE3839" s="32">
        <v>2.17</v>
      </c>
      <c r="AG3839" s="32" t="s">
        <v>3436</v>
      </c>
      <c r="AH3839" s="32" t="s">
        <v>3437</v>
      </c>
      <c r="AI3839" s="32" t="s">
        <v>577</v>
      </c>
      <c r="AJ3839" s="32" t="s">
        <v>1645</v>
      </c>
      <c r="AK3839" s="32" t="s">
        <v>132</v>
      </c>
      <c r="AW3839" s="32" t="s">
        <v>3293</v>
      </c>
      <c r="BK3839" s="32">
        <v>1440</v>
      </c>
      <c r="BL3839" s="32">
        <v>900</v>
      </c>
      <c r="BP3839" s="397"/>
      <c r="BQ3839" s="397"/>
      <c r="BU3839" s="397"/>
      <c r="BV3839" s="397"/>
      <c r="BZ3839" s="397"/>
      <c r="CA3839" s="397"/>
      <c r="CE3839" s="550"/>
      <c r="CF3839" s="550"/>
      <c r="CG3839" s="550"/>
      <c r="CH3839" s="550"/>
      <c r="JD3839" s="243"/>
    </row>
    <row r="3840" spans="1:264" s="32" customFormat="1" x14ac:dyDescent="0.25">
      <c r="A3840" s="32">
        <v>172</v>
      </c>
      <c r="B3840" s="44" t="s">
        <v>3439</v>
      </c>
      <c r="C3840" s="32" t="s">
        <v>3418</v>
      </c>
      <c r="D3840" s="32" t="s">
        <v>3358</v>
      </c>
      <c r="E3840" s="32">
        <v>2005</v>
      </c>
      <c r="F3840" s="32">
        <v>1996</v>
      </c>
      <c r="G3840" s="32" t="s">
        <v>2738</v>
      </c>
      <c r="H3840" s="32" t="s">
        <v>3435</v>
      </c>
      <c r="I3840" s="32" t="s">
        <v>2823</v>
      </c>
      <c r="J3840" s="32">
        <v>7.5</v>
      </c>
      <c r="K3840" s="32">
        <f t="shared" si="503"/>
        <v>3.9</v>
      </c>
      <c r="L3840" s="32">
        <v>213</v>
      </c>
      <c r="P3840" s="32">
        <v>1247</v>
      </c>
      <c r="R3840" s="44" t="s">
        <v>1982</v>
      </c>
      <c r="S3840" s="44" t="s">
        <v>1931</v>
      </c>
      <c r="T3840" s="44"/>
      <c r="U3840" s="44" t="s">
        <v>3438</v>
      </c>
      <c r="V3840" s="44" t="s">
        <v>1382</v>
      </c>
      <c r="W3840" s="44" t="s">
        <v>1717</v>
      </c>
      <c r="X3840" s="44" t="s">
        <v>1382</v>
      </c>
      <c r="Y3840" s="44" t="s">
        <v>1382</v>
      </c>
      <c r="AA3840" s="323">
        <v>77.2</v>
      </c>
      <c r="AB3840" s="323">
        <v>11</v>
      </c>
      <c r="AC3840" s="32" t="s">
        <v>175</v>
      </c>
      <c r="AD3840" s="32">
        <v>7.8</v>
      </c>
      <c r="AE3840" s="32">
        <v>2.17</v>
      </c>
      <c r="AG3840" s="32" t="s">
        <v>3436</v>
      </c>
      <c r="AH3840" s="32" t="s">
        <v>3437</v>
      </c>
      <c r="AI3840" s="32" t="s">
        <v>577</v>
      </c>
      <c r="AJ3840" s="32" t="s">
        <v>1645</v>
      </c>
      <c r="AK3840" s="32" t="s">
        <v>132</v>
      </c>
      <c r="AW3840" s="32" t="s">
        <v>3293</v>
      </c>
      <c r="BK3840" s="32">
        <v>2640</v>
      </c>
      <c r="BL3840" s="32">
        <v>1340</v>
      </c>
      <c r="BP3840" s="397"/>
      <c r="BQ3840" s="397"/>
      <c r="BU3840" s="397"/>
      <c r="BV3840" s="397"/>
      <c r="BZ3840" s="397"/>
      <c r="CA3840" s="397"/>
      <c r="CE3840" s="550"/>
      <c r="CF3840" s="550"/>
      <c r="CG3840" s="550"/>
      <c r="CH3840" s="550"/>
      <c r="JD3840" s="243"/>
    </row>
    <row r="3841" spans="1:264" s="32" customFormat="1" x14ac:dyDescent="0.25">
      <c r="A3841" s="32">
        <v>172</v>
      </c>
      <c r="B3841" s="44" t="s">
        <v>3439</v>
      </c>
      <c r="C3841" s="32" t="s">
        <v>3418</v>
      </c>
      <c r="D3841" s="32" t="s">
        <v>3358</v>
      </c>
      <c r="E3841" s="32">
        <v>2005</v>
      </c>
      <c r="F3841" s="32">
        <v>1996</v>
      </c>
      <c r="G3841" s="32" t="s">
        <v>2738</v>
      </c>
      <c r="H3841" s="32" t="s">
        <v>3435</v>
      </c>
      <c r="I3841" s="32" t="s">
        <v>2823</v>
      </c>
      <c r="J3841" s="32">
        <v>7.5</v>
      </c>
      <c r="K3841" s="32">
        <f t="shared" si="503"/>
        <v>3.9</v>
      </c>
      <c r="L3841" s="32">
        <v>213</v>
      </c>
      <c r="P3841" s="32">
        <v>1247</v>
      </c>
      <c r="R3841" s="44" t="s">
        <v>1982</v>
      </c>
      <c r="S3841" s="44" t="s">
        <v>1931</v>
      </c>
      <c r="T3841" s="44"/>
      <c r="U3841" s="44" t="s">
        <v>3438</v>
      </c>
      <c r="V3841" s="44" t="s">
        <v>1382</v>
      </c>
      <c r="W3841" s="44" t="s">
        <v>1717</v>
      </c>
      <c r="X3841" s="44" t="s">
        <v>1382</v>
      </c>
      <c r="Y3841" s="44" t="s">
        <v>1382</v>
      </c>
      <c r="AA3841" s="323">
        <v>77.2</v>
      </c>
      <c r="AB3841" s="323">
        <v>11</v>
      </c>
      <c r="AC3841" s="32" t="s">
        <v>175</v>
      </c>
      <c r="AD3841" s="32">
        <v>7.8</v>
      </c>
      <c r="AE3841" s="32">
        <v>2.17</v>
      </c>
      <c r="AG3841" s="32" t="s">
        <v>3436</v>
      </c>
      <c r="AH3841" s="32" t="s">
        <v>3437</v>
      </c>
      <c r="AI3841" s="32" t="s">
        <v>577</v>
      </c>
      <c r="AJ3841" s="32" t="s">
        <v>1645</v>
      </c>
      <c r="AK3841" s="32" t="s">
        <v>132</v>
      </c>
      <c r="AW3841" s="32" t="s">
        <v>3293</v>
      </c>
      <c r="BK3841" s="32">
        <v>2650</v>
      </c>
      <c r="BL3841" s="32">
        <v>2120</v>
      </c>
      <c r="BP3841" s="397"/>
      <c r="BQ3841" s="397"/>
      <c r="BU3841" s="397"/>
      <c r="BV3841" s="397"/>
      <c r="BZ3841" s="397"/>
      <c r="CA3841" s="397"/>
      <c r="CE3841" s="550"/>
      <c r="CF3841" s="550"/>
      <c r="CG3841" s="550"/>
      <c r="CH3841" s="550"/>
      <c r="JD3841" s="243"/>
    </row>
    <row r="3842" spans="1:264" s="24" customFormat="1" x14ac:dyDescent="0.25">
      <c r="A3842" s="24">
        <v>172</v>
      </c>
      <c r="B3842" s="42" t="s">
        <v>3439</v>
      </c>
      <c r="C3842" s="24" t="s">
        <v>3418</v>
      </c>
      <c r="D3842" s="24" t="s">
        <v>3358</v>
      </c>
      <c r="E3842" s="24">
        <v>2005</v>
      </c>
      <c r="F3842" s="24">
        <v>1997</v>
      </c>
      <c r="G3842" s="24" t="s">
        <v>2738</v>
      </c>
      <c r="H3842" s="24" t="s">
        <v>3435</v>
      </c>
      <c r="I3842" s="24" t="s">
        <v>2823</v>
      </c>
      <c r="J3842" s="24">
        <v>7.5</v>
      </c>
      <c r="K3842" s="24">
        <f t="shared" ref="K3842:K3873" si="508">3+54/60</f>
        <v>3.9</v>
      </c>
      <c r="L3842" s="24">
        <v>213</v>
      </c>
      <c r="P3842" s="24">
        <v>1247</v>
      </c>
      <c r="R3842" s="42" t="s">
        <v>1975</v>
      </c>
      <c r="S3842" s="42" t="s">
        <v>1931</v>
      </c>
      <c r="T3842" s="42"/>
      <c r="U3842" s="42" t="s">
        <v>3438</v>
      </c>
      <c r="V3842" s="42" t="s">
        <v>1382</v>
      </c>
      <c r="W3842" s="42" t="s">
        <v>1717</v>
      </c>
      <c r="X3842" s="42" t="s">
        <v>1382</v>
      </c>
      <c r="Y3842" s="42" t="s">
        <v>1382</v>
      </c>
      <c r="AA3842" s="321">
        <v>77.2</v>
      </c>
      <c r="AB3842" s="321">
        <v>11</v>
      </c>
      <c r="AC3842" s="24" t="s">
        <v>175</v>
      </c>
      <c r="AD3842" s="24">
        <v>7.8</v>
      </c>
      <c r="AE3842" s="24">
        <v>2.17</v>
      </c>
      <c r="AG3842" s="24" t="s">
        <v>3436</v>
      </c>
      <c r="AH3842" s="24" t="s">
        <v>3437</v>
      </c>
      <c r="AI3842" s="24" t="s">
        <v>577</v>
      </c>
      <c r="AJ3842" s="24" t="s">
        <v>1645</v>
      </c>
      <c r="AK3842" s="24" t="s">
        <v>132</v>
      </c>
      <c r="AW3842" s="24" t="s">
        <v>3293</v>
      </c>
      <c r="BF3842" s="24">
        <v>470</v>
      </c>
      <c r="BG3842" s="24">
        <v>650</v>
      </c>
      <c r="BK3842" s="24">
        <v>310</v>
      </c>
      <c r="BL3842" s="24">
        <v>320</v>
      </c>
      <c r="BP3842" s="395"/>
      <c r="BQ3842" s="395"/>
      <c r="BU3842" s="395"/>
      <c r="BV3842" s="395"/>
      <c r="BZ3842" s="395"/>
      <c r="CA3842" s="395"/>
      <c r="CE3842" s="548"/>
      <c r="CF3842" s="548"/>
      <c r="CG3842" s="548"/>
      <c r="CH3842" s="548"/>
      <c r="JD3842" s="249"/>
    </row>
    <row r="3843" spans="1:264" s="24" customFormat="1" x14ac:dyDescent="0.25">
      <c r="A3843" s="24">
        <v>172</v>
      </c>
      <c r="B3843" s="42" t="s">
        <v>3439</v>
      </c>
      <c r="C3843" s="24" t="s">
        <v>3418</v>
      </c>
      <c r="D3843" s="24" t="s">
        <v>3358</v>
      </c>
      <c r="E3843" s="24">
        <v>2005</v>
      </c>
      <c r="F3843" s="24">
        <v>1997</v>
      </c>
      <c r="G3843" s="24" t="s">
        <v>2738</v>
      </c>
      <c r="H3843" s="24" t="s">
        <v>3435</v>
      </c>
      <c r="I3843" s="24" t="s">
        <v>2823</v>
      </c>
      <c r="J3843" s="24">
        <v>7.5</v>
      </c>
      <c r="K3843" s="24">
        <f t="shared" si="508"/>
        <v>3.9</v>
      </c>
      <c r="L3843" s="24">
        <v>213</v>
      </c>
      <c r="P3843" s="24">
        <v>1247</v>
      </c>
      <c r="R3843" s="42" t="s">
        <v>1975</v>
      </c>
      <c r="S3843" s="42" t="s">
        <v>1931</v>
      </c>
      <c r="T3843" s="42"/>
      <c r="U3843" s="42" t="s">
        <v>3438</v>
      </c>
      <c r="V3843" s="42" t="s">
        <v>1382</v>
      </c>
      <c r="W3843" s="42" t="s">
        <v>1717</v>
      </c>
      <c r="X3843" s="42" t="s">
        <v>1382</v>
      </c>
      <c r="Y3843" s="42" t="s">
        <v>1382</v>
      </c>
      <c r="AA3843" s="321">
        <v>77.2</v>
      </c>
      <c r="AB3843" s="321">
        <v>11</v>
      </c>
      <c r="AC3843" s="24" t="s">
        <v>175</v>
      </c>
      <c r="AD3843" s="24">
        <v>7.8</v>
      </c>
      <c r="AE3843" s="24">
        <v>2.17</v>
      </c>
      <c r="AG3843" s="24" t="s">
        <v>3436</v>
      </c>
      <c r="AH3843" s="24" t="s">
        <v>3437</v>
      </c>
      <c r="AI3843" s="24" t="s">
        <v>577</v>
      </c>
      <c r="AJ3843" s="24" t="s">
        <v>1645</v>
      </c>
      <c r="AK3843" s="24" t="s">
        <v>132</v>
      </c>
      <c r="AW3843" s="24" t="s">
        <v>3293</v>
      </c>
      <c r="BF3843" s="24">
        <v>1180</v>
      </c>
      <c r="BG3843" s="24">
        <v>1390</v>
      </c>
      <c r="BK3843" s="24">
        <v>780</v>
      </c>
      <c r="BL3843" s="24">
        <v>440</v>
      </c>
      <c r="BP3843" s="395"/>
      <c r="BQ3843" s="395"/>
      <c r="BU3843" s="395"/>
      <c r="BV3843" s="395"/>
      <c r="BZ3843" s="395"/>
      <c r="CA3843" s="395"/>
      <c r="CE3843" s="548"/>
      <c r="CF3843" s="548"/>
      <c r="CG3843" s="548"/>
      <c r="CH3843" s="548"/>
      <c r="JD3843" s="249"/>
    </row>
    <row r="3844" spans="1:264" s="24" customFormat="1" x14ac:dyDescent="0.25">
      <c r="A3844" s="24">
        <v>172</v>
      </c>
      <c r="B3844" s="42" t="s">
        <v>3439</v>
      </c>
      <c r="C3844" s="24" t="s">
        <v>3418</v>
      </c>
      <c r="D3844" s="24" t="s">
        <v>3358</v>
      </c>
      <c r="E3844" s="24">
        <v>2005</v>
      </c>
      <c r="F3844" s="24">
        <v>1997</v>
      </c>
      <c r="G3844" s="24" t="s">
        <v>2738</v>
      </c>
      <c r="H3844" s="24" t="s">
        <v>3435</v>
      </c>
      <c r="I3844" s="24" t="s">
        <v>2823</v>
      </c>
      <c r="J3844" s="24">
        <v>7.5</v>
      </c>
      <c r="K3844" s="24">
        <f t="shared" si="508"/>
        <v>3.9</v>
      </c>
      <c r="L3844" s="24">
        <v>213</v>
      </c>
      <c r="P3844" s="24">
        <v>1247</v>
      </c>
      <c r="R3844" s="42" t="s">
        <v>1975</v>
      </c>
      <c r="S3844" s="42" t="s">
        <v>1931</v>
      </c>
      <c r="T3844" s="42"/>
      <c r="U3844" s="42" t="s">
        <v>3438</v>
      </c>
      <c r="V3844" s="42" t="s">
        <v>1382</v>
      </c>
      <c r="W3844" s="42" t="s">
        <v>1717</v>
      </c>
      <c r="X3844" s="42" t="s">
        <v>1382</v>
      </c>
      <c r="Y3844" s="42" t="s">
        <v>1382</v>
      </c>
      <c r="AA3844" s="321">
        <v>77.2</v>
      </c>
      <c r="AB3844" s="321">
        <v>11</v>
      </c>
      <c r="AC3844" s="24" t="s">
        <v>175</v>
      </c>
      <c r="AD3844" s="24">
        <v>7.8</v>
      </c>
      <c r="AE3844" s="24">
        <v>2.17</v>
      </c>
      <c r="AG3844" s="24" t="s">
        <v>3436</v>
      </c>
      <c r="AH3844" s="24" t="s">
        <v>3437</v>
      </c>
      <c r="AI3844" s="24" t="s">
        <v>577</v>
      </c>
      <c r="AJ3844" s="24" t="s">
        <v>1645</v>
      </c>
      <c r="AK3844" s="24" t="s">
        <v>132</v>
      </c>
      <c r="AW3844" s="24" t="s">
        <v>3293</v>
      </c>
      <c r="BF3844" s="24">
        <v>2210</v>
      </c>
      <c r="BG3844" s="24">
        <v>2050</v>
      </c>
      <c r="BK3844" s="24">
        <v>1610</v>
      </c>
      <c r="BL3844" s="24">
        <v>1180</v>
      </c>
      <c r="BP3844" s="395"/>
      <c r="BQ3844" s="395"/>
      <c r="BU3844" s="395"/>
      <c r="BV3844" s="395"/>
      <c r="BZ3844" s="395"/>
      <c r="CA3844" s="395"/>
      <c r="CE3844" s="548"/>
      <c r="CF3844" s="548"/>
      <c r="CG3844" s="548"/>
      <c r="CH3844" s="548"/>
      <c r="JD3844" s="249"/>
    </row>
    <row r="3845" spans="1:264" s="24" customFormat="1" x14ac:dyDescent="0.25">
      <c r="A3845" s="24">
        <v>172</v>
      </c>
      <c r="B3845" s="42" t="s">
        <v>3439</v>
      </c>
      <c r="C3845" s="24" t="s">
        <v>3418</v>
      </c>
      <c r="D3845" s="24" t="s">
        <v>3358</v>
      </c>
      <c r="E3845" s="24">
        <v>2005</v>
      </c>
      <c r="F3845" s="24">
        <v>1997</v>
      </c>
      <c r="G3845" s="24" t="s">
        <v>2738</v>
      </c>
      <c r="H3845" s="24" t="s">
        <v>3435</v>
      </c>
      <c r="I3845" s="24" t="s">
        <v>2823</v>
      </c>
      <c r="J3845" s="24">
        <v>7.5</v>
      </c>
      <c r="K3845" s="24">
        <f t="shared" si="508"/>
        <v>3.9</v>
      </c>
      <c r="L3845" s="24">
        <v>213</v>
      </c>
      <c r="P3845" s="24">
        <v>1247</v>
      </c>
      <c r="R3845" s="42" t="s">
        <v>1975</v>
      </c>
      <c r="S3845" s="42" t="s">
        <v>1931</v>
      </c>
      <c r="T3845" s="42"/>
      <c r="U3845" s="42" t="s">
        <v>3438</v>
      </c>
      <c r="V3845" s="42" t="s">
        <v>1382</v>
      </c>
      <c r="W3845" s="42" t="s">
        <v>1717</v>
      </c>
      <c r="X3845" s="42" t="s">
        <v>1382</v>
      </c>
      <c r="Y3845" s="42" t="s">
        <v>1382</v>
      </c>
      <c r="AA3845" s="321">
        <v>77.2</v>
      </c>
      <c r="AB3845" s="321">
        <v>11</v>
      </c>
      <c r="AC3845" s="24" t="s">
        <v>175</v>
      </c>
      <c r="AD3845" s="24">
        <v>7.8</v>
      </c>
      <c r="AE3845" s="24">
        <v>2.17</v>
      </c>
      <c r="AG3845" s="24" t="s">
        <v>3436</v>
      </c>
      <c r="AH3845" s="24" t="s">
        <v>3437</v>
      </c>
      <c r="AI3845" s="24" t="s">
        <v>577</v>
      </c>
      <c r="AJ3845" s="24" t="s">
        <v>1645</v>
      </c>
      <c r="AK3845" s="24" t="s">
        <v>132</v>
      </c>
      <c r="AW3845" s="24" t="s">
        <v>3293</v>
      </c>
      <c r="BF3845" s="24">
        <v>2280</v>
      </c>
      <c r="BG3845" s="24">
        <v>270</v>
      </c>
      <c r="BK3845" s="24">
        <v>1660</v>
      </c>
      <c r="BL3845" s="24">
        <v>960</v>
      </c>
      <c r="BP3845" s="395"/>
      <c r="BQ3845" s="395"/>
      <c r="BU3845" s="395"/>
      <c r="BV3845" s="395"/>
      <c r="BZ3845" s="395"/>
      <c r="CA3845" s="395"/>
      <c r="CE3845" s="548"/>
      <c r="CF3845" s="548"/>
      <c r="CG3845" s="548"/>
      <c r="CH3845" s="548"/>
      <c r="JD3845" s="249"/>
    </row>
    <row r="3846" spans="1:264" s="32" customFormat="1" x14ac:dyDescent="0.25">
      <c r="A3846" s="32">
        <v>172</v>
      </c>
      <c r="B3846" s="44" t="s">
        <v>3439</v>
      </c>
      <c r="C3846" s="32" t="s">
        <v>3418</v>
      </c>
      <c r="D3846" s="32" t="s">
        <v>3358</v>
      </c>
      <c r="E3846" s="32">
        <v>2005</v>
      </c>
      <c r="F3846" s="32">
        <v>1998</v>
      </c>
      <c r="G3846" s="32" t="s">
        <v>2738</v>
      </c>
      <c r="H3846" s="32" t="s">
        <v>3435</v>
      </c>
      <c r="I3846" s="32" t="s">
        <v>2823</v>
      </c>
      <c r="J3846" s="32">
        <v>7.5</v>
      </c>
      <c r="K3846" s="32">
        <f t="shared" si="508"/>
        <v>3.9</v>
      </c>
      <c r="L3846" s="32">
        <v>213</v>
      </c>
      <c r="P3846" s="32">
        <v>1247</v>
      </c>
      <c r="R3846" s="44" t="s">
        <v>1719</v>
      </c>
      <c r="S3846" s="44" t="s">
        <v>1931</v>
      </c>
      <c r="T3846" s="44"/>
      <c r="U3846" s="44" t="s">
        <v>3438</v>
      </c>
      <c r="V3846" s="44" t="s">
        <v>1382</v>
      </c>
      <c r="W3846" s="44" t="s">
        <v>1717</v>
      </c>
      <c r="X3846" s="44" t="s">
        <v>1382</v>
      </c>
      <c r="Y3846" s="44" t="s">
        <v>1382</v>
      </c>
      <c r="AA3846" s="323">
        <v>77.2</v>
      </c>
      <c r="AB3846" s="323">
        <v>11</v>
      </c>
      <c r="AC3846" s="32" t="s">
        <v>175</v>
      </c>
      <c r="AD3846" s="32">
        <v>7.8</v>
      </c>
      <c r="AE3846" s="32">
        <v>2.17</v>
      </c>
      <c r="AG3846" s="32" t="s">
        <v>3436</v>
      </c>
      <c r="AH3846" s="32" t="s">
        <v>3437</v>
      </c>
      <c r="AI3846" s="32" t="s">
        <v>577</v>
      </c>
      <c r="AJ3846" s="32" t="s">
        <v>1645</v>
      </c>
      <c r="AK3846" s="32" t="s">
        <v>132</v>
      </c>
      <c r="AW3846" s="32" t="s">
        <v>3293</v>
      </c>
      <c r="BF3846" s="32">
        <v>1340</v>
      </c>
      <c r="BG3846" s="32">
        <v>1670</v>
      </c>
      <c r="BK3846" s="32">
        <v>570</v>
      </c>
      <c r="BL3846" s="32">
        <v>470</v>
      </c>
      <c r="BP3846" s="397"/>
      <c r="BQ3846" s="397"/>
      <c r="BU3846" s="397"/>
      <c r="BV3846" s="397"/>
      <c r="BZ3846" s="397"/>
      <c r="CA3846" s="397"/>
      <c r="CE3846" s="550"/>
      <c r="CF3846" s="550"/>
      <c r="CG3846" s="550"/>
      <c r="CH3846" s="550"/>
      <c r="JD3846" s="243"/>
    </row>
    <row r="3847" spans="1:264" s="32" customFormat="1" x14ac:dyDescent="0.25">
      <c r="A3847" s="32">
        <v>172</v>
      </c>
      <c r="B3847" s="44" t="s">
        <v>3439</v>
      </c>
      <c r="C3847" s="32" t="s">
        <v>3418</v>
      </c>
      <c r="D3847" s="32" t="s">
        <v>3358</v>
      </c>
      <c r="E3847" s="32">
        <v>2005</v>
      </c>
      <c r="F3847" s="32">
        <v>1998</v>
      </c>
      <c r="G3847" s="32" t="s">
        <v>2738</v>
      </c>
      <c r="H3847" s="32" t="s">
        <v>3435</v>
      </c>
      <c r="I3847" s="32" t="s">
        <v>2823</v>
      </c>
      <c r="J3847" s="32">
        <v>7.5</v>
      </c>
      <c r="K3847" s="32">
        <f t="shared" si="508"/>
        <v>3.9</v>
      </c>
      <c r="L3847" s="32">
        <v>213</v>
      </c>
      <c r="P3847" s="32">
        <v>1247</v>
      </c>
      <c r="R3847" s="44" t="s">
        <v>1719</v>
      </c>
      <c r="S3847" s="44" t="s">
        <v>1931</v>
      </c>
      <c r="T3847" s="44"/>
      <c r="U3847" s="44" t="s">
        <v>3438</v>
      </c>
      <c r="V3847" s="44" t="s">
        <v>1382</v>
      </c>
      <c r="W3847" s="44" t="s">
        <v>1717</v>
      </c>
      <c r="X3847" s="44" t="s">
        <v>1382</v>
      </c>
      <c r="Y3847" s="44" t="s">
        <v>1382</v>
      </c>
      <c r="AA3847" s="323">
        <v>77.2</v>
      </c>
      <c r="AB3847" s="323">
        <v>11</v>
      </c>
      <c r="AC3847" s="32" t="s">
        <v>175</v>
      </c>
      <c r="AD3847" s="32">
        <v>7.8</v>
      </c>
      <c r="AE3847" s="32">
        <v>2.17</v>
      </c>
      <c r="AG3847" s="32" t="s">
        <v>3436</v>
      </c>
      <c r="AH3847" s="32" t="s">
        <v>3437</v>
      </c>
      <c r="AI3847" s="32" t="s">
        <v>577</v>
      </c>
      <c r="AJ3847" s="32" t="s">
        <v>1645</v>
      </c>
      <c r="AK3847" s="32" t="s">
        <v>132</v>
      </c>
      <c r="AW3847" s="32" t="s">
        <v>3293</v>
      </c>
      <c r="BF3847" s="32">
        <v>2260</v>
      </c>
      <c r="BG3847" s="32">
        <v>2260</v>
      </c>
      <c r="BK3847" s="32">
        <v>2090</v>
      </c>
      <c r="BL3847" s="32">
        <v>850</v>
      </c>
      <c r="BP3847" s="397"/>
      <c r="BQ3847" s="397"/>
      <c r="BU3847" s="397"/>
      <c r="BV3847" s="397"/>
      <c r="BZ3847" s="397"/>
      <c r="CA3847" s="397"/>
      <c r="CE3847" s="550"/>
      <c r="CF3847" s="550"/>
      <c r="CG3847" s="550"/>
      <c r="CH3847" s="550"/>
      <c r="JD3847" s="243"/>
    </row>
    <row r="3848" spans="1:264" s="32" customFormat="1" x14ac:dyDescent="0.25">
      <c r="A3848" s="32">
        <v>172</v>
      </c>
      <c r="B3848" s="44" t="s">
        <v>3439</v>
      </c>
      <c r="C3848" s="32" t="s">
        <v>3418</v>
      </c>
      <c r="D3848" s="32" t="s">
        <v>3358</v>
      </c>
      <c r="E3848" s="32">
        <v>2005</v>
      </c>
      <c r="F3848" s="32">
        <v>1998</v>
      </c>
      <c r="G3848" s="32" t="s">
        <v>2738</v>
      </c>
      <c r="H3848" s="32" t="s">
        <v>3435</v>
      </c>
      <c r="I3848" s="32" t="s">
        <v>2823</v>
      </c>
      <c r="J3848" s="32">
        <v>7.5</v>
      </c>
      <c r="K3848" s="32">
        <f t="shared" si="508"/>
        <v>3.9</v>
      </c>
      <c r="L3848" s="32">
        <v>213</v>
      </c>
      <c r="P3848" s="32">
        <v>1247</v>
      </c>
      <c r="R3848" s="44" t="s">
        <v>1719</v>
      </c>
      <c r="S3848" s="44" t="s">
        <v>1931</v>
      </c>
      <c r="T3848" s="44"/>
      <c r="U3848" s="44" t="s">
        <v>3438</v>
      </c>
      <c r="V3848" s="44" t="s">
        <v>1382</v>
      </c>
      <c r="W3848" s="44" t="s">
        <v>1717</v>
      </c>
      <c r="X3848" s="44" t="s">
        <v>1382</v>
      </c>
      <c r="Y3848" s="44" t="s">
        <v>1382</v>
      </c>
      <c r="AA3848" s="323">
        <v>77.2</v>
      </c>
      <c r="AB3848" s="323">
        <v>11</v>
      </c>
      <c r="AC3848" s="32" t="s">
        <v>175</v>
      </c>
      <c r="AD3848" s="32">
        <v>7.8</v>
      </c>
      <c r="AE3848" s="32">
        <v>2.17</v>
      </c>
      <c r="AG3848" s="32" t="s">
        <v>3436</v>
      </c>
      <c r="AH3848" s="32" t="s">
        <v>3437</v>
      </c>
      <c r="AI3848" s="32" t="s">
        <v>577</v>
      </c>
      <c r="AJ3848" s="32" t="s">
        <v>1645</v>
      </c>
      <c r="AK3848" s="32" t="s">
        <v>132</v>
      </c>
      <c r="AW3848" s="32" t="s">
        <v>3293</v>
      </c>
      <c r="BF3848" s="32">
        <v>2180</v>
      </c>
      <c r="BG3848" s="32">
        <v>2220</v>
      </c>
      <c r="BK3848" s="32">
        <v>1760</v>
      </c>
      <c r="BL3848" s="32">
        <v>1010</v>
      </c>
      <c r="BP3848" s="397"/>
      <c r="BQ3848" s="397"/>
      <c r="BU3848" s="397"/>
      <c r="BV3848" s="397"/>
      <c r="BZ3848" s="397"/>
      <c r="CA3848" s="397"/>
      <c r="CE3848" s="550"/>
      <c r="CF3848" s="550"/>
      <c r="CG3848" s="550"/>
      <c r="CH3848" s="550"/>
      <c r="JD3848" s="243"/>
    </row>
    <row r="3849" spans="1:264" s="32" customFormat="1" x14ac:dyDescent="0.25">
      <c r="A3849" s="32">
        <v>172</v>
      </c>
      <c r="B3849" s="44" t="s">
        <v>3439</v>
      </c>
      <c r="C3849" s="32" t="s">
        <v>3418</v>
      </c>
      <c r="D3849" s="32" t="s">
        <v>3358</v>
      </c>
      <c r="E3849" s="32">
        <v>2005</v>
      </c>
      <c r="F3849" s="32">
        <v>1998</v>
      </c>
      <c r="G3849" s="32" t="s">
        <v>2738</v>
      </c>
      <c r="H3849" s="32" t="s">
        <v>3435</v>
      </c>
      <c r="I3849" s="32" t="s">
        <v>2823</v>
      </c>
      <c r="J3849" s="32">
        <v>7.5</v>
      </c>
      <c r="K3849" s="32">
        <f t="shared" si="508"/>
        <v>3.9</v>
      </c>
      <c r="L3849" s="32">
        <v>213</v>
      </c>
      <c r="P3849" s="32">
        <v>1247</v>
      </c>
      <c r="R3849" s="44" t="s">
        <v>1719</v>
      </c>
      <c r="S3849" s="44" t="s">
        <v>1931</v>
      </c>
      <c r="T3849" s="44"/>
      <c r="U3849" s="44" t="s">
        <v>3438</v>
      </c>
      <c r="V3849" s="44" t="s">
        <v>1382</v>
      </c>
      <c r="W3849" s="44" t="s">
        <v>1717</v>
      </c>
      <c r="X3849" s="44" t="s">
        <v>1382</v>
      </c>
      <c r="Y3849" s="44" t="s">
        <v>1382</v>
      </c>
      <c r="AA3849" s="323">
        <v>77.2</v>
      </c>
      <c r="AB3849" s="323">
        <v>11</v>
      </c>
      <c r="AC3849" s="32" t="s">
        <v>175</v>
      </c>
      <c r="AD3849" s="32">
        <v>7.8</v>
      </c>
      <c r="AE3849" s="32">
        <v>2.17</v>
      </c>
      <c r="AG3849" s="32" t="s">
        <v>3436</v>
      </c>
      <c r="AH3849" s="32" t="s">
        <v>3437</v>
      </c>
      <c r="AI3849" s="32" t="s">
        <v>577</v>
      </c>
      <c r="AJ3849" s="32" t="s">
        <v>1645</v>
      </c>
      <c r="AK3849" s="32" t="s">
        <v>132</v>
      </c>
      <c r="AW3849" s="32" t="s">
        <v>3293</v>
      </c>
      <c r="BF3849" s="32">
        <v>2600</v>
      </c>
      <c r="BG3849" s="32">
        <v>2630</v>
      </c>
      <c r="BK3849" s="32">
        <v>2280</v>
      </c>
      <c r="BL3849" s="32">
        <v>1430</v>
      </c>
      <c r="BP3849" s="397"/>
      <c r="BQ3849" s="397"/>
      <c r="BU3849" s="397"/>
      <c r="BV3849" s="397"/>
      <c r="BZ3849" s="397"/>
      <c r="CA3849" s="397"/>
      <c r="CE3849" s="550"/>
      <c r="CF3849" s="550"/>
      <c r="CG3849" s="550"/>
      <c r="CH3849" s="550"/>
      <c r="JD3849" s="243"/>
    </row>
    <row r="3850" spans="1:264" s="24" customFormat="1" x14ac:dyDescent="0.25">
      <c r="A3850" s="24">
        <v>172</v>
      </c>
      <c r="B3850" s="42" t="s">
        <v>3439</v>
      </c>
      <c r="C3850" s="24" t="s">
        <v>3418</v>
      </c>
      <c r="D3850" s="24" t="s">
        <v>3358</v>
      </c>
      <c r="E3850" s="24">
        <v>2005</v>
      </c>
      <c r="F3850" s="24">
        <v>1999</v>
      </c>
      <c r="G3850" s="24" t="s">
        <v>2738</v>
      </c>
      <c r="H3850" s="24" t="s">
        <v>3435</v>
      </c>
      <c r="I3850" s="24" t="s">
        <v>2823</v>
      </c>
      <c r="J3850" s="24">
        <v>7.5</v>
      </c>
      <c r="K3850" s="24">
        <f t="shared" si="508"/>
        <v>3.9</v>
      </c>
      <c r="L3850" s="24">
        <v>213</v>
      </c>
      <c r="P3850" s="24">
        <v>1247</v>
      </c>
      <c r="R3850" s="42" t="s">
        <v>1860</v>
      </c>
      <c r="S3850" s="42" t="s">
        <v>1931</v>
      </c>
      <c r="T3850" s="42"/>
      <c r="U3850" s="42" t="s">
        <v>3438</v>
      </c>
      <c r="V3850" s="42" t="s">
        <v>1382</v>
      </c>
      <c r="W3850" s="42" t="s">
        <v>1717</v>
      </c>
      <c r="X3850" s="42" t="s">
        <v>1382</v>
      </c>
      <c r="Y3850" s="42" t="s">
        <v>1382</v>
      </c>
      <c r="AA3850" s="321">
        <v>77.2</v>
      </c>
      <c r="AB3850" s="321">
        <v>11</v>
      </c>
      <c r="AC3850" s="24" t="s">
        <v>175</v>
      </c>
      <c r="AD3850" s="24">
        <v>7.8</v>
      </c>
      <c r="AE3850" s="24">
        <v>2.17</v>
      </c>
      <c r="AG3850" s="24" t="s">
        <v>3436</v>
      </c>
      <c r="AH3850" s="24" t="s">
        <v>3437</v>
      </c>
      <c r="AI3850" s="24" t="s">
        <v>577</v>
      </c>
      <c r="AJ3850" s="24" t="s">
        <v>1645</v>
      </c>
      <c r="AK3850" s="24" t="s">
        <v>132</v>
      </c>
      <c r="AW3850" s="24" t="s">
        <v>3293</v>
      </c>
      <c r="BF3850" s="24">
        <v>610</v>
      </c>
      <c r="BG3850" s="24">
        <v>1190</v>
      </c>
      <c r="BP3850" s="395"/>
      <c r="BQ3850" s="395"/>
      <c r="BU3850" s="395"/>
      <c r="BV3850" s="395"/>
      <c r="BZ3850" s="395"/>
      <c r="CA3850" s="395"/>
      <c r="CE3850" s="548"/>
      <c r="CF3850" s="548"/>
      <c r="CG3850" s="548"/>
      <c r="CH3850" s="548"/>
      <c r="JD3850" s="249"/>
    </row>
    <row r="3851" spans="1:264" s="24" customFormat="1" x14ac:dyDescent="0.25">
      <c r="A3851" s="24">
        <v>172</v>
      </c>
      <c r="B3851" s="42" t="s">
        <v>3439</v>
      </c>
      <c r="C3851" s="24" t="s">
        <v>3418</v>
      </c>
      <c r="D3851" s="24" t="s">
        <v>3358</v>
      </c>
      <c r="E3851" s="24">
        <v>2005</v>
      </c>
      <c r="F3851" s="24">
        <v>1999</v>
      </c>
      <c r="G3851" s="24" t="s">
        <v>2738</v>
      </c>
      <c r="H3851" s="24" t="s">
        <v>3435</v>
      </c>
      <c r="I3851" s="24" t="s">
        <v>2823</v>
      </c>
      <c r="J3851" s="24">
        <v>7.5</v>
      </c>
      <c r="K3851" s="24">
        <f t="shared" si="508"/>
        <v>3.9</v>
      </c>
      <c r="L3851" s="24">
        <v>213</v>
      </c>
      <c r="P3851" s="24">
        <v>1247</v>
      </c>
      <c r="R3851" s="42" t="s">
        <v>1860</v>
      </c>
      <c r="S3851" s="42" t="s">
        <v>1931</v>
      </c>
      <c r="T3851" s="42"/>
      <c r="U3851" s="42" t="s">
        <v>3438</v>
      </c>
      <c r="V3851" s="42" t="s">
        <v>1382</v>
      </c>
      <c r="W3851" s="42" t="s">
        <v>1717</v>
      </c>
      <c r="X3851" s="42" t="s">
        <v>1382</v>
      </c>
      <c r="Y3851" s="42" t="s">
        <v>1382</v>
      </c>
      <c r="AA3851" s="321">
        <v>77.2</v>
      </c>
      <c r="AB3851" s="321">
        <v>11</v>
      </c>
      <c r="AC3851" s="24" t="s">
        <v>175</v>
      </c>
      <c r="AD3851" s="24">
        <v>7.8</v>
      </c>
      <c r="AE3851" s="24">
        <v>2.17</v>
      </c>
      <c r="AG3851" s="24" t="s">
        <v>3436</v>
      </c>
      <c r="AH3851" s="24" t="s">
        <v>3437</v>
      </c>
      <c r="AI3851" s="24" t="s">
        <v>577</v>
      </c>
      <c r="AJ3851" s="24" t="s">
        <v>1645</v>
      </c>
      <c r="AK3851" s="24" t="s">
        <v>132</v>
      </c>
      <c r="AW3851" s="24" t="s">
        <v>3293</v>
      </c>
      <c r="BF3851" s="24">
        <v>900</v>
      </c>
      <c r="BG3851" s="24">
        <v>1170</v>
      </c>
      <c r="BP3851" s="395"/>
      <c r="BQ3851" s="395"/>
      <c r="BU3851" s="395"/>
      <c r="BV3851" s="395"/>
      <c r="BZ3851" s="395"/>
      <c r="CA3851" s="395"/>
      <c r="CE3851" s="548"/>
      <c r="CF3851" s="548"/>
      <c r="CG3851" s="548"/>
      <c r="CH3851" s="548"/>
      <c r="JD3851" s="249"/>
    </row>
    <row r="3852" spans="1:264" s="24" customFormat="1" x14ac:dyDescent="0.25">
      <c r="A3852" s="24">
        <v>172</v>
      </c>
      <c r="B3852" s="42" t="s">
        <v>3439</v>
      </c>
      <c r="C3852" s="24" t="s">
        <v>3418</v>
      </c>
      <c r="D3852" s="24" t="s">
        <v>3358</v>
      </c>
      <c r="E3852" s="24">
        <v>2005</v>
      </c>
      <c r="F3852" s="24">
        <v>1999</v>
      </c>
      <c r="G3852" s="24" t="s">
        <v>2738</v>
      </c>
      <c r="H3852" s="24" t="s">
        <v>3435</v>
      </c>
      <c r="I3852" s="24" t="s">
        <v>2823</v>
      </c>
      <c r="J3852" s="24">
        <v>7.5</v>
      </c>
      <c r="K3852" s="24">
        <f t="shared" si="508"/>
        <v>3.9</v>
      </c>
      <c r="L3852" s="24">
        <v>213</v>
      </c>
      <c r="P3852" s="24">
        <v>1247</v>
      </c>
      <c r="R3852" s="42" t="s">
        <v>1860</v>
      </c>
      <c r="S3852" s="42" t="s">
        <v>1931</v>
      </c>
      <c r="T3852" s="42"/>
      <c r="U3852" s="42" t="s">
        <v>3438</v>
      </c>
      <c r="V3852" s="42" t="s">
        <v>1382</v>
      </c>
      <c r="W3852" s="42" t="s">
        <v>1717</v>
      </c>
      <c r="X3852" s="42" t="s">
        <v>1382</v>
      </c>
      <c r="Y3852" s="42" t="s">
        <v>1382</v>
      </c>
      <c r="AA3852" s="321">
        <v>77.2</v>
      </c>
      <c r="AB3852" s="321">
        <v>11</v>
      </c>
      <c r="AC3852" s="24" t="s">
        <v>175</v>
      </c>
      <c r="AD3852" s="24">
        <v>7.8</v>
      </c>
      <c r="AE3852" s="24">
        <v>2.17</v>
      </c>
      <c r="AG3852" s="24" t="s">
        <v>3436</v>
      </c>
      <c r="AH3852" s="24" t="s">
        <v>3437</v>
      </c>
      <c r="AI3852" s="24" t="s">
        <v>577</v>
      </c>
      <c r="AJ3852" s="24" t="s">
        <v>1645</v>
      </c>
      <c r="AK3852" s="24" t="s">
        <v>132</v>
      </c>
      <c r="AW3852" s="24" t="s">
        <v>3293</v>
      </c>
      <c r="BF3852" s="24">
        <v>1480</v>
      </c>
      <c r="BG3852" s="24">
        <v>1020</v>
      </c>
      <c r="BP3852" s="395"/>
      <c r="BQ3852" s="395"/>
      <c r="BU3852" s="395"/>
      <c r="BV3852" s="395"/>
      <c r="BZ3852" s="395"/>
      <c r="CA3852" s="395"/>
      <c r="CE3852" s="548"/>
      <c r="CF3852" s="548"/>
      <c r="CG3852" s="548"/>
      <c r="CH3852" s="548"/>
      <c r="JD3852" s="249"/>
    </row>
    <row r="3853" spans="1:264" s="24" customFormat="1" x14ac:dyDescent="0.25">
      <c r="A3853" s="24">
        <v>172</v>
      </c>
      <c r="B3853" s="42" t="s">
        <v>3439</v>
      </c>
      <c r="C3853" s="24" t="s">
        <v>3418</v>
      </c>
      <c r="D3853" s="24" t="s">
        <v>3358</v>
      </c>
      <c r="E3853" s="24">
        <v>2005</v>
      </c>
      <c r="F3853" s="24">
        <v>1999</v>
      </c>
      <c r="G3853" s="24" t="s">
        <v>2738</v>
      </c>
      <c r="H3853" s="24" t="s">
        <v>3435</v>
      </c>
      <c r="I3853" s="24" t="s">
        <v>2823</v>
      </c>
      <c r="J3853" s="24">
        <v>7.5</v>
      </c>
      <c r="K3853" s="24">
        <f t="shared" si="508"/>
        <v>3.9</v>
      </c>
      <c r="L3853" s="24">
        <v>213</v>
      </c>
      <c r="P3853" s="24">
        <v>1247</v>
      </c>
      <c r="R3853" s="42" t="s">
        <v>1860</v>
      </c>
      <c r="S3853" s="42" t="s">
        <v>1931</v>
      </c>
      <c r="T3853" s="42"/>
      <c r="U3853" s="42" t="s">
        <v>3438</v>
      </c>
      <c r="V3853" s="42" t="s">
        <v>1382</v>
      </c>
      <c r="W3853" s="42" t="s">
        <v>1717</v>
      </c>
      <c r="X3853" s="42" t="s">
        <v>1382</v>
      </c>
      <c r="Y3853" s="42" t="s">
        <v>1382</v>
      </c>
      <c r="AA3853" s="321">
        <v>77.2</v>
      </c>
      <c r="AB3853" s="321">
        <v>11</v>
      </c>
      <c r="AC3853" s="24" t="s">
        <v>175</v>
      </c>
      <c r="AD3853" s="24">
        <v>7.8</v>
      </c>
      <c r="AE3853" s="24">
        <v>2.17</v>
      </c>
      <c r="AG3853" s="24" t="s">
        <v>3436</v>
      </c>
      <c r="AH3853" s="24" t="s">
        <v>3437</v>
      </c>
      <c r="AI3853" s="24" t="s">
        <v>577</v>
      </c>
      <c r="AJ3853" s="24" t="s">
        <v>1645</v>
      </c>
      <c r="AK3853" s="24" t="s">
        <v>132</v>
      </c>
      <c r="AW3853" s="24" t="s">
        <v>3293</v>
      </c>
      <c r="BF3853" s="24">
        <v>1500</v>
      </c>
      <c r="BG3853" s="24">
        <v>1300</v>
      </c>
      <c r="BP3853" s="395"/>
      <c r="BQ3853" s="395"/>
      <c r="BU3853" s="395"/>
      <c r="BV3853" s="395"/>
      <c r="BZ3853" s="395"/>
      <c r="CA3853" s="395"/>
      <c r="CE3853" s="548"/>
      <c r="CF3853" s="548"/>
      <c r="CG3853" s="548"/>
      <c r="CH3853" s="548"/>
      <c r="JD3853" s="249"/>
    </row>
    <row r="3854" spans="1:264" s="32" customFormat="1" x14ac:dyDescent="0.25">
      <c r="A3854" s="32">
        <v>172</v>
      </c>
      <c r="B3854" s="44" t="s">
        <v>3439</v>
      </c>
      <c r="C3854" s="32" t="s">
        <v>3418</v>
      </c>
      <c r="D3854" s="32" t="s">
        <v>3358</v>
      </c>
      <c r="E3854" s="32">
        <v>2005</v>
      </c>
      <c r="F3854" s="32">
        <v>2000</v>
      </c>
      <c r="G3854" s="32" t="s">
        <v>2738</v>
      </c>
      <c r="H3854" s="32" t="s">
        <v>3435</v>
      </c>
      <c r="I3854" s="32" t="s">
        <v>2823</v>
      </c>
      <c r="J3854" s="32">
        <v>7.5</v>
      </c>
      <c r="K3854" s="32">
        <f t="shared" si="508"/>
        <v>3.9</v>
      </c>
      <c r="L3854" s="32">
        <v>213</v>
      </c>
      <c r="P3854" s="32">
        <v>1247</v>
      </c>
      <c r="R3854" s="44" t="s">
        <v>1931</v>
      </c>
      <c r="S3854" s="44" t="s">
        <v>1931</v>
      </c>
      <c r="T3854" s="44"/>
      <c r="U3854" s="44" t="s">
        <v>3438</v>
      </c>
      <c r="V3854" s="44" t="s">
        <v>1382</v>
      </c>
      <c r="W3854" s="44" t="s">
        <v>1717</v>
      </c>
      <c r="X3854" s="44" t="s">
        <v>1382</v>
      </c>
      <c r="Y3854" s="44" t="s">
        <v>1382</v>
      </c>
      <c r="AA3854" s="323">
        <v>77.2</v>
      </c>
      <c r="AB3854" s="323">
        <v>11</v>
      </c>
      <c r="AC3854" s="32" t="s">
        <v>175</v>
      </c>
      <c r="AD3854" s="32">
        <v>7.8</v>
      </c>
      <c r="AE3854" s="32">
        <v>2.17</v>
      </c>
      <c r="AG3854" s="32" t="s">
        <v>3436</v>
      </c>
      <c r="AH3854" s="32" t="s">
        <v>3437</v>
      </c>
      <c r="AI3854" s="32" t="s">
        <v>577</v>
      </c>
      <c r="AJ3854" s="32" t="s">
        <v>1645</v>
      </c>
      <c r="AK3854" s="32" t="s">
        <v>132</v>
      </c>
      <c r="AW3854" s="32" t="s">
        <v>3293</v>
      </c>
      <c r="BF3854" s="32">
        <v>760</v>
      </c>
      <c r="BG3854" s="32">
        <v>910</v>
      </c>
      <c r="BK3854" s="32">
        <v>210</v>
      </c>
      <c r="BL3854" s="32">
        <v>500</v>
      </c>
      <c r="BP3854" s="397"/>
      <c r="BQ3854" s="397"/>
      <c r="BU3854" s="397"/>
      <c r="BV3854" s="397"/>
      <c r="BZ3854" s="397"/>
      <c r="CA3854" s="397"/>
      <c r="CE3854" s="550"/>
      <c r="CF3854" s="550"/>
      <c r="CG3854" s="550"/>
      <c r="CH3854" s="550"/>
      <c r="JD3854" s="243"/>
    </row>
    <row r="3855" spans="1:264" s="32" customFormat="1" x14ac:dyDescent="0.25">
      <c r="A3855" s="32">
        <v>172</v>
      </c>
      <c r="B3855" s="44" t="s">
        <v>3439</v>
      </c>
      <c r="C3855" s="32" t="s">
        <v>3418</v>
      </c>
      <c r="D3855" s="32" t="s">
        <v>3358</v>
      </c>
      <c r="E3855" s="32">
        <v>2005</v>
      </c>
      <c r="F3855" s="32">
        <v>2000</v>
      </c>
      <c r="G3855" s="32" t="s">
        <v>2738</v>
      </c>
      <c r="H3855" s="32" t="s">
        <v>3435</v>
      </c>
      <c r="I3855" s="32" t="s">
        <v>2823</v>
      </c>
      <c r="J3855" s="32">
        <v>7.5</v>
      </c>
      <c r="K3855" s="32">
        <f t="shared" si="508"/>
        <v>3.9</v>
      </c>
      <c r="L3855" s="32">
        <v>213</v>
      </c>
      <c r="P3855" s="32">
        <v>1247</v>
      </c>
      <c r="R3855" s="44" t="s">
        <v>1931</v>
      </c>
      <c r="S3855" s="44" t="s">
        <v>1931</v>
      </c>
      <c r="T3855" s="44"/>
      <c r="U3855" s="44" t="s">
        <v>3438</v>
      </c>
      <c r="V3855" s="44" t="s">
        <v>1382</v>
      </c>
      <c r="W3855" s="44" t="s">
        <v>1717</v>
      </c>
      <c r="X3855" s="44" t="s">
        <v>1382</v>
      </c>
      <c r="Y3855" s="44" t="s">
        <v>1382</v>
      </c>
      <c r="AA3855" s="323">
        <v>77.2</v>
      </c>
      <c r="AB3855" s="323">
        <v>11</v>
      </c>
      <c r="AC3855" s="32" t="s">
        <v>175</v>
      </c>
      <c r="AD3855" s="32">
        <v>7.8</v>
      </c>
      <c r="AE3855" s="32">
        <v>2.17</v>
      </c>
      <c r="AG3855" s="32" t="s">
        <v>3436</v>
      </c>
      <c r="AH3855" s="32" t="s">
        <v>3437</v>
      </c>
      <c r="AI3855" s="32" t="s">
        <v>577</v>
      </c>
      <c r="AJ3855" s="32" t="s">
        <v>1645</v>
      </c>
      <c r="AK3855" s="32" t="s">
        <v>132</v>
      </c>
      <c r="AW3855" s="32" t="s">
        <v>3293</v>
      </c>
      <c r="BF3855" s="32">
        <v>1230</v>
      </c>
      <c r="BG3855" s="32">
        <v>1670</v>
      </c>
      <c r="BK3855" s="32">
        <v>800</v>
      </c>
      <c r="BL3855" s="32">
        <v>1110</v>
      </c>
      <c r="BP3855" s="397"/>
      <c r="BQ3855" s="397"/>
      <c r="BU3855" s="397"/>
      <c r="BV3855" s="397"/>
      <c r="BZ3855" s="397"/>
      <c r="CA3855" s="397"/>
      <c r="CE3855" s="550"/>
      <c r="CF3855" s="550"/>
      <c r="CG3855" s="550"/>
      <c r="CH3855" s="550"/>
      <c r="JD3855" s="243"/>
    </row>
    <row r="3856" spans="1:264" s="32" customFormat="1" x14ac:dyDescent="0.25">
      <c r="A3856" s="32">
        <v>172</v>
      </c>
      <c r="B3856" s="44" t="s">
        <v>3439</v>
      </c>
      <c r="C3856" s="32" t="s">
        <v>3418</v>
      </c>
      <c r="D3856" s="32" t="s">
        <v>3358</v>
      </c>
      <c r="E3856" s="32">
        <v>2005</v>
      </c>
      <c r="F3856" s="32">
        <v>2000</v>
      </c>
      <c r="G3856" s="32" t="s">
        <v>2738</v>
      </c>
      <c r="H3856" s="32" t="s">
        <v>3435</v>
      </c>
      <c r="I3856" s="32" t="s">
        <v>2823</v>
      </c>
      <c r="J3856" s="32">
        <v>7.5</v>
      </c>
      <c r="K3856" s="32">
        <f t="shared" si="508"/>
        <v>3.9</v>
      </c>
      <c r="L3856" s="32">
        <v>213</v>
      </c>
      <c r="P3856" s="32">
        <v>1247</v>
      </c>
      <c r="R3856" s="44" t="s">
        <v>1931</v>
      </c>
      <c r="S3856" s="44" t="s">
        <v>1931</v>
      </c>
      <c r="T3856" s="44"/>
      <c r="U3856" s="44" t="s">
        <v>3438</v>
      </c>
      <c r="V3856" s="44" t="s">
        <v>1382</v>
      </c>
      <c r="W3856" s="44" t="s">
        <v>1717</v>
      </c>
      <c r="X3856" s="44" t="s">
        <v>1382</v>
      </c>
      <c r="Y3856" s="44" t="s">
        <v>1382</v>
      </c>
      <c r="AA3856" s="323">
        <v>77.2</v>
      </c>
      <c r="AB3856" s="323">
        <v>11</v>
      </c>
      <c r="AC3856" s="32" t="s">
        <v>175</v>
      </c>
      <c r="AD3856" s="32">
        <v>7.8</v>
      </c>
      <c r="AE3856" s="32">
        <v>2.17</v>
      </c>
      <c r="AG3856" s="32" t="s">
        <v>3436</v>
      </c>
      <c r="AH3856" s="32" t="s">
        <v>3437</v>
      </c>
      <c r="AI3856" s="32" t="s">
        <v>577</v>
      </c>
      <c r="AJ3856" s="32" t="s">
        <v>1645</v>
      </c>
      <c r="AK3856" s="32" t="s">
        <v>132</v>
      </c>
      <c r="AW3856" s="32" t="s">
        <v>3293</v>
      </c>
      <c r="BF3856" s="32">
        <v>2350</v>
      </c>
      <c r="BG3856" s="32">
        <v>1970</v>
      </c>
      <c r="BK3856" s="32">
        <v>2120</v>
      </c>
      <c r="BL3856" s="32">
        <v>1590</v>
      </c>
      <c r="BP3856" s="397"/>
      <c r="BQ3856" s="397"/>
      <c r="BU3856" s="397"/>
      <c r="BV3856" s="397"/>
      <c r="BZ3856" s="397"/>
      <c r="CA3856" s="397"/>
      <c r="CE3856" s="550"/>
      <c r="CF3856" s="550"/>
      <c r="CG3856" s="550"/>
      <c r="CH3856" s="550"/>
      <c r="JD3856" s="243"/>
    </row>
    <row r="3857" spans="1:264" s="32" customFormat="1" x14ac:dyDescent="0.25">
      <c r="A3857" s="32">
        <v>172</v>
      </c>
      <c r="B3857" s="44" t="s">
        <v>3439</v>
      </c>
      <c r="C3857" s="32" t="s">
        <v>3418</v>
      </c>
      <c r="D3857" s="32" t="s">
        <v>3358</v>
      </c>
      <c r="E3857" s="32">
        <v>2005</v>
      </c>
      <c r="F3857" s="32">
        <v>2000</v>
      </c>
      <c r="G3857" s="32" t="s">
        <v>2738</v>
      </c>
      <c r="H3857" s="32" t="s">
        <v>3435</v>
      </c>
      <c r="I3857" s="32" t="s">
        <v>2823</v>
      </c>
      <c r="J3857" s="32">
        <v>7.5</v>
      </c>
      <c r="K3857" s="32">
        <f t="shared" si="508"/>
        <v>3.9</v>
      </c>
      <c r="L3857" s="32">
        <v>213</v>
      </c>
      <c r="P3857" s="32">
        <v>1247</v>
      </c>
      <c r="R3857" s="44" t="s">
        <v>1931</v>
      </c>
      <c r="S3857" s="44" t="s">
        <v>1931</v>
      </c>
      <c r="T3857" s="44"/>
      <c r="U3857" s="44" t="s">
        <v>3438</v>
      </c>
      <c r="V3857" s="44" t="s">
        <v>1382</v>
      </c>
      <c r="W3857" s="44" t="s">
        <v>1717</v>
      </c>
      <c r="X3857" s="44" t="s">
        <v>1382</v>
      </c>
      <c r="Y3857" s="44" t="s">
        <v>1382</v>
      </c>
      <c r="AA3857" s="323">
        <v>77.2</v>
      </c>
      <c r="AB3857" s="323">
        <v>11</v>
      </c>
      <c r="AC3857" s="32" t="s">
        <v>175</v>
      </c>
      <c r="AD3857" s="32">
        <v>7.8</v>
      </c>
      <c r="AE3857" s="32">
        <v>2.17</v>
      </c>
      <c r="AG3857" s="32" t="s">
        <v>3436</v>
      </c>
      <c r="AH3857" s="32" t="s">
        <v>3437</v>
      </c>
      <c r="AI3857" s="32" t="s">
        <v>577</v>
      </c>
      <c r="AJ3857" s="32" t="s">
        <v>1645</v>
      </c>
      <c r="AK3857" s="32" t="s">
        <v>132</v>
      </c>
      <c r="AW3857" s="32" t="s">
        <v>3293</v>
      </c>
      <c r="BF3857" s="32">
        <v>2790</v>
      </c>
      <c r="BG3857" s="32">
        <v>1470</v>
      </c>
      <c r="BK3857" s="32">
        <v>2260</v>
      </c>
      <c r="BL3857" s="32">
        <v>1340</v>
      </c>
      <c r="BP3857" s="397"/>
      <c r="BQ3857" s="397"/>
      <c r="BU3857" s="397"/>
      <c r="BV3857" s="397"/>
      <c r="BZ3857" s="397"/>
      <c r="CA3857" s="397"/>
      <c r="CE3857" s="550"/>
      <c r="CF3857" s="550"/>
      <c r="CG3857" s="550"/>
      <c r="CH3857" s="550"/>
      <c r="JD3857" s="243"/>
    </row>
    <row r="3858" spans="1:264" s="517" customFormat="1" x14ac:dyDescent="0.25">
      <c r="A3858" s="517">
        <v>172</v>
      </c>
      <c r="B3858" s="518" t="s">
        <v>3440</v>
      </c>
      <c r="C3858" s="517" t="s">
        <v>3418</v>
      </c>
      <c r="D3858" s="517" t="s">
        <v>3358</v>
      </c>
      <c r="E3858" s="517">
        <v>2005</v>
      </c>
      <c r="F3858" s="517">
        <v>1989</v>
      </c>
      <c r="G3858" s="517" t="s">
        <v>2738</v>
      </c>
      <c r="H3858" s="517" t="s">
        <v>3435</v>
      </c>
      <c r="I3858" s="517" t="s">
        <v>2823</v>
      </c>
      <c r="J3858" s="517">
        <v>7.5</v>
      </c>
      <c r="K3858" s="517">
        <f t="shared" si="508"/>
        <v>3.9</v>
      </c>
      <c r="L3858" s="517">
        <v>213</v>
      </c>
      <c r="P3858" s="517">
        <v>1247</v>
      </c>
      <c r="R3858" s="518" t="s">
        <v>1977</v>
      </c>
      <c r="S3858" s="518" t="s">
        <v>1931</v>
      </c>
      <c r="T3858" s="518"/>
      <c r="U3858" s="518" t="s">
        <v>3438</v>
      </c>
      <c r="V3858" s="518" t="s">
        <v>1394</v>
      </c>
      <c r="W3858" s="518" t="s">
        <v>1722</v>
      </c>
      <c r="X3858" s="518" t="s">
        <v>1394</v>
      </c>
      <c r="Y3858" s="518" t="s">
        <v>1394</v>
      </c>
      <c r="AA3858" s="519">
        <v>77.2</v>
      </c>
      <c r="AB3858" s="519">
        <v>11</v>
      </c>
      <c r="AC3858" s="517" t="s">
        <v>175</v>
      </c>
      <c r="AD3858" s="517">
        <v>7.8</v>
      </c>
      <c r="AE3858" s="517">
        <v>2.17</v>
      </c>
      <c r="AG3858" s="517" t="s">
        <v>3436</v>
      </c>
      <c r="AH3858" s="517" t="s">
        <v>2800</v>
      </c>
      <c r="AI3858" s="517" t="s">
        <v>4321</v>
      </c>
      <c r="AJ3858" s="517" t="s">
        <v>1645</v>
      </c>
      <c r="AK3858" s="517" t="s">
        <v>132</v>
      </c>
      <c r="AW3858" s="517" t="s">
        <v>3293</v>
      </c>
      <c r="BK3858" s="517">
        <v>1300</v>
      </c>
      <c r="BL3858" s="517">
        <v>1400</v>
      </c>
      <c r="BP3858" s="520"/>
      <c r="BQ3858" s="520"/>
      <c r="BU3858" s="520">
        <v>1.1599999999999999</v>
      </c>
      <c r="BV3858" s="520">
        <v>1.42</v>
      </c>
      <c r="BZ3858" s="520"/>
      <c r="CA3858" s="520"/>
      <c r="CE3858" s="608">
        <v>1.1599999999999999</v>
      </c>
      <c r="CF3858" s="608">
        <v>1.42</v>
      </c>
      <c r="CG3858" s="608"/>
      <c r="CH3858" s="608"/>
      <c r="CI3858" s="517" t="s">
        <v>4546</v>
      </c>
      <c r="CO3858" s="517">
        <v>7</v>
      </c>
      <c r="CP3858" s="517">
        <v>6.8</v>
      </c>
      <c r="CS3858" s="517" t="s">
        <v>3443</v>
      </c>
      <c r="CT3858" s="517">
        <v>0.27</v>
      </c>
      <c r="CU3858" s="517">
        <v>0.38</v>
      </c>
      <c r="CX3858" s="517" t="s">
        <v>3444</v>
      </c>
      <c r="CY3858" s="517">
        <v>6</v>
      </c>
      <c r="CZ3858" s="517">
        <v>6.1</v>
      </c>
      <c r="DD3858" s="517">
        <f>2.7+0.55+0.27</f>
        <v>3.52</v>
      </c>
      <c r="DE3858" s="517">
        <f>3.5+0.82+0.38</f>
        <v>4.7</v>
      </c>
      <c r="DH3858" s="517" t="s">
        <v>2701</v>
      </c>
      <c r="JD3858" s="521"/>
    </row>
    <row r="3859" spans="1:264" s="517" customFormat="1" x14ac:dyDescent="0.25">
      <c r="A3859" s="517">
        <v>172</v>
      </c>
      <c r="B3859" s="518" t="s">
        <v>3440</v>
      </c>
      <c r="C3859" s="517" t="s">
        <v>3418</v>
      </c>
      <c r="D3859" s="517" t="s">
        <v>3358</v>
      </c>
      <c r="E3859" s="517">
        <v>2005</v>
      </c>
      <c r="F3859" s="517">
        <v>1989</v>
      </c>
      <c r="G3859" s="517" t="s">
        <v>2738</v>
      </c>
      <c r="H3859" s="517" t="s">
        <v>3435</v>
      </c>
      <c r="I3859" s="517" t="s">
        <v>2823</v>
      </c>
      <c r="J3859" s="517">
        <v>7.5</v>
      </c>
      <c r="K3859" s="517">
        <f t="shared" si="508"/>
        <v>3.9</v>
      </c>
      <c r="L3859" s="517">
        <v>213</v>
      </c>
      <c r="P3859" s="517">
        <v>1247</v>
      </c>
      <c r="R3859" s="518" t="s">
        <v>1977</v>
      </c>
      <c r="S3859" s="518" t="s">
        <v>1931</v>
      </c>
      <c r="T3859" s="518"/>
      <c r="U3859" s="518" t="s">
        <v>3438</v>
      </c>
      <c r="V3859" s="518" t="s">
        <v>1394</v>
      </c>
      <c r="W3859" s="518" t="s">
        <v>1722</v>
      </c>
      <c r="X3859" s="518" t="s">
        <v>1394</v>
      </c>
      <c r="Y3859" s="518" t="s">
        <v>1394</v>
      </c>
      <c r="AA3859" s="519">
        <v>77.2</v>
      </c>
      <c r="AB3859" s="519">
        <v>11</v>
      </c>
      <c r="AC3859" s="517" t="s">
        <v>175</v>
      </c>
      <c r="AD3859" s="517">
        <v>7.8</v>
      </c>
      <c r="AE3859" s="517">
        <v>2.17</v>
      </c>
      <c r="AG3859" s="517" t="s">
        <v>3436</v>
      </c>
      <c r="AH3859" s="517" t="s">
        <v>2800</v>
      </c>
      <c r="AI3859" s="517" t="s">
        <v>4321</v>
      </c>
      <c r="AJ3859" s="517" t="s">
        <v>1645</v>
      </c>
      <c r="AK3859" s="517" t="s">
        <v>132</v>
      </c>
      <c r="AW3859" s="517" t="s">
        <v>3293</v>
      </c>
      <c r="BK3859" s="517">
        <v>1420</v>
      </c>
      <c r="BL3859" s="517">
        <v>1450</v>
      </c>
      <c r="BP3859" s="520"/>
      <c r="BQ3859" s="520"/>
      <c r="BU3859" s="520">
        <v>1.1599999999999999</v>
      </c>
      <c r="BV3859" s="520">
        <v>1.56</v>
      </c>
      <c r="BZ3859" s="520"/>
      <c r="CA3859" s="520"/>
      <c r="CE3859" s="608">
        <v>1.1599999999999999</v>
      </c>
      <c r="CF3859" s="608">
        <v>1.56</v>
      </c>
      <c r="CG3859" s="608"/>
      <c r="CH3859" s="608"/>
      <c r="CI3859" s="517" t="s">
        <v>4546</v>
      </c>
      <c r="CO3859" s="517">
        <v>7</v>
      </c>
      <c r="CP3859" s="517">
        <v>7</v>
      </c>
      <c r="CS3859" s="517" t="s">
        <v>3443</v>
      </c>
      <c r="CT3859" s="517">
        <v>0.27</v>
      </c>
      <c r="CU3859" s="517">
        <v>0.27</v>
      </c>
      <c r="CX3859" s="517" t="s">
        <v>3444</v>
      </c>
      <c r="CY3859" s="517">
        <v>6</v>
      </c>
      <c r="CZ3859" s="517">
        <v>6.2</v>
      </c>
      <c r="DD3859" s="517">
        <f t="shared" ref="DD3859:DD3860" si="509">2.7+0.55+0.27</f>
        <v>3.52</v>
      </c>
      <c r="DE3859" s="517">
        <f>3.3+0.79+0.27</f>
        <v>4.3599999999999994</v>
      </c>
      <c r="DH3859" s="517" t="s">
        <v>2701</v>
      </c>
      <c r="JD3859" s="521"/>
    </row>
    <row r="3860" spans="1:264" s="517" customFormat="1" x14ac:dyDescent="0.25">
      <c r="A3860" s="517">
        <v>172</v>
      </c>
      <c r="B3860" s="518" t="s">
        <v>3440</v>
      </c>
      <c r="C3860" s="517" t="s">
        <v>3418</v>
      </c>
      <c r="D3860" s="517" t="s">
        <v>3358</v>
      </c>
      <c r="E3860" s="517">
        <v>2005</v>
      </c>
      <c r="F3860" s="517">
        <v>1989</v>
      </c>
      <c r="G3860" s="517" t="s">
        <v>2738</v>
      </c>
      <c r="H3860" s="517" t="s">
        <v>3435</v>
      </c>
      <c r="I3860" s="517" t="s">
        <v>2823</v>
      </c>
      <c r="J3860" s="517">
        <v>7.5</v>
      </c>
      <c r="K3860" s="517">
        <f t="shared" si="508"/>
        <v>3.9</v>
      </c>
      <c r="L3860" s="517">
        <v>213</v>
      </c>
      <c r="P3860" s="517">
        <v>1247</v>
      </c>
      <c r="R3860" s="518" t="s">
        <v>1977</v>
      </c>
      <c r="S3860" s="518" t="s">
        <v>1931</v>
      </c>
      <c r="T3860" s="518"/>
      <c r="U3860" s="518" t="s">
        <v>3438</v>
      </c>
      <c r="V3860" s="518" t="s">
        <v>1394</v>
      </c>
      <c r="W3860" s="518" t="s">
        <v>1722</v>
      </c>
      <c r="X3860" s="518" t="s">
        <v>1394</v>
      </c>
      <c r="Y3860" s="518" t="s">
        <v>1394</v>
      </c>
      <c r="AA3860" s="519">
        <v>77.2</v>
      </c>
      <c r="AB3860" s="519">
        <v>11</v>
      </c>
      <c r="AC3860" s="517" t="s">
        <v>175</v>
      </c>
      <c r="AD3860" s="517">
        <v>7.8</v>
      </c>
      <c r="AE3860" s="517">
        <v>2.17</v>
      </c>
      <c r="AG3860" s="517" t="s">
        <v>3436</v>
      </c>
      <c r="AH3860" s="517" t="s">
        <v>2800</v>
      </c>
      <c r="AI3860" s="517" t="s">
        <v>4321</v>
      </c>
      <c r="AJ3860" s="517" t="s">
        <v>1645</v>
      </c>
      <c r="AK3860" s="517" t="s">
        <v>132</v>
      </c>
      <c r="AW3860" s="517" t="s">
        <v>3293</v>
      </c>
      <c r="BK3860" s="517">
        <v>1350</v>
      </c>
      <c r="BL3860" s="517">
        <v>1510</v>
      </c>
      <c r="BP3860" s="520"/>
      <c r="BQ3860" s="520"/>
      <c r="BU3860" s="520">
        <v>1.1599999999999999</v>
      </c>
      <c r="BV3860" s="520">
        <v>1.44</v>
      </c>
      <c r="BZ3860" s="520"/>
      <c r="CA3860" s="520"/>
      <c r="CE3860" s="608">
        <v>1.1599999999999999</v>
      </c>
      <c r="CF3860" s="608">
        <v>1.44</v>
      </c>
      <c r="CG3860" s="608"/>
      <c r="CH3860" s="608"/>
      <c r="CI3860" s="517" t="s">
        <v>4546</v>
      </c>
      <c r="CO3860" s="517">
        <v>7</v>
      </c>
      <c r="CP3860" s="517">
        <v>12.7</v>
      </c>
      <c r="CS3860" s="517" t="s">
        <v>3443</v>
      </c>
      <c r="CT3860" s="517">
        <v>0.27</v>
      </c>
      <c r="CU3860" s="517">
        <v>0.35</v>
      </c>
      <c r="CX3860" s="517" t="s">
        <v>3444</v>
      </c>
      <c r="CY3860" s="517">
        <v>6</v>
      </c>
      <c r="CZ3860" s="517">
        <v>6.2</v>
      </c>
      <c r="DD3860" s="517">
        <f t="shared" si="509"/>
        <v>3.52</v>
      </c>
      <c r="DE3860" s="517">
        <f>3.8+1.13+0.35</f>
        <v>5.2799999999999994</v>
      </c>
      <c r="DH3860" s="517" t="s">
        <v>2701</v>
      </c>
      <c r="JD3860" s="521"/>
    </row>
    <row r="3861" spans="1:264" s="517" customFormat="1" x14ac:dyDescent="0.25">
      <c r="A3861" s="517">
        <v>172</v>
      </c>
      <c r="B3861" s="518" t="s">
        <v>3440</v>
      </c>
      <c r="C3861" s="517" t="s">
        <v>3418</v>
      </c>
      <c r="D3861" s="517" t="s">
        <v>3358</v>
      </c>
      <c r="E3861" s="517">
        <v>2005</v>
      </c>
      <c r="F3861" s="517">
        <v>1989</v>
      </c>
      <c r="G3861" s="517" t="s">
        <v>2738</v>
      </c>
      <c r="H3861" s="517" t="s">
        <v>3435</v>
      </c>
      <c r="I3861" s="517" t="s">
        <v>2823</v>
      </c>
      <c r="J3861" s="517">
        <v>7.5</v>
      </c>
      <c r="K3861" s="517">
        <f t="shared" si="508"/>
        <v>3.9</v>
      </c>
      <c r="L3861" s="517">
        <v>213</v>
      </c>
      <c r="P3861" s="517">
        <v>1247</v>
      </c>
      <c r="R3861" s="518" t="s">
        <v>1977</v>
      </c>
      <c r="S3861" s="518" t="s">
        <v>1931</v>
      </c>
      <c r="T3861" s="518"/>
      <c r="U3861" s="518" t="s">
        <v>3438</v>
      </c>
      <c r="V3861" s="518" t="s">
        <v>1382</v>
      </c>
      <c r="W3861" s="518" t="s">
        <v>1717</v>
      </c>
      <c r="X3861" s="518" t="s">
        <v>1382</v>
      </c>
      <c r="Y3861" s="518" t="s">
        <v>1382</v>
      </c>
      <c r="AA3861" s="519">
        <v>77.2</v>
      </c>
      <c r="AB3861" s="519">
        <v>11</v>
      </c>
      <c r="AC3861" s="517" t="s">
        <v>175</v>
      </c>
      <c r="AD3861" s="517">
        <v>7.8</v>
      </c>
      <c r="AE3861" s="517">
        <v>2.17</v>
      </c>
      <c r="AG3861" s="517" t="s">
        <v>3436</v>
      </c>
      <c r="AH3861" s="517" t="s">
        <v>2800</v>
      </c>
      <c r="AI3861" s="517" t="s">
        <v>4321</v>
      </c>
      <c r="AJ3861" s="517" t="s">
        <v>1645</v>
      </c>
      <c r="AK3861" s="517" t="s">
        <v>132</v>
      </c>
      <c r="AW3861" s="517" t="s">
        <v>3293</v>
      </c>
      <c r="BK3861" s="517">
        <v>1400</v>
      </c>
      <c r="BL3861" s="517">
        <v>1370</v>
      </c>
      <c r="BP3861" s="520"/>
      <c r="BQ3861" s="520"/>
      <c r="BU3861" s="520"/>
      <c r="BV3861" s="520"/>
      <c r="BZ3861" s="520"/>
      <c r="CA3861" s="520"/>
      <c r="CE3861" s="608"/>
      <c r="CF3861" s="608"/>
      <c r="CG3861" s="608"/>
      <c r="CH3861" s="608"/>
      <c r="JD3861" s="521"/>
    </row>
    <row r="3862" spans="1:264" s="24" customFormat="1" x14ac:dyDescent="0.25">
      <c r="A3862" s="24">
        <v>172</v>
      </c>
      <c r="B3862" s="42" t="s">
        <v>3440</v>
      </c>
      <c r="C3862" s="24" t="s">
        <v>3418</v>
      </c>
      <c r="D3862" s="24" t="s">
        <v>3358</v>
      </c>
      <c r="E3862" s="24">
        <v>2005</v>
      </c>
      <c r="F3862" s="24">
        <v>1990</v>
      </c>
      <c r="G3862" s="24" t="s">
        <v>2738</v>
      </c>
      <c r="H3862" s="24" t="s">
        <v>3435</v>
      </c>
      <c r="I3862" s="24" t="s">
        <v>2823</v>
      </c>
      <c r="J3862" s="24">
        <v>7.5</v>
      </c>
      <c r="K3862" s="24">
        <f t="shared" si="508"/>
        <v>3.9</v>
      </c>
      <c r="L3862" s="24">
        <v>213</v>
      </c>
      <c r="P3862" s="24">
        <v>1247</v>
      </c>
      <c r="R3862" s="42" t="s">
        <v>1847</v>
      </c>
      <c r="S3862" s="42" t="s">
        <v>1931</v>
      </c>
      <c r="T3862" s="42"/>
      <c r="U3862" s="42" t="s">
        <v>3438</v>
      </c>
      <c r="V3862" s="42" t="s">
        <v>1412</v>
      </c>
      <c r="W3862" s="42" t="s">
        <v>1719</v>
      </c>
      <c r="X3862" s="42" t="s">
        <v>1412</v>
      </c>
      <c r="Y3862" s="42" t="s">
        <v>1412</v>
      </c>
      <c r="AA3862" s="321">
        <v>77.2</v>
      </c>
      <c r="AB3862" s="321">
        <v>11</v>
      </c>
      <c r="AC3862" s="24" t="s">
        <v>175</v>
      </c>
      <c r="AD3862" s="24">
        <v>7.8</v>
      </c>
      <c r="AE3862" s="24">
        <v>2.17</v>
      </c>
      <c r="AG3862" s="24" t="s">
        <v>3436</v>
      </c>
      <c r="AH3862" s="24" t="s">
        <v>2800</v>
      </c>
      <c r="AI3862" s="24" t="s">
        <v>4321</v>
      </c>
      <c r="AJ3862" s="24" t="s">
        <v>1645</v>
      </c>
      <c r="AK3862" s="24" t="s">
        <v>132</v>
      </c>
      <c r="AW3862" s="24" t="s">
        <v>3293</v>
      </c>
      <c r="BK3862" s="24">
        <v>1880</v>
      </c>
      <c r="BL3862" s="24">
        <v>1670</v>
      </c>
      <c r="BP3862" s="395"/>
      <c r="BQ3862" s="395"/>
      <c r="BU3862" s="395">
        <v>0.69</v>
      </c>
      <c r="BV3862" s="395">
        <v>0.73</v>
      </c>
      <c r="BZ3862" s="395"/>
      <c r="CA3862" s="395"/>
      <c r="CE3862" s="548">
        <v>0.69</v>
      </c>
      <c r="CF3862" s="548">
        <v>0.73</v>
      </c>
      <c r="CG3862" s="548"/>
      <c r="CH3862" s="548"/>
      <c r="CI3862" s="24" t="s">
        <v>4546</v>
      </c>
      <c r="CO3862" s="24">
        <v>3.6</v>
      </c>
      <c r="CP3862" s="24">
        <v>3.5</v>
      </c>
      <c r="CS3862" s="24" t="s">
        <v>3443</v>
      </c>
      <c r="CT3862" s="24">
        <v>0.23</v>
      </c>
      <c r="CU3862" s="24">
        <v>0.13</v>
      </c>
      <c r="CX3862" s="24" t="s">
        <v>3444</v>
      </c>
      <c r="CY3862" s="24">
        <v>6.1</v>
      </c>
      <c r="CZ3862" s="24">
        <v>6.1</v>
      </c>
      <c r="DD3862" s="24">
        <f>3+0.45+0.23</f>
        <v>3.68</v>
      </c>
      <c r="DE3862" s="24">
        <f>2.2+0.5+0.13</f>
        <v>2.83</v>
      </c>
      <c r="DH3862" s="24" t="s">
        <v>2701</v>
      </c>
      <c r="JD3862" s="249"/>
    </row>
    <row r="3863" spans="1:264" s="24" customFormat="1" x14ac:dyDescent="0.25">
      <c r="A3863" s="24">
        <v>172</v>
      </c>
      <c r="B3863" s="42" t="s">
        <v>3440</v>
      </c>
      <c r="C3863" s="24" t="s">
        <v>3418</v>
      </c>
      <c r="D3863" s="24" t="s">
        <v>3358</v>
      </c>
      <c r="E3863" s="24">
        <v>2005</v>
      </c>
      <c r="F3863" s="24">
        <v>1990</v>
      </c>
      <c r="G3863" s="24" t="s">
        <v>2738</v>
      </c>
      <c r="H3863" s="24" t="s">
        <v>3435</v>
      </c>
      <c r="I3863" s="24" t="s">
        <v>2823</v>
      </c>
      <c r="J3863" s="24">
        <v>7.5</v>
      </c>
      <c r="K3863" s="24">
        <f t="shared" si="508"/>
        <v>3.9</v>
      </c>
      <c r="L3863" s="24">
        <v>213</v>
      </c>
      <c r="P3863" s="24">
        <v>1247</v>
      </c>
      <c r="R3863" s="42" t="s">
        <v>1847</v>
      </c>
      <c r="S3863" s="42" t="s">
        <v>1931</v>
      </c>
      <c r="T3863" s="42"/>
      <c r="U3863" s="42" t="s">
        <v>3438</v>
      </c>
      <c r="V3863" s="42" t="s">
        <v>1412</v>
      </c>
      <c r="W3863" s="42" t="s">
        <v>1719</v>
      </c>
      <c r="X3863" s="42" t="s">
        <v>1412</v>
      </c>
      <c r="Y3863" s="42" t="s">
        <v>1412</v>
      </c>
      <c r="AA3863" s="321">
        <v>77.2</v>
      </c>
      <c r="AB3863" s="321">
        <v>11</v>
      </c>
      <c r="AC3863" s="24" t="s">
        <v>175</v>
      </c>
      <c r="AD3863" s="24">
        <v>7.8</v>
      </c>
      <c r="AE3863" s="24">
        <v>2.17</v>
      </c>
      <c r="AG3863" s="24" t="s">
        <v>3436</v>
      </c>
      <c r="AH3863" s="24" t="s">
        <v>2800</v>
      </c>
      <c r="AI3863" s="24" t="s">
        <v>4321</v>
      </c>
      <c r="AJ3863" s="24" t="s">
        <v>1645</v>
      </c>
      <c r="AK3863" s="24" t="s">
        <v>132</v>
      </c>
      <c r="AW3863" s="24" t="s">
        <v>3293</v>
      </c>
      <c r="BP3863" s="395"/>
      <c r="BQ3863" s="395"/>
      <c r="BU3863" s="395">
        <v>0.69</v>
      </c>
      <c r="BV3863" s="395">
        <v>0.66</v>
      </c>
      <c r="BZ3863" s="395"/>
      <c r="CA3863" s="395"/>
      <c r="CE3863" s="548">
        <v>0.69</v>
      </c>
      <c r="CF3863" s="548">
        <v>0.66</v>
      </c>
      <c r="CG3863" s="548"/>
      <c r="CH3863" s="548"/>
      <c r="CI3863" s="24" t="s">
        <v>4546</v>
      </c>
      <c r="CO3863" s="24">
        <v>3.6</v>
      </c>
      <c r="CP3863" s="24">
        <v>3.4</v>
      </c>
      <c r="CS3863" s="24" t="s">
        <v>3443</v>
      </c>
      <c r="CT3863" s="24">
        <v>0.23</v>
      </c>
      <c r="CU3863" s="24">
        <v>0.13</v>
      </c>
      <c r="CX3863" s="24" t="s">
        <v>3444</v>
      </c>
      <c r="CY3863" s="24">
        <v>6.1</v>
      </c>
      <c r="CZ3863" s="24">
        <v>6.2</v>
      </c>
      <c r="DD3863" s="24">
        <f t="shared" ref="DD3863:DD3864" si="510">3+0.45+0.23</f>
        <v>3.68</v>
      </c>
      <c r="DE3863" s="24">
        <f>2.4+0.45+0.13</f>
        <v>2.98</v>
      </c>
      <c r="DH3863" s="24" t="s">
        <v>2701</v>
      </c>
      <c r="JD3863" s="249"/>
    </row>
    <row r="3864" spans="1:264" s="24" customFormat="1" x14ac:dyDescent="0.25">
      <c r="A3864" s="24">
        <v>172</v>
      </c>
      <c r="B3864" s="42" t="s">
        <v>3440</v>
      </c>
      <c r="C3864" s="24" t="s">
        <v>3418</v>
      </c>
      <c r="D3864" s="24" t="s">
        <v>3358</v>
      </c>
      <c r="E3864" s="24">
        <v>2005</v>
      </c>
      <c r="F3864" s="24">
        <v>1990</v>
      </c>
      <c r="G3864" s="24" t="s">
        <v>2738</v>
      </c>
      <c r="H3864" s="24" t="s">
        <v>3435</v>
      </c>
      <c r="I3864" s="24" t="s">
        <v>2823</v>
      </c>
      <c r="J3864" s="24">
        <v>7.5</v>
      </c>
      <c r="K3864" s="24">
        <f t="shared" si="508"/>
        <v>3.9</v>
      </c>
      <c r="L3864" s="24">
        <v>213</v>
      </c>
      <c r="P3864" s="24">
        <v>1247</v>
      </c>
      <c r="R3864" s="42" t="s">
        <v>1847</v>
      </c>
      <c r="S3864" s="42" t="s">
        <v>1931</v>
      </c>
      <c r="T3864" s="42"/>
      <c r="U3864" s="42" t="s">
        <v>3438</v>
      </c>
      <c r="V3864" s="42" t="s">
        <v>1412</v>
      </c>
      <c r="W3864" s="42" t="s">
        <v>1719</v>
      </c>
      <c r="X3864" s="42" t="s">
        <v>1412</v>
      </c>
      <c r="Y3864" s="42" t="s">
        <v>1412</v>
      </c>
      <c r="AA3864" s="321">
        <v>77.2</v>
      </c>
      <c r="AB3864" s="321">
        <v>11</v>
      </c>
      <c r="AC3864" s="24" t="s">
        <v>175</v>
      </c>
      <c r="AD3864" s="24">
        <v>7.8</v>
      </c>
      <c r="AE3864" s="24">
        <v>2.17</v>
      </c>
      <c r="AG3864" s="24" t="s">
        <v>3436</v>
      </c>
      <c r="AH3864" s="24" t="s">
        <v>2800</v>
      </c>
      <c r="AI3864" s="24" t="s">
        <v>4321</v>
      </c>
      <c r="AJ3864" s="24" t="s">
        <v>1645</v>
      </c>
      <c r="AK3864" s="24" t="s">
        <v>132</v>
      </c>
      <c r="AW3864" s="24" t="s">
        <v>3293</v>
      </c>
      <c r="BP3864" s="395"/>
      <c r="BQ3864" s="395"/>
      <c r="BU3864" s="395">
        <v>0.69</v>
      </c>
      <c r="BV3864" s="395">
        <v>0.92</v>
      </c>
      <c r="BZ3864" s="395"/>
      <c r="CA3864" s="395"/>
      <c r="CE3864" s="548">
        <v>0.69</v>
      </c>
      <c r="CF3864" s="548">
        <v>0.92</v>
      </c>
      <c r="CG3864" s="548"/>
      <c r="CH3864" s="548"/>
      <c r="CI3864" s="24" t="s">
        <v>4546</v>
      </c>
      <c r="CO3864" s="24">
        <v>3.6</v>
      </c>
      <c r="CP3864" s="24">
        <v>2.2999999999999998</v>
      </c>
      <c r="CS3864" s="24" t="s">
        <v>3443</v>
      </c>
      <c r="CT3864" s="24">
        <v>0.23</v>
      </c>
      <c r="CU3864" s="24">
        <v>0.15</v>
      </c>
      <c r="CX3864" s="24" t="s">
        <v>3444</v>
      </c>
      <c r="CY3864" s="24">
        <v>6.1</v>
      </c>
      <c r="CZ3864" s="24">
        <v>6.1</v>
      </c>
      <c r="DD3864" s="24">
        <f t="shared" si="510"/>
        <v>3.68</v>
      </c>
      <c r="DE3864" s="24">
        <f>2.7+0.5+0.15</f>
        <v>3.35</v>
      </c>
      <c r="DH3864" s="24" t="s">
        <v>2701</v>
      </c>
      <c r="JD3864" s="249"/>
    </row>
    <row r="3865" spans="1:264" s="24" customFormat="1" x14ac:dyDescent="0.25">
      <c r="A3865" s="24">
        <v>172</v>
      </c>
      <c r="B3865" s="42" t="s">
        <v>3440</v>
      </c>
      <c r="C3865" s="24" t="s">
        <v>3418</v>
      </c>
      <c r="D3865" s="24" t="s">
        <v>3358</v>
      </c>
      <c r="E3865" s="24">
        <v>2005</v>
      </c>
      <c r="F3865" s="24">
        <v>1990</v>
      </c>
      <c r="G3865" s="24" t="s">
        <v>2738</v>
      </c>
      <c r="H3865" s="24" t="s">
        <v>3435</v>
      </c>
      <c r="I3865" s="24" t="s">
        <v>2823</v>
      </c>
      <c r="J3865" s="24">
        <v>7.5</v>
      </c>
      <c r="K3865" s="24">
        <f t="shared" si="508"/>
        <v>3.9</v>
      </c>
      <c r="L3865" s="24">
        <v>213</v>
      </c>
      <c r="P3865" s="24">
        <v>1247</v>
      </c>
      <c r="R3865" s="42" t="s">
        <v>1847</v>
      </c>
      <c r="S3865" s="42" t="s">
        <v>1931</v>
      </c>
      <c r="T3865" s="42"/>
      <c r="U3865" s="42" t="s">
        <v>3438</v>
      </c>
      <c r="V3865" s="42" t="s">
        <v>1382</v>
      </c>
      <c r="W3865" s="42" t="s">
        <v>1717</v>
      </c>
      <c r="X3865" s="42" t="s">
        <v>1382</v>
      </c>
      <c r="Y3865" s="42" t="s">
        <v>1382</v>
      </c>
      <c r="AA3865" s="321">
        <v>77.2</v>
      </c>
      <c r="AB3865" s="321">
        <v>11</v>
      </c>
      <c r="AC3865" s="24" t="s">
        <v>175</v>
      </c>
      <c r="AD3865" s="24">
        <v>7.8</v>
      </c>
      <c r="AE3865" s="24">
        <v>2.17</v>
      </c>
      <c r="AG3865" s="24" t="s">
        <v>3436</v>
      </c>
      <c r="AH3865" s="24" t="s">
        <v>2800</v>
      </c>
      <c r="AI3865" s="24" t="s">
        <v>4321</v>
      </c>
      <c r="AJ3865" s="24" t="s">
        <v>1645</v>
      </c>
      <c r="AK3865" s="24" t="s">
        <v>132</v>
      </c>
      <c r="AW3865" s="24" t="s">
        <v>3293</v>
      </c>
      <c r="BP3865" s="395"/>
      <c r="BQ3865" s="395"/>
      <c r="BU3865" s="395"/>
      <c r="BV3865" s="395"/>
      <c r="BZ3865" s="395"/>
      <c r="CA3865" s="395"/>
      <c r="CE3865" s="548"/>
      <c r="CF3865" s="548"/>
      <c r="CG3865" s="548"/>
      <c r="CH3865" s="548"/>
      <c r="JD3865" s="249"/>
    </row>
    <row r="3866" spans="1:264" s="517" customFormat="1" x14ac:dyDescent="0.25">
      <c r="A3866" s="517">
        <v>172</v>
      </c>
      <c r="B3866" s="518" t="s">
        <v>3440</v>
      </c>
      <c r="C3866" s="517" t="s">
        <v>3418</v>
      </c>
      <c r="D3866" s="517" t="s">
        <v>3358</v>
      </c>
      <c r="E3866" s="517">
        <v>2005</v>
      </c>
      <c r="F3866" s="517">
        <v>1991</v>
      </c>
      <c r="G3866" s="517" t="s">
        <v>2738</v>
      </c>
      <c r="H3866" s="517" t="s">
        <v>3435</v>
      </c>
      <c r="I3866" s="517" t="s">
        <v>2823</v>
      </c>
      <c r="J3866" s="517">
        <v>7.5</v>
      </c>
      <c r="K3866" s="517">
        <f t="shared" si="508"/>
        <v>3.9</v>
      </c>
      <c r="L3866" s="517">
        <v>213</v>
      </c>
      <c r="P3866" s="517">
        <v>1247</v>
      </c>
      <c r="R3866" s="518" t="s">
        <v>1728</v>
      </c>
      <c r="S3866" s="518" t="s">
        <v>1931</v>
      </c>
      <c r="T3866" s="518"/>
      <c r="U3866" s="518" t="s">
        <v>3438</v>
      </c>
      <c r="V3866" s="518" t="s">
        <v>1394</v>
      </c>
      <c r="W3866" s="518" t="s">
        <v>1722</v>
      </c>
      <c r="X3866" s="518" t="s">
        <v>1394</v>
      </c>
      <c r="Y3866" s="518" t="s">
        <v>1394</v>
      </c>
      <c r="AA3866" s="519">
        <v>77.2</v>
      </c>
      <c r="AB3866" s="519">
        <v>11</v>
      </c>
      <c r="AC3866" s="517" t="s">
        <v>175</v>
      </c>
      <c r="AD3866" s="517">
        <v>7.8</v>
      </c>
      <c r="AE3866" s="517">
        <v>2.17</v>
      </c>
      <c r="AG3866" s="517" t="s">
        <v>3436</v>
      </c>
      <c r="AH3866" s="517" t="s">
        <v>2800</v>
      </c>
      <c r="AI3866" s="517" t="s">
        <v>4321</v>
      </c>
      <c r="AJ3866" s="517" t="s">
        <v>1645</v>
      </c>
      <c r="AK3866" s="517" t="s">
        <v>132</v>
      </c>
      <c r="AW3866" s="517" t="s">
        <v>3293</v>
      </c>
      <c r="BF3866" s="517">
        <v>2720</v>
      </c>
      <c r="BG3866" s="517">
        <v>2800</v>
      </c>
      <c r="BK3866" s="517">
        <v>2330</v>
      </c>
      <c r="BL3866" s="517">
        <v>2170</v>
      </c>
      <c r="BP3866" s="520"/>
      <c r="BQ3866" s="520"/>
      <c r="BU3866" s="520">
        <v>1.1200000000000001</v>
      </c>
      <c r="BV3866" s="520">
        <v>1.29</v>
      </c>
      <c r="BZ3866" s="520"/>
      <c r="CA3866" s="520"/>
      <c r="CE3866" s="608">
        <v>1.1200000000000001</v>
      </c>
      <c r="CF3866" s="608">
        <v>1.29</v>
      </c>
      <c r="CG3866" s="608"/>
      <c r="CH3866" s="608"/>
      <c r="CI3866" s="517" t="s">
        <v>4546</v>
      </c>
      <c r="CO3866" s="517">
        <v>6.4</v>
      </c>
      <c r="CP3866" s="517">
        <v>6.6</v>
      </c>
      <c r="CS3866" s="517" t="s">
        <v>3443</v>
      </c>
      <c r="CT3866" s="517">
        <v>0.27</v>
      </c>
      <c r="CU3866" s="517">
        <v>0.28000000000000003</v>
      </c>
      <c r="CX3866" s="517" t="s">
        <v>3444</v>
      </c>
      <c r="CY3866" s="517">
        <v>6.1</v>
      </c>
      <c r="CZ3866" s="517">
        <v>6.3</v>
      </c>
      <c r="DD3866" s="517">
        <f>3+0.59+0.27</f>
        <v>3.86</v>
      </c>
      <c r="DE3866" s="517">
        <f>3.4+0.64+0.28</f>
        <v>4.32</v>
      </c>
      <c r="DH3866" s="517" t="s">
        <v>2701</v>
      </c>
      <c r="JD3866" s="521"/>
    </row>
    <row r="3867" spans="1:264" s="517" customFormat="1" x14ac:dyDescent="0.25">
      <c r="A3867" s="517">
        <v>172</v>
      </c>
      <c r="B3867" s="518" t="s">
        <v>3440</v>
      </c>
      <c r="C3867" s="517" t="s">
        <v>3418</v>
      </c>
      <c r="D3867" s="517" t="s">
        <v>3358</v>
      </c>
      <c r="E3867" s="517">
        <v>2005</v>
      </c>
      <c r="F3867" s="517">
        <v>1991</v>
      </c>
      <c r="G3867" s="517" t="s">
        <v>2738</v>
      </c>
      <c r="H3867" s="517" t="s">
        <v>3435</v>
      </c>
      <c r="I3867" s="517" t="s">
        <v>2823</v>
      </c>
      <c r="J3867" s="517">
        <v>7.5</v>
      </c>
      <c r="K3867" s="517">
        <f t="shared" si="508"/>
        <v>3.9</v>
      </c>
      <c r="L3867" s="517">
        <v>213</v>
      </c>
      <c r="P3867" s="517">
        <v>1247</v>
      </c>
      <c r="R3867" s="518" t="s">
        <v>1728</v>
      </c>
      <c r="S3867" s="518" t="s">
        <v>1931</v>
      </c>
      <c r="T3867" s="518"/>
      <c r="U3867" s="518" t="s">
        <v>3438</v>
      </c>
      <c r="V3867" s="518" t="s">
        <v>1394</v>
      </c>
      <c r="W3867" s="518" t="s">
        <v>1722</v>
      </c>
      <c r="X3867" s="518" t="s">
        <v>1394</v>
      </c>
      <c r="Y3867" s="518" t="s">
        <v>1394</v>
      </c>
      <c r="AA3867" s="519">
        <v>77.2</v>
      </c>
      <c r="AB3867" s="519">
        <v>11</v>
      </c>
      <c r="AC3867" s="517" t="s">
        <v>175</v>
      </c>
      <c r="AD3867" s="517">
        <v>7.8</v>
      </c>
      <c r="AE3867" s="517">
        <v>2.17</v>
      </c>
      <c r="AG3867" s="517" t="s">
        <v>3436</v>
      </c>
      <c r="AH3867" s="517" t="s">
        <v>2800</v>
      </c>
      <c r="AI3867" s="517" t="s">
        <v>4321</v>
      </c>
      <c r="AJ3867" s="517" t="s">
        <v>1645</v>
      </c>
      <c r="AK3867" s="517" t="s">
        <v>132</v>
      </c>
      <c r="AW3867" s="517" t="s">
        <v>3293</v>
      </c>
      <c r="BF3867" s="517">
        <v>3140</v>
      </c>
      <c r="BG3867" s="517">
        <v>3100</v>
      </c>
      <c r="BK3867" s="517">
        <v>3010</v>
      </c>
      <c r="BL3867" s="517">
        <v>2980</v>
      </c>
      <c r="BP3867" s="520"/>
      <c r="BQ3867" s="520"/>
      <c r="BU3867" s="520">
        <v>1.1200000000000001</v>
      </c>
      <c r="BV3867" s="520">
        <v>1.4</v>
      </c>
      <c r="BZ3867" s="520"/>
      <c r="CA3867" s="520"/>
      <c r="CE3867" s="608">
        <v>1.1200000000000001</v>
      </c>
      <c r="CF3867" s="608">
        <v>1.4</v>
      </c>
      <c r="CG3867" s="608"/>
      <c r="CH3867" s="608"/>
      <c r="CI3867" s="517" t="s">
        <v>4546</v>
      </c>
      <c r="CO3867" s="517">
        <v>6.4</v>
      </c>
      <c r="CP3867" s="517">
        <v>7.2</v>
      </c>
      <c r="CS3867" s="517" t="s">
        <v>3443</v>
      </c>
      <c r="CT3867" s="517">
        <v>0.27</v>
      </c>
      <c r="CU3867" s="517">
        <v>0.28000000000000003</v>
      </c>
      <c r="CX3867" s="517" t="s">
        <v>3444</v>
      </c>
      <c r="CY3867" s="517">
        <v>6.1</v>
      </c>
      <c r="CZ3867" s="517">
        <v>6.3</v>
      </c>
      <c r="DD3867" s="517">
        <f t="shared" ref="DD3867:DD3868" si="511">3+0.59+0.27</f>
        <v>3.86</v>
      </c>
      <c r="DE3867" s="517">
        <f>3.2+0.69+0.28</f>
        <v>4.17</v>
      </c>
      <c r="DH3867" s="517" t="s">
        <v>2701</v>
      </c>
      <c r="JD3867" s="521"/>
    </row>
    <row r="3868" spans="1:264" s="517" customFormat="1" x14ac:dyDescent="0.25">
      <c r="A3868" s="517">
        <v>172</v>
      </c>
      <c r="B3868" s="518" t="s">
        <v>3440</v>
      </c>
      <c r="C3868" s="517" t="s">
        <v>3418</v>
      </c>
      <c r="D3868" s="517" t="s">
        <v>3358</v>
      </c>
      <c r="E3868" s="517">
        <v>2005</v>
      </c>
      <c r="F3868" s="517">
        <v>1991</v>
      </c>
      <c r="G3868" s="517" t="s">
        <v>2738</v>
      </c>
      <c r="H3868" s="517" t="s">
        <v>3435</v>
      </c>
      <c r="I3868" s="517" t="s">
        <v>2823</v>
      </c>
      <c r="J3868" s="517">
        <v>7.5</v>
      </c>
      <c r="K3868" s="517">
        <f t="shared" si="508"/>
        <v>3.9</v>
      </c>
      <c r="L3868" s="517">
        <v>213</v>
      </c>
      <c r="P3868" s="517">
        <v>1247</v>
      </c>
      <c r="R3868" s="518" t="s">
        <v>1728</v>
      </c>
      <c r="S3868" s="518" t="s">
        <v>1931</v>
      </c>
      <c r="T3868" s="518"/>
      <c r="U3868" s="518" t="s">
        <v>3438</v>
      </c>
      <c r="V3868" s="518" t="s">
        <v>1394</v>
      </c>
      <c r="W3868" s="518" t="s">
        <v>1722</v>
      </c>
      <c r="X3868" s="518" t="s">
        <v>1394</v>
      </c>
      <c r="Y3868" s="518" t="s">
        <v>1394</v>
      </c>
      <c r="AA3868" s="519">
        <v>77.2</v>
      </c>
      <c r="AB3868" s="519">
        <v>11</v>
      </c>
      <c r="AC3868" s="517" t="s">
        <v>175</v>
      </c>
      <c r="AD3868" s="517">
        <v>7.8</v>
      </c>
      <c r="AE3868" s="517">
        <v>2.17</v>
      </c>
      <c r="AG3868" s="517" t="s">
        <v>3436</v>
      </c>
      <c r="AH3868" s="517" t="s">
        <v>2800</v>
      </c>
      <c r="AI3868" s="517" t="s">
        <v>4321</v>
      </c>
      <c r="AJ3868" s="517" t="s">
        <v>1645</v>
      </c>
      <c r="AK3868" s="517" t="s">
        <v>132</v>
      </c>
      <c r="AW3868" s="517" t="s">
        <v>3293</v>
      </c>
      <c r="BP3868" s="520"/>
      <c r="BQ3868" s="520"/>
      <c r="BU3868" s="520">
        <v>1.1200000000000001</v>
      </c>
      <c r="BV3868" s="520">
        <v>1.43</v>
      </c>
      <c r="BZ3868" s="520"/>
      <c r="CA3868" s="520"/>
      <c r="CE3868" s="608">
        <v>1.1200000000000001</v>
      </c>
      <c r="CF3868" s="608">
        <v>1.43</v>
      </c>
      <c r="CG3868" s="608"/>
      <c r="CH3868" s="608"/>
      <c r="CI3868" s="517" t="s">
        <v>4546</v>
      </c>
      <c r="CO3868" s="517">
        <v>6.4</v>
      </c>
      <c r="CP3868" s="517">
        <v>8.9</v>
      </c>
      <c r="CS3868" s="517" t="s">
        <v>3443</v>
      </c>
      <c r="CT3868" s="517">
        <v>0.27</v>
      </c>
      <c r="CU3868" s="517">
        <v>0.33</v>
      </c>
      <c r="CX3868" s="517" t="s">
        <v>3444</v>
      </c>
      <c r="CY3868" s="517">
        <v>6.1</v>
      </c>
      <c r="CZ3868" s="517">
        <v>6.3</v>
      </c>
      <c r="DD3868" s="517">
        <f t="shared" si="511"/>
        <v>3.86</v>
      </c>
      <c r="DE3868" s="517">
        <f>3.4+0.83+0.33</f>
        <v>4.5599999999999996</v>
      </c>
      <c r="DH3868" s="517" t="s">
        <v>2701</v>
      </c>
      <c r="JD3868" s="521"/>
    </row>
    <row r="3869" spans="1:264" s="517" customFormat="1" x14ac:dyDescent="0.25">
      <c r="A3869" s="517">
        <v>172</v>
      </c>
      <c r="B3869" s="518" t="s">
        <v>3440</v>
      </c>
      <c r="C3869" s="517" t="s">
        <v>3418</v>
      </c>
      <c r="D3869" s="517" t="s">
        <v>3358</v>
      </c>
      <c r="E3869" s="517">
        <v>2005</v>
      </c>
      <c r="F3869" s="517">
        <v>1991</v>
      </c>
      <c r="G3869" s="517" t="s">
        <v>2738</v>
      </c>
      <c r="H3869" s="517" t="s">
        <v>3435</v>
      </c>
      <c r="I3869" s="517" t="s">
        <v>2823</v>
      </c>
      <c r="J3869" s="517">
        <v>7.5</v>
      </c>
      <c r="K3869" s="517">
        <f t="shared" si="508"/>
        <v>3.9</v>
      </c>
      <c r="L3869" s="517">
        <v>213</v>
      </c>
      <c r="P3869" s="517">
        <v>1247</v>
      </c>
      <c r="R3869" s="518" t="s">
        <v>1728</v>
      </c>
      <c r="S3869" s="518" t="s">
        <v>1931</v>
      </c>
      <c r="T3869" s="518"/>
      <c r="U3869" s="518" t="s">
        <v>3438</v>
      </c>
      <c r="V3869" s="518" t="s">
        <v>1382</v>
      </c>
      <c r="W3869" s="518" t="s">
        <v>1717</v>
      </c>
      <c r="X3869" s="518" t="s">
        <v>1382</v>
      </c>
      <c r="Y3869" s="518" t="s">
        <v>1382</v>
      </c>
      <c r="AA3869" s="519">
        <v>77.2</v>
      </c>
      <c r="AB3869" s="519">
        <v>11</v>
      </c>
      <c r="AC3869" s="517" t="s">
        <v>175</v>
      </c>
      <c r="AD3869" s="517">
        <v>7.8</v>
      </c>
      <c r="AE3869" s="517">
        <v>2.17</v>
      </c>
      <c r="AG3869" s="517" t="s">
        <v>3436</v>
      </c>
      <c r="AH3869" s="517" t="s">
        <v>2800</v>
      </c>
      <c r="AI3869" s="517" t="s">
        <v>4321</v>
      </c>
      <c r="AJ3869" s="517" t="s">
        <v>1645</v>
      </c>
      <c r="AK3869" s="517" t="s">
        <v>132</v>
      </c>
      <c r="AW3869" s="517" t="s">
        <v>3293</v>
      </c>
      <c r="BP3869" s="520"/>
      <c r="BQ3869" s="520"/>
      <c r="BU3869" s="520"/>
      <c r="BV3869" s="520"/>
      <c r="BZ3869" s="520"/>
      <c r="CA3869" s="520"/>
      <c r="CE3869" s="608"/>
      <c r="CF3869" s="608"/>
      <c r="CG3869" s="608"/>
      <c r="CH3869" s="608"/>
      <c r="JD3869" s="521"/>
    </row>
    <row r="3870" spans="1:264" s="24" customFormat="1" x14ac:dyDescent="0.25">
      <c r="A3870" s="24">
        <v>172</v>
      </c>
      <c r="B3870" s="42" t="s">
        <v>3440</v>
      </c>
      <c r="C3870" s="24" t="s">
        <v>3418</v>
      </c>
      <c r="D3870" s="24" t="s">
        <v>3358</v>
      </c>
      <c r="E3870" s="24">
        <v>2005</v>
      </c>
      <c r="F3870" s="24">
        <v>1992</v>
      </c>
      <c r="G3870" s="24" t="s">
        <v>2738</v>
      </c>
      <c r="H3870" s="24" t="s">
        <v>3435</v>
      </c>
      <c r="I3870" s="24" t="s">
        <v>2823</v>
      </c>
      <c r="J3870" s="24">
        <v>7.5</v>
      </c>
      <c r="K3870" s="24">
        <f t="shared" si="508"/>
        <v>3.9</v>
      </c>
      <c r="L3870" s="24">
        <v>213</v>
      </c>
      <c r="P3870" s="24">
        <v>1247</v>
      </c>
      <c r="R3870" s="42" t="s">
        <v>1858</v>
      </c>
      <c r="S3870" s="42" t="s">
        <v>1931</v>
      </c>
      <c r="T3870" s="42"/>
      <c r="U3870" s="42" t="s">
        <v>3438</v>
      </c>
      <c r="V3870" s="42" t="s">
        <v>1412</v>
      </c>
      <c r="W3870" s="42" t="s">
        <v>1719</v>
      </c>
      <c r="X3870" s="42" t="s">
        <v>1412</v>
      </c>
      <c r="Y3870" s="42" t="s">
        <v>1412</v>
      </c>
      <c r="AA3870" s="321">
        <v>77.2</v>
      </c>
      <c r="AB3870" s="321">
        <v>11</v>
      </c>
      <c r="AC3870" s="24" t="s">
        <v>175</v>
      </c>
      <c r="AD3870" s="24">
        <v>7.8</v>
      </c>
      <c r="AE3870" s="24">
        <v>2.17</v>
      </c>
      <c r="AG3870" s="24" t="s">
        <v>3436</v>
      </c>
      <c r="AH3870" s="24" t="s">
        <v>2800</v>
      </c>
      <c r="AI3870" s="24" t="s">
        <v>4321</v>
      </c>
      <c r="AJ3870" s="24" t="s">
        <v>1645</v>
      </c>
      <c r="AK3870" s="24" t="s">
        <v>132</v>
      </c>
      <c r="AW3870" s="24" t="s">
        <v>3293</v>
      </c>
      <c r="BF3870" s="24">
        <v>1470</v>
      </c>
      <c r="BG3870" s="24">
        <v>790</v>
      </c>
      <c r="BK3870" s="24">
        <v>1210</v>
      </c>
      <c r="BL3870" s="24">
        <v>1330</v>
      </c>
      <c r="BP3870" s="395"/>
      <c r="BQ3870" s="395"/>
      <c r="BU3870" s="395">
        <v>0.7</v>
      </c>
      <c r="BV3870" s="395">
        <v>0.72</v>
      </c>
      <c r="BZ3870" s="395"/>
      <c r="CA3870" s="395"/>
      <c r="CE3870" s="548">
        <v>0.7</v>
      </c>
      <c r="CF3870" s="548">
        <v>0.72</v>
      </c>
      <c r="CG3870" s="548"/>
      <c r="CH3870" s="548"/>
      <c r="CI3870" s="24" t="s">
        <v>4546</v>
      </c>
      <c r="CO3870" s="24">
        <v>2.8</v>
      </c>
      <c r="CP3870" s="24">
        <v>2.8</v>
      </c>
      <c r="CS3870" s="24" t="s">
        <v>3443</v>
      </c>
      <c r="CT3870" s="24">
        <v>0.23</v>
      </c>
      <c r="CU3870" s="24">
        <v>0.14000000000000001</v>
      </c>
      <c r="CX3870" s="24" t="s">
        <v>3444</v>
      </c>
      <c r="CY3870" s="24">
        <v>6</v>
      </c>
      <c r="CZ3870" s="24">
        <v>6</v>
      </c>
      <c r="DD3870" s="24">
        <f>3.1+0.47+0.23</f>
        <v>3.8000000000000003</v>
      </c>
      <c r="DE3870" s="24">
        <f>2.7+0.47+0.14</f>
        <v>3.31</v>
      </c>
      <c r="DH3870" s="24" t="s">
        <v>2701</v>
      </c>
      <c r="JD3870" s="249"/>
    </row>
    <row r="3871" spans="1:264" s="24" customFormat="1" x14ac:dyDescent="0.25">
      <c r="A3871" s="24">
        <v>172</v>
      </c>
      <c r="B3871" s="42" t="s">
        <v>3440</v>
      </c>
      <c r="C3871" s="24" t="s">
        <v>3418</v>
      </c>
      <c r="D3871" s="24" t="s">
        <v>3358</v>
      </c>
      <c r="E3871" s="24">
        <v>2005</v>
      </c>
      <c r="F3871" s="24">
        <v>1992</v>
      </c>
      <c r="G3871" s="24" t="s">
        <v>2738</v>
      </c>
      <c r="H3871" s="24" t="s">
        <v>3435</v>
      </c>
      <c r="I3871" s="24" t="s">
        <v>2823</v>
      </c>
      <c r="J3871" s="24">
        <v>7.5</v>
      </c>
      <c r="K3871" s="24">
        <f t="shared" si="508"/>
        <v>3.9</v>
      </c>
      <c r="L3871" s="24">
        <v>213</v>
      </c>
      <c r="P3871" s="24">
        <v>1247</v>
      </c>
      <c r="R3871" s="42" t="s">
        <v>1858</v>
      </c>
      <c r="S3871" s="42" t="s">
        <v>1931</v>
      </c>
      <c r="T3871" s="42"/>
      <c r="U3871" s="42" t="s">
        <v>3438</v>
      </c>
      <c r="V3871" s="42" t="s">
        <v>1412</v>
      </c>
      <c r="W3871" s="42" t="s">
        <v>1719</v>
      </c>
      <c r="X3871" s="42" t="s">
        <v>1412</v>
      </c>
      <c r="Y3871" s="42" t="s">
        <v>1412</v>
      </c>
      <c r="AA3871" s="321">
        <v>77.2</v>
      </c>
      <c r="AB3871" s="321">
        <v>11</v>
      </c>
      <c r="AC3871" s="24" t="s">
        <v>175</v>
      </c>
      <c r="AD3871" s="24">
        <v>7.8</v>
      </c>
      <c r="AE3871" s="24">
        <v>2.17</v>
      </c>
      <c r="AG3871" s="24" t="s">
        <v>3436</v>
      </c>
      <c r="AH3871" s="24" t="s">
        <v>2800</v>
      </c>
      <c r="AI3871" s="24" t="s">
        <v>4321</v>
      </c>
      <c r="AJ3871" s="24" t="s">
        <v>1645</v>
      </c>
      <c r="AK3871" s="24" t="s">
        <v>132</v>
      </c>
      <c r="AW3871" s="24" t="s">
        <v>3293</v>
      </c>
      <c r="BF3871" s="24">
        <v>2290</v>
      </c>
      <c r="BG3871" s="24">
        <v>1640</v>
      </c>
      <c r="BK3871" s="24">
        <v>2120</v>
      </c>
      <c r="BL3871" s="24">
        <v>2160</v>
      </c>
      <c r="BP3871" s="395"/>
      <c r="BQ3871" s="395"/>
      <c r="BU3871" s="395">
        <v>0.7</v>
      </c>
      <c r="BV3871" s="395">
        <v>0.74</v>
      </c>
      <c r="BZ3871" s="395"/>
      <c r="CA3871" s="395"/>
      <c r="CE3871" s="548">
        <v>0.7</v>
      </c>
      <c r="CF3871" s="548">
        <v>0.74</v>
      </c>
      <c r="CG3871" s="548"/>
      <c r="CH3871" s="548"/>
      <c r="CI3871" s="24" t="s">
        <v>4546</v>
      </c>
      <c r="CO3871" s="24">
        <v>2.8</v>
      </c>
      <c r="CP3871" s="24">
        <v>2.7</v>
      </c>
      <c r="CS3871" s="24" t="s">
        <v>3443</v>
      </c>
      <c r="CT3871" s="24">
        <v>0.23</v>
      </c>
      <c r="CU3871" s="24">
        <v>0.16</v>
      </c>
      <c r="CX3871" s="24" t="s">
        <v>3444</v>
      </c>
      <c r="CY3871" s="24">
        <v>6</v>
      </c>
      <c r="CZ3871" s="24">
        <v>6</v>
      </c>
      <c r="DD3871" s="24">
        <f t="shared" ref="DD3871:DD3872" si="512">3.1+0.47+0.23</f>
        <v>3.8000000000000003</v>
      </c>
      <c r="DE3871" s="24">
        <f>2.6+0.46+0.16</f>
        <v>3.22</v>
      </c>
      <c r="DH3871" s="24" t="s">
        <v>2701</v>
      </c>
      <c r="JD3871" s="249"/>
    </row>
    <row r="3872" spans="1:264" s="24" customFormat="1" x14ac:dyDescent="0.25">
      <c r="A3872" s="24">
        <v>172</v>
      </c>
      <c r="B3872" s="42" t="s">
        <v>3440</v>
      </c>
      <c r="C3872" s="24" t="s">
        <v>3418</v>
      </c>
      <c r="D3872" s="24" t="s">
        <v>3358</v>
      </c>
      <c r="E3872" s="24">
        <v>2005</v>
      </c>
      <c r="F3872" s="24">
        <v>1992</v>
      </c>
      <c r="G3872" s="24" t="s">
        <v>2738</v>
      </c>
      <c r="H3872" s="24" t="s">
        <v>3435</v>
      </c>
      <c r="I3872" s="24" t="s">
        <v>2823</v>
      </c>
      <c r="J3872" s="24">
        <v>7.5</v>
      </c>
      <c r="K3872" s="24">
        <f t="shared" si="508"/>
        <v>3.9</v>
      </c>
      <c r="L3872" s="24">
        <v>213</v>
      </c>
      <c r="P3872" s="24">
        <v>1247</v>
      </c>
      <c r="R3872" s="42" t="s">
        <v>1858</v>
      </c>
      <c r="S3872" s="42" t="s">
        <v>1931</v>
      </c>
      <c r="T3872" s="42"/>
      <c r="U3872" s="42" t="s">
        <v>3438</v>
      </c>
      <c r="V3872" s="42" t="s">
        <v>1412</v>
      </c>
      <c r="W3872" s="42" t="s">
        <v>1719</v>
      </c>
      <c r="X3872" s="42" t="s">
        <v>1412</v>
      </c>
      <c r="Y3872" s="42" t="s">
        <v>1412</v>
      </c>
      <c r="AA3872" s="321">
        <v>77.2</v>
      </c>
      <c r="AB3872" s="321">
        <v>11</v>
      </c>
      <c r="AC3872" s="24" t="s">
        <v>175</v>
      </c>
      <c r="AD3872" s="24">
        <v>7.8</v>
      </c>
      <c r="AE3872" s="24">
        <v>2.17</v>
      </c>
      <c r="AG3872" s="24" t="s">
        <v>3436</v>
      </c>
      <c r="AH3872" s="24" t="s">
        <v>2800</v>
      </c>
      <c r="AI3872" s="24" t="s">
        <v>4321</v>
      </c>
      <c r="AJ3872" s="24" t="s">
        <v>1645</v>
      </c>
      <c r="AK3872" s="24" t="s">
        <v>132</v>
      </c>
      <c r="AW3872" s="24" t="s">
        <v>3293</v>
      </c>
      <c r="BF3872" s="24">
        <v>3170</v>
      </c>
      <c r="BG3872" s="24">
        <v>2600</v>
      </c>
      <c r="BK3872" s="24">
        <v>3520</v>
      </c>
      <c r="BL3872" s="24">
        <v>2890</v>
      </c>
      <c r="BP3872" s="395"/>
      <c r="BQ3872" s="395"/>
      <c r="BU3872" s="395">
        <v>0.7</v>
      </c>
      <c r="BV3872" s="395">
        <v>0.88</v>
      </c>
      <c r="BZ3872" s="395"/>
      <c r="CA3872" s="395"/>
      <c r="CE3872" s="548">
        <v>0.7</v>
      </c>
      <c r="CF3872" s="548">
        <v>0.88</v>
      </c>
      <c r="CG3872" s="548"/>
      <c r="CH3872" s="548"/>
      <c r="CI3872" s="24" t="s">
        <v>4546</v>
      </c>
      <c r="CO3872" s="24">
        <v>2.8</v>
      </c>
      <c r="CP3872" s="24">
        <v>2.6</v>
      </c>
      <c r="CS3872" s="24" t="s">
        <v>3443</v>
      </c>
      <c r="CT3872" s="24">
        <v>0.23</v>
      </c>
      <c r="CU3872" s="24">
        <v>0.18</v>
      </c>
      <c r="CX3872" s="24" t="s">
        <v>3444</v>
      </c>
      <c r="CY3872" s="24">
        <v>6</v>
      </c>
      <c r="CZ3872" s="24">
        <v>6</v>
      </c>
      <c r="DD3872" s="24">
        <f t="shared" si="512"/>
        <v>3.8000000000000003</v>
      </c>
      <c r="DE3872" s="24">
        <f>2.7+0.48+0.18</f>
        <v>3.3600000000000003</v>
      </c>
      <c r="DH3872" s="24" t="s">
        <v>2701</v>
      </c>
      <c r="JD3872" s="249"/>
    </row>
    <row r="3873" spans="1:264" s="24" customFormat="1" x14ac:dyDescent="0.25">
      <c r="A3873" s="24">
        <v>172</v>
      </c>
      <c r="B3873" s="42" t="s">
        <v>3440</v>
      </c>
      <c r="C3873" s="24" t="s">
        <v>3418</v>
      </c>
      <c r="D3873" s="24" t="s">
        <v>3358</v>
      </c>
      <c r="E3873" s="24">
        <v>2005</v>
      </c>
      <c r="F3873" s="24">
        <v>1992</v>
      </c>
      <c r="G3873" s="24" t="s">
        <v>2738</v>
      </c>
      <c r="H3873" s="24" t="s">
        <v>3435</v>
      </c>
      <c r="I3873" s="24" t="s">
        <v>2823</v>
      </c>
      <c r="J3873" s="24">
        <v>7.5</v>
      </c>
      <c r="K3873" s="24">
        <f t="shared" si="508"/>
        <v>3.9</v>
      </c>
      <c r="L3873" s="24">
        <v>213</v>
      </c>
      <c r="P3873" s="24">
        <v>1247</v>
      </c>
      <c r="R3873" s="42" t="s">
        <v>1858</v>
      </c>
      <c r="S3873" s="42" t="s">
        <v>1931</v>
      </c>
      <c r="T3873" s="42"/>
      <c r="U3873" s="42" t="s">
        <v>3438</v>
      </c>
      <c r="V3873" s="42" t="s">
        <v>1382</v>
      </c>
      <c r="W3873" s="42" t="s">
        <v>1717</v>
      </c>
      <c r="X3873" s="42" t="s">
        <v>1382</v>
      </c>
      <c r="Y3873" s="42" t="s">
        <v>1382</v>
      </c>
      <c r="AA3873" s="321">
        <v>77.2</v>
      </c>
      <c r="AB3873" s="321">
        <v>11</v>
      </c>
      <c r="AC3873" s="24" t="s">
        <v>175</v>
      </c>
      <c r="AD3873" s="24">
        <v>7.8</v>
      </c>
      <c r="AE3873" s="24">
        <v>2.17</v>
      </c>
      <c r="AG3873" s="24" t="s">
        <v>3436</v>
      </c>
      <c r="AH3873" s="24" t="s">
        <v>2800</v>
      </c>
      <c r="AI3873" s="24" t="s">
        <v>4321</v>
      </c>
      <c r="AJ3873" s="24" t="s">
        <v>1645</v>
      </c>
      <c r="AK3873" s="24" t="s">
        <v>132</v>
      </c>
      <c r="AW3873" s="24" t="s">
        <v>3293</v>
      </c>
      <c r="BP3873" s="395"/>
      <c r="BQ3873" s="395"/>
      <c r="BU3873" s="395"/>
      <c r="BV3873" s="395"/>
      <c r="BZ3873" s="395"/>
      <c r="CA3873" s="395"/>
      <c r="CE3873" s="548"/>
      <c r="CF3873" s="548"/>
      <c r="CG3873" s="548"/>
      <c r="CH3873" s="548"/>
      <c r="JD3873" s="249"/>
    </row>
    <row r="3874" spans="1:264" s="517" customFormat="1" x14ac:dyDescent="0.25">
      <c r="A3874" s="517">
        <v>172</v>
      </c>
      <c r="B3874" s="518" t="s">
        <v>3440</v>
      </c>
      <c r="C3874" s="517" t="s">
        <v>3418</v>
      </c>
      <c r="D3874" s="517" t="s">
        <v>3358</v>
      </c>
      <c r="E3874" s="517">
        <v>2005</v>
      </c>
      <c r="F3874" s="517">
        <v>1993</v>
      </c>
      <c r="G3874" s="517" t="s">
        <v>2738</v>
      </c>
      <c r="H3874" s="517" t="s">
        <v>3435</v>
      </c>
      <c r="I3874" s="517" t="s">
        <v>2823</v>
      </c>
      <c r="J3874" s="517">
        <v>7.5</v>
      </c>
      <c r="K3874" s="517">
        <f t="shared" ref="K3874:K3905" si="513">3+54/60</f>
        <v>3.9</v>
      </c>
      <c r="L3874" s="517">
        <v>213</v>
      </c>
      <c r="P3874" s="517">
        <v>1247</v>
      </c>
      <c r="R3874" s="518" t="s">
        <v>1722</v>
      </c>
      <c r="S3874" s="518" t="s">
        <v>1931</v>
      </c>
      <c r="T3874" s="518"/>
      <c r="U3874" s="518" t="s">
        <v>3438</v>
      </c>
      <c r="V3874" s="518" t="s">
        <v>1382</v>
      </c>
      <c r="W3874" s="518" t="s">
        <v>1717</v>
      </c>
      <c r="X3874" s="518" t="s">
        <v>1382</v>
      </c>
      <c r="Y3874" s="518" t="s">
        <v>1382</v>
      </c>
      <c r="AA3874" s="519">
        <v>77.2</v>
      </c>
      <c r="AB3874" s="519">
        <v>11</v>
      </c>
      <c r="AC3874" s="517" t="s">
        <v>175</v>
      </c>
      <c r="AD3874" s="517">
        <v>7.8</v>
      </c>
      <c r="AE3874" s="517">
        <v>2.17</v>
      </c>
      <c r="AG3874" s="517" t="s">
        <v>3436</v>
      </c>
      <c r="AH3874" s="517" t="s">
        <v>2800</v>
      </c>
      <c r="AI3874" s="517" t="s">
        <v>4321</v>
      </c>
      <c r="AJ3874" s="517" t="s">
        <v>1645</v>
      </c>
      <c r="AK3874" s="517" t="s">
        <v>132</v>
      </c>
      <c r="AW3874" s="517" t="s">
        <v>3293</v>
      </c>
      <c r="BF3874" s="517">
        <v>1310</v>
      </c>
      <c r="BG3874" s="517">
        <v>1630</v>
      </c>
      <c r="BK3874" s="517">
        <v>1160</v>
      </c>
      <c r="BL3874" s="517">
        <v>1350</v>
      </c>
      <c r="BP3874" s="520"/>
      <c r="BQ3874" s="520"/>
      <c r="BU3874" s="520"/>
      <c r="BV3874" s="520"/>
      <c r="BZ3874" s="520"/>
      <c r="CA3874" s="520"/>
      <c r="CE3874" s="608"/>
      <c r="CF3874" s="608"/>
      <c r="CG3874" s="608"/>
      <c r="CH3874" s="608"/>
      <c r="JD3874" s="521"/>
    </row>
    <row r="3875" spans="1:264" s="517" customFormat="1" x14ac:dyDescent="0.25">
      <c r="A3875" s="517">
        <v>172</v>
      </c>
      <c r="B3875" s="518" t="s">
        <v>3440</v>
      </c>
      <c r="C3875" s="517" t="s">
        <v>3418</v>
      </c>
      <c r="D3875" s="517" t="s">
        <v>3358</v>
      </c>
      <c r="E3875" s="517">
        <v>2005</v>
      </c>
      <c r="F3875" s="517">
        <v>1993</v>
      </c>
      <c r="G3875" s="517" t="s">
        <v>2738</v>
      </c>
      <c r="H3875" s="517" t="s">
        <v>3435</v>
      </c>
      <c r="I3875" s="517" t="s">
        <v>2823</v>
      </c>
      <c r="J3875" s="517">
        <v>7.5</v>
      </c>
      <c r="K3875" s="517">
        <f t="shared" si="513"/>
        <v>3.9</v>
      </c>
      <c r="L3875" s="517">
        <v>213</v>
      </c>
      <c r="P3875" s="517">
        <v>1247</v>
      </c>
      <c r="R3875" s="518" t="s">
        <v>1722</v>
      </c>
      <c r="S3875" s="518" t="s">
        <v>1931</v>
      </c>
      <c r="T3875" s="518"/>
      <c r="U3875" s="518" t="s">
        <v>3438</v>
      </c>
      <c r="V3875" s="518" t="s">
        <v>1382</v>
      </c>
      <c r="W3875" s="518" t="s">
        <v>1717</v>
      </c>
      <c r="X3875" s="518" t="s">
        <v>1382</v>
      </c>
      <c r="Y3875" s="518" t="s">
        <v>1382</v>
      </c>
      <c r="AA3875" s="519">
        <v>77.2</v>
      </c>
      <c r="AB3875" s="519">
        <v>11</v>
      </c>
      <c r="AC3875" s="517" t="s">
        <v>175</v>
      </c>
      <c r="AD3875" s="517">
        <v>7.8</v>
      </c>
      <c r="AE3875" s="517">
        <v>2.17</v>
      </c>
      <c r="AG3875" s="517" t="s">
        <v>3436</v>
      </c>
      <c r="AH3875" s="517" t="s">
        <v>2800</v>
      </c>
      <c r="AI3875" s="517" t="s">
        <v>4321</v>
      </c>
      <c r="AJ3875" s="517" t="s">
        <v>1645</v>
      </c>
      <c r="AK3875" s="517" t="s">
        <v>132</v>
      </c>
      <c r="AW3875" s="517" t="s">
        <v>3293</v>
      </c>
      <c r="BF3875" s="517">
        <v>2620</v>
      </c>
      <c r="BG3875" s="517">
        <v>2620</v>
      </c>
      <c r="BK3875" s="517">
        <v>2460</v>
      </c>
      <c r="BL3875" s="517">
        <v>2640</v>
      </c>
      <c r="BP3875" s="520"/>
      <c r="BQ3875" s="520"/>
      <c r="BU3875" s="520"/>
      <c r="BV3875" s="520"/>
      <c r="BZ3875" s="520"/>
      <c r="CA3875" s="520"/>
      <c r="CE3875" s="608"/>
      <c r="CF3875" s="608"/>
      <c r="CG3875" s="608"/>
      <c r="CH3875" s="608"/>
      <c r="JD3875" s="521"/>
    </row>
    <row r="3876" spans="1:264" s="517" customFormat="1" x14ac:dyDescent="0.25">
      <c r="A3876" s="517">
        <v>172</v>
      </c>
      <c r="B3876" s="518" t="s">
        <v>3440</v>
      </c>
      <c r="C3876" s="517" t="s">
        <v>3418</v>
      </c>
      <c r="D3876" s="517" t="s">
        <v>3358</v>
      </c>
      <c r="E3876" s="517">
        <v>2005</v>
      </c>
      <c r="F3876" s="517">
        <v>1993</v>
      </c>
      <c r="G3876" s="517" t="s">
        <v>2738</v>
      </c>
      <c r="H3876" s="517" t="s">
        <v>3435</v>
      </c>
      <c r="I3876" s="517" t="s">
        <v>2823</v>
      </c>
      <c r="J3876" s="517">
        <v>7.5</v>
      </c>
      <c r="K3876" s="517">
        <f t="shared" si="513"/>
        <v>3.9</v>
      </c>
      <c r="L3876" s="517">
        <v>213</v>
      </c>
      <c r="P3876" s="517">
        <v>1247</v>
      </c>
      <c r="R3876" s="518" t="s">
        <v>1722</v>
      </c>
      <c r="S3876" s="518" t="s">
        <v>1931</v>
      </c>
      <c r="T3876" s="518"/>
      <c r="U3876" s="518" t="s">
        <v>3438</v>
      </c>
      <c r="V3876" s="518" t="s">
        <v>1382</v>
      </c>
      <c r="W3876" s="518" t="s">
        <v>1717</v>
      </c>
      <c r="X3876" s="518" t="s">
        <v>1382</v>
      </c>
      <c r="Y3876" s="518" t="s">
        <v>1382</v>
      </c>
      <c r="AA3876" s="519">
        <v>77.2</v>
      </c>
      <c r="AB3876" s="519">
        <v>11</v>
      </c>
      <c r="AC3876" s="517" t="s">
        <v>175</v>
      </c>
      <c r="AD3876" s="517">
        <v>7.8</v>
      </c>
      <c r="AE3876" s="517">
        <v>2.17</v>
      </c>
      <c r="AG3876" s="517" t="s">
        <v>3436</v>
      </c>
      <c r="AH3876" s="517" t="s">
        <v>2800</v>
      </c>
      <c r="AI3876" s="517" t="s">
        <v>4321</v>
      </c>
      <c r="AJ3876" s="517" t="s">
        <v>1645</v>
      </c>
      <c r="AK3876" s="517" t="s">
        <v>132</v>
      </c>
      <c r="AW3876" s="517" t="s">
        <v>3293</v>
      </c>
      <c r="BF3876" s="517">
        <v>3900</v>
      </c>
      <c r="BG3876" s="517">
        <v>3700</v>
      </c>
      <c r="BK3876" s="517">
        <v>3250</v>
      </c>
      <c r="BL3876" s="517">
        <v>3210</v>
      </c>
      <c r="BP3876" s="520"/>
      <c r="BQ3876" s="520"/>
      <c r="BU3876" s="520"/>
      <c r="BV3876" s="520"/>
      <c r="BZ3876" s="520"/>
      <c r="CA3876" s="520"/>
      <c r="CE3876" s="608"/>
      <c r="CF3876" s="608"/>
      <c r="CG3876" s="608"/>
      <c r="CH3876" s="608"/>
      <c r="JD3876" s="521"/>
    </row>
    <row r="3877" spans="1:264" s="517" customFormat="1" x14ac:dyDescent="0.25">
      <c r="A3877" s="517">
        <v>172</v>
      </c>
      <c r="B3877" s="518" t="s">
        <v>3440</v>
      </c>
      <c r="C3877" s="517" t="s">
        <v>3418</v>
      </c>
      <c r="D3877" s="517" t="s">
        <v>3358</v>
      </c>
      <c r="E3877" s="517">
        <v>2005</v>
      </c>
      <c r="F3877" s="517">
        <v>1993</v>
      </c>
      <c r="G3877" s="517" t="s">
        <v>2738</v>
      </c>
      <c r="H3877" s="517" t="s">
        <v>3435</v>
      </c>
      <c r="I3877" s="517" t="s">
        <v>2823</v>
      </c>
      <c r="J3877" s="517">
        <v>7.5</v>
      </c>
      <c r="K3877" s="517">
        <f t="shared" si="513"/>
        <v>3.9</v>
      </c>
      <c r="L3877" s="517">
        <v>213</v>
      </c>
      <c r="P3877" s="517">
        <v>1247</v>
      </c>
      <c r="R3877" s="518" t="s">
        <v>1722</v>
      </c>
      <c r="S3877" s="518" t="s">
        <v>1931</v>
      </c>
      <c r="T3877" s="518"/>
      <c r="U3877" s="518" t="s">
        <v>3438</v>
      </c>
      <c r="V3877" s="518" t="s">
        <v>1382</v>
      </c>
      <c r="W3877" s="518" t="s">
        <v>1717</v>
      </c>
      <c r="X3877" s="518" t="s">
        <v>1382</v>
      </c>
      <c r="Y3877" s="518" t="s">
        <v>1382</v>
      </c>
      <c r="AA3877" s="519">
        <v>77.2</v>
      </c>
      <c r="AB3877" s="519">
        <v>11</v>
      </c>
      <c r="AC3877" s="517" t="s">
        <v>175</v>
      </c>
      <c r="AD3877" s="517">
        <v>7.8</v>
      </c>
      <c r="AE3877" s="517">
        <v>2.17</v>
      </c>
      <c r="AG3877" s="517" t="s">
        <v>3436</v>
      </c>
      <c r="AH3877" s="517" t="s">
        <v>2800</v>
      </c>
      <c r="AI3877" s="517" t="s">
        <v>4321</v>
      </c>
      <c r="AJ3877" s="517" t="s">
        <v>1645</v>
      </c>
      <c r="AK3877" s="517" t="s">
        <v>132</v>
      </c>
      <c r="AW3877" s="517" t="s">
        <v>3293</v>
      </c>
      <c r="BF3877" s="517">
        <v>3440</v>
      </c>
      <c r="BG3877" s="517">
        <v>3350</v>
      </c>
      <c r="BK3877" s="517">
        <v>3190</v>
      </c>
      <c r="BL3877" s="517">
        <v>3260</v>
      </c>
      <c r="BP3877" s="520"/>
      <c r="BQ3877" s="520"/>
      <c r="BU3877" s="520"/>
      <c r="BV3877" s="520"/>
      <c r="BZ3877" s="520"/>
      <c r="CA3877" s="520"/>
      <c r="CE3877" s="608"/>
      <c r="CF3877" s="608"/>
      <c r="CG3877" s="608"/>
      <c r="CH3877" s="608"/>
      <c r="JD3877" s="521"/>
    </row>
    <row r="3878" spans="1:264" s="24" customFormat="1" x14ac:dyDescent="0.25">
      <c r="A3878" s="24">
        <v>172</v>
      </c>
      <c r="B3878" s="42" t="s">
        <v>3440</v>
      </c>
      <c r="C3878" s="24" t="s">
        <v>3418</v>
      </c>
      <c r="D3878" s="24" t="s">
        <v>3358</v>
      </c>
      <c r="E3878" s="24">
        <v>2005</v>
      </c>
      <c r="F3878" s="24">
        <v>1994</v>
      </c>
      <c r="G3878" s="24" t="s">
        <v>2738</v>
      </c>
      <c r="H3878" s="24" t="s">
        <v>3435</v>
      </c>
      <c r="I3878" s="24" t="s">
        <v>2823</v>
      </c>
      <c r="J3878" s="24">
        <v>7.5</v>
      </c>
      <c r="K3878" s="24">
        <f t="shared" si="513"/>
        <v>3.9</v>
      </c>
      <c r="L3878" s="24">
        <v>213</v>
      </c>
      <c r="P3878" s="24">
        <v>1247</v>
      </c>
      <c r="R3878" s="42" t="s">
        <v>1843</v>
      </c>
      <c r="S3878" s="42" t="s">
        <v>1931</v>
      </c>
      <c r="T3878" s="42"/>
      <c r="U3878" s="42" t="s">
        <v>3438</v>
      </c>
      <c r="V3878" s="42" t="s">
        <v>1382</v>
      </c>
      <c r="W3878" s="42" t="s">
        <v>1717</v>
      </c>
      <c r="X3878" s="42" t="s">
        <v>1382</v>
      </c>
      <c r="Y3878" s="42" t="s">
        <v>1382</v>
      </c>
      <c r="AA3878" s="321">
        <v>77.2</v>
      </c>
      <c r="AB3878" s="321">
        <v>11</v>
      </c>
      <c r="AC3878" s="24" t="s">
        <v>175</v>
      </c>
      <c r="AD3878" s="24">
        <v>7.8</v>
      </c>
      <c r="AE3878" s="24">
        <v>2.17</v>
      </c>
      <c r="AG3878" s="24" t="s">
        <v>3436</v>
      </c>
      <c r="AH3878" s="24" t="s">
        <v>2800</v>
      </c>
      <c r="AI3878" s="24" t="s">
        <v>4321</v>
      </c>
      <c r="AJ3878" s="24" t="s">
        <v>1645</v>
      </c>
      <c r="AK3878" s="24" t="s">
        <v>132</v>
      </c>
      <c r="AW3878" s="24" t="s">
        <v>3293</v>
      </c>
      <c r="BF3878" s="24">
        <v>1360</v>
      </c>
      <c r="BG3878" s="24">
        <v>1510</v>
      </c>
      <c r="BK3878" s="24">
        <v>1100</v>
      </c>
      <c r="BL3878" s="24">
        <v>1190</v>
      </c>
      <c r="BP3878" s="395"/>
      <c r="BQ3878" s="395"/>
      <c r="BU3878" s="395"/>
      <c r="BV3878" s="395"/>
      <c r="BZ3878" s="395"/>
      <c r="CA3878" s="395"/>
      <c r="CE3878" s="548"/>
      <c r="CF3878" s="548"/>
      <c r="CG3878" s="548"/>
      <c r="CH3878" s="548"/>
      <c r="JD3878" s="249"/>
    </row>
    <row r="3879" spans="1:264" s="24" customFormat="1" x14ac:dyDescent="0.25">
      <c r="A3879" s="24">
        <v>172</v>
      </c>
      <c r="B3879" s="42" t="s">
        <v>3440</v>
      </c>
      <c r="C3879" s="24" t="s">
        <v>3418</v>
      </c>
      <c r="D3879" s="24" t="s">
        <v>3358</v>
      </c>
      <c r="E3879" s="24">
        <v>2005</v>
      </c>
      <c r="F3879" s="24">
        <v>1994</v>
      </c>
      <c r="G3879" s="24" t="s">
        <v>2738</v>
      </c>
      <c r="H3879" s="24" t="s">
        <v>3435</v>
      </c>
      <c r="I3879" s="24" t="s">
        <v>2823</v>
      </c>
      <c r="J3879" s="24">
        <v>7.5</v>
      </c>
      <c r="K3879" s="24">
        <f t="shared" si="513"/>
        <v>3.9</v>
      </c>
      <c r="L3879" s="24">
        <v>213</v>
      </c>
      <c r="P3879" s="24">
        <v>1247</v>
      </c>
      <c r="R3879" s="42" t="s">
        <v>1843</v>
      </c>
      <c r="S3879" s="42" t="s">
        <v>1931</v>
      </c>
      <c r="T3879" s="42"/>
      <c r="U3879" s="42" t="s">
        <v>3438</v>
      </c>
      <c r="V3879" s="42" t="s">
        <v>1382</v>
      </c>
      <c r="W3879" s="42" t="s">
        <v>1717</v>
      </c>
      <c r="X3879" s="42" t="s">
        <v>1382</v>
      </c>
      <c r="Y3879" s="42" t="s">
        <v>1382</v>
      </c>
      <c r="AA3879" s="321">
        <v>77.2</v>
      </c>
      <c r="AB3879" s="321">
        <v>11</v>
      </c>
      <c r="AC3879" s="24" t="s">
        <v>175</v>
      </c>
      <c r="AD3879" s="24">
        <v>7.8</v>
      </c>
      <c r="AE3879" s="24">
        <v>2.17</v>
      </c>
      <c r="AG3879" s="24" t="s">
        <v>3436</v>
      </c>
      <c r="AH3879" s="24" t="s">
        <v>2800</v>
      </c>
      <c r="AI3879" s="24" t="s">
        <v>4321</v>
      </c>
      <c r="AJ3879" s="24" t="s">
        <v>1645</v>
      </c>
      <c r="AK3879" s="24" t="s">
        <v>132</v>
      </c>
      <c r="AW3879" s="24" t="s">
        <v>3293</v>
      </c>
      <c r="BF3879" s="24">
        <v>2110</v>
      </c>
      <c r="BG3879" s="24">
        <v>2600</v>
      </c>
      <c r="BK3879" s="24">
        <v>2090</v>
      </c>
      <c r="BL3879" s="24">
        <v>2230</v>
      </c>
      <c r="BP3879" s="395"/>
      <c r="BQ3879" s="395"/>
      <c r="BU3879" s="395"/>
      <c r="BV3879" s="395"/>
      <c r="BZ3879" s="395"/>
      <c r="CA3879" s="395"/>
      <c r="CE3879" s="548"/>
      <c r="CF3879" s="548"/>
      <c r="CG3879" s="548"/>
      <c r="CH3879" s="548"/>
      <c r="JD3879" s="249"/>
    </row>
    <row r="3880" spans="1:264" s="24" customFormat="1" x14ac:dyDescent="0.25">
      <c r="A3880" s="24">
        <v>172</v>
      </c>
      <c r="B3880" s="42" t="s">
        <v>3440</v>
      </c>
      <c r="C3880" s="24" t="s">
        <v>3418</v>
      </c>
      <c r="D3880" s="24" t="s">
        <v>3358</v>
      </c>
      <c r="E3880" s="24">
        <v>2005</v>
      </c>
      <c r="F3880" s="24">
        <v>1994</v>
      </c>
      <c r="G3880" s="24" t="s">
        <v>2738</v>
      </c>
      <c r="H3880" s="24" t="s">
        <v>3435</v>
      </c>
      <c r="I3880" s="24" t="s">
        <v>2823</v>
      </c>
      <c r="J3880" s="24">
        <v>7.5</v>
      </c>
      <c r="K3880" s="24">
        <f t="shared" si="513"/>
        <v>3.9</v>
      </c>
      <c r="L3880" s="24">
        <v>213</v>
      </c>
      <c r="P3880" s="24">
        <v>1247</v>
      </c>
      <c r="R3880" s="42" t="s">
        <v>1843</v>
      </c>
      <c r="S3880" s="42" t="s">
        <v>1931</v>
      </c>
      <c r="T3880" s="42"/>
      <c r="U3880" s="42" t="s">
        <v>3438</v>
      </c>
      <c r="V3880" s="42" t="s">
        <v>1382</v>
      </c>
      <c r="W3880" s="42" t="s">
        <v>1717</v>
      </c>
      <c r="X3880" s="42" t="s">
        <v>1382</v>
      </c>
      <c r="Y3880" s="42" t="s">
        <v>1382</v>
      </c>
      <c r="AA3880" s="321">
        <v>77.2</v>
      </c>
      <c r="AB3880" s="321">
        <v>11</v>
      </c>
      <c r="AC3880" s="24" t="s">
        <v>175</v>
      </c>
      <c r="AD3880" s="24">
        <v>7.8</v>
      </c>
      <c r="AE3880" s="24">
        <v>2.17</v>
      </c>
      <c r="AG3880" s="24" t="s">
        <v>3436</v>
      </c>
      <c r="AH3880" s="24" t="s">
        <v>2800</v>
      </c>
      <c r="AI3880" s="24" t="s">
        <v>4321</v>
      </c>
      <c r="AJ3880" s="24" t="s">
        <v>1645</v>
      </c>
      <c r="AK3880" s="24" t="s">
        <v>132</v>
      </c>
      <c r="AW3880" s="24" t="s">
        <v>3293</v>
      </c>
      <c r="BF3880" s="24">
        <v>2920</v>
      </c>
      <c r="BG3880" s="24">
        <v>3380</v>
      </c>
      <c r="BK3880" s="24">
        <v>2780</v>
      </c>
      <c r="BL3880" s="24">
        <v>2880</v>
      </c>
      <c r="BP3880" s="395"/>
      <c r="BQ3880" s="395"/>
      <c r="BU3880" s="395"/>
      <c r="BV3880" s="395"/>
      <c r="BZ3880" s="395"/>
      <c r="CA3880" s="395"/>
      <c r="CE3880" s="548"/>
      <c r="CF3880" s="548"/>
      <c r="CG3880" s="548"/>
      <c r="CH3880" s="548"/>
      <c r="JD3880" s="249"/>
    </row>
    <row r="3881" spans="1:264" s="24" customFormat="1" x14ac:dyDescent="0.25">
      <c r="A3881" s="24">
        <v>172</v>
      </c>
      <c r="B3881" s="42" t="s">
        <v>3440</v>
      </c>
      <c r="C3881" s="24" t="s">
        <v>3418</v>
      </c>
      <c r="D3881" s="24" t="s">
        <v>3358</v>
      </c>
      <c r="E3881" s="24">
        <v>2005</v>
      </c>
      <c r="F3881" s="24">
        <v>1994</v>
      </c>
      <c r="G3881" s="24" t="s">
        <v>2738</v>
      </c>
      <c r="H3881" s="24" t="s">
        <v>3435</v>
      </c>
      <c r="I3881" s="24" t="s">
        <v>2823</v>
      </c>
      <c r="J3881" s="24">
        <v>7.5</v>
      </c>
      <c r="K3881" s="24">
        <f t="shared" si="513"/>
        <v>3.9</v>
      </c>
      <c r="L3881" s="24">
        <v>213</v>
      </c>
      <c r="P3881" s="24">
        <v>1247</v>
      </c>
      <c r="R3881" s="42" t="s">
        <v>1843</v>
      </c>
      <c r="S3881" s="42" t="s">
        <v>1931</v>
      </c>
      <c r="T3881" s="42"/>
      <c r="U3881" s="42" t="s">
        <v>3438</v>
      </c>
      <c r="V3881" s="42" t="s">
        <v>1382</v>
      </c>
      <c r="W3881" s="42" t="s">
        <v>1717</v>
      </c>
      <c r="X3881" s="42" t="s">
        <v>1382</v>
      </c>
      <c r="Y3881" s="42" t="s">
        <v>1382</v>
      </c>
      <c r="AA3881" s="321">
        <v>77.2</v>
      </c>
      <c r="AB3881" s="321">
        <v>11</v>
      </c>
      <c r="AC3881" s="24" t="s">
        <v>175</v>
      </c>
      <c r="AD3881" s="24">
        <v>7.8</v>
      </c>
      <c r="AE3881" s="24">
        <v>2.17</v>
      </c>
      <c r="AG3881" s="24" t="s">
        <v>3436</v>
      </c>
      <c r="AH3881" s="24" t="s">
        <v>2800</v>
      </c>
      <c r="AI3881" s="24" t="s">
        <v>4321</v>
      </c>
      <c r="AJ3881" s="24" t="s">
        <v>1645</v>
      </c>
      <c r="AK3881" s="24" t="s">
        <v>132</v>
      </c>
      <c r="AW3881" s="24" t="s">
        <v>3293</v>
      </c>
      <c r="BF3881" s="24">
        <v>3460</v>
      </c>
      <c r="BG3881" s="24">
        <v>3000</v>
      </c>
      <c r="BK3881" s="24">
        <v>2960</v>
      </c>
      <c r="BL3881" s="24">
        <v>3120</v>
      </c>
      <c r="BP3881" s="395"/>
      <c r="BQ3881" s="395"/>
      <c r="BU3881" s="395"/>
      <c r="BV3881" s="395"/>
      <c r="BZ3881" s="395"/>
      <c r="CA3881" s="395"/>
      <c r="CE3881" s="548"/>
      <c r="CF3881" s="548"/>
      <c r="CG3881" s="548"/>
      <c r="CH3881" s="548"/>
      <c r="JD3881" s="249"/>
    </row>
    <row r="3882" spans="1:264" s="517" customFormat="1" x14ac:dyDescent="0.25">
      <c r="A3882" s="517">
        <v>172</v>
      </c>
      <c r="B3882" s="518" t="s">
        <v>3440</v>
      </c>
      <c r="C3882" s="517" t="s">
        <v>3418</v>
      </c>
      <c r="D3882" s="517" t="s">
        <v>3358</v>
      </c>
      <c r="E3882" s="517">
        <v>2005</v>
      </c>
      <c r="F3882" s="517">
        <v>1995</v>
      </c>
      <c r="G3882" s="517" t="s">
        <v>2738</v>
      </c>
      <c r="H3882" s="517" t="s">
        <v>3435</v>
      </c>
      <c r="I3882" s="517" t="s">
        <v>2823</v>
      </c>
      <c r="J3882" s="517">
        <v>7.5</v>
      </c>
      <c r="K3882" s="517">
        <f t="shared" si="513"/>
        <v>3.9</v>
      </c>
      <c r="L3882" s="517">
        <v>213</v>
      </c>
      <c r="P3882" s="517">
        <v>1247</v>
      </c>
      <c r="R3882" s="518" t="s">
        <v>1734</v>
      </c>
      <c r="S3882" s="518" t="s">
        <v>1931</v>
      </c>
      <c r="T3882" s="518"/>
      <c r="U3882" s="518" t="s">
        <v>3438</v>
      </c>
      <c r="V3882" s="518" t="s">
        <v>1382</v>
      </c>
      <c r="W3882" s="518" t="s">
        <v>1717</v>
      </c>
      <c r="X3882" s="518" t="s">
        <v>1382</v>
      </c>
      <c r="Y3882" s="518" t="s">
        <v>1382</v>
      </c>
      <c r="AA3882" s="519">
        <v>77.2</v>
      </c>
      <c r="AB3882" s="519">
        <v>11</v>
      </c>
      <c r="AC3882" s="517" t="s">
        <v>175</v>
      </c>
      <c r="AD3882" s="517">
        <v>7.8</v>
      </c>
      <c r="AE3882" s="517">
        <v>2.17</v>
      </c>
      <c r="AG3882" s="517" t="s">
        <v>3436</v>
      </c>
      <c r="AH3882" s="517" t="s">
        <v>2800</v>
      </c>
      <c r="AI3882" s="517" t="s">
        <v>4321</v>
      </c>
      <c r="AJ3882" s="517" t="s">
        <v>1645</v>
      </c>
      <c r="AK3882" s="517" t="s">
        <v>132</v>
      </c>
      <c r="AW3882" s="517" t="s">
        <v>3293</v>
      </c>
      <c r="BK3882" s="517">
        <v>630</v>
      </c>
      <c r="BL3882" s="517">
        <v>860</v>
      </c>
      <c r="BP3882" s="520"/>
      <c r="BQ3882" s="520"/>
      <c r="BU3882" s="520"/>
      <c r="BV3882" s="520"/>
      <c r="BZ3882" s="520"/>
      <c r="CA3882" s="520"/>
      <c r="CE3882" s="608"/>
      <c r="CF3882" s="608"/>
      <c r="CG3882" s="608"/>
      <c r="CH3882" s="608"/>
      <c r="JD3882" s="521"/>
    </row>
    <row r="3883" spans="1:264" s="517" customFormat="1" x14ac:dyDescent="0.25">
      <c r="A3883" s="517">
        <v>172</v>
      </c>
      <c r="B3883" s="518" t="s">
        <v>3440</v>
      </c>
      <c r="C3883" s="517" t="s">
        <v>3418</v>
      </c>
      <c r="D3883" s="517" t="s">
        <v>3358</v>
      </c>
      <c r="E3883" s="517">
        <v>2005</v>
      </c>
      <c r="F3883" s="517">
        <v>1995</v>
      </c>
      <c r="G3883" s="517" t="s">
        <v>2738</v>
      </c>
      <c r="H3883" s="517" t="s">
        <v>3435</v>
      </c>
      <c r="I3883" s="517" t="s">
        <v>2823</v>
      </c>
      <c r="J3883" s="517">
        <v>7.5</v>
      </c>
      <c r="K3883" s="517">
        <f t="shared" si="513"/>
        <v>3.9</v>
      </c>
      <c r="L3883" s="517">
        <v>213</v>
      </c>
      <c r="P3883" s="517">
        <v>1247</v>
      </c>
      <c r="R3883" s="518" t="s">
        <v>1734</v>
      </c>
      <c r="S3883" s="518" t="s">
        <v>1931</v>
      </c>
      <c r="T3883" s="518"/>
      <c r="U3883" s="518" t="s">
        <v>3438</v>
      </c>
      <c r="V3883" s="518" t="s">
        <v>1382</v>
      </c>
      <c r="W3883" s="518" t="s">
        <v>1717</v>
      </c>
      <c r="X3883" s="518" t="s">
        <v>1382</v>
      </c>
      <c r="Y3883" s="518" t="s">
        <v>1382</v>
      </c>
      <c r="AA3883" s="519">
        <v>77.2</v>
      </c>
      <c r="AB3883" s="519">
        <v>11</v>
      </c>
      <c r="AC3883" s="517" t="s">
        <v>175</v>
      </c>
      <c r="AD3883" s="517">
        <v>7.8</v>
      </c>
      <c r="AE3883" s="517">
        <v>2.17</v>
      </c>
      <c r="AG3883" s="517" t="s">
        <v>3436</v>
      </c>
      <c r="AH3883" s="517" t="s">
        <v>2800</v>
      </c>
      <c r="AI3883" s="517" t="s">
        <v>4321</v>
      </c>
      <c r="AJ3883" s="517" t="s">
        <v>1645</v>
      </c>
      <c r="AK3883" s="517" t="s">
        <v>132</v>
      </c>
      <c r="AW3883" s="517" t="s">
        <v>3293</v>
      </c>
      <c r="BK3883" s="517">
        <v>1380</v>
      </c>
      <c r="BL3883" s="517">
        <v>1470</v>
      </c>
      <c r="BP3883" s="520"/>
      <c r="BQ3883" s="520"/>
      <c r="BU3883" s="520"/>
      <c r="BV3883" s="520"/>
      <c r="BZ3883" s="520"/>
      <c r="CA3883" s="520"/>
      <c r="CE3883" s="608"/>
      <c r="CF3883" s="608"/>
      <c r="CG3883" s="608"/>
      <c r="CH3883" s="608"/>
      <c r="JD3883" s="521"/>
    </row>
    <row r="3884" spans="1:264" s="517" customFormat="1" x14ac:dyDescent="0.25">
      <c r="A3884" s="517">
        <v>172</v>
      </c>
      <c r="B3884" s="518" t="s">
        <v>3440</v>
      </c>
      <c r="C3884" s="517" t="s">
        <v>3418</v>
      </c>
      <c r="D3884" s="517" t="s">
        <v>3358</v>
      </c>
      <c r="E3884" s="517">
        <v>2005</v>
      </c>
      <c r="F3884" s="517">
        <v>1995</v>
      </c>
      <c r="G3884" s="517" t="s">
        <v>2738</v>
      </c>
      <c r="H3884" s="517" t="s">
        <v>3435</v>
      </c>
      <c r="I3884" s="517" t="s">
        <v>2823</v>
      </c>
      <c r="J3884" s="517">
        <v>7.5</v>
      </c>
      <c r="K3884" s="517">
        <f t="shared" si="513"/>
        <v>3.9</v>
      </c>
      <c r="L3884" s="517">
        <v>213</v>
      </c>
      <c r="P3884" s="517">
        <v>1247</v>
      </c>
      <c r="R3884" s="518" t="s">
        <v>1734</v>
      </c>
      <c r="S3884" s="518" t="s">
        <v>1931</v>
      </c>
      <c r="T3884" s="518"/>
      <c r="U3884" s="518" t="s">
        <v>3438</v>
      </c>
      <c r="V3884" s="518" t="s">
        <v>1382</v>
      </c>
      <c r="W3884" s="518" t="s">
        <v>1717</v>
      </c>
      <c r="X3884" s="518" t="s">
        <v>1382</v>
      </c>
      <c r="Y3884" s="518" t="s">
        <v>1382</v>
      </c>
      <c r="AA3884" s="519">
        <v>77.2</v>
      </c>
      <c r="AB3884" s="519">
        <v>11</v>
      </c>
      <c r="AC3884" s="517" t="s">
        <v>175</v>
      </c>
      <c r="AD3884" s="517">
        <v>7.8</v>
      </c>
      <c r="AE3884" s="517">
        <v>2.17</v>
      </c>
      <c r="AG3884" s="517" t="s">
        <v>3436</v>
      </c>
      <c r="AH3884" s="517" t="s">
        <v>2800</v>
      </c>
      <c r="AI3884" s="517" t="s">
        <v>4321</v>
      </c>
      <c r="AJ3884" s="517" t="s">
        <v>1645</v>
      </c>
      <c r="AK3884" s="517" t="s">
        <v>132</v>
      </c>
      <c r="AW3884" s="517" t="s">
        <v>3293</v>
      </c>
      <c r="BK3884" s="517">
        <v>1970</v>
      </c>
      <c r="BL3884" s="517">
        <v>1850</v>
      </c>
      <c r="BP3884" s="520"/>
      <c r="BQ3884" s="520"/>
      <c r="BU3884" s="520"/>
      <c r="BV3884" s="520"/>
      <c r="BZ3884" s="520"/>
      <c r="CA3884" s="520"/>
      <c r="CE3884" s="608"/>
      <c r="CF3884" s="608"/>
      <c r="CG3884" s="608"/>
      <c r="CH3884" s="608"/>
      <c r="JD3884" s="521"/>
    </row>
    <row r="3885" spans="1:264" s="517" customFormat="1" x14ac:dyDescent="0.25">
      <c r="A3885" s="517">
        <v>172</v>
      </c>
      <c r="B3885" s="518" t="s">
        <v>3440</v>
      </c>
      <c r="C3885" s="517" t="s">
        <v>3418</v>
      </c>
      <c r="D3885" s="517" t="s">
        <v>3358</v>
      </c>
      <c r="E3885" s="517">
        <v>2005</v>
      </c>
      <c r="F3885" s="517">
        <v>1995</v>
      </c>
      <c r="G3885" s="517" t="s">
        <v>2738</v>
      </c>
      <c r="H3885" s="517" t="s">
        <v>3435</v>
      </c>
      <c r="I3885" s="517" t="s">
        <v>2823</v>
      </c>
      <c r="J3885" s="517">
        <v>7.5</v>
      </c>
      <c r="K3885" s="517">
        <f t="shared" si="513"/>
        <v>3.9</v>
      </c>
      <c r="L3885" s="517">
        <v>213</v>
      </c>
      <c r="P3885" s="517">
        <v>1247</v>
      </c>
      <c r="R3885" s="518" t="s">
        <v>1734</v>
      </c>
      <c r="S3885" s="518" t="s">
        <v>1931</v>
      </c>
      <c r="T3885" s="518"/>
      <c r="U3885" s="518" t="s">
        <v>3438</v>
      </c>
      <c r="V3885" s="518" t="s">
        <v>1382</v>
      </c>
      <c r="W3885" s="518" t="s">
        <v>1717</v>
      </c>
      <c r="X3885" s="518" t="s">
        <v>1382</v>
      </c>
      <c r="Y3885" s="518" t="s">
        <v>1382</v>
      </c>
      <c r="AA3885" s="519">
        <v>77.2</v>
      </c>
      <c r="AB3885" s="519">
        <v>11</v>
      </c>
      <c r="AC3885" s="517" t="s">
        <v>175</v>
      </c>
      <c r="AD3885" s="517">
        <v>7.8</v>
      </c>
      <c r="AE3885" s="517">
        <v>2.17</v>
      </c>
      <c r="AG3885" s="517" t="s">
        <v>3436</v>
      </c>
      <c r="AH3885" s="517" t="s">
        <v>2800</v>
      </c>
      <c r="AI3885" s="517" t="s">
        <v>4321</v>
      </c>
      <c r="AJ3885" s="517" t="s">
        <v>1645</v>
      </c>
      <c r="AK3885" s="517" t="s">
        <v>132</v>
      </c>
      <c r="AW3885" s="517" t="s">
        <v>3293</v>
      </c>
      <c r="BK3885" s="517">
        <v>1940</v>
      </c>
      <c r="BL3885" s="517">
        <v>2040</v>
      </c>
      <c r="BP3885" s="520"/>
      <c r="BQ3885" s="520"/>
      <c r="BU3885" s="520"/>
      <c r="BV3885" s="520"/>
      <c r="BZ3885" s="520"/>
      <c r="CA3885" s="520"/>
      <c r="CE3885" s="608"/>
      <c r="CF3885" s="608"/>
      <c r="CG3885" s="608"/>
      <c r="CH3885" s="608"/>
      <c r="JD3885" s="521"/>
    </row>
    <row r="3886" spans="1:264" s="24" customFormat="1" x14ac:dyDescent="0.25">
      <c r="A3886" s="24">
        <v>172</v>
      </c>
      <c r="B3886" s="42" t="s">
        <v>3440</v>
      </c>
      <c r="C3886" s="24" t="s">
        <v>3418</v>
      </c>
      <c r="D3886" s="24" t="s">
        <v>3358</v>
      </c>
      <c r="E3886" s="24">
        <v>2005</v>
      </c>
      <c r="F3886" s="24">
        <v>1996</v>
      </c>
      <c r="G3886" s="24" t="s">
        <v>2738</v>
      </c>
      <c r="H3886" s="24" t="s">
        <v>3435</v>
      </c>
      <c r="I3886" s="24" t="s">
        <v>2823</v>
      </c>
      <c r="J3886" s="24">
        <v>7.5</v>
      </c>
      <c r="K3886" s="24">
        <f t="shared" si="513"/>
        <v>3.9</v>
      </c>
      <c r="L3886" s="24">
        <v>213</v>
      </c>
      <c r="P3886" s="24">
        <v>1247</v>
      </c>
      <c r="R3886" s="42" t="s">
        <v>1982</v>
      </c>
      <c r="S3886" s="42" t="s">
        <v>1931</v>
      </c>
      <c r="T3886" s="42"/>
      <c r="U3886" s="42" t="s">
        <v>3438</v>
      </c>
      <c r="V3886" s="42" t="s">
        <v>1382</v>
      </c>
      <c r="W3886" s="42" t="s">
        <v>1717</v>
      </c>
      <c r="X3886" s="42" t="s">
        <v>1382</v>
      </c>
      <c r="Y3886" s="42" t="s">
        <v>1382</v>
      </c>
      <c r="AA3886" s="321">
        <v>77.2</v>
      </c>
      <c r="AB3886" s="321">
        <v>11</v>
      </c>
      <c r="AC3886" s="24" t="s">
        <v>175</v>
      </c>
      <c r="AD3886" s="24">
        <v>7.8</v>
      </c>
      <c r="AE3886" s="24">
        <v>2.17</v>
      </c>
      <c r="AG3886" s="24" t="s">
        <v>3436</v>
      </c>
      <c r="AH3886" s="24" t="s">
        <v>2800</v>
      </c>
      <c r="AI3886" s="24" t="s">
        <v>4321</v>
      </c>
      <c r="AJ3886" s="24" t="s">
        <v>1645</v>
      </c>
      <c r="AK3886" s="24" t="s">
        <v>132</v>
      </c>
      <c r="AW3886" s="24" t="s">
        <v>3293</v>
      </c>
      <c r="BK3886" s="24">
        <v>320</v>
      </c>
      <c r="BL3886" s="24">
        <v>420</v>
      </c>
      <c r="BP3886" s="395"/>
      <c r="BQ3886" s="395"/>
      <c r="BU3886" s="395"/>
      <c r="BV3886" s="395"/>
      <c r="BZ3886" s="395"/>
      <c r="CA3886" s="395"/>
      <c r="CE3886" s="548"/>
      <c r="CF3886" s="548"/>
      <c r="CG3886" s="548"/>
      <c r="CH3886" s="548"/>
      <c r="JD3886" s="249"/>
    </row>
    <row r="3887" spans="1:264" s="24" customFormat="1" x14ac:dyDescent="0.25">
      <c r="A3887" s="24">
        <v>172</v>
      </c>
      <c r="B3887" s="42" t="s">
        <v>3440</v>
      </c>
      <c r="C3887" s="24" t="s">
        <v>3418</v>
      </c>
      <c r="D3887" s="24" t="s">
        <v>3358</v>
      </c>
      <c r="E3887" s="24">
        <v>2005</v>
      </c>
      <c r="F3887" s="24">
        <v>1996</v>
      </c>
      <c r="G3887" s="24" t="s">
        <v>2738</v>
      </c>
      <c r="H3887" s="24" t="s">
        <v>3435</v>
      </c>
      <c r="I3887" s="24" t="s">
        <v>2823</v>
      </c>
      <c r="J3887" s="24">
        <v>7.5</v>
      </c>
      <c r="K3887" s="24">
        <f t="shared" si="513"/>
        <v>3.9</v>
      </c>
      <c r="L3887" s="24">
        <v>213</v>
      </c>
      <c r="P3887" s="24">
        <v>1247</v>
      </c>
      <c r="R3887" s="42" t="s">
        <v>1982</v>
      </c>
      <c r="S3887" s="42" t="s">
        <v>1931</v>
      </c>
      <c r="T3887" s="42"/>
      <c r="U3887" s="42" t="s">
        <v>3438</v>
      </c>
      <c r="V3887" s="42" t="s">
        <v>1382</v>
      </c>
      <c r="W3887" s="42" t="s">
        <v>1717</v>
      </c>
      <c r="X3887" s="42" t="s">
        <v>1382</v>
      </c>
      <c r="Y3887" s="42" t="s">
        <v>1382</v>
      </c>
      <c r="AA3887" s="321">
        <v>77.2</v>
      </c>
      <c r="AB3887" s="321">
        <v>11</v>
      </c>
      <c r="AC3887" s="24" t="s">
        <v>175</v>
      </c>
      <c r="AD3887" s="24">
        <v>7.8</v>
      </c>
      <c r="AE3887" s="24">
        <v>2.17</v>
      </c>
      <c r="AG3887" s="24" t="s">
        <v>3436</v>
      </c>
      <c r="AH3887" s="24" t="s">
        <v>2800</v>
      </c>
      <c r="AI3887" s="24" t="s">
        <v>4321</v>
      </c>
      <c r="AJ3887" s="24" t="s">
        <v>1645</v>
      </c>
      <c r="AK3887" s="24" t="s">
        <v>132</v>
      </c>
      <c r="AW3887" s="24" t="s">
        <v>3293</v>
      </c>
      <c r="BK3887" s="24">
        <v>1440</v>
      </c>
      <c r="BL3887" s="24">
        <v>1600</v>
      </c>
      <c r="BP3887" s="395"/>
      <c r="BQ3887" s="395"/>
      <c r="BU3887" s="395"/>
      <c r="BV3887" s="395"/>
      <c r="BZ3887" s="395"/>
      <c r="CA3887" s="395"/>
      <c r="CE3887" s="548"/>
      <c r="CF3887" s="548"/>
      <c r="CG3887" s="548"/>
      <c r="CH3887" s="548"/>
      <c r="JD3887" s="249"/>
    </row>
    <row r="3888" spans="1:264" s="24" customFormat="1" x14ac:dyDescent="0.25">
      <c r="A3888" s="24">
        <v>172</v>
      </c>
      <c r="B3888" s="42" t="s">
        <v>3440</v>
      </c>
      <c r="C3888" s="24" t="s">
        <v>3418</v>
      </c>
      <c r="D3888" s="24" t="s">
        <v>3358</v>
      </c>
      <c r="E3888" s="24">
        <v>2005</v>
      </c>
      <c r="F3888" s="24">
        <v>1996</v>
      </c>
      <c r="G3888" s="24" t="s">
        <v>2738</v>
      </c>
      <c r="H3888" s="24" t="s">
        <v>3435</v>
      </c>
      <c r="I3888" s="24" t="s">
        <v>2823</v>
      </c>
      <c r="J3888" s="24">
        <v>7.5</v>
      </c>
      <c r="K3888" s="24">
        <f t="shared" si="513"/>
        <v>3.9</v>
      </c>
      <c r="L3888" s="24">
        <v>213</v>
      </c>
      <c r="P3888" s="24">
        <v>1247</v>
      </c>
      <c r="R3888" s="42" t="s">
        <v>1982</v>
      </c>
      <c r="S3888" s="42" t="s">
        <v>1931</v>
      </c>
      <c r="T3888" s="42"/>
      <c r="U3888" s="42" t="s">
        <v>3438</v>
      </c>
      <c r="V3888" s="42" t="s">
        <v>1382</v>
      </c>
      <c r="W3888" s="42" t="s">
        <v>1717</v>
      </c>
      <c r="X3888" s="42" t="s">
        <v>1382</v>
      </c>
      <c r="Y3888" s="42" t="s">
        <v>1382</v>
      </c>
      <c r="AA3888" s="321">
        <v>77.2</v>
      </c>
      <c r="AB3888" s="321">
        <v>11</v>
      </c>
      <c r="AC3888" s="24" t="s">
        <v>175</v>
      </c>
      <c r="AD3888" s="24">
        <v>7.8</v>
      </c>
      <c r="AE3888" s="24">
        <v>2.17</v>
      </c>
      <c r="AG3888" s="24" t="s">
        <v>3436</v>
      </c>
      <c r="AH3888" s="24" t="s">
        <v>2800</v>
      </c>
      <c r="AI3888" s="24" t="s">
        <v>4321</v>
      </c>
      <c r="AJ3888" s="24" t="s">
        <v>1645</v>
      </c>
      <c r="AK3888" s="24" t="s">
        <v>132</v>
      </c>
      <c r="AW3888" s="24" t="s">
        <v>3293</v>
      </c>
      <c r="BK3888" s="24">
        <v>2640</v>
      </c>
      <c r="BL3888" s="24">
        <v>2110</v>
      </c>
      <c r="BP3888" s="395"/>
      <c r="BQ3888" s="395"/>
      <c r="BU3888" s="395"/>
      <c r="BV3888" s="395"/>
      <c r="BZ3888" s="395"/>
      <c r="CA3888" s="395"/>
      <c r="CE3888" s="548"/>
      <c r="CF3888" s="548"/>
      <c r="CG3888" s="548"/>
      <c r="CH3888" s="548"/>
      <c r="JD3888" s="249"/>
    </row>
    <row r="3889" spans="1:264" s="24" customFormat="1" x14ac:dyDescent="0.25">
      <c r="A3889" s="24">
        <v>172</v>
      </c>
      <c r="B3889" s="42" t="s">
        <v>3440</v>
      </c>
      <c r="C3889" s="24" t="s">
        <v>3418</v>
      </c>
      <c r="D3889" s="24" t="s">
        <v>3358</v>
      </c>
      <c r="E3889" s="24">
        <v>2005</v>
      </c>
      <c r="F3889" s="24">
        <v>1996</v>
      </c>
      <c r="G3889" s="24" t="s">
        <v>2738</v>
      </c>
      <c r="H3889" s="24" t="s">
        <v>3435</v>
      </c>
      <c r="I3889" s="24" t="s">
        <v>2823</v>
      </c>
      <c r="J3889" s="24">
        <v>7.5</v>
      </c>
      <c r="K3889" s="24">
        <f t="shared" si="513"/>
        <v>3.9</v>
      </c>
      <c r="L3889" s="24">
        <v>213</v>
      </c>
      <c r="P3889" s="24">
        <v>1247</v>
      </c>
      <c r="R3889" s="42" t="s">
        <v>1982</v>
      </c>
      <c r="S3889" s="42" t="s">
        <v>1931</v>
      </c>
      <c r="T3889" s="42"/>
      <c r="U3889" s="42" t="s">
        <v>3438</v>
      </c>
      <c r="V3889" s="42" t="s">
        <v>1382</v>
      </c>
      <c r="W3889" s="42" t="s">
        <v>1717</v>
      </c>
      <c r="X3889" s="42" t="s">
        <v>1382</v>
      </c>
      <c r="Y3889" s="42" t="s">
        <v>1382</v>
      </c>
      <c r="AA3889" s="321">
        <v>77.2</v>
      </c>
      <c r="AB3889" s="321">
        <v>11</v>
      </c>
      <c r="AC3889" s="24" t="s">
        <v>175</v>
      </c>
      <c r="AD3889" s="24">
        <v>7.8</v>
      </c>
      <c r="AE3889" s="24">
        <v>2.17</v>
      </c>
      <c r="AG3889" s="24" t="s">
        <v>3436</v>
      </c>
      <c r="AH3889" s="24" t="s">
        <v>2800</v>
      </c>
      <c r="AI3889" s="24" t="s">
        <v>4321</v>
      </c>
      <c r="AJ3889" s="24" t="s">
        <v>1645</v>
      </c>
      <c r="AK3889" s="24" t="s">
        <v>132</v>
      </c>
      <c r="AW3889" s="24" t="s">
        <v>3293</v>
      </c>
      <c r="BK3889" s="24">
        <v>2650</v>
      </c>
      <c r="BL3889" s="24">
        <v>2370</v>
      </c>
      <c r="BP3889" s="395"/>
      <c r="BQ3889" s="395"/>
      <c r="BU3889" s="395"/>
      <c r="BV3889" s="395"/>
      <c r="BZ3889" s="395"/>
      <c r="CA3889" s="395"/>
      <c r="CE3889" s="548"/>
      <c r="CF3889" s="548"/>
      <c r="CG3889" s="548"/>
      <c r="CH3889" s="548"/>
      <c r="JD3889" s="249"/>
    </row>
    <row r="3890" spans="1:264" s="517" customFormat="1" x14ac:dyDescent="0.25">
      <c r="A3890" s="517">
        <v>172</v>
      </c>
      <c r="B3890" s="518" t="s">
        <v>3440</v>
      </c>
      <c r="C3890" s="517" t="s">
        <v>3418</v>
      </c>
      <c r="D3890" s="517" t="s">
        <v>3358</v>
      </c>
      <c r="E3890" s="517">
        <v>2005</v>
      </c>
      <c r="F3890" s="517">
        <v>1997</v>
      </c>
      <c r="G3890" s="517" t="s">
        <v>2738</v>
      </c>
      <c r="H3890" s="517" t="s">
        <v>3435</v>
      </c>
      <c r="I3890" s="517" t="s">
        <v>2823</v>
      </c>
      <c r="J3890" s="517">
        <v>7.5</v>
      </c>
      <c r="K3890" s="517">
        <f t="shared" si="513"/>
        <v>3.9</v>
      </c>
      <c r="L3890" s="517">
        <v>213</v>
      </c>
      <c r="P3890" s="517">
        <v>1247</v>
      </c>
      <c r="R3890" s="518" t="s">
        <v>1975</v>
      </c>
      <c r="S3890" s="518" t="s">
        <v>1931</v>
      </c>
      <c r="T3890" s="518"/>
      <c r="U3890" s="518" t="s">
        <v>3438</v>
      </c>
      <c r="V3890" s="518" t="s">
        <v>1382</v>
      </c>
      <c r="W3890" s="518" t="s">
        <v>1717</v>
      </c>
      <c r="X3890" s="518" t="s">
        <v>1382</v>
      </c>
      <c r="Y3890" s="518" t="s">
        <v>1382</v>
      </c>
      <c r="AA3890" s="519">
        <v>77.2</v>
      </c>
      <c r="AB3890" s="519">
        <v>11</v>
      </c>
      <c r="AC3890" s="517" t="s">
        <v>175</v>
      </c>
      <c r="AD3890" s="517">
        <v>7.8</v>
      </c>
      <c r="AE3890" s="517">
        <v>2.17</v>
      </c>
      <c r="AG3890" s="517" t="s">
        <v>3436</v>
      </c>
      <c r="AH3890" s="517" t="s">
        <v>2800</v>
      </c>
      <c r="AI3890" s="517" t="s">
        <v>4321</v>
      </c>
      <c r="AJ3890" s="517" t="s">
        <v>1645</v>
      </c>
      <c r="AK3890" s="517" t="s">
        <v>132</v>
      </c>
      <c r="AW3890" s="517" t="s">
        <v>3293</v>
      </c>
      <c r="BF3890" s="517">
        <v>470</v>
      </c>
      <c r="BG3890" s="517">
        <v>580</v>
      </c>
      <c r="BK3890" s="517">
        <v>310</v>
      </c>
      <c r="BL3890" s="517">
        <v>370</v>
      </c>
      <c r="BP3890" s="520"/>
      <c r="BQ3890" s="520"/>
      <c r="BU3890" s="520"/>
      <c r="BV3890" s="520"/>
      <c r="BZ3890" s="520"/>
      <c r="CA3890" s="520"/>
      <c r="CE3890" s="608"/>
      <c r="CF3890" s="608"/>
      <c r="CG3890" s="608"/>
      <c r="CH3890" s="608"/>
      <c r="JD3890" s="521"/>
    </row>
    <row r="3891" spans="1:264" s="517" customFormat="1" x14ac:dyDescent="0.25">
      <c r="A3891" s="517">
        <v>172</v>
      </c>
      <c r="B3891" s="518" t="s">
        <v>3440</v>
      </c>
      <c r="C3891" s="517" t="s">
        <v>3418</v>
      </c>
      <c r="D3891" s="517" t="s">
        <v>3358</v>
      </c>
      <c r="E3891" s="517">
        <v>2005</v>
      </c>
      <c r="F3891" s="517">
        <v>1997</v>
      </c>
      <c r="G3891" s="517" t="s">
        <v>2738</v>
      </c>
      <c r="H3891" s="517" t="s">
        <v>3435</v>
      </c>
      <c r="I3891" s="517" t="s">
        <v>2823</v>
      </c>
      <c r="J3891" s="517">
        <v>7.5</v>
      </c>
      <c r="K3891" s="517">
        <f t="shared" si="513"/>
        <v>3.9</v>
      </c>
      <c r="L3891" s="517">
        <v>213</v>
      </c>
      <c r="P3891" s="517">
        <v>1247</v>
      </c>
      <c r="R3891" s="518" t="s">
        <v>1975</v>
      </c>
      <c r="S3891" s="518" t="s">
        <v>1931</v>
      </c>
      <c r="T3891" s="518"/>
      <c r="U3891" s="518" t="s">
        <v>3438</v>
      </c>
      <c r="V3891" s="518" t="s">
        <v>1382</v>
      </c>
      <c r="W3891" s="518" t="s">
        <v>1717</v>
      </c>
      <c r="X3891" s="518" t="s">
        <v>1382</v>
      </c>
      <c r="Y3891" s="518" t="s">
        <v>1382</v>
      </c>
      <c r="AA3891" s="519">
        <v>77.2</v>
      </c>
      <c r="AB3891" s="519">
        <v>11</v>
      </c>
      <c r="AC3891" s="517" t="s">
        <v>175</v>
      </c>
      <c r="AD3891" s="517">
        <v>7.8</v>
      </c>
      <c r="AE3891" s="517">
        <v>2.17</v>
      </c>
      <c r="AG3891" s="517" t="s">
        <v>3436</v>
      </c>
      <c r="AH3891" s="517" t="s">
        <v>2800</v>
      </c>
      <c r="AI3891" s="517" t="s">
        <v>4321</v>
      </c>
      <c r="AJ3891" s="517" t="s">
        <v>1645</v>
      </c>
      <c r="AK3891" s="517" t="s">
        <v>132</v>
      </c>
      <c r="AW3891" s="517" t="s">
        <v>3293</v>
      </c>
      <c r="BF3891" s="517">
        <v>1180</v>
      </c>
      <c r="BG3891" s="517">
        <v>590</v>
      </c>
      <c r="BK3891" s="517">
        <v>780</v>
      </c>
      <c r="BL3891" s="517">
        <v>740</v>
      </c>
      <c r="BP3891" s="520"/>
      <c r="BQ3891" s="520"/>
      <c r="BU3891" s="520"/>
      <c r="BV3891" s="520"/>
      <c r="BZ3891" s="520"/>
      <c r="CA3891" s="520"/>
      <c r="CE3891" s="608"/>
      <c r="CF3891" s="608"/>
      <c r="CG3891" s="608"/>
      <c r="CH3891" s="608"/>
      <c r="JD3891" s="521"/>
    </row>
    <row r="3892" spans="1:264" s="517" customFormat="1" x14ac:dyDescent="0.25">
      <c r="A3892" s="517">
        <v>172</v>
      </c>
      <c r="B3892" s="518" t="s">
        <v>3440</v>
      </c>
      <c r="C3892" s="517" t="s">
        <v>3418</v>
      </c>
      <c r="D3892" s="517" t="s">
        <v>3358</v>
      </c>
      <c r="E3892" s="517">
        <v>2005</v>
      </c>
      <c r="F3892" s="517">
        <v>1997</v>
      </c>
      <c r="G3892" s="517" t="s">
        <v>2738</v>
      </c>
      <c r="H3892" s="517" t="s">
        <v>3435</v>
      </c>
      <c r="I3892" s="517" t="s">
        <v>2823</v>
      </c>
      <c r="J3892" s="517">
        <v>7.5</v>
      </c>
      <c r="K3892" s="517">
        <f t="shared" si="513"/>
        <v>3.9</v>
      </c>
      <c r="L3892" s="517">
        <v>213</v>
      </c>
      <c r="P3892" s="517">
        <v>1247</v>
      </c>
      <c r="R3892" s="518" t="s">
        <v>1975</v>
      </c>
      <c r="S3892" s="518" t="s">
        <v>1931</v>
      </c>
      <c r="T3892" s="518"/>
      <c r="U3892" s="518" t="s">
        <v>3438</v>
      </c>
      <c r="V3892" s="518" t="s">
        <v>1382</v>
      </c>
      <c r="W3892" s="518" t="s">
        <v>1717</v>
      </c>
      <c r="X3892" s="518" t="s">
        <v>1382</v>
      </c>
      <c r="Y3892" s="518" t="s">
        <v>1382</v>
      </c>
      <c r="AA3892" s="519">
        <v>77.2</v>
      </c>
      <c r="AB3892" s="519">
        <v>11</v>
      </c>
      <c r="AC3892" s="517" t="s">
        <v>175</v>
      </c>
      <c r="AD3892" s="517">
        <v>7.8</v>
      </c>
      <c r="AE3892" s="517">
        <v>2.17</v>
      </c>
      <c r="AG3892" s="517" t="s">
        <v>3436</v>
      </c>
      <c r="AH3892" s="517" t="s">
        <v>2800</v>
      </c>
      <c r="AI3892" s="517" t="s">
        <v>4321</v>
      </c>
      <c r="AJ3892" s="517" t="s">
        <v>1645</v>
      </c>
      <c r="AK3892" s="517" t="s">
        <v>132</v>
      </c>
      <c r="AW3892" s="517" t="s">
        <v>3293</v>
      </c>
      <c r="BF3892" s="517">
        <v>2210</v>
      </c>
      <c r="BG3892" s="517">
        <v>1800</v>
      </c>
      <c r="BK3892" s="517">
        <v>1610</v>
      </c>
      <c r="BL3892" s="517">
        <v>1440</v>
      </c>
      <c r="BP3892" s="520"/>
      <c r="BQ3892" s="520"/>
      <c r="BU3892" s="520"/>
      <c r="BV3892" s="520"/>
      <c r="BZ3892" s="520"/>
      <c r="CA3892" s="520"/>
      <c r="CE3892" s="608"/>
      <c r="CF3892" s="608"/>
      <c r="CG3892" s="608"/>
      <c r="CH3892" s="608"/>
      <c r="JD3892" s="521"/>
    </row>
    <row r="3893" spans="1:264" s="517" customFormat="1" x14ac:dyDescent="0.25">
      <c r="A3893" s="517">
        <v>172</v>
      </c>
      <c r="B3893" s="518" t="s">
        <v>3440</v>
      </c>
      <c r="C3893" s="517" t="s">
        <v>3418</v>
      </c>
      <c r="D3893" s="517" t="s">
        <v>3358</v>
      </c>
      <c r="E3893" s="517">
        <v>2005</v>
      </c>
      <c r="F3893" s="517">
        <v>1997</v>
      </c>
      <c r="G3893" s="517" t="s">
        <v>2738</v>
      </c>
      <c r="H3893" s="517" t="s">
        <v>3435</v>
      </c>
      <c r="I3893" s="517" t="s">
        <v>2823</v>
      </c>
      <c r="J3893" s="517">
        <v>7.5</v>
      </c>
      <c r="K3893" s="517">
        <f t="shared" si="513"/>
        <v>3.9</v>
      </c>
      <c r="L3893" s="517">
        <v>213</v>
      </c>
      <c r="P3893" s="517">
        <v>1247</v>
      </c>
      <c r="R3893" s="518" t="s">
        <v>1975</v>
      </c>
      <c r="S3893" s="518" t="s">
        <v>1931</v>
      </c>
      <c r="T3893" s="518"/>
      <c r="U3893" s="518" t="s">
        <v>3438</v>
      </c>
      <c r="V3893" s="518" t="s">
        <v>1382</v>
      </c>
      <c r="W3893" s="518" t="s">
        <v>1717</v>
      </c>
      <c r="X3893" s="518" t="s">
        <v>1382</v>
      </c>
      <c r="Y3893" s="518" t="s">
        <v>1382</v>
      </c>
      <c r="AA3893" s="519">
        <v>77.2</v>
      </c>
      <c r="AB3893" s="519">
        <v>11</v>
      </c>
      <c r="AC3893" s="517" t="s">
        <v>175</v>
      </c>
      <c r="AD3893" s="517">
        <v>7.8</v>
      </c>
      <c r="AE3893" s="517">
        <v>2.17</v>
      </c>
      <c r="AG3893" s="517" t="s">
        <v>3436</v>
      </c>
      <c r="AH3893" s="517" t="s">
        <v>2800</v>
      </c>
      <c r="AI3893" s="517" t="s">
        <v>4321</v>
      </c>
      <c r="AJ3893" s="517" t="s">
        <v>1645</v>
      </c>
      <c r="AK3893" s="517" t="s">
        <v>132</v>
      </c>
      <c r="AW3893" s="517" t="s">
        <v>3293</v>
      </c>
      <c r="BF3893" s="517">
        <v>2280</v>
      </c>
      <c r="BG3893" s="517">
        <v>1860</v>
      </c>
      <c r="BK3893" s="517">
        <v>1660</v>
      </c>
      <c r="BL3893" s="517">
        <v>1410</v>
      </c>
      <c r="BP3893" s="520"/>
      <c r="BQ3893" s="520"/>
      <c r="BU3893" s="520"/>
      <c r="BV3893" s="520"/>
      <c r="BZ3893" s="520"/>
      <c r="CA3893" s="520"/>
      <c r="CE3893" s="608"/>
      <c r="CF3893" s="608"/>
      <c r="CG3893" s="608"/>
      <c r="CH3893" s="608"/>
      <c r="JD3893" s="521"/>
    </row>
    <row r="3894" spans="1:264" s="24" customFormat="1" x14ac:dyDescent="0.25">
      <c r="A3894" s="24">
        <v>172</v>
      </c>
      <c r="B3894" s="42" t="s">
        <v>3440</v>
      </c>
      <c r="C3894" s="24" t="s">
        <v>3418</v>
      </c>
      <c r="D3894" s="24" t="s">
        <v>3358</v>
      </c>
      <c r="E3894" s="24">
        <v>2005</v>
      </c>
      <c r="F3894" s="24">
        <v>1998</v>
      </c>
      <c r="G3894" s="24" t="s">
        <v>2738</v>
      </c>
      <c r="H3894" s="24" t="s">
        <v>3435</v>
      </c>
      <c r="I3894" s="24" t="s">
        <v>2823</v>
      </c>
      <c r="J3894" s="24">
        <v>7.5</v>
      </c>
      <c r="K3894" s="24">
        <f t="shared" si="513"/>
        <v>3.9</v>
      </c>
      <c r="L3894" s="24">
        <v>213</v>
      </c>
      <c r="P3894" s="24">
        <v>1247</v>
      </c>
      <c r="R3894" s="42" t="s">
        <v>1719</v>
      </c>
      <c r="S3894" s="42" t="s">
        <v>1931</v>
      </c>
      <c r="T3894" s="42"/>
      <c r="U3894" s="42" t="s">
        <v>3438</v>
      </c>
      <c r="V3894" s="42" t="s">
        <v>1382</v>
      </c>
      <c r="W3894" s="42" t="s">
        <v>1717</v>
      </c>
      <c r="X3894" s="42" t="s">
        <v>1382</v>
      </c>
      <c r="Y3894" s="42" t="s">
        <v>1382</v>
      </c>
      <c r="AA3894" s="321">
        <v>77.2</v>
      </c>
      <c r="AB3894" s="321">
        <v>11</v>
      </c>
      <c r="AC3894" s="24" t="s">
        <v>175</v>
      </c>
      <c r="AD3894" s="24">
        <v>7.8</v>
      </c>
      <c r="AE3894" s="24">
        <v>2.17</v>
      </c>
      <c r="AG3894" s="24" t="s">
        <v>3436</v>
      </c>
      <c r="AH3894" s="24" t="s">
        <v>2800</v>
      </c>
      <c r="AI3894" s="24" t="s">
        <v>4321</v>
      </c>
      <c r="AJ3894" s="24" t="s">
        <v>1645</v>
      </c>
      <c r="AK3894" s="24" t="s">
        <v>132</v>
      </c>
      <c r="AW3894" s="24" t="s">
        <v>3293</v>
      </c>
      <c r="BF3894" s="24">
        <v>1340</v>
      </c>
      <c r="BG3894" s="24">
        <v>930</v>
      </c>
      <c r="BK3894" s="24">
        <v>570</v>
      </c>
      <c r="BL3894" s="24">
        <v>560</v>
      </c>
      <c r="BP3894" s="395"/>
      <c r="BQ3894" s="395"/>
      <c r="BU3894" s="395"/>
      <c r="BV3894" s="395"/>
      <c r="BZ3894" s="395"/>
      <c r="CA3894" s="395"/>
      <c r="CE3894" s="548"/>
      <c r="CF3894" s="548"/>
      <c r="CG3894" s="548"/>
      <c r="CH3894" s="548"/>
      <c r="JD3894" s="249"/>
    </row>
    <row r="3895" spans="1:264" s="24" customFormat="1" x14ac:dyDescent="0.25">
      <c r="A3895" s="24">
        <v>172</v>
      </c>
      <c r="B3895" s="42" t="s">
        <v>3440</v>
      </c>
      <c r="C3895" s="24" t="s">
        <v>3418</v>
      </c>
      <c r="D3895" s="24" t="s">
        <v>3358</v>
      </c>
      <c r="E3895" s="24">
        <v>2005</v>
      </c>
      <c r="F3895" s="24">
        <v>1998</v>
      </c>
      <c r="G3895" s="24" t="s">
        <v>2738</v>
      </c>
      <c r="H3895" s="24" t="s">
        <v>3435</v>
      </c>
      <c r="I3895" s="24" t="s">
        <v>2823</v>
      </c>
      <c r="J3895" s="24">
        <v>7.5</v>
      </c>
      <c r="K3895" s="24">
        <f t="shared" si="513"/>
        <v>3.9</v>
      </c>
      <c r="L3895" s="24">
        <v>213</v>
      </c>
      <c r="P3895" s="24">
        <v>1247</v>
      </c>
      <c r="R3895" s="42" t="s">
        <v>1719</v>
      </c>
      <c r="S3895" s="42" t="s">
        <v>1931</v>
      </c>
      <c r="T3895" s="42"/>
      <c r="U3895" s="42" t="s">
        <v>3438</v>
      </c>
      <c r="V3895" s="42" t="s">
        <v>1382</v>
      </c>
      <c r="W3895" s="42" t="s">
        <v>1717</v>
      </c>
      <c r="X3895" s="42" t="s">
        <v>1382</v>
      </c>
      <c r="Y3895" s="42" t="s">
        <v>1382</v>
      </c>
      <c r="AA3895" s="321">
        <v>77.2</v>
      </c>
      <c r="AB3895" s="321">
        <v>11</v>
      </c>
      <c r="AC3895" s="24" t="s">
        <v>175</v>
      </c>
      <c r="AD3895" s="24">
        <v>7.8</v>
      </c>
      <c r="AE3895" s="24">
        <v>2.17</v>
      </c>
      <c r="AG3895" s="24" t="s">
        <v>3436</v>
      </c>
      <c r="AH3895" s="24" t="s">
        <v>2800</v>
      </c>
      <c r="AI3895" s="24" t="s">
        <v>4321</v>
      </c>
      <c r="AJ3895" s="24" t="s">
        <v>1645</v>
      </c>
      <c r="AK3895" s="24" t="s">
        <v>132</v>
      </c>
      <c r="AW3895" s="24" t="s">
        <v>3293</v>
      </c>
      <c r="BF3895" s="24">
        <v>2260</v>
      </c>
      <c r="BG3895" s="24">
        <v>860</v>
      </c>
      <c r="BK3895" s="24">
        <v>2090</v>
      </c>
      <c r="BL3895" s="24">
        <v>1610</v>
      </c>
      <c r="BP3895" s="395"/>
      <c r="BQ3895" s="395"/>
      <c r="BU3895" s="395"/>
      <c r="BV3895" s="395"/>
      <c r="BZ3895" s="395"/>
      <c r="CA3895" s="395"/>
      <c r="CE3895" s="548"/>
      <c r="CF3895" s="548"/>
      <c r="CG3895" s="548"/>
      <c r="CH3895" s="548"/>
      <c r="JD3895" s="249"/>
    </row>
    <row r="3896" spans="1:264" s="24" customFormat="1" x14ac:dyDescent="0.25">
      <c r="A3896" s="24">
        <v>172</v>
      </c>
      <c r="B3896" s="42" t="s">
        <v>3440</v>
      </c>
      <c r="C3896" s="24" t="s">
        <v>3418</v>
      </c>
      <c r="D3896" s="24" t="s">
        <v>3358</v>
      </c>
      <c r="E3896" s="24">
        <v>2005</v>
      </c>
      <c r="F3896" s="24">
        <v>1998</v>
      </c>
      <c r="G3896" s="24" t="s">
        <v>2738</v>
      </c>
      <c r="H3896" s="24" t="s">
        <v>3435</v>
      </c>
      <c r="I3896" s="24" t="s">
        <v>2823</v>
      </c>
      <c r="J3896" s="24">
        <v>7.5</v>
      </c>
      <c r="K3896" s="24">
        <f t="shared" si="513"/>
        <v>3.9</v>
      </c>
      <c r="L3896" s="24">
        <v>213</v>
      </c>
      <c r="P3896" s="24">
        <v>1247</v>
      </c>
      <c r="R3896" s="42" t="s">
        <v>1719</v>
      </c>
      <c r="S3896" s="42" t="s">
        <v>1931</v>
      </c>
      <c r="T3896" s="42"/>
      <c r="U3896" s="42" t="s">
        <v>3438</v>
      </c>
      <c r="V3896" s="42" t="s">
        <v>1382</v>
      </c>
      <c r="W3896" s="42" t="s">
        <v>1717</v>
      </c>
      <c r="X3896" s="42" t="s">
        <v>1382</v>
      </c>
      <c r="Y3896" s="42" t="s">
        <v>1382</v>
      </c>
      <c r="AA3896" s="321">
        <v>77.2</v>
      </c>
      <c r="AB3896" s="321">
        <v>11</v>
      </c>
      <c r="AC3896" s="24" t="s">
        <v>175</v>
      </c>
      <c r="AD3896" s="24">
        <v>7.8</v>
      </c>
      <c r="AE3896" s="24">
        <v>2.17</v>
      </c>
      <c r="AG3896" s="24" t="s">
        <v>3436</v>
      </c>
      <c r="AH3896" s="24" t="s">
        <v>2800</v>
      </c>
      <c r="AI3896" s="24" t="s">
        <v>4321</v>
      </c>
      <c r="AJ3896" s="24" t="s">
        <v>1645</v>
      </c>
      <c r="AK3896" s="24" t="s">
        <v>132</v>
      </c>
      <c r="AW3896" s="24" t="s">
        <v>3293</v>
      </c>
      <c r="BF3896" s="24">
        <v>2180</v>
      </c>
      <c r="BG3896" s="24">
        <v>1420</v>
      </c>
      <c r="BK3896" s="24">
        <v>1760</v>
      </c>
      <c r="BL3896" s="24">
        <v>1620</v>
      </c>
      <c r="BP3896" s="395"/>
      <c r="BQ3896" s="395"/>
      <c r="BU3896" s="395"/>
      <c r="BV3896" s="395"/>
      <c r="BZ3896" s="395"/>
      <c r="CA3896" s="395"/>
      <c r="CE3896" s="548"/>
      <c r="CF3896" s="548"/>
      <c r="CG3896" s="548"/>
      <c r="CH3896" s="548"/>
      <c r="JD3896" s="249"/>
    </row>
    <row r="3897" spans="1:264" s="24" customFormat="1" x14ac:dyDescent="0.25">
      <c r="A3897" s="24">
        <v>172</v>
      </c>
      <c r="B3897" s="42" t="s">
        <v>3440</v>
      </c>
      <c r="C3897" s="24" t="s">
        <v>3418</v>
      </c>
      <c r="D3897" s="24" t="s">
        <v>3358</v>
      </c>
      <c r="E3897" s="24">
        <v>2005</v>
      </c>
      <c r="F3897" s="24">
        <v>1998</v>
      </c>
      <c r="G3897" s="24" t="s">
        <v>2738</v>
      </c>
      <c r="H3897" s="24" t="s">
        <v>3435</v>
      </c>
      <c r="I3897" s="24" t="s">
        <v>2823</v>
      </c>
      <c r="J3897" s="24">
        <v>7.5</v>
      </c>
      <c r="K3897" s="24">
        <f t="shared" si="513"/>
        <v>3.9</v>
      </c>
      <c r="L3897" s="24">
        <v>213</v>
      </c>
      <c r="P3897" s="24">
        <v>1247</v>
      </c>
      <c r="R3897" s="42" t="s">
        <v>1719</v>
      </c>
      <c r="S3897" s="42" t="s">
        <v>1931</v>
      </c>
      <c r="T3897" s="42"/>
      <c r="U3897" s="42" t="s">
        <v>3438</v>
      </c>
      <c r="V3897" s="42" t="s">
        <v>1382</v>
      </c>
      <c r="W3897" s="42" t="s">
        <v>1717</v>
      </c>
      <c r="X3897" s="42" t="s">
        <v>1382</v>
      </c>
      <c r="Y3897" s="42" t="s">
        <v>1382</v>
      </c>
      <c r="AA3897" s="321">
        <v>77.2</v>
      </c>
      <c r="AB3897" s="321">
        <v>11</v>
      </c>
      <c r="AC3897" s="24" t="s">
        <v>175</v>
      </c>
      <c r="AD3897" s="24">
        <v>7.8</v>
      </c>
      <c r="AE3897" s="24">
        <v>2.17</v>
      </c>
      <c r="AG3897" s="24" t="s">
        <v>3436</v>
      </c>
      <c r="AH3897" s="24" t="s">
        <v>2800</v>
      </c>
      <c r="AI3897" s="24" t="s">
        <v>4321</v>
      </c>
      <c r="AJ3897" s="24" t="s">
        <v>1645</v>
      </c>
      <c r="AK3897" s="24" t="s">
        <v>132</v>
      </c>
      <c r="AW3897" s="24" t="s">
        <v>3293</v>
      </c>
      <c r="BF3897" s="24">
        <v>2600</v>
      </c>
      <c r="BG3897" s="24">
        <v>1570</v>
      </c>
      <c r="BK3897" s="24">
        <v>2280</v>
      </c>
      <c r="BL3897" s="24">
        <v>2050</v>
      </c>
      <c r="BP3897" s="395"/>
      <c r="BQ3897" s="395"/>
      <c r="BU3897" s="395"/>
      <c r="BV3897" s="395"/>
      <c r="BZ3897" s="395"/>
      <c r="CA3897" s="395"/>
      <c r="CE3897" s="548"/>
      <c r="CF3897" s="548"/>
      <c r="CG3897" s="548"/>
      <c r="CH3897" s="548"/>
      <c r="JD3897" s="249"/>
    </row>
    <row r="3898" spans="1:264" s="517" customFormat="1" x14ac:dyDescent="0.25">
      <c r="A3898" s="517">
        <v>172</v>
      </c>
      <c r="B3898" s="518" t="s">
        <v>3440</v>
      </c>
      <c r="C3898" s="517" t="s">
        <v>3418</v>
      </c>
      <c r="D3898" s="517" t="s">
        <v>3358</v>
      </c>
      <c r="E3898" s="517">
        <v>2005</v>
      </c>
      <c r="F3898" s="517">
        <v>1999</v>
      </c>
      <c r="G3898" s="517" t="s">
        <v>2738</v>
      </c>
      <c r="H3898" s="517" t="s">
        <v>3435</v>
      </c>
      <c r="I3898" s="517" t="s">
        <v>2823</v>
      </c>
      <c r="J3898" s="517">
        <v>7.5</v>
      </c>
      <c r="K3898" s="517">
        <f t="shared" si="513"/>
        <v>3.9</v>
      </c>
      <c r="L3898" s="517">
        <v>213</v>
      </c>
      <c r="P3898" s="517">
        <v>1247</v>
      </c>
      <c r="R3898" s="518" t="s">
        <v>1860</v>
      </c>
      <c r="S3898" s="518" t="s">
        <v>1931</v>
      </c>
      <c r="T3898" s="518"/>
      <c r="U3898" s="518" t="s">
        <v>3438</v>
      </c>
      <c r="V3898" s="518" t="s">
        <v>1382</v>
      </c>
      <c r="W3898" s="518" t="s">
        <v>1717</v>
      </c>
      <c r="X3898" s="518" t="s">
        <v>1382</v>
      </c>
      <c r="Y3898" s="518" t="s">
        <v>1382</v>
      </c>
      <c r="AA3898" s="519">
        <v>77.2</v>
      </c>
      <c r="AB3898" s="519">
        <v>11</v>
      </c>
      <c r="AC3898" s="517" t="s">
        <v>175</v>
      </c>
      <c r="AD3898" s="517">
        <v>7.8</v>
      </c>
      <c r="AE3898" s="517">
        <v>2.17</v>
      </c>
      <c r="AG3898" s="517" t="s">
        <v>3436</v>
      </c>
      <c r="AH3898" s="517" t="s">
        <v>2800</v>
      </c>
      <c r="AI3898" s="517" t="s">
        <v>4321</v>
      </c>
      <c r="AJ3898" s="517" t="s">
        <v>1645</v>
      </c>
      <c r="AK3898" s="517" t="s">
        <v>132</v>
      </c>
      <c r="AW3898" s="517" t="s">
        <v>3293</v>
      </c>
      <c r="BK3898" s="517">
        <v>260</v>
      </c>
      <c r="BL3898" s="517">
        <v>560</v>
      </c>
      <c r="BP3898" s="520"/>
      <c r="BQ3898" s="520"/>
      <c r="BU3898" s="520"/>
      <c r="BV3898" s="520"/>
      <c r="BZ3898" s="520"/>
      <c r="CA3898" s="520"/>
      <c r="CE3898" s="608"/>
      <c r="CF3898" s="608"/>
      <c r="CG3898" s="608"/>
      <c r="CH3898" s="608"/>
      <c r="JD3898" s="521"/>
    </row>
    <row r="3899" spans="1:264" s="517" customFormat="1" x14ac:dyDescent="0.25">
      <c r="A3899" s="517">
        <v>172</v>
      </c>
      <c r="B3899" s="518" t="s">
        <v>3440</v>
      </c>
      <c r="C3899" s="517" t="s">
        <v>3418</v>
      </c>
      <c r="D3899" s="517" t="s">
        <v>3358</v>
      </c>
      <c r="E3899" s="517">
        <v>2005</v>
      </c>
      <c r="F3899" s="517">
        <v>1999</v>
      </c>
      <c r="G3899" s="517" t="s">
        <v>2738</v>
      </c>
      <c r="H3899" s="517" t="s">
        <v>3435</v>
      </c>
      <c r="I3899" s="517" t="s">
        <v>2823</v>
      </c>
      <c r="J3899" s="517">
        <v>7.5</v>
      </c>
      <c r="K3899" s="517">
        <f t="shared" si="513"/>
        <v>3.9</v>
      </c>
      <c r="L3899" s="517">
        <v>213</v>
      </c>
      <c r="P3899" s="517">
        <v>1247</v>
      </c>
      <c r="R3899" s="518" t="s">
        <v>1860</v>
      </c>
      <c r="S3899" s="518" t="s">
        <v>1931</v>
      </c>
      <c r="T3899" s="518"/>
      <c r="U3899" s="518" t="s">
        <v>3438</v>
      </c>
      <c r="V3899" s="518" t="s">
        <v>1382</v>
      </c>
      <c r="W3899" s="518" t="s">
        <v>1717</v>
      </c>
      <c r="X3899" s="518" t="s">
        <v>1382</v>
      </c>
      <c r="Y3899" s="518" t="s">
        <v>1382</v>
      </c>
      <c r="AA3899" s="519">
        <v>77.2</v>
      </c>
      <c r="AB3899" s="519">
        <v>11</v>
      </c>
      <c r="AC3899" s="517" t="s">
        <v>175</v>
      </c>
      <c r="AD3899" s="517">
        <v>7.8</v>
      </c>
      <c r="AE3899" s="517">
        <v>2.17</v>
      </c>
      <c r="AG3899" s="517" t="s">
        <v>3436</v>
      </c>
      <c r="AH3899" s="517" t="s">
        <v>2800</v>
      </c>
      <c r="AI3899" s="517" t="s">
        <v>4321</v>
      </c>
      <c r="AJ3899" s="517" t="s">
        <v>1645</v>
      </c>
      <c r="AK3899" s="517" t="s">
        <v>132</v>
      </c>
      <c r="AW3899" s="517" t="s">
        <v>3293</v>
      </c>
      <c r="BK3899" s="517">
        <v>750</v>
      </c>
      <c r="BL3899" s="517">
        <v>870</v>
      </c>
      <c r="BP3899" s="520"/>
      <c r="BQ3899" s="520"/>
      <c r="BU3899" s="520"/>
      <c r="BV3899" s="520"/>
      <c r="BZ3899" s="520"/>
      <c r="CA3899" s="520"/>
      <c r="CE3899" s="608"/>
      <c r="CF3899" s="608"/>
      <c r="CG3899" s="608"/>
      <c r="CH3899" s="608"/>
      <c r="JD3899" s="521"/>
    </row>
    <row r="3900" spans="1:264" s="517" customFormat="1" x14ac:dyDescent="0.25">
      <c r="A3900" s="517">
        <v>172</v>
      </c>
      <c r="B3900" s="518" t="s">
        <v>3440</v>
      </c>
      <c r="C3900" s="517" t="s">
        <v>3418</v>
      </c>
      <c r="D3900" s="517" t="s">
        <v>3358</v>
      </c>
      <c r="E3900" s="517">
        <v>2005</v>
      </c>
      <c r="F3900" s="517">
        <v>1999</v>
      </c>
      <c r="G3900" s="517" t="s">
        <v>2738</v>
      </c>
      <c r="H3900" s="517" t="s">
        <v>3435</v>
      </c>
      <c r="I3900" s="517" t="s">
        <v>2823</v>
      </c>
      <c r="J3900" s="517">
        <v>7.5</v>
      </c>
      <c r="K3900" s="517">
        <f t="shared" si="513"/>
        <v>3.9</v>
      </c>
      <c r="L3900" s="517">
        <v>213</v>
      </c>
      <c r="P3900" s="517">
        <v>1247</v>
      </c>
      <c r="R3900" s="518" t="s">
        <v>1860</v>
      </c>
      <c r="S3900" s="518" t="s">
        <v>1931</v>
      </c>
      <c r="T3900" s="518"/>
      <c r="U3900" s="518" t="s">
        <v>3438</v>
      </c>
      <c r="V3900" s="518" t="s">
        <v>1382</v>
      </c>
      <c r="W3900" s="518" t="s">
        <v>1717</v>
      </c>
      <c r="X3900" s="518" t="s">
        <v>1382</v>
      </c>
      <c r="Y3900" s="518" t="s">
        <v>1382</v>
      </c>
      <c r="AA3900" s="519">
        <v>77.2</v>
      </c>
      <c r="AB3900" s="519">
        <v>11</v>
      </c>
      <c r="AC3900" s="517" t="s">
        <v>175</v>
      </c>
      <c r="AD3900" s="517">
        <v>7.8</v>
      </c>
      <c r="AE3900" s="517">
        <v>2.17</v>
      </c>
      <c r="AG3900" s="517" t="s">
        <v>3436</v>
      </c>
      <c r="AH3900" s="517" t="s">
        <v>2800</v>
      </c>
      <c r="AI3900" s="517" t="s">
        <v>4321</v>
      </c>
      <c r="AJ3900" s="517" t="s">
        <v>1645</v>
      </c>
      <c r="AK3900" s="517" t="s">
        <v>132</v>
      </c>
      <c r="AW3900" s="517" t="s">
        <v>3293</v>
      </c>
      <c r="BK3900" s="517">
        <v>1620</v>
      </c>
      <c r="BL3900" s="517">
        <v>1300</v>
      </c>
      <c r="BP3900" s="520"/>
      <c r="BQ3900" s="520"/>
      <c r="BU3900" s="520"/>
      <c r="BV3900" s="520"/>
      <c r="BZ3900" s="520"/>
      <c r="CA3900" s="520"/>
      <c r="CE3900" s="608"/>
      <c r="CF3900" s="608"/>
      <c r="CG3900" s="608"/>
      <c r="CH3900" s="608"/>
      <c r="JD3900" s="521"/>
    </row>
    <row r="3901" spans="1:264" s="517" customFormat="1" x14ac:dyDescent="0.25">
      <c r="A3901" s="517">
        <v>172</v>
      </c>
      <c r="B3901" s="518" t="s">
        <v>3440</v>
      </c>
      <c r="C3901" s="517" t="s">
        <v>3418</v>
      </c>
      <c r="D3901" s="517" t="s">
        <v>3358</v>
      </c>
      <c r="E3901" s="517">
        <v>2005</v>
      </c>
      <c r="F3901" s="517">
        <v>1999</v>
      </c>
      <c r="G3901" s="517" t="s">
        <v>2738</v>
      </c>
      <c r="H3901" s="517" t="s">
        <v>3435</v>
      </c>
      <c r="I3901" s="517" t="s">
        <v>2823</v>
      </c>
      <c r="J3901" s="517">
        <v>7.5</v>
      </c>
      <c r="K3901" s="517">
        <f t="shared" si="513"/>
        <v>3.9</v>
      </c>
      <c r="L3901" s="517">
        <v>213</v>
      </c>
      <c r="P3901" s="517">
        <v>1247</v>
      </c>
      <c r="R3901" s="518" t="s">
        <v>1860</v>
      </c>
      <c r="S3901" s="518" t="s">
        <v>1931</v>
      </c>
      <c r="T3901" s="518"/>
      <c r="U3901" s="518" t="s">
        <v>3438</v>
      </c>
      <c r="V3901" s="518" t="s">
        <v>1382</v>
      </c>
      <c r="W3901" s="518" t="s">
        <v>1717</v>
      </c>
      <c r="X3901" s="518" t="s">
        <v>1382</v>
      </c>
      <c r="Y3901" s="518" t="s">
        <v>1382</v>
      </c>
      <c r="AA3901" s="519">
        <v>77.2</v>
      </c>
      <c r="AB3901" s="519">
        <v>11</v>
      </c>
      <c r="AC3901" s="517" t="s">
        <v>175</v>
      </c>
      <c r="AD3901" s="517">
        <v>7.8</v>
      </c>
      <c r="AE3901" s="517">
        <v>2.17</v>
      </c>
      <c r="AG3901" s="517" t="s">
        <v>3436</v>
      </c>
      <c r="AH3901" s="517" t="s">
        <v>2800</v>
      </c>
      <c r="AI3901" s="517" t="s">
        <v>4321</v>
      </c>
      <c r="AJ3901" s="517" t="s">
        <v>1645</v>
      </c>
      <c r="AK3901" s="517" t="s">
        <v>132</v>
      </c>
      <c r="AW3901" s="517" t="s">
        <v>3293</v>
      </c>
      <c r="BK3901" s="517">
        <v>1720</v>
      </c>
      <c r="BL3901" s="517">
        <v>1690</v>
      </c>
      <c r="BP3901" s="520"/>
      <c r="BQ3901" s="520"/>
      <c r="BU3901" s="520"/>
      <c r="BV3901" s="520"/>
      <c r="BZ3901" s="520"/>
      <c r="CA3901" s="520"/>
      <c r="CE3901" s="608"/>
      <c r="CF3901" s="608"/>
      <c r="CG3901" s="608"/>
      <c r="CH3901" s="608"/>
      <c r="JD3901" s="521"/>
    </row>
    <row r="3902" spans="1:264" s="32" customFormat="1" x14ac:dyDescent="0.25">
      <c r="A3902" s="32">
        <v>172</v>
      </c>
      <c r="B3902" s="44" t="s">
        <v>3440</v>
      </c>
      <c r="C3902" s="32" t="s">
        <v>3418</v>
      </c>
      <c r="D3902" s="32" t="s">
        <v>3358</v>
      </c>
      <c r="E3902" s="32">
        <v>2005</v>
      </c>
      <c r="F3902" s="32">
        <v>2000</v>
      </c>
      <c r="G3902" s="32" t="s">
        <v>2738</v>
      </c>
      <c r="H3902" s="32" t="s">
        <v>3435</v>
      </c>
      <c r="I3902" s="32" t="s">
        <v>2823</v>
      </c>
      <c r="J3902" s="32">
        <v>7.5</v>
      </c>
      <c r="K3902" s="32">
        <f t="shared" si="513"/>
        <v>3.9</v>
      </c>
      <c r="L3902" s="32">
        <v>213</v>
      </c>
      <c r="P3902" s="32">
        <v>1247</v>
      </c>
      <c r="R3902" s="44" t="s">
        <v>1931</v>
      </c>
      <c r="S3902" s="44" t="s">
        <v>1931</v>
      </c>
      <c r="T3902" s="44"/>
      <c r="U3902" s="44" t="s">
        <v>3438</v>
      </c>
      <c r="V3902" s="44" t="s">
        <v>1382</v>
      </c>
      <c r="W3902" s="44" t="s">
        <v>1717</v>
      </c>
      <c r="X3902" s="44" t="s">
        <v>1382</v>
      </c>
      <c r="Y3902" s="44" t="s">
        <v>1382</v>
      </c>
      <c r="AA3902" s="323">
        <v>77.2</v>
      </c>
      <c r="AB3902" s="323">
        <v>11</v>
      </c>
      <c r="AC3902" s="32" t="s">
        <v>175</v>
      </c>
      <c r="AD3902" s="32">
        <v>7.8</v>
      </c>
      <c r="AE3902" s="32">
        <v>2.17</v>
      </c>
      <c r="AG3902" s="32" t="s">
        <v>3436</v>
      </c>
      <c r="AH3902" s="32" t="s">
        <v>2800</v>
      </c>
      <c r="AI3902" s="32" t="s">
        <v>4321</v>
      </c>
      <c r="AJ3902" s="32" t="s">
        <v>1645</v>
      </c>
      <c r="AK3902" s="32" t="s">
        <v>132</v>
      </c>
      <c r="AW3902" s="32" t="s">
        <v>3293</v>
      </c>
      <c r="BF3902" s="32">
        <v>760</v>
      </c>
      <c r="BG3902" s="32">
        <v>820</v>
      </c>
      <c r="BK3902" s="32">
        <v>210</v>
      </c>
      <c r="BL3902" s="32">
        <v>500</v>
      </c>
      <c r="BP3902" s="397"/>
      <c r="BQ3902" s="397"/>
      <c r="BU3902" s="397"/>
      <c r="BV3902" s="397"/>
      <c r="BZ3902" s="397"/>
      <c r="CA3902" s="397"/>
      <c r="CE3902" s="550"/>
      <c r="CF3902" s="550"/>
      <c r="CG3902" s="550"/>
      <c r="CH3902" s="550"/>
      <c r="JD3902" s="243"/>
    </row>
    <row r="3903" spans="1:264" s="32" customFormat="1" x14ac:dyDescent="0.25">
      <c r="A3903" s="32">
        <v>172</v>
      </c>
      <c r="B3903" s="44" t="s">
        <v>3440</v>
      </c>
      <c r="C3903" s="32" t="s">
        <v>3418</v>
      </c>
      <c r="D3903" s="32" t="s">
        <v>3358</v>
      </c>
      <c r="E3903" s="32">
        <v>2005</v>
      </c>
      <c r="F3903" s="32">
        <v>2000</v>
      </c>
      <c r="G3903" s="32" t="s">
        <v>2738</v>
      </c>
      <c r="H3903" s="32" t="s">
        <v>3435</v>
      </c>
      <c r="I3903" s="32" t="s">
        <v>2823</v>
      </c>
      <c r="J3903" s="32">
        <v>7.5</v>
      </c>
      <c r="K3903" s="32">
        <f t="shared" si="513"/>
        <v>3.9</v>
      </c>
      <c r="L3903" s="32">
        <v>213</v>
      </c>
      <c r="P3903" s="32">
        <v>1247</v>
      </c>
      <c r="R3903" s="44" t="s">
        <v>1931</v>
      </c>
      <c r="S3903" s="44" t="s">
        <v>1931</v>
      </c>
      <c r="T3903" s="44"/>
      <c r="U3903" s="44" t="s">
        <v>3438</v>
      </c>
      <c r="V3903" s="44" t="s">
        <v>1382</v>
      </c>
      <c r="W3903" s="44" t="s">
        <v>1717</v>
      </c>
      <c r="X3903" s="44" t="s">
        <v>1382</v>
      </c>
      <c r="Y3903" s="44" t="s">
        <v>1382</v>
      </c>
      <c r="AA3903" s="323">
        <v>77.2</v>
      </c>
      <c r="AB3903" s="323">
        <v>11</v>
      </c>
      <c r="AC3903" s="32" t="s">
        <v>175</v>
      </c>
      <c r="AD3903" s="32">
        <v>7.8</v>
      </c>
      <c r="AE3903" s="32">
        <v>2.17</v>
      </c>
      <c r="AG3903" s="32" t="s">
        <v>3436</v>
      </c>
      <c r="AH3903" s="32" t="s">
        <v>2800</v>
      </c>
      <c r="AI3903" s="32" t="s">
        <v>4321</v>
      </c>
      <c r="AJ3903" s="32" t="s">
        <v>1645</v>
      </c>
      <c r="AK3903" s="32" t="s">
        <v>132</v>
      </c>
      <c r="AW3903" s="32" t="s">
        <v>3293</v>
      </c>
      <c r="BF3903" s="32">
        <v>1230</v>
      </c>
      <c r="BG3903" s="32">
        <v>1370</v>
      </c>
      <c r="BK3903" s="32">
        <v>800</v>
      </c>
      <c r="BL3903" s="32">
        <v>1150</v>
      </c>
      <c r="BP3903" s="397"/>
      <c r="BQ3903" s="397"/>
      <c r="BU3903" s="397"/>
      <c r="BV3903" s="397"/>
      <c r="BZ3903" s="397"/>
      <c r="CA3903" s="397"/>
      <c r="CE3903" s="550"/>
      <c r="CF3903" s="550"/>
      <c r="CG3903" s="550"/>
      <c r="CH3903" s="550"/>
      <c r="JD3903" s="243"/>
    </row>
    <row r="3904" spans="1:264" s="32" customFormat="1" x14ac:dyDescent="0.25">
      <c r="A3904" s="32">
        <v>172</v>
      </c>
      <c r="B3904" s="44" t="s">
        <v>3440</v>
      </c>
      <c r="C3904" s="32" t="s">
        <v>3418</v>
      </c>
      <c r="D3904" s="32" t="s">
        <v>3358</v>
      </c>
      <c r="E3904" s="32">
        <v>2005</v>
      </c>
      <c r="F3904" s="32">
        <v>2000</v>
      </c>
      <c r="G3904" s="32" t="s">
        <v>2738</v>
      </c>
      <c r="H3904" s="32" t="s">
        <v>3435</v>
      </c>
      <c r="I3904" s="32" t="s">
        <v>2823</v>
      </c>
      <c r="J3904" s="32">
        <v>7.5</v>
      </c>
      <c r="K3904" s="32">
        <f t="shared" si="513"/>
        <v>3.9</v>
      </c>
      <c r="L3904" s="32">
        <v>213</v>
      </c>
      <c r="P3904" s="32">
        <v>1247</v>
      </c>
      <c r="R3904" s="44" t="s">
        <v>1931</v>
      </c>
      <c r="S3904" s="44" t="s">
        <v>1931</v>
      </c>
      <c r="T3904" s="44"/>
      <c r="U3904" s="44" t="s">
        <v>3438</v>
      </c>
      <c r="V3904" s="44" t="s">
        <v>1382</v>
      </c>
      <c r="W3904" s="44" t="s">
        <v>1717</v>
      </c>
      <c r="X3904" s="44" t="s">
        <v>1382</v>
      </c>
      <c r="Y3904" s="44" t="s">
        <v>1382</v>
      </c>
      <c r="AA3904" s="323">
        <v>77.2</v>
      </c>
      <c r="AB3904" s="323">
        <v>11</v>
      </c>
      <c r="AC3904" s="32" t="s">
        <v>175</v>
      </c>
      <c r="AD3904" s="32">
        <v>7.8</v>
      </c>
      <c r="AE3904" s="32">
        <v>2.17</v>
      </c>
      <c r="AG3904" s="32" t="s">
        <v>3436</v>
      </c>
      <c r="AH3904" s="32" t="s">
        <v>2800</v>
      </c>
      <c r="AI3904" s="32" t="s">
        <v>4321</v>
      </c>
      <c r="AJ3904" s="32" t="s">
        <v>1645</v>
      </c>
      <c r="AK3904" s="32" t="s">
        <v>132</v>
      </c>
      <c r="AW3904" s="32" t="s">
        <v>3293</v>
      </c>
      <c r="BF3904" s="32">
        <v>2350</v>
      </c>
      <c r="BG3904" s="32">
        <v>1900</v>
      </c>
      <c r="BK3904" s="32">
        <v>2120</v>
      </c>
      <c r="BL3904" s="32">
        <v>1690</v>
      </c>
      <c r="BP3904" s="397"/>
      <c r="BQ3904" s="397"/>
      <c r="BU3904" s="397"/>
      <c r="BV3904" s="397"/>
      <c r="BZ3904" s="397"/>
      <c r="CA3904" s="397"/>
      <c r="CE3904" s="550"/>
      <c r="CF3904" s="550"/>
      <c r="CG3904" s="550"/>
      <c r="CH3904" s="550"/>
      <c r="JD3904" s="243"/>
    </row>
    <row r="3905" spans="1:264" s="32" customFormat="1" x14ac:dyDescent="0.25">
      <c r="A3905" s="32">
        <v>172</v>
      </c>
      <c r="B3905" s="44" t="s">
        <v>3440</v>
      </c>
      <c r="C3905" s="32" t="s">
        <v>3418</v>
      </c>
      <c r="D3905" s="32" t="s">
        <v>3358</v>
      </c>
      <c r="E3905" s="32">
        <v>2005</v>
      </c>
      <c r="F3905" s="32">
        <v>2000</v>
      </c>
      <c r="G3905" s="32" t="s">
        <v>2738</v>
      </c>
      <c r="H3905" s="32" t="s">
        <v>3435</v>
      </c>
      <c r="I3905" s="32" t="s">
        <v>2823</v>
      </c>
      <c r="J3905" s="32">
        <v>7.5</v>
      </c>
      <c r="K3905" s="32">
        <f t="shared" si="513"/>
        <v>3.9</v>
      </c>
      <c r="L3905" s="32">
        <v>213</v>
      </c>
      <c r="P3905" s="32">
        <v>1247</v>
      </c>
      <c r="R3905" s="44" t="s">
        <v>1931</v>
      </c>
      <c r="S3905" s="44" t="s">
        <v>1931</v>
      </c>
      <c r="T3905" s="44"/>
      <c r="U3905" s="44" t="s">
        <v>3438</v>
      </c>
      <c r="V3905" s="44" t="s">
        <v>1382</v>
      </c>
      <c r="W3905" s="44" t="s">
        <v>1717</v>
      </c>
      <c r="X3905" s="44" t="s">
        <v>1382</v>
      </c>
      <c r="Y3905" s="44" t="s">
        <v>1382</v>
      </c>
      <c r="AA3905" s="323">
        <v>77.2</v>
      </c>
      <c r="AB3905" s="323">
        <v>11</v>
      </c>
      <c r="AC3905" s="32" t="s">
        <v>175</v>
      </c>
      <c r="AD3905" s="32">
        <v>7.8</v>
      </c>
      <c r="AE3905" s="32">
        <v>2.17</v>
      </c>
      <c r="AG3905" s="32" t="s">
        <v>3436</v>
      </c>
      <c r="AH3905" s="32" t="s">
        <v>2800</v>
      </c>
      <c r="AI3905" s="32" t="s">
        <v>4321</v>
      </c>
      <c r="AJ3905" s="32" t="s">
        <v>1645</v>
      </c>
      <c r="AK3905" s="32" t="s">
        <v>132</v>
      </c>
      <c r="AW3905" s="32" t="s">
        <v>3293</v>
      </c>
      <c r="BF3905" s="32">
        <v>2790</v>
      </c>
      <c r="BG3905" s="32">
        <v>2260</v>
      </c>
      <c r="BK3905" s="32">
        <v>2260</v>
      </c>
      <c r="BL3905" s="32">
        <v>1630</v>
      </c>
      <c r="BP3905" s="397"/>
      <c r="BQ3905" s="397"/>
      <c r="BU3905" s="397"/>
      <c r="BV3905" s="397"/>
      <c r="BZ3905" s="397"/>
      <c r="CA3905" s="397"/>
      <c r="CE3905" s="550"/>
      <c r="CF3905" s="550"/>
      <c r="CG3905" s="550"/>
      <c r="CH3905" s="550"/>
      <c r="JD3905" s="243"/>
    </row>
    <row r="3906" spans="1:264" s="101" customFormat="1" x14ac:dyDescent="0.25">
      <c r="A3906" s="101">
        <v>172</v>
      </c>
      <c r="B3906" s="102" t="s">
        <v>3441</v>
      </c>
      <c r="C3906" s="101" t="s">
        <v>3418</v>
      </c>
      <c r="D3906" s="101" t="s">
        <v>3358</v>
      </c>
      <c r="E3906" s="101">
        <v>2005</v>
      </c>
      <c r="F3906" s="101">
        <v>1989</v>
      </c>
      <c r="G3906" s="101" t="s">
        <v>2738</v>
      </c>
      <c r="H3906" s="101" t="s">
        <v>3435</v>
      </c>
      <c r="I3906" s="101" t="s">
        <v>2823</v>
      </c>
      <c r="J3906" s="101">
        <v>7.5</v>
      </c>
      <c r="K3906" s="101">
        <f t="shared" ref="K3906:K3937" si="514">3+54/60</f>
        <v>3.9</v>
      </c>
      <c r="L3906" s="101">
        <v>213</v>
      </c>
      <c r="P3906" s="101">
        <v>1247</v>
      </c>
      <c r="R3906" s="102" t="s">
        <v>1977</v>
      </c>
      <c r="S3906" s="102" t="s">
        <v>1931</v>
      </c>
      <c r="T3906" s="102"/>
      <c r="U3906" s="102" t="s">
        <v>3438</v>
      </c>
      <c r="V3906" s="102" t="s">
        <v>1382</v>
      </c>
      <c r="W3906" s="102" t="s">
        <v>1717</v>
      </c>
      <c r="X3906" s="102" t="s">
        <v>1382</v>
      </c>
      <c r="Y3906" s="102" t="s">
        <v>1382</v>
      </c>
      <c r="AA3906" s="352">
        <v>77.2</v>
      </c>
      <c r="AB3906" s="352">
        <v>11</v>
      </c>
      <c r="AC3906" s="101" t="s">
        <v>175</v>
      </c>
      <c r="AD3906" s="101">
        <v>7.8</v>
      </c>
      <c r="AE3906" s="101">
        <v>2.17</v>
      </c>
      <c r="AG3906" s="101" t="s">
        <v>3436</v>
      </c>
      <c r="AH3906" s="101" t="s">
        <v>3437</v>
      </c>
      <c r="AI3906" s="101" t="s">
        <v>577</v>
      </c>
      <c r="AJ3906" s="101" t="s">
        <v>2327</v>
      </c>
      <c r="AK3906" s="101" t="s">
        <v>229</v>
      </c>
      <c r="AW3906" s="24" t="s">
        <v>3293</v>
      </c>
      <c r="BK3906" s="101">
        <v>2500</v>
      </c>
      <c r="BL3906" s="101">
        <v>2600</v>
      </c>
      <c r="BP3906" s="427"/>
      <c r="BQ3906" s="427"/>
      <c r="BU3906" s="427"/>
      <c r="BV3906" s="427"/>
      <c r="BZ3906" s="427"/>
      <c r="CA3906" s="427"/>
      <c r="CE3906" s="580"/>
      <c r="CF3906" s="580"/>
      <c r="CG3906" s="580"/>
      <c r="CH3906" s="580"/>
      <c r="JD3906" s="177"/>
    </row>
    <row r="3907" spans="1:264" s="101" customFormat="1" x14ac:dyDescent="0.25">
      <c r="A3907" s="101">
        <v>172</v>
      </c>
      <c r="B3907" s="102" t="s">
        <v>3441</v>
      </c>
      <c r="C3907" s="101" t="s">
        <v>3418</v>
      </c>
      <c r="D3907" s="101" t="s">
        <v>3358</v>
      </c>
      <c r="E3907" s="101">
        <v>2005</v>
      </c>
      <c r="F3907" s="101">
        <v>1989</v>
      </c>
      <c r="G3907" s="101" t="s">
        <v>2738</v>
      </c>
      <c r="H3907" s="101" t="s">
        <v>3435</v>
      </c>
      <c r="I3907" s="101" t="s">
        <v>2823</v>
      </c>
      <c r="J3907" s="101">
        <v>7.5</v>
      </c>
      <c r="K3907" s="101">
        <f t="shared" si="514"/>
        <v>3.9</v>
      </c>
      <c r="L3907" s="101">
        <v>213</v>
      </c>
      <c r="P3907" s="101">
        <v>1247</v>
      </c>
      <c r="R3907" s="102" t="s">
        <v>1977</v>
      </c>
      <c r="S3907" s="102" t="s">
        <v>1931</v>
      </c>
      <c r="T3907" s="102"/>
      <c r="U3907" s="102" t="s">
        <v>3438</v>
      </c>
      <c r="V3907" s="102" t="s">
        <v>1382</v>
      </c>
      <c r="W3907" s="102" t="s">
        <v>1717</v>
      </c>
      <c r="X3907" s="102" t="s">
        <v>1382</v>
      </c>
      <c r="Y3907" s="102" t="s">
        <v>1382</v>
      </c>
      <c r="AA3907" s="352">
        <v>77.2</v>
      </c>
      <c r="AB3907" s="352">
        <v>11</v>
      </c>
      <c r="AC3907" s="101" t="s">
        <v>175</v>
      </c>
      <c r="AD3907" s="101">
        <v>7.8</v>
      </c>
      <c r="AE3907" s="101">
        <v>2.17</v>
      </c>
      <c r="AG3907" s="101" t="s">
        <v>3436</v>
      </c>
      <c r="AH3907" s="101" t="s">
        <v>3437</v>
      </c>
      <c r="AI3907" s="101" t="s">
        <v>577</v>
      </c>
      <c r="AJ3907" s="101" t="s">
        <v>2327</v>
      </c>
      <c r="AK3907" s="101" t="s">
        <v>229</v>
      </c>
      <c r="AW3907" s="24" t="s">
        <v>3293</v>
      </c>
      <c r="BK3907" s="101">
        <v>3700</v>
      </c>
      <c r="BL3907" s="101">
        <v>6300</v>
      </c>
      <c r="BP3907" s="427"/>
      <c r="BQ3907" s="427"/>
      <c r="BU3907" s="427"/>
      <c r="BV3907" s="427"/>
      <c r="BZ3907" s="427"/>
      <c r="CA3907" s="427"/>
      <c r="CE3907" s="580"/>
      <c r="CF3907" s="580"/>
      <c r="CG3907" s="580"/>
      <c r="CH3907" s="580"/>
      <c r="JD3907" s="177"/>
    </row>
    <row r="3908" spans="1:264" s="101" customFormat="1" x14ac:dyDescent="0.25">
      <c r="A3908" s="101">
        <v>172</v>
      </c>
      <c r="B3908" s="102" t="s">
        <v>3441</v>
      </c>
      <c r="C3908" s="101" t="s">
        <v>3418</v>
      </c>
      <c r="D3908" s="101" t="s">
        <v>3358</v>
      </c>
      <c r="E3908" s="101">
        <v>2005</v>
      </c>
      <c r="F3908" s="101">
        <v>1989</v>
      </c>
      <c r="G3908" s="101" t="s">
        <v>2738</v>
      </c>
      <c r="H3908" s="101" t="s">
        <v>3435</v>
      </c>
      <c r="I3908" s="101" t="s">
        <v>2823</v>
      </c>
      <c r="J3908" s="101">
        <v>7.5</v>
      </c>
      <c r="K3908" s="101">
        <f t="shared" si="514"/>
        <v>3.9</v>
      </c>
      <c r="L3908" s="101">
        <v>213</v>
      </c>
      <c r="P3908" s="101">
        <v>1247</v>
      </c>
      <c r="R3908" s="102" t="s">
        <v>1977</v>
      </c>
      <c r="S3908" s="102" t="s">
        <v>1931</v>
      </c>
      <c r="T3908" s="102"/>
      <c r="U3908" s="102" t="s">
        <v>3438</v>
      </c>
      <c r="V3908" s="102" t="s">
        <v>1382</v>
      </c>
      <c r="W3908" s="102" t="s">
        <v>1717</v>
      </c>
      <c r="X3908" s="102" t="s">
        <v>1382</v>
      </c>
      <c r="Y3908" s="102" t="s">
        <v>1382</v>
      </c>
      <c r="AA3908" s="352">
        <v>77.2</v>
      </c>
      <c r="AB3908" s="352">
        <v>11</v>
      </c>
      <c r="AC3908" s="101" t="s">
        <v>175</v>
      </c>
      <c r="AD3908" s="101">
        <v>7.8</v>
      </c>
      <c r="AE3908" s="101">
        <v>2.17</v>
      </c>
      <c r="AG3908" s="101" t="s">
        <v>3436</v>
      </c>
      <c r="AH3908" s="101" t="s">
        <v>3437</v>
      </c>
      <c r="AI3908" s="101" t="s">
        <v>577</v>
      </c>
      <c r="AJ3908" s="101" t="s">
        <v>2327</v>
      </c>
      <c r="AK3908" s="101" t="s">
        <v>229</v>
      </c>
      <c r="AW3908" s="24" t="s">
        <v>3293</v>
      </c>
      <c r="BK3908" s="101">
        <v>4400</v>
      </c>
      <c r="BL3908" s="101">
        <v>3300</v>
      </c>
      <c r="BP3908" s="427"/>
      <c r="BQ3908" s="427"/>
      <c r="BU3908" s="427"/>
      <c r="BV3908" s="427"/>
      <c r="BZ3908" s="427"/>
      <c r="CA3908" s="427"/>
      <c r="CE3908" s="580"/>
      <c r="CF3908" s="580"/>
      <c r="CG3908" s="580"/>
      <c r="CH3908" s="580"/>
      <c r="JD3908" s="177"/>
    </row>
    <row r="3909" spans="1:264" s="101" customFormat="1" x14ac:dyDescent="0.25">
      <c r="A3909" s="101">
        <v>172</v>
      </c>
      <c r="B3909" s="102" t="s">
        <v>3441</v>
      </c>
      <c r="C3909" s="101" t="s">
        <v>3418</v>
      </c>
      <c r="D3909" s="101" t="s">
        <v>3358</v>
      </c>
      <c r="E3909" s="101">
        <v>2005</v>
      </c>
      <c r="F3909" s="101">
        <v>1989</v>
      </c>
      <c r="G3909" s="101" t="s">
        <v>2738</v>
      </c>
      <c r="H3909" s="101" t="s">
        <v>3435</v>
      </c>
      <c r="I3909" s="101" t="s">
        <v>2823</v>
      </c>
      <c r="J3909" s="101">
        <v>7.5</v>
      </c>
      <c r="K3909" s="101">
        <f t="shared" si="514"/>
        <v>3.9</v>
      </c>
      <c r="L3909" s="101">
        <v>213</v>
      </c>
      <c r="P3909" s="101">
        <v>1247</v>
      </c>
      <c r="R3909" s="102" t="s">
        <v>1977</v>
      </c>
      <c r="S3909" s="102" t="s">
        <v>1931</v>
      </c>
      <c r="T3909" s="102"/>
      <c r="U3909" s="102" t="s">
        <v>3438</v>
      </c>
      <c r="V3909" s="102" t="s">
        <v>1382</v>
      </c>
      <c r="W3909" s="102" t="s">
        <v>1717</v>
      </c>
      <c r="X3909" s="102" t="s">
        <v>1382</v>
      </c>
      <c r="Y3909" s="102" t="s">
        <v>1382</v>
      </c>
      <c r="AA3909" s="352">
        <v>77.2</v>
      </c>
      <c r="AB3909" s="352">
        <v>11</v>
      </c>
      <c r="AC3909" s="101" t="s">
        <v>175</v>
      </c>
      <c r="AD3909" s="101">
        <v>7.8</v>
      </c>
      <c r="AE3909" s="101">
        <v>2.17</v>
      </c>
      <c r="AG3909" s="101" t="s">
        <v>3436</v>
      </c>
      <c r="AH3909" s="101" t="s">
        <v>3437</v>
      </c>
      <c r="AI3909" s="101" t="s">
        <v>577</v>
      </c>
      <c r="AJ3909" s="101" t="s">
        <v>2327</v>
      </c>
      <c r="AK3909" s="101" t="s">
        <v>229</v>
      </c>
      <c r="AW3909" s="24" t="s">
        <v>3293</v>
      </c>
      <c r="BK3909" s="101">
        <v>2900</v>
      </c>
      <c r="BL3909" s="101">
        <v>4500</v>
      </c>
      <c r="BP3909" s="427"/>
      <c r="BQ3909" s="427"/>
      <c r="BU3909" s="427"/>
      <c r="BV3909" s="427"/>
      <c r="BZ3909" s="427"/>
      <c r="CA3909" s="427"/>
      <c r="CE3909" s="580"/>
      <c r="CF3909" s="580"/>
      <c r="CG3909" s="580"/>
      <c r="CH3909" s="580"/>
      <c r="JD3909" s="177"/>
    </row>
    <row r="3910" spans="1:264" s="105" customFormat="1" x14ac:dyDescent="0.25">
      <c r="A3910" s="105">
        <v>172</v>
      </c>
      <c r="B3910" s="106" t="s">
        <v>3441</v>
      </c>
      <c r="C3910" s="105" t="s">
        <v>3418</v>
      </c>
      <c r="D3910" s="105" t="s">
        <v>3358</v>
      </c>
      <c r="E3910" s="105">
        <v>2005</v>
      </c>
      <c r="F3910" s="105">
        <v>1990</v>
      </c>
      <c r="G3910" s="105" t="s">
        <v>2738</v>
      </c>
      <c r="H3910" s="105" t="s">
        <v>3435</v>
      </c>
      <c r="I3910" s="105" t="s">
        <v>2823</v>
      </c>
      <c r="J3910" s="105">
        <v>7.5</v>
      </c>
      <c r="K3910" s="105">
        <f t="shared" si="514"/>
        <v>3.9</v>
      </c>
      <c r="L3910" s="105">
        <v>213</v>
      </c>
      <c r="P3910" s="105">
        <v>1247</v>
      </c>
      <c r="R3910" s="106" t="s">
        <v>1847</v>
      </c>
      <c r="S3910" s="106" t="s">
        <v>1931</v>
      </c>
      <c r="T3910" s="106"/>
      <c r="U3910" s="106" t="s">
        <v>3438</v>
      </c>
      <c r="V3910" s="106" t="s">
        <v>1382</v>
      </c>
      <c r="W3910" s="106" t="s">
        <v>1717</v>
      </c>
      <c r="X3910" s="106" t="s">
        <v>1382</v>
      </c>
      <c r="Y3910" s="106" t="s">
        <v>1382</v>
      </c>
      <c r="AA3910" s="354">
        <v>77.2</v>
      </c>
      <c r="AB3910" s="354">
        <v>11</v>
      </c>
      <c r="AC3910" s="105" t="s">
        <v>175</v>
      </c>
      <c r="AD3910" s="105">
        <v>7.8</v>
      </c>
      <c r="AE3910" s="105">
        <v>2.17</v>
      </c>
      <c r="AG3910" s="105" t="s">
        <v>3436</v>
      </c>
      <c r="AH3910" s="105" t="s">
        <v>3437</v>
      </c>
      <c r="AI3910" s="105" t="s">
        <v>577</v>
      </c>
      <c r="AJ3910" s="105" t="s">
        <v>2327</v>
      </c>
      <c r="AK3910" s="105" t="s">
        <v>229</v>
      </c>
      <c r="AW3910" s="32" t="s">
        <v>3293</v>
      </c>
      <c r="BP3910" s="429"/>
      <c r="BQ3910" s="429"/>
      <c r="BU3910" s="429"/>
      <c r="BV3910" s="429"/>
      <c r="BZ3910" s="429"/>
      <c r="CA3910" s="429"/>
      <c r="CE3910" s="582"/>
      <c r="CF3910" s="582"/>
      <c r="CG3910" s="582"/>
      <c r="CH3910" s="582"/>
      <c r="JD3910" s="499"/>
    </row>
    <row r="3911" spans="1:264" s="105" customFormat="1" x14ac:dyDescent="0.25">
      <c r="A3911" s="105">
        <v>172</v>
      </c>
      <c r="B3911" s="106" t="s">
        <v>3441</v>
      </c>
      <c r="C3911" s="105" t="s">
        <v>3418</v>
      </c>
      <c r="D3911" s="105" t="s">
        <v>3358</v>
      </c>
      <c r="E3911" s="105">
        <v>2005</v>
      </c>
      <c r="F3911" s="105">
        <v>1990</v>
      </c>
      <c r="G3911" s="105" t="s">
        <v>2738</v>
      </c>
      <c r="H3911" s="105" t="s">
        <v>3435</v>
      </c>
      <c r="I3911" s="105" t="s">
        <v>2823</v>
      </c>
      <c r="J3911" s="105">
        <v>7.5</v>
      </c>
      <c r="K3911" s="105">
        <f t="shared" si="514"/>
        <v>3.9</v>
      </c>
      <c r="L3911" s="105">
        <v>213</v>
      </c>
      <c r="P3911" s="105">
        <v>1247</v>
      </c>
      <c r="R3911" s="106" t="s">
        <v>1847</v>
      </c>
      <c r="S3911" s="106" t="s">
        <v>1931</v>
      </c>
      <c r="T3911" s="106"/>
      <c r="U3911" s="106" t="s">
        <v>3438</v>
      </c>
      <c r="V3911" s="106" t="s">
        <v>1382</v>
      </c>
      <c r="W3911" s="106" t="s">
        <v>1717</v>
      </c>
      <c r="X3911" s="106" t="s">
        <v>1382</v>
      </c>
      <c r="Y3911" s="106" t="s">
        <v>1382</v>
      </c>
      <c r="AA3911" s="354">
        <v>77.2</v>
      </c>
      <c r="AB3911" s="354">
        <v>11</v>
      </c>
      <c r="AC3911" s="105" t="s">
        <v>175</v>
      </c>
      <c r="AD3911" s="105">
        <v>7.8</v>
      </c>
      <c r="AE3911" s="105">
        <v>2.17</v>
      </c>
      <c r="AG3911" s="105" t="s">
        <v>3436</v>
      </c>
      <c r="AH3911" s="105" t="s">
        <v>3437</v>
      </c>
      <c r="AI3911" s="105" t="s">
        <v>577</v>
      </c>
      <c r="AJ3911" s="105" t="s">
        <v>2327</v>
      </c>
      <c r="AK3911" s="105" t="s">
        <v>229</v>
      </c>
      <c r="AW3911" s="32" t="s">
        <v>3293</v>
      </c>
      <c r="BP3911" s="429"/>
      <c r="BQ3911" s="429"/>
      <c r="BU3911" s="429"/>
      <c r="BV3911" s="429"/>
      <c r="BZ3911" s="429"/>
      <c r="CA3911" s="429"/>
      <c r="CE3911" s="582"/>
      <c r="CF3911" s="582"/>
      <c r="CG3911" s="582"/>
      <c r="CH3911" s="582"/>
      <c r="JD3911" s="499"/>
    </row>
    <row r="3912" spans="1:264" s="105" customFormat="1" x14ac:dyDescent="0.25">
      <c r="A3912" s="105">
        <v>172</v>
      </c>
      <c r="B3912" s="106" t="s">
        <v>3441</v>
      </c>
      <c r="C3912" s="105" t="s">
        <v>3418</v>
      </c>
      <c r="D3912" s="105" t="s">
        <v>3358</v>
      </c>
      <c r="E3912" s="105">
        <v>2005</v>
      </c>
      <c r="F3912" s="105">
        <v>1990</v>
      </c>
      <c r="G3912" s="105" t="s">
        <v>2738</v>
      </c>
      <c r="H3912" s="105" t="s">
        <v>3435</v>
      </c>
      <c r="I3912" s="105" t="s">
        <v>2823</v>
      </c>
      <c r="J3912" s="105">
        <v>7.5</v>
      </c>
      <c r="K3912" s="105">
        <f t="shared" si="514"/>
        <v>3.9</v>
      </c>
      <c r="L3912" s="105">
        <v>213</v>
      </c>
      <c r="P3912" s="105">
        <v>1247</v>
      </c>
      <c r="R3912" s="106" t="s">
        <v>1847</v>
      </c>
      <c r="S3912" s="106" t="s">
        <v>1931</v>
      </c>
      <c r="T3912" s="106"/>
      <c r="U3912" s="106" t="s">
        <v>3438</v>
      </c>
      <c r="V3912" s="106" t="s">
        <v>1382</v>
      </c>
      <c r="W3912" s="106" t="s">
        <v>1717</v>
      </c>
      <c r="X3912" s="106" t="s">
        <v>1382</v>
      </c>
      <c r="Y3912" s="106" t="s">
        <v>1382</v>
      </c>
      <c r="AA3912" s="354">
        <v>77.2</v>
      </c>
      <c r="AB3912" s="354">
        <v>11</v>
      </c>
      <c r="AC3912" s="105" t="s">
        <v>175</v>
      </c>
      <c r="AD3912" s="105">
        <v>7.8</v>
      </c>
      <c r="AE3912" s="105">
        <v>2.17</v>
      </c>
      <c r="AG3912" s="105" t="s">
        <v>3436</v>
      </c>
      <c r="AH3912" s="105" t="s">
        <v>3437</v>
      </c>
      <c r="AI3912" s="105" t="s">
        <v>577</v>
      </c>
      <c r="AJ3912" s="105" t="s">
        <v>2327</v>
      </c>
      <c r="AK3912" s="105" t="s">
        <v>229</v>
      </c>
      <c r="AW3912" s="32" t="s">
        <v>3293</v>
      </c>
      <c r="BP3912" s="429"/>
      <c r="BQ3912" s="429"/>
      <c r="BU3912" s="429"/>
      <c r="BV3912" s="429"/>
      <c r="BZ3912" s="429"/>
      <c r="CA3912" s="429"/>
      <c r="CE3912" s="582"/>
      <c r="CF3912" s="582"/>
      <c r="CG3912" s="582"/>
      <c r="CH3912" s="582"/>
      <c r="JD3912" s="499"/>
    </row>
    <row r="3913" spans="1:264" s="105" customFormat="1" x14ac:dyDescent="0.25">
      <c r="A3913" s="105">
        <v>172</v>
      </c>
      <c r="B3913" s="106" t="s">
        <v>3441</v>
      </c>
      <c r="C3913" s="105" t="s">
        <v>3418</v>
      </c>
      <c r="D3913" s="105" t="s">
        <v>3358</v>
      </c>
      <c r="E3913" s="105">
        <v>2005</v>
      </c>
      <c r="F3913" s="105">
        <v>1990</v>
      </c>
      <c r="G3913" s="105" t="s">
        <v>2738</v>
      </c>
      <c r="H3913" s="105" t="s">
        <v>3435</v>
      </c>
      <c r="I3913" s="105" t="s">
        <v>2823</v>
      </c>
      <c r="J3913" s="105">
        <v>7.5</v>
      </c>
      <c r="K3913" s="105">
        <f t="shared" si="514"/>
        <v>3.9</v>
      </c>
      <c r="L3913" s="105">
        <v>213</v>
      </c>
      <c r="P3913" s="105">
        <v>1247</v>
      </c>
      <c r="R3913" s="106" t="s">
        <v>1847</v>
      </c>
      <c r="S3913" s="106" t="s">
        <v>1931</v>
      </c>
      <c r="T3913" s="106"/>
      <c r="U3913" s="106" t="s">
        <v>3438</v>
      </c>
      <c r="V3913" s="106" t="s">
        <v>1382</v>
      </c>
      <c r="W3913" s="106" t="s">
        <v>1717</v>
      </c>
      <c r="X3913" s="106" t="s">
        <v>1382</v>
      </c>
      <c r="Y3913" s="106" t="s">
        <v>1382</v>
      </c>
      <c r="AA3913" s="354">
        <v>77.2</v>
      </c>
      <c r="AB3913" s="354">
        <v>11</v>
      </c>
      <c r="AC3913" s="105" t="s">
        <v>175</v>
      </c>
      <c r="AD3913" s="105">
        <v>7.8</v>
      </c>
      <c r="AE3913" s="105">
        <v>2.17</v>
      </c>
      <c r="AG3913" s="105" t="s">
        <v>3436</v>
      </c>
      <c r="AH3913" s="105" t="s">
        <v>3437</v>
      </c>
      <c r="AI3913" s="105" t="s">
        <v>577</v>
      </c>
      <c r="AJ3913" s="105" t="s">
        <v>2327</v>
      </c>
      <c r="AK3913" s="105" t="s">
        <v>229</v>
      </c>
      <c r="AW3913" s="32" t="s">
        <v>3293</v>
      </c>
      <c r="BP3913" s="429"/>
      <c r="BQ3913" s="429"/>
      <c r="BU3913" s="429"/>
      <c r="BV3913" s="429"/>
      <c r="BZ3913" s="429"/>
      <c r="CA3913" s="429"/>
      <c r="CE3913" s="582"/>
      <c r="CF3913" s="582"/>
      <c r="CG3913" s="582"/>
      <c r="CH3913" s="582"/>
      <c r="JD3913" s="499"/>
    </row>
    <row r="3914" spans="1:264" s="101" customFormat="1" x14ac:dyDescent="0.25">
      <c r="A3914" s="101">
        <v>172</v>
      </c>
      <c r="B3914" s="102" t="s">
        <v>3441</v>
      </c>
      <c r="C3914" s="101" t="s">
        <v>3418</v>
      </c>
      <c r="D3914" s="101" t="s">
        <v>3358</v>
      </c>
      <c r="E3914" s="101">
        <v>2005</v>
      </c>
      <c r="F3914" s="101">
        <v>1991</v>
      </c>
      <c r="G3914" s="101" t="s">
        <v>2738</v>
      </c>
      <c r="H3914" s="101" t="s">
        <v>3435</v>
      </c>
      <c r="I3914" s="101" t="s">
        <v>2823</v>
      </c>
      <c r="J3914" s="101">
        <v>7.5</v>
      </c>
      <c r="K3914" s="101">
        <f t="shared" si="514"/>
        <v>3.9</v>
      </c>
      <c r="L3914" s="101">
        <v>213</v>
      </c>
      <c r="P3914" s="101">
        <v>1247</v>
      </c>
      <c r="R3914" s="102" t="s">
        <v>1728</v>
      </c>
      <c r="S3914" s="102" t="s">
        <v>1931</v>
      </c>
      <c r="T3914" s="102"/>
      <c r="U3914" s="102" t="s">
        <v>3438</v>
      </c>
      <c r="V3914" s="102" t="s">
        <v>1382</v>
      </c>
      <c r="W3914" s="102" t="s">
        <v>1717</v>
      </c>
      <c r="X3914" s="102" t="s">
        <v>1382</v>
      </c>
      <c r="Y3914" s="102" t="s">
        <v>1382</v>
      </c>
      <c r="AA3914" s="352">
        <v>77.2</v>
      </c>
      <c r="AB3914" s="352">
        <v>11</v>
      </c>
      <c r="AC3914" s="101" t="s">
        <v>175</v>
      </c>
      <c r="AD3914" s="101">
        <v>7.8</v>
      </c>
      <c r="AE3914" s="101">
        <v>2.17</v>
      </c>
      <c r="AG3914" s="101" t="s">
        <v>3436</v>
      </c>
      <c r="AH3914" s="101" t="s">
        <v>3437</v>
      </c>
      <c r="AI3914" s="101" t="s">
        <v>577</v>
      </c>
      <c r="AJ3914" s="101" t="s">
        <v>2327</v>
      </c>
      <c r="AK3914" s="101" t="s">
        <v>229</v>
      </c>
      <c r="AW3914" s="24" t="s">
        <v>3293</v>
      </c>
      <c r="BK3914" s="101">
        <v>5800</v>
      </c>
      <c r="BL3914" s="101">
        <v>1400</v>
      </c>
      <c r="BP3914" s="427"/>
      <c r="BQ3914" s="427"/>
      <c r="BU3914" s="427"/>
      <c r="BV3914" s="427"/>
      <c r="BZ3914" s="427"/>
      <c r="CA3914" s="427"/>
      <c r="CE3914" s="580"/>
      <c r="CF3914" s="580"/>
      <c r="CG3914" s="580"/>
      <c r="CH3914" s="580"/>
      <c r="JD3914" s="177"/>
    </row>
    <row r="3915" spans="1:264" s="101" customFormat="1" x14ac:dyDescent="0.25">
      <c r="A3915" s="101">
        <v>172</v>
      </c>
      <c r="B3915" s="102" t="s">
        <v>3441</v>
      </c>
      <c r="C3915" s="101" t="s">
        <v>3418</v>
      </c>
      <c r="D3915" s="101" t="s">
        <v>3358</v>
      </c>
      <c r="E3915" s="101">
        <v>2005</v>
      </c>
      <c r="F3915" s="101">
        <v>1991</v>
      </c>
      <c r="G3915" s="101" t="s">
        <v>2738</v>
      </c>
      <c r="H3915" s="101" t="s">
        <v>3435</v>
      </c>
      <c r="I3915" s="101" t="s">
        <v>2823</v>
      </c>
      <c r="J3915" s="101">
        <v>7.5</v>
      </c>
      <c r="K3915" s="101">
        <f t="shared" si="514"/>
        <v>3.9</v>
      </c>
      <c r="L3915" s="101">
        <v>213</v>
      </c>
      <c r="P3915" s="101">
        <v>1247</v>
      </c>
      <c r="R3915" s="102" t="s">
        <v>1728</v>
      </c>
      <c r="S3915" s="102" t="s">
        <v>1931</v>
      </c>
      <c r="T3915" s="102"/>
      <c r="U3915" s="102" t="s">
        <v>3438</v>
      </c>
      <c r="V3915" s="102" t="s">
        <v>1382</v>
      </c>
      <c r="W3915" s="102" t="s">
        <v>1717</v>
      </c>
      <c r="X3915" s="102" t="s">
        <v>1382</v>
      </c>
      <c r="Y3915" s="102" t="s">
        <v>1382</v>
      </c>
      <c r="AA3915" s="352">
        <v>77.2</v>
      </c>
      <c r="AB3915" s="352">
        <v>11</v>
      </c>
      <c r="AC3915" s="101" t="s">
        <v>175</v>
      </c>
      <c r="AD3915" s="101">
        <v>7.8</v>
      </c>
      <c r="AE3915" s="101">
        <v>2.17</v>
      </c>
      <c r="AG3915" s="101" t="s">
        <v>3436</v>
      </c>
      <c r="AH3915" s="101" t="s">
        <v>3437</v>
      </c>
      <c r="AI3915" s="101" t="s">
        <v>577</v>
      </c>
      <c r="AJ3915" s="101" t="s">
        <v>2327</v>
      </c>
      <c r="AK3915" s="101" t="s">
        <v>229</v>
      </c>
      <c r="AW3915" s="24" t="s">
        <v>3293</v>
      </c>
      <c r="BK3915" s="101">
        <v>8900</v>
      </c>
      <c r="BL3915" s="101">
        <v>3200</v>
      </c>
      <c r="BP3915" s="427"/>
      <c r="BQ3915" s="427"/>
      <c r="BU3915" s="427"/>
      <c r="BV3915" s="427"/>
      <c r="BZ3915" s="427"/>
      <c r="CA3915" s="427"/>
      <c r="CE3915" s="580"/>
      <c r="CF3915" s="580"/>
      <c r="CG3915" s="580"/>
      <c r="CH3915" s="580"/>
      <c r="JD3915" s="177"/>
    </row>
    <row r="3916" spans="1:264" s="101" customFormat="1" x14ac:dyDescent="0.25">
      <c r="A3916" s="101">
        <v>172</v>
      </c>
      <c r="B3916" s="102" t="s">
        <v>3441</v>
      </c>
      <c r="C3916" s="101" t="s">
        <v>3418</v>
      </c>
      <c r="D3916" s="101" t="s">
        <v>3358</v>
      </c>
      <c r="E3916" s="101">
        <v>2005</v>
      </c>
      <c r="F3916" s="101">
        <v>1991</v>
      </c>
      <c r="G3916" s="101" t="s">
        <v>2738</v>
      </c>
      <c r="H3916" s="101" t="s">
        <v>3435</v>
      </c>
      <c r="I3916" s="101" t="s">
        <v>2823</v>
      </c>
      <c r="J3916" s="101">
        <v>7.5</v>
      </c>
      <c r="K3916" s="101">
        <f t="shared" si="514"/>
        <v>3.9</v>
      </c>
      <c r="L3916" s="101">
        <v>213</v>
      </c>
      <c r="P3916" s="101">
        <v>1247</v>
      </c>
      <c r="R3916" s="102" t="s">
        <v>1728</v>
      </c>
      <c r="S3916" s="102" t="s">
        <v>1931</v>
      </c>
      <c r="T3916" s="102"/>
      <c r="U3916" s="102" t="s">
        <v>3438</v>
      </c>
      <c r="V3916" s="102" t="s">
        <v>1382</v>
      </c>
      <c r="W3916" s="102" t="s">
        <v>1717</v>
      </c>
      <c r="X3916" s="102" t="s">
        <v>1382</v>
      </c>
      <c r="Y3916" s="102" t="s">
        <v>1382</v>
      </c>
      <c r="AA3916" s="352">
        <v>77.2</v>
      </c>
      <c r="AB3916" s="352">
        <v>11</v>
      </c>
      <c r="AC3916" s="101" t="s">
        <v>175</v>
      </c>
      <c r="AD3916" s="101">
        <v>7.8</v>
      </c>
      <c r="AE3916" s="101">
        <v>2.17</v>
      </c>
      <c r="AG3916" s="101" t="s">
        <v>3436</v>
      </c>
      <c r="AH3916" s="101" t="s">
        <v>3437</v>
      </c>
      <c r="AI3916" s="101" t="s">
        <v>577</v>
      </c>
      <c r="AJ3916" s="101" t="s">
        <v>2327</v>
      </c>
      <c r="AK3916" s="101" t="s">
        <v>229</v>
      </c>
      <c r="AW3916" s="24" t="s">
        <v>3293</v>
      </c>
      <c r="BP3916" s="427"/>
      <c r="BQ3916" s="427"/>
      <c r="BU3916" s="427"/>
      <c r="BV3916" s="427"/>
      <c r="BZ3916" s="427"/>
      <c r="CA3916" s="427"/>
      <c r="CE3916" s="580"/>
      <c r="CF3916" s="580"/>
      <c r="CG3916" s="580"/>
      <c r="CH3916" s="580"/>
      <c r="JD3916" s="177"/>
    </row>
    <row r="3917" spans="1:264" s="101" customFormat="1" x14ac:dyDescent="0.25">
      <c r="A3917" s="101">
        <v>172</v>
      </c>
      <c r="B3917" s="102" t="s">
        <v>3441</v>
      </c>
      <c r="C3917" s="101" t="s">
        <v>3418</v>
      </c>
      <c r="D3917" s="101" t="s">
        <v>3358</v>
      </c>
      <c r="E3917" s="101">
        <v>2005</v>
      </c>
      <c r="F3917" s="101">
        <v>1991</v>
      </c>
      <c r="G3917" s="101" t="s">
        <v>2738</v>
      </c>
      <c r="H3917" s="101" t="s">
        <v>3435</v>
      </c>
      <c r="I3917" s="101" t="s">
        <v>2823</v>
      </c>
      <c r="J3917" s="101">
        <v>7.5</v>
      </c>
      <c r="K3917" s="101">
        <f t="shared" si="514"/>
        <v>3.9</v>
      </c>
      <c r="L3917" s="101">
        <v>213</v>
      </c>
      <c r="P3917" s="101">
        <v>1247</v>
      </c>
      <c r="R3917" s="102" t="s">
        <v>1728</v>
      </c>
      <c r="S3917" s="102" t="s">
        <v>1931</v>
      </c>
      <c r="T3917" s="102"/>
      <c r="U3917" s="102" t="s">
        <v>3438</v>
      </c>
      <c r="V3917" s="102" t="s">
        <v>1382</v>
      </c>
      <c r="W3917" s="102" t="s">
        <v>1717</v>
      </c>
      <c r="X3917" s="102" t="s">
        <v>1382</v>
      </c>
      <c r="Y3917" s="102" t="s">
        <v>1382</v>
      </c>
      <c r="AA3917" s="352">
        <v>77.2</v>
      </c>
      <c r="AB3917" s="352">
        <v>11</v>
      </c>
      <c r="AC3917" s="101" t="s">
        <v>175</v>
      </c>
      <c r="AD3917" s="101">
        <v>7.8</v>
      </c>
      <c r="AE3917" s="101">
        <v>2.17</v>
      </c>
      <c r="AG3917" s="101" t="s">
        <v>3436</v>
      </c>
      <c r="AH3917" s="101" t="s">
        <v>3437</v>
      </c>
      <c r="AI3917" s="101" t="s">
        <v>577</v>
      </c>
      <c r="AJ3917" s="101" t="s">
        <v>2327</v>
      </c>
      <c r="AK3917" s="101" t="s">
        <v>229</v>
      </c>
      <c r="AW3917" s="24" t="s">
        <v>3293</v>
      </c>
      <c r="BP3917" s="427"/>
      <c r="BQ3917" s="427"/>
      <c r="BU3917" s="427"/>
      <c r="BV3917" s="427"/>
      <c r="BZ3917" s="427"/>
      <c r="CA3917" s="427"/>
      <c r="CE3917" s="580"/>
      <c r="CF3917" s="580"/>
      <c r="CG3917" s="580"/>
      <c r="CH3917" s="580"/>
      <c r="JD3917" s="177"/>
    </row>
    <row r="3918" spans="1:264" s="105" customFormat="1" x14ac:dyDescent="0.25">
      <c r="A3918" s="105">
        <v>172</v>
      </c>
      <c r="B3918" s="106" t="s">
        <v>3441</v>
      </c>
      <c r="C3918" s="105" t="s">
        <v>3418</v>
      </c>
      <c r="D3918" s="105" t="s">
        <v>3358</v>
      </c>
      <c r="E3918" s="105">
        <v>2005</v>
      </c>
      <c r="F3918" s="105">
        <v>1992</v>
      </c>
      <c r="G3918" s="105" t="s">
        <v>2738</v>
      </c>
      <c r="H3918" s="105" t="s">
        <v>3435</v>
      </c>
      <c r="I3918" s="105" t="s">
        <v>2823</v>
      </c>
      <c r="J3918" s="105">
        <v>7.5</v>
      </c>
      <c r="K3918" s="105">
        <f t="shared" si="514"/>
        <v>3.9</v>
      </c>
      <c r="L3918" s="105">
        <v>213</v>
      </c>
      <c r="P3918" s="105">
        <v>1247</v>
      </c>
      <c r="R3918" s="106" t="s">
        <v>1858</v>
      </c>
      <c r="S3918" s="106" t="s">
        <v>1931</v>
      </c>
      <c r="T3918" s="106"/>
      <c r="U3918" s="106" t="s">
        <v>3438</v>
      </c>
      <c r="V3918" s="106" t="s">
        <v>1382</v>
      </c>
      <c r="W3918" s="106" t="s">
        <v>1717</v>
      </c>
      <c r="X3918" s="106" t="s">
        <v>1382</v>
      </c>
      <c r="Y3918" s="106" t="s">
        <v>1382</v>
      </c>
      <c r="AA3918" s="354">
        <v>77.2</v>
      </c>
      <c r="AB3918" s="354">
        <v>11</v>
      </c>
      <c r="AC3918" s="105" t="s">
        <v>175</v>
      </c>
      <c r="AD3918" s="105">
        <v>7.8</v>
      </c>
      <c r="AE3918" s="105">
        <v>2.17</v>
      </c>
      <c r="AG3918" s="105" t="s">
        <v>3436</v>
      </c>
      <c r="AH3918" s="105" t="s">
        <v>3437</v>
      </c>
      <c r="AI3918" s="105" t="s">
        <v>577</v>
      </c>
      <c r="AJ3918" s="105" t="s">
        <v>2327</v>
      </c>
      <c r="AK3918" s="105" t="s">
        <v>229</v>
      </c>
      <c r="AW3918" s="32" t="s">
        <v>3293</v>
      </c>
      <c r="BK3918" s="105">
        <v>5100</v>
      </c>
      <c r="BL3918" s="105">
        <v>2900</v>
      </c>
      <c r="BP3918" s="429"/>
      <c r="BQ3918" s="429"/>
      <c r="BU3918" s="429"/>
      <c r="BV3918" s="429"/>
      <c r="BZ3918" s="429"/>
      <c r="CA3918" s="429"/>
      <c r="CE3918" s="582"/>
      <c r="CF3918" s="582"/>
      <c r="CG3918" s="582"/>
      <c r="CH3918" s="582"/>
      <c r="JD3918" s="499"/>
    </row>
    <row r="3919" spans="1:264" s="105" customFormat="1" x14ac:dyDescent="0.25">
      <c r="A3919" s="105">
        <v>172</v>
      </c>
      <c r="B3919" s="106" t="s">
        <v>3441</v>
      </c>
      <c r="C3919" s="105" t="s">
        <v>3418</v>
      </c>
      <c r="D3919" s="105" t="s">
        <v>3358</v>
      </c>
      <c r="E3919" s="105">
        <v>2005</v>
      </c>
      <c r="F3919" s="105">
        <v>1992</v>
      </c>
      <c r="G3919" s="105" t="s">
        <v>2738</v>
      </c>
      <c r="H3919" s="105" t="s">
        <v>3435</v>
      </c>
      <c r="I3919" s="105" t="s">
        <v>2823</v>
      </c>
      <c r="J3919" s="105">
        <v>7.5</v>
      </c>
      <c r="K3919" s="105">
        <f t="shared" si="514"/>
        <v>3.9</v>
      </c>
      <c r="L3919" s="105">
        <v>213</v>
      </c>
      <c r="P3919" s="105">
        <v>1247</v>
      </c>
      <c r="R3919" s="106" t="s">
        <v>1858</v>
      </c>
      <c r="S3919" s="106" t="s">
        <v>1931</v>
      </c>
      <c r="T3919" s="106"/>
      <c r="U3919" s="106" t="s">
        <v>3438</v>
      </c>
      <c r="V3919" s="106" t="s">
        <v>1382</v>
      </c>
      <c r="W3919" s="106" t="s">
        <v>1717</v>
      </c>
      <c r="X3919" s="106" t="s">
        <v>1382</v>
      </c>
      <c r="Y3919" s="106" t="s">
        <v>1382</v>
      </c>
      <c r="AA3919" s="354">
        <v>77.2</v>
      </c>
      <c r="AB3919" s="354">
        <v>11</v>
      </c>
      <c r="AC3919" s="105" t="s">
        <v>175</v>
      </c>
      <c r="AD3919" s="105">
        <v>7.8</v>
      </c>
      <c r="AE3919" s="105">
        <v>2.17</v>
      </c>
      <c r="AG3919" s="105" t="s">
        <v>3436</v>
      </c>
      <c r="AH3919" s="105" t="s">
        <v>3437</v>
      </c>
      <c r="AI3919" s="105" t="s">
        <v>577</v>
      </c>
      <c r="AJ3919" s="105" t="s">
        <v>2327</v>
      </c>
      <c r="AK3919" s="105" t="s">
        <v>229</v>
      </c>
      <c r="AW3919" s="32" t="s">
        <v>3293</v>
      </c>
      <c r="BK3919" s="105">
        <v>5600</v>
      </c>
      <c r="BL3919" s="105">
        <v>3300</v>
      </c>
      <c r="BP3919" s="429"/>
      <c r="BQ3919" s="429"/>
      <c r="BU3919" s="429"/>
      <c r="BV3919" s="429"/>
      <c r="BZ3919" s="429"/>
      <c r="CA3919" s="429"/>
      <c r="CE3919" s="582"/>
      <c r="CF3919" s="582"/>
      <c r="CG3919" s="582"/>
      <c r="CH3919" s="582"/>
      <c r="JD3919" s="499"/>
    </row>
    <row r="3920" spans="1:264" s="105" customFormat="1" x14ac:dyDescent="0.25">
      <c r="A3920" s="105">
        <v>172</v>
      </c>
      <c r="B3920" s="106" t="s">
        <v>3441</v>
      </c>
      <c r="C3920" s="105" t="s">
        <v>3418</v>
      </c>
      <c r="D3920" s="105" t="s">
        <v>3358</v>
      </c>
      <c r="E3920" s="105">
        <v>2005</v>
      </c>
      <c r="F3920" s="105">
        <v>1992</v>
      </c>
      <c r="G3920" s="105" t="s">
        <v>2738</v>
      </c>
      <c r="H3920" s="105" t="s">
        <v>3435</v>
      </c>
      <c r="I3920" s="105" t="s">
        <v>2823</v>
      </c>
      <c r="J3920" s="105">
        <v>7.5</v>
      </c>
      <c r="K3920" s="105">
        <f t="shared" si="514"/>
        <v>3.9</v>
      </c>
      <c r="L3920" s="105">
        <v>213</v>
      </c>
      <c r="P3920" s="105">
        <v>1247</v>
      </c>
      <c r="R3920" s="106" t="s">
        <v>1858</v>
      </c>
      <c r="S3920" s="106" t="s">
        <v>1931</v>
      </c>
      <c r="T3920" s="106"/>
      <c r="U3920" s="106" t="s">
        <v>3438</v>
      </c>
      <c r="V3920" s="106" t="s">
        <v>1382</v>
      </c>
      <c r="W3920" s="106" t="s">
        <v>1717</v>
      </c>
      <c r="X3920" s="106" t="s">
        <v>1382</v>
      </c>
      <c r="Y3920" s="106" t="s">
        <v>1382</v>
      </c>
      <c r="AA3920" s="354">
        <v>77.2</v>
      </c>
      <c r="AB3920" s="354">
        <v>11</v>
      </c>
      <c r="AC3920" s="105" t="s">
        <v>175</v>
      </c>
      <c r="AD3920" s="105">
        <v>7.8</v>
      </c>
      <c r="AE3920" s="105">
        <v>2.17</v>
      </c>
      <c r="AG3920" s="105" t="s">
        <v>3436</v>
      </c>
      <c r="AH3920" s="105" t="s">
        <v>3437</v>
      </c>
      <c r="AI3920" s="105" t="s">
        <v>577</v>
      </c>
      <c r="AJ3920" s="105" t="s">
        <v>2327</v>
      </c>
      <c r="AK3920" s="105" t="s">
        <v>229</v>
      </c>
      <c r="AW3920" s="32" t="s">
        <v>3293</v>
      </c>
      <c r="BK3920" s="105">
        <v>9500</v>
      </c>
      <c r="BL3920" s="105">
        <v>3900</v>
      </c>
      <c r="BP3920" s="429"/>
      <c r="BQ3920" s="429"/>
      <c r="BU3920" s="429"/>
      <c r="BV3920" s="429"/>
      <c r="BZ3920" s="429"/>
      <c r="CA3920" s="429"/>
      <c r="CE3920" s="582"/>
      <c r="CF3920" s="582"/>
      <c r="CG3920" s="582"/>
      <c r="CH3920" s="582"/>
      <c r="JD3920" s="499"/>
    </row>
    <row r="3921" spans="1:264" s="105" customFormat="1" x14ac:dyDescent="0.25">
      <c r="A3921" s="105">
        <v>172</v>
      </c>
      <c r="B3921" s="106" t="s">
        <v>3441</v>
      </c>
      <c r="C3921" s="105" t="s">
        <v>3418</v>
      </c>
      <c r="D3921" s="105" t="s">
        <v>3358</v>
      </c>
      <c r="E3921" s="105">
        <v>2005</v>
      </c>
      <c r="F3921" s="105">
        <v>1992</v>
      </c>
      <c r="G3921" s="105" t="s">
        <v>2738</v>
      </c>
      <c r="H3921" s="105" t="s">
        <v>3435</v>
      </c>
      <c r="I3921" s="105" t="s">
        <v>2823</v>
      </c>
      <c r="J3921" s="105">
        <v>7.5</v>
      </c>
      <c r="K3921" s="105">
        <f t="shared" si="514"/>
        <v>3.9</v>
      </c>
      <c r="L3921" s="105">
        <v>213</v>
      </c>
      <c r="P3921" s="105">
        <v>1247</v>
      </c>
      <c r="R3921" s="106" t="s">
        <v>1858</v>
      </c>
      <c r="S3921" s="106" t="s">
        <v>1931</v>
      </c>
      <c r="T3921" s="106"/>
      <c r="U3921" s="106" t="s">
        <v>3438</v>
      </c>
      <c r="V3921" s="106" t="s">
        <v>1382</v>
      </c>
      <c r="W3921" s="106" t="s">
        <v>1717</v>
      </c>
      <c r="X3921" s="106" t="s">
        <v>1382</v>
      </c>
      <c r="Y3921" s="106" t="s">
        <v>1382</v>
      </c>
      <c r="AA3921" s="354">
        <v>77.2</v>
      </c>
      <c r="AB3921" s="354">
        <v>11</v>
      </c>
      <c r="AC3921" s="105" t="s">
        <v>175</v>
      </c>
      <c r="AD3921" s="105">
        <v>7.8</v>
      </c>
      <c r="AE3921" s="105">
        <v>2.17</v>
      </c>
      <c r="AG3921" s="105" t="s">
        <v>3436</v>
      </c>
      <c r="AH3921" s="105" t="s">
        <v>3437</v>
      </c>
      <c r="AI3921" s="105" t="s">
        <v>577</v>
      </c>
      <c r="AJ3921" s="105" t="s">
        <v>2327</v>
      </c>
      <c r="AK3921" s="105" t="s">
        <v>229</v>
      </c>
      <c r="AW3921" s="32" t="s">
        <v>3293</v>
      </c>
      <c r="BP3921" s="429"/>
      <c r="BQ3921" s="429"/>
      <c r="BU3921" s="429"/>
      <c r="BV3921" s="429"/>
      <c r="BZ3921" s="429"/>
      <c r="CA3921" s="429"/>
      <c r="CE3921" s="582"/>
      <c r="CF3921" s="582"/>
      <c r="CG3921" s="582"/>
      <c r="CH3921" s="582"/>
      <c r="JD3921" s="499"/>
    </row>
    <row r="3922" spans="1:264" s="101" customFormat="1" x14ac:dyDescent="0.25">
      <c r="A3922" s="101">
        <v>172</v>
      </c>
      <c r="B3922" s="102" t="s">
        <v>3441</v>
      </c>
      <c r="C3922" s="101" t="s">
        <v>3418</v>
      </c>
      <c r="D3922" s="101" t="s">
        <v>3358</v>
      </c>
      <c r="E3922" s="101">
        <v>2005</v>
      </c>
      <c r="F3922" s="101">
        <v>1993</v>
      </c>
      <c r="G3922" s="101" t="s">
        <v>2738</v>
      </c>
      <c r="H3922" s="101" t="s">
        <v>3435</v>
      </c>
      <c r="I3922" s="101" t="s">
        <v>2823</v>
      </c>
      <c r="J3922" s="101">
        <v>7.5</v>
      </c>
      <c r="K3922" s="101">
        <f t="shared" si="514"/>
        <v>3.9</v>
      </c>
      <c r="L3922" s="101">
        <v>213</v>
      </c>
      <c r="P3922" s="101">
        <v>1247</v>
      </c>
      <c r="R3922" s="102" t="s">
        <v>1722</v>
      </c>
      <c r="S3922" s="102" t="s">
        <v>1931</v>
      </c>
      <c r="T3922" s="102"/>
      <c r="U3922" s="102" t="s">
        <v>3438</v>
      </c>
      <c r="V3922" s="102" t="s">
        <v>1382</v>
      </c>
      <c r="W3922" s="102" t="s">
        <v>1717</v>
      </c>
      <c r="X3922" s="102" t="s">
        <v>1382</v>
      </c>
      <c r="Y3922" s="102" t="s">
        <v>1382</v>
      </c>
      <c r="AA3922" s="352">
        <v>77.2</v>
      </c>
      <c r="AB3922" s="352">
        <v>11</v>
      </c>
      <c r="AC3922" s="101" t="s">
        <v>175</v>
      </c>
      <c r="AD3922" s="101">
        <v>7.8</v>
      </c>
      <c r="AE3922" s="101">
        <v>2.17</v>
      </c>
      <c r="AG3922" s="101" t="s">
        <v>3436</v>
      </c>
      <c r="AH3922" s="101" t="s">
        <v>3437</v>
      </c>
      <c r="AI3922" s="101" t="s">
        <v>577</v>
      </c>
      <c r="AJ3922" s="101" t="s">
        <v>2327</v>
      </c>
      <c r="AK3922" s="101" t="s">
        <v>229</v>
      </c>
      <c r="AW3922" s="24" t="s">
        <v>3293</v>
      </c>
      <c r="BK3922" s="101">
        <v>6600</v>
      </c>
      <c r="BL3922" s="101">
        <v>8500</v>
      </c>
      <c r="BP3922" s="427"/>
      <c r="BQ3922" s="427"/>
      <c r="BU3922" s="427"/>
      <c r="BV3922" s="427"/>
      <c r="BZ3922" s="427"/>
      <c r="CA3922" s="427"/>
      <c r="CE3922" s="580"/>
      <c r="CF3922" s="580"/>
      <c r="CG3922" s="580"/>
      <c r="CH3922" s="580"/>
      <c r="JD3922" s="177"/>
    </row>
    <row r="3923" spans="1:264" s="101" customFormat="1" x14ac:dyDescent="0.25">
      <c r="A3923" s="101">
        <v>172</v>
      </c>
      <c r="B3923" s="102" t="s">
        <v>3441</v>
      </c>
      <c r="C3923" s="101" t="s">
        <v>3418</v>
      </c>
      <c r="D3923" s="101" t="s">
        <v>3358</v>
      </c>
      <c r="E3923" s="101">
        <v>2005</v>
      </c>
      <c r="F3923" s="101">
        <v>1993</v>
      </c>
      <c r="G3923" s="101" t="s">
        <v>2738</v>
      </c>
      <c r="H3923" s="101" t="s">
        <v>3435</v>
      </c>
      <c r="I3923" s="101" t="s">
        <v>2823</v>
      </c>
      <c r="J3923" s="101">
        <v>7.5</v>
      </c>
      <c r="K3923" s="101">
        <f t="shared" si="514"/>
        <v>3.9</v>
      </c>
      <c r="L3923" s="101">
        <v>213</v>
      </c>
      <c r="P3923" s="101">
        <v>1247</v>
      </c>
      <c r="R3923" s="102" t="s">
        <v>1722</v>
      </c>
      <c r="S3923" s="102" t="s">
        <v>1931</v>
      </c>
      <c r="T3923" s="102"/>
      <c r="U3923" s="102" t="s">
        <v>3438</v>
      </c>
      <c r="V3923" s="102" t="s">
        <v>1382</v>
      </c>
      <c r="W3923" s="102" t="s">
        <v>1717</v>
      </c>
      <c r="X3923" s="102" t="s">
        <v>1382</v>
      </c>
      <c r="Y3923" s="102" t="s">
        <v>1382</v>
      </c>
      <c r="AA3923" s="352">
        <v>77.2</v>
      </c>
      <c r="AB3923" s="352">
        <v>11</v>
      </c>
      <c r="AC3923" s="101" t="s">
        <v>175</v>
      </c>
      <c r="AD3923" s="101">
        <v>7.8</v>
      </c>
      <c r="AE3923" s="101">
        <v>2.17</v>
      </c>
      <c r="AG3923" s="101" t="s">
        <v>3436</v>
      </c>
      <c r="AH3923" s="101" t="s">
        <v>3437</v>
      </c>
      <c r="AI3923" s="101" t="s">
        <v>577</v>
      </c>
      <c r="AJ3923" s="101" t="s">
        <v>2327</v>
      </c>
      <c r="AK3923" s="101" t="s">
        <v>229</v>
      </c>
      <c r="AW3923" s="24" t="s">
        <v>3293</v>
      </c>
      <c r="BK3923" s="101">
        <v>12000</v>
      </c>
      <c r="BL3923" s="101">
        <v>9400</v>
      </c>
      <c r="BP3923" s="427"/>
      <c r="BQ3923" s="427"/>
      <c r="BU3923" s="427"/>
      <c r="BV3923" s="427"/>
      <c r="BZ3923" s="427"/>
      <c r="CA3923" s="427"/>
      <c r="CE3923" s="580"/>
      <c r="CF3923" s="580"/>
      <c r="CG3923" s="580"/>
      <c r="CH3923" s="580"/>
      <c r="JD3923" s="177"/>
    </row>
    <row r="3924" spans="1:264" s="101" customFormat="1" x14ac:dyDescent="0.25">
      <c r="A3924" s="101">
        <v>172</v>
      </c>
      <c r="B3924" s="102" t="s">
        <v>3441</v>
      </c>
      <c r="C3924" s="101" t="s">
        <v>3418</v>
      </c>
      <c r="D3924" s="101" t="s">
        <v>3358</v>
      </c>
      <c r="E3924" s="101">
        <v>2005</v>
      </c>
      <c r="F3924" s="101">
        <v>1993</v>
      </c>
      <c r="G3924" s="101" t="s">
        <v>2738</v>
      </c>
      <c r="H3924" s="101" t="s">
        <v>3435</v>
      </c>
      <c r="I3924" s="101" t="s">
        <v>2823</v>
      </c>
      <c r="J3924" s="101">
        <v>7.5</v>
      </c>
      <c r="K3924" s="101">
        <f t="shared" si="514"/>
        <v>3.9</v>
      </c>
      <c r="L3924" s="101">
        <v>213</v>
      </c>
      <c r="P3924" s="101">
        <v>1247</v>
      </c>
      <c r="R3924" s="102" t="s">
        <v>1722</v>
      </c>
      <c r="S3924" s="102" t="s">
        <v>1931</v>
      </c>
      <c r="T3924" s="102"/>
      <c r="U3924" s="102" t="s">
        <v>3438</v>
      </c>
      <c r="V3924" s="102" t="s">
        <v>1382</v>
      </c>
      <c r="W3924" s="102" t="s">
        <v>1717</v>
      </c>
      <c r="X3924" s="102" t="s">
        <v>1382</v>
      </c>
      <c r="Y3924" s="102" t="s">
        <v>1382</v>
      </c>
      <c r="AA3924" s="352">
        <v>77.2</v>
      </c>
      <c r="AB3924" s="352">
        <v>11</v>
      </c>
      <c r="AC3924" s="101" t="s">
        <v>175</v>
      </c>
      <c r="AD3924" s="101">
        <v>7.8</v>
      </c>
      <c r="AE3924" s="101">
        <v>2.17</v>
      </c>
      <c r="AG3924" s="101" t="s">
        <v>3436</v>
      </c>
      <c r="AH3924" s="101" t="s">
        <v>3437</v>
      </c>
      <c r="AI3924" s="101" t="s">
        <v>577</v>
      </c>
      <c r="AJ3924" s="101" t="s">
        <v>2327</v>
      </c>
      <c r="AK3924" s="101" t="s">
        <v>229</v>
      </c>
      <c r="AW3924" s="24" t="s">
        <v>3293</v>
      </c>
      <c r="BK3924" s="101">
        <v>12700</v>
      </c>
      <c r="BL3924" s="101">
        <v>11100</v>
      </c>
      <c r="BP3924" s="427"/>
      <c r="BQ3924" s="427"/>
      <c r="BU3924" s="427"/>
      <c r="BV3924" s="427"/>
      <c r="BZ3924" s="427"/>
      <c r="CA3924" s="427"/>
      <c r="CE3924" s="580"/>
      <c r="CF3924" s="580"/>
      <c r="CG3924" s="580"/>
      <c r="CH3924" s="580"/>
      <c r="JD3924" s="177"/>
    </row>
    <row r="3925" spans="1:264" s="101" customFormat="1" x14ac:dyDescent="0.25">
      <c r="A3925" s="101">
        <v>172</v>
      </c>
      <c r="B3925" s="102" t="s">
        <v>3441</v>
      </c>
      <c r="C3925" s="101" t="s">
        <v>3418</v>
      </c>
      <c r="D3925" s="101" t="s">
        <v>3358</v>
      </c>
      <c r="E3925" s="101">
        <v>2005</v>
      </c>
      <c r="F3925" s="101">
        <v>1993</v>
      </c>
      <c r="G3925" s="101" t="s">
        <v>2738</v>
      </c>
      <c r="H3925" s="101" t="s">
        <v>3435</v>
      </c>
      <c r="I3925" s="101" t="s">
        <v>2823</v>
      </c>
      <c r="J3925" s="101">
        <v>7.5</v>
      </c>
      <c r="K3925" s="101">
        <f t="shared" si="514"/>
        <v>3.9</v>
      </c>
      <c r="L3925" s="101">
        <v>213</v>
      </c>
      <c r="P3925" s="101">
        <v>1247</v>
      </c>
      <c r="R3925" s="102" t="s">
        <v>1722</v>
      </c>
      <c r="S3925" s="102" t="s">
        <v>1931</v>
      </c>
      <c r="T3925" s="102"/>
      <c r="U3925" s="102" t="s">
        <v>3438</v>
      </c>
      <c r="V3925" s="102" t="s">
        <v>1382</v>
      </c>
      <c r="W3925" s="102" t="s">
        <v>1717</v>
      </c>
      <c r="X3925" s="102" t="s">
        <v>1382</v>
      </c>
      <c r="Y3925" s="102" t="s">
        <v>1382</v>
      </c>
      <c r="AA3925" s="352">
        <v>77.2</v>
      </c>
      <c r="AB3925" s="352">
        <v>11</v>
      </c>
      <c r="AC3925" s="101" t="s">
        <v>175</v>
      </c>
      <c r="AD3925" s="101">
        <v>7.8</v>
      </c>
      <c r="AE3925" s="101">
        <v>2.17</v>
      </c>
      <c r="AG3925" s="101" t="s">
        <v>3436</v>
      </c>
      <c r="AH3925" s="101" t="s">
        <v>3437</v>
      </c>
      <c r="AI3925" s="101" t="s">
        <v>577</v>
      </c>
      <c r="AJ3925" s="101" t="s">
        <v>2327</v>
      </c>
      <c r="AK3925" s="101" t="s">
        <v>229</v>
      </c>
      <c r="AW3925" s="24" t="s">
        <v>3293</v>
      </c>
      <c r="BK3925" s="101">
        <v>11500</v>
      </c>
      <c r="BL3925" s="101">
        <v>12500</v>
      </c>
      <c r="BP3925" s="427"/>
      <c r="BQ3925" s="427"/>
      <c r="BU3925" s="427"/>
      <c r="BV3925" s="427"/>
      <c r="BZ3925" s="427"/>
      <c r="CA3925" s="427"/>
      <c r="CE3925" s="580"/>
      <c r="CF3925" s="580"/>
      <c r="CG3925" s="580"/>
      <c r="CH3925" s="580"/>
      <c r="JD3925" s="177"/>
    </row>
    <row r="3926" spans="1:264" s="105" customFormat="1" x14ac:dyDescent="0.25">
      <c r="A3926" s="105">
        <v>172</v>
      </c>
      <c r="B3926" s="106" t="s">
        <v>3441</v>
      </c>
      <c r="C3926" s="105" t="s">
        <v>3418</v>
      </c>
      <c r="D3926" s="105" t="s">
        <v>3358</v>
      </c>
      <c r="E3926" s="105">
        <v>2005</v>
      </c>
      <c r="F3926" s="105">
        <v>1994</v>
      </c>
      <c r="G3926" s="105" t="s">
        <v>2738</v>
      </c>
      <c r="H3926" s="105" t="s">
        <v>3435</v>
      </c>
      <c r="I3926" s="105" t="s">
        <v>2823</v>
      </c>
      <c r="J3926" s="105">
        <v>7.5</v>
      </c>
      <c r="K3926" s="105">
        <f t="shared" si="514"/>
        <v>3.9</v>
      </c>
      <c r="L3926" s="105">
        <v>213</v>
      </c>
      <c r="P3926" s="105">
        <v>1247</v>
      </c>
      <c r="R3926" s="106" t="s">
        <v>1843</v>
      </c>
      <c r="S3926" s="106" t="s">
        <v>1931</v>
      </c>
      <c r="T3926" s="106"/>
      <c r="U3926" s="106" t="s">
        <v>3438</v>
      </c>
      <c r="V3926" s="106" t="s">
        <v>1382</v>
      </c>
      <c r="W3926" s="106" t="s">
        <v>1717</v>
      </c>
      <c r="X3926" s="106" t="s">
        <v>1382</v>
      </c>
      <c r="Y3926" s="106" t="s">
        <v>1382</v>
      </c>
      <c r="AA3926" s="354">
        <v>77.2</v>
      </c>
      <c r="AB3926" s="354">
        <v>11</v>
      </c>
      <c r="AC3926" s="105" t="s">
        <v>175</v>
      </c>
      <c r="AD3926" s="105">
        <v>7.8</v>
      </c>
      <c r="AE3926" s="105">
        <v>2.17</v>
      </c>
      <c r="AG3926" s="105" t="s">
        <v>3436</v>
      </c>
      <c r="AH3926" s="105" t="s">
        <v>3437</v>
      </c>
      <c r="AI3926" s="105" t="s">
        <v>577</v>
      </c>
      <c r="AJ3926" s="105" t="s">
        <v>2327</v>
      </c>
      <c r="AK3926" s="105" t="s">
        <v>229</v>
      </c>
      <c r="AW3926" s="32" t="s">
        <v>3293</v>
      </c>
      <c r="BK3926" s="105">
        <v>3800</v>
      </c>
      <c r="BL3926" s="105">
        <v>3300</v>
      </c>
      <c r="BP3926" s="429"/>
      <c r="BQ3926" s="429"/>
      <c r="BU3926" s="429"/>
      <c r="BV3926" s="429"/>
      <c r="BZ3926" s="429"/>
      <c r="CA3926" s="429"/>
      <c r="CE3926" s="582"/>
      <c r="CF3926" s="582"/>
      <c r="CG3926" s="582"/>
      <c r="CH3926" s="582"/>
      <c r="JD3926" s="499"/>
    </row>
    <row r="3927" spans="1:264" s="105" customFormat="1" x14ac:dyDescent="0.25">
      <c r="A3927" s="105">
        <v>172</v>
      </c>
      <c r="B3927" s="106" t="s">
        <v>3441</v>
      </c>
      <c r="C3927" s="105" t="s">
        <v>3418</v>
      </c>
      <c r="D3927" s="105" t="s">
        <v>3358</v>
      </c>
      <c r="E3927" s="105">
        <v>2005</v>
      </c>
      <c r="F3927" s="105">
        <v>1994</v>
      </c>
      <c r="G3927" s="105" t="s">
        <v>2738</v>
      </c>
      <c r="H3927" s="105" t="s">
        <v>3435</v>
      </c>
      <c r="I3927" s="105" t="s">
        <v>2823</v>
      </c>
      <c r="J3927" s="105">
        <v>7.5</v>
      </c>
      <c r="K3927" s="105">
        <f t="shared" si="514"/>
        <v>3.9</v>
      </c>
      <c r="L3927" s="105">
        <v>213</v>
      </c>
      <c r="P3927" s="105">
        <v>1247</v>
      </c>
      <c r="R3927" s="106" t="s">
        <v>1843</v>
      </c>
      <c r="S3927" s="106" t="s">
        <v>1931</v>
      </c>
      <c r="T3927" s="106"/>
      <c r="U3927" s="106" t="s">
        <v>3438</v>
      </c>
      <c r="V3927" s="106" t="s">
        <v>1382</v>
      </c>
      <c r="W3927" s="106" t="s">
        <v>1717</v>
      </c>
      <c r="X3927" s="106" t="s">
        <v>1382</v>
      </c>
      <c r="Y3927" s="106" t="s">
        <v>1382</v>
      </c>
      <c r="AA3927" s="354">
        <v>77.2</v>
      </c>
      <c r="AB3927" s="354">
        <v>11</v>
      </c>
      <c r="AC3927" s="105" t="s">
        <v>175</v>
      </c>
      <c r="AD3927" s="105">
        <v>7.8</v>
      </c>
      <c r="AE3927" s="105">
        <v>2.17</v>
      </c>
      <c r="AG3927" s="105" t="s">
        <v>3436</v>
      </c>
      <c r="AH3927" s="105" t="s">
        <v>3437</v>
      </c>
      <c r="AI3927" s="105" t="s">
        <v>577</v>
      </c>
      <c r="AJ3927" s="105" t="s">
        <v>2327</v>
      </c>
      <c r="AK3927" s="105" t="s">
        <v>229</v>
      </c>
      <c r="AW3927" s="32" t="s">
        <v>3293</v>
      </c>
      <c r="BK3927" s="105">
        <v>8800</v>
      </c>
      <c r="BL3927" s="105">
        <v>6200</v>
      </c>
      <c r="BP3927" s="429"/>
      <c r="BQ3927" s="429"/>
      <c r="BU3927" s="429"/>
      <c r="BV3927" s="429"/>
      <c r="BZ3927" s="429"/>
      <c r="CA3927" s="429"/>
      <c r="CE3927" s="582"/>
      <c r="CF3927" s="582"/>
      <c r="CG3927" s="582"/>
      <c r="CH3927" s="582"/>
      <c r="JD3927" s="499"/>
    </row>
    <row r="3928" spans="1:264" s="105" customFormat="1" x14ac:dyDescent="0.25">
      <c r="A3928" s="105">
        <v>172</v>
      </c>
      <c r="B3928" s="106" t="s">
        <v>3441</v>
      </c>
      <c r="C3928" s="105" t="s">
        <v>3418</v>
      </c>
      <c r="D3928" s="105" t="s">
        <v>3358</v>
      </c>
      <c r="E3928" s="105">
        <v>2005</v>
      </c>
      <c r="F3928" s="105">
        <v>1994</v>
      </c>
      <c r="G3928" s="105" t="s">
        <v>2738</v>
      </c>
      <c r="H3928" s="105" t="s">
        <v>3435</v>
      </c>
      <c r="I3928" s="105" t="s">
        <v>2823</v>
      </c>
      <c r="J3928" s="105">
        <v>7.5</v>
      </c>
      <c r="K3928" s="105">
        <f t="shared" si="514"/>
        <v>3.9</v>
      </c>
      <c r="L3928" s="105">
        <v>213</v>
      </c>
      <c r="P3928" s="105">
        <v>1247</v>
      </c>
      <c r="R3928" s="106" t="s">
        <v>1843</v>
      </c>
      <c r="S3928" s="106" t="s">
        <v>1931</v>
      </c>
      <c r="T3928" s="106"/>
      <c r="U3928" s="106" t="s">
        <v>3438</v>
      </c>
      <c r="V3928" s="106" t="s">
        <v>1382</v>
      </c>
      <c r="W3928" s="106" t="s">
        <v>1717</v>
      </c>
      <c r="X3928" s="106" t="s">
        <v>1382</v>
      </c>
      <c r="Y3928" s="106" t="s">
        <v>1382</v>
      </c>
      <c r="AA3928" s="354">
        <v>77.2</v>
      </c>
      <c r="AB3928" s="354">
        <v>11</v>
      </c>
      <c r="AC3928" s="105" t="s">
        <v>175</v>
      </c>
      <c r="AD3928" s="105">
        <v>7.8</v>
      </c>
      <c r="AE3928" s="105">
        <v>2.17</v>
      </c>
      <c r="AG3928" s="105" t="s">
        <v>3436</v>
      </c>
      <c r="AH3928" s="105" t="s">
        <v>3437</v>
      </c>
      <c r="AI3928" s="105" t="s">
        <v>577</v>
      </c>
      <c r="AJ3928" s="105" t="s">
        <v>2327</v>
      </c>
      <c r="AK3928" s="105" t="s">
        <v>229</v>
      </c>
      <c r="AW3928" s="32" t="s">
        <v>3293</v>
      </c>
      <c r="BK3928" s="105">
        <v>10200</v>
      </c>
      <c r="BL3928" s="105">
        <v>8800</v>
      </c>
      <c r="BP3928" s="429"/>
      <c r="BQ3928" s="429"/>
      <c r="BU3928" s="429"/>
      <c r="BV3928" s="429"/>
      <c r="BZ3928" s="429"/>
      <c r="CA3928" s="429"/>
      <c r="CE3928" s="582"/>
      <c r="CF3928" s="582"/>
      <c r="CG3928" s="582"/>
      <c r="CH3928" s="582"/>
      <c r="JD3928" s="499"/>
    </row>
    <row r="3929" spans="1:264" s="105" customFormat="1" x14ac:dyDescent="0.25">
      <c r="A3929" s="105">
        <v>172</v>
      </c>
      <c r="B3929" s="106" t="s">
        <v>3441</v>
      </c>
      <c r="C3929" s="105" t="s">
        <v>3418</v>
      </c>
      <c r="D3929" s="105" t="s">
        <v>3358</v>
      </c>
      <c r="E3929" s="105">
        <v>2005</v>
      </c>
      <c r="F3929" s="105">
        <v>1994</v>
      </c>
      <c r="G3929" s="105" t="s">
        <v>2738</v>
      </c>
      <c r="H3929" s="105" t="s">
        <v>3435</v>
      </c>
      <c r="I3929" s="105" t="s">
        <v>2823</v>
      </c>
      <c r="J3929" s="105">
        <v>7.5</v>
      </c>
      <c r="K3929" s="105">
        <f t="shared" si="514"/>
        <v>3.9</v>
      </c>
      <c r="L3929" s="105">
        <v>213</v>
      </c>
      <c r="P3929" s="105">
        <v>1247</v>
      </c>
      <c r="R3929" s="106" t="s">
        <v>1843</v>
      </c>
      <c r="S3929" s="106" t="s">
        <v>1931</v>
      </c>
      <c r="T3929" s="106"/>
      <c r="U3929" s="106" t="s">
        <v>3438</v>
      </c>
      <c r="V3929" s="106" t="s">
        <v>1382</v>
      </c>
      <c r="W3929" s="106" t="s">
        <v>1717</v>
      </c>
      <c r="X3929" s="106" t="s">
        <v>1382</v>
      </c>
      <c r="Y3929" s="106" t="s">
        <v>1382</v>
      </c>
      <c r="AA3929" s="354">
        <v>77.2</v>
      </c>
      <c r="AB3929" s="354">
        <v>11</v>
      </c>
      <c r="AC3929" s="105" t="s">
        <v>175</v>
      </c>
      <c r="AD3929" s="105">
        <v>7.8</v>
      </c>
      <c r="AE3929" s="105">
        <v>2.17</v>
      </c>
      <c r="AG3929" s="105" t="s">
        <v>3436</v>
      </c>
      <c r="AH3929" s="105" t="s">
        <v>3437</v>
      </c>
      <c r="AI3929" s="105" t="s">
        <v>577</v>
      </c>
      <c r="AJ3929" s="105" t="s">
        <v>2327</v>
      </c>
      <c r="AK3929" s="105" t="s">
        <v>229</v>
      </c>
      <c r="AW3929" s="32" t="s">
        <v>3293</v>
      </c>
      <c r="BK3929" s="105">
        <v>10400</v>
      </c>
      <c r="BL3929" s="105">
        <v>9500</v>
      </c>
      <c r="BP3929" s="429"/>
      <c r="BQ3929" s="429"/>
      <c r="BU3929" s="429"/>
      <c r="BV3929" s="429"/>
      <c r="BZ3929" s="429"/>
      <c r="CA3929" s="429"/>
      <c r="CE3929" s="582"/>
      <c r="CF3929" s="582"/>
      <c r="CG3929" s="582"/>
      <c r="CH3929" s="582"/>
      <c r="JD3929" s="499"/>
    </row>
    <row r="3930" spans="1:264" s="101" customFormat="1" x14ac:dyDescent="0.25">
      <c r="A3930" s="101">
        <v>172</v>
      </c>
      <c r="B3930" s="102" t="s">
        <v>3441</v>
      </c>
      <c r="C3930" s="101" t="s">
        <v>3418</v>
      </c>
      <c r="D3930" s="101" t="s">
        <v>3358</v>
      </c>
      <c r="E3930" s="101">
        <v>2005</v>
      </c>
      <c r="F3930" s="101">
        <v>1995</v>
      </c>
      <c r="G3930" s="101" t="s">
        <v>2738</v>
      </c>
      <c r="H3930" s="101" t="s">
        <v>3435</v>
      </c>
      <c r="I3930" s="101" t="s">
        <v>2823</v>
      </c>
      <c r="J3930" s="101">
        <v>7.5</v>
      </c>
      <c r="K3930" s="101">
        <f t="shared" si="514"/>
        <v>3.9</v>
      </c>
      <c r="L3930" s="101">
        <v>213</v>
      </c>
      <c r="P3930" s="101">
        <v>1247</v>
      </c>
      <c r="R3930" s="102" t="s">
        <v>1734</v>
      </c>
      <c r="S3930" s="102" t="s">
        <v>1931</v>
      </c>
      <c r="T3930" s="102"/>
      <c r="U3930" s="102" t="s">
        <v>3438</v>
      </c>
      <c r="V3930" s="102" t="s">
        <v>1382</v>
      </c>
      <c r="W3930" s="102" t="s">
        <v>1717</v>
      </c>
      <c r="X3930" s="102" t="s">
        <v>1382</v>
      </c>
      <c r="Y3930" s="102" t="s">
        <v>1382</v>
      </c>
      <c r="AA3930" s="352">
        <v>77.2</v>
      </c>
      <c r="AB3930" s="352">
        <v>11</v>
      </c>
      <c r="AC3930" s="101" t="s">
        <v>175</v>
      </c>
      <c r="AD3930" s="101">
        <v>7.8</v>
      </c>
      <c r="AE3930" s="101">
        <v>2.17</v>
      </c>
      <c r="AG3930" s="101" t="s">
        <v>3436</v>
      </c>
      <c r="AH3930" s="101" t="s">
        <v>3437</v>
      </c>
      <c r="AI3930" s="101" t="s">
        <v>577</v>
      </c>
      <c r="AJ3930" s="101" t="s">
        <v>2327</v>
      </c>
      <c r="AK3930" s="101" t="s">
        <v>229</v>
      </c>
      <c r="AW3930" s="24" t="s">
        <v>3293</v>
      </c>
      <c r="BK3930" s="101">
        <v>8100</v>
      </c>
      <c r="BL3930" s="101">
        <v>6500</v>
      </c>
      <c r="BP3930" s="427"/>
      <c r="BQ3930" s="427"/>
      <c r="BU3930" s="427"/>
      <c r="BV3930" s="427"/>
      <c r="BZ3930" s="427"/>
      <c r="CA3930" s="427"/>
      <c r="CE3930" s="580"/>
      <c r="CF3930" s="580"/>
      <c r="CG3930" s="580"/>
      <c r="CH3930" s="580"/>
      <c r="JD3930" s="177"/>
    </row>
    <row r="3931" spans="1:264" s="101" customFormat="1" x14ac:dyDescent="0.25">
      <c r="A3931" s="101">
        <v>172</v>
      </c>
      <c r="B3931" s="102" t="s">
        <v>3441</v>
      </c>
      <c r="C3931" s="101" t="s">
        <v>3418</v>
      </c>
      <c r="D3931" s="101" t="s">
        <v>3358</v>
      </c>
      <c r="E3931" s="101">
        <v>2005</v>
      </c>
      <c r="F3931" s="101">
        <v>1995</v>
      </c>
      <c r="G3931" s="101" t="s">
        <v>2738</v>
      </c>
      <c r="H3931" s="101" t="s">
        <v>3435</v>
      </c>
      <c r="I3931" s="101" t="s">
        <v>2823</v>
      </c>
      <c r="J3931" s="101">
        <v>7.5</v>
      </c>
      <c r="K3931" s="101">
        <f t="shared" si="514"/>
        <v>3.9</v>
      </c>
      <c r="L3931" s="101">
        <v>213</v>
      </c>
      <c r="P3931" s="101">
        <v>1247</v>
      </c>
      <c r="R3931" s="102" t="s">
        <v>1734</v>
      </c>
      <c r="S3931" s="102" t="s">
        <v>1931</v>
      </c>
      <c r="T3931" s="102"/>
      <c r="U3931" s="102" t="s">
        <v>3438</v>
      </c>
      <c r="V3931" s="102" t="s">
        <v>1382</v>
      </c>
      <c r="W3931" s="102" t="s">
        <v>1717</v>
      </c>
      <c r="X3931" s="102" t="s">
        <v>1382</v>
      </c>
      <c r="Y3931" s="102" t="s">
        <v>1382</v>
      </c>
      <c r="AA3931" s="352">
        <v>77.2</v>
      </c>
      <c r="AB3931" s="352">
        <v>11</v>
      </c>
      <c r="AC3931" s="101" t="s">
        <v>175</v>
      </c>
      <c r="AD3931" s="101">
        <v>7.8</v>
      </c>
      <c r="AE3931" s="101">
        <v>2.17</v>
      </c>
      <c r="AG3931" s="101" t="s">
        <v>3436</v>
      </c>
      <c r="AH3931" s="101" t="s">
        <v>3437</v>
      </c>
      <c r="AI3931" s="101" t="s">
        <v>577</v>
      </c>
      <c r="AJ3931" s="101" t="s">
        <v>2327</v>
      </c>
      <c r="AK3931" s="101" t="s">
        <v>229</v>
      </c>
      <c r="AW3931" s="24" t="s">
        <v>3293</v>
      </c>
      <c r="BK3931" s="101">
        <v>8900</v>
      </c>
      <c r="BL3931" s="101">
        <v>7300</v>
      </c>
      <c r="BP3931" s="427"/>
      <c r="BQ3931" s="427"/>
      <c r="BU3931" s="427"/>
      <c r="BV3931" s="427"/>
      <c r="BZ3931" s="427"/>
      <c r="CA3931" s="427"/>
      <c r="CE3931" s="580"/>
      <c r="CF3931" s="580"/>
      <c r="CG3931" s="580"/>
      <c r="CH3931" s="580"/>
      <c r="JD3931" s="177"/>
    </row>
    <row r="3932" spans="1:264" s="101" customFormat="1" x14ac:dyDescent="0.25">
      <c r="A3932" s="101">
        <v>172</v>
      </c>
      <c r="B3932" s="102" t="s">
        <v>3441</v>
      </c>
      <c r="C3932" s="101" t="s">
        <v>3418</v>
      </c>
      <c r="D3932" s="101" t="s">
        <v>3358</v>
      </c>
      <c r="E3932" s="101">
        <v>2005</v>
      </c>
      <c r="F3932" s="101">
        <v>1995</v>
      </c>
      <c r="G3932" s="101" t="s">
        <v>2738</v>
      </c>
      <c r="H3932" s="101" t="s">
        <v>3435</v>
      </c>
      <c r="I3932" s="101" t="s">
        <v>2823</v>
      </c>
      <c r="J3932" s="101">
        <v>7.5</v>
      </c>
      <c r="K3932" s="101">
        <f t="shared" si="514"/>
        <v>3.9</v>
      </c>
      <c r="L3932" s="101">
        <v>213</v>
      </c>
      <c r="P3932" s="101">
        <v>1247</v>
      </c>
      <c r="R3932" s="102" t="s">
        <v>1734</v>
      </c>
      <c r="S3932" s="102" t="s">
        <v>1931</v>
      </c>
      <c r="T3932" s="102"/>
      <c r="U3932" s="102" t="s">
        <v>3438</v>
      </c>
      <c r="V3932" s="102" t="s">
        <v>1382</v>
      </c>
      <c r="W3932" s="102" t="s">
        <v>1717</v>
      </c>
      <c r="X3932" s="102" t="s">
        <v>1382</v>
      </c>
      <c r="Y3932" s="102" t="s">
        <v>1382</v>
      </c>
      <c r="AA3932" s="352">
        <v>77.2</v>
      </c>
      <c r="AB3932" s="352">
        <v>11</v>
      </c>
      <c r="AC3932" s="101" t="s">
        <v>175</v>
      </c>
      <c r="AD3932" s="101">
        <v>7.8</v>
      </c>
      <c r="AE3932" s="101">
        <v>2.17</v>
      </c>
      <c r="AG3932" s="101" t="s">
        <v>3436</v>
      </c>
      <c r="AH3932" s="101" t="s">
        <v>3437</v>
      </c>
      <c r="AI3932" s="101" t="s">
        <v>577</v>
      </c>
      <c r="AJ3932" s="101" t="s">
        <v>2327</v>
      </c>
      <c r="AK3932" s="101" t="s">
        <v>229</v>
      </c>
      <c r="AW3932" s="24" t="s">
        <v>3293</v>
      </c>
      <c r="BK3932" s="101">
        <v>9500</v>
      </c>
      <c r="BL3932" s="101">
        <v>8300</v>
      </c>
      <c r="BP3932" s="427"/>
      <c r="BQ3932" s="427"/>
      <c r="BU3932" s="427"/>
      <c r="BV3932" s="427"/>
      <c r="BZ3932" s="427"/>
      <c r="CA3932" s="427"/>
      <c r="CE3932" s="580"/>
      <c r="CF3932" s="580"/>
      <c r="CG3932" s="580"/>
      <c r="CH3932" s="580"/>
      <c r="JD3932" s="177"/>
    </row>
    <row r="3933" spans="1:264" s="101" customFormat="1" x14ac:dyDescent="0.25">
      <c r="A3933" s="101">
        <v>172</v>
      </c>
      <c r="B3933" s="102" t="s">
        <v>3441</v>
      </c>
      <c r="C3933" s="101" t="s">
        <v>3418</v>
      </c>
      <c r="D3933" s="101" t="s">
        <v>3358</v>
      </c>
      <c r="E3933" s="101">
        <v>2005</v>
      </c>
      <c r="F3933" s="101">
        <v>1995</v>
      </c>
      <c r="G3933" s="101" t="s">
        <v>2738</v>
      </c>
      <c r="H3933" s="101" t="s">
        <v>3435</v>
      </c>
      <c r="I3933" s="101" t="s">
        <v>2823</v>
      </c>
      <c r="J3933" s="101">
        <v>7.5</v>
      </c>
      <c r="K3933" s="101">
        <f t="shared" si="514"/>
        <v>3.9</v>
      </c>
      <c r="L3933" s="101">
        <v>213</v>
      </c>
      <c r="P3933" s="101">
        <v>1247</v>
      </c>
      <c r="R3933" s="102" t="s">
        <v>1734</v>
      </c>
      <c r="S3933" s="102" t="s">
        <v>1931</v>
      </c>
      <c r="T3933" s="102"/>
      <c r="U3933" s="102" t="s">
        <v>3438</v>
      </c>
      <c r="V3933" s="102" t="s">
        <v>1382</v>
      </c>
      <c r="W3933" s="102" t="s">
        <v>1717</v>
      </c>
      <c r="X3933" s="102" t="s">
        <v>1382</v>
      </c>
      <c r="Y3933" s="102" t="s">
        <v>1382</v>
      </c>
      <c r="AA3933" s="352">
        <v>77.2</v>
      </c>
      <c r="AB3933" s="352">
        <v>11</v>
      </c>
      <c r="AC3933" s="101" t="s">
        <v>175</v>
      </c>
      <c r="AD3933" s="101">
        <v>7.8</v>
      </c>
      <c r="AE3933" s="101">
        <v>2.17</v>
      </c>
      <c r="AG3933" s="101" t="s">
        <v>3436</v>
      </c>
      <c r="AH3933" s="101" t="s">
        <v>3437</v>
      </c>
      <c r="AI3933" s="101" t="s">
        <v>577</v>
      </c>
      <c r="AJ3933" s="101" t="s">
        <v>2327</v>
      </c>
      <c r="AK3933" s="101" t="s">
        <v>229</v>
      </c>
      <c r="AW3933" s="24" t="s">
        <v>3293</v>
      </c>
      <c r="BK3933" s="101">
        <v>11000</v>
      </c>
      <c r="BL3933" s="101">
        <v>10300</v>
      </c>
      <c r="BP3933" s="427"/>
      <c r="BQ3933" s="427"/>
      <c r="BU3933" s="427"/>
      <c r="BV3933" s="427"/>
      <c r="BZ3933" s="427"/>
      <c r="CA3933" s="427"/>
      <c r="CE3933" s="580"/>
      <c r="CF3933" s="580"/>
      <c r="CG3933" s="580"/>
      <c r="CH3933" s="580"/>
      <c r="JD3933" s="177"/>
    </row>
    <row r="3934" spans="1:264" s="105" customFormat="1" x14ac:dyDescent="0.25">
      <c r="A3934" s="105">
        <v>172</v>
      </c>
      <c r="B3934" s="106" t="s">
        <v>3441</v>
      </c>
      <c r="C3934" s="105" t="s">
        <v>3418</v>
      </c>
      <c r="D3934" s="105" t="s">
        <v>3358</v>
      </c>
      <c r="E3934" s="105">
        <v>2005</v>
      </c>
      <c r="F3934" s="105">
        <v>1996</v>
      </c>
      <c r="G3934" s="105" t="s">
        <v>2738</v>
      </c>
      <c r="H3934" s="105" t="s">
        <v>3435</v>
      </c>
      <c r="I3934" s="105" t="s">
        <v>2823</v>
      </c>
      <c r="J3934" s="105">
        <v>7.5</v>
      </c>
      <c r="K3934" s="105">
        <f t="shared" si="514"/>
        <v>3.9</v>
      </c>
      <c r="L3934" s="105">
        <v>213</v>
      </c>
      <c r="P3934" s="105">
        <v>1247</v>
      </c>
      <c r="R3934" s="106" t="s">
        <v>1982</v>
      </c>
      <c r="S3934" s="106" t="s">
        <v>1931</v>
      </c>
      <c r="T3934" s="106"/>
      <c r="U3934" s="106" t="s">
        <v>3438</v>
      </c>
      <c r="V3934" s="106" t="s">
        <v>1382</v>
      </c>
      <c r="W3934" s="106" t="s">
        <v>1717</v>
      </c>
      <c r="X3934" s="106" t="s">
        <v>1382</v>
      </c>
      <c r="Y3934" s="106" t="s">
        <v>1382</v>
      </c>
      <c r="AA3934" s="354">
        <v>77.2</v>
      </c>
      <c r="AB3934" s="354">
        <v>11</v>
      </c>
      <c r="AC3934" s="105" t="s">
        <v>175</v>
      </c>
      <c r="AD3934" s="105">
        <v>7.8</v>
      </c>
      <c r="AE3934" s="105">
        <v>2.17</v>
      </c>
      <c r="AG3934" s="105" t="s">
        <v>3436</v>
      </c>
      <c r="AH3934" s="105" t="s">
        <v>3437</v>
      </c>
      <c r="AI3934" s="105" t="s">
        <v>577</v>
      </c>
      <c r="AJ3934" s="105" t="s">
        <v>2327</v>
      </c>
      <c r="AK3934" s="105" t="s">
        <v>229</v>
      </c>
      <c r="AW3934" s="32" t="s">
        <v>3293</v>
      </c>
      <c r="BK3934" s="105">
        <v>6600</v>
      </c>
      <c r="BL3934" s="105">
        <v>7500</v>
      </c>
      <c r="BP3934" s="429"/>
      <c r="BQ3934" s="429"/>
      <c r="BU3934" s="429"/>
      <c r="BV3934" s="429"/>
      <c r="BZ3934" s="429"/>
      <c r="CA3934" s="429"/>
      <c r="CE3934" s="582"/>
      <c r="CF3934" s="582"/>
      <c r="CG3934" s="582"/>
      <c r="CH3934" s="582"/>
      <c r="JD3934" s="499"/>
    </row>
    <row r="3935" spans="1:264" s="105" customFormat="1" x14ac:dyDescent="0.25">
      <c r="A3935" s="105">
        <v>172</v>
      </c>
      <c r="B3935" s="106" t="s">
        <v>3441</v>
      </c>
      <c r="C3935" s="105" t="s">
        <v>3418</v>
      </c>
      <c r="D3935" s="105" t="s">
        <v>3358</v>
      </c>
      <c r="E3935" s="105">
        <v>2005</v>
      </c>
      <c r="F3935" s="105">
        <v>1996</v>
      </c>
      <c r="G3935" s="105" t="s">
        <v>2738</v>
      </c>
      <c r="H3935" s="105" t="s">
        <v>3435</v>
      </c>
      <c r="I3935" s="105" t="s">
        <v>2823</v>
      </c>
      <c r="J3935" s="105">
        <v>7.5</v>
      </c>
      <c r="K3935" s="105">
        <f t="shared" si="514"/>
        <v>3.9</v>
      </c>
      <c r="L3935" s="105">
        <v>213</v>
      </c>
      <c r="P3935" s="105">
        <v>1247</v>
      </c>
      <c r="R3935" s="106" t="s">
        <v>1982</v>
      </c>
      <c r="S3935" s="106" t="s">
        <v>1931</v>
      </c>
      <c r="T3935" s="106"/>
      <c r="U3935" s="106" t="s">
        <v>3438</v>
      </c>
      <c r="V3935" s="106" t="s">
        <v>1382</v>
      </c>
      <c r="W3935" s="106" t="s">
        <v>1717</v>
      </c>
      <c r="X3935" s="106" t="s">
        <v>1382</v>
      </c>
      <c r="Y3935" s="106" t="s">
        <v>1382</v>
      </c>
      <c r="AA3935" s="354">
        <v>77.2</v>
      </c>
      <c r="AB3935" s="354">
        <v>11</v>
      </c>
      <c r="AC3935" s="105" t="s">
        <v>175</v>
      </c>
      <c r="AD3935" s="105">
        <v>7.8</v>
      </c>
      <c r="AE3935" s="105">
        <v>2.17</v>
      </c>
      <c r="AG3935" s="105" t="s">
        <v>3436</v>
      </c>
      <c r="AH3935" s="105" t="s">
        <v>3437</v>
      </c>
      <c r="AI3935" s="105" t="s">
        <v>577</v>
      </c>
      <c r="AJ3935" s="105" t="s">
        <v>2327</v>
      </c>
      <c r="AK3935" s="105" t="s">
        <v>229</v>
      </c>
      <c r="AW3935" s="32" t="s">
        <v>3293</v>
      </c>
      <c r="BK3935" s="105">
        <v>10100</v>
      </c>
      <c r="BL3935" s="105">
        <v>14200</v>
      </c>
      <c r="BP3935" s="429"/>
      <c r="BQ3935" s="429"/>
      <c r="BU3935" s="429"/>
      <c r="BV3935" s="429"/>
      <c r="BZ3935" s="429"/>
      <c r="CA3935" s="429"/>
      <c r="CE3935" s="582"/>
      <c r="CF3935" s="582"/>
      <c r="CG3935" s="582"/>
      <c r="CH3935" s="582"/>
      <c r="JD3935" s="499"/>
    </row>
    <row r="3936" spans="1:264" s="105" customFormat="1" x14ac:dyDescent="0.25">
      <c r="A3936" s="105">
        <v>172</v>
      </c>
      <c r="B3936" s="106" t="s">
        <v>3441</v>
      </c>
      <c r="C3936" s="105" t="s">
        <v>3418</v>
      </c>
      <c r="D3936" s="105" t="s">
        <v>3358</v>
      </c>
      <c r="E3936" s="105">
        <v>2005</v>
      </c>
      <c r="F3936" s="105">
        <v>1996</v>
      </c>
      <c r="G3936" s="105" t="s">
        <v>2738</v>
      </c>
      <c r="H3936" s="105" t="s">
        <v>3435</v>
      </c>
      <c r="I3936" s="105" t="s">
        <v>2823</v>
      </c>
      <c r="J3936" s="105">
        <v>7.5</v>
      </c>
      <c r="K3936" s="105">
        <f t="shared" si="514"/>
        <v>3.9</v>
      </c>
      <c r="L3936" s="105">
        <v>213</v>
      </c>
      <c r="P3936" s="105">
        <v>1247</v>
      </c>
      <c r="R3936" s="106" t="s">
        <v>1982</v>
      </c>
      <c r="S3936" s="106" t="s">
        <v>1931</v>
      </c>
      <c r="T3936" s="106"/>
      <c r="U3936" s="106" t="s">
        <v>3438</v>
      </c>
      <c r="V3936" s="106" t="s">
        <v>1382</v>
      </c>
      <c r="W3936" s="106" t="s">
        <v>1717</v>
      </c>
      <c r="X3936" s="106" t="s">
        <v>1382</v>
      </c>
      <c r="Y3936" s="106" t="s">
        <v>1382</v>
      </c>
      <c r="AA3936" s="354">
        <v>77.2</v>
      </c>
      <c r="AB3936" s="354">
        <v>11</v>
      </c>
      <c r="AC3936" s="105" t="s">
        <v>175</v>
      </c>
      <c r="AD3936" s="105">
        <v>7.8</v>
      </c>
      <c r="AE3936" s="105">
        <v>2.17</v>
      </c>
      <c r="AG3936" s="105" t="s">
        <v>3436</v>
      </c>
      <c r="AH3936" s="105" t="s">
        <v>3437</v>
      </c>
      <c r="AI3936" s="105" t="s">
        <v>577</v>
      </c>
      <c r="AJ3936" s="105" t="s">
        <v>2327</v>
      </c>
      <c r="AK3936" s="105" t="s">
        <v>229</v>
      </c>
      <c r="AW3936" s="32" t="s">
        <v>3293</v>
      </c>
      <c r="BK3936" s="105">
        <v>8900</v>
      </c>
      <c r="BL3936" s="105">
        <v>13300</v>
      </c>
      <c r="BP3936" s="429"/>
      <c r="BQ3936" s="429"/>
      <c r="BU3936" s="429"/>
      <c r="BV3936" s="429"/>
      <c r="BZ3936" s="429"/>
      <c r="CA3936" s="429"/>
      <c r="CE3936" s="582"/>
      <c r="CF3936" s="582"/>
      <c r="CG3936" s="582"/>
      <c r="CH3936" s="582"/>
      <c r="JD3936" s="499"/>
    </row>
    <row r="3937" spans="1:264" s="105" customFormat="1" x14ac:dyDescent="0.25">
      <c r="A3937" s="105">
        <v>172</v>
      </c>
      <c r="B3937" s="106" t="s">
        <v>3441</v>
      </c>
      <c r="C3937" s="105" t="s">
        <v>3418</v>
      </c>
      <c r="D3937" s="105" t="s">
        <v>3358</v>
      </c>
      <c r="E3937" s="105">
        <v>2005</v>
      </c>
      <c r="F3937" s="105">
        <v>1996</v>
      </c>
      <c r="G3937" s="105" t="s">
        <v>2738</v>
      </c>
      <c r="H3937" s="105" t="s">
        <v>3435</v>
      </c>
      <c r="I3937" s="105" t="s">
        <v>2823</v>
      </c>
      <c r="J3937" s="105">
        <v>7.5</v>
      </c>
      <c r="K3937" s="105">
        <f t="shared" si="514"/>
        <v>3.9</v>
      </c>
      <c r="L3937" s="105">
        <v>213</v>
      </c>
      <c r="P3937" s="105">
        <v>1247</v>
      </c>
      <c r="R3937" s="106" t="s">
        <v>1982</v>
      </c>
      <c r="S3937" s="106" t="s">
        <v>1931</v>
      </c>
      <c r="T3937" s="106"/>
      <c r="U3937" s="106" t="s">
        <v>3438</v>
      </c>
      <c r="V3937" s="106" t="s">
        <v>1382</v>
      </c>
      <c r="W3937" s="106" t="s">
        <v>1717</v>
      </c>
      <c r="X3937" s="106" t="s">
        <v>1382</v>
      </c>
      <c r="Y3937" s="106" t="s">
        <v>1382</v>
      </c>
      <c r="AA3937" s="354">
        <v>77.2</v>
      </c>
      <c r="AB3937" s="354">
        <v>11</v>
      </c>
      <c r="AC3937" s="105" t="s">
        <v>175</v>
      </c>
      <c r="AD3937" s="105">
        <v>7.8</v>
      </c>
      <c r="AE3937" s="105">
        <v>2.17</v>
      </c>
      <c r="AG3937" s="105" t="s">
        <v>3436</v>
      </c>
      <c r="AH3937" s="105" t="s">
        <v>3437</v>
      </c>
      <c r="AI3937" s="105" t="s">
        <v>577</v>
      </c>
      <c r="AJ3937" s="105" t="s">
        <v>2327</v>
      </c>
      <c r="AK3937" s="105" t="s">
        <v>229</v>
      </c>
      <c r="AW3937" s="32" t="s">
        <v>3293</v>
      </c>
      <c r="BK3937" s="105">
        <v>11400</v>
      </c>
      <c r="BL3937" s="105">
        <v>12200</v>
      </c>
      <c r="BP3937" s="429"/>
      <c r="BQ3937" s="429"/>
      <c r="BU3937" s="429"/>
      <c r="BV3937" s="429"/>
      <c r="BZ3937" s="429"/>
      <c r="CA3937" s="429"/>
      <c r="CE3937" s="582"/>
      <c r="CF3937" s="582"/>
      <c r="CG3937" s="582"/>
      <c r="CH3937" s="582"/>
      <c r="JD3937" s="499"/>
    </row>
    <row r="3938" spans="1:264" s="101" customFormat="1" x14ac:dyDescent="0.25">
      <c r="A3938" s="101">
        <v>172</v>
      </c>
      <c r="B3938" s="102" t="s">
        <v>3441</v>
      </c>
      <c r="C3938" s="101" t="s">
        <v>3418</v>
      </c>
      <c r="D3938" s="101" t="s">
        <v>3358</v>
      </c>
      <c r="E3938" s="101">
        <v>2005</v>
      </c>
      <c r="F3938" s="101">
        <v>1997</v>
      </c>
      <c r="G3938" s="101" t="s">
        <v>2738</v>
      </c>
      <c r="H3938" s="101" t="s">
        <v>3435</v>
      </c>
      <c r="I3938" s="101" t="s">
        <v>2823</v>
      </c>
      <c r="J3938" s="101">
        <v>7.5</v>
      </c>
      <c r="K3938" s="101">
        <f t="shared" ref="K3938:K3969" si="515">3+54/60</f>
        <v>3.9</v>
      </c>
      <c r="L3938" s="101">
        <v>213</v>
      </c>
      <c r="P3938" s="101">
        <v>1247</v>
      </c>
      <c r="R3938" s="102" t="s">
        <v>1975</v>
      </c>
      <c r="S3938" s="102" t="s">
        <v>1931</v>
      </c>
      <c r="T3938" s="102"/>
      <c r="U3938" s="102" t="s">
        <v>3438</v>
      </c>
      <c r="V3938" s="102" t="s">
        <v>1382</v>
      </c>
      <c r="W3938" s="102" t="s">
        <v>1717</v>
      </c>
      <c r="X3938" s="102" t="s">
        <v>1382</v>
      </c>
      <c r="Y3938" s="102" t="s">
        <v>1382</v>
      </c>
      <c r="AA3938" s="352">
        <v>77.2</v>
      </c>
      <c r="AB3938" s="352">
        <v>11</v>
      </c>
      <c r="AC3938" s="101" t="s">
        <v>175</v>
      </c>
      <c r="AD3938" s="101">
        <v>7.8</v>
      </c>
      <c r="AE3938" s="101">
        <v>2.17</v>
      </c>
      <c r="AG3938" s="101" t="s">
        <v>3436</v>
      </c>
      <c r="AH3938" s="101" t="s">
        <v>3437</v>
      </c>
      <c r="AI3938" s="101" t="s">
        <v>577</v>
      </c>
      <c r="AJ3938" s="101" t="s">
        <v>2327</v>
      </c>
      <c r="AK3938" s="101" t="s">
        <v>229</v>
      </c>
      <c r="AW3938" s="24" t="s">
        <v>3293</v>
      </c>
      <c r="BK3938" s="101">
        <v>4000</v>
      </c>
      <c r="BL3938" s="101">
        <v>3500</v>
      </c>
      <c r="BP3938" s="427"/>
      <c r="BQ3938" s="427"/>
      <c r="BU3938" s="427"/>
      <c r="BV3938" s="427"/>
      <c r="BZ3938" s="427"/>
      <c r="CA3938" s="427"/>
      <c r="CE3938" s="580"/>
      <c r="CF3938" s="580"/>
      <c r="CG3938" s="580"/>
      <c r="CH3938" s="580"/>
      <c r="JD3938" s="177"/>
    </row>
    <row r="3939" spans="1:264" s="101" customFormat="1" x14ac:dyDescent="0.25">
      <c r="A3939" s="101">
        <v>172</v>
      </c>
      <c r="B3939" s="102" t="s">
        <v>3441</v>
      </c>
      <c r="C3939" s="101" t="s">
        <v>3418</v>
      </c>
      <c r="D3939" s="101" t="s">
        <v>3358</v>
      </c>
      <c r="E3939" s="101">
        <v>2005</v>
      </c>
      <c r="F3939" s="101">
        <v>1997</v>
      </c>
      <c r="G3939" s="101" t="s">
        <v>2738</v>
      </c>
      <c r="H3939" s="101" t="s">
        <v>3435</v>
      </c>
      <c r="I3939" s="101" t="s">
        <v>2823</v>
      </c>
      <c r="J3939" s="101">
        <v>7.5</v>
      </c>
      <c r="K3939" s="101">
        <f t="shared" si="515"/>
        <v>3.9</v>
      </c>
      <c r="L3939" s="101">
        <v>213</v>
      </c>
      <c r="P3939" s="101">
        <v>1247</v>
      </c>
      <c r="R3939" s="102" t="s">
        <v>1975</v>
      </c>
      <c r="S3939" s="102" t="s">
        <v>1931</v>
      </c>
      <c r="T3939" s="102"/>
      <c r="U3939" s="102" t="s">
        <v>3438</v>
      </c>
      <c r="V3939" s="102" t="s">
        <v>1382</v>
      </c>
      <c r="W3939" s="102" t="s">
        <v>1717</v>
      </c>
      <c r="X3939" s="102" t="s">
        <v>1382</v>
      </c>
      <c r="Y3939" s="102" t="s">
        <v>1382</v>
      </c>
      <c r="AA3939" s="352">
        <v>77.2</v>
      </c>
      <c r="AB3939" s="352">
        <v>11</v>
      </c>
      <c r="AC3939" s="101" t="s">
        <v>175</v>
      </c>
      <c r="AD3939" s="101">
        <v>7.8</v>
      </c>
      <c r="AE3939" s="101">
        <v>2.17</v>
      </c>
      <c r="AG3939" s="101" t="s">
        <v>3436</v>
      </c>
      <c r="AH3939" s="101" t="s">
        <v>3437</v>
      </c>
      <c r="AI3939" s="101" t="s">
        <v>577</v>
      </c>
      <c r="AJ3939" s="101" t="s">
        <v>2327</v>
      </c>
      <c r="AK3939" s="101" t="s">
        <v>229</v>
      </c>
      <c r="AW3939" s="24" t="s">
        <v>3293</v>
      </c>
      <c r="BK3939" s="101">
        <v>8800</v>
      </c>
      <c r="BL3939" s="101">
        <v>5900</v>
      </c>
      <c r="BP3939" s="427"/>
      <c r="BQ3939" s="427"/>
      <c r="BU3939" s="427"/>
      <c r="BV3939" s="427"/>
      <c r="BZ3939" s="427"/>
      <c r="CA3939" s="427"/>
      <c r="CE3939" s="580"/>
      <c r="CF3939" s="580"/>
      <c r="CG3939" s="580"/>
      <c r="CH3939" s="580"/>
      <c r="JD3939" s="177"/>
    </row>
    <row r="3940" spans="1:264" s="101" customFormat="1" x14ac:dyDescent="0.25">
      <c r="A3940" s="101">
        <v>172</v>
      </c>
      <c r="B3940" s="102" t="s">
        <v>3441</v>
      </c>
      <c r="C3940" s="101" t="s">
        <v>3418</v>
      </c>
      <c r="D3940" s="101" t="s">
        <v>3358</v>
      </c>
      <c r="E3940" s="101">
        <v>2005</v>
      </c>
      <c r="F3940" s="101">
        <v>1997</v>
      </c>
      <c r="G3940" s="101" t="s">
        <v>2738</v>
      </c>
      <c r="H3940" s="101" t="s">
        <v>3435</v>
      </c>
      <c r="I3940" s="101" t="s">
        <v>2823</v>
      </c>
      <c r="J3940" s="101">
        <v>7.5</v>
      </c>
      <c r="K3940" s="101">
        <f t="shared" si="515"/>
        <v>3.9</v>
      </c>
      <c r="L3940" s="101">
        <v>213</v>
      </c>
      <c r="P3940" s="101">
        <v>1247</v>
      </c>
      <c r="R3940" s="102" t="s">
        <v>1975</v>
      </c>
      <c r="S3940" s="102" t="s">
        <v>1931</v>
      </c>
      <c r="T3940" s="102"/>
      <c r="U3940" s="102" t="s">
        <v>3438</v>
      </c>
      <c r="V3940" s="102" t="s">
        <v>1382</v>
      </c>
      <c r="W3940" s="102" t="s">
        <v>1717</v>
      </c>
      <c r="X3940" s="102" t="s">
        <v>1382</v>
      </c>
      <c r="Y3940" s="102" t="s">
        <v>1382</v>
      </c>
      <c r="AA3940" s="352">
        <v>77.2</v>
      </c>
      <c r="AB3940" s="352">
        <v>11</v>
      </c>
      <c r="AC3940" s="101" t="s">
        <v>175</v>
      </c>
      <c r="AD3940" s="101">
        <v>7.8</v>
      </c>
      <c r="AE3940" s="101">
        <v>2.17</v>
      </c>
      <c r="AG3940" s="101" t="s">
        <v>3436</v>
      </c>
      <c r="AH3940" s="101" t="s">
        <v>3437</v>
      </c>
      <c r="AI3940" s="101" t="s">
        <v>577</v>
      </c>
      <c r="AJ3940" s="101" t="s">
        <v>2327</v>
      </c>
      <c r="AK3940" s="101" t="s">
        <v>229</v>
      </c>
      <c r="AW3940" s="24" t="s">
        <v>3293</v>
      </c>
      <c r="BK3940" s="101">
        <v>6900</v>
      </c>
      <c r="BL3940" s="101">
        <v>5700</v>
      </c>
      <c r="BP3940" s="427"/>
      <c r="BQ3940" s="427"/>
      <c r="BU3940" s="427"/>
      <c r="BV3940" s="427"/>
      <c r="BZ3940" s="427"/>
      <c r="CA3940" s="427"/>
      <c r="CE3940" s="580"/>
      <c r="CF3940" s="580"/>
      <c r="CG3940" s="580"/>
      <c r="CH3940" s="580"/>
      <c r="JD3940" s="177"/>
    </row>
    <row r="3941" spans="1:264" s="101" customFormat="1" x14ac:dyDescent="0.25">
      <c r="A3941" s="101">
        <v>172</v>
      </c>
      <c r="B3941" s="102" t="s">
        <v>3441</v>
      </c>
      <c r="C3941" s="101" t="s">
        <v>3418</v>
      </c>
      <c r="D3941" s="101" t="s">
        <v>3358</v>
      </c>
      <c r="E3941" s="101">
        <v>2005</v>
      </c>
      <c r="F3941" s="101">
        <v>1997</v>
      </c>
      <c r="G3941" s="101" t="s">
        <v>2738</v>
      </c>
      <c r="H3941" s="101" t="s">
        <v>3435</v>
      </c>
      <c r="I3941" s="101" t="s">
        <v>2823</v>
      </c>
      <c r="J3941" s="101">
        <v>7.5</v>
      </c>
      <c r="K3941" s="101">
        <f t="shared" si="515"/>
        <v>3.9</v>
      </c>
      <c r="L3941" s="101">
        <v>213</v>
      </c>
      <c r="P3941" s="101">
        <v>1247</v>
      </c>
      <c r="R3941" s="102" t="s">
        <v>1975</v>
      </c>
      <c r="S3941" s="102" t="s">
        <v>1931</v>
      </c>
      <c r="T3941" s="102"/>
      <c r="U3941" s="102" t="s">
        <v>3438</v>
      </c>
      <c r="V3941" s="102" t="s">
        <v>1382</v>
      </c>
      <c r="W3941" s="102" t="s">
        <v>1717</v>
      </c>
      <c r="X3941" s="102" t="s">
        <v>1382</v>
      </c>
      <c r="Y3941" s="102" t="s">
        <v>1382</v>
      </c>
      <c r="AA3941" s="352">
        <v>77.2</v>
      </c>
      <c r="AB3941" s="352">
        <v>11</v>
      </c>
      <c r="AC3941" s="101" t="s">
        <v>175</v>
      </c>
      <c r="AD3941" s="101">
        <v>7.8</v>
      </c>
      <c r="AE3941" s="101">
        <v>2.17</v>
      </c>
      <c r="AG3941" s="101" t="s">
        <v>3436</v>
      </c>
      <c r="AH3941" s="101" t="s">
        <v>3437</v>
      </c>
      <c r="AI3941" s="101" t="s">
        <v>577</v>
      </c>
      <c r="AJ3941" s="101" t="s">
        <v>2327</v>
      </c>
      <c r="AK3941" s="101" t="s">
        <v>229</v>
      </c>
      <c r="AW3941" s="24" t="s">
        <v>3293</v>
      </c>
      <c r="BK3941" s="101">
        <v>6800</v>
      </c>
      <c r="BL3941" s="101">
        <v>5900</v>
      </c>
      <c r="BP3941" s="427"/>
      <c r="BQ3941" s="427"/>
      <c r="BU3941" s="427"/>
      <c r="BV3941" s="427"/>
      <c r="BZ3941" s="427"/>
      <c r="CA3941" s="427"/>
      <c r="CE3941" s="580"/>
      <c r="CF3941" s="580"/>
      <c r="CG3941" s="580"/>
      <c r="CH3941" s="580"/>
      <c r="JD3941" s="177"/>
    </row>
    <row r="3942" spans="1:264" s="105" customFormat="1" x14ac:dyDescent="0.25">
      <c r="A3942" s="105">
        <v>172</v>
      </c>
      <c r="B3942" s="106" t="s">
        <v>3441</v>
      </c>
      <c r="C3942" s="105" t="s">
        <v>3418</v>
      </c>
      <c r="D3942" s="105" t="s">
        <v>3358</v>
      </c>
      <c r="E3942" s="105">
        <v>2005</v>
      </c>
      <c r="F3942" s="105">
        <v>1998</v>
      </c>
      <c r="G3942" s="105" t="s">
        <v>2738</v>
      </c>
      <c r="H3942" s="105" t="s">
        <v>3435</v>
      </c>
      <c r="I3942" s="105" t="s">
        <v>2823</v>
      </c>
      <c r="J3942" s="105">
        <v>7.5</v>
      </c>
      <c r="K3942" s="105">
        <f t="shared" si="515"/>
        <v>3.9</v>
      </c>
      <c r="L3942" s="105">
        <v>213</v>
      </c>
      <c r="P3942" s="105">
        <v>1247</v>
      </c>
      <c r="R3942" s="106" t="s">
        <v>1719</v>
      </c>
      <c r="S3942" s="106" t="s">
        <v>1931</v>
      </c>
      <c r="T3942" s="106"/>
      <c r="U3942" s="106" t="s">
        <v>3438</v>
      </c>
      <c r="V3942" s="106" t="s">
        <v>1382</v>
      </c>
      <c r="W3942" s="106" t="s">
        <v>1717</v>
      </c>
      <c r="X3942" s="106" t="s">
        <v>1382</v>
      </c>
      <c r="Y3942" s="106" t="s">
        <v>1382</v>
      </c>
      <c r="AA3942" s="354">
        <v>77.2</v>
      </c>
      <c r="AB3942" s="354">
        <v>11</v>
      </c>
      <c r="AC3942" s="105" t="s">
        <v>175</v>
      </c>
      <c r="AD3942" s="105">
        <v>7.8</v>
      </c>
      <c r="AE3942" s="105">
        <v>2.17</v>
      </c>
      <c r="AG3942" s="105" t="s">
        <v>3436</v>
      </c>
      <c r="AH3942" s="105" t="s">
        <v>3437</v>
      </c>
      <c r="AI3942" s="105" t="s">
        <v>577</v>
      </c>
      <c r="AJ3942" s="105" t="s">
        <v>2327</v>
      </c>
      <c r="AK3942" s="105" t="s">
        <v>229</v>
      </c>
      <c r="AW3942" s="32" t="s">
        <v>3293</v>
      </c>
      <c r="BK3942" s="105">
        <v>6400</v>
      </c>
      <c r="BL3942" s="105">
        <v>2600</v>
      </c>
      <c r="BP3942" s="429"/>
      <c r="BQ3942" s="429"/>
      <c r="BU3942" s="429"/>
      <c r="BV3942" s="429"/>
      <c r="BZ3942" s="429"/>
      <c r="CA3942" s="429"/>
      <c r="CE3942" s="582"/>
      <c r="CF3942" s="582"/>
      <c r="CG3942" s="582"/>
      <c r="CH3942" s="582"/>
      <c r="JD3942" s="499"/>
    </row>
    <row r="3943" spans="1:264" s="105" customFormat="1" x14ac:dyDescent="0.25">
      <c r="A3943" s="105">
        <v>172</v>
      </c>
      <c r="B3943" s="106" t="s">
        <v>3441</v>
      </c>
      <c r="C3943" s="105" t="s">
        <v>3418</v>
      </c>
      <c r="D3943" s="105" t="s">
        <v>3358</v>
      </c>
      <c r="E3943" s="105">
        <v>2005</v>
      </c>
      <c r="F3943" s="105">
        <v>1998</v>
      </c>
      <c r="G3943" s="105" t="s">
        <v>2738</v>
      </c>
      <c r="H3943" s="105" t="s">
        <v>3435</v>
      </c>
      <c r="I3943" s="105" t="s">
        <v>2823</v>
      </c>
      <c r="J3943" s="105">
        <v>7.5</v>
      </c>
      <c r="K3943" s="105">
        <f t="shared" si="515"/>
        <v>3.9</v>
      </c>
      <c r="L3943" s="105">
        <v>213</v>
      </c>
      <c r="P3943" s="105">
        <v>1247</v>
      </c>
      <c r="R3943" s="106" t="s">
        <v>1719</v>
      </c>
      <c r="S3943" s="106" t="s">
        <v>1931</v>
      </c>
      <c r="T3943" s="106"/>
      <c r="U3943" s="106" t="s">
        <v>3438</v>
      </c>
      <c r="V3943" s="106" t="s">
        <v>1382</v>
      </c>
      <c r="W3943" s="106" t="s">
        <v>1717</v>
      </c>
      <c r="X3943" s="106" t="s">
        <v>1382</v>
      </c>
      <c r="Y3943" s="106" t="s">
        <v>1382</v>
      </c>
      <c r="AA3943" s="354">
        <v>77.2</v>
      </c>
      <c r="AB3943" s="354">
        <v>11</v>
      </c>
      <c r="AC3943" s="105" t="s">
        <v>175</v>
      </c>
      <c r="AD3943" s="105">
        <v>7.8</v>
      </c>
      <c r="AE3943" s="105">
        <v>2.17</v>
      </c>
      <c r="AG3943" s="105" t="s">
        <v>3436</v>
      </c>
      <c r="AH3943" s="105" t="s">
        <v>3437</v>
      </c>
      <c r="AI3943" s="105" t="s">
        <v>577</v>
      </c>
      <c r="AJ3943" s="105" t="s">
        <v>2327</v>
      </c>
      <c r="AK3943" s="105" t="s">
        <v>229</v>
      </c>
      <c r="AW3943" s="32" t="s">
        <v>3293</v>
      </c>
      <c r="BK3943" s="105">
        <v>5400</v>
      </c>
      <c r="BL3943" s="105">
        <v>5600</v>
      </c>
      <c r="BP3943" s="429"/>
      <c r="BQ3943" s="429"/>
      <c r="BU3943" s="429"/>
      <c r="BV3943" s="429"/>
      <c r="BZ3943" s="429"/>
      <c r="CA3943" s="429"/>
      <c r="CE3943" s="582"/>
      <c r="CF3943" s="582"/>
      <c r="CG3943" s="582"/>
      <c r="CH3943" s="582"/>
      <c r="JD3943" s="499"/>
    </row>
    <row r="3944" spans="1:264" s="105" customFormat="1" x14ac:dyDescent="0.25">
      <c r="A3944" s="105">
        <v>172</v>
      </c>
      <c r="B3944" s="106" t="s">
        <v>3441</v>
      </c>
      <c r="C3944" s="105" t="s">
        <v>3418</v>
      </c>
      <c r="D3944" s="105" t="s">
        <v>3358</v>
      </c>
      <c r="E3944" s="105">
        <v>2005</v>
      </c>
      <c r="F3944" s="105">
        <v>1998</v>
      </c>
      <c r="G3944" s="105" t="s">
        <v>2738</v>
      </c>
      <c r="H3944" s="105" t="s">
        <v>3435</v>
      </c>
      <c r="I3944" s="105" t="s">
        <v>2823</v>
      </c>
      <c r="J3944" s="105">
        <v>7.5</v>
      </c>
      <c r="K3944" s="105">
        <f t="shared" si="515"/>
        <v>3.9</v>
      </c>
      <c r="L3944" s="105">
        <v>213</v>
      </c>
      <c r="P3944" s="105">
        <v>1247</v>
      </c>
      <c r="R3944" s="106" t="s">
        <v>1719</v>
      </c>
      <c r="S3944" s="106" t="s">
        <v>1931</v>
      </c>
      <c r="T3944" s="106"/>
      <c r="U3944" s="106" t="s">
        <v>3438</v>
      </c>
      <c r="V3944" s="106" t="s">
        <v>1382</v>
      </c>
      <c r="W3944" s="106" t="s">
        <v>1717</v>
      </c>
      <c r="X3944" s="106" t="s">
        <v>1382</v>
      </c>
      <c r="Y3944" s="106" t="s">
        <v>1382</v>
      </c>
      <c r="AA3944" s="354">
        <v>77.2</v>
      </c>
      <c r="AB3944" s="354">
        <v>11</v>
      </c>
      <c r="AC3944" s="105" t="s">
        <v>175</v>
      </c>
      <c r="AD3944" s="105">
        <v>7.8</v>
      </c>
      <c r="AE3944" s="105">
        <v>2.17</v>
      </c>
      <c r="AG3944" s="105" t="s">
        <v>3436</v>
      </c>
      <c r="AH3944" s="105" t="s">
        <v>3437</v>
      </c>
      <c r="AI3944" s="105" t="s">
        <v>577</v>
      </c>
      <c r="AJ3944" s="105" t="s">
        <v>2327</v>
      </c>
      <c r="AK3944" s="105" t="s">
        <v>229</v>
      </c>
      <c r="AW3944" s="32" t="s">
        <v>3293</v>
      </c>
      <c r="BK3944" s="105">
        <v>13500</v>
      </c>
      <c r="BL3944" s="105">
        <v>9700</v>
      </c>
      <c r="BP3944" s="429"/>
      <c r="BQ3944" s="429"/>
      <c r="BU3944" s="429"/>
      <c r="BV3944" s="429"/>
      <c r="BZ3944" s="429"/>
      <c r="CA3944" s="429"/>
      <c r="CE3944" s="582"/>
      <c r="CF3944" s="582"/>
      <c r="CG3944" s="582"/>
      <c r="CH3944" s="582"/>
      <c r="JD3944" s="499"/>
    </row>
    <row r="3945" spans="1:264" s="105" customFormat="1" x14ac:dyDescent="0.25">
      <c r="A3945" s="105">
        <v>172</v>
      </c>
      <c r="B3945" s="106" t="s">
        <v>3441</v>
      </c>
      <c r="C3945" s="105" t="s">
        <v>3418</v>
      </c>
      <c r="D3945" s="105" t="s">
        <v>3358</v>
      </c>
      <c r="E3945" s="105">
        <v>2005</v>
      </c>
      <c r="F3945" s="105">
        <v>1998</v>
      </c>
      <c r="G3945" s="105" t="s">
        <v>2738</v>
      </c>
      <c r="H3945" s="105" t="s">
        <v>3435</v>
      </c>
      <c r="I3945" s="105" t="s">
        <v>2823</v>
      </c>
      <c r="J3945" s="105">
        <v>7.5</v>
      </c>
      <c r="K3945" s="105">
        <f t="shared" si="515"/>
        <v>3.9</v>
      </c>
      <c r="L3945" s="105">
        <v>213</v>
      </c>
      <c r="P3945" s="105">
        <v>1247</v>
      </c>
      <c r="R3945" s="106" t="s">
        <v>1719</v>
      </c>
      <c r="S3945" s="106" t="s">
        <v>1931</v>
      </c>
      <c r="T3945" s="106"/>
      <c r="U3945" s="106" t="s">
        <v>3438</v>
      </c>
      <c r="V3945" s="106" t="s">
        <v>1382</v>
      </c>
      <c r="W3945" s="106" t="s">
        <v>1717</v>
      </c>
      <c r="X3945" s="106" t="s">
        <v>1382</v>
      </c>
      <c r="Y3945" s="106" t="s">
        <v>1382</v>
      </c>
      <c r="AA3945" s="354">
        <v>77.2</v>
      </c>
      <c r="AB3945" s="354">
        <v>11</v>
      </c>
      <c r="AC3945" s="105" t="s">
        <v>175</v>
      </c>
      <c r="AD3945" s="105">
        <v>7.8</v>
      </c>
      <c r="AE3945" s="105">
        <v>2.17</v>
      </c>
      <c r="AG3945" s="105" t="s">
        <v>3436</v>
      </c>
      <c r="AH3945" s="105" t="s">
        <v>3437</v>
      </c>
      <c r="AI3945" s="105" t="s">
        <v>577</v>
      </c>
      <c r="AJ3945" s="105" t="s">
        <v>2327</v>
      </c>
      <c r="AK3945" s="105" t="s">
        <v>229</v>
      </c>
      <c r="AW3945" s="32" t="s">
        <v>3293</v>
      </c>
      <c r="BK3945" s="105">
        <v>9900</v>
      </c>
      <c r="BL3945" s="105">
        <v>10300</v>
      </c>
      <c r="BP3945" s="429"/>
      <c r="BQ3945" s="429"/>
      <c r="BU3945" s="429"/>
      <c r="BV3945" s="429"/>
      <c r="BZ3945" s="429"/>
      <c r="CA3945" s="429"/>
      <c r="CE3945" s="582"/>
      <c r="CF3945" s="582"/>
      <c r="CG3945" s="582"/>
      <c r="CH3945" s="582"/>
      <c r="JD3945" s="499"/>
    </row>
    <row r="3946" spans="1:264" s="101" customFormat="1" x14ac:dyDescent="0.25">
      <c r="A3946" s="101">
        <v>172</v>
      </c>
      <c r="B3946" s="102" t="s">
        <v>3441</v>
      </c>
      <c r="C3946" s="101" t="s">
        <v>3418</v>
      </c>
      <c r="D3946" s="101" t="s">
        <v>3358</v>
      </c>
      <c r="E3946" s="101">
        <v>2005</v>
      </c>
      <c r="F3946" s="101">
        <v>1999</v>
      </c>
      <c r="G3946" s="101" t="s">
        <v>2738</v>
      </c>
      <c r="H3946" s="101" t="s">
        <v>3435</v>
      </c>
      <c r="I3946" s="101" t="s">
        <v>2823</v>
      </c>
      <c r="J3946" s="101">
        <v>7.5</v>
      </c>
      <c r="K3946" s="101">
        <f t="shared" si="515"/>
        <v>3.9</v>
      </c>
      <c r="L3946" s="101">
        <v>213</v>
      </c>
      <c r="P3946" s="101">
        <v>1247</v>
      </c>
      <c r="R3946" s="102" t="s">
        <v>1860</v>
      </c>
      <c r="S3946" s="102" t="s">
        <v>1931</v>
      </c>
      <c r="T3946" s="102"/>
      <c r="U3946" s="102" t="s">
        <v>3438</v>
      </c>
      <c r="V3946" s="102" t="s">
        <v>1382</v>
      </c>
      <c r="W3946" s="102" t="s">
        <v>1717</v>
      </c>
      <c r="X3946" s="102" t="s">
        <v>1382</v>
      </c>
      <c r="Y3946" s="102" t="s">
        <v>1382</v>
      </c>
      <c r="AA3946" s="352">
        <v>77.2</v>
      </c>
      <c r="AB3946" s="352">
        <v>11</v>
      </c>
      <c r="AC3946" s="101" t="s">
        <v>175</v>
      </c>
      <c r="AD3946" s="101">
        <v>7.8</v>
      </c>
      <c r="AE3946" s="101">
        <v>2.17</v>
      </c>
      <c r="AG3946" s="101" t="s">
        <v>3436</v>
      </c>
      <c r="AH3946" s="101" t="s">
        <v>3437</v>
      </c>
      <c r="AI3946" s="101" t="s">
        <v>577</v>
      </c>
      <c r="AJ3946" s="101" t="s">
        <v>2327</v>
      </c>
      <c r="AK3946" s="101" t="s">
        <v>229</v>
      </c>
      <c r="AW3946" s="24" t="s">
        <v>3293</v>
      </c>
      <c r="BK3946" s="101">
        <v>7600</v>
      </c>
      <c r="BL3946" s="101">
        <v>8300</v>
      </c>
      <c r="BP3946" s="427"/>
      <c r="BQ3946" s="427"/>
      <c r="BU3946" s="427"/>
      <c r="BV3946" s="427"/>
      <c r="BZ3946" s="427"/>
      <c r="CA3946" s="427"/>
      <c r="CE3946" s="580"/>
      <c r="CF3946" s="580"/>
      <c r="CG3946" s="580"/>
      <c r="CH3946" s="580"/>
      <c r="JD3946" s="177"/>
    </row>
    <row r="3947" spans="1:264" s="101" customFormat="1" x14ac:dyDescent="0.25">
      <c r="A3947" s="101">
        <v>172</v>
      </c>
      <c r="B3947" s="102" t="s">
        <v>3441</v>
      </c>
      <c r="C3947" s="101" t="s">
        <v>3418</v>
      </c>
      <c r="D3947" s="101" t="s">
        <v>3358</v>
      </c>
      <c r="E3947" s="101">
        <v>2005</v>
      </c>
      <c r="F3947" s="101">
        <v>1999</v>
      </c>
      <c r="G3947" s="101" t="s">
        <v>2738</v>
      </c>
      <c r="H3947" s="101" t="s">
        <v>3435</v>
      </c>
      <c r="I3947" s="101" t="s">
        <v>2823</v>
      </c>
      <c r="J3947" s="101">
        <v>7.5</v>
      </c>
      <c r="K3947" s="101">
        <f t="shared" si="515"/>
        <v>3.9</v>
      </c>
      <c r="L3947" s="101">
        <v>213</v>
      </c>
      <c r="P3947" s="101">
        <v>1247</v>
      </c>
      <c r="R3947" s="102" t="s">
        <v>1860</v>
      </c>
      <c r="S3947" s="102" t="s">
        <v>1931</v>
      </c>
      <c r="T3947" s="102"/>
      <c r="U3947" s="102" t="s">
        <v>3438</v>
      </c>
      <c r="V3947" s="102" t="s">
        <v>1382</v>
      </c>
      <c r="W3947" s="102" t="s">
        <v>1717</v>
      </c>
      <c r="X3947" s="102" t="s">
        <v>1382</v>
      </c>
      <c r="Y3947" s="102" t="s">
        <v>1382</v>
      </c>
      <c r="AA3947" s="352">
        <v>77.2</v>
      </c>
      <c r="AB3947" s="352">
        <v>11</v>
      </c>
      <c r="AC3947" s="101" t="s">
        <v>175</v>
      </c>
      <c r="AD3947" s="101">
        <v>7.8</v>
      </c>
      <c r="AE3947" s="101">
        <v>2.17</v>
      </c>
      <c r="AG3947" s="101" t="s">
        <v>3436</v>
      </c>
      <c r="AH3947" s="101" t="s">
        <v>3437</v>
      </c>
      <c r="AI3947" s="101" t="s">
        <v>577</v>
      </c>
      <c r="AJ3947" s="101" t="s">
        <v>2327</v>
      </c>
      <c r="AK3947" s="101" t="s">
        <v>229</v>
      </c>
      <c r="AW3947" s="24" t="s">
        <v>3293</v>
      </c>
      <c r="BK3947" s="101">
        <v>12900</v>
      </c>
      <c r="BL3947" s="101">
        <v>13300</v>
      </c>
      <c r="BP3947" s="427"/>
      <c r="BQ3947" s="427"/>
      <c r="BU3947" s="427"/>
      <c r="BV3947" s="427"/>
      <c r="BZ3947" s="427"/>
      <c r="CA3947" s="427"/>
      <c r="CE3947" s="580"/>
      <c r="CF3947" s="580"/>
      <c r="CG3947" s="580"/>
      <c r="CH3947" s="580"/>
      <c r="JD3947" s="177"/>
    </row>
    <row r="3948" spans="1:264" s="101" customFormat="1" x14ac:dyDescent="0.25">
      <c r="A3948" s="101">
        <v>172</v>
      </c>
      <c r="B3948" s="102" t="s">
        <v>3441</v>
      </c>
      <c r="C3948" s="101" t="s">
        <v>3418</v>
      </c>
      <c r="D3948" s="101" t="s">
        <v>3358</v>
      </c>
      <c r="E3948" s="101">
        <v>2005</v>
      </c>
      <c r="F3948" s="101">
        <v>1999</v>
      </c>
      <c r="G3948" s="101" t="s">
        <v>2738</v>
      </c>
      <c r="H3948" s="101" t="s">
        <v>3435</v>
      </c>
      <c r="I3948" s="101" t="s">
        <v>2823</v>
      </c>
      <c r="J3948" s="101">
        <v>7.5</v>
      </c>
      <c r="K3948" s="101">
        <f t="shared" si="515"/>
        <v>3.9</v>
      </c>
      <c r="L3948" s="101">
        <v>213</v>
      </c>
      <c r="P3948" s="101">
        <v>1247</v>
      </c>
      <c r="R3948" s="102" t="s">
        <v>1860</v>
      </c>
      <c r="S3948" s="102" t="s">
        <v>1931</v>
      </c>
      <c r="T3948" s="102"/>
      <c r="U3948" s="102" t="s">
        <v>3438</v>
      </c>
      <c r="V3948" s="102" t="s">
        <v>1382</v>
      </c>
      <c r="W3948" s="102" t="s">
        <v>1717</v>
      </c>
      <c r="X3948" s="102" t="s">
        <v>1382</v>
      </c>
      <c r="Y3948" s="102" t="s">
        <v>1382</v>
      </c>
      <c r="AA3948" s="352">
        <v>77.2</v>
      </c>
      <c r="AB3948" s="352">
        <v>11</v>
      </c>
      <c r="AC3948" s="101" t="s">
        <v>175</v>
      </c>
      <c r="AD3948" s="101">
        <v>7.8</v>
      </c>
      <c r="AE3948" s="101">
        <v>2.17</v>
      </c>
      <c r="AG3948" s="101" t="s">
        <v>3436</v>
      </c>
      <c r="AH3948" s="101" t="s">
        <v>3437</v>
      </c>
      <c r="AI3948" s="101" t="s">
        <v>577</v>
      </c>
      <c r="AJ3948" s="101" t="s">
        <v>2327</v>
      </c>
      <c r="AK3948" s="101" t="s">
        <v>229</v>
      </c>
      <c r="AW3948" s="24" t="s">
        <v>3293</v>
      </c>
      <c r="BK3948" s="101">
        <v>17600</v>
      </c>
      <c r="BL3948" s="101">
        <v>15400</v>
      </c>
      <c r="BP3948" s="427"/>
      <c r="BQ3948" s="427"/>
      <c r="BU3948" s="427"/>
      <c r="BV3948" s="427"/>
      <c r="BZ3948" s="427"/>
      <c r="CA3948" s="427"/>
      <c r="CE3948" s="580"/>
      <c r="CF3948" s="580"/>
      <c r="CG3948" s="580"/>
      <c r="CH3948" s="580"/>
      <c r="JD3948" s="177"/>
    </row>
    <row r="3949" spans="1:264" s="101" customFormat="1" x14ac:dyDescent="0.25">
      <c r="A3949" s="101">
        <v>172</v>
      </c>
      <c r="B3949" s="102" t="s">
        <v>3441</v>
      </c>
      <c r="C3949" s="101" t="s">
        <v>3418</v>
      </c>
      <c r="D3949" s="101" t="s">
        <v>3358</v>
      </c>
      <c r="E3949" s="101">
        <v>2005</v>
      </c>
      <c r="F3949" s="101">
        <v>1999</v>
      </c>
      <c r="G3949" s="101" t="s">
        <v>2738</v>
      </c>
      <c r="H3949" s="101" t="s">
        <v>3435</v>
      </c>
      <c r="I3949" s="101" t="s">
        <v>2823</v>
      </c>
      <c r="J3949" s="101">
        <v>7.5</v>
      </c>
      <c r="K3949" s="101">
        <f t="shared" si="515"/>
        <v>3.9</v>
      </c>
      <c r="L3949" s="101">
        <v>213</v>
      </c>
      <c r="P3949" s="101">
        <v>1247</v>
      </c>
      <c r="R3949" s="102" t="s">
        <v>1860</v>
      </c>
      <c r="S3949" s="102" t="s">
        <v>1931</v>
      </c>
      <c r="T3949" s="102"/>
      <c r="U3949" s="102" t="s">
        <v>3438</v>
      </c>
      <c r="V3949" s="102" t="s">
        <v>1382</v>
      </c>
      <c r="W3949" s="102" t="s">
        <v>1717</v>
      </c>
      <c r="X3949" s="102" t="s">
        <v>1382</v>
      </c>
      <c r="Y3949" s="102" t="s">
        <v>1382</v>
      </c>
      <c r="AA3949" s="352">
        <v>77.2</v>
      </c>
      <c r="AB3949" s="352">
        <v>11</v>
      </c>
      <c r="AC3949" s="101" t="s">
        <v>175</v>
      </c>
      <c r="AD3949" s="101">
        <v>7.8</v>
      </c>
      <c r="AE3949" s="101">
        <v>2.17</v>
      </c>
      <c r="AG3949" s="101" t="s">
        <v>3436</v>
      </c>
      <c r="AH3949" s="101" t="s">
        <v>3437</v>
      </c>
      <c r="AI3949" s="101" t="s">
        <v>577</v>
      </c>
      <c r="AJ3949" s="101" t="s">
        <v>2327</v>
      </c>
      <c r="AK3949" s="101" t="s">
        <v>229</v>
      </c>
      <c r="AW3949" s="24" t="s">
        <v>3293</v>
      </c>
      <c r="BK3949" s="101">
        <v>17900</v>
      </c>
      <c r="BL3949" s="101">
        <v>18800</v>
      </c>
      <c r="BP3949" s="427"/>
      <c r="BQ3949" s="427"/>
      <c r="BU3949" s="427"/>
      <c r="BV3949" s="427"/>
      <c r="BZ3949" s="427"/>
      <c r="CA3949" s="427"/>
      <c r="CE3949" s="580"/>
      <c r="CF3949" s="580"/>
      <c r="CG3949" s="580"/>
      <c r="CH3949" s="580"/>
      <c r="JD3949" s="177"/>
    </row>
    <row r="3950" spans="1:264" s="105" customFormat="1" x14ac:dyDescent="0.25">
      <c r="A3950" s="105">
        <v>172</v>
      </c>
      <c r="B3950" s="106" t="s">
        <v>3441</v>
      </c>
      <c r="C3950" s="105" t="s">
        <v>3418</v>
      </c>
      <c r="D3950" s="105" t="s">
        <v>3358</v>
      </c>
      <c r="E3950" s="105">
        <v>2005</v>
      </c>
      <c r="F3950" s="105">
        <v>2000</v>
      </c>
      <c r="G3950" s="105" t="s">
        <v>2738</v>
      </c>
      <c r="H3950" s="105" t="s">
        <v>3435</v>
      </c>
      <c r="I3950" s="105" t="s">
        <v>2823</v>
      </c>
      <c r="J3950" s="105">
        <v>7.5</v>
      </c>
      <c r="K3950" s="105">
        <f t="shared" si="515"/>
        <v>3.9</v>
      </c>
      <c r="L3950" s="105">
        <v>213</v>
      </c>
      <c r="P3950" s="105">
        <v>1247</v>
      </c>
      <c r="R3950" s="106" t="s">
        <v>1931</v>
      </c>
      <c r="S3950" s="106" t="s">
        <v>1931</v>
      </c>
      <c r="T3950" s="106"/>
      <c r="U3950" s="106" t="s">
        <v>3438</v>
      </c>
      <c r="V3950" s="106" t="s">
        <v>1382</v>
      </c>
      <c r="W3950" s="106" t="s">
        <v>1717</v>
      </c>
      <c r="X3950" s="106" t="s">
        <v>1382</v>
      </c>
      <c r="Y3950" s="106" t="s">
        <v>1382</v>
      </c>
      <c r="AA3950" s="354">
        <v>77.2</v>
      </c>
      <c r="AB3950" s="354">
        <v>11</v>
      </c>
      <c r="AC3950" s="105" t="s">
        <v>175</v>
      </c>
      <c r="AD3950" s="105">
        <v>7.8</v>
      </c>
      <c r="AE3950" s="105">
        <v>2.17</v>
      </c>
      <c r="AG3950" s="105" t="s">
        <v>3436</v>
      </c>
      <c r="AH3950" s="105" t="s">
        <v>3437</v>
      </c>
      <c r="AI3950" s="105" t="s">
        <v>577</v>
      </c>
      <c r="AJ3950" s="105" t="s">
        <v>2327</v>
      </c>
      <c r="AK3950" s="105" t="s">
        <v>229</v>
      </c>
      <c r="AW3950" s="32" t="s">
        <v>3293</v>
      </c>
      <c r="BK3950" s="105">
        <v>2000</v>
      </c>
      <c r="BL3950" s="105">
        <v>2100</v>
      </c>
      <c r="BP3950" s="429"/>
      <c r="BQ3950" s="429"/>
      <c r="BU3950" s="429"/>
      <c r="BV3950" s="429"/>
      <c r="BZ3950" s="429"/>
      <c r="CA3950" s="429"/>
      <c r="CE3950" s="582"/>
      <c r="CF3950" s="582"/>
      <c r="CG3950" s="582"/>
      <c r="CH3950" s="582"/>
      <c r="JD3950" s="499"/>
    </row>
    <row r="3951" spans="1:264" s="105" customFormat="1" x14ac:dyDescent="0.25">
      <c r="A3951" s="105">
        <v>172</v>
      </c>
      <c r="B3951" s="106" t="s">
        <v>3441</v>
      </c>
      <c r="C3951" s="105" t="s">
        <v>3418</v>
      </c>
      <c r="D3951" s="105" t="s">
        <v>3358</v>
      </c>
      <c r="E3951" s="105">
        <v>2005</v>
      </c>
      <c r="F3951" s="105">
        <v>2000</v>
      </c>
      <c r="G3951" s="105" t="s">
        <v>2738</v>
      </c>
      <c r="H3951" s="105" t="s">
        <v>3435</v>
      </c>
      <c r="I3951" s="105" t="s">
        <v>2823</v>
      </c>
      <c r="J3951" s="105">
        <v>7.5</v>
      </c>
      <c r="K3951" s="105">
        <f t="shared" si="515"/>
        <v>3.9</v>
      </c>
      <c r="L3951" s="105">
        <v>213</v>
      </c>
      <c r="P3951" s="105">
        <v>1247</v>
      </c>
      <c r="R3951" s="106" t="s">
        <v>1931</v>
      </c>
      <c r="S3951" s="106" t="s">
        <v>1931</v>
      </c>
      <c r="T3951" s="106"/>
      <c r="U3951" s="106" t="s">
        <v>3438</v>
      </c>
      <c r="V3951" s="106" t="s">
        <v>1382</v>
      </c>
      <c r="W3951" s="106" t="s">
        <v>1717</v>
      </c>
      <c r="X3951" s="106" t="s">
        <v>1382</v>
      </c>
      <c r="Y3951" s="106" t="s">
        <v>1382</v>
      </c>
      <c r="AA3951" s="354">
        <v>77.2</v>
      </c>
      <c r="AB3951" s="354">
        <v>11</v>
      </c>
      <c r="AC3951" s="105" t="s">
        <v>175</v>
      </c>
      <c r="AD3951" s="105">
        <v>7.8</v>
      </c>
      <c r="AE3951" s="105">
        <v>2.17</v>
      </c>
      <c r="AG3951" s="105" t="s">
        <v>3436</v>
      </c>
      <c r="AH3951" s="105" t="s">
        <v>3437</v>
      </c>
      <c r="AI3951" s="105" t="s">
        <v>577</v>
      </c>
      <c r="AJ3951" s="105" t="s">
        <v>2327</v>
      </c>
      <c r="AK3951" s="105" t="s">
        <v>229</v>
      </c>
      <c r="AW3951" s="32" t="s">
        <v>3293</v>
      </c>
      <c r="BK3951" s="105">
        <v>2800</v>
      </c>
      <c r="BL3951" s="105">
        <v>4600</v>
      </c>
      <c r="BP3951" s="429"/>
      <c r="BQ3951" s="429"/>
      <c r="BU3951" s="429"/>
      <c r="BV3951" s="429"/>
      <c r="BZ3951" s="429"/>
      <c r="CA3951" s="429"/>
      <c r="CE3951" s="582"/>
      <c r="CF3951" s="582"/>
      <c r="CG3951" s="582"/>
      <c r="CH3951" s="582"/>
      <c r="JD3951" s="499"/>
    </row>
    <row r="3952" spans="1:264" s="105" customFormat="1" x14ac:dyDescent="0.25">
      <c r="A3952" s="105">
        <v>172</v>
      </c>
      <c r="B3952" s="106" t="s">
        <v>3441</v>
      </c>
      <c r="C3952" s="105" t="s">
        <v>3418</v>
      </c>
      <c r="D3952" s="105" t="s">
        <v>3358</v>
      </c>
      <c r="E3952" s="105">
        <v>2005</v>
      </c>
      <c r="F3952" s="105">
        <v>2000</v>
      </c>
      <c r="G3952" s="105" t="s">
        <v>2738</v>
      </c>
      <c r="H3952" s="105" t="s">
        <v>3435</v>
      </c>
      <c r="I3952" s="105" t="s">
        <v>2823</v>
      </c>
      <c r="J3952" s="105">
        <v>7.5</v>
      </c>
      <c r="K3952" s="105">
        <f t="shared" si="515"/>
        <v>3.9</v>
      </c>
      <c r="L3952" s="105">
        <v>213</v>
      </c>
      <c r="P3952" s="105">
        <v>1247</v>
      </c>
      <c r="R3952" s="106" t="s">
        <v>1931</v>
      </c>
      <c r="S3952" s="106" t="s">
        <v>1931</v>
      </c>
      <c r="T3952" s="106"/>
      <c r="U3952" s="106" t="s">
        <v>3438</v>
      </c>
      <c r="V3952" s="106" t="s">
        <v>1382</v>
      </c>
      <c r="W3952" s="106" t="s">
        <v>1717</v>
      </c>
      <c r="X3952" s="106" t="s">
        <v>1382</v>
      </c>
      <c r="Y3952" s="106" t="s">
        <v>1382</v>
      </c>
      <c r="AA3952" s="354">
        <v>77.2</v>
      </c>
      <c r="AB3952" s="354">
        <v>11</v>
      </c>
      <c r="AC3952" s="105" t="s">
        <v>175</v>
      </c>
      <c r="AD3952" s="105">
        <v>7.8</v>
      </c>
      <c r="AE3952" s="105">
        <v>2.17</v>
      </c>
      <c r="AG3952" s="105" t="s">
        <v>3436</v>
      </c>
      <c r="AH3952" s="105" t="s">
        <v>3437</v>
      </c>
      <c r="AI3952" s="105" t="s">
        <v>577</v>
      </c>
      <c r="AJ3952" s="105" t="s">
        <v>2327</v>
      </c>
      <c r="AK3952" s="105" t="s">
        <v>229</v>
      </c>
      <c r="AW3952" s="32" t="s">
        <v>3293</v>
      </c>
      <c r="BK3952" s="105">
        <v>5000</v>
      </c>
      <c r="BL3952" s="105">
        <v>5000</v>
      </c>
      <c r="BP3952" s="429"/>
      <c r="BQ3952" s="429"/>
      <c r="BU3952" s="429"/>
      <c r="BV3952" s="429"/>
      <c r="BZ3952" s="429"/>
      <c r="CA3952" s="429"/>
      <c r="CE3952" s="582"/>
      <c r="CF3952" s="582"/>
      <c r="CG3952" s="582"/>
      <c r="CH3952" s="582"/>
      <c r="JD3952" s="499"/>
    </row>
    <row r="3953" spans="1:264" s="105" customFormat="1" x14ac:dyDescent="0.25">
      <c r="A3953" s="105">
        <v>172</v>
      </c>
      <c r="B3953" s="106" t="s">
        <v>3441</v>
      </c>
      <c r="C3953" s="105" t="s">
        <v>3418</v>
      </c>
      <c r="D3953" s="105" t="s">
        <v>3358</v>
      </c>
      <c r="E3953" s="105">
        <v>2005</v>
      </c>
      <c r="F3953" s="105">
        <v>2000</v>
      </c>
      <c r="G3953" s="105" t="s">
        <v>2738</v>
      </c>
      <c r="H3953" s="105" t="s">
        <v>3435</v>
      </c>
      <c r="I3953" s="105" t="s">
        <v>2823</v>
      </c>
      <c r="J3953" s="105">
        <v>7.5</v>
      </c>
      <c r="K3953" s="105">
        <f t="shared" si="515"/>
        <v>3.9</v>
      </c>
      <c r="L3953" s="105">
        <v>213</v>
      </c>
      <c r="P3953" s="105">
        <v>1247</v>
      </c>
      <c r="R3953" s="106" t="s">
        <v>1931</v>
      </c>
      <c r="S3953" s="106" t="s">
        <v>1931</v>
      </c>
      <c r="T3953" s="106"/>
      <c r="U3953" s="106" t="s">
        <v>3438</v>
      </c>
      <c r="V3953" s="106" t="s">
        <v>1382</v>
      </c>
      <c r="W3953" s="106" t="s">
        <v>1717</v>
      </c>
      <c r="X3953" s="106" t="s">
        <v>1382</v>
      </c>
      <c r="Y3953" s="106" t="s">
        <v>1382</v>
      </c>
      <c r="AA3953" s="354">
        <v>77.2</v>
      </c>
      <c r="AB3953" s="354">
        <v>11</v>
      </c>
      <c r="AC3953" s="105" t="s">
        <v>175</v>
      </c>
      <c r="AD3953" s="105">
        <v>7.8</v>
      </c>
      <c r="AE3953" s="105">
        <v>2.17</v>
      </c>
      <c r="AG3953" s="105" t="s">
        <v>3436</v>
      </c>
      <c r="AH3953" s="105" t="s">
        <v>3437</v>
      </c>
      <c r="AI3953" s="105" t="s">
        <v>577</v>
      </c>
      <c r="AJ3953" s="105" t="s">
        <v>2327</v>
      </c>
      <c r="AK3953" s="105" t="s">
        <v>229</v>
      </c>
      <c r="AW3953" s="32" t="s">
        <v>3293</v>
      </c>
      <c r="BK3953" s="105">
        <v>7500</v>
      </c>
      <c r="BL3953" s="105">
        <v>5000</v>
      </c>
      <c r="BP3953" s="429"/>
      <c r="BQ3953" s="429"/>
      <c r="BU3953" s="429"/>
      <c r="BV3953" s="429"/>
      <c r="BZ3953" s="429"/>
      <c r="CA3953" s="429"/>
      <c r="CE3953" s="582"/>
      <c r="CF3953" s="582"/>
      <c r="CG3953" s="582"/>
      <c r="CH3953" s="582"/>
      <c r="JD3953" s="499"/>
    </row>
    <row r="3954" spans="1:264" s="527" customFormat="1" x14ac:dyDescent="0.25">
      <c r="A3954" s="527">
        <v>172</v>
      </c>
      <c r="B3954" s="528" t="s">
        <v>3442</v>
      </c>
      <c r="C3954" s="527" t="s">
        <v>3418</v>
      </c>
      <c r="D3954" s="527" t="s">
        <v>3358</v>
      </c>
      <c r="E3954" s="527">
        <v>2005</v>
      </c>
      <c r="F3954" s="527">
        <v>1989</v>
      </c>
      <c r="G3954" s="527" t="s">
        <v>2738</v>
      </c>
      <c r="H3954" s="527" t="s">
        <v>3435</v>
      </c>
      <c r="I3954" s="527" t="s">
        <v>2823</v>
      </c>
      <c r="J3954" s="527">
        <v>7.5</v>
      </c>
      <c r="K3954" s="527">
        <f t="shared" si="515"/>
        <v>3.9</v>
      </c>
      <c r="L3954" s="527">
        <v>213</v>
      </c>
      <c r="P3954" s="527">
        <v>1247</v>
      </c>
      <c r="R3954" s="528" t="s">
        <v>1977</v>
      </c>
      <c r="S3954" s="528" t="s">
        <v>1931</v>
      </c>
      <c r="T3954" s="528"/>
      <c r="U3954" s="528" t="s">
        <v>3438</v>
      </c>
      <c r="V3954" s="528" t="s">
        <v>1382</v>
      </c>
      <c r="W3954" s="528" t="s">
        <v>1717</v>
      </c>
      <c r="X3954" s="528" t="s">
        <v>1382</v>
      </c>
      <c r="Y3954" s="528" t="s">
        <v>1382</v>
      </c>
      <c r="AA3954" s="529">
        <v>77.2</v>
      </c>
      <c r="AB3954" s="529">
        <v>11</v>
      </c>
      <c r="AC3954" s="527" t="s">
        <v>175</v>
      </c>
      <c r="AD3954" s="527">
        <v>7.8</v>
      </c>
      <c r="AE3954" s="527">
        <v>2.17</v>
      </c>
      <c r="AG3954" s="527" t="s">
        <v>3436</v>
      </c>
      <c r="AH3954" s="527" t="s">
        <v>2800</v>
      </c>
      <c r="AI3954" s="527" t="s">
        <v>4321</v>
      </c>
      <c r="AJ3954" s="527" t="s">
        <v>2327</v>
      </c>
      <c r="AK3954" s="527" t="s">
        <v>229</v>
      </c>
      <c r="AW3954" s="527" t="s">
        <v>3293</v>
      </c>
      <c r="BK3954" s="527">
        <v>2500</v>
      </c>
      <c r="BL3954" s="527">
        <v>3000</v>
      </c>
      <c r="BP3954" s="530"/>
      <c r="BQ3954" s="530"/>
      <c r="BU3954" s="530"/>
      <c r="BV3954" s="530"/>
      <c r="BZ3954" s="530"/>
      <c r="CA3954" s="530"/>
      <c r="CE3954" s="610"/>
      <c r="CF3954" s="610"/>
      <c r="CG3954" s="610"/>
      <c r="CH3954" s="610"/>
      <c r="JD3954" s="531"/>
    </row>
    <row r="3955" spans="1:264" s="527" customFormat="1" x14ac:dyDescent="0.25">
      <c r="A3955" s="527">
        <v>172</v>
      </c>
      <c r="B3955" s="528" t="s">
        <v>3442</v>
      </c>
      <c r="C3955" s="527" t="s">
        <v>3418</v>
      </c>
      <c r="D3955" s="527" t="s">
        <v>3358</v>
      </c>
      <c r="E3955" s="527">
        <v>2005</v>
      </c>
      <c r="F3955" s="527">
        <v>1989</v>
      </c>
      <c r="G3955" s="527" t="s">
        <v>2738</v>
      </c>
      <c r="H3955" s="527" t="s">
        <v>3435</v>
      </c>
      <c r="I3955" s="527" t="s">
        <v>2823</v>
      </c>
      <c r="J3955" s="527">
        <v>7.5</v>
      </c>
      <c r="K3955" s="527">
        <f t="shared" si="515"/>
        <v>3.9</v>
      </c>
      <c r="L3955" s="527">
        <v>213</v>
      </c>
      <c r="P3955" s="527">
        <v>1247</v>
      </c>
      <c r="R3955" s="528" t="s">
        <v>1977</v>
      </c>
      <c r="S3955" s="528" t="s">
        <v>1931</v>
      </c>
      <c r="T3955" s="528"/>
      <c r="U3955" s="528" t="s">
        <v>3438</v>
      </c>
      <c r="V3955" s="528" t="s">
        <v>1382</v>
      </c>
      <c r="W3955" s="528" t="s">
        <v>1717</v>
      </c>
      <c r="X3955" s="528" t="s">
        <v>1382</v>
      </c>
      <c r="Y3955" s="528" t="s">
        <v>1382</v>
      </c>
      <c r="AA3955" s="529">
        <v>77.2</v>
      </c>
      <c r="AB3955" s="529">
        <v>11</v>
      </c>
      <c r="AC3955" s="527" t="s">
        <v>175</v>
      </c>
      <c r="AD3955" s="527">
        <v>7.8</v>
      </c>
      <c r="AE3955" s="527">
        <v>2.17</v>
      </c>
      <c r="AG3955" s="527" t="s">
        <v>3436</v>
      </c>
      <c r="AH3955" s="527" t="s">
        <v>2800</v>
      </c>
      <c r="AI3955" s="527" t="s">
        <v>4321</v>
      </c>
      <c r="AJ3955" s="527" t="s">
        <v>2327</v>
      </c>
      <c r="AK3955" s="527" t="s">
        <v>229</v>
      </c>
      <c r="AW3955" s="527" t="s">
        <v>3293</v>
      </c>
      <c r="BK3955" s="527">
        <v>3700</v>
      </c>
      <c r="BL3955" s="527">
        <v>4900</v>
      </c>
      <c r="BP3955" s="530"/>
      <c r="BQ3955" s="530"/>
      <c r="BU3955" s="530"/>
      <c r="BV3955" s="530"/>
      <c r="BZ3955" s="530"/>
      <c r="CA3955" s="530"/>
      <c r="CE3955" s="610"/>
      <c r="CF3955" s="610"/>
      <c r="CG3955" s="610"/>
      <c r="CH3955" s="610"/>
      <c r="JD3955" s="531"/>
    </row>
    <row r="3956" spans="1:264" s="527" customFormat="1" x14ac:dyDescent="0.25">
      <c r="A3956" s="527">
        <v>172</v>
      </c>
      <c r="B3956" s="528" t="s">
        <v>3442</v>
      </c>
      <c r="C3956" s="527" t="s">
        <v>3418</v>
      </c>
      <c r="D3956" s="527" t="s">
        <v>3358</v>
      </c>
      <c r="E3956" s="527">
        <v>2005</v>
      </c>
      <c r="F3956" s="527">
        <v>1989</v>
      </c>
      <c r="G3956" s="527" t="s">
        <v>2738</v>
      </c>
      <c r="H3956" s="527" t="s">
        <v>3435</v>
      </c>
      <c r="I3956" s="527" t="s">
        <v>2823</v>
      </c>
      <c r="J3956" s="527">
        <v>7.5</v>
      </c>
      <c r="K3956" s="527">
        <f t="shared" si="515"/>
        <v>3.9</v>
      </c>
      <c r="L3956" s="527">
        <v>213</v>
      </c>
      <c r="P3956" s="527">
        <v>1247</v>
      </c>
      <c r="R3956" s="528" t="s">
        <v>1977</v>
      </c>
      <c r="S3956" s="528" t="s">
        <v>1931</v>
      </c>
      <c r="T3956" s="528"/>
      <c r="U3956" s="528" t="s">
        <v>3438</v>
      </c>
      <c r="V3956" s="528" t="s">
        <v>1382</v>
      </c>
      <c r="W3956" s="528" t="s">
        <v>1717</v>
      </c>
      <c r="X3956" s="528" t="s">
        <v>1382</v>
      </c>
      <c r="Y3956" s="528" t="s">
        <v>1382</v>
      </c>
      <c r="AA3956" s="529">
        <v>77.2</v>
      </c>
      <c r="AB3956" s="529">
        <v>11</v>
      </c>
      <c r="AC3956" s="527" t="s">
        <v>175</v>
      </c>
      <c r="AD3956" s="527">
        <v>7.8</v>
      </c>
      <c r="AE3956" s="527">
        <v>2.17</v>
      </c>
      <c r="AG3956" s="527" t="s">
        <v>3436</v>
      </c>
      <c r="AH3956" s="527" t="s">
        <v>2800</v>
      </c>
      <c r="AI3956" s="527" t="s">
        <v>4321</v>
      </c>
      <c r="AJ3956" s="527" t="s">
        <v>2327</v>
      </c>
      <c r="AK3956" s="527" t="s">
        <v>229</v>
      </c>
      <c r="AW3956" s="527" t="s">
        <v>3293</v>
      </c>
      <c r="BK3956" s="527">
        <v>4400</v>
      </c>
      <c r="BL3956" s="527">
        <v>4200</v>
      </c>
      <c r="BP3956" s="530"/>
      <c r="BQ3956" s="530"/>
      <c r="BU3956" s="530"/>
      <c r="BV3956" s="530"/>
      <c r="BZ3956" s="530"/>
      <c r="CA3956" s="530"/>
      <c r="CE3956" s="610"/>
      <c r="CF3956" s="610"/>
      <c r="CG3956" s="610"/>
      <c r="CH3956" s="610"/>
      <c r="JD3956" s="531"/>
    </row>
    <row r="3957" spans="1:264" s="527" customFormat="1" x14ac:dyDescent="0.25">
      <c r="A3957" s="527">
        <v>172</v>
      </c>
      <c r="B3957" s="528" t="s">
        <v>3442</v>
      </c>
      <c r="C3957" s="527" t="s">
        <v>3418</v>
      </c>
      <c r="D3957" s="527" t="s">
        <v>3358</v>
      </c>
      <c r="E3957" s="527">
        <v>2005</v>
      </c>
      <c r="F3957" s="527">
        <v>1989</v>
      </c>
      <c r="G3957" s="527" t="s">
        <v>2738</v>
      </c>
      <c r="H3957" s="527" t="s">
        <v>3435</v>
      </c>
      <c r="I3957" s="527" t="s">
        <v>2823</v>
      </c>
      <c r="J3957" s="527">
        <v>7.5</v>
      </c>
      <c r="K3957" s="527">
        <f t="shared" si="515"/>
        <v>3.9</v>
      </c>
      <c r="L3957" s="527">
        <v>213</v>
      </c>
      <c r="P3957" s="527">
        <v>1247</v>
      </c>
      <c r="R3957" s="528" t="s">
        <v>1977</v>
      </c>
      <c r="S3957" s="528" t="s">
        <v>1931</v>
      </c>
      <c r="T3957" s="528"/>
      <c r="U3957" s="528" t="s">
        <v>3438</v>
      </c>
      <c r="V3957" s="528" t="s">
        <v>1382</v>
      </c>
      <c r="W3957" s="528" t="s">
        <v>1717</v>
      </c>
      <c r="X3957" s="528" t="s">
        <v>1382</v>
      </c>
      <c r="Y3957" s="528" t="s">
        <v>1382</v>
      </c>
      <c r="AA3957" s="529">
        <v>77.2</v>
      </c>
      <c r="AB3957" s="529">
        <v>11</v>
      </c>
      <c r="AC3957" s="527" t="s">
        <v>175</v>
      </c>
      <c r="AD3957" s="527">
        <v>7.8</v>
      </c>
      <c r="AE3957" s="527">
        <v>2.17</v>
      </c>
      <c r="AG3957" s="527" t="s">
        <v>3436</v>
      </c>
      <c r="AH3957" s="527" t="s">
        <v>2800</v>
      </c>
      <c r="AI3957" s="527" t="s">
        <v>4321</v>
      </c>
      <c r="AJ3957" s="527" t="s">
        <v>2327</v>
      </c>
      <c r="AK3957" s="527" t="s">
        <v>229</v>
      </c>
      <c r="AW3957" s="527" t="s">
        <v>3293</v>
      </c>
      <c r="BK3957" s="527">
        <v>2900</v>
      </c>
      <c r="BL3957" s="527">
        <v>4500</v>
      </c>
      <c r="BP3957" s="530"/>
      <c r="BQ3957" s="530"/>
      <c r="BU3957" s="530"/>
      <c r="BV3957" s="530"/>
      <c r="BZ3957" s="530"/>
      <c r="CA3957" s="530"/>
      <c r="CE3957" s="610"/>
      <c r="CF3957" s="610"/>
      <c r="CG3957" s="610"/>
      <c r="CH3957" s="610"/>
      <c r="JD3957" s="531"/>
    </row>
    <row r="3958" spans="1:264" s="101" customFormat="1" x14ac:dyDescent="0.25">
      <c r="A3958" s="101">
        <v>172</v>
      </c>
      <c r="B3958" s="102" t="s">
        <v>3442</v>
      </c>
      <c r="C3958" s="101" t="s">
        <v>3418</v>
      </c>
      <c r="D3958" s="101" t="s">
        <v>3358</v>
      </c>
      <c r="E3958" s="101">
        <v>2005</v>
      </c>
      <c r="F3958" s="101">
        <v>1990</v>
      </c>
      <c r="G3958" s="101" t="s">
        <v>2738</v>
      </c>
      <c r="H3958" s="101" t="s">
        <v>3435</v>
      </c>
      <c r="I3958" s="101" t="s">
        <v>2823</v>
      </c>
      <c r="J3958" s="101">
        <v>7.5</v>
      </c>
      <c r="K3958" s="101">
        <f t="shared" si="515"/>
        <v>3.9</v>
      </c>
      <c r="L3958" s="101">
        <v>213</v>
      </c>
      <c r="P3958" s="101">
        <v>1247</v>
      </c>
      <c r="R3958" s="102" t="s">
        <v>1847</v>
      </c>
      <c r="S3958" s="102" t="s">
        <v>1931</v>
      </c>
      <c r="T3958" s="102"/>
      <c r="U3958" s="102" t="s">
        <v>3438</v>
      </c>
      <c r="V3958" s="102" t="s">
        <v>1382</v>
      </c>
      <c r="W3958" s="102" t="s">
        <v>1717</v>
      </c>
      <c r="X3958" s="102" t="s">
        <v>1382</v>
      </c>
      <c r="Y3958" s="102" t="s">
        <v>1382</v>
      </c>
      <c r="AA3958" s="352">
        <v>77.2</v>
      </c>
      <c r="AB3958" s="352">
        <v>11</v>
      </c>
      <c r="AC3958" s="101" t="s">
        <v>175</v>
      </c>
      <c r="AD3958" s="101">
        <v>7.8</v>
      </c>
      <c r="AE3958" s="101">
        <v>2.17</v>
      </c>
      <c r="AG3958" s="101" t="s">
        <v>3436</v>
      </c>
      <c r="AH3958" s="101" t="s">
        <v>2800</v>
      </c>
      <c r="AI3958" s="101" t="s">
        <v>4321</v>
      </c>
      <c r="AJ3958" s="101" t="s">
        <v>2327</v>
      </c>
      <c r="AK3958" s="101" t="s">
        <v>229</v>
      </c>
      <c r="AW3958" s="101" t="s">
        <v>3293</v>
      </c>
      <c r="BP3958" s="427"/>
      <c r="BQ3958" s="427"/>
      <c r="BU3958" s="427"/>
      <c r="BV3958" s="427"/>
      <c r="BZ3958" s="427"/>
      <c r="CA3958" s="427"/>
      <c r="CE3958" s="580"/>
      <c r="CF3958" s="580"/>
      <c r="CG3958" s="580"/>
      <c r="CH3958" s="580"/>
      <c r="JD3958" s="177"/>
    </row>
    <row r="3959" spans="1:264" s="101" customFormat="1" x14ac:dyDescent="0.25">
      <c r="A3959" s="101">
        <v>172</v>
      </c>
      <c r="B3959" s="102" t="s">
        <v>3442</v>
      </c>
      <c r="C3959" s="101" t="s">
        <v>3418</v>
      </c>
      <c r="D3959" s="101" t="s">
        <v>3358</v>
      </c>
      <c r="E3959" s="101">
        <v>2005</v>
      </c>
      <c r="F3959" s="101">
        <v>1990</v>
      </c>
      <c r="G3959" s="101" t="s">
        <v>2738</v>
      </c>
      <c r="H3959" s="101" t="s">
        <v>3435</v>
      </c>
      <c r="I3959" s="101" t="s">
        <v>2823</v>
      </c>
      <c r="J3959" s="101">
        <v>7.5</v>
      </c>
      <c r="K3959" s="101">
        <f t="shared" si="515"/>
        <v>3.9</v>
      </c>
      <c r="L3959" s="101">
        <v>213</v>
      </c>
      <c r="P3959" s="101">
        <v>1247</v>
      </c>
      <c r="R3959" s="102" t="s">
        <v>1847</v>
      </c>
      <c r="S3959" s="102" t="s">
        <v>1931</v>
      </c>
      <c r="T3959" s="102"/>
      <c r="U3959" s="102" t="s">
        <v>3438</v>
      </c>
      <c r="V3959" s="102" t="s">
        <v>1382</v>
      </c>
      <c r="W3959" s="102" t="s">
        <v>1717</v>
      </c>
      <c r="X3959" s="102" t="s">
        <v>1382</v>
      </c>
      <c r="Y3959" s="102" t="s">
        <v>1382</v>
      </c>
      <c r="AA3959" s="352">
        <v>77.2</v>
      </c>
      <c r="AB3959" s="352">
        <v>11</v>
      </c>
      <c r="AC3959" s="101" t="s">
        <v>175</v>
      </c>
      <c r="AD3959" s="101">
        <v>7.8</v>
      </c>
      <c r="AE3959" s="101">
        <v>2.17</v>
      </c>
      <c r="AG3959" s="101" t="s">
        <v>3436</v>
      </c>
      <c r="AH3959" s="101" t="s">
        <v>2800</v>
      </c>
      <c r="AI3959" s="101" t="s">
        <v>4321</v>
      </c>
      <c r="AJ3959" s="101" t="s">
        <v>2327</v>
      </c>
      <c r="AK3959" s="101" t="s">
        <v>229</v>
      </c>
      <c r="AW3959" s="101" t="s">
        <v>3293</v>
      </c>
      <c r="BP3959" s="427"/>
      <c r="BQ3959" s="427"/>
      <c r="BU3959" s="427"/>
      <c r="BV3959" s="427"/>
      <c r="BZ3959" s="427"/>
      <c r="CA3959" s="427"/>
      <c r="CE3959" s="580"/>
      <c r="CF3959" s="580"/>
      <c r="CG3959" s="580"/>
      <c r="CH3959" s="580"/>
      <c r="JD3959" s="177"/>
    </row>
    <row r="3960" spans="1:264" s="101" customFormat="1" x14ac:dyDescent="0.25">
      <c r="A3960" s="101">
        <v>172</v>
      </c>
      <c r="B3960" s="102" t="s">
        <v>3442</v>
      </c>
      <c r="C3960" s="101" t="s">
        <v>3418</v>
      </c>
      <c r="D3960" s="101" t="s">
        <v>3358</v>
      </c>
      <c r="E3960" s="101">
        <v>2005</v>
      </c>
      <c r="F3960" s="101">
        <v>1990</v>
      </c>
      <c r="G3960" s="101" t="s">
        <v>2738</v>
      </c>
      <c r="H3960" s="101" t="s">
        <v>3435</v>
      </c>
      <c r="I3960" s="101" t="s">
        <v>2823</v>
      </c>
      <c r="J3960" s="101">
        <v>7.5</v>
      </c>
      <c r="K3960" s="101">
        <f t="shared" si="515"/>
        <v>3.9</v>
      </c>
      <c r="L3960" s="101">
        <v>213</v>
      </c>
      <c r="P3960" s="101">
        <v>1247</v>
      </c>
      <c r="R3960" s="102" t="s">
        <v>1847</v>
      </c>
      <c r="S3960" s="102" t="s">
        <v>1931</v>
      </c>
      <c r="T3960" s="102"/>
      <c r="U3960" s="102" t="s">
        <v>3438</v>
      </c>
      <c r="V3960" s="102" t="s">
        <v>1382</v>
      </c>
      <c r="W3960" s="102" t="s">
        <v>1717</v>
      </c>
      <c r="X3960" s="102" t="s">
        <v>1382</v>
      </c>
      <c r="Y3960" s="102" t="s">
        <v>1382</v>
      </c>
      <c r="AA3960" s="352">
        <v>77.2</v>
      </c>
      <c r="AB3960" s="352">
        <v>11</v>
      </c>
      <c r="AC3960" s="101" t="s">
        <v>175</v>
      </c>
      <c r="AD3960" s="101">
        <v>7.8</v>
      </c>
      <c r="AE3960" s="101">
        <v>2.17</v>
      </c>
      <c r="AG3960" s="101" t="s">
        <v>3436</v>
      </c>
      <c r="AH3960" s="101" t="s">
        <v>2800</v>
      </c>
      <c r="AI3960" s="101" t="s">
        <v>4321</v>
      </c>
      <c r="AJ3960" s="101" t="s">
        <v>2327</v>
      </c>
      <c r="AK3960" s="101" t="s">
        <v>229</v>
      </c>
      <c r="AW3960" s="101" t="s">
        <v>3293</v>
      </c>
      <c r="BP3960" s="427"/>
      <c r="BQ3960" s="427"/>
      <c r="BU3960" s="427"/>
      <c r="BV3960" s="427"/>
      <c r="BZ3960" s="427"/>
      <c r="CA3960" s="427"/>
      <c r="CE3960" s="580"/>
      <c r="CF3960" s="580"/>
      <c r="CG3960" s="580"/>
      <c r="CH3960" s="580"/>
      <c r="JD3960" s="177"/>
    </row>
    <row r="3961" spans="1:264" s="101" customFormat="1" x14ac:dyDescent="0.25">
      <c r="A3961" s="101">
        <v>172</v>
      </c>
      <c r="B3961" s="102" t="s">
        <v>3442</v>
      </c>
      <c r="C3961" s="101" t="s">
        <v>3418</v>
      </c>
      <c r="D3961" s="101" t="s">
        <v>3358</v>
      </c>
      <c r="E3961" s="101">
        <v>2005</v>
      </c>
      <c r="F3961" s="101">
        <v>1990</v>
      </c>
      <c r="G3961" s="101" t="s">
        <v>2738</v>
      </c>
      <c r="H3961" s="101" t="s">
        <v>3435</v>
      </c>
      <c r="I3961" s="101" t="s">
        <v>2823</v>
      </c>
      <c r="J3961" s="101">
        <v>7.5</v>
      </c>
      <c r="K3961" s="101">
        <f t="shared" si="515"/>
        <v>3.9</v>
      </c>
      <c r="L3961" s="101">
        <v>213</v>
      </c>
      <c r="P3961" s="101">
        <v>1247</v>
      </c>
      <c r="R3961" s="102" t="s">
        <v>1847</v>
      </c>
      <c r="S3961" s="102" t="s">
        <v>1931</v>
      </c>
      <c r="T3961" s="102"/>
      <c r="U3961" s="102" t="s">
        <v>3438</v>
      </c>
      <c r="V3961" s="102" t="s">
        <v>1382</v>
      </c>
      <c r="W3961" s="102" t="s">
        <v>1717</v>
      </c>
      <c r="X3961" s="102" t="s">
        <v>1382</v>
      </c>
      <c r="Y3961" s="102" t="s">
        <v>1382</v>
      </c>
      <c r="AA3961" s="352">
        <v>77.2</v>
      </c>
      <c r="AB3961" s="352">
        <v>11</v>
      </c>
      <c r="AC3961" s="101" t="s">
        <v>175</v>
      </c>
      <c r="AD3961" s="101">
        <v>7.8</v>
      </c>
      <c r="AE3961" s="101">
        <v>2.17</v>
      </c>
      <c r="AG3961" s="101" t="s">
        <v>3436</v>
      </c>
      <c r="AH3961" s="101" t="s">
        <v>2800</v>
      </c>
      <c r="AI3961" s="101" t="s">
        <v>4321</v>
      </c>
      <c r="AJ3961" s="101" t="s">
        <v>2327</v>
      </c>
      <c r="AK3961" s="101" t="s">
        <v>229</v>
      </c>
      <c r="AW3961" s="101" t="s">
        <v>3293</v>
      </c>
      <c r="BP3961" s="427"/>
      <c r="BQ3961" s="427"/>
      <c r="BU3961" s="427"/>
      <c r="BV3961" s="427"/>
      <c r="BZ3961" s="427"/>
      <c r="CA3961" s="427"/>
      <c r="CE3961" s="580"/>
      <c r="CF3961" s="580"/>
      <c r="CG3961" s="580"/>
      <c r="CH3961" s="580"/>
      <c r="JD3961" s="177"/>
    </row>
    <row r="3962" spans="1:264" s="527" customFormat="1" x14ac:dyDescent="0.25">
      <c r="A3962" s="527">
        <v>172</v>
      </c>
      <c r="B3962" s="528" t="s">
        <v>3442</v>
      </c>
      <c r="C3962" s="527" t="s">
        <v>3418</v>
      </c>
      <c r="D3962" s="527" t="s">
        <v>3358</v>
      </c>
      <c r="E3962" s="527">
        <v>2005</v>
      </c>
      <c r="F3962" s="527">
        <v>1991</v>
      </c>
      <c r="G3962" s="527" t="s">
        <v>2738</v>
      </c>
      <c r="H3962" s="527" t="s">
        <v>3435</v>
      </c>
      <c r="I3962" s="527" t="s">
        <v>2823</v>
      </c>
      <c r="J3962" s="527">
        <v>7.5</v>
      </c>
      <c r="K3962" s="527">
        <f t="shared" si="515"/>
        <v>3.9</v>
      </c>
      <c r="L3962" s="527">
        <v>213</v>
      </c>
      <c r="P3962" s="527">
        <v>1247</v>
      </c>
      <c r="R3962" s="528" t="s">
        <v>1728</v>
      </c>
      <c r="S3962" s="528" t="s">
        <v>1931</v>
      </c>
      <c r="T3962" s="528"/>
      <c r="U3962" s="528" t="s">
        <v>3438</v>
      </c>
      <c r="V3962" s="528" t="s">
        <v>1382</v>
      </c>
      <c r="W3962" s="528" t="s">
        <v>1717</v>
      </c>
      <c r="X3962" s="528" t="s">
        <v>1382</v>
      </c>
      <c r="Y3962" s="528" t="s">
        <v>1382</v>
      </c>
      <c r="AA3962" s="529">
        <v>77.2</v>
      </c>
      <c r="AB3962" s="529">
        <v>11</v>
      </c>
      <c r="AC3962" s="527" t="s">
        <v>175</v>
      </c>
      <c r="AD3962" s="527">
        <v>7.8</v>
      </c>
      <c r="AE3962" s="527">
        <v>2.17</v>
      </c>
      <c r="AG3962" s="527" t="s">
        <v>3436</v>
      </c>
      <c r="AH3962" s="527" t="s">
        <v>2800</v>
      </c>
      <c r="AI3962" s="527" t="s">
        <v>4321</v>
      </c>
      <c r="AJ3962" s="527" t="s">
        <v>2327</v>
      </c>
      <c r="AK3962" s="527" t="s">
        <v>229</v>
      </c>
      <c r="AW3962" s="527" t="s">
        <v>3293</v>
      </c>
      <c r="BK3962" s="527">
        <v>5800</v>
      </c>
      <c r="BL3962" s="527">
        <v>5200</v>
      </c>
      <c r="BP3962" s="530"/>
      <c r="BQ3962" s="530"/>
      <c r="BU3962" s="530"/>
      <c r="BV3962" s="530"/>
      <c r="BZ3962" s="530"/>
      <c r="CA3962" s="530"/>
      <c r="CE3962" s="610"/>
      <c r="CF3962" s="610"/>
      <c r="CG3962" s="610"/>
      <c r="CH3962" s="610"/>
      <c r="JD3962" s="531"/>
    </row>
    <row r="3963" spans="1:264" s="527" customFormat="1" x14ac:dyDescent="0.25">
      <c r="A3963" s="527">
        <v>172</v>
      </c>
      <c r="B3963" s="528" t="s">
        <v>3442</v>
      </c>
      <c r="C3963" s="527" t="s">
        <v>3418</v>
      </c>
      <c r="D3963" s="527" t="s">
        <v>3358</v>
      </c>
      <c r="E3963" s="527">
        <v>2005</v>
      </c>
      <c r="F3963" s="527">
        <v>1991</v>
      </c>
      <c r="G3963" s="527" t="s">
        <v>2738</v>
      </c>
      <c r="H3963" s="527" t="s">
        <v>3435</v>
      </c>
      <c r="I3963" s="527" t="s">
        <v>2823</v>
      </c>
      <c r="J3963" s="527">
        <v>7.5</v>
      </c>
      <c r="K3963" s="527">
        <f t="shared" si="515"/>
        <v>3.9</v>
      </c>
      <c r="L3963" s="527">
        <v>213</v>
      </c>
      <c r="P3963" s="527">
        <v>1247</v>
      </c>
      <c r="R3963" s="528" t="s">
        <v>1728</v>
      </c>
      <c r="S3963" s="528" t="s">
        <v>1931</v>
      </c>
      <c r="T3963" s="528"/>
      <c r="U3963" s="528" t="s">
        <v>3438</v>
      </c>
      <c r="V3963" s="528" t="s">
        <v>1382</v>
      </c>
      <c r="W3963" s="528" t="s">
        <v>1717</v>
      </c>
      <c r="X3963" s="528" t="s">
        <v>1382</v>
      </c>
      <c r="Y3963" s="528" t="s">
        <v>1382</v>
      </c>
      <c r="AA3963" s="529">
        <v>77.2</v>
      </c>
      <c r="AB3963" s="529">
        <v>11</v>
      </c>
      <c r="AC3963" s="527" t="s">
        <v>175</v>
      </c>
      <c r="AD3963" s="527">
        <v>7.8</v>
      </c>
      <c r="AE3963" s="527">
        <v>2.17</v>
      </c>
      <c r="AG3963" s="527" t="s">
        <v>3436</v>
      </c>
      <c r="AH3963" s="527" t="s">
        <v>2800</v>
      </c>
      <c r="AI3963" s="527" t="s">
        <v>4321</v>
      </c>
      <c r="AJ3963" s="527" t="s">
        <v>2327</v>
      </c>
      <c r="AK3963" s="527" t="s">
        <v>229</v>
      </c>
      <c r="AW3963" s="527" t="s">
        <v>3293</v>
      </c>
      <c r="BK3963" s="527">
        <v>8900</v>
      </c>
      <c r="BL3963" s="527">
        <v>6100</v>
      </c>
      <c r="BP3963" s="530"/>
      <c r="BQ3963" s="530"/>
      <c r="BU3963" s="530"/>
      <c r="BV3963" s="530"/>
      <c r="BZ3963" s="530"/>
      <c r="CA3963" s="530"/>
      <c r="CE3963" s="610"/>
      <c r="CF3963" s="610"/>
      <c r="CG3963" s="610"/>
      <c r="CH3963" s="610"/>
      <c r="JD3963" s="531"/>
    </row>
    <row r="3964" spans="1:264" s="527" customFormat="1" x14ac:dyDescent="0.25">
      <c r="A3964" s="527">
        <v>172</v>
      </c>
      <c r="B3964" s="528" t="s">
        <v>3442</v>
      </c>
      <c r="C3964" s="527" t="s">
        <v>3418</v>
      </c>
      <c r="D3964" s="527" t="s">
        <v>3358</v>
      </c>
      <c r="E3964" s="527">
        <v>2005</v>
      </c>
      <c r="F3964" s="527">
        <v>1991</v>
      </c>
      <c r="G3964" s="527" t="s">
        <v>2738</v>
      </c>
      <c r="H3964" s="527" t="s">
        <v>3435</v>
      </c>
      <c r="I3964" s="527" t="s">
        <v>2823</v>
      </c>
      <c r="J3964" s="527">
        <v>7.5</v>
      </c>
      <c r="K3964" s="527">
        <f t="shared" si="515"/>
        <v>3.9</v>
      </c>
      <c r="L3964" s="527">
        <v>213</v>
      </c>
      <c r="P3964" s="527">
        <v>1247</v>
      </c>
      <c r="R3964" s="528" t="s">
        <v>1728</v>
      </c>
      <c r="S3964" s="528" t="s">
        <v>1931</v>
      </c>
      <c r="T3964" s="528"/>
      <c r="U3964" s="528" t="s">
        <v>3438</v>
      </c>
      <c r="V3964" s="528" t="s">
        <v>1382</v>
      </c>
      <c r="W3964" s="528" t="s">
        <v>1717</v>
      </c>
      <c r="X3964" s="528" t="s">
        <v>1382</v>
      </c>
      <c r="Y3964" s="528" t="s">
        <v>1382</v>
      </c>
      <c r="AA3964" s="529">
        <v>77.2</v>
      </c>
      <c r="AB3964" s="529">
        <v>11</v>
      </c>
      <c r="AC3964" s="527" t="s">
        <v>175</v>
      </c>
      <c r="AD3964" s="527">
        <v>7.8</v>
      </c>
      <c r="AE3964" s="527">
        <v>2.17</v>
      </c>
      <c r="AG3964" s="527" t="s">
        <v>3436</v>
      </c>
      <c r="AH3964" s="527" t="s">
        <v>2800</v>
      </c>
      <c r="AI3964" s="527" t="s">
        <v>4321</v>
      </c>
      <c r="AJ3964" s="527" t="s">
        <v>2327</v>
      </c>
      <c r="AK3964" s="527" t="s">
        <v>229</v>
      </c>
      <c r="AW3964" s="527" t="s">
        <v>3293</v>
      </c>
      <c r="BP3964" s="530"/>
      <c r="BQ3964" s="530"/>
      <c r="BU3964" s="530"/>
      <c r="BV3964" s="530"/>
      <c r="BZ3964" s="530"/>
      <c r="CA3964" s="530"/>
      <c r="CE3964" s="610"/>
      <c r="CF3964" s="610"/>
      <c r="CG3964" s="610"/>
      <c r="CH3964" s="610"/>
      <c r="JD3964" s="531"/>
    </row>
    <row r="3965" spans="1:264" s="527" customFormat="1" x14ac:dyDescent="0.25">
      <c r="A3965" s="527">
        <v>172</v>
      </c>
      <c r="B3965" s="528" t="s">
        <v>3442</v>
      </c>
      <c r="C3965" s="527" t="s">
        <v>3418</v>
      </c>
      <c r="D3965" s="527" t="s">
        <v>3358</v>
      </c>
      <c r="E3965" s="527">
        <v>2005</v>
      </c>
      <c r="F3965" s="527">
        <v>1991</v>
      </c>
      <c r="G3965" s="527" t="s">
        <v>2738</v>
      </c>
      <c r="H3965" s="527" t="s">
        <v>3435</v>
      </c>
      <c r="I3965" s="527" t="s">
        <v>2823</v>
      </c>
      <c r="J3965" s="527">
        <v>7.5</v>
      </c>
      <c r="K3965" s="527">
        <f t="shared" si="515"/>
        <v>3.9</v>
      </c>
      <c r="L3965" s="527">
        <v>213</v>
      </c>
      <c r="P3965" s="527">
        <v>1247</v>
      </c>
      <c r="R3965" s="528" t="s">
        <v>1728</v>
      </c>
      <c r="S3965" s="528" t="s">
        <v>1931</v>
      </c>
      <c r="T3965" s="528"/>
      <c r="U3965" s="528" t="s">
        <v>3438</v>
      </c>
      <c r="V3965" s="528" t="s">
        <v>1382</v>
      </c>
      <c r="W3965" s="528" t="s">
        <v>1717</v>
      </c>
      <c r="X3965" s="528" t="s">
        <v>1382</v>
      </c>
      <c r="Y3965" s="528" t="s">
        <v>1382</v>
      </c>
      <c r="AA3965" s="529">
        <v>77.2</v>
      </c>
      <c r="AB3965" s="529">
        <v>11</v>
      </c>
      <c r="AC3965" s="527" t="s">
        <v>175</v>
      </c>
      <c r="AD3965" s="527">
        <v>7.8</v>
      </c>
      <c r="AE3965" s="527">
        <v>2.17</v>
      </c>
      <c r="AG3965" s="527" t="s">
        <v>3436</v>
      </c>
      <c r="AH3965" s="527" t="s">
        <v>2800</v>
      </c>
      <c r="AI3965" s="527" t="s">
        <v>4321</v>
      </c>
      <c r="AJ3965" s="527" t="s">
        <v>2327</v>
      </c>
      <c r="AK3965" s="527" t="s">
        <v>229</v>
      </c>
      <c r="AW3965" s="527" t="s">
        <v>3293</v>
      </c>
      <c r="BP3965" s="530"/>
      <c r="BQ3965" s="530"/>
      <c r="BU3965" s="530"/>
      <c r="BV3965" s="530"/>
      <c r="BZ3965" s="530"/>
      <c r="CA3965" s="530"/>
      <c r="CE3965" s="610"/>
      <c r="CF3965" s="610"/>
      <c r="CG3965" s="610"/>
      <c r="CH3965" s="610"/>
      <c r="JD3965" s="531"/>
    </row>
    <row r="3966" spans="1:264" s="101" customFormat="1" x14ac:dyDescent="0.25">
      <c r="A3966" s="101">
        <v>172</v>
      </c>
      <c r="B3966" s="102" t="s">
        <v>3442</v>
      </c>
      <c r="C3966" s="101" t="s">
        <v>3418</v>
      </c>
      <c r="D3966" s="101" t="s">
        <v>3358</v>
      </c>
      <c r="E3966" s="101">
        <v>2005</v>
      </c>
      <c r="F3966" s="101">
        <v>1992</v>
      </c>
      <c r="G3966" s="101" t="s">
        <v>2738</v>
      </c>
      <c r="H3966" s="101" t="s">
        <v>3435</v>
      </c>
      <c r="I3966" s="101" t="s">
        <v>2823</v>
      </c>
      <c r="J3966" s="101">
        <v>7.5</v>
      </c>
      <c r="K3966" s="101">
        <f t="shared" si="515"/>
        <v>3.9</v>
      </c>
      <c r="L3966" s="101">
        <v>213</v>
      </c>
      <c r="P3966" s="101">
        <v>1247</v>
      </c>
      <c r="R3966" s="102" t="s">
        <v>1858</v>
      </c>
      <c r="S3966" s="102" t="s">
        <v>1931</v>
      </c>
      <c r="T3966" s="102"/>
      <c r="U3966" s="102" t="s">
        <v>3438</v>
      </c>
      <c r="V3966" s="102" t="s">
        <v>1382</v>
      </c>
      <c r="W3966" s="102" t="s">
        <v>1717</v>
      </c>
      <c r="X3966" s="102" t="s">
        <v>1382</v>
      </c>
      <c r="Y3966" s="102" t="s">
        <v>1382</v>
      </c>
      <c r="AA3966" s="352">
        <v>77.2</v>
      </c>
      <c r="AB3966" s="352">
        <v>11</v>
      </c>
      <c r="AC3966" s="101" t="s">
        <v>175</v>
      </c>
      <c r="AD3966" s="101">
        <v>7.8</v>
      </c>
      <c r="AE3966" s="101">
        <v>2.17</v>
      </c>
      <c r="AG3966" s="101" t="s">
        <v>3436</v>
      </c>
      <c r="AH3966" s="101" t="s">
        <v>2800</v>
      </c>
      <c r="AI3966" s="101" t="s">
        <v>4321</v>
      </c>
      <c r="AJ3966" s="101" t="s">
        <v>2327</v>
      </c>
      <c r="AK3966" s="101" t="s">
        <v>229</v>
      </c>
      <c r="AW3966" s="101" t="s">
        <v>3293</v>
      </c>
      <c r="BK3966" s="101">
        <v>5100</v>
      </c>
      <c r="BL3966" s="101">
        <v>4200</v>
      </c>
      <c r="BP3966" s="427"/>
      <c r="BQ3966" s="427"/>
      <c r="BU3966" s="427"/>
      <c r="BV3966" s="427"/>
      <c r="BZ3966" s="427"/>
      <c r="CA3966" s="427"/>
      <c r="CE3966" s="580"/>
      <c r="CF3966" s="580"/>
      <c r="CG3966" s="580"/>
      <c r="CH3966" s="580"/>
      <c r="JD3966" s="177"/>
    </row>
    <row r="3967" spans="1:264" s="101" customFormat="1" x14ac:dyDescent="0.25">
      <c r="A3967" s="101">
        <v>172</v>
      </c>
      <c r="B3967" s="102" t="s">
        <v>3442</v>
      </c>
      <c r="C3967" s="101" t="s">
        <v>3418</v>
      </c>
      <c r="D3967" s="101" t="s">
        <v>3358</v>
      </c>
      <c r="E3967" s="101">
        <v>2005</v>
      </c>
      <c r="F3967" s="101">
        <v>1992</v>
      </c>
      <c r="G3967" s="101" t="s">
        <v>2738</v>
      </c>
      <c r="H3967" s="101" t="s">
        <v>3435</v>
      </c>
      <c r="I3967" s="101" t="s">
        <v>2823</v>
      </c>
      <c r="J3967" s="101">
        <v>7.5</v>
      </c>
      <c r="K3967" s="101">
        <f t="shared" si="515"/>
        <v>3.9</v>
      </c>
      <c r="L3967" s="101">
        <v>213</v>
      </c>
      <c r="P3967" s="101">
        <v>1247</v>
      </c>
      <c r="R3967" s="102" t="s">
        <v>1858</v>
      </c>
      <c r="S3967" s="102" t="s">
        <v>1931</v>
      </c>
      <c r="T3967" s="102"/>
      <c r="U3967" s="102" t="s">
        <v>3438</v>
      </c>
      <c r="V3967" s="102" t="s">
        <v>1382</v>
      </c>
      <c r="W3967" s="102" t="s">
        <v>1717</v>
      </c>
      <c r="X3967" s="102" t="s">
        <v>1382</v>
      </c>
      <c r="Y3967" s="102" t="s">
        <v>1382</v>
      </c>
      <c r="AA3967" s="352">
        <v>77.2</v>
      </c>
      <c r="AB3967" s="352">
        <v>11</v>
      </c>
      <c r="AC3967" s="101" t="s">
        <v>175</v>
      </c>
      <c r="AD3967" s="101">
        <v>7.8</v>
      </c>
      <c r="AE3967" s="101">
        <v>2.17</v>
      </c>
      <c r="AG3967" s="101" t="s">
        <v>3436</v>
      </c>
      <c r="AH3967" s="101" t="s">
        <v>2800</v>
      </c>
      <c r="AI3967" s="101" t="s">
        <v>4321</v>
      </c>
      <c r="AJ3967" s="101" t="s">
        <v>2327</v>
      </c>
      <c r="AK3967" s="101" t="s">
        <v>229</v>
      </c>
      <c r="AW3967" s="101" t="s">
        <v>3293</v>
      </c>
      <c r="BK3967" s="101">
        <v>5600</v>
      </c>
      <c r="BL3967" s="101">
        <v>6200</v>
      </c>
      <c r="BP3967" s="427"/>
      <c r="BQ3967" s="427"/>
      <c r="BU3967" s="427"/>
      <c r="BV3967" s="427"/>
      <c r="BZ3967" s="427"/>
      <c r="CA3967" s="427"/>
      <c r="CE3967" s="580"/>
      <c r="CF3967" s="580"/>
      <c r="CG3967" s="580"/>
      <c r="CH3967" s="580"/>
      <c r="JD3967" s="177"/>
    </row>
    <row r="3968" spans="1:264" s="101" customFormat="1" x14ac:dyDescent="0.25">
      <c r="A3968" s="101">
        <v>172</v>
      </c>
      <c r="B3968" s="102" t="s">
        <v>3442</v>
      </c>
      <c r="C3968" s="101" t="s">
        <v>3418</v>
      </c>
      <c r="D3968" s="101" t="s">
        <v>3358</v>
      </c>
      <c r="E3968" s="101">
        <v>2005</v>
      </c>
      <c r="F3968" s="101">
        <v>1992</v>
      </c>
      <c r="G3968" s="101" t="s">
        <v>2738</v>
      </c>
      <c r="H3968" s="101" t="s">
        <v>3435</v>
      </c>
      <c r="I3968" s="101" t="s">
        <v>2823</v>
      </c>
      <c r="J3968" s="101">
        <v>7.5</v>
      </c>
      <c r="K3968" s="101">
        <f t="shared" si="515"/>
        <v>3.9</v>
      </c>
      <c r="L3968" s="101">
        <v>213</v>
      </c>
      <c r="P3968" s="101">
        <v>1247</v>
      </c>
      <c r="R3968" s="102" t="s">
        <v>1858</v>
      </c>
      <c r="S3968" s="102" t="s">
        <v>1931</v>
      </c>
      <c r="T3968" s="102"/>
      <c r="U3968" s="102" t="s">
        <v>3438</v>
      </c>
      <c r="V3968" s="102" t="s">
        <v>1382</v>
      </c>
      <c r="W3968" s="102" t="s">
        <v>1717</v>
      </c>
      <c r="X3968" s="102" t="s">
        <v>1382</v>
      </c>
      <c r="Y3968" s="102" t="s">
        <v>1382</v>
      </c>
      <c r="AA3968" s="352">
        <v>77.2</v>
      </c>
      <c r="AB3968" s="352">
        <v>11</v>
      </c>
      <c r="AC3968" s="101" t="s">
        <v>175</v>
      </c>
      <c r="AD3968" s="101">
        <v>7.8</v>
      </c>
      <c r="AE3968" s="101">
        <v>2.17</v>
      </c>
      <c r="AG3968" s="101" t="s">
        <v>3436</v>
      </c>
      <c r="AH3968" s="101" t="s">
        <v>2800</v>
      </c>
      <c r="AI3968" s="101" t="s">
        <v>4321</v>
      </c>
      <c r="AJ3968" s="101" t="s">
        <v>2327</v>
      </c>
      <c r="AK3968" s="101" t="s">
        <v>229</v>
      </c>
      <c r="AW3968" s="101" t="s">
        <v>3293</v>
      </c>
      <c r="BK3968" s="101">
        <v>9500</v>
      </c>
      <c r="BL3968" s="101">
        <v>5500</v>
      </c>
      <c r="BP3968" s="427"/>
      <c r="BQ3968" s="427"/>
      <c r="BU3968" s="427"/>
      <c r="BV3968" s="427"/>
      <c r="BZ3968" s="427"/>
      <c r="CA3968" s="427"/>
      <c r="CE3968" s="580"/>
      <c r="CF3968" s="580"/>
      <c r="CG3968" s="580"/>
      <c r="CH3968" s="580"/>
      <c r="JD3968" s="177"/>
    </row>
    <row r="3969" spans="1:264" s="101" customFormat="1" x14ac:dyDescent="0.25">
      <c r="A3969" s="101">
        <v>172</v>
      </c>
      <c r="B3969" s="102" t="s">
        <v>3442</v>
      </c>
      <c r="C3969" s="101" t="s">
        <v>3418</v>
      </c>
      <c r="D3969" s="101" t="s">
        <v>3358</v>
      </c>
      <c r="E3969" s="101">
        <v>2005</v>
      </c>
      <c r="F3969" s="101">
        <v>1992</v>
      </c>
      <c r="G3969" s="101" t="s">
        <v>2738</v>
      </c>
      <c r="H3969" s="101" t="s">
        <v>3435</v>
      </c>
      <c r="I3969" s="101" t="s">
        <v>2823</v>
      </c>
      <c r="J3969" s="101">
        <v>7.5</v>
      </c>
      <c r="K3969" s="101">
        <f t="shared" si="515"/>
        <v>3.9</v>
      </c>
      <c r="L3969" s="101">
        <v>213</v>
      </c>
      <c r="P3969" s="101">
        <v>1247</v>
      </c>
      <c r="R3969" s="102" t="s">
        <v>1858</v>
      </c>
      <c r="S3969" s="102" t="s">
        <v>1931</v>
      </c>
      <c r="T3969" s="102"/>
      <c r="U3969" s="102" t="s">
        <v>3438</v>
      </c>
      <c r="V3969" s="102" t="s">
        <v>1382</v>
      </c>
      <c r="W3969" s="102" t="s">
        <v>1717</v>
      </c>
      <c r="X3969" s="102" t="s">
        <v>1382</v>
      </c>
      <c r="Y3969" s="102" t="s">
        <v>1382</v>
      </c>
      <c r="AA3969" s="352">
        <v>77.2</v>
      </c>
      <c r="AB3969" s="352">
        <v>11</v>
      </c>
      <c r="AC3969" s="101" t="s">
        <v>175</v>
      </c>
      <c r="AD3969" s="101">
        <v>7.8</v>
      </c>
      <c r="AE3969" s="101">
        <v>2.17</v>
      </c>
      <c r="AG3969" s="101" t="s">
        <v>3436</v>
      </c>
      <c r="AH3969" s="101" t="s">
        <v>2800</v>
      </c>
      <c r="AI3969" s="101" t="s">
        <v>4321</v>
      </c>
      <c r="AJ3969" s="101" t="s">
        <v>2327</v>
      </c>
      <c r="AK3969" s="101" t="s">
        <v>229</v>
      </c>
      <c r="AW3969" s="101" t="s">
        <v>3293</v>
      </c>
      <c r="BP3969" s="427"/>
      <c r="BQ3969" s="427"/>
      <c r="BU3969" s="427"/>
      <c r="BV3969" s="427"/>
      <c r="BZ3969" s="427"/>
      <c r="CA3969" s="427"/>
      <c r="CE3969" s="580"/>
      <c r="CF3969" s="580"/>
      <c r="CG3969" s="580"/>
      <c r="CH3969" s="580"/>
      <c r="JD3969" s="177"/>
    </row>
    <row r="3970" spans="1:264" s="527" customFormat="1" x14ac:dyDescent="0.25">
      <c r="A3970" s="527">
        <v>172</v>
      </c>
      <c r="B3970" s="528" t="s">
        <v>3442</v>
      </c>
      <c r="C3970" s="527" t="s">
        <v>3418</v>
      </c>
      <c r="D3970" s="527" t="s">
        <v>3358</v>
      </c>
      <c r="E3970" s="527">
        <v>2005</v>
      </c>
      <c r="F3970" s="527">
        <v>1993</v>
      </c>
      <c r="G3970" s="527" t="s">
        <v>2738</v>
      </c>
      <c r="H3970" s="527" t="s">
        <v>3435</v>
      </c>
      <c r="I3970" s="527" t="s">
        <v>2823</v>
      </c>
      <c r="J3970" s="527">
        <v>7.5</v>
      </c>
      <c r="K3970" s="527">
        <f t="shared" ref="K3970:K4001" si="516">3+54/60</f>
        <v>3.9</v>
      </c>
      <c r="L3970" s="527">
        <v>213</v>
      </c>
      <c r="P3970" s="527">
        <v>1247</v>
      </c>
      <c r="R3970" s="528" t="s">
        <v>1722</v>
      </c>
      <c r="S3970" s="528" t="s">
        <v>1931</v>
      </c>
      <c r="T3970" s="528"/>
      <c r="U3970" s="528" t="s">
        <v>3438</v>
      </c>
      <c r="V3970" s="528" t="s">
        <v>1382</v>
      </c>
      <c r="W3970" s="528" t="s">
        <v>1717</v>
      </c>
      <c r="X3970" s="528" t="s">
        <v>1382</v>
      </c>
      <c r="Y3970" s="528" t="s">
        <v>1382</v>
      </c>
      <c r="AA3970" s="529">
        <v>77.2</v>
      </c>
      <c r="AB3970" s="529">
        <v>11</v>
      </c>
      <c r="AC3970" s="527" t="s">
        <v>175</v>
      </c>
      <c r="AD3970" s="527">
        <v>7.8</v>
      </c>
      <c r="AE3970" s="527">
        <v>2.17</v>
      </c>
      <c r="AG3970" s="527" t="s">
        <v>3436</v>
      </c>
      <c r="AH3970" s="527" t="s">
        <v>2800</v>
      </c>
      <c r="AI3970" s="527" t="s">
        <v>4321</v>
      </c>
      <c r="AJ3970" s="527" t="s">
        <v>2327</v>
      </c>
      <c r="AK3970" s="527" t="s">
        <v>229</v>
      </c>
      <c r="AW3970" s="527" t="s">
        <v>3293</v>
      </c>
      <c r="BK3970" s="527">
        <v>6600</v>
      </c>
      <c r="BL3970" s="527">
        <v>4600</v>
      </c>
      <c r="BP3970" s="530"/>
      <c r="BQ3970" s="530"/>
      <c r="BU3970" s="530"/>
      <c r="BV3970" s="530"/>
      <c r="BZ3970" s="530"/>
      <c r="CA3970" s="530"/>
      <c r="CE3970" s="610"/>
      <c r="CF3970" s="610"/>
      <c r="CG3970" s="610"/>
      <c r="CH3970" s="610"/>
      <c r="JD3970" s="531"/>
    </row>
    <row r="3971" spans="1:264" s="527" customFormat="1" x14ac:dyDescent="0.25">
      <c r="A3971" s="527">
        <v>172</v>
      </c>
      <c r="B3971" s="528" t="s">
        <v>3442</v>
      </c>
      <c r="C3971" s="527" t="s">
        <v>3418</v>
      </c>
      <c r="D3971" s="527" t="s">
        <v>3358</v>
      </c>
      <c r="E3971" s="527">
        <v>2005</v>
      </c>
      <c r="F3971" s="527">
        <v>1993</v>
      </c>
      <c r="G3971" s="527" t="s">
        <v>2738</v>
      </c>
      <c r="H3971" s="527" t="s">
        <v>3435</v>
      </c>
      <c r="I3971" s="527" t="s">
        <v>2823</v>
      </c>
      <c r="J3971" s="527">
        <v>7.5</v>
      </c>
      <c r="K3971" s="527">
        <f t="shared" si="516"/>
        <v>3.9</v>
      </c>
      <c r="L3971" s="527">
        <v>213</v>
      </c>
      <c r="P3971" s="527">
        <v>1247</v>
      </c>
      <c r="R3971" s="528" t="s">
        <v>1722</v>
      </c>
      <c r="S3971" s="528" t="s">
        <v>1931</v>
      </c>
      <c r="T3971" s="528"/>
      <c r="U3971" s="528" t="s">
        <v>3438</v>
      </c>
      <c r="V3971" s="528" t="s">
        <v>1382</v>
      </c>
      <c r="W3971" s="528" t="s">
        <v>1717</v>
      </c>
      <c r="X3971" s="528" t="s">
        <v>1382</v>
      </c>
      <c r="Y3971" s="528" t="s">
        <v>1382</v>
      </c>
      <c r="AA3971" s="529">
        <v>77.2</v>
      </c>
      <c r="AB3971" s="529">
        <v>11</v>
      </c>
      <c r="AC3971" s="527" t="s">
        <v>175</v>
      </c>
      <c r="AD3971" s="527">
        <v>7.8</v>
      </c>
      <c r="AE3971" s="527">
        <v>2.17</v>
      </c>
      <c r="AG3971" s="527" t="s">
        <v>3436</v>
      </c>
      <c r="AH3971" s="527" t="s">
        <v>2800</v>
      </c>
      <c r="AI3971" s="527" t="s">
        <v>4321</v>
      </c>
      <c r="AJ3971" s="527" t="s">
        <v>2327</v>
      </c>
      <c r="AK3971" s="527" t="s">
        <v>229</v>
      </c>
      <c r="AW3971" s="527" t="s">
        <v>3293</v>
      </c>
      <c r="BK3971" s="527">
        <v>12000</v>
      </c>
      <c r="BL3971" s="527">
        <v>7900</v>
      </c>
      <c r="BP3971" s="530"/>
      <c r="BQ3971" s="530"/>
      <c r="BU3971" s="530"/>
      <c r="BV3971" s="530"/>
      <c r="BZ3971" s="530"/>
      <c r="CA3971" s="530"/>
      <c r="CE3971" s="610"/>
      <c r="CF3971" s="610"/>
      <c r="CG3971" s="610"/>
      <c r="CH3971" s="610"/>
      <c r="JD3971" s="531"/>
    </row>
    <row r="3972" spans="1:264" s="527" customFormat="1" x14ac:dyDescent="0.25">
      <c r="A3972" s="527">
        <v>172</v>
      </c>
      <c r="B3972" s="528" t="s">
        <v>3442</v>
      </c>
      <c r="C3972" s="527" t="s">
        <v>3418</v>
      </c>
      <c r="D3972" s="527" t="s">
        <v>3358</v>
      </c>
      <c r="E3972" s="527">
        <v>2005</v>
      </c>
      <c r="F3972" s="527">
        <v>1993</v>
      </c>
      <c r="G3972" s="527" t="s">
        <v>2738</v>
      </c>
      <c r="H3972" s="527" t="s">
        <v>3435</v>
      </c>
      <c r="I3972" s="527" t="s">
        <v>2823</v>
      </c>
      <c r="J3972" s="527">
        <v>7.5</v>
      </c>
      <c r="K3972" s="527">
        <f t="shared" si="516"/>
        <v>3.9</v>
      </c>
      <c r="L3972" s="527">
        <v>213</v>
      </c>
      <c r="P3972" s="527">
        <v>1247</v>
      </c>
      <c r="R3972" s="528" t="s">
        <v>1722</v>
      </c>
      <c r="S3972" s="528" t="s">
        <v>1931</v>
      </c>
      <c r="T3972" s="528"/>
      <c r="U3972" s="528" t="s">
        <v>3438</v>
      </c>
      <c r="V3972" s="528" t="s">
        <v>1382</v>
      </c>
      <c r="W3972" s="528" t="s">
        <v>1717</v>
      </c>
      <c r="X3972" s="528" t="s">
        <v>1382</v>
      </c>
      <c r="Y3972" s="528" t="s">
        <v>1382</v>
      </c>
      <c r="AA3972" s="529">
        <v>77.2</v>
      </c>
      <c r="AB3972" s="529">
        <v>11</v>
      </c>
      <c r="AC3972" s="527" t="s">
        <v>175</v>
      </c>
      <c r="AD3972" s="527">
        <v>7.8</v>
      </c>
      <c r="AE3972" s="527">
        <v>2.17</v>
      </c>
      <c r="AG3972" s="527" t="s">
        <v>3436</v>
      </c>
      <c r="AH3972" s="527" t="s">
        <v>2800</v>
      </c>
      <c r="AI3972" s="527" t="s">
        <v>4321</v>
      </c>
      <c r="AJ3972" s="527" t="s">
        <v>2327</v>
      </c>
      <c r="AK3972" s="527" t="s">
        <v>229</v>
      </c>
      <c r="AW3972" s="527" t="s">
        <v>3293</v>
      </c>
      <c r="BK3972" s="527">
        <v>12700</v>
      </c>
      <c r="BL3972" s="527">
        <v>9800</v>
      </c>
      <c r="BP3972" s="530"/>
      <c r="BQ3972" s="530"/>
      <c r="BU3972" s="530"/>
      <c r="BV3972" s="530"/>
      <c r="BZ3972" s="530"/>
      <c r="CA3972" s="530"/>
      <c r="CE3972" s="610"/>
      <c r="CF3972" s="610"/>
      <c r="CG3972" s="610"/>
      <c r="CH3972" s="610"/>
      <c r="JD3972" s="531"/>
    </row>
    <row r="3973" spans="1:264" s="527" customFormat="1" x14ac:dyDescent="0.25">
      <c r="A3973" s="527">
        <v>172</v>
      </c>
      <c r="B3973" s="528" t="s">
        <v>3442</v>
      </c>
      <c r="C3973" s="527" t="s">
        <v>3418</v>
      </c>
      <c r="D3973" s="527" t="s">
        <v>3358</v>
      </c>
      <c r="E3973" s="527">
        <v>2005</v>
      </c>
      <c r="F3973" s="527">
        <v>1993</v>
      </c>
      <c r="G3973" s="527" t="s">
        <v>2738</v>
      </c>
      <c r="H3973" s="527" t="s">
        <v>3435</v>
      </c>
      <c r="I3973" s="527" t="s">
        <v>2823</v>
      </c>
      <c r="J3973" s="527">
        <v>7.5</v>
      </c>
      <c r="K3973" s="527">
        <f t="shared" si="516"/>
        <v>3.9</v>
      </c>
      <c r="L3973" s="527">
        <v>213</v>
      </c>
      <c r="P3973" s="527">
        <v>1247</v>
      </c>
      <c r="R3973" s="528" t="s">
        <v>1722</v>
      </c>
      <c r="S3973" s="528" t="s">
        <v>1931</v>
      </c>
      <c r="T3973" s="528"/>
      <c r="U3973" s="528" t="s">
        <v>3438</v>
      </c>
      <c r="V3973" s="528" t="s">
        <v>1382</v>
      </c>
      <c r="W3973" s="528" t="s">
        <v>1717</v>
      </c>
      <c r="X3973" s="528" t="s">
        <v>1382</v>
      </c>
      <c r="Y3973" s="528" t="s">
        <v>1382</v>
      </c>
      <c r="AA3973" s="529">
        <v>77.2</v>
      </c>
      <c r="AB3973" s="529">
        <v>11</v>
      </c>
      <c r="AC3973" s="527" t="s">
        <v>175</v>
      </c>
      <c r="AD3973" s="527">
        <v>7.8</v>
      </c>
      <c r="AE3973" s="527">
        <v>2.17</v>
      </c>
      <c r="AG3973" s="527" t="s">
        <v>3436</v>
      </c>
      <c r="AH3973" s="527" t="s">
        <v>2800</v>
      </c>
      <c r="AI3973" s="527" t="s">
        <v>4321</v>
      </c>
      <c r="AJ3973" s="527" t="s">
        <v>2327</v>
      </c>
      <c r="AK3973" s="527" t="s">
        <v>229</v>
      </c>
      <c r="AW3973" s="527" t="s">
        <v>3293</v>
      </c>
      <c r="BK3973" s="527">
        <v>11500</v>
      </c>
      <c r="BL3973" s="527">
        <v>10700</v>
      </c>
      <c r="BP3973" s="530"/>
      <c r="BQ3973" s="530"/>
      <c r="BU3973" s="530"/>
      <c r="BV3973" s="530"/>
      <c r="BZ3973" s="530"/>
      <c r="CA3973" s="530"/>
      <c r="CE3973" s="610"/>
      <c r="CF3973" s="610"/>
      <c r="CG3973" s="610"/>
      <c r="CH3973" s="610"/>
      <c r="JD3973" s="531"/>
    </row>
    <row r="3974" spans="1:264" s="101" customFormat="1" x14ac:dyDescent="0.25">
      <c r="A3974" s="101">
        <v>172</v>
      </c>
      <c r="B3974" s="102" t="s">
        <v>3442</v>
      </c>
      <c r="C3974" s="101" t="s">
        <v>3418</v>
      </c>
      <c r="D3974" s="101" t="s">
        <v>3358</v>
      </c>
      <c r="E3974" s="101">
        <v>2005</v>
      </c>
      <c r="F3974" s="101">
        <v>1994</v>
      </c>
      <c r="G3974" s="101" t="s">
        <v>2738</v>
      </c>
      <c r="H3974" s="101" t="s">
        <v>3435</v>
      </c>
      <c r="I3974" s="101" t="s">
        <v>2823</v>
      </c>
      <c r="J3974" s="101">
        <v>7.5</v>
      </c>
      <c r="K3974" s="101">
        <f t="shared" si="516"/>
        <v>3.9</v>
      </c>
      <c r="L3974" s="101">
        <v>213</v>
      </c>
      <c r="P3974" s="101">
        <v>1247</v>
      </c>
      <c r="R3974" s="102" t="s">
        <v>1843</v>
      </c>
      <c r="S3974" s="102" t="s">
        <v>1931</v>
      </c>
      <c r="T3974" s="102"/>
      <c r="U3974" s="102" t="s">
        <v>3438</v>
      </c>
      <c r="V3974" s="102" t="s">
        <v>1382</v>
      </c>
      <c r="W3974" s="102" t="s">
        <v>1717</v>
      </c>
      <c r="X3974" s="102" t="s">
        <v>1382</v>
      </c>
      <c r="Y3974" s="102" t="s">
        <v>1382</v>
      </c>
      <c r="AA3974" s="352">
        <v>77.2</v>
      </c>
      <c r="AB3974" s="352">
        <v>11</v>
      </c>
      <c r="AC3974" s="101" t="s">
        <v>175</v>
      </c>
      <c r="AD3974" s="101">
        <v>7.8</v>
      </c>
      <c r="AE3974" s="101">
        <v>2.17</v>
      </c>
      <c r="AG3974" s="101" t="s">
        <v>3436</v>
      </c>
      <c r="AH3974" s="101" t="s">
        <v>2800</v>
      </c>
      <c r="AI3974" s="101" t="s">
        <v>4321</v>
      </c>
      <c r="AJ3974" s="101" t="s">
        <v>2327</v>
      </c>
      <c r="AK3974" s="101" t="s">
        <v>229</v>
      </c>
      <c r="AW3974" s="101" t="s">
        <v>3293</v>
      </c>
      <c r="BK3974" s="101">
        <v>3800</v>
      </c>
      <c r="BL3974" s="101">
        <v>3200</v>
      </c>
      <c r="BP3974" s="427"/>
      <c r="BQ3974" s="427"/>
      <c r="BU3974" s="427"/>
      <c r="BV3974" s="427"/>
      <c r="BZ3974" s="427"/>
      <c r="CA3974" s="427"/>
      <c r="CE3974" s="580"/>
      <c r="CF3974" s="580"/>
      <c r="CG3974" s="580"/>
      <c r="CH3974" s="580"/>
      <c r="JD3974" s="177"/>
    </row>
    <row r="3975" spans="1:264" s="101" customFormat="1" x14ac:dyDescent="0.25">
      <c r="A3975" s="101">
        <v>172</v>
      </c>
      <c r="B3975" s="102" t="s">
        <v>3442</v>
      </c>
      <c r="C3975" s="101" t="s">
        <v>3418</v>
      </c>
      <c r="D3975" s="101" t="s">
        <v>3358</v>
      </c>
      <c r="E3975" s="101">
        <v>2005</v>
      </c>
      <c r="F3975" s="101">
        <v>1994</v>
      </c>
      <c r="G3975" s="101" t="s">
        <v>2738</v>
      </c>
      <c r="H3975" s="101" t="s">
        <v>3435</v>
      </c>
      <c r="I3975" s="101" t="s">
        <v>2823</v>
      </c>
      <c r="J3975" s="101">
        <v>7.5</v>
      </c>
      <c r="K3975" s="101">
        <f t="shared" si="516"/>
        <v>3.9</v>
      </c>
      <c r="L3975" s="101">
        <v>213</v>
      </c>
      <c r="P3975" s="101">
        <v>1247</v>
      </c>
      <c r="R3975" s="102" t="s">
        <v>1843</v>
      </c>
      <c r="S3975" s="102" t="s">
        <v>1931</v>
      </c>
      <c r="T3975" s="102"/>
      <c r="U3975" s="102" t="s">
        <v>3438</v>
      </c>
      <c r="V3975" s="102" t="s">
        <v>1382</v>
      </c>
      <c r="W3975" s="102" t="s">
        <v>1717</v>
      </c>
      <c r="X3975" s="102" t="s">
        <v>1382</v>
      </c>
      <c r="Y3975" s="102" t="s">
        <v>1382</v>
      </c>
      <c r="AA3975" s="352">
        <v>77.2</v>
      </c>
      <c r="AB3975" s="352">
        <v>11</v>
      </c>
      <c r="AC3975" s="101" t="s">
        <v>175</v>
      </c>
      <c r="AD3975" s="101">
        <v>7.8</v>
      </c>
      <c r="AE3975" s="101">
        <v>2.17</v>
      </c>
      <c r="AG3975" s="101" t="s">
        <v>3436</v>
      </c>
      <c r="AH3975" s="101" t="s">
        <v>2800</v>
      </c>
      <c r="AI3975" s="101" t="s">
        <v>4321</v>
      </c>
      <c r="AJ3975" s="101" t="s">
        <v>2327</v>
      </c>
      <c r="AK3975" s="101" t="s">
        <v>229</v>
      </c>
      <c r="AW3975" s="101" t="s">
        <v>3293</v>
      </c>
      <c r="BK3975" s="101">
        <v>8800</v>
      </c>
      <c r="BL3975" s="101">
        <v>5600</v>
      </c>
      <c r="BP3975" s="427"/>
      <c r="BQ3975" s="427"/>
      <c r="BU3975" s="427"/>
      <c r="BV3975" s="427"/>
      <c r="BZ3975" s="427"/>
      <c r="CA3975" s="427"/>
      <c r="CE3975" s="580"/>
      <c r="CF3975" s="580"/>
      <c r="CG3975" s="580"/>
      <c r="CH3975" s="580"/>
      <c r="JD3975" s="177"/>
    </row>
    <row r="3976" spans="1:264" s="101" customFormat="1" x14ac:dyDescent="0.25">
      <c r="A3976" s="101">
        <v>172</v>
      </c>
      <c r="B3976" s="102" t="s">
        <v>3442</v>
      </c>
      <c r="C3976" s="101" t="s">
        <v>3418</v>
      </c>
      <c r="D3976" s="101" t="s">
        <v>3358</v>
      </c>
      <c r="E3976" s="101">
        <v>2005</v>
      </c>
      <c r="F3976" s="101">
        <v>1994</v>
      </c>
      <c r="G3976" s="101" t="s">
        <v>2738</v>
      </c>
      <c r="H3976" s="101" t="s">
        <v>3435</v>
      </c>
      <c r="I3976" s="101" t="s">
        <v>2823</v>
      </c>
      <c r="J3976" s="101">
        <v>7.5</v>
      </c>
      <c r="K3976" s="101">
        <f t="shared" si="516"/>
        <v>3.9</v>
      </c>
      <c r="L3976" s="101">
        <v>213</v>
      </c>
      <c r="P3976" s="101">
        <v>1247</v>
      </c>
      <c r="R3976" s="102" t="s">
        <v>1843</v>
      </c>
      <c r="S3976" s="102" t="s">
        <v>1931</v>
      </c>
      <c r="T3976" s="102"/>
      <c r="U3976" s="102" t="s">
        <v>3438</v>
      </c>
      <c r="V3976" s="102" t="s">
        <v>1382</v>
      </c>
      <c r="W3976" s="102" t="s">
        <v>1717</v>
      </c>
      <c r="X3976" s="102" t="s">
        <v>1382</v>
      </c>
      <c r="Y3976" s="102" t="s">
        <v>1382</v>
      </c>
      <c r="AA3976" s="352">
        <v>77.2</v>
      </c>
      <c r="AB3976" s="352">
        <v>11</v>
      </c>
      <c r="AC3976" s="101" t="s">
        <v>175</v>
      </c>
      <c r="AD3976" s="101">
        <v>7.8</v>
      </c>
      <c r="AE3976" s="101">
        <v>2.17</v>
      </c>
      <c r="AG3976" s="101" t="s">
        <v>3436</v>
      </c>
      <c r="AH3976" s="101" t="s">
        <v>2800</v>
      </c>
      <c r="AI3976" s="101" t="s">
        <v>4321</v>
      </c>
      <c r="AJ3976" s="101" t="s">
        <v>2327</v>
      </c>
      <c r="AK3976" s="101" t="s">
        <v>229</v>
      </c>
      <c r="AW3976" s="101" t="s">
        <v>3293</v>
      </c>
      <c r="BK3976" s="101">
        <v>10200</v>
      </c>
      <c r="BL3976" s="101">
        <v>6300</v>
      </c>
      <c r="BP3976" s="427"/>
      <c r="BQ3976" s="427"/>
      <c r="BU3976" s="427"/>
      <c r="BV3976" s="427"/>
      <c r="BZ3976" s="427"/>
      <c r="CA3976" s="427"/>
      <c r="CE3976" s="580"/>
      <c r="CF3976" s="580"/>
      <c r="CG3976" s="580"/>
      <c r="CH3976" s="580"/>
      <c r="JD3976" s="177"/>
    </row>
    <row r="3977" spans="1:264" s="101" customFormat="1" x14ac:dyDescent="0.25">
      <c r="A3977" s="101">
        <v>172</v>
      </c>
      <c r="B3977" s="102" t="s">
        <v>3442</v>
      </c>
      <c r="C3977" s="101" t="s">
        <v>3418</v>
      </c>
      <c r="D3977" s="101" t="s">
        <v>3358</v>
      </c>
      <c r="E3977" s="101">
        <v>2005</v>
      </c>
      <c r="F3977" s="101">
        <v>1994</v>
      </c>
      <c r="G3977" s="101" t="s">
        <v>2738</v>
      </c>
      <c r="H3977" s="101" t="s">
        <v>3435</v>
      </c>
      <c r="I3977" s="101" t="s">
        <v>2823</v>
      </c>
      <c r="J3977" s="101">
        <v>7.5</v>
      </c>
      <c r="K3977" s="101">
        <f t="shared" si="516"/>
        <v>3.9</v>
      </c>
      <c r="L3977" s="101">
        <v>213</v>
      </c>
      <c r="P3977" s="101">
        <v>1247</v>
      </c>
      <c r="R3977" s="102" t="s">
        <v>1843</v>
      </c>
      <c r="S3977" s="102" t="s">
        <v>1931</v>
      </c>
      <c r="T3977" s="102"/>
      <c r="U3977" s="102" t="s">
        <v>3438</v>
      </c>
      <c r="V3977" s="102" t="s">
        <v>1382</v>
      </c>
      <c r="W3977" s="102" t="s">
        <v>1717</v>
      </c>
      <c r="X3977" s="102" t="s">
        <v>1382</v>
      </c>
      <c r="Y3977" s="102" t="s">
        <v>1382</v>
      </c>
      <c r="AA3977" s="352">
        <v>77.2</v>
      </c>
      <c r="AB3977" s="352">
        <v>11</v>
      </c>
      <c r="AC3977" s="101" t="s">
        <v>175</v>
      </c>
      <c r="AD3977" s="101">
        <v>7.8</v>
      </c>
      <c r="AE3977" s="101">
        <v>2.17</v>
      </c>
      <c r="AG3977" s="101" t="s">
        <v>3436</v>
      </c>
      <c r="AH3977" s="101" t="s">
        <v>2800</v>
      </c>
      <c r="AI3977" s="101" t="s">
        <v>4321</v>
      </c>
      <c r="AJ3977" s="101" t="s">
        <v>2327</v>
      </c>
      <c r="AK3977" s="101" t="s">
        <v>229</v>
      </c>
      <c r="AW3977" s="101" t="s">
        <v>3293</v>
      </c>
      <c r="BK3977" s="101">
        <v>10400</v>
      </c>
      <c r="BL3977" s="101">
        <v>6000</v>
      </c>
      <c r="BP3977" s="427"/>
      <c r="BQ3977" s="427"/>
      <c r="BU3977" s="427"/>
      <c r="BV3977" s="427"/>
      <c r="BZ3977" s="427"/>
      <c r="CA3977" s="427"/>
      <c r="CE3977" s="580"/>
      <c r="CF3977" s="580"/>
      <c r="CG3977" s="580"/>
      <c r="CH3977" s="580"/>
      <c r="JD3977" s="177"/>
    </row>
    <row r="3978" spans="1:264" s="527" customFormat="1" x14ac:dyDescent="0.25">
      <c r="A3978" s="527">
        <v>172</v>
      </c>
      <c r="B3978" s="528" t="s">
        <v>3442</v>
      </c>
      <c r="C3978" s="527" t="s">
        <v>3418</v>
      </c>
      <c r="D3978" s="527" t="s">
        <v>3358</v>
      </c>
      <c r="E3978" s="527">
        <v>2005</v>
      </c>
      <c r="F3978" s="527">
        <v>1995</v>
      </c>
      <c r="G3978" s="527" t="s">
        <v>2738</v>
      </c>
      <c r="H3978" s="527" t="s">
        <v>3435</v>
      </c>
      <c r="I3978" s="527" t="s">
        <v>2823</v>
      </c>
      <c r="J3978" s="527">
        <v>7.5</v>
      </c>
      <c r="K3978" s="527">
        <f t="shared" si="516"/>
        <v>3.9</v>
      </c>
      <c r="L3978" s="527">
        <v>213</v>
      </c>
      <c r="P3978" s="527">
        <v>1247</v>
      </c>
      <c r="R3978" s="528" t="s">
        <v>1734</v>
      </c>
      <c r="S3978" s="528" t="s">
        <v>1931</v>
      </c>
      <c r="T3978" s="528"/>
      <c r="U3978" s="528" t="s">
        <v>3438</v>
      </c>
      <c r="V3978" s="528" t="s">
        <v>1382</v>
      </c>
      <c r="W3978" s="528" t="s">
        <v>1717</v>
      </c>
      <c r="X3978" s="528" t="s">
        <v>1382</v>
      </c>
      <c r="Y3978" s="528" t="s">
        <v>1382</v>
      </c>
      <c r="AA3978" s="529">
        <v>77.2</v>
      </c>
      <c r="AB3978" s="529">
        <v>11</v>
      </c>
      <c r="AC3978" s="527" t="s">
        <v>175</v>
      </c>
      <c r="AD3978" s="527">
        <v>7.8</v>
      </c>
      <c r="AE3978" s="527">
        <v>2.17</v>
      </c>
      <c r="AG3978" s="527" t="s">
        <v>3436</v>
      </c>
      <c r="AH3978" s="527" t="s">
        <v>2800</v>
      </c>
      <c r="AI3978" s="527" t="s">
        <v>4321</v>
      </c>
      <c r="AJ3978" s="527" t="s">
        <v>2327</v>
      </c>
      <c r="AK3978" s="527" t="s">
        <v>229</v>
      </c>
      <c r="AW3978" s="527" t="s">
        <v>3293</v>
      </c>
      <c r="BK3978" s="527">
        <v>8100</v>
      </c>
      <c r="BL3978" s="527">
        <v>7000</v>
      </c>
      <c r="BP3978" s="530"/>
      <c r="BQ3978" s="530"/>
      <c r="BU3978" s="530"/>
      <c r="BV3978" s="530"/>
      <c r="BZ3978" s="530"/>
      <c r="CA3978" s="530"/>
      <c r="CE3978" s="610"/>
      <c r="CF3978" s="610"/>
      <c r="CG3978" s="610"/>
      <c r="CH3978" s="610"/>
      <c r="JD3978" s="531"/>
    </row>
    <row r="3979" spans="1:264" s="527" customFormat="1" x14ac:dyDescent="0.25">
      <c r="A3979" s="527">
        <v>172</v>
      </c>
      <c r="B3979" s="528" t="s">
        <v>3442</v>
      </c>
      <c r="C3979" s="527" t="s">
        <v>3418</v>
      </c>
      <c r="D3979" s="527" t="s">
        <v>3358</v>
      </c>
      <c r="E3979" s="527">
        <v>2005</v>
      </c>
      <c r="F3979" s="527">
        <v>1995</v>
      </c>
      <c r="G3979" s="527" t="s">
        <v>2738</v>
      </c>
      <c r="H3979" s="527" t="s">
        <v>3435</v>
      </c>
      <c r="I3979" s="527" t="s">
        <v>2823</v>
      </c>
      <c r="J3979" s="527">
        <v>7.5</v>
      </c>
      <c r="K3979" s="527">
        <f t="shared" si="516"/>
        <v>3.9</v>
      </c>
      <c r="L3979" s="527">
        <v>213</v>
      </c>
      <c r="P3979" s="527">
        <v>1247</v>
      </c>
      <c r="R3979" s="528" t="s">
        <v>1734</v>
      </c>
      <c r="S3979" s="528" t="s">
        <v>1931</v>
      </c>
      <c r="T3979" s="528"/>
      <c r="U3979" s="528" t="s">
        <v>3438</v>
      </c>
      <c r="V3979" s="528" t="s">
        <v>1382</v>
      </c>
      <c r="W3979" s="528" t="s">
        <v>1717</v>
      </c>
      <c r="X3979" s="528" t="s">
        <v>1382</v>
      </c>
      <c r="Y3979" s="528" t="s">
        <v>1382</v>
      </c>
      <c r="AA3979" s="529">
        <v>77.2</v>
      </c>
      <c r="AB3979" s="529">
        <v>11</v>
      </c>
      <c r="AC3979" s="527" t="s">
        <v>175</v>
      </c>
      <c r="AD3979" s="527">
        <v>7.8</v>
      </c>
      <c r="AE3979" s="527">
        <v>2.17</v>
      </c>
      <c r="AG3979" s="527" t="s">
        <v>3436</v>
      </c>
      <c r="AH3979" s="527" t="s">
        <v>2800</v>
      </c>
      <c r="AI3979" s="527" t="s">
        <v>4321</v>
      </c>
      <c r="AJ3979" s="527" t="s">
        <v>2327</v>
      </c>
      <c r="AK3979" s="527" t="s">
        <v>229</v>
      </c>
      <c r="AW3979" s="527" t="s">
        <v>3293</v>
      </c>
      <c r="BK3979" s="527">
        <v>8900</v>
      </c>
      <c r="BL3979" s="527">
        <v>6800</v>
      </c>
      <c r="BP3979" s="530"/>
      <c r="BQ3979" s="530"/>
      <c r="BU3979" s="530"/>
      <c r="BV3979" s="530"/>
      <c r="BZ3979" s="530"/>
      <c r="CA3979" s="530"/>
      <c r="CE3979" s="610"/>
      <c r="CF3979" s="610"/>
      <c r="CG3979" s="610"/>
      <c r="CH3979" s="610"/>
      <c r="JD3979" s="531"/>
    </row>
    <row r="3980" spans="1:264" s="527" customFormat="1" x14ac:dyDescent="0.25">
      <c r="A3980" s="527">
        <v>172</v>
      </c>
      <c r="B3980" s="528" t="s">
        <v>3442</v>
      </c>
      <c r="C3980" s="527" t="s">
        <v>3418</v>
      </c>
      <c r="D3980" s="527" t="s">
        <v>3358</v>
      </c>
      <c r="E3980" s="527">
        <v>2005</v>
      </c>
      <c r="F3980" s="527">
        <v>1995</v>
      </c>
      <c r="G3980" s="527" t="s">
        <v>2738</v>
      </c>
      <c r="H3980" s="527" t="s">
        <v>3435</v>
      </c>
      <c r="I3980" s="527" t="s">
        <v>2823</v>
      </c>
      <c r="J3980" s="527">
        <v>7.5</v>
      </c>
      <c r="K3980" s="527">
        <f t="shared" si="516"/>
        <v>3.9</v>
      </c>
      <c r="L3980" s="527">
        <v>213</v>
      </c>
      <c r="P3980" s="527">
        <v>1247</v>
      </c>
      <c r="R3980" s="528" t="s">
        <v>1734</v>
      </c>
      <c r="S3980" s="528" t="s">
        <v>1931</v>
      </c>
      <c r="T3980" s="528"/>
      <c r="U3980" s="528" t="s">
        <v>3438</v>
      </c>
      <c r="V3980" s="528" t="s">
        <v>1382</v>
      </c>
      <c r="W3980" s="528" t="s">
        <v>1717</v>
      </c>
      <c r="X3980" s="528" t="s">
        <v>1382</v>
      </c>
      <c r="Y3980" s="528" t="s">
        <v>1382</v>
      </c>
      <c r="AA3980" s="529">
        <v>77.2</v>
      </c>
      <c r="AB3980" s="529">
        <v>11</v>
      </c>
      <c r="AC3980" s="527" t="s">
        <v>175</v>
      </c>
      <c r="AD3980" s="527">
        <v>7.8</v>
      </c>
      <c r="AE3980" s="527">
        <v>2.17</v>
      </c>
      <c r="AG3980" s="527" t="s">
        <v>3436</v>
      </c>
      <c r="AH3980" s="527" t="s">
        <v>2800</v>
      </c>
      <c r="AI3980" s="527" t="s">
        <v>4321</v>
      </c>
      <c r="AJ3980" s="527" t="s">
        <v>2327</v>
      </c>
      <c r="AK3980" s="527" t="s">
        <v>229</v>
      </c>
      <c r="AW3980" s="527" t="s">
        <v>3293</v>
      </c>
      <c r="BK3980" s="527">
        <v>9500</v>
      </c>
      <c r="BL3980" s="527">
        <v>7500</v>
      </c>
      <c r="BP3980" s="530"/>
      <c r="BQ3980" s="530"/>
      <c r="BU3980" s="530"/>
      <c r="BV3980" s="530"/>
      <c r="BZ3980" s="530"/>
      <c r="CA3980" s="530"/>
      <c r="CE3980" s="610"/>
      <c r="CF3980" s="610"/>
      <c r="CG3980" s="610"/>
      <c r="CH3980" s="610"/>
      <c r="JD3980" s="531"/>
    </row>
    <row r="3981" spans="1:264" s="527" customFormat="1" x14ac:dyDescent="0.25">
      <c r="A3981" s="527">
        <v>172</v>
      </c>
      <c r="B3981" s="528" t="s">
        <v>3442</v>
      </c>
      <c r="C3981" s="527" t="s">
        <v>3418</v>
      </c>
      <c r="D3981" s="527" t="s">
        <v>3358</v>
      </c>
      <c r="E3981" s="527">
        <v>2005</v>
      </c>
      <c r="F3981" s="527">
        <v>1995</v>
      </c>
      <c r="G3981" s="527" t="s">
        <v>2738</v>
      </c>
      <c r="H3981" s="527" t="s">
        <v>3435</v>
      </c>
      <c r="I3981" s="527" t="s">
        <v>2823</v>
      </c>
      <c r="J3981" s="527">
        <v>7.5</v>
      </c>
      <c r="K3981" s="527">
        <f t="shared" si="516"/>
        <v>3.9</v>
      </c>
      <c r="L3981" s="527">
        <v>213</v>
      </c>
      <c r="P3981" s="527">
        <v>1247</v>
      </c>
      <c r="R3981" s="528" t="s">
        <v>1734</v>
      </c>
      <c r="S3981" s="528" t="s">
        <v>1931</v>
      </c>
      <c r="T3981" s="528"/>
      <c r="U3981" s="528" t="s">
        <v>3438</v>
      </c>
      <c r="V3981" s="528" t="s">
        <v>1382</v>
      </c>
      <c r="W3981" s="528" t="s">
        <v>1717</v>
      </c>
      <c r="X3981" s="528" t="s">
        <v>1382</v>
      </c>
      <c r="Y3981" s="528" t="s">
        <v>1382</v>
      </c>
      <c r="AA3981" s="529">
        <v>77.2</v>
      </c>
      <c r="AB3981" s="529">
        <v>11</v>
      </c>
      <c r="AC3981" s="527" t="s">
        <v>175</v>
      </c>
      <c r="AD3981" s="527">
        <v>7.8</v>
      </c>
      <c r="AE3981" s="527">
        <v>2.17</v>
      </c>
      <c r="AG3981" s="527" t="s">
        <v>3436</v>
      </c>
      <c r="AH3981" s="527" t="s">
        <v>2800</v>
      </c>
      <c r="AI3981" s="527" t="s">
        <v>4321</v>
      </c>
      <c r="AJ3981" s="527" t="s">
        <v>2327</v>
      </c>
      <c r="AK3981" s="527" t="s">
        <v>229</v>
      </c>
      <c r="AW3981" s="527" t="s">
        <v>3293</v>
      </c>
      <c r="BK3981" s="527">
        <v>11000</v>
      </c>
      <c r="BL3981" s="527">
        <v>8400</v>
      </c>
      <c r="BP3981" s="530"/>
      <c r="BQ3981" s="530"/>
      <c r="BU3981" s="530"/>
      <c r="BV3981" s="530"/>
      <c r="BZ3981" s="530"/>
      <c r="CA3981" s="530"/>
      <c r="CE3981" s="610"/>
      <c r="CF3981" s="610"/>
      <c r="CG3981" s="610"/>
      <c r="CH3981" s="610"/>
      <c r="JD3981" s="531"/>
    </row>
    <row r="3982" spans="1:264" s="101" customFormat="1" x14ac:dyDescent="0.25">
      <c r="A3982" s="101">
        <v>172</v>
      </c>
      <c r="B3982" s="102" t="s">
        <v>3442</v>
      </c>
      <c r="C3982" s="101" t="s">
        <v>3418</v>
      </c>
      <c r="D3982" s="101" t="s">
        <v>3358</v>
      </c>
      <c r="E3982" s="101">
        <v>2005</v>
      </c>
      <c r="F3982" s="101">
        <v>1996</v>
      </c>
      <c r="G3982" s="101" t="s">
        <v>2738</v>
      </c>
      <c r="H3982" s="101" t="s">
        <v>3435</v>
      </c>
      <c r="I3982" s="101" t="s">
        <v>2823</v>
      </c>
      <c r="J3982" s="101">
        <v>7.5</v>
      </c>
      <c r="K3982" s="101">
        <f t="shared" si="516"/>
        <v>3.9</v>
      </c>
      <c r="L3982" s="101">
        <v>213</v>
      </c>
      <c r="P3982" s="101">
        <v>1247</v>
      </c>
      <c r="R3982" s="102" t="s">
        <v>1982</v>
      </c>
      <c r="S3982" s="102" t="s">
        <v>1931</v>
      </c>
      <c r="T3982" s="102"/>
      <c r="U3982" s="102" t="s">
        <v>3438</v>
      </c>
      <c r="V3982" s="102" t="s">
        <v>1382</v>
      </c>
      <c r="W3982" s="102" t="s">
        <v>1717</v>
      </c>
      <c r="X3982" s="102" t="s">
        <v>1382</v>
      </c>
      <c r="Y3982" s="102" t="s">
        <v>1382</v>
      </c>
      <c r="AA3982" s="352">
        <v>77.2</v>
      </c>
      <c r="AB3982" s="352">
        <v>11</v>
      </c>
      <c r="AC3982" s="101" t="s">
        <v>175</v>
      </c>
      <c r="AD3982" s="101">
        <v>7.8</v>
      </c>
      <c r="AE3982" s="101">
        <v>2.17</v>
      </c>
      <c r="AG3982" s="101" t="s">
        <v>3436</v>
      </c>
      <c r="AH3982" s="101" t="s">
        <v>2800</v>
      </c>
      <c r="AI3982" s="101" t="s">
        <v>4321</v>
      </c>
      <c r="AJ3982" s="101" t="s">
        <v>2327</v>
      </c>
      <c r="AK3982" s="101" t="s">
        <v>229</v>
      </c>
      <c r="AW3982" s="101" t="s">
        <v>3293</v>
      </c>
      <c r="BK3982" s="101">
        <v>6600</v>
      </c>
      <c r="BL3982" s="101">
        <v>5200</v>
      </c>
      <c r="BP3982" s="427"/>
      <c r="BQ3982" s="427"/>
      <c r="BU3982" s="427"/>
      <c r="BV3982" s="427"/>
      <c r="BZ3982" s="427"/>
      <c r="CA3982" s="427"/>
      <c r="CE3982" s="580"/>
      <c r="CF3982" s="580"/>
      <c r="CG3982" s="580"/>
      <c r="CH3982" s="580"/>
      <c r="JD3982" s="177"/>
    </row>
    <row r="3983" spans="1:264" s="101" customFormat="1" x14ac:dyDescent="0.25">
      <c r="A3983" s="101">
        <v>172</v>
      </c>
      <c r="B3983" s="102" t="s">
        <v>3442</v>
      </c>
      <c r="C3983" s="101" t="s">
        <v>3418</v>
      </c>
      <c r="D3983" s="101" t="s">
        <v>3358</v>
      </c>
      <c r="E3983" s="101">
        <v>2005</v>
      </c>
      <c r="F3983" s="101">
        <v>1996</v>
      </c>
      <c r="G3983" s="101" t="s">
        <v>2738</v>
      </c>
      <c r="H3983" s="101" t="s">
        <v>3435</v>
      </c>
      <c r="I3983" s="101" t="s">
        <v>2823</v>
      </c>
      <c r="J3983" s="101">
        <v>7.5</v>
      </c>
      <c r="K3983" s="101">
        <f t="shared" si="516"/>
        <v>3.9</v>
      </c>
      <c r="L3983" s="101">
        <v>213</v>
      </c>
      <c r="P3983" s="101">
        <v>1247</v>
      </c>
      <c r="R3983" s="102" t="s">
        <v>1982</v>
      </c>
      <c r="S3983" s="102" t="s">
        <v>1931</v>
      </c>
      <c r="T3983" s="102"/>
      <c r="U3983" s="102" t="s">
        <v>3438</v>
      </c>
      <c r="V3983" s="102" t="s">
        <v>1382</v>
      </c>
      <c r="W3983" s="102" t="s">
        <v>1717</v>
      </c>
      <c r="X3983" s="102" t="s">
        <v>1382</v>
      </c>
      <c r="Y3983" s="102" t="s">
        <v>1382</v>
      </c>
      <c r="AA3983" s="352">
        <v>77.2</v>
      </c>
      <c r="AB3983" s="352">
        <v>11</v>
      </c>
      <c r="AC3983" s="101" t="s">
        <v>175</v>
      </c>
      <c r="AD3983" s="101">
        <v>7.8</v>
      </c>
      <c r="AE3983" s="101">
        <v>2.17</v>
      </c>
      <c r="AG3983" s="101" t="s">
        <v>3436</v>
      </c>
      <c r="AH3983" s="101" t="s">
        <v>2800</v>
      </c>
      <c r="AI3983" s="101" t="s">
        <v>4321</v>
      </c>
      <c r="AJ3983" s="101" t="s">
        <v>2327</v>
      </c>
      <c r="AK3983" s="101" t="s">
        <v>229</v>
      </c>
      <c r="AW3983" s="101" t="s">
        <v>3293</v>
      </c>
      <c r="BK3983" s="101">
        <v>10100</v>
      </c>
      <c r="BL3983" s="101">
        <v>6100</v>
      </c>
      <c r="BP3983" s="427"/>
      <c r="BQ3983" s="427"/>
      <c r="BU3983" s="427"/>
      <c r="BV3983" s="427"/>
      <c r="BZ3983" s="427"/>
      <c r="CA3983" s="427"/>
      <c r="CE3983" s="580"/>
      <c r="CF3983" s="580"/>
      <c r="CG3983" s="580"/>
      <c r="CH3983" s="580"/>
      <c r="JD3983" s="177"/>
    </row>
    <row r="3984" spans="1:264" s="101" customFormat="1" x14ac:dyDescent="0.25">
      <c r="A3984" s="101">
        <v>172</v>
      </c>
      <c r="B3984" s="102" t="s">
        <v>3442</v>
      </c>
      <c r="C3984" s="101" t="s">
        <v>3418</v>
      </c>
      <c r="D3984" s="101" t="s">
        <v>3358</v>
      </c>
      <c r="E3984" s="101">
        <v>2005</v>
      </c>
      <c r="F3984" s="101">
        <v>1996</v>
      </c>
      <c r="G3984" s="101" t="s">
        <v>2738</v>
      </c>
      <c r="H3984" s="101" t="s">
        <v>3435</v>
      </c>
      <c r="I3984" s="101" t="s">
        <v>2823</v>
      </c>
      <c r="J3984" s="101">
        <v>7.5</v>
      </c>
      <c r="K3984" s="101">
        <f t="shared" si="516"/>
        <v>3.9</v>
      </c>
      <c r="L3984" s="101">
        <v>213</v>
      </c>
      <c r="P3984" s="101">
        <v>1247</v>
      </c>
      <c r="R3984" s="102" t="s">
        <v>1982</v>
      </c>
      <c r="S3984" s="102" t="s">
        <v>1931</v>
      </c>
      <c r="T3984" s="102"/>
      <c r="U3984" s="102" t="s">
        <v>3438</v>
      </c>
      <c r="V3984" s="102" t="s">
        <v>1382</v>
      </c>
      <c r="W3984" s="102" t="s">
        <v>1717</v>
      </c>
      <c r="X3984" s="102" t="s">
        <v>1382</v>
      </c>
      <c r="Y3984" s="102" t="s">
        <v>1382</v>
      </c>
      <c r="AA3984" s="352">
        <v>77.2</v>
      </c>
      <c r="AB3984" s="352">
        <v>11</v>
      </c>
      <c r="AC3984" s="101" t="s">
        <v>175</v>
      </c>
      <c r="AD3984" s="101">
        <v>7.8</v>
      </c>
      <c r="AE3984" s="101">
        <v>2.17</v>
      </c>
      <c r="AG3984" s="101" t="s">
        <v>3436</v>
      </c>
      <c r="AH3984" s="101" t="s">
        <v>2800</v>
      </c>
      <c r="AI3984" s="101" t="s">
        <v>4321</v>
      </c>
      <c r="AJ3984" s="101" t="s">
        <v>2327</v>
      </c>
      <c r="AK3984" s="101" t="s">
        <v>229</v>
      </c>
      <c r="AW3984" s="101" t="s">
        <v>3293</v>
      </c>
      <c r="BK3984" s="101">
        <v>8900</v>
      </c>
      <c r="BL3984" s="101">
        <v>6000</v>
      </c>
      <c r="BP3984" s="427"/>
      <c r="BQ3984" s="427"/>
      <c r="BU3984" s="427"/>
      <c r="BV3984" s="427"/>
      <c r="BZ3984" s="427"/>
      <c r="CA3984" s="427"/>
      <c r="CE3984" s="580"/>
      <c r="CF3984" s="580"/>
      <c r="CG3984" s="580"/>
      <c r="CH3984" s="580"/>
      <c r="JD3984" s="177"/>
    </row>
    <row r="3985" spans="1:264" s="101" customFormat="1" x14ac:dyDescent="0.25">
      <c r="A3985" s="101">
        <v>172</v>
      </c>
      <c r="B3985" s="102" t="s">
        <v>3442</v>
      </c>
      <c r="C3985" s="101" t="s">
        <v>3418</v>
      </c>
      <c r="D3985" s="101" t="s">
        <v>3358</v>
      </c>
      <c r="E3985" s="101">
        <v>2005</v>
      </c>
      <c r="F3985" s="101">
        <v>1996</v>
      </c>
      <c r="G3985" s="101" t="s">
        <v>2738</v>
      </c>
      <c r="H3985" s="101" t="s">
        <v>3435</v>
      </c>
      <c r="I3985" s="101" t="s">
        <v>2823</v>
      </c>
      <c r="J3985" s="101">
        <v>7.5</v>
      </c>
      <c r="K3985" s="101">
        <f t="shared" si="516"/>
        <v>3.9</v>
      </c>
      <c r="L3985" s="101">
        <v>213</v>
      </c>
      <c r="P3985" s="101">
        <v>1247</v>
      </c>
      <c r="R3985" s="102" t="s">
        <v>1982</v>
      </c>
      <c r="S3985" s="102" t="s">
        <v>1931</v>
      </c>
      <c r="T3985" s="102"/>
      <c r="U3985" s="102" t="s">
        <v>3438</v>
      </c>
      <c r="V3985" s="102" t="s">
        <v>1382</v>
      </c>
      <c r="W3985" s="102" t="s">
        <v>1717</v>
      </c>
      <c r="X3985" s="102" t="s">
        <v>1382</v>
      </c>
      <c r="Y3985" s="102" t="s">
        <v>1382</v>
      </c>
      <c r="AA3985" s="352">
        <v>77.2</v>
      </c>
      <c r="AB3985" s="352">
        <v>11</v>
      </c>
      <c r="AC3985" s="101" t="s">
        <v>175</v>
      </c>
      <c r="AD3985" s="101">
        <v>7.8</v>
      </c>
      <c r="AE3985" s="101">
        <v>2.17</v>
      </c>
      <c r="AG3985" s="101" t="s">
        <v>3436</v>
      </c>
      <c r="AH3985" s="101" t="s">
        <v>2800</v>
      </c>
      <c r="AI3985" s="101" t="s">
        <v>4321</v>
      </c>
      <c r="AJ3985" s="101" t="s">
        <v>2327</v>
      </c>
      <c r="AK3985" s="101" t="s">
        <v>229</v>
      </c>
      <c r="AW3985" s="101" t="s">
        <v>3293</v>
      </c>
      <c r="BK3985" s="101">
        <v>11400</v>
      </c>
      <c r="BL3985" s="101">
        <v>7200</v>
      </c>
      <c r="BP3985" s="427"/>
      <c r="BQ3985" s="427"/>
      <c r="BU3985" s="427"/>
      <c r="BV3985" s="427"/>
      <c r="BZ3985" s="427"/>
      <c r="CA3985" s="427"/>
      <c r="CE3985" s="580"/>
      <c r="CF3985" s="580"/>
      <c r="CG3985" s="580"/>
      <c r="CH3985" s="580"/>
      <c r="JD3985" s="177"/>
    </row>
    <row r="3986" spans="1:264" s="527" customFormat="1" x14ac:dyDescent="0.25">
      <c r="A3986" s="527">
        <v>172</v>
      </c>
      <c r="B3986" s="528" t="s">
        <v>3442</v>
      </c>
      <c r="C3986" s="527" t="s">
        <v>3418</v>
      </c>
      <c r="D3986" s="527" t="s">
        <v>3358</v>
      </c>
      <c r="E3986" s="527">
        <v>2005</v>
      </c>
      <c r="F3986" s="527">
        <v>1997</v>
      </c>
      <c r="G3986" s="527" t="s">
        <v>2738</v>
      </c>
      <c r="H3986" s="527" t="s">
        <v>3435</v>
      </c>
      <c r="I3986" s="527" t="s">
        <v>2823</v>
      </c>
      <c r="J3986" s="527">
        <v>7.5</v>
      </c>
      <c r="K3986" s="527">
        <f t="shared" si="516"/>
        <v>3.9</v>
      </c>
      <c r="L3986" s="527">
        <v>213</v>
      </c>
      <c r="P3986" s="527">
        <v>1247</v>
      </c>
      <c r="R3986" s="528" t="s">
        <v>1975</v>
      </c>
      <c r="S3986" s="528" t="s">
        <v>1931</v>
      </c>
      <c r="T3986" s="528"/>
      <c r="U3986" s="528" t="s">
        <v>3438</v>
      </c>
      <c r="V3986" s="528" t="s">
        <v>1382</v>
      </c>
      <c r="W3986" s="528" t="s">
        <v>1717</v>
      </c>
      <c r="X3986" s="528" t="s">
        <v>1382</v>
      </c>
      <c r="Y3986" s="528" t="s">
        <v>1382</v>
      </c>
      <c r="AA3986" s="529">
        <v>77.2</v>
      </c>
      <c r="AB3986" s="529">
        <v>11</v>
      </c>
      <c r="AC3986" s="527" t="s">
        <v>175</v>
      </c>
      <c r="AD3986" s="527">
        <v>7.8</v>
      </c>
      <c r="AE3986" s="527">
        <v>2.17</v>
      </c>
      <c r="AG3986" s="527" t="s">
        <v>3436</v>
      </c>
      <c r="AH3986" s="527" t="s">
        <v>2800</v>
      </c>
      <c r="AI3986" s="527" t="s">
        <v>4321</v>
      </c>
      <c r="AJ3986" s="527" t="s">
        <v>2327</v>
      </c>
      <c r="AK3986" s="527" t="s">
        <v>229</v>
      </c>
      <c r="AW3986" s="527" t="s">
        <v>3293</v>
      </c>
      <c r="BK3986" s="527">
        <v>4000</v>
      </c>
      <c r="BL3986" s="527">
        <v>5200</v>
      </c>
      <c r="BP3986" s="530"/>
      <c r="BQ3986" s="530"/>
      <c r="BU3986" s="530"/>
      <c r="BV3986" s="530"/>
      <c r="BZ3986" s="530"/>
      <c r="CA3986" s="530"/>
      <c r="CE3986" s="610"/>
      <c r="CF3986" s="610"/>
      <c r="CG3986" s="610"/>
      <c r="CH3986" s="610"/>
      <c r="JD3986" s="531"/>
    </row>
    <row r="3987" spans="1:264" s="527" customFormat="1" x14ac:dyDescent="0.25">
      <c r="A3987" s="527">
        <v>172</v>
      </c>
      <c r="B3987" s="528" t="s">
        <v>3442</v>
      </c>
      <c r="C3987" s="527" t="s">
        <v>3418</v>
      </c>
      <c r="D3987" s="527" t="s">
        <v>3358</v>
      </c>
      <c r="E3987" s="527">
        <v>2005</v>
      </c>
      <c r="F3987" s="527">
        <v>1997</v>
      </c>
      <c r="G3987" s="527" t="s">
        <v>2738</v>
      </c>
      <c r="H3987" s="527" t="s">
        <v>3435</v>
      </c>
      <c r="I3987" s="527" t="s">
        <v>2823</v>
      </c>
      <c r="J3987" s="527">
        <v>7.5</v>
      </c>
      <c r="K3987" s="527">
        <f t="shared" si="516"/>
        <v>3.9</v>
      </c>
      <c r="L3987" s="527">
        <v>213</v>
      </c>
      <c r="P3987" s="527">
        <v>1247</v>
      </c>
      <c r="R3987" s="528" t="s">
        <v>1975</v>
      </c>
      <c r="S3987" s="528" t="s">
        <v>1931</v>
      </c>
      <c r="T3987" s="528"/>
      <c r="U3987" s="528" t="s">
        <v>3438</v>
      </c>
      <c r="V3987" s="528" t="s">
        <v>1382</v>
      </c>
      <c r="W3987" s="528" t="s">
        <v>1717</v>
      </c>
      <c r="X3987" s="528" t="s">
        <v>1382</v>
      </c>
      <c r="Y3987" s="528" t="s">
        <v>1382</v>
      </c>
      <c r="AA3987" s="529">
        <v>77.2</v>
      </c>
      <c r="AB3987" s="529">
        <v>11</v>
      </c>
      <c r="AC3987" s="527" t="s">
        <v>175</v>
      </c>
      <c r="AD3987" s="527">
        <v>7.8</v>
      </c>
      <c r="AE3987" s="527">
        <v>2.17</v>
      </c>
      <c r="AG3987" s="527" t="s">
        <v>3436</v>
      </c>
      <c r="AH3987" s="527" t="s">
        <v>2800</v>
      </c>
      <c r="AI3987" s="527" t="s">
        <v>4321</v>
      </c>
      <c r="AJ3987" s="527" t="s">
        <v>2327</v>
      </c>
      <c r="AK3987" s="527" t="s">
        <v>229</v>
      </c>
      <c r="AW3987" s="527" t="s">
        <v>3293</v>
      </c>
      <c r="BK3987" s="527">
        <v>8800</v>
      </c>
      <c r="BL3987" s="527">
        <v>3600</v>
      </c>
      <c r="BP3987" s="530"/>
      <c r="BQ3987" s="530"/>
      <c r="BU3987" s="530"/>
      <c r="BV3987" s="530"/>
      <c r="BZ3987" s="530"/>
      <c r="CA3987" s="530"/>
      <c r="CE3987" s="610"/>
      <c r="CF3987" s="610"/>
      <c r="CG3987" s="610"/>
      <c r="CH3987" s="610"/>
      <c r="JD3987" s="531"/>
    </row>
    <row r="3988" spans="1:264" s="527" customFormat="1" x14ac:dyDescent="0.25">
      <c r="A3988" s="527">
        <v>172</v>
      </c>
      <c r="B3988" s="528" t="s">
        <v>3442</v>
      </c>
      <c r="C3988" s="527" t="s">
        <v>3418</v>
      </c>
      <c r="D3988" s="527" t="s">
        <v>3358</v>
      </c>
      <c r="E3988" s="527">
        <v>2005</v>
      </c>
      <c r="F3988" s="527">
        <v>1997</v>
      </c>
      <c r="G3988" s="527" t="s">
        <v>2738</v>
      </c>
      <c r="H3988" s="527" t="s">
        <v>3435</v>
      </c>
      <c r="I3988" s="527" t="s">
        <v>2823</v>
      </c>
      <c r="J3988" s="527">
        <v>7.5</v>
      </c>
      <c r="K3988" s="527">
        <f t="shared" si="516"/>
        <v>3.9</v>
      </c>
      <c r="L3988" s="527">
        <v>213</v>
      </c>
      <c r="P3988" s="527">
        <v>1247</v>
      </c>
      <c r="R3988" s="528" t="s">
        <v>1975</v>
      </c>
      <c r="S3988" s="528" t="s">
        <v>1931</v>
      </c>
      <c r="T3988" s="528"/>
      <c r="U3988" s="528" t="s">
        <v>3438</v>
      </c>
      <c r="V3988" s="528" t="s">
        <v>1382</v>
      </c>
      <c r="W3988" s="528" t="s">
        <v>1717</v>
      </c>
      <c r="X3988" s="528" t="s">
        <v>1382</v>
      </c>
      <c r="Y3988" s="528" t="s">
        <v>1382</v>
      </c>
      <c r="AA3988" s="529">
        <v>77.2</v>
      </c>
      <c r="AB3988" s="529">
        <v>11</v>
      </c>
      <c r="AC3988" s="527" t="s">
        <v>175</v>
      </c>
      <c r="AD3988" s="527">
        <v>7.8</v>
      </c>
      <c r="AE3988" s="527">
        <v>2.17</v>
      </c>
      <c r="AG3988" s="527" t="s">
        <v>3436</v>
      </c>
      <c r="AH3988" s="527" t="s">
        <v>2800</v>
      </c>
      <c r="AI3988" s="527" t="s">
        <v>4321</v>
      </c>
      <c r="AJ3988" s="527" t="s">
        <v>2327</v>
      </c>
      <c r="AK3988" s="527" t="s">
        <v>229</v>
      </c>
      <c r="AW3988" s="527" t="s">
        <v>3293</v>
      </c>
      <c r="BK3988" s="527">
        <v>6900</v>
      </c>
      <c r="BL3988" s="527">
        <v>4000</v>
      </c>
      <c r="BP3988" s="530"/>
      <c r="BQ3988" s="530"/>
      <c r="BU3988" s="530"/>
      <c r="BV3988" s="530"/>
      <c r="BZ3988" s="530"/>
      <c r="CA3988" s="530"/>
      <c r="CE3988" s="610"/>
      <c r="CF3988" s="610"/>
      <c r="CG3988" s="610"/>
      <c r="CH3988" s="610"/>
      <c r="JD3988" s="531"/>
    </row>
    <row r="3989" spans="1:264" s="527" customFormat="1" x14ac:dyDescent="0.25">
      <c r="A3989" s="527">
        <v>172</v>
      </c>
      <c r="B3989" s="528" t="s">
        <v>3442</v>
      </c>
      <c r="C3989" s="527" t="s">
        <v>3418</v>
      </c>
      <c r="D3989" s="527" t="s">
        <v>3358</v>
      </c>
      <c r="E3989" s="527">
        <v>2005</v>
      </c>
      <c r="F3989" s="527">
        <v>1997</v>
      </c>
      <c r="G3989" s="527" t="s">
        <v>2738</v>
      </c>
      <c r="H3989" s="527" t="s">
        <v>3435</v>
      </c>
      <c r="I3989" s="527" t="s">
        <v>2823</v>
      </c>
      <c r="J3989" s="527">
        <v>7.5</v>
      </c>
      <c r="K3989" s="527">
        <f t="shared" si="516"/>
        <v>3.9</v>
      </c>
      <c r="L3989" s="527">
        <v>213</v>
      </c>
      <c r="P3989" s="527">
        <v>1247</v>
      </c>
      <c r="R3989" s="528" t="s">
        <v>1975</v>
      </c>
      <c r="S3989" s="528" t="s">
        <v>1931</v>
      </c>
      <c r="T3989" s="528"/>
      <c r="U3989" s="528" t="s">
        <v>3438</v>
      </c>
      <c r="V3989" s="528" t="s">
        <v>1382</v>
      </c>
      <c r="W3989" s="528" t="s">
        <v>1717</v>
      </c>
      <c r="X3989" s="528" t="s">
        <v>1382</v>
      </c>
      <c r="Y3989" s="528" t="s">
        <v>1382</v>
      </c>
      <c r="AA3989" s="529">
        <v>77.2</v>
      </c>
      <c r="AB3989" s="529">
        <v>11</v>
      </c>
      <c r="AC3989" s="527" t="s">
        <v>175</v>
      </c>
      <c r="AD3989" s="527">
        <v>7.8</v>
      </c>
      <c r="AE3989" s="527">
        <v>2.17</v>
      </c>
      <c r="AG3989" s="527" t="s">
        <v>3436</v>
      </c>
      <c r="AH3989" s="527" t="s">
        <v>2800</v>
      </c>
      <c r="AI3989" s="527" t="s">
        <v>4321</v>
      </c>
      <c r="AJ3989" s="527" t="s">
        <v>2327</v>
      </c>
      <c r="AK3989" s="527" t="s">
        <v>229</v>
      </c>
      <c r="AW3989" s="527" t="s">
        <v>3293</v>
      </c>
      <c r="BK3989" s="527">
        <v>6800</v>
      </c>
      <c r="BL3989" s="527">
        <v>4900</v>
      </c>
      <c r="BP3989" s="530"/>
      <c r="BQ3989" s="530"/>
      <c r="BU3989" s="530"/>
      <c r="BV3989" s="530"/>
      <c r="BZ3989" s="530"/>
      <c r="CA3989" s="530"/>
      <c r="CE3989" s="610"/>
      <c r="CF3989" s="610"/>
      <c r="CG3989" s="610"/>
      <c r="CH3989" s="610"/>
      <c r="JD3989" s="531"/>
    </row>
    <row r="3990" spans="1:264" s="101" customFormat="1" x14ac:dyDescent="0.25">
      <c r="A3990" s="101">
        <v>172</v>
      </c>
      <c r="B3990" s="102" t="s">
        <v>3442</v>
      </c>
      <c r="C3990" s="101" t="s">
        <v>3418</v>
      </c>
      <c r="D3990" s="101" t="s">
        <v>3358</v>
      </c>
      <c r="E3990" s="101">
        <v>2005</v>
      </c>
      <c r="F3990" s="101">
        <v>1998</v>
      </c>
      <c r="G3990" s="101" t="s">
        <v>2738</v>
      </c>
      <c r="H3990" s="101" t="s">
        <v>3435</v>
      </c>
      <c r="I3990" s="101" t="s">
        <v>2823</v>
      </c>
      <c r="J3990" s="101">
        <v>7.5</v>
      </c>
      <c r="K3990" s="101">
        <f t="shared" si="516"/>
        <v>3.9</v>
      </c>
      <c r="L3990" s="101">
        <v>213</v>
      </c>
      <c r="P3990" s="101">
        <v>1247</v>
      </c>
      <c r="R3990" s="102" t="s">
        <v>1719</v>
      </c>
      <c r="S3990" s="102" t="s">
        <v>1931</v>
      </c>
      <c r="T3990" s="102"/>
      <c r="U3990" s="102" t="s">
        <v>3438</v>
      </c>
      <c r="V3990" s="102" t="s">
        <v>1382</v>
      </c>
      <c r="W3990" s="102" t="s">
        <v>1717</v>
      </c>
      <c r="X3990" s="102" t="s">
        <v>1382</v>
      </c>
      <c r="Y3990" s="102" t="s">
        <v>1382</v>
      </c>
      <c r="AA3990" s="352">
        <v>77.2</v>
      </c>
      <c r="AB3990" s="352">
        <v>11</v>
      </c>
      <c r="AC3990" s="101" t="s">
        <v>175</v>
      </c>
      <c r="AD3990" s="101">
        <v>7.8</v>
      </c>
      <c r="AE3990" s="101">
        <v>2.17</v>
      </c>
      <c r="AG3990" s="101" t="s">
        <v>3436</v>
      </c>
      <c r="AH3990" s="101" t="s">
        <v>2800</v>
      </c>
      <c r="AI3990" s="101" t="s">
        <v>4321</v>
      </c>
      <c r="AJ3990" s="101" t="s">
        <v>2327</v>
      </c>
      <c r="AK3990" s="101" t="s">
        <v>229</v>
      </c>
      <c r="AW3990" s="101" t="s">
        <v>3293</v>
      </c>
      <c r="BK3990" s="101">
        <v>6400</v>
      </c>
      <c r="BL3990" s="101">
        <v>2400</v>
      </c>
      <c r="BP3990" s="427"/>
      <c r="BQ3990" s="427"/>
      <c r="BU3990" s="427"/>
      <c r="BV3990" s="427"/>
      <c r="BZ3990" s="427"/>
      <c r="CA3990" s="427"/>
      <c r="CE3990" s="580"/>
      <c r="CF3990" s="580"/>
      <c r="CG3990" s="580"/>
      <c r="CH3990" s="580"/>
      <c r="JD3990" s="177"/>
    </row>
    <row r="3991" spans="1:264" s="101" customFormat="1" x14ac:dyDescent="0.25">
      <c r="A3991" s="101">
        <v>172</v>
      </c>
      <c r="B3991" s="102" t="s">
        <v>3442</v>
      </c>
      <c r="C3991" s="101" t="s">
        <v>3418</v>
      </c>
      <c r="D3991" s="101" t="s">
        <v>3358</v>
      </c>
      <c r="E3991" s="101">
        <v>2005</v>
      </c>
      <c r="F3991" s="101">
        <v>1998</v>
      </c>
      <c r="G3991" s="101" t="s">
        <v>2738</v>
      </c>
      <c r="H3991" s="101" t="s">
        <v>3435</v>
      </c>
      <c r="I3991" s="101" t="s">
        <v>2823</v>
      </c>
      <c r="J3991" s="101">
        <v>7.5</v>
      </c>
      <c r="K3991" s="101">
        <f t="shared" si="516"/>
        <v>3.9</v>
      </c>
      <c r="L3991" s="101">
        <v>213</v>
      </c>
      <c r="P3991" s="101">
        <v>1247</v>
      </c>
      <c r="R3991" s="102" t="s">
        <v>1719</v>
      </c>
      <c r="S3991" s="102" t="s">
        <v>1931</v>
      </c>
      <c r="T3991" s="102"/>
      <c r="U3991" s="102" t="s">
        <v>3438</v>
      </c>
      <c r="V3991" s="102" t="s">
        <v>1382</v>
      </c>
      <c r="W3991" s="102" t="s">
        <v>1717</v>
      </c>
      <c r="X3991" s="102" t="s">
        <v>1382</v>
      </c>
      <c r="Y3991" s="102" t="s">
        <v>1382</v>
      </c>
      <c r="AA3991" s="352">
        <v>77.2</v>
      </c>
      <c r="AB3991" s="352">
        <v>11</v>
      </c>
      <c r="AC3991" s="101" t="s">
        <v>175</v>
      </c>
      <c r="AD3991" s="101">
        <v>7.8</v>
      </c>
      <c r="AE3991" s="101">
        <v>2.17</v>
      </c>
      <c r="AG3991" s="101" t="s">
        <v>3436</v>
      </c>
      <c r="AH3991" s="101" t="s">
        <v>2800</v>
      </c>
      <c r="AI3991" s="101" t="s">
        <v>4321</v>
      </c>
      <c r="AJ3991" s="101" t="s">
        <v>2327</v>
      </c>
      <c r="AK3991" s="101" t="s">
        <v>229</v>
      </c>
      <c r="AW3991" s="101" t="s">
        <v>3293</v>
      </c>
      <c r="BK3991" s="101">
        <v>5400</v>
      </c>
      <c r="BL3991" s="101">
        <v>5400</v>
      </c>
      <c r="BP3991" s="427"/>
      <c r="BQ3991" s="427"/>
      <c r="BU3991" s="427"/>
      <c r="BV3991" s="427"/>
      <c r="BZ3991" s="427"/>
      <c r="CA3991" s="427"/>
      <c r="CE3991" s="580"/>
      <c r="CF3991" s="580"/>
      <c r="CG3991" s="580"/>
      <c r="CH3991" s="580"/>
      <c r="JD3991" s="177"/>
    </row>
    <row r="3992" spans="1:264" s="101" customFormat="1" x14ac:dyDescent="0.25">
      <c r="A3992" s="101">
        <v>172</v>
      </c>
      <c r="B3992" s="102" t="s">
        <v>3442</v>
      </c>
      <c r="C3992" s="101" t="s">
        <v>3418</v>
      </c>
      <c r="D3992" s="101" t="s">
        <v>3358</v>
      </c>
      <c r="E3992" s="101">
        <v>2005</v>
      </c>
      <c r="F3992" s="101">
        <v>1998</v>
      </c>
      <c r="G3992" s="101" t="s">
        <v>2738</v>
      </c>
      <c r="H3992" s="101" t="s">
        <v>3435</v>
      </c>
      <c r="I3992" s="101" t="s">
        <v>2823</v>
      </c>
      <c r="J3992" s="101">
        <v>7.5</v>
      </c>
      <c r="K3992" s="101">
        <f t="shared" si="516"/>
        <v>3.9</v>
      </c>
      <c r="L3992" s="101">
        <v>213</v>
      </c>
      <c r="P3992" s="101">
        <v>1247</v>
      </c>
      <c r="R3992" s="102" t="s">
        <v>1719</v>
      </c>
      <c r="S3992" s="102" t="s">
        <v>1931</v>
      </c>
      <c r="T3992" s="102"/>
      <c r="U3992" s="102" t="s">
        <v>3438</v>
      </c>
      <c r="V3992" s="102" t="s">
        <v>1382</v>
      </c>
      <c r="W3992" s="102" t="s">
        <v>1717</v>
      </c>
      <c r="X3992" s="102" t="s">
        <v>1382</v>
      </c>
      <c r="Y3992" s="102" t="s">
        <v>1382</v>
      </c>
      <c r="AA3992" s="352">
        <v>77.2</v>
      </c>
      <c r="AB3992" s="352">
        <v>11</v>
      </c>
      <c r="AC3992" s="101" t="s">
        <v>175</v>
      </c>
      <c r="AD3992" s="101">
        <v>7.8</v>
      </c>
      <c r="AE3992" s="101">
        <v>2.17</v>
      </c>
      <c r="AG3992" s="101" t="s">
        <v>3436</v>
      </c>
      <c r="AH3992" s="101" t="s">
        <v>2800</v>
      </c>
      <c r="AI3992" s="101" t="s">
        <v>4321</v>
      </c>
      <c r="AJ3992" s="101" t="s">
        <v>2327</v>
      </c>
      <c r="AK3992" s="101" t="s">
        <v>229</v>
      </c>
      <c r="AW3992" s="101" t="s">
        <v>3293</v>
      </c>
      <c r="BK3992" s="101">
        <v>13500</v>
      </c>
      <c r="BL3992" s="101">
        <v>6000</v>
      </c>
      <c r="BP3992" s="427"/>
      <c r="BQ3992" s="427"/>
      <c r="BU3992" s="427"/>
      <c r="BV3992" s="427"/>
      <c r="BZ3992" s="427"/>
      <c r="CA3992" s="427"/>
      <c r="CE3992" s="580"/>
      <c r="CF3992" s="580"/>
      <c r="CG3992" s="580"/>
      <c r="CH3992" s="580"/>
      <c r="JD3992" s="177"/>
    </row>
    <row r="3993" spans="1:264" s="101" customFormat="1" x14ac:dyDescent="0.25">
      <c r="A3993" s="101">
        <v>172</v>
      </c>
      <c r="B3993" s="102" t="s">
        <v>3442</v>
      </c>
      <c r="C3993" s="101" t="s">
        <v>3418</v>
      </c>
      <c r="D3993" s="101" t="s">
        <v>3358</v>
      </c>
      <c r="E3993" s="101">
        <v>2005</v>
      </c>
      <c r="F3993" s="101">
        <v>1998</v>
      </c>
      <c r="G3993" s="101" t="s">
        <v>2738</v>
      </c>
      <c r="H3993" s="101" t="s">
        <v>3435</v>
      </c>
      <c r="I3993" s="101" t="s">
        <v>2823</v>
      </c>
      <c r="J3993" s="101">
        <v>7.5</v>
      </c>
      <c r="K3993" s="101">
        <f t="shared" si="516"/>
        <v>3.9</v>
      </c>
      <c r="L3993" s="101">
        <v>213</v>
      </c>
      <c r="P3993" s="101">
        <v>1247</v>
      </c>
      <c r="R3993" s="102" t="s">
        <v>1719</v>
      </c>
      <c r="S3993" s="102" t="s">
        <v>1931</v>
      </c>
      <c r="T3993" s="102"/>
      <c r="U3993" s="102" t="s">
        <v>3438</v>
      </c>
      <c r="V3993" s="102" t="s">
        <v>1382</v>
      </c>
      <c r="W3993" s="102" t="s">
        <v>1717</v>
      </c>
      <c r="X3993" s="102" t="s">
        <v>1382</v>
      </c>
      <c r="Y3993" s="102" t="s">
        <v>1382</v>
      </c>
      <c r="AA3993" s="352">
        <v>77.2</v>
      </c>
      <c r="AB3993" s="352">
        <v>11</v>
      </c>
      <c r="AC3993" s="101" t="s">
        <v>175</v>
      </c>
      <c r="AD3993" s="101">
        <v>7.8</v>
      </c>
      <c r="AE3993" s="101">
        <v>2.17</v>
      </c>
      <c r="AG3993" s="101" t="s">
        <v>3436</v>
      </c>
      <c r="AH3993" s="101" t="s">
        <v>2800</v>
      </c>
      <c r="AI3993" s="101" t="s">
        <v>4321</v>
      </c>
      <c r="AJ3993" s="101" t="s">
        <v>2327</v>
      </c>
      <c r="AK3993" s="101" t="s">
        <v>229</v>
      </c>
      <c r="AW3993" s="101" t="s">
        <v>3293</v>
      </c>
      <c r="BK3993" s="101">
        <v>9900</v>
      </c>
      <c r="BL3993" s="101">
        <v>6500</v>
      </c>
      <c r="BP3993" s="427"/>
      <c r="BQ3993" s="427"/>
      <c r="BU3993" s="427"/>
      <c r="BV3993" s="427"/>
      <c r="BZ3993" s="427"/>
      <c r="CA3993" s="427"/>
      <c r="CE3993" s="580"/>
      <c r="CF3993" s="580"/>
      <c r="CG3993" s="580"/>
      <c r="CH3993" s="580"/>
      <c r="JD3993" s="177"/>
    </row>
    <row r="3994" spans="1:264" s="527" customFormat="1" x14ac:dyDescent="0.25">
      <c r="A3994" s="527">
        <v>172</v>
      </c>
      <c r="B3994" s="528" t="s">
        <v>3442</v>
      </c>
      <c r="C3994" s="527" t="s">
        <v>3418</v>
      </c>
      <c r="D3994" s="527" t="s">
        <v>3358</v>
      </c>
      <c r="E3994" s="527">
        <v>2005</v>
      </c>
      <c r="F3994" s="527">
        <v>1999</v>
      </c>
      <c r="G3994" s="527" t="s">
        <v>2738</v>
      </c>
      <c r="H3994" s="527" t="s">
        <v>3435</v>
      </c>
      <c r="I3994" s="527" t="s">
        <v>2823</v>
      </c>
      <c r="J3994" s="527">
        <v>7.5</v>
      </c>
      <c r="K3994" s="527">
        <f t="shared" si="516"/>
        <v>3.9</v>
      </c>
      <c r="L3994" s="527">
        <v>213</v>
      </c>
      <c r="P3994" s="527">
        <v>1247</v>
      </c>
      <c r="R3994" s="528" t="s">
        <v>1860</v>
      </c>
      <c r="S3994" s="528" t="s">
        <v>1931</v>
      </c>
      <c r="T3994" s="528"/>
      <c r="U3994" s="528" t="s">
        <v>3438</v>
      </c>
      <c r="V3994" s="528" t="s">
        <v>1382</v>
      </c>
      <c r="W3994" s="528" t="s">
        <v>1717</v>
      </c>
      <c r="X3994" s="528" t="s">
        <v>1382</v>
      </c>
      <c r="Y3994" s="528" t="s">
        <v>1382</v>
      </c>
      <c r="AA3994" s="529">
        <v>77.2</v>
      </c>
      <c r="AB3994" s="529">
        <v>11</v>
      </c>
      <c r="AC3994" s="527" t="s">
        <v>175</v>
      </c>
      <c r="AD3994" s="527">
        <v>7.8</v>
      </c>
      <c r="AE3994" s="527">
        <v>2.17</v>
      </c>
      <c r="AG3994" s="527" t="s">
        <v>3436</v>
      </c>
      <c r="AH3994" s="527" t="s">
        <v>2800</v>
      </c>
      <c r="AI3994" s="527" t="s">
        <v>4321</v>
      </c>
      <c r="AJ3994" s="527" t="s">
        <v>2327</v>
      </c>
      <c r="AK3994" s="527" t="s">
        <v>229</v>
      </c>
      <c r="AW3994" s="527" t="s">
        <v>3293</v>
      </c>
      <c r="BP3994" s="530"/>
      <c r="BQ3994" s="530"/>
      <c r="BU3994" s="530"/>
      <c r="BV3994" s="530"/>
      <c r="BZ3994" s="530"/>
      <c r="CA3994" s="530"/>
      <c r="CE3994" s="610"/>
      <c r="CF3994" s="610"/>
      <c r="CG3994" s="610"/>
      <c r="CH3994" s="610"/>
      <c r="JD3994" s="531"/>
    </row>
    <row r="3995" spans="1:264" s="527" customFormat="1" x14ac:dyDescent="0.25">
      <c r="A3995" s="527">
        <v>172</v>
      </c>
      <c r="B3995" s="528" t="s">
        <v>3442</v>
      </c>
      <c r="C3995" s="527" t="s">
        <v>3418</v>
      </c>
      <c r="D3995" s="527" t="s">
        <v>3358</v>
      </c>
      <c r="E3995" s="527">
        <v>2005</v>
      </c>
      <c r="F3995" s="527">
        <v>1999</v>
      </c>
      <c r="G3995" s="527" t="s">
        <v>2738</v>
      </c>
      <c r="H3995" s="527" t="s">
        <v>3435</v>
      </c>
      <c r="I3995" s="527" t="s">
        <v>2823</v>
      </c>
      <c r="J3995" s="527">
        <v>7.5</v>
      </c>
      <c r="K3995" s="527">
        <f t="shared" si="516"/>
        <v>3.9</v>
      </c>
      <c r="L3995" s="527">
        <v>213</v>
      </c>
      <c r="P3995" s="527">
        <v>1247</v>
      </c>
      <c r="R3995" s="528" t="s">
        <v>1860</v>
      </c>
      <c r="S3995" s="528" t="s">
        <v>1931</v>
      </c>
      <c r="T3995" s="528"/>
      <c r="U3995" s="528" t="s">
        <v>3438</v>
      </c>
      <c r="V3995" s="528" t="s">
        <v>1382</v>
      </c>
      <c r="W3995" s="528" t="s">
        <v>1717</v>
      </c>
      <c r="X3995" s="528" t="s">
        <v>1382</v>
      </c>
      <c r="Y3995" s="528" t="s">
        <v>1382</v>
      </c>
      <c r="AA3995" s="529">
        <v>77.2</v>
      </c>
      <c r="AB3995" s="529">
        <v>11</v>
      </c>
      <c r="AC3995" s="527" t="s">
        <v>175</v>
      </c>
      <c r="AD3995" s="527">
        <v>7.8</v>
      </c>
      <c r="AE3995" s="527">
        <v>2.17</v>
      </c>
      <c r="AG3995" s="527" t="s">
        <v>3436</v>
      </c>
      <c r="AH3995" s="527" t="s">
        <v>2800</v>
      </c>
      <c r="AI3995" s="527" t="s">
        <v>4321</v>
      </c>
      <c r="AJ3995" s="527" t="s">
        <v>2327</v>
      </c>
      <c r="AK3995" s="527" t="s">
        <v>229</v>
      </c>
      <c r="AW3995" s="527" t="s">
        <v>3293</v>
      </c>
      <c r="BP3995" s="530"/>
      <c r="BQ3995" s="530"/>
      <c r="BU3995" s="530"/>
      <c r="BV3995" s="530"/>
      <c r="BZ3995" s="530"/>
      <c r="CA3995" s="530"/>
      <c r="CE3995" s="610"/>
      <c r="CF3995" s="610"/>
      <c r="CG3995" s="610"/>
      <c r="CH3995" s="610"/>
      <c r="JD3995" s="531"/>
    </row>
    <row r="3996" spans="1:264" s="527" customFormat="1" x14ac:dyDescent="0.25">
      <c r="A3996" s="527">
        <v>172</v>
      </c>
      <c r="B3996" s="528" t="s">
        <v>3442</v>
      </c>
      <c r="C3996" s="527" t="s">
        <v>3418</v>
      </c>
      <c r="D3996" s="527" t="s">
        <v>3358</v>
      </c>
      <c r="E3996" s="527">
        <v>2005</v>
      </c>
      <c r="F3996" s="527">
        <v>1999</v>
      </c>
      <c r="G3996" s="527" t="s">
        <v>2738</v>
      </c>
      <c r="H3996" s="527" t="s">
        <v>3435</v>
      </c>
      <c r="I3996" s="527" t="s">
        <v>2823</v>
      </c>
      <c r="J3996" s="527">
        <v>7.5</v>
      </c>
      <c r="K3996" s="527">
        <f t="shared" si="516"/>
        <v>3.9</v>
      </c>
      <c r="L3996" s="527">
        <v>213</v>
      </c>
      <c r="P3996" s="527">
        <v>1247</v>
      </c>
      <c r="R3996" s="528" t="s">
        <v>1860</v>
      </c>
      <c r="S3996" s="528" t="s">
        <v>1931</v>
      </c>
      <c r="T3996" s="528"/>
      <c r="U3996" s="528" t="s">
        <v>3438</v>
      </c>
      <c r="V3996" s="528" t="s">
        <v>1382</v>
      </c>
      <c r="W3996" s="528" t="s">
        <v>1717</v>
      </c>
      <c r="X3996" s="528" t="s">
        <v>1382</v>
      </c>
      <c r="Y3996" s="528" t="s">
        <v>1382</v>
      </c>
      <c r="AA3996" s="529">
        <v>77.2</v>
      </c>
      <c r="AB3996" s="529">
        <v>11</v>
      </c>
      <c r="AC3996" s="527" t="s">
        <v>175</v>
      </c>
      <c r="AD3996" s="527">
        <v>7.8</v>
      </c>
      <c r="AE3996" s="527">
        <v>2.17</v>
      </c>
      <c r="AG3996" s="527" t="s">
        <v>3436</v>
      </c>
      <c r="AH3996" s="527" t="s">
        <v>2800</v>
      </c>
      <c r="AI3996" s="527" t="s">
        <v>4321</v>
      </c>
      <c r="AJ3996" s="527" t="s">
        <v>2327</v>
      </c>
      <c r="AK3996" s="527" t="s">
        <v>229</v>
      </c>
      <c r="AW3996" s="527" t="s">
        <v>3293</v>
      </c>
      <c r="BP3996" s="530"/>
      <c r="BQ3996" s="530"/>
      <c r="BU3996" s="530"/>
      <c r="BV3996" s="530"/>
      <c r="BZ3996" s="530"/>
      <c r="CA3996" s="530"/>
      <c r="CE3996" s="610"/>
      <c r="CF3996" s="610"/>
      <c r="CG3996" s="610"/>
      <c r="CH3996" s="610"/>
      <c r="JD3996" s="531"/>
    </row>
    <row r="3997" spans="1:264" s="527" customFormat="1" x14ac:dyDescent="0.25">
      <c r="A3997" s="527">
        <v>172</v>
      </c>
      <c r="B3997" s="528" t="s">
        <v>3442</v>
      </c>
      <c r="C3997" s="527" t="s">
        <v>3418</v>
      </c>
      <c r="D3997" s="527" t="s">
        <v>3358</v>
      </c>
      <c r="E3997" s="527">
        <v>2005</v>
      </c>
      <c r="F3997" s="527">
        <v>1999</v>
      </c>
      <c r="G3997" s="527" t="s">
        <v>2738</v>
      </c>
      <c r="H3997" s="527" t="s">
        <v>3435</v>
      </c>
      <c r="I3997" s="527" t="s">
        <v>2823</v>
      </c>
      <c r="J3997" s="527">
        <v>7.5</v>
      </c>
      <c r="K3997" s="527">
        <f t="shared" si="516"/>
        <v>3.9</v>
      </c>
      <c r="L3997" s="527">
        <v>213</v>
      </c>
      <c r="P3997" s="527">
        <v>1247</v>
      </c>
      <c r="R3997" s="528" t="s">
        <v>1860</v>
      </c>
      <c r="S3997" s="528" t="s">
        <v>1931</v>
      </c>
      <c r="T3997" s="528"/>
      <c r="U3997" s="528" t="s">
        <v>3438</v>
      </c>
      <c r="V3997" s="528" t="s">
        <v>1382</v>
      </c>
      <c r="W3997" s="528" t="s">
        <v>1717</v>
      </c>
      <c r="X3997" s="528" t="s">
        <v>1382</v>
      </c>
      <c r="Y3997" s="528" t="s">
        <v>1382</v>
      </c>
      <c r="AA3997" s="529">
        <v>77.2</v>
      </c>
      <c r="AB3997" s="529">
        <v>11</v>
      </c>
      <c r="AC3997" s="527" t="s">
        <v>175</v>
      </c>
      <c r="AD3997" s="527">
        <v>7.8</v>
      </c>
      <c r="AE3997" s="527">
        <v>2.17</v>
      </c>
      <c r="AG3997" s="527" t="s">
        <v>3436</v>
      </c>
      <c r="AH3997" s="527" t="s">
        <v>2800</v>
      </c>
      <c r="AI3997" s="527" t="s">
        <v>4321</v>
      </c>
      <c r="AJ3997" s="527" t="s">
        <v>2327</v>
      </c>
      <c r="AK3997" s="527" t="s">
        <v>229</v>
      </c>
      <c r="AW3997" s="527" t="s">
        <v>3293</v>
      </c>
      <c r="BP3997" s="530"/>
      <c r="BQ3997" s="530"/>
      <c r="BU3997" s="530"/>
      <c r="BV3997" s="530"/>
      <c r="BZ3997" s="530"/>
      <c r="CA3997" s="530"/>
      <c r="CE3997" s="610"/>
      <c r="CF3997" s="610"/>
      <c r="CG3997" s="610"/>
      <c r="CH3997" s="610"/>
      <c r="JD3997" s="531"/>
    </row>
    <row r="3998" spans="1:264" s="105" customFormat="1" x14ac:dyDescent="0.25">
      <c r="A3998" s="105">
        <v>172</v>
      </c>
      <c r="B3998" s="106" t="s">
        <v>3442</v>
      </c>
      <c r="C3998" s="105" t="s">
        <v>3418</v>
      </c>
      <c r="D3998" s="105" t="s">
        <v>3358</v>
      </c>
      <c r="E3998" s="105">
        <v>2005</v>
      </c>
      <c r="F3998" s="105">
        <v>2000</v>
      </c>
      <c r="G3998" s="105" t="s">
        <v>2738</v>
      </c>
      <c r="H3998" s="105" t="s">
        <v>3435</v>
      </c>
      <c r="I3998" s="105" t="s">
        <v>2823</v>
      </c>
      <c r="J3998" s="105">
        <v>7.5</v>
      </c>
      <c r="K3998" s="105">
        <f t="shared" si="516"/>
        <v>3.9</v>
      </c>
      <c r="L3998" s="105">
        <v>213</v>
      </c>
      <c r="P3998" s="105">
        <v>1247</v>
      </c>
      <c r="R3998" s="106" t="s">
        <v>1931</v>
      </c>
      <c r="S3998" s="106" t="s">
        <v>1931</v>
      </c>
      <c r="T3998" s="106"/>
      <c r="U3998" s="106" t="s">
        <v>3438</v>
      </c>
      <c r="V3998" s="106" t="s">
        <v>1382</v>
      </c>
      <c r="W3998" s="106" t="s">
        <v>1717</v>
      </c>
      <c r="X3998" s="106" t="s">
        <v>1382</v>
      </c>
      <c r="Y3998" s="106" t="s">
        <v>1382</v>
      </c>
      <c r="AA3998" s="354">
        <v>77.2</v>
      </c>
      <c r="AB3998" s="354">
        <v>11</v>
      </c>
      <c r="AC3998" s="105" t="s">
        <v>175</v>
      </c>
      <c r="AD3998" s="105">
        <v>7.8</v>
      </c>
      <c r="AE3998" s="105">
        <v>2.17</v>
      </c>
      <c r="AG3998" s="105" t="s">
        <v>3436</v>
      </c>
      <c r="AH3998" s="105" t="s">
        <v>2800</v>
      </c>
      <c r="AI3998" s="105" t="s">
        <v>4321</v>
      </c>
      <c r="AJ3998" s="105" t="s">
        <v>2327</v>
      </c>
      <c r="AK3998" s="105" t="s">
        <v>229</v>
      </c>
      <c r="AW3998" s="105" t="s">
        <v>3293</v>
      </c>
      <c r="BK3998" s="105">
        <v>2000</v>
      </c>
      <c r="BL3998" s="105">
        <v>2600</v>
      </c>
      <c r="BP3998" s="429"/>
      <c r="BQ3998" s="429"/>
      <c r="BU3998" s="429"/>
      <c r="BV3998" s="429"/>
      <c r="BZ3998" s="429"/>
      <c r="CA3998" s="429"/>
      <c r="CE3998" s="582"/>
      <c r="CF3998" s="582"/>
      <c r="CG3998" s="582"/>
      <c r="CH3998" s="582"/>
      <c r="JD3998" s="499"/>
    </row>
    <row r="3999" spans="1:264" s="105" customFormat="1" x14ac:dyDescent="0.25">
      <c r="A3999" s="105">
        <v>172</v>
      </c>
      <c r="B3999" s="106" t="s">
        <v>3442</v>
      </c>
      <c r="C3999" s="105" t="s">
        <v>3418</v>
      </c>
      <c r="D3999" s="105" t="s">
        <v>3358</v>
      </c>
      <c r="E3999" s="105">
        <v>2005</v>
      </c>
      <c r="F3999" s="105">
        <v>2000</v>
      </c>
      <c r="G3999" s="105" t="s">
        <v>2738</v>
      </c>
      <c r="H3999" s="105" t="s">
        <v>3435</v>
      </c>
      <c r="I3999" s="105" t="s">
        <v>2823</v>
      </c>
      <c r="J3999" s="105">
        <v>7.5</v>
      </c>
      <c r="K3999" s="105">
        <f t="shared" si="516"/>
        <v>3.9</v>
      </c>
      <c r="L3999" s="105">
        <v>213</v>
      </c>
      <c r="P3999" s="105">
        <v>1247</v>
      </c>
      <c r="R3999" s="106" t="s">
        <v>1931</v>
      </c>
      <c r="S3999" s="106" t="s">
        <v>1931</v>
      </c>
      <c r="T3999" s="106"/>
      <c r="U3999" s="106" t="s">
        <v>3438</v>
      </c>
      <c r="V3999" s="106" t="s">
        <v>1382</v>
      </c>
      <c r="W3999" s="106" t="s">
        <v>1717</v>
      </c>
      <c r="X3999" s="106" t="s">
        <v>1382</v>
      </c>
      <c r="Y3999" s="106" t="s">
        <v>1382</v>
      </c>
      <c r="AA3999" s="354">
        <v>77.2</v>
      </c>
      <c r="AB3999" s="354">
        <v>11</v>
      </c>
      <c r="AC3999" s="105" t="s">
        <v>175</v>
      </c>
      <c r="AD3999" s="105">
        <v>7.8</v>
      </c>
      <c r="AE3999" s="105">
        <v>2.17</v>
      </c>
      <c r="AG3999" s="105" t="s">
        <v>3436</v>
      </c>
      <c r="AH3999" s="105" t="s">
        <v>2800</v>
      </c>
      <c r="AI3999" s="105" t="s">
        <v>4321</v>
      </c>
      <c r="AJ3999" s="105" t="s">
        <v>2327</v>
      </c>
      <c r="AK3999" s="105" t="s">
        <v>229</v>
      </c>
      <c r="AW3999" s="105" t="s">
        <v>3293</v>
      </c>
      <c r="BK3999" s="105">
        <v>2800</v>
      </c>
      <c r="BL3999" s="105">
        <v>3200</v>
      </c>
      <c r="BP3999" s="429"/>
      <c r="BQ3999" s="429"/>
      <c r="BU3999" s="429"/>
      <c r="BV3999" s="429"/>
      <c r="BZ3999" s="429"/>
      <c r="CA3999" s="429"/>
      <c r="CE3999" s="582"/>
      <c r="CF3999" s="582"/>
      <c r="CG3999" s="582"/>
      <c r="CH3999" s="582"/>
      <c r="JD3999" s="499"/>
    </row>
    <row r="4000" spans="1:264" s="105" customFormat="1" x14ac:dyDescent="0.25">
      <c r="A4000" s="105">
        <v>172</v>
      </c>
      <c r="B4000" s="106" t="s">
        <v>3442</v>
      </c>
      <c r="C4000" s="105" t="s">
        <v>3418</v>
      </c>
      <c r="D4000" s="105" t="s">
        <v>3358</v>
      </c>
      <c r="E4000" s="105">
        <v>2005</v>
      </c>
      <c r="F4000" s="105">
        <v>2000</v>
      </c>
      <c r="G4000" s="105" t="s">
        <v>2738</v>
      </c>
      <c r="H4000" s="105" t="s">
        <v>3435</v>
      </c>
      <c r="I4000" s="105" t="s">
        <v>2823</v>
      </c>
      <c r="J4000" s="105">
        <v>7.5</v>
      </c>
      <c r="K4000" s="105">
        <f t="shared" si="516"/>
        <v>3.9</v>
      </c>
      <c r="L4000" s="105">
        <v>213</v>
      </c>
      <c r="P4000" s="105">
        <v>1247</v>
      </c>
      <c r="R4000" s="106" t="s">
        <v>1931</v>
      </c>
      <c r="S4000" s="106" t="s">
        <v>1931</v>
      </c>
      <c r="T4000" s="106"/>
      <c r="U4000" s="106" t="s">
        <v>3438</v>
      </c>
      <c r="V4000" s="106" t="s">
        <v>1382</v>
      </c>
      <c r="W4000" s="106" t="s">
        <v>1717</v>
      </c>
      <c r="X4000" s="106" t="s">
        <v>1382</v>
      </c>
      <c r="Y4000" s="106" t="s">
        <v>1382</v>
      </c>
      <c r="AA4000" s="354">
        <v>77.2</v>
      </c>
      <c r="AB4000" s="354">
        <v>11</v>
      </c>
      <c r="AC4000" s="105" t="s">
        <v>175</v>
      </c>
      <c r="AD4000" s="105">
        <v>7.8</v>
      </c>
      <c r="AE4000" s="105">
        <v>2.17</v>
      </c>
      <c r="AG4000" s="105" t="s">
        <v>3436</v>
      </c>
      <c r="AH4000" s="105" t="s">
        <v>2800</v>
      </c>
      <c r="AI4000" s="105" t="s">
        <v>4321</v>
      </c>
      <c r="AJ4000" s="105" t="s">
        <v>2327</v>
      </c>
      <c r="AK4000" s="105" t="s">
        <v>229</v>
      </c>
      <c r="AW4000" s="105" t="s">
        <v>3293</v>
      </c>
      <c r="BK4000" s="105">
        <v>5000</v>
      </c>
      <c r="BL4000" s="105">
        <v>4200</v>
      </c>
      <c r="BP4000" s="429"/>
      <c r="BQ4000" s="429"/>
      <c r="BU4000" s="429"/>
      <c r="BV4000" s="429"/>
      <c r="BZ4000" s="429"/>
      <c r="CA4000" s="429"/>
      <c r="CE4000" s="582"/>
      <c r="CF4000" s="582"/>
      <c r="CG4000" s="582"/>
      <c r="CH4000" s="582"/>
      <c r="JD4000" s="499"/>
    </row>
    <row r="4001" spans="1:264" s="105" customFormat="1" x14ac:dyDescent="0.25">
      <c r="A4001" s="105">
        <v>172</v>
      </c>
      <c r="B4001" s="106" t="s">
        <v>3442</v>
      </c>
      <c r="C4001" s="105" t="s">
        <v>3418</v>
      </c>
      <c r="D4001" s="105" t="s">
        <v>3358</v>
      </c>
      <c r="E4001" s="105">
        <v>2005</v>
      </c>
      <c r="F4001" s="105">
        <v>2000</v>
      </c>
      <c r="G4001" s="105" t="s">
        <v>2738</v>
      </c>
      <c r="H4001" s="105" t="s">
        <v>3435</v>
      </c>
      <c r="I4001" s="105" t="s">
        <v>2823</v>
      </c>
      <c r="J4001" s="105">
        <v>7.5</v>
      </c>
      <c r="K4001" s="105">
        <f t="shared" si="516"/>
        <v>3.9</v>
      </c>
      <c r="L4001" s="105">
        <v>213</v>
      </c>
      <c r="P4001" s="105">
        <v>1247</v>
      </c>
      <c r="R4001" s="106" t="s">
        <v>1931</v>
      </c>
      <c r="S4001" s="106" t="s">
        <v>1931</v>
      </c>
      <c r="T4001" s="106"/>
      <c r="U4001" s="106" t="s">
        <v>3438</v>
      </c>
      <c r="V4001" s="106" t="s">
        <v>1382</v>
      </c>
      <c r="W4001" s="106" t="s">
        <v>1717</v>
      </c>
      <c r="X4001" s="106" t="s">
        <v>1382</v>
      </c>
      <c r="Y4001" s="106" t="s">
        <v>1382</v>
      </c>
      <c r="AA4001" s="354">
        <v>77.2</v>
      </c>
      <c r="AB4001" s="354">
        <v>11</v>
      </c>
      <c r="AC4001" s="105" t="s">
        <v>175</v>
      </c>
      <c r="AD4001" s="105">
        <v>7.8</v>
      </c>
      <c r="AE4001" s="105">
        <v>2.17</v>
      </c>
      <c r="AG4001" s="105" t="s">
        <v>3436</v>
      </c>
      <c r="AH4001" s="105" t="s">
        <v>2800</v>
      </c>
      <c r="AI4001" s="105" t="s">
        <v>4321</v>
      </c>
      <c r="AJ4001" s="105" t="s">
        <v>2327</v>
      </c>
      <c r="AK4001" s="105" t="s">
        <v>229</v>
      </c>
      <c r="AW4001" s="105" t="s">
        <v>3293</v>
      </c>
      <c r="BK4001" s="105">
        <v>7500</v>
      </c>
      <c r="BL4001" s="105">
        <v>3000</v>
      </c>
      <c r="BP4001" s="429"/>
      <c r="BQ4001" s="429"/>
      <c r="BU4001" s="429"/>
      <c r="BV4001" s="429"/>
      <c r="BZ4001" s="429"/>
      <c r="CA4001" s="429"/>
      <c r="CE4001" s="582"/>
      <c r="CF4001" s="582"/>
      <c r="CG4001" s="582"/>
      <c r="CH4001" s="582"/>
      <c r="JD4001" s="499"/>
    </row>
    <row r="4002" spans="1:264" s="126" customFormat="1" x14ac:dyDescent="0.25">
      <c r="A4002" s="126">
        <v>173</v>
      </c>
      <c r="B4002" s="478" t="s">
        <v>3453</v>
      </c>
      <c r="C4002" s="126" t="s">
        <v>3445</v>
      </c>
      <c r="D4002" s="126" t="s">
        <v>3446</v>
      </c>
      <c r="E4002" s="126">
        <v>1996</v>
      </c>
      <c r="F4002" s="126">
        <v>1992</v>
      </c>
      <c r="G4002" s="126" t="s">
        <v>2766</v>
      </c>
      <c r="H4002" s="126" t="s">
        <v>3448</v>
      </c>
      <c r="I4002" s="126" t="s">
        <v>2829</v>
      </c>
      <c r="J4002" s="126">
        <f t="shared" ref="J4002:J4015" si="517">-13-39/60</f>
        <v>-13.65</v>
      </c>
      <c r="K4002" s="126">
        <f t="shared" ref="K4002:K4015" si="518">32+34/60</f>
        <v>32.56666666666667</v>
      </c>
      <c r="L4002" s="126">
        <v>1030</v>
      </c>
      <c r="N4002" s="126">
        <v>21</v>
      </c>
      <c r="P4002" s="126">
        <v>1000</v>
      </c>
      <c r="R4002" s="478" t="s">
        <v>1977</v>
      </c>
      <c r="S4002" s="478" t="s">
        <v>1722</v>
      </c>
      <c r="T4002" s="478"/>
      <c r="U4002" s="478" t="s">
        <v>3447</v>
      </c>
      <c r="V4002" s="478" t="s">
        <v>1400</v>
      </c>
      <c r="W4002" s="478" t="s">
        <v>1727</v>
      </c>
      <c r="X4002" s="478" t="s">
        <v>1400</v>
      </c>
      <c r="Y4002" s="478" t="s">
        <v>1400</v>
      </c>
      <c r="Z4002" s="126">
        <v>1.18</v>
      </c>
      <c r="AA4002" s="479"/>
      <c r="AB4002" s="479"/>
      <c r="AG4002" s="126" t="s">
        <v>3449</v>
      </c>
      <c r="AH4002" s="126" t="s">
        <v>2918</v>
      </c>
      <c r="AI4002" s="126" t="s">
        <v>577</v>
      </c>
      <c r="AJ4002" s="126" t="s">
        <v>1645</v>
      </c>
      <c r="AK4002" s="126" t="s">
        <v>132</v>
      </c>
      <c r="AW4002" s="126" t="s">
        <v>160</v>
      </c>
      <c r="AX4002" s="126">
        <v>4</v>
      </c>
      <c r="AZ4002" s="126" t="s">
        <v>141</v>
      </c>
      <c r="BK4002" s="126">
        <v>1860</v>
      </c>
      <c r="BL4002" s="126">
        <v>2890</v>
      </c>
      <c r="BM4002" s="126">
        <v>420</v>
      </c>
      <c r="BN4002" s="126">
        <v>420</v>
      </c>
      <c r="BP4002" s="481">
        <v>1.32</v>
      </c>
      <c r="BQ4002" s="481">
        <v>1.18</v>
      </c>
      <c r="BR4002" s="126">
        <v>0.08</v>
      </c>
      <c r="BS4002" s="126">
        <v>0.08</v>
      </c>
      <c r="BU4002" s="481">
        <v>1.27</v>
      </c>
      <c r="BV4002" s="481">
        <v>1.26</v>
      </c>
      <c r="BW4002" s="481">
        <v>0.12</v>
      </c>
      <c r="BX4002" s="481">
        <v>0.12</v>
      </c>
      <c r="CE4002" s="605">
        <v>1.27</v>
      </c>
      <c r="CF4002" s="605">
        <v>1.26</v>
      </c>
      <c r="CG4002" s="605">
        <v>0.12</v>
      </c>
      <c r="CH4002" s="605">
        <v>0.12</v>
      </c>
      <c r="CI4002" s="126" t="s">
        <v>4546</v>
      </c>
      <c r="EC4002" s="126">
        <v>0.57999999999999996</v>
      </c>
      <c r="ED4002" s="126">
        <v>0.53</v>
      </c>
      <c r="EG4002" s="126" t="s">
        <v>2413</v>
      </c>
      <c r="JD4002" s="480"/>
    </row>
    <row r="4003" spans="1:264" s="126" customFormat="1" x14ac:dyDescent="0.25">
      <c r="A4003" s="126">
        <v>173</v>
      </c>
      <c r="B4003" s="478" t="s">
        <v>3453</v>
      </c>
      <c r="C4003" s="126" t="s">
        <v>3445</v>
      </c>
      <c r="D4003" s="126" t="s">
        <v>3446</v>
      </c>
      <c r="E4003" s="126">
        <v>1996</v>
      </c>
      <c r="F4003" s="126">
        <v>1992</v>
      </c>
      <c r="G4003" s="126" t="s">
        <v>2766</v>
      </c>
      <c r="H4003" s="126" t="s">
        <v>3448</v>
      </c>
      <c r="I4003" s="126" t="s">
        <v>2829</v>
      </c>
      <c r="J4003" s="126">
        <f t="shared" si="517"/>
        <v>-13.65</v>
      </c>
      <c r="K4003" s="126">
        <f t="shared" si="518"/>
        <v>32.56666666666667</v>
      </c>
      <c r="L4003" s="126">
        <v>1030</v>
      </c>
      <c r="N4003" s="126">
        <v>21</v>
      </c>
      <c r="P4003" s="126">
        <v>1000</v>
      </c>
      <c r="R4003" s="478" t="s">
        <v>1977</v>
      </c>
      <c r="S4003" s="478" t="s">
        <v>1722</v>
      </c>
      <c r="T4003" s="478"/>
      <c r="U4003" s="478" t="s">
        <v>3447</v>
      </c>
      <c r="V4003" s="478" t="s">
        <v>1405</v>
      </c>
      <c r="W4003" s="478" t="s">
        <v>1727</v>
      </c>
      <c r="X4003" s="478" t="s">
        <v>1405</v>
      </c>
      <c r="Y4003" s="478" t="s">
        <v>1405</v>
      </c>
      <c r="Z4003" s="126">
        <v>1.18</v>
      </c>
      <c r="AA4003" s="479"/>
      <c r="AB4003" s="479"/>
      <c r="AG4003" s="126" t="s">
        <v>3449</v>
      </c>
      <c r="AH4003" s="126" t="s">
        <v>2918</v>
      </c>
      <c r="AI4003" s="126" t="s">
        <v>577</v>
      </c>
      <c r="AJ4003" s="126" t="s">
        <v>1645</v>
      </c>
      <c r="AK4003" s="126" t="s">
        <v>132</v>
      </c>
      <c r="AW4003" s="126" t="s">
        <v>160</v>
      </c>
      <c r="AX4003" s="126">
        <v>4</v>
      </c>
      <c r="AZ4003" s="126" t="s">
        <v>141</v>
      </c>
      <c r="BK4003" s="126">
        <v>1020</v>
      </c>
      <c r="BL4003" s="126">
        <v>1870</v>
      </c>
      <c r="BM4003" s="126">
        <v>420</v>
      </c>
      <c r="BN4003" s="126">
        <v>420</v>
      </c>
      <c r="BP4003" s="481">
        <v>1.22</v>
      </c>
      <c r="BQ4003" s="481">
        <v>1.01</v>
      </c>
      <c r="BR4003" s="126">
        <v>0.08</v>
      </c>
      <c r="BS4003" s="126">
        <v>0.08</v>
      </c>
      <c r="BU4003" s="481">
        <v>0.91</v>
      </c>
      <c r="BV4003" s="481">
        <v>0.98</v>
      </c>
      <c r="BW4003" s="481">
        <v>0.12</v>
      </c>
      <c r="BX4003" s="481">
        <v>0.12</v>
      </c>
      <c r="CE4003" s="605">
        <v>0.91</v>
      </c>
      <c r="CF4003" s="605">
        <v>0.98</v>
      </c>
      <c r="CG4003" s="605">
        <v>0.12</v>
      </c>
      <c r="CH4003" s="605">
        <v>0.12</v>
      </c>
      <c r="CI4003" s="126" t="s">
        <v>4546</v>
      </c>
      <c r="JD4003" s="480"/>
    </row>
    <row r="4004" spans="1:264" s="126" customFormat="1" x14ac:dyDescent="0.25">
      <c r="A4004" s="126">
        <v>173</v>
      </c>
      <c r="B4004" s="478" t="s">
        <v>3453</v>
      </c>
      <c r="C4004" s="126" t="s">
        <v>3445</v>
      </c>
      <c r="D4004" s="126" t="s">
        <v>3446</v>
      </c>
      <c r="E4004" s="126">
        <v>1996</v>
      </c>
      <c r="F4004" s="126">
        <v>1992</v>
      </c>
      <c r="G4004" s="126" t="s">
        <v>2766</v>
      </c>
      <c r="H4004" s="126" t="s">
        <v>3448</v>
      </c>
      <c r="I4004" s="126" t="s">
        <v>2829</v>
      </c>
      <c r="J4004" s="126">
        <f t="shared" si="517"/>
        <v>-13.65</v>
      </c>
      <c r="K4004" s="126">
        <f t="shared" si="518"/>
        <v>32.56666666666667</v>
      </c>
      <c r="L4004" s="126">
        <v>1030</v>
      </c>
      <c r="N4004" s="126">
        <v>21</v>
      </c>
      <c r="P4004" s="126">
        <v>1000</v>
      </c>
      <c r="R4004" s="478" t="s">
        <v>1977</v>
      </c>
      <c r="S4004" s="478" t="s">
        <v>1722</v>
      </c>
      <c r="T4004" s="478"/>
      <c r="U4004" s="478" t="s">
        <v>3447</v>
      </c>
      <c r="V4004" s="478" t="s">
        <v>3452</v>
      </c>
      <c r="W4004" s="478" t="s">
        <v>1727</v>
      </c>
      <c r="X4004" s="478" t="s">
        <v>3452</v>
      </c>
      <c r="Y4004" s="478" t="s">
        <v>3452</v>
      </c>
      <c r="Z4004" s="126">
        <v>1.18</v>
      </c>
      <c r="AA4004" s="479"/>
      <c r="AB4004" s="479"/>
      <c r="AG4004" s="126" t="s">
        <v>3449</v>
      </c>
      <c r="AH4004" s="126" t="s">
        <v>2918</v>
      </c>
      <c r="AI4004" s="126" t="s">
        <v>577</v>
      </c>
      <c r="AJ4004" s="126" t="s">
        <v>1645</v>
      </c>
      <c r="AK4004" s="126" t="s">
        <v>132</v>
      </c>
      <c r="AW4004" s="126" t="s">
        <v>160</v>
      </c>
      <c r="AX4004" s="126">
        <v>4</v>
      </c>
      <c r="AZ4004" s="126" t="s">
        <v>141</v>
      </c>
      <c r="BP4004" s="481"/>
      <c r="BQ4004" s="481"/>
      <c r="BU4004" s="481">
        <v>0.76</v>
      </c>
      <c r="BV4004" s="481">
        <v>0.76</v>
      </c>
      <c r="BW4004" s="481">
        <v>0.12</v>
      </c>
      <c r="BX4004" s="481">
        <v>0.12</v>
      </c>
      <c r="CE4004" s="605">
        <v>0.76</v>
      </c>
      <c r="CF4004" s="605">
        <v>0.76</v>
      </c>
      <c r="CG4004" s="605">
        <v>0.12</v>
      </c>
      <c r="CH4004" s="605">
        <v>0.12</v>
      </c>
      <c r="CI4004" s="126" t="s">
        <v>4546</v>
      </c>
      <c r="JD4004" s="480"/>
    </row>
    <row r="4005" spans="1:264" s="36" customFormat="1" x14ac:dyDescent="0.25">
      <c r="A4005" s="36">
        <v>173</v>
      </c>
      <c r="B4005" s="51" t="s">
        <v>3453</v>
      </c>
      <c r="C4005" s="36" t="s">
        <v>3445</v>
      </c>
      <c r="D4005" s="36" t="s">
        <v>3446</v>
      </c>
      <c r="E4005" s="36">
        <v>1996</v>
      </c>
      <c r="F4005" s="36">
        <v>1993</v>
      </c>
      <c r="G4005" s="36" t="s">
        <v>2766</v>
      </c>
      <c r="H4005" s="36" t="s">
        <v>3448</v>
      </c>
      <c r="I4005" s="36" t="s">
        <v>2829</v>
      </c>
      <c r="J4005" s="36">
        <f t="shared" si="517"/>
        <v>-13.65</v>
      </c>
      <c r="K4005" s="36">
        <f t="shared" si="518"/>
        <v>32.56666666666667</v>
      </c>
      <c r="L4005" s="36">
        <v>1030</v>
      </c>
      <c r="N4005" s="36">
        <v>21</v>
      </c>
      <c r="P4005" s="36">
        <v>1000</v>
      </c>
      <c r="R4005" s="51" t="s">
        <v>1977</v>
      </c>
      <c r="S4005" s="51" t="s">
        <v>1722</v>
      </c>
      <c r="T4005" s="51"/>
      <c r="U4005" s="51" t="s">
        <v>3447</v>
      </c>
      <c r="V4005" s="51" t="s">
        <v>1400</v>
      </c>
      <c r="W4005" s="51" t="s">
        <v>1727</v>
      </c>
      <c r="X4005" s="51" t="s">
        <v>1400</v>
      </c>
      <c r="Y4005" s="51" t="s">
        <v>1400</v>
      </c>
      <c r="Z4005" s="36">
        <v>1.18</v>
      </c>
      <c r="AA4005" s="331"/>
      <c r="AB4005" s="331"/>
      <c r="AG4005" s="36" t="s">
        <v>3449</v>
      </c>
      <c r="AH4005" s="36" t="s">
        <v>2918</v>
      </c>
      <c r="AI4005" s="36" t="s">
        <v>577</v>
      </c>
      <c r="AJ4005" s="36" t="s">
        <v>1645</v>
      </c>
      <c r="AK4005" s="36" t="s">
        <v>132</v>
      </c>
      <c r="AW4005" s="36" t="s">
        <v>160</v>
      </c>
      <c r="AX4005" s="36">
        <v>4</v>
      </c>
      <c r="AZ4005" s="36" t="s">
        <v>141</v>
      </c>
      <c r="BE4005" s="36" t="s">
        <v>3450</v>
      </c>
      <c r="BK4005" s="36">
        <v>1860</v>
      </c>
      <c r="BL4005" s="36">
        <v>4670</v>
      </c>
      <c r="BM4005" s="36">
        <v>400</v>
      </c>
      <c r="BN4005" s="36">
        <v>400</v>
      </c>
      <c r="BP4005" s="407">
        <v>1.54</v>
      </c>
      <c r="BQ4005" s="407">
        <v>1.55</v>
      </c>
      <c r="BR4005" s="36">
        <v>0.18</v>
      </c>
      <c r="BS4005" s="36">
        <v>0.18</v>
      </c>
      <c r="BU4005" s="407">
        <v>1.27</v>
      </c>
      <c r="BV4005" s="407">
        <v>1.1599999999999999</v>
      </c>
      <c r="BW4005" s="407">
        <v>0.12</v>
      </c>
      <c r="BX4005" s="407">
        <v>0.12</v>
      </c>
      <c r="CE4005" s="560">
        <v>1.27</v>
      </c>
      <c r="CF4005" s="560">
        <v>1.1599999999999999</v>
      </c>
      <c r="CG4005" s="560">
        <v>0.12</v>
      </c>
      <c r="CH4005" s="560">
        <v>0.12</v>
      </c>
      <c r="CI4005" s="36" t="s">
        <v>4546</v>
      </c>
      <c r="EC4005" s="36">
        <v>0.57999999999999996</v>
      </c>
      <c r="ED4005" s="36">
        <v>0.44</v>
      </c>
      <c r="EG4005" s="36" t="s">
        <v>2413</v>
      </c>
      <c r="JD4005" s="230"/>
    </row>
    <row r="4006" spans="1:264" s="36" customFormat="1" x14ac:dyDescent="0.25">
      <c r="A4006" s="36">
        <v>173</v>
      </c>
      <c r="B4006" s="51" t="s">
        <v>3453</v>
      </c>
      <c r="C4006" s="36" t="s">
        <v>3445</v>
      </c>
      <c r="D4006" s="36" t="s">
        <v>3446</v>
      </c>
      <c r="E4006" s="36">
        <v>1996</v>
      </c>
      <c r="F4006" s="36">
        <v>1993</v>
      </c>
      <c r="G4006" s="36" t="s">
        <v>2766</v>
      </c>
      <c r="H4006" s="36" t="s">
        <v>3448</v>
      </c>
      <c r="I4006" s="36" t="s">
        <v>2829</v>
      </c>
      <c r="J4006" s="36">
        <f t="shared" si="517"/>
        <v>-13.65</v>
      </c>
      <c r="K4006" s="36">
        <f t="shared" si="518"/>
        <v>32.56666666666667</v>
      </c>
      <c r="L4006" s="36">
        <v>1030</v>
      </c>
      <c r="N4006" s="36">
        <v>21</v>
      </c>
      <c r="P4006" s="36">
        <v>1000</v>
      </c>
      <c r="R4006" s="51" t="s">
        <v>1977</v>
      </c>
      <c r="S4006" s="51" t="s">
        <v>1722</v>
      </c>
      <c r="T4006" s="51"/>
      <c r="U4006" s="51" t="s">
        <v>3447</v>
      </c>
      <c r="V4006" s="51" t="s">
        <v>1405</v>
      </c>
      <c r="W4006" s="51" t="s">
        <v>1727</v>
      </c>
      <c r="X4006" s="51" t="s">
        <v>1405</v>
      </c>
      <c r="Y4006" s="51" t="s">
        <v>1405</v>
      </c>
      <c r="Z4006" s="36">
        <v>1.18</v>
      </c>
      <c r="AA4006" s="331"/>
      <c r="AB4006" s="331"/>
      <c r="AG4006" s="36" t="s">
        <v>3449</v>
      </c>
      <c r="AH4006" s="36" t="s">
        <v>2918</v>
      </c>
      <c r="AI4006" s="36" t="s">
        <v>577</v>
      </c>
      <c r="AJ4006" s="36" t="s">
        <v>1645</v>
      </c>
      <c r="AK4006" s="36" t="s">
        <v>132</v>
      </c>
      <c r="AW4006" s="36" t="s">
        <v>160</v>
      </c>
      <c r="AX4006" s="36">
        <v>4</v>
      </c>
      <c r="AZ4006" s="36" t="s">
        <v>141</v>
      </c>
      <c r="BE4006" s="36" t="s">
        <v>3450</v>
      </c>
      <c r="BK4006" s="36">
        <v>1020</v>
      </c>
      <c r="BL4006" s="36">
        <v>3360</v>
      </c>
      <c r="BM4006" s="36">
        <v>400</v>
      </c>
      <c r="BN4006" s="36">
        <v>400</v>
      </c>
      <c r="BP4006" s="407">
        <v>1.2</v>
      </c>
      <c r="BQ4006" s="407">
        <v>1.49</v>
      </c>
      <c r="BR4006" s="36">
        <v>0.18</v>
      </c>
      <c r="BS4006" s="36">
        <v>0.18</v>
      </c>
      <c r="BU4006" s="407">
        <v>0.91</v>
      </c>
      <c r="BV4006" s="407">
        <v>1.03</v>
      </c>
      <c r="BW4006" s="407">
        <v>0.12</v>
      </c>
      <c r="BX4006" s="407">
        <v>0.12</v>
      </c>
      <c r="CE4006" s="560">
        <v>0.91</v>
      </c>
      <c r="CF4006" s="560">
        <v>1.03</v>
      </c>
      <c r="CG4006" s="560">
        <v>0.12</v>
      </c>
      <c r="CH4006" s="560">
        <v>0.12</v>
      </c>
      <c r="CI4006" s="36" t="s">
        <v>4546</v>
      </c>
      <c r="JD4006" s="230"/>
    </row>
    <row r="4007" spans="1:264" s="36" customFormat="1" x14ac:dyDescent="0.25">
      <c r="A4007" s="36">
        <v>173</v>
      </c>
      <c r="B4007" s="51" t="s">
        <v>3453</v>
      </c>
      <c r="C4007" s="36" t="s">
        <v>3445</v>
      </c>
      <c r="D4007" s="36" t="s">
        <v>3446</v>
      </c>
      <c r="E4007" s="36">
        <v>1996</v>
      </c>
      <c r="F4007" s="36">
        <v>1993</v>
      </c>
      <c r="G4007" s="36" t="s">
        <v>2766</v>
      </c>
      <c r="H4007" s="36" t="s">
        <v>3448</v>
      </c>
      <c r="I4007" s="36" t="s">
        <v>2829</v>
      </c>
      <c r="J4007" s="36">
        <f t="shared" si="517"/>
        <v>-13.65</v>
      </c>
      <c r="K4007" s="36">
        <f t="shared" si="518"/>
        <v>32.56666666666667</v>
      </c>
      <c r="L4007" s="36">
        <v>1030</v>
      </c>
      <c r="N4007" s="36">
        <v>21</v>
      </c>
      <c r="P4007" s="36">
        <v>1000</v>
      </c>
      <c r="R4007" s="51" t="s">
        <v>1977</v>
      </c>
      <c r="S4007" s="51" t="s">
        <v>1722</v>
      </c>
      <c r="T4007" s="51"/>
      <c r="U4007" s="51" t="s">
        <v>3447</v>
      </c>
      <c r="V4007" s="51" t="s">
        <v>3452</v>
      </c>
      <c r="W4007" s="51" t="s">
        <v>1727</v>
      </c>
      <c r="X4007" s="51" t="s">
        <v>3452</v>
      </c>
      <c r="Y4007" s="51" t="s">
        <v>3452</v>
      </c>
      <c r="Z4007" s="36">
        <v>1.18</v>
      </c>
      <c r="AA4007" s="331"/>
      <c r="AB4007" s="331"/>
      <c r="AG4007" s="36" t="s">
        <v>3449</v>
      </c>
      <c r="AH4007" s="36" t="s">
        <v>2918</v>
      </c>
      <c r="AI4007" s="36" t="s">
        <v>577</v>
      </c>
      <c r="AJ4007" s="36" t="s">
        <v>1645</v>
      </c>
      <c r="AK4007" s="36" t="s">
        <v>132</v>
      </c>
      <c r="AW4007" s="36" t="s">
        <v>160</v>
      </c>
      <c r="AX4007" s="36">
        <v>4</v>
      </c>
      <c r="AZ4007" s="36" t="s">
        <v>141</v>
      </c>
      <c r="BE4007" s="36" t="s">
        <v>3450</v>
      </c>
      <c r="BP4007" s="407"/>
      <c r="BQ4007" s="407"/>
      <c r="BU4007" s="407">
        <v>0.76</v>
      </c>
      <c r="BV4007" s="407">
        <v>0.89</v>
      </c>
      <c r="BW4007" s="407">
        <v>0.12</v>
      </c>
      <c r="BX4007" s="407">
        <v>0.12</v>
      </c>
      <c r="CE4007" s="560">
        <v>0.76</v>
      </c>
      <c r="CF4007" s="560">
        <v>0.89</v>
      </c>
      <c r="CG4007" s="560">
        <v>0.12</v>
      </c>
      <c r="CH4007" s="560">
        <v>0.12</v>
      </c>
      <c r="CI4007" s="36" t="s">
        <v>4546</v>
      </c>
      <c r="JD4007" s="230"/>
    </row>
    <row r="4008" spans="1:264" s="126" customFormat="1" x14ac:dyDescent="0.25">
      <c r="A4008" s="126">
        <v>173</v>
      </c>
      <c r="B4008" s="478" t="s">
        <v>3453</v>
      </c>
      <c r="C4008" s="126" t="s">
        <v>3445</v>
      </c>
      <c r="D4008" s="126" t="s">
        <v>3446</v>
      </c>
      <c r="E4008" s="126">
        <v>1996</v>
      </c>
      <c r="F4008" s="126">
        <v>1993</v>
      </c>
      <c r="G4008" s="126" t="s">
        <v>2766</v>
      </c>
      <c r="H4008" s="126" t="s">
        <v>3448</v>
      </c>
      <c r="I4008" s="126" t="s">
        <v>2829</v>
      </c>
      <c r="J4008" s="126">
        <f t="shared" si="517"/>
        <v>-13.65</v>
      </c>
      <c r="K4008" s="126">
        <f t="shared" si="518"/>
        <v>32.56666666666667</v>
      </c>
      <c r="L4008" s="126">
        <v>1030</v>
      </c>
      <c r="N4008" s="126">
        <v>21</v>
      </c>
      <c r="P4008" s="126">
        <v>1000</v>
      </c>
      <c r="R4008" s="478" t="s">
        <v>1977</v>
      </c>
      <c r="S4008" s="478" t="s">
        <v>1722</v>
      </c>
      <c r="T4008" s="478"/>
      <c r="U4008" s="478" t="s">
        <v>3447</v>
      </c>
      <c r="V4008" s="478" t="s">
        <v>1400</v>
      </c>
      <c r="W4008" s="478" t="s">
        <v>1727</v>
      </c>
      <c r="X4008" s="478" t="s">
        <v>1400</v>
      </c>
      <c r="Y4008" s="478" t="s">
        <v>1400</v>
      </c>
      <c r="Z4008" s="126">
        <v>1.18</v>
      </c>
      <c r="AA4008" s="479"/>
      <c r="AB4008" s="479"/>
      <c r="AG4008" s="126" t="s">
        <v>3449</v>
      </c>
      <c r="AH4008" s="126" t="s">
        <v>2918</v>
      </c>
      <c r="AI4008" s="126" t="s">
        <v>577</v>
      </c>
      <c r="AJ4008" s="126" t="s">
        <v>1645</v>
      </c>
      <c r="AK4008" s="126" t="s">
        <v>132</v>
      </c>
      <c r="AW4008" s="126" t="s">
        <v>160</v>
      </c>
      <c r="AX4008" s="126">
        <v>4</v>
      </c>
      <c r="AZ4008" s="126" t="s">
        <v>141</v>
      </c>
      <c r="BE4008" s="126" t="s">
        <v>3451</v>
      </c>
      <c r="BP4008" s="481">
        <v>1.04</v>
      </c>
      <c r="BQ4008" s="481">
        <v>1.1499999999999999</v>
      </c>
      <c r="BR4008" s="126">
        <v>0.15</v>
      </c>
      <c r="BS4008" s="126">
        <v>0.15</v>
      </c>
      <c r="BU4008" s="481"/>
      <c r="BV4008" s="481"/>
      <c r="BW4008" s="481"/>
      <c r="BX4008" s="481"/>
      <c r="CE4008" s="605"/>
      <c r="CF4008" s="605"/>
      <c r="CG4008" s="605"/>
      <c r="CH4008" s="605"/>
      <c r="EC4008" s="126">
        <v>0.46</v>
      </c>
      <c r="ED4008" s="126">
        <v>0.44</v>
      </c>
      <c r="EG4008" s="126" t="s">
        <v>2413</v>
      </c>
      <c r="JD4008" s="480"/>
    </row>
    <row r="4009" spans="1:264" s="126" customFormat="1" x14ac:dyDescent="0.25">
      <c r="A4009" s="126">
        <v>173</v>
      </c>
      <c r="B4009" s="478" t="s">
        <v>3453</v>
      </c>
      <c r="C4009" s="126" t="s">
        <v>3445</v>
      </c>
      <c r="D4009" s="126" t="s">
        <v>3446</v>
      </c>
      <c r="E4009" s="126">
        <v>1996</v>
      </c>
      <c r="F4009" s="126">
        <v>1993</v>
      </c>
      <c r="G4009" s="126" t="s">
        <v>2766</v>
      </c>
      <c r="H4009" s="126" t="s">
        <v>3448</v>
      </c>
      <c r="I4009" s="126" t="s">
        <v>2829</v>
      </c>
      <c r="J4009" s="126">
        <f t="shared" si="517"/>
        <v>-13.65</v>
      </c>
      <c r="K4009" s="126">
        <f t="shared" si="518"/>
        <v>32.56666666666667</v>
      </c>
      <c r="L4009" s="126">
        <v>1030</v>
      </c>
      <c r="N4009" s="126">
        <v>21</v>
      </c>
      <c r="P4009" s="126">
        <v>1000</v>
      </c>
      <c r="R4009" s="478" t="s">
        <v>1977</v>
      </c>
      <c r="S4009" s="478" t="s">
        <v>1722</v>
      </c>
      <c r="T4009" s="478"/>
      <c r="U4009" s="478" t="s">
        <v>3447</v>
      </c>
      <c r="V4009" s="478" t="s">
        <v>1405</v>
      </c>
      <c r="W4009" s="478" t="s">
        <v>1727</v>
      </c>
      <c r="X4009" s="478" t="s">
        <v>1405</v>
      </c>
      <c r="Y4009" s="478" t="s">
        <v>1405</v>
      </c>
      <c r="Z4009" s="126">
        <v>1.18</v>
      </c>
      <c r="AA4009" s="479"/>
      <c r="AB4009" s="479"/>
      <c r="AG4009" s="126" t="s">
        <v>3449</v>
      </c>
      <c r="AH4009" s="126" t="s">
        <v>2918</v>
      </c>
      <c r="AI4009" s="126" t="s">
        <v>577</v>
      </c>
      <c r="AJ4009" s="126" t="s">
        <v>1645</v>
      </c>
      <c r="AK4009" s="126" t="s">
        <v>132</v>
      </c>
      <c r="AW4009" s="126" t="s">
        <v>160</v>
      </c>
      <c r="AX4009" s="126">
        <v>4</v>
      </c>
      <c r="AZ4009" s="126" t="s">
        <v>141</v>
      </c>
      <c r="BE4009" s="126" t="s">
        <v>3451</v>
      </c>
      <c r="BP4009" s="481">
        <v>1.39</v>
      </c>
      <c r="BQ4009" s="481">
        <v>1.1299999999999999</v>
      </c>
      <c r="BR4009" s="126">
        <v>0.15</v>
      </c>
      <c r="BS4009" s="126">
        <v>0.15</v>
      </c>
      <c r="BU4009" s="481"/>
      <c r="BV4009" s="481"/>
      <c r="BW4009" s="481"/>
      <c r="BX4009" s="481"/>
      <c r="CE4009" s="605"/>
      <c r="CF4009" s="605"/>
      <c r="CG4009" s="605"/>
      <c r="CH4009" s="605"/>
      <c r="JD4009" s="480"/>
    </row>
    <row r="4010" spans="1:264" s="22" customFormat="1" x14ac:dyDescent="0.25">
      <c r="A4010" s="22">
        <v>173</v>
      </c>
      <c r="B4010" s="45" t="s">
        <v>3453</v>
      </c>
      <c r="C4010" s="22" t="s">
        <v>3445</v>
      </c>
      <c r="D4010" s="22" t="s">
        <v>3446</v>
      </c>
      <c r="E4010" s="22">
        <v>1996</v>
      </c>
      <c r="F4010" s="22">
        <v>1992</v>
      </c>
      <c r="G4010" s="22" t="s">
        <v>2766</v>
      </c>
      <c r="H4010" s="22" t="s">
        <v>3448</v>
      </c>
      <c r="I4010" s="22" t="s">
        <v>2829</v>
      </c>
      <c r="J4010" s="22">
        <f t="shared" si="517"/>
        <v>-13.65</v>
      </c>
      <c r="K4010" s="22">
        <f t="shared" si="518"/>
        <v>32.56666666666667</v>
      </c>
      <c r="L4010" s="22">
        <v>1030</v>
      </c>
      <c r="N4010" s="22">
        <v>21</v>
      </c>
      <c r="P4010" s="22">
        <v>1000</v>
      </c>
      <c r="R4010" s="45" t="s">
        <v>1977</v>
      </c>
      <c r="S4010" s="45" t="s">
        <v>1722</v>
      </c>
      <c r="T4010" s="45"/>
      <c r="U4010" s="45" t="s">
        <v>3447</v>
      </c>
      <c r="V4010" s="45" t="s">
        <v>1400</v>
      </c>
      <c r="W4010" s="45" t="s">
        <v>1727</v>
      </c>
      <c r="X4010" s="45" t="s">
        <v>1400</v>
      </c>
      <c r="Y4010" s="45" t="s">
        <v>1400</v>
      </c>
      <c r="Z4010" s="22">
        <v>1.18</v>
      </c>
      <c r="AA4010" s="325"/>
      <c r="AB4010" s="325"/>
      <c r="AG4010" s="22" t="s">
        <v>3449</v>
      </c>
      <c r="AH4010" s="22" t="s">
        <v>2918</v>
      </c>
      <c r="AI4010" s="22" t="s">
        <v>577</v>
      </c>
      <c r="AJ4010" s="22" t="s">
        <v>1645</v>
      </c>
      <c r="AK4010" s="22" t="s">
        <v>132</v>
      </c>
      <c r="AW4010" s="22" t="s">
        <v>160</v>
      </c>
      <c r="AX4010" s="22">
        <v>4</v>
      </c>
      <c r="AZ4010" s="22" t="s">
        <v>141</v>
      </c>
      <c r="BP4010" s="399">
        <v>1.32</v>
      </c>
      <c r="BQ4010" s="399">
        <v>1.19</v>
      </c>
      <c r="BR4010" s="22">
        <v>0.08</v>
      </c>
      <c r="BS4010" s="22">
        <v>0.08</v>
      </c>
      <c r="BU4010" s="399"/>
      <c r="BV4010" s="399"/>
      <c r="BW4010" s="399"/>
      <c r="BX4010" s="399"/>
      <c r="CE4010" s="552"/>
      <c r="CF4010" s="552"/>
      <c r="CG4010" s="552"/>
      <c r="CH4010" s="552"/>
      <c r="EC4010" s="22">
        <v>0.46</v>
      </c>
      <c r="ED4010" s="22">
        <v>0.37</v>
      </c>
      <c r="EG4010" s="22" t="s">
        <v>2413</v>
      </c>
      <c r="JD4010" s="276"/>
    </row>
    <row r="4011" spans="1:264" s="22" customFormat="1" x14ac:dyDescent="0.25">
      <c r="A4011" s="22">
        <v>173</v>
      </c>
      <c r="B4011" s="45" t="s">
        <v>3453</v>
      </c>
      <c r="C4011" s="22" t="s">
        <v>3445</v>
      </c>
      <c r="D4011" s="22" t="s">
        <v>3446</v>
      </c>
      <c r="E4011" s="22">
        <v>1996</v>
      </c>
      <c r="F4011" s="22">
        <v>1992</v>
      </c>
      <c r="G4011" s="22" t="s">
        <v>2766</v>
      </c>
      <c r="H4011" s="22" t="s">
        <v>3448</v>
      </c>
      <c r="I4011" s="22" t="s">
        <v>2829</v>
      </c>
      <c r="J4011" s="22">
        <f t="shared" si="517"/>
        <v>-13.65</v>
      </c>
      <c r="K4011" s="22">
        <f t="shared" si="518"/>
        <v>32.56666666666667</v>
      </c>
      <c r="L4011" s="22">
        <v>1030</v>
      </c>
      <c r="N4011" s="22">
        <v>21</v>
      </c>
      <c r="P4011" s="22">
        <v>1000</v>
      </c>
      <c r="R4011" s="45" t="s">
        <v>1977</v>
      </c>
      <c r="S4011" s="45" t="s">
        <v>1722</v>
      </c>
      <c r="T4011" s="45"/>
      <c r="U4011" s="45" t="s">
        <v>3447</v>
      </c>
      <c r="V4011" s="45" t="s">
        <v>1405</v>
      </c>
      <c r="W4011" s="45" t="s">
        <v>1727</v>
      </c>
      <c r="X4011" s="45" t="s">
        <v>1405</v>
      </c>
      <c r="Y4011" s="45" t="s">
        <v>1405</v>
      </c>
      <c r="Z4011" s="22">
        <v>1.18</v>
      </c>
      <c r="AA4011" s="325"/>
      <c r="AB4011" s="325"/>
      <c r="AG4011" s="22" t="s">
        <v>3449</v>
      </c>
      <c r="AH4011" s="22" t="s">
        <v>2918</v>
      </c>
      <c r="AI4011" s="22" t="s">
        <v>577</v>
      </c>
      <c r="AJ4011" s="22" t="s">
        <v>1645</v>
      </c>
      <c r="AK4011" s="22" t="s">
        <v>132</v>
      </c>
      <c r="AW4011" s="22" t="s">
        <v>160</v>
      </c>
      <c r="AX4011" s="22">
        <v>4</v>
      </c>
      <c r="AZ4011" s="22" t="s">
        <v>141</v>
      </c>
      <c r="BP4011" s="399">
        <v>1.22</v>
      </c>
      <c r="BQ4011" s="399">
        <v>1.1000000000000001</v>
      </c>
      <c r="BR4011" s="22">
        <v>0.08</v>
      </c>
      <c r="BS4011" s="22">
        <v>0.08</v>
      </c>
      <c r="BU4011" s="399"/>
      <c r="BV4011" s="399"/>
      <c r="BW4011" s="399"/>
      <c r="BX4011" s="399"/>
      <c r="CE4011" s="552"/>
      <c r="CF4011" s="552"/>
      <c r="CG4011" s="552"/>
      <c r="CH4011" s="552"/>
      <c r="JD4011" s="276"/>
    </row>
    <row r="4012" spans="1:264" s="36" customFormat="1" x14ac:dyDescent="0.25">
      <c r="A4012" s="36">
        <v>173</v>
      </c>
      <c r="B4012" s="51" t="s">
        <v>3453</v>
      </c>
      <c r="C4012" s="36" t="s">
        <v>3445</v>
      </c>
      <c r="D4012" s="36" t="s">
        <v>3446</v>
      </c>
      <c r="E4012" s="36">
        <v>1996</v>
      </c>
      <c r="F4012" s="36">
        <v>1993</v>
      </c>
      <c r="G4012" s="36" t="s">
        <v>2766</v>
      </c>
      <c r="H4012" s="36" t="s">
        <v>3448</v>
      </c>
      <c r="I4012" s="36" t="s">
        <v>2829</v>
      </c>
      <c r="J4012" s="36">
        <f t="shared" si="517"/>
        <v>-13.65</v>
      </c>
      <c r="K4012" s="36">
        <f t="shared" si="518"/>
        <v>32.56666666666667</v>
      </c>
      <c r="L4012" s="36">
        <v>1030</v>
      </c>
      <c r="N4012" s="36">
        <v>21</v>
      </c>
      <c r="P4012" s="36">
        <v>1000</v>
      </c>
      <c r="R4012" s="51" t="s">
        <v>1977</v>
      </c>
      <c r="S4012" s="51" t="s">
        <v>1722</v>
      </c>
      <c r="T4012" s="51"/>
      <c r="U4012" s="51" t="s">
        <v>3447</v>
      </c>
      <c r="V4012" s="51" t="s">
        <v>1400</v>
      </c>
      <c r="W4012" s="51" t="s">
        <v>1727</v>
      </c>
      <c r="X4012" s="51" t="s">
        <v>1400</v>
      </c>
      <c r="Y4012" s="51" t="s">
        <v>1400</v>
      </c>
      <c r="Z4012" s="36">
        <v>1.18</v>
      </c>
      <c r="AA4012" s="331"/>
      <c r="AB4012" s="331"/>
      <c r="AG4012" s="36" t="s">
        <v>3449</v>
      </c>
      <c r="AH4012" s="36" t="s">
        <v>2918</v>
      </c>
      <c r="AI4012" s="36" t="s">
        <v>577</v>
      </c>
      <c r="AJ4012" s="36" t="s">
        <v>1645</v>
      </c>
      <c r="AK4012" s="36" t="s">
        <v>132</v>
      </c>
      <c r="AW4012" s="36" t="s">
        <v>160</v>
      </c>
      <c r="AX4012" s="36">
        <v>4</v>
      </c>
      <c r="AZ4012" s="36" t="s">
        <v>141</v>
      </c>
      <c r="BE4012" s="36" t="s">
        <v>3450</v>
      </c>
      <c r="BP4012" s="407">
        <v>1.54</v>
      </c>
      <c r="BQ4012" s="407">
        <v>1.52</v>
      </c>
      <c r="BR4012" s="36">
        <v>0.18</v>
      </c>
      <c r="BS4012" s="36">
        <v>0.18</v>
      </c>
      <c r="BU4012" s="407"/>
      <c r="BV4012" s="407"/>
      <c r="BW4012" s="407"/>
      <c r="BX4012" s="407"/>
      <c r="CE4012" s="560"/>
      <c r="CF4012" s="560"/>
      <c r="CG4012" s="560"/>
      <c r="CH4012" s="560"/>
      <c r="JD4012" s="230"/>
    </row>
    <row r="4013" spans="1:264" s="36" customFormat="1" x14ac:dyDescent="0.25">
      <c r="A4013" s="36">
        <v>173</v>
      </c>
      <c r="B4013" s="51" t="s">
        <v>3453</v>
      </c>
      <c r="C4013" s="36" t="s">
        <v>3445</v>
      </c>
      <c r="D4013" s="36" t="s">
        <v>3446</v>
      </c>
      <c r="E4013" s="36">
        <v>1996</v>
      </c>
      <c r="F4013" s="36">
        <v>1993</v>
      </c>
      <c r="G4013" s="36" t="s">
        <v>2766</v>
      </c>
      <c r="H4013" s="36" t="s">
        <v>3448</v>
      </c>
      <c r="I4013" s="36" t="s">
        <v>2829</v>
      </c>
      <c r="J4013" s="36">
        <f t="shared" si="517"/>
        <v>-13.65</v>
      </c>
      <c r="K4013" s="36">
        <f t="shared" si="518"/>
        <v>32.56666666666667</v>
      </c>
      <c r="L4013" s="36">
        <v>1030</v>
      </c>
      <c r="N4013" s="36">
        <v>21</v>
      </c>
      <c r="P4013" s="36">
        <v>1000</v>
      </c>
      <c r="R4013" s="51" t="s">
        <v>1977</v>
      </c>
      <c r="S4013" s="51" t="s">
        <v>1722</v>
      </c>
      <c r="T4013" s="51"/>
      <c r="U4013" s="51" t="s">
        <v>3447</v>
      </c>
      <c r="V4013" s="51" t="s">
        <v>1405</v>
      </c>
      <c r="W4013" s="51" t="s">
        <v>1727</v>
      </c>
      <c r="X4013" s="51" t="s">
        <v>1405</v>
      </c>
      <c r="Y4013" s="51" t="s">
        <v>1405</v>
      </c>
      <c r="Z4013" s="36">
        <v>1.18</v>
      </c>
      <c r="AA4013" s="331"/>
      <c r="AB4013" s="331"/>
      <c r="AG4013" s="36" t="s">
        <v>3449</v>
      </c>
      <c r="AH4013" s="36" t="s">
        <v>2918</v>
      </c>
      <c r="AI4013" s="36" t="s">
        <v>577</v>
      </c>
      <c r="AJ4013" s="36" t="s">
        <v>1645</v>
      </c>
      <c r="AK4013" s="36" t="s">
        <v>132</v>
      </c>
      <c r="AW4013" s="36" t="s">
        <v>160</v>
      </c>
      <c r="AX4013" s="36">
        <v>4</v>
      </c>
      <c r="AZ4013" s="36" t="s">
        <v>141</v>
      </c>
      <c r="BE4013" s="36" t="s">
        <v>3450</v>
      </c>
      <c r="BP4013" s="407">
        <v>1.2</v>
      </c>
      <c r="BQ4013" s="407">
        <v>1.51</v>
      </c>
      <c r="BR4013" s="36">
        <v>0.18</v>
      </c>
      <c r="BS4013" s="36">
        <v>0.18</v>
      </c>
      <c r="BU4013" s="407"/>
      <c r="BV4013" s="407"/>
      <c r="BW4013" s="407"/>
      <c r="BX4013" s="407"/>
      <c r="CE4013" s="560"/>
      <c r="CF4013" s="560"/>
      <c r="CG4013" s="560"/>
      <c r="CH4013" s="560"/>
      <c r="JD4013" s="230"/>
    </row>
    <row r="4014" spans="1:264" s="126" customFormat="1" x14ac:dyDescent="0.25">
      <c r="A4014" s="126">
        <v>173</v>
      </c>
      <c r="B4014" s="478" t="s">
        <v>3453</v>
      </c>
      <c r="C4014" s="126" t="s">
        <v>3445</v>
      </c>
      <c r="D4014" s="126" t="s">
        <v>3446</v>
      </c>
      <c r="E4014" s="126">
        <v>1996</v>
      </c>
      <c r="F4014" s="126">
        <v>1993</v>
      </c>
      <c r="G4014" s="126" t="s">
        <v>2766</v>
      </c>
      <c r="H4014" s="126" t="s">
        <v>3448</v>
      </c>
      <c r="I4014" s="126" t="s">
        <v>2829</v>
      </c>
      <c r="J4014" s="126">
        <f t="shared" si="517"/>
        <v>-13.65</v>
      </c>
      <c r="K4014" s="126">
        <f t="shared" si="518"/>
        <v>32.56666666666667</v>
      </c>
      <c r="L4014" s="126">
        <v>1030</v>
      </c>
      <c r="N4014" s="126">
        <v>21</v>
      </c>
      <c r="P4014" s="126">
        <v>1000</v>
      </c>
      <c r="R4014" s="478" t="s">
        <v>1977</v>
      </c>
      <c r="S4014" s="478" t="s">
        <v>1722</v>
      </c>
      <c r="T4014" s="478"/>
      <c r="U4014" s="478" t="s">
        <v>3447</v>
      </c>
      <c r="V4014" s="478" t="s">
        <v>1400</v>
      </c>
      <c r="W4014" s="478" t="s">
        <v>1727</v>
      </c>
      <c r="X4014" s="478" t="s">
        <v>1400</v>
      </c>
      <c r="Y4014" s="478" t="s">
        <v>1400</v>
      </c>
      <c r="Z4014" s="126">
        <v>1.18</v>
      </c>
      <c r="AA4014" s="479"/>
      <c r="AB4014" s="479"/>
      <c r="AG4014" s="126" t="s">
        <v>3449</v>
      </c>
      <c r="AH4014" s="126" t="s">
        <v>2918</v>
      </c>
      <c r="AI4014" s="126" t="s">
        <v>577</v>
      </c>
      <c r="AJ4014" s="126" t="s">
        <v>1645</v>
      </c>
      <c r="AK4014" s="126" t="s">
        <v>132</v>
      </c>
      <c r="AW4014" s="126" t="s">
        <v>160</v>
      </c>
      <c r="AX4014" s="126">
        <v>4</v>
      </c>
      <c r="AZ4014" s="126" t="s">
        <v>141</v>
      </c>
      <c r="BE4014" s="126" t="s">
        <v>3451</v>
      </c>
      <c r="BP4014" s="481">
        <v>1.04</v>
      </c>
      <c r="BQ4014" s="481">
        <v>1.1499999999999999</v>
      </c>
      <c r="BR4014" s="126">
        <v>0.15</v>
      </c>
      <c r="BS4014" s="126">
        <v>0.15</v>
      </c>
      <c r="BU4014" s="481"/>
      <c r="BV4014" s="481"/>
      <c r="BW4014" s="481"/>
      <c r="BX4014" s="481"/>
      <c r="CE4014" s="605"/>
      <c r="CF4014" s="605"/>
      <c r="CG4014" s="605"/>
      <c r="CH4014" s="605"/>
      <c r="JD4014" s="480"/>
    </row>
    <row r="4015" spans="1:264" s="126" customFormat="1" x14ac:dyDescent="0.25">
      <c r="A4015" s="126">
        <v>173</v>
      </c>
      <c r="B4015" s="478" t="s">
        <v>3453</v>
      </c>
      <c r="C4015" s="126" t="s">
        <v>3445</v>
      </c>
      <c r="D4015" s="126" t="s">
        <v>3446</v>
      </c>
      <c r="E4015" s="126">
        <v>1996</v>
      </c>
      <c r="F4015" s="126">
        <v>1993</v>
      </c>
      <c r="G4015" s="126" t="s">
        <v>2766</v>
      </c>
      <c r="H4015" s="126" t="s">
        <v>3448</v>
      </c>
      <c r="I4015" s="126" t="s">
        <v>2829</v>
      </c>
      <c r="J4015" s="126">
        <f t="shared" si="517"/>
        <v>-13.65</v>
      </c>
      <c r="K4015" s="126">
        <f t="shared" si="518"/>
        <v>32.56666666666667</v>
      </c>
      <c r="L4015" s="126">
        <v>1030</v>
      </c>
      <c r="N4015" s="126">
        <v>21</v>
      </c>
      <c r="P4015" s="126">
        <v>1000</v>
      </c>
      <c r="R4015" s="478" t="s">
        <v>1977</v>
      </c>
      <c r="S4015" s="478" t="s">
        <v>1722</v>
      </c>
      <c r="T4015" s="478"/>
      <c r="U4015" s="478" t="s">
        <v>3447</v>
      </c>
      <c r="V4015" s="478" t="s">
        <v>1405</v>
      </c>
      <c r="W4015" s="478" t="s">
        <v>1727</v>
      </c>
      <c r="X4015" s="478" t="s">
        <v>1405</v>
      </c>
      <c r="Y4015" s="478" t="s">
        <v>1405</v>
      </c>
      <c r="Z4015" s="126">
        <v>1.18</v>
      </c>
      <c r="AA4015" s="479"/>
      <c r="AB4015" s="479"/>
      <c r="AG4015" s="126" t="s">
        <v>3449</v>
      </c>
      <c r="AH4015" s="126" t="s">
        <v>2918</v>
      </c>
      <c r="AI4015" s="126" t="s">
        <v>577</v>
      </c>
      <c r="AJ4015" s="126" t="s">
        <v>1645</v>
      </c>
      <c r="AK4015" s="126" t="s">
        <v>132</v>
      </c>
      <c r="AW4015" s="126" t="s">
        <v>160</v>
      </c>
      <c r="AX4015" s="126">
        <v>4</v>
      </c>
      <c r="AZ4015" s="126" t="s">
        <v>141</v>
      </c>
      <c r="BE4015" s="126" t="s">
        <v>3451</v>
      </c>
      <c r="BP4015" s="481">
        <v>1.39</v>
      </c>
      <c r="BQ4015" s="481">
        <v>1.18</v>
      </c>
      <c r="BR4015" s="126">
        <v>0.15</v>
      </c>
      <c r="BS4015" s="126">
        <v>0.15</v>
      </c>
      <c r="BU4015" s="481"/>
      <c r="BV4015" s="481"/>
      <c r="BW4015" s="481"/>
      <c r="BX4015" s="481"/>
      <c r="CE4015" s="605"/>
      <c r="CF4015" s="605"/>
      <c r="CG4015" s="605"/>
      <c r="CH4015" s="605"/>
      <c r="JD4015" s="480"/>
    </row>
    <row r="4016" spans="1:264" s="24" customFormat="1" x14ac:dyDescent="0.25">
      <c r="A4016" s="24">
        <v>174</v>
      </c>
      <c r="B4016" s="42" t="s">
        <v>3467</v>
      </c>
      <c r="C4016" s="24" t="s">
        <v>3457</v>
      </c>
      <c r="D4016" s="24" t="s">
        <v>3458</v>
      </c>
      <c r="E4016" s="24">
        <v>2011</v>
      </c>
      <c r="F4016" s="24">
        <v>2006</v>
      </c>
      <c r="G4016" s="24" t="s">
        <v>3459</v>
      </c>
      <c r="H4016" s="24" t="s">
        <v>3460</v>
      </c>
      <c r="I4016" s="24" t="s">
        <v>3461</v>
      </c>
      <c r="J4016" s="24">
        <f t="shared" ref="J4016:J4021" si="519">27+38.514/60</f>
        <v>27.6419</v>
      </c>
      <c r="K4016" s="24">
        <f t="shared" ref="K4016:K4021" si="520">117+54.5/60</f>
        <v>117.90833333333333</v>
      </c>
      <c r="L4016" s="24">
        <v>736</v>
      </c>
      <c r="N4016" s="24">
        <v>16.2</v>
      </c>
      <c r="P4016" s="24">
        <v>2190</v>
      </c>
      <c r="R4016" s="42" t="s">
        <v>1977</v>
      </c>
      <c r="S4016" s="42" t="s">
        <v>1728</v>
      </c>
      <c r="T4016" s="42"/>
      <c r="U4016" s="42" t="s">
        <v>3462</v>
      </c>
      <c r="V4016" s="42"/>
      <c r="W4016" s="42"/>
      <c r="X4016" s="42"/>
      <c r="Y4016" s="42"/>
      <c r="AA4016" s="321"/>
      <c r="AB4016" s="321"/>
      <c r="AD4016" s="24">
        <v>4.25</v>
      </c>
      <c r="AE4016" s="24">
        <v>2.09</v>
      </c>
      <c r="AH4016" s="24" t="s">
        <v>3465</v>
      </c>
      <c r="AI4016" s="24" t="s">
        <v>1581</v>
      </c>
      <c r="AJ4016" s="24" t="s">
        <v>3463</v>
      </c>
      <c r="AK4016" s="24" t="s">
        <v>1646</v>
      </c>
      <c r="AW4016" s="24" t="s">
        <v>3468</v>
      </c>
      <c r="AX4016" s="24">
        <v>3</v>
      </c>
      <c r="AY4016" s="24">
        <v>5</v>
      </c>
      <c r="BE4016" s="24" t="s">
        <v>3469</v>
      </c>
      <c r="BP4016" s="395"/>
      <c r="BQ4016" s="395"/>
      <c r="BU4016" s="395"/>
      <c r="BV4016" s="395"/>
      <c r="BW4016" s="395"/>
      <c r="BX4016" s="395"/>
      <c r="CE4016" s="548"/>
      <c r="CF4016" s="548"/>
      <c r="CG4016" s="548"/>
      <c r="CH4016" s="548"/>
      <c r="GF4016" s="24">
        <v>2.95</v>
      </c>
      <c r="GG4016" s="24">
        <v>3.07</v>
      </c>
      <c r="GH4016" s="24">
        <f>(3.07-GF4016)*SQRT(3)</f>
        <v>0.20784609690826467</v>
      </c>
      <c r="GI4016" s="24">
        <f>(3.2-GG4016)*SQRT(3)</f>
        <v>0.22516660498395463</v>
      </c>
      <c r="GJ4016" s="24" t="s">
        <v>3470</v>
      </c>
      <c r="JD4016" s="249"/>
    </row>
    <row r="4017" spans="1:264" s="24" customFormat="1" x14ac:dyDescent="0.25">
      <c r="A4017" s="24">
        <v>174</v>
      </c>
      <c r="B4017" s="42" t="s">
        <v>3467</v>
      </c>
      <c r="C4017" s="24" t="s">
        <v>3457</v>
      </c>
      <c r="D4017" s="24" t="s">
        <v>3458</v>
      </c>
      <c r="E4017" s="24">
        <v>2011</v>
      </c>
      <c r="F4017" s="24">
        <v>2006</v>
      </c>
      <c r="G4017" s="24" t="s">
        <v>3459</v>
      </c>
      <c r="H4017" s="24" t="s">
        <v>3460</v>
      </c>
      <c r="I4017" s="24" t="s">
        <v>3461</v>
      </c>
      <c r="J4017" s="24">
        <f t="shared" si="519"/>
        <v>27.6419</v>
      </c>
      <c r="K4017" s="24">
        <f t="shared" si="520"/>
        <v>117.90833333333333</v>
      </c>
      <c r="L4017" s="24">
        <v>736</v>
      </c>
      <c r="N4017" s="24">
        <v>16.2</v>
      </c>
      <c r="P4017" s="24">
        <v>2190</v>
      </c>
      <c r="R4017" s="42" t="s">
        <v>1977</v>
      </c>
      <c r="S4017" s="42" t="s">
        <v>1728</v>
      </c>
      <c r="T4017" s="42"/>
      <c r="U4017" s="42" t="s">
        <v>3462</v>
      </c>
      <c r="V4017" s="42"/>
      <c r="W4017" s="42"/>
      <c r="X4017" s="42"/>
      <c r="Y4017" s="42"/>
      <c r="AA4017" s="321"/>
      <c r="AB4017" s="321"/>
      <c r="AD4017" s="24">
        <v>4.25</v>
      </c>
      <c r="AE4017" s="24">
        <v>2.09</v>
      </c>
      <c r="AH4017" s="24" t="s">
        <v>3466</v>
      </c>
      <c r="AI4017" s="24" t="s">
        <v>577</v>
      </c>
      <c r="AJ4017" s="24" t="s">
        <v>3463</v>
      </c>
      <c r="AK4017" s="24" t="s">
        <v>1646</v>
      </c>
      <c r="AW4017" s="24" t="s">
        <v>3468</v>
      </c>
      <c r="AX4017" s="24">
        <v>3</v>
      </c>
      <c r="AY4017" s="24">
        <v>5</v>
      </c>
      <c r="BE4017" s="24" t="s">
        <v>3469</v>
      </c>
      <c r="BP4017" s="395"/>
      <c r="BQ4017" s="395"/>
      <c r="BU4017" s="395"/>
      <c r="BV4017" s="395"/>
      <c r="BW4017" s="395"/>
      <c r="BX4017" s="395"/>
      <c r="CE4017" s="548"/>
      <c r="CF4017" s="548"/>
      <c r="CG4017" s="548"/>
      <c r="CH4017" s="548"/>
      <c r="GF4017" s="24">
        <v>2.95</v>
      </c>
      <c r="GG4017" s="24">
        <v>3.02</v>
      </c>
      <c r="GH4017" s="24">
        <f t="shared" ref="GH4017:GH4018" si="521">(3.07-GF4017)*SQRT(3)</f>
        <v>0.20784609690826467</v>
      </c>
      <c r="GI4017" s="24">
        <f>(3.14-GG4017)*SQRT(3)</f>
        <v>0.20784609690826544</v>
      </c>
      <c r="GJ4017" s="24" t="s">
        <v>3470</v>
      </c>
      <c r="JD4017" s="249"/>
    </row>
    <row r="4018" spans="1:264" s="24" customFormat="1" x14ac:dyDescent="0.25">
      <c r="A4018" s="24">
        <v>174</v>
      </c>
      <c r="B4018" s="42" t="s">
        <v>3467</v>
      </c>
      <c r="C4018" s="24" t="s">
        <v>3457</v>
      </c>
      <c r="D4018" s="24" t="s">
        <v>3458</v>
      </c>
      <c r="E4018" s="24">
        <v>2011</v>
      </c>
      <c r="F4018" s="24">
        <v>2006</v>
      </c>
      <c r="G4018" s="24" t="s">
        <v>3459</v>
      </c>
      <c r="H4018" s="24" t="s">
        <v>3460</v>
      </c>
      <c r="I4018" s="24" t="s">
        <v>3461</v>
      </c>
      <c r="J4018" s="24">
        <f t="shared" si="519"/>
        <v>27.6419</v>
      </c>
      <c r="K4018" s="24">
        <f t="shared" si="520"/>
        <v>117.90833333333333</v>
      </c>
      <c r="L4018" s="24">
        <v>736</v>
      </c>
      <c r="N4018" s="24">
        <v>16.2</v>
      </c>
      <c r="P4018" s="24">
        <v>2190</v>
      </c>
      <c r="R4018" s="42" t="s">
        <v>1977</v>
      </c>
      <c r="S4018" s="42" t="s">
        <v>1728</v>
      </c>
      <c r="T4018" s="42"/>
      <c r="U4018" s="42" t="s">
        <v>3462</v>
      </c>
      <c r="V4018" s="42"/>
      <c r="W4018" s="42"/>
      <c r="X4018" s="42"/>
      <c r="Y4018" s="42"/>
      <c r="AA4018" s="321"/>
      <c r="AB4018" s="321"/>
      <c r="AD4018" s="24">
        <v>4.25</v>
      </c>
      <c r="AE4018" s="24">
        <v>2.09</v>
      </c>
      <c r="AH4018" s="24" t="s">
        <v>3464</v>
      </c>
      <c r="AI4018" s="24" t="s">
        <v>1601</v>
      </c>
      <c r="AJ4018" s="24" t="s">
        <v>3463</v>
      </c>
      <c r="AK4018" s="24" t="s">
        <v>1646</v>
      </c>
      <c r="AW4018" s="24" t="s">
        <v>3468</v>
      </c>
      <c r="AX4018" s="24">
        <v>3</v>
      </c>
      <c r="AY4018" s="24">
        <v>5</v>
      </c>
      <c r="BE4018" s="24" t="s">
        <v>3469</v>
      </c>
      <c r="BP4018" s="395"/>
      <c r="BQ4018" s="395"/>
      <c r="BU4018" s="395"/>
      <c r="BV4018" s="395"/>
      <c r="BW4018" s="395"/>
      <c r="BX4018" s="395"/>
      <c r="CE4018" s="548"/>
      <c r="CF4018" s="548"/>
      <c r="CG4018" s="548"/>
      <c r="CH4018" s="548"/>
      <c r="GF4018" s="24">
        <v>2.95</v>
      </c>
      <c r="GG4018" s="24">
        <v>3.05</v>
      </c>
      <c r="GH4018" s="24">
        <f t="shared" si="521"/>
        <v>0.20784609690826467</v>
      </c>
      <c r="GI4018" s="24">
        <f>(3.18-GG4018)*SQRT(3)</f>
        <v>0.22516660498395463</v>
      </c>
      <c r="GJ4018" s="24" t="s">
        <v>3470</v>
      </c>
      <c r="JD4018" s="249"/>
    </row>
    <row r="4019" spans="1:264" s="24" customFormat="1" x14ac:dyDescent="0.25">
      <c r="A4019" s="24">
        <v>174</v>
      </c>
      <c r="B4019" s="42" t="s">
        <v>3467</v>
      </c>
      <c r="C4019" s="24" t="s">
        <v>3457</v>
      </c>
      <c r="D4019" s="24" t="s">
        <v>3458</v>
      </c>
      <c r="E4019" s="24">
        <v>2011</v>
      </c>
      <c r="F4019" s="24">
        <v>2007</v>
      </c>
      <c r="G4019" s="24" t="s">
        <v>3459</v>
      </c>
      <c r="H4019" s="24" t="s">
        <v>3460</v>
      </c>
      <c r="I4019" s="24" t="s">
        <v>3461</v>
      </c>
      <c r="J4019" s="24">
        <f t="shared" si="519"/>
        <v>27.6419</v>
      </c>
      <c r="K4019" s="24">
        <f t="shared" si="520"/>
        <v>117.90833333333333</v>
      </c>
      <c r="L4019" s="24">
        <v>736</v>
      </c>
      <c r="N4019" s="24">
        <v>16.2</v>
      </c>
      <c r="P4019" s="24">
        <v>2190</v>
      </c>
      <c r="R4019" s="42" t="s">
        <v>1847</v>
      </c>
      <c r="S4019" s="42" t="s">
        <v>1728</v>
      </c>
      <c r="T4019" s="42"/>
      <c r="U4019" s="42" t="s">
        <v>3462</v>
      </c>
      <c r="V4019" s="42"/>
      <c r="W4019" s="42"/>
      <c r="X4019" s="42"/>
      <c r="Y4019" s="42"/>
      <c r="AA4019" s="321"/>
      <c r="AB4019" s="321"/>
      <c r="AD4019" s="24">
        <v>4.25</v>
      </c>
      <c r="AE4019" s="24">
        <v>2.09</v>
      </c>
      <c r="AH4019" s="24" t="s">
        <v>3465</v>
      </c>
      <c r="AI4019" s="24" t="s">
        <v>1581</v>
      </c>
      <c r="AJ4019" s="24" t="s">
        <v>3463</v>
      </c>
      <c r="AK4019" s="24" t="s">
        <v>1646</v>
      </c>
      <c r="AW4019" s="24" t="s">
        <v>3468</v>
      </c>
      <c r="AX4019" s="24">
        <v>3</v>
      </c>
      <c r="AY4019" s="24">
        <v>5</v>
      </c>
      <c r="BE4019" s="24" t="s">
        <v>3469</v>
      </c>
      <c r="BP4019" s="395"/>
      <c r="BQ4019" s="395"/>
      <c r="BU4019" s="395"/>
      <c r="BV4019" s="395"/>
      <c r="BW4019" s="395"/>
      <c r="BX4019" s="395"/>
      <c r="CE4019" s="548"/>
      <c r="CF4019" s="548"/>
      <c r="CG4019" s="548"/>
      <c r="CH4019" s="548"/>
      <c r="GF4019" s="24">
        <v>2.96</v>
      </c>
      <c r="GG4019" s="24">
        <v>3.19</v>
      </c>
      <c r="GH4019" s="24">
        <f>(3.11-GF4019)*SQRT(3)</f>
        <v>0.2598076211353314</v>
      </c>
      <c r="GI4019" s="24">
        <f>(3.35-GG4019)*SQRT(3)</f>
        <v>0.27712812921102059</v>
      </c>
      <c r="GJ4019" s="24" t="s">
        <v>3470</v>
      </c>
      <c r="JD4019" s="249"/>
    </row>
    <row r="4020" spans="1:264" s="24" customFormat="1" x14ac:dyDescent="0.25">
      <c r="A4020" s="24">
        <v>174</v>
      </c>
      <c r="B4020" s="42" t="s">
        <v>3467</v>
      </c>
      <c r="C4020" s="24" t="s">
        <v>3457</v>
      </c>
      <c r="D4020" s="24" t="s">
        <v>3458</v>
      </c>
      <c r="E4020" s="24">
        <v>2011</v>
      </c>
      <c r="F4020" s="24">
        <v>2007</v>
      </c>
      <c r="G4020" s="24" t="s">
        <v>3459</v>
      </c>
      <c r="H4020" s="24" t="s">
        <v>3460</v>
      </c>
      <c r="I4020" s="24" t="s">
        <v>3461</v>
      </c>
      <c r="J4020" s="24">
        <f t="shared" si="519"/>
        <v>27.6419</v>
      </c>
      <c r="K4020" s="24">
        <f t="shared" si="520"/>
        <v>117.90833333333333</v>
      </c>
      <c r="L4020" s="24">
        <v>736</v>
      </c>
      <c r="N4020" s="24">
        <v>16.2</v>
      </c>
      <c r="P4020" s="24">
        <v>2190</v>
      </c>
      <c r="R4020" s="42" t="s">
        <v>1847</v>
      </c>
      <c r="S4020" s="42" t="s">
        <v>1728</v>
      </c>
      <c r="T4020" s="42"/>
      <c r="U4020" s="42" t="s">
        <v>3462</v>
      </c>
      <c r="V4020" s="42"/>
      <c r="W4020" s="42"/>
      <c r="X4020" s="42"/>
      <c r="Y4020" s="42"/>
      <c r="AA4020" s="321"/>
      <c r="AB4020" s="321"/>
      <c r="AD4020" s="24">
        <v>4.25</v>
      </c>
      <c r="AE4020" s="24">
        <v>2.09</v>
      </c>
      <c r="AH4020" s="24" t="s">
        <v>3466</v>
      </c>
      <c r="AI4020" s="24" t="s">
        <v>577</v>
      </c>
      <c r="AJ4020" s="24" t="s">
        <v>3463</v>
      </c>
      <c r="AK4020" s="24" t="s">
        <v>1646</v>
      </c>
      <c r="AW4020" s="24" t="s">
        <v>3468</v>
      </c>
      <c r="AX4020" s="24">
        <v>3</v>
      </c>
      <c r="AY4020" s="24">
        <v>5</v>
      </c>
      <c r="BE4020" s="24" t="s">
        <v>3469</v>
      </c>
      <c r="BP4020" s="395"/>
      <c r="BQ4020" s="395"/>
      <c r="BU4020" s="395"/>
      <c r="BV4020" s="395"/>
      <c r="BW4020" s="395"/>
      <c r="BX4020" s="395"/>
      <c r="CE4020" s="548"/>
      <c r="CF4020" s="548"/>
      <c r="CG4020" s="548"/>
      <c r="CH4020" s="548"/>
      <c r="GF4020" s="24">
        <v>2.96</v>
      </c>
      <c r="GG4020" s="24">
        <v>2.92</v>
      </c>
      <c r="GH4020" s="24">
        <f t="shared" ref="GH4020:GH4021" si="522">(3.11-GF4020)*SQRT(3)</f>
        <v>0.2598076211353314</v>
      </c>
      <c r="GI4020" s="24">
        <f>(3.1-GG4020)*SQRT(3)</f>
        <v>0.31176914536239819</v>
      </c>
      <c r="GJ4020" s="24" t="s">
        <v>3470</v>
      </c>
      <c r="JD4020" s="249"/>
    </row>
    <row r="4021" spans="1:264" s="24" customFormat="1" x14ac:dyDescent="0.25">
      <c r="A4021" s="24">
        <v>174</v>
      </c>
      <c r="B4021" s="42" t="s">
        <v>3467</v>
      </c>
      <c r="C4021" s="24" t="s">
        <v>3457</v>
      </c>
      <c r="D4021" s="24" t="s">
        <v>3458</v>
      </c>
      <c r="E4021" s="24">
        <v>2011</v>
      </c>
      <c r="F4021" s="24">
        <v>2007</v>
      </c>
      <c r="G4021" s="24" t="s">
        <v>3459</v>
      </c>
      <c r="H4021" s="24" t="s">
        <v>3460</v>
      </c>
      <c r="I4021" s="24" t="s">
        <v>3461</v>
      </c>
      <c r="J4021" s="24">
        <f t="shared" si="519"/>
        <v>27.6419</v>
      </c>
      <c r="K4021" s="24">
        <f t="shared" si="520"/>
        <v>117.90833333333333</v>
      </c>
      <c r="L4021" s="24">
        <v>736</v>
      </c>
      <c r="N4021" s="24">
        <v>16.2</v>
      </c>
      <c r="P4021" s="24">
        <v>2190</v>
      </c>
      <c r="R4021" s="42" t="s">
        <v>1847</v>
      </c>
      <c r="S4021" s="42" t="s">
        <v>1728</v>
      </c>
      <c r="T4021" s="42"/>
      <c r="U4021" s="42" t="s">
        <v>3462</v>
      </c>
      <c r="V4021" s="42"/>
      <c r="W4021" s="42"/>
      <c r="X4021" s="42"/>
      <c r="Y4021" s="42"/>
      <c r="AA4021" s="321"/>
      <c r="AB4021" s="321"/>
      <c r="AD4021" s="24">
        <v>4.25</v>
      </c>
      <c r="AE4021" s="24">
        <v>2.09</v>
      </c>
      <c r="AH4021" s="24" t="s">
        <v>3464</v>
      </c>
      <c r="AI4021" s="24" t="s">
        <v>1601</v>
      </c>
      <c r="AJ4021" s="24" t="s">
        <v>3463</v>
      </c>
      <c r="AK4021" s="24" t="s">
        <v>1646</v>
      </c>
      <c r="AW4021" s="24" t="s">
        <v>3468</v>
      </c>
      <c r="AX4021" s="24">
        <v>3</v>
      </c>
      <c r="AY4021" s="24">
        <v>5</v>
      </c>
      <c r="BE4021" s="24" t="s">
        <v>3469</v>
      </c>
      <c r="BP4021" s="395"/>
      <c r="BQ4021" s="395"/>
      <c r="BU4021" s="395"/>
      <c r="BV4021" s="395"/>
      <c r="BW4021" s="395"/>
      <c r="BX4021" s="395"/>
      <c r="CE4021" s="548"/>
      <c r="CF4021" s="548"/>
      <c r="CG4021" s="548"/>
      <c r="CH4021" s="548"/>
      <c r="GF4021" s="24">
        <v>2.96</v>
      </c>
      <c r="GG4021" s="24">
        <v>3.1</v>
      </c>
      <c r="GH4021" s="24">
        <f t="shared" si="522"/>
        <v>0.2598076211353314</v>
      </c>
      <c r="GI4021" s="24">
        <f>(3.26-GG4021)*SQRT(3)</f>
        <v>0.27712812921101981</v>
      </c>
      <c r="GJ4021" s="24" t="s">
        <v>3470</v>
      </c>
      <c r="JD4021" s="249"/>
    </row>
    <row r="4022" spans="1:264" s="126" customFormat="1" x14ac:dyDescent="0.25">
      <c r="A4022" s="126">
        <v>175</v>
      </c>
      <c r="B4022" s="478" t="s">
        <v>3477</v>
      </c>
      <c r="C4022" s="126" t="s">
        <v>3471</v>
      </c>
      <c r="D4022" s="126" t="s">
        <v>3472</v>
      </c>
      <c r="E4022" s="126">
        <v>2015</v>
      </c>
      <c r="F4022" s="126">
        <v>2011</v>
      </c>
      <c r="G4022" s="126" t="s">
        <v>127</v>
      </c>
      <c r="H4022" s="126" t="s">
        <v>3473</v>
      </c>
      <c r="I4022" s="126" t="s">
        <v>3461</v>
      </c>
      <c r="J4022" s="126">
        <f>22+41/60</f>
        <v>22.683333333333334</v>
      </c>
      <c r="K4022" s="126">
        <f>112+54/60</f>
        <v>112.9</v>
      </c>
      <c r="L4022" s="126">
        <v>65</v>
      </c>
      <c r="R4022" s="478" t="s">
        <v>1847</v>
      </c>
      <c r="S4022" s="478" t="s">
        <v>1728</v>
      </c>
      <c r="T4022" s="478"/>
      <c r="U4022" s="478" t="s">
        <v>1966</v>
      </c>
      <c r="V4022" s="478" t="s">
        <v>1379</v>
      </c>
      <c r="W4022" s="478" t="s">
        <v>1715</v>
      </c>
      <c r="X4022" s="478" t="s">
        <v>1379</v>
      </c>
      <c r="Y4022" s="478" t="s">
        <v>1379</v>
      </c>
      <c r="AA4022" s="479"/>
      <c r="AB4022" s="479"/>
      <c r="AH4022" s="126" t="s">
        <v>3474</v>
      </c>
      <c r="AI4022" s="126" t="s">
        <v>1581</v>
      </c>
      <c r="AJ4022" s="126" t="s">
        <v>3476</v>
      </c>
      <c r="AK4022" s="126" t="s">
        <v>3556</v>
      </c>
      <c r="AW4022" s="126" t="s">
        <v>953</v>
      </c>
      <c r="AX4022" s="126">
        <v>3</v>
      </c>
      <c r="AY4022" s="126">
        <v>2</v>
      </c>
      <c r="BP4022" s="481"/>
      <c r="BQ4022" s="481"/>
      <c r="BU4022" s="481">
        <f>1.707</f>
        <v>1.7070000000000001</v>
      </c>
      <c r="BV4022" s="481">
        <f>1.797</f>
        <v>1.7969999999999999</v>
      </c>
      <c r="BW4022" s="481">
        <f>0.105*SQRT(6)</f>
        <v>0.25719642299223366</v>
      </c>
      <c r="BX4022" s="481">
        <f>0.102*SQRT(6)</f>
        <v>0.24984795376388413</v>
      </c>
      <c r="BY4022" s="126" t="s">
        <v>163</v>
      </c>
      <c r="CE4022" s="605">
        <v>1.7070000000000001</v>
      </c>
      <c r="CF4022" s="605">
        <v>1.7969999999999999</v>
      </c>
      <c r="CG4022" s="605">
        <v>0.25719642299223366</v>
      </c>
      <c r="CH4022" s="605">
        <v>0.24984795376388413</v>
      </c>
      <c r="CI4022" s="126" t="s">
        <v>4542</v>
      </c>
      <c r="CO4022" s="126">
        <v>353.3</v>
      </c>
      <c r="CP4022" s="126">
        <v>360.4</v>
      </c>
      <c r="CQ4022" s="126">
        <f>57.1*SQRT(6)</f>
        <v>139.86586431291946</v>
      </c>
      <c r="CR4022" s="126">
        <f>62.5*SQRT(6)</f>
        <v>153.09310892394862</v>
      </c>
      <c r="CS4022" s="126" t="s">
        <v>3479</v>
      </c>
      <c r="CY4022" s="126">
        <v>4.7300000000000004</v>
      </c>
      <c r="CZ4022" s="126">
        <v>4.88</v>
      </c>
      <c r="DA4022" s="126">
        <f>0.08*SQRT(6)</f>
        <v>0.19595917942265423</v>
      </c>
      <c r="DB4022" s="126">
        <f>0.13*SQRT(6)</f>
        <v>0.31843366656181316</v>
      </c>
      <c r="GP4022" s="126">
        <v>13.63</v>
      </c>
      <c r="GQ4022" s="126">
        <v>13.73</v>
      </c>
      <c r="GR4022" s="126">
        <f>(14.14-GP4022)*SQRT(6)</f>
        <v>1.2492397688194201</v>
      </c>
      <c r="GS4022" s="126">
        <f>(14.08-GQ4022)*SQRT(6)</f>
        <v>0.85732140997411144</v>
      </c>
      <c r="GT4022" s="126" t="s">
        <v>3481</v>
      </c>
      <c r="GZ4022" s="126">
        <v>2.4700000000000002</v>
      </c>
      <c r="HA4022" s="126">
        <v>2.46</v>
      </c>
      <c r="HB4022" s="126">
        <v>0.15</v>
      </c>
      <c r="HC4022" s="126">
        <f>(2.54-HA4022)*SQRT(6)</f>
        <v>0.19595917942265439</v>
      </c>
      <c r="HD4022" s="126" t="s">
        <v>3480</v>
      </c>
      <c r="JD4022" s="480"/>
    </row>
    <row r="4023" spans="1:264" s="126" customFormat="1" x14ac:dyDescent="0.25">
      <c r="A4023" s="126">
        <v>175</v>
      </c>
      <c r="B4023" s="478" t="s">
        <v>3478</v>
      </c>
      <c r="C4023" s="126" t="s">
        <v>3471</v>
      </c>
      <c r="D4023" s="126" t="s">
        <v>3472</v>
      </c>
      <c r="E4023" s="126">
        <v>2015</v>
      </c>
      <c r="F4023" s="126">
        <v>2011</v>
      </c>
      <c r="G4023" s="126" t="s">
        <v>127</v>
      </c>
      <c r="H4023" s="126" t="s">
        <v>3473</v>
      </c>
      <c r="I4023" s="126" t="s">
        <v>3461</v>
      </c>
      <c r="J4023" s="126">
        <f>22+41/60</f>
        <v>22.683333333333334</v>
      </c>
      <c r="K4023" s="126">
        <f>112+54/60</f>
        <v>112.9</v>
      </c>
      <c r="L4023" s="126">
        <v>65</v>
      </c>
      <c r="R4023" s="478" t="s">
        <v>1847</v>
      </c>
      <c r="S4023" s="478" t="s">
        <v>1728</v>
      </c>
      <c r="T4023" s="478"/>
      <c r="U4023" s="478" t="s">
        <v>1966</v>
      </c>
      <c r="V4023" s="478" t="s">
        <v>1379</v>
      </c>
      <c r="W4023" s="478" t="s">
        <v>1715</v>
      </c>
      <c r="X4023" s="478" t="s">
        <v>1379</v>
      </c>
      <c r="Y4023" s="478" t="s">
        <v>1379</v>
      </c>
      <c r="AA4023" s="479"/>
      <c r="AB4023" s="479"/>
      <c r="AH4023" s="126" t="s">
        <v>3475</v>
      </c>
      <c r="AI4023" s="126" t="s">
        <v>577</v>
      </c>
      <c r="AJ4023" s="126" t="s">
        <v>3476</v>
      </c>
      <c r="AK4023" s="126" t="s">
        <v>3556</v>
      </c>
      <c r="AW4023" s="126" t="s">
        <v>953</v>
      </c>
      <c r="AX4023" s="126">
        <v>3</v>
      </c>
      <c r="AY4023" s="126">
        <v>2</v>
      </c>
      <c r="BP4023" s="481"/>
      <c r="BQ4023" s="481"/>
      <c r="BU4023" s="481">
        <f>1.707</f>
        <v>1.7070000000000001</v>
      </c>
      <c r="BV4023" s="481">
        <v>1.83</v>
      </c>
      <c r="BW4023" s="481">
        <f>0.105*SQRT(6)</f>
        <v>0.25719642299223366</v>
      </c>
      <c r="BX4023" s="481">
        <f>0.136*SQRT(6)</f>
        <v>0.33313060501851222</v>
      </c>
      <c r="BY4023" s="126" t="s">
        <v>163</v>
      </c>
      <c r="CE4023" s="605">
        <v>1.7070000000000001</v>
      </c>
      <c r="CF4023" s="605">
        <v>1.83</v>
      </c>
      <c r="CG4023" s="605">
        <v>0.25719642299223366</v>
      </c>
      <c r="CH4023" s="605">
        <v>0.33313060501851222</v>
      </c>
      <c r="CI4023" s="126" t="s">
        <v>4542</v>
      </c>
      <c r="CO4023" s="126">
        <v>353.3</v>
      </c>
      <c r="CP4023" s="126">
        <v>364.1</v>
      </c>
      <c r="CQ4023" s="126">
        <f>57.1*SQRT(6)</f>
        <v>139.86586431291946</v>
      </c>
      <c r="CR4023" s="126">
        <f>45.6*SQRT(6)</f>
        <v>111.69673227091292</v>
      </c>
      <c r="CS4023" s="126" t="s">
        <v>3479</v>
      </c>
      <c r="CY4023" s="126">
        <v>4.7300000000000004</v>
      </c>
      <c r="CZ4023" s="126">
        <v>4.82</v>
      </c>
      <c r="DA4023" s="126">
        <f>0.08*SQRT(6)</f>
        <v>0.19595917942265423</v>
      </c>
      <c r="DB4023" s="126">
        <f>0.07*SQRT(6)</f>
        <v>0.17146428199482247</v>
      </c>
      <c r="GP4023" s="126">
        <v>13.63</v>
      </c>
      <c r="GQ4023" s="126">
        <v>14.86</v>
      </c>
      <c r="GR4023" s="126">
        <f>(14.14-GP4023)*SQRT(6)</f>
        <v>1.2492397688194201</v>
      </c>
      <c r="GS4023" s="126">
        <f>(15.68-GQ4023)*SQRT(6)</f>
        <v>2.0085815890822065</v>
      </c>
      <c r="GT4023" s="126" t="s">
        <v>3481</v>
      </c>
      <c r="GZ4023" s="126">
        <v>2.4700000000000002</v>
      </c>
      <c r="HA4023" s="126">
        <v>2.35</v>
      </c>
      <c r="HB4023" s="126">
        <v>0.15</v>
      </c>
      <c r="HC4023" s="126">
        <f>(2.54-HA4023)*SQRT(6)</f>
        <v>0.46540305112880365</v>
      </c>
      <c r="HD4023" s="126" t="s">
        <v>3480</v>
      </c>
      <c r="JD4023" s="480"/>
    </row>
    <row r="4024" spans="1:264" s="24" customFormat="1" x14ac:dyDescent="0.25">
      <c r="A4024" s="24">
        <v>176</v>
      </c>
      <c r="B4024" s="42" t="s">
        <v>3506</v>
      </c>
      <c r="C4024" s="24" t="s">
        <v>3482</v>
      </c>
      <c r="D4024" s="24" t="s">
        <v>3483</v>
      </c>
      <c r="E4024" s="24">
        <v>2015</v>
      </c>
      <c r="F4024" s="24">
        <v>2008</v>
      </c>
      <c r="G4024" s="24" t="s">
        <v>2933</v>
      </c>
      <c r="H4024" s="24" t="s">
        <v>3484</v>
      </c>
      <c r="I4024" s="24" t="s">
        <v>3461</v>
      </c>
      <c r="J4024" s="24">
        <f t="shared" ref="J4024:J4068" si="523">36+58/60</f>
        <v>36.966666666666669</v>
      </c>
      <c r="K4024" s="24">
        <f t="shared" ref="K4024:K4068" si="524">109+18/60</f>
        <v>109.3</v>
      </c>
      <c r="L4024" s="24">
        <v>1275</v>
      </c>
      <c r="N4024" s="24">
        <v>8.8000000000000007</v>
      </c>
      <c r="P4024" s="24">
        <v>535</v>
      </c>
      <c r="R4024" s="42" t="s">
        <v>1858</v>
      </c>
      <c r="S4024" s="42" t="s">
        <v>1982</v>
      </c>
      <c r="T4024" s="42"/>
      <c r="U4024" s="42" t="s">
        <v>3487</v>
      </c>
      <c r="V4024" s="42" t="s">
        <v>1417</v>
      </c>
      <c r="W4024" s="42" t="s">
        <v>1724</v>
      </c>
      <c r="X4024" s="42" t="s">
        <v>1417</v>
      </c>
      <c r="Y4024" s="42" t="s">
        <v>1417</v>
      </c>
      <c r="Z4024" s="24">
        <v>1.1599999999999999</v>
      </c>
      <c r="AA4024" s="321">
        <v>21.05</v>
      </c>
      <c r="AB4024" s="321">
        <v>74.489999999999995</v>
      </c>
      <c r="AC4024" s="24" t="s">
        <v>450</v>
      </c>
      <c r="AD4024" s="24">
        <v>8.1999999999999993</v>
      </c>
      <c r="AE4024" s="24">
        <v>0.46500000000000002</v>
      </c>
      <c r="AH4024" s="24" t="s">
        <v>3486</v>
      </c>
      <c r="AI4024" s="24" t="s">
        <v>577</v>
      </c>
      <c r="AJ4024" s="24" t="s">
        <v>3485</v>
      </c>
      <c r="AK4024" s="24" t="s">
        <v>3556</v>
      </c>
      <c r="AW4024" s="24" t="s">
        <v>160</v>
      </c>
      <c r="BD4024" s="24" t="s">
        <v>3494</v>
      </c>
      <c r="BE4024" s="24" t="s">
        <v>3490</v>
      </c>
      <c r="BP4024" s="395"/>
      <c r="BQ4024" s="395"/>
      <c r="BU4024" s="395"/>
      <c r="BV4024" s="395"/>
      <c r="BZ4024" s="395"/>
      <c r="CA4024" s="395"/>
      <c r="CE4024" s="548"/>
      <c r="CF4024" s="548"/>
      <c r="CG4024" s="548"/>
      <c r="CH4024" s="548"/>
      <c r="FL4024" s="24">
        <f>1.16*0.1*91</f>
        <v>10.555999999999999</v>
      </c>
      <c r="FM4024" s="24">
        <f>1.16*0.1*84</f>
        <v>9.7439999999999998</v>
      </c>
      <c r="FP4024" s="24" t="s">
        <v>3497</v>
      </c>
      <c r="JD4024" s="249"/>
    </row>
    <row r="4025" spans="1:264" s="24" customFormat="1" x14ac:dyDescent="0.25">
      <c r="A4025" s="24">
        <v>176</v>
      </c>
      <c r="B4025" s="42" t="s">
        <v>3507</v>
      </c>
      <c r="C4025" s="24" t="s">
        <v>3482</v>
      </c>
      <c r="D4025" s="24" t="s">
        <v>3483</v>
      </c>
      <c r="E4025" s="24">
        <v>2015</v>
      </c>
      <c r="F4025" s="24">
        <v>2008</v>
      </c>
      <c r="G4025" s="24" t="s">
        <v>2933</v>
      </c>
      <c r="H4025" s="24" t="s">
        <v>3484</v>
      </c>
      <c r="I4025" s="24" t="s">
        <v>3461</v>
      </c>
      <c r="J4025" s="24">
        <f t="shared" si="523"/>
        <v>36.966666666666669</v>
      </c>
      <c r="K4025" s="24">
        <f t="shared" si="524"/>
        <v>109.3</v>
      </c>
      <c r="L4025" s="24">
        <v>1275</v>
      </c>
      <c r="N4025" s="24">
        <v>8.8000000000000007</v>
      </c>
      <c r="P4025" s="24">
        <v>535</v>
      </c>
      <c r="R4025" s="42" t="s">
        <v>1858</v>
      </c>
      <c r="S4025" s="42" t="s">
        <v>1982</v>
      </c>
      <c r="T4025" s="42"/>
      <c r="U4025" s="42" t="s">
        <v>3487</v>
      </c>
      <c r="V4025" s="42" t="s">
        <v>1417</v>
      </c>
      <c r="W4025" s="42" t="s">
        <v>1724</v>
      </c>
      <c r="X4025" s="42" t="s">
        <v>1417</v>
      </c>
      <c r="Y4025" s="42" t="s">
        <v>1417</v>
      </c>
      <c r="Z4025" s="24">
        <v>1.1599999999999999</v>
      </c>
      <c r="AA4025" s="321">
        <v>21.05</v>
      </c>
      <c r="AB4025" s="321">
        <v>74.489999999999995</v>
      </c>
      <c r="AC4025" s="24" t="s">
        <v>450</v>
      </c>
      <c r="AD4025" s="24">
        <v>8.1999999999999993</v>
      </c>
      <c r="AE4025" s="24">
        <v>0.46500000000000002</v>
      </c>
      <c r="AH4025" s="24" t="s">
        <v>3486</v>
      </c>
      <c r="AI4025" s="24" t="s">
        <v>577</v>
      </c>
      <c r="AJ4025" s="24" t="s">
        <v>3485</v>
      </c>
      <c r="AK4025" s="24" t="s">
        <v>3556</v>
      </c>
      <c r="AW4025" s="24" t="s">
        <v>160</v>
      </c>
      <c r="BD4025" s="24" t="s">
        <v>3495</v>
      </c>
      <c r="BE4025" s="24" t="s">
        <v>3490</v>
      </c>
      <c r="BP4025" s="395"/>
      <c r="BQ4025" s="395"/>
      <c r="BU4025" s="395"/>
      <c r="BV4025" s="395"/>
      <c r="BZ4025" s="395"/>
      <c r="CA4025" s="395"/>
      <c r="CE4025" s="548"/>
      <c r="CF4025" s="548"/>
      <c r="CG4025" s="548"/>
      <c r="CH4025" s="548"/>
      <c r="FL4025" s="24">
        <f t="shared" ref="FL4025:FL4026" si="525">1.16*0.1*91</f>
        <v>10.555999999999999</v>
      </c>
      <c r="FM4025" s="24">
        <f>1.16*0.1*79</f>
        <v>9.1639999999999997</v>
      </c>
      <c r="FP4025" s="24" t="s">
        <v>3497</v>
      </c>
      <c r="JD4025" s="249"/>
    </row>
    <row r="4026" spans="1:264" s="24" customFormat="1" x14ac:dyDescent="0.25">
      <c r="A4026" s="24">
        <v>176</v>
      </c>
      <c r="B4026" s="42" t="s">
        <v>3508</v>
      </c>
      <c r="C4026" s="24" t="s">
        <v>3482</v>
      </c>
      <c r="D4026" s="24" t="s">
        <v>3483</v>
      </c>
      <c r="E4026" s="24">
        <v>2015</v>
      </c>
      <c r="F4026" s="24">
        <v>2008</v>
      </c>
      <c r="G4026" s="24" t="s">
        <v>2933</v>
      </c>
      <c r="H4026" s="24" t="s">
        <v>3484</v>
      </c>
      <c r="I4026" s="24" t="s">
        <v>3461</v>
      </c>
      <c r="J4026" s="24">
        <f t="shared" si="523"/>
        <v>36.966666666666669</v>
      </c>
      <c r="K4026" s="24">
        <f t="shared" si="524"/>
        <v>109.3</v>
      </c>
      <c r="L4026" s="24">
        <v>1275</v>
      </c>
      <c r="N4026" s="24">
        <v>8.8000000000000007</v>
      </c>
      <c r="P4026" s="24">
        <v>535</v>
      </c>
      <c r="R4026" s="42" t="s">
        <v>1858</v>
      </c>
      <c r="S4026" s="42" t="s">
        <v>1982</v>
      </c>
      <c r="T4026" s="42"/>
      <c r="U4026" s="42" t="s">
        <v>3487</v>
      </c>
      <c r="V4026" s="42" t="s">
        <v>1417</v>
      </c>
      <c r="W4026" s="42" t="s">
        <v>1724</v>
      </c>
      <c r="X4026" s="42" t="s">
        <v>1417</v>
      </c>
      <c r="Y4026" s="42" t="s">
        <v>1417</v>
      </c>
      <c r="Z4026" s="24">
        <v>1.1599999999999999</v>
      </c>
      <c r="AA4026" s="321">
        <v>21.05</v>
      </c>
      <c r="AB4026" s="321">
        <v>74.489999999999995</v>
      </c>
      <c r="AC4026" s="24" t="s">
        <v>450</v>
      </c>
      <c r="AD4026" s="24">
        <v>8.1999999999999993</v>
      </c>
      <c r="AE4026" s="24">
        <v>0.46500000000000002</v>
      </c>
      <c r="AH4026" s="24" t="s">
        <v>3486</v>
      </c>
      <c r="AI4026" s="24" t="s">
        <v>577</v>
      </c>
      <c r="AJ4026" s="24" t="s">
        <v>3485</v>
      </c>
      <c r="AK4026" s="24" t="s">
        <v>3556</v>
      </c>
      <c r="AW4026" s="24" t="s">
        <v>160</v>
      </c>
      <c r="BD4026" s="24" t="s">
        <v>3496</v>
      </c>
      <c r="BE4026" s="24" t="s">
        <v>3490</v>
      </c>
      <c r="BP4026" s="395"/>
      <c r="BQ4026" s="395"/>
      <c r="BU4026" s="395"/>
      <c r="BV4026" s="395"/>
      <c r="BZ4026" s="395"/>
      <c r="CA4026" s="395"/>
      <c r="CE4026" s="548"/>
      <c r="CF4026" s="548"/>
      <c r="CG4026" s="548"/>
      <c r="CH4026" s="548"/>
      <c r="FL4026" s="24">
        <f t="shared" si="525"/>
        <v>10.555999999999999</v>
      </c>
      <c r="FM4026" s="24">
        <f>1.16*0.1*99</f>
        <v>11.484</v>
      </c>
      <c r="FP4026" s="24" t="s">
        <v>3497</v>
      </c>
      <c r="JD4026" s="249"/>
    </row>
    <row r="4027" spans="1:264" s="101" customFormat="1" x14ac:dyDescent="0.25">
      <c r="A4027" s="101">
        <v>176</v>
      </c>
      <c r="B4027" s="42" t="s">
        <v>3509</v>
      </c>
      <c r="C4027" s="101" t="s">
        <v>3482</v>
      </c>
      <c r="D4027" s="101" t="s">
        <v>3483</v>
      </c>
      <c r="E4027" s="101">
        <v>2015</v>
      </c>
      <c r="F4027" s="101">
        <v>2008</v>
      </c>
      <c r="G4027" s="101" t="s">
        <v>2933</v>
      </c>
      <c r="H4027" s="101" t="s">
        <v>3484</v>
      </c>
      <c r="I4027" s="101" t="s">
        <v>3461</v>
      </c>
      <c r="J4027" s="101">
        <f t="shared" si="523"/>
        <v>36.966666666666669</v>
      </c>
      <c r="K4027" s="101">
        <f t="shared" si="524"/>
        <v>109.3</v>
      </c>
      <c r="L4027" s="101">
        <v>1275</v>
      </c>
      <c r="N4027" s="101">
        <v>8.8000000000000007</v>
      </c>
      <c r="P4027" s="101">
        <v>535</v>
      </c>
      <c r="R4027" s="102" t="s">
        <v>1858</v>
      </c>
      <c r="S4027" s="102" t="s">
        <v>1982</v>
      </c>
      <c r="T4027" s="102"/>
      <c r="U4027" s="102" t="s">
        <v>3487</v>
      </c>
      <c r="V4027" s="102" t="s">
        <v>3488</v>
      </c>
      <c r="W4027" s="102" t="s">
        <v>3498</v>
      </c>
      <c r="X4027" s="102" t="s">
        <v>3488</v>
      </c>
      <c r="Y4027" s="102" t="s">
        <v>3488</v>
      </c>
      <c r="Z4027" s="101">
        <v>1.1599999999999999</v>
      </c>
      <c r="AA4027" s="352">
        <v>21.05</v>
      </c>
      <c r="AB4027" s="352">
        <v>74.489999999999995</v>
      </c>
      <c r="AC4027" s="101" t="s">
        <v>450</v>
      </c>
      <c r="AD4027" s="101">
        <v>8.1999999999999993</v>
      </c>
      <c r="AE4027" s="101">
        <v>0.46500000000000002</v>
      </c>
      <c r="AH4027" s="101" t="s">
        <v>3486</v>
      </c>
      <c r="AI4027" s="101" t="s">
        <v>577</v>
      </c>
      <c r="AJ4027" s="101" t="s">
        <v>3485</v>
      </c>
      <c r="AK4027" s="101" t="s">
        <v>3556</v>
      </c>
      <c r="AW4027" s="24" t="s">
        <v>160</v>
      </c>
      <c r="BD4027" s="101" t="s">
        <v>3494</v>
      </c>
      <c r="BE4027" s="24" t="s">
        <v>3490</v>
      </c>
      <c r="BP4027" s="427"/>
      <c r="BQ4027" s="427"/>
      <c r="BU4027" s="427"/>
      <c r="BV4027" s="427"/>
      <c r="BZ4027" s="427"/>
      <c r="CA4027" s="427"/>
      <c r="CE4027" s="580"/>
      <c r="CF4027" s="580"/>
      <c r="CG4027" s="580"/>
      <c r="CH4027" s="580"/>
      <c r="FL4027" s="101">
        <f>1.16*0.1*95</f>
        <v>11.02</v>
      </c>
      <c r="FM4027" s="101">
        <f>1.16*0.1*77</f>
        <v>8.9319999999999986</v>
      </c>
      <c r="FP4027" s="101" t="s">
        <v>3497</v>
      </c>
      <c r="JD4027" s="177"/>
    </row>
    <row r="4028" spans="1:264" s="101" customFormat="1" x14ac:dyDescent="0.25">
      <c r="A4028" s="101">
        <v>176</v>
      </c>
      <c r="B4028" s="42" t="s">
        <v>3510</v>
      </c>
      <c r="C4028" s="101" t="s">
        <v>3482</v>
      </c>
      <c r="D4028" s="101" t="s">
        <v>3483</v>
      </c>
      <c r="E4028" s="101">
        <v>2015</v>
      </c>
      <c r="F4028" s="101">
        <v>2008</v>
      </c>
      <c r="G4028" s="101" t="s">
        <v>2933</v>
      </c>
      <c r="H4028" s="101" t="s">
        <v>3484</v>
      </c>
      <c r="I4028" s="101" t="s">
        <v>3461</v>
      </c>
      <c r="J4028" s="101">
        <f t="shared" si="523"/>
        <v>36.966666666666669</v>
      </c>
      <c r="K4028" s="101">
        <f t="shared" si="524"/>
        <v>109.3</v>
      </c>
      <c r="L4028" s="101">
        <v>1275</v>
      </c>
      <c r="N4028" s="101">
        <v>8.8000000000000007</v>
      </c>
      <c r="P4028" s="101">
        <v>535</v>
      </c>
      <c r="R4028" s="102" t="s">
        <v>1858</v>
      </c>
      <c r="S4028" s="102" t="s">
        <v>1982</v>
      </c>
      <c r="T4028" s="102"/>
      <c r="U4028" s="102" t="s">
        <v>3487</v>
      </c>
      <c r="V4028" s="102" t="s">
        <v>3488</v>
      </c>
      <c r="W4028" s="102" t="s">
        <v>3498</v>
      </c>
      <c r="X4028" s="102" t="s">
        <v>3488</v>
      </c>
      <c r="Y4028" s="102" t="s">
        <v>3488</v>
      </c>
      <c r="Z4028" s="101">
        <v>1.1599999999999999</v>
      </c>
      <c r="AA4028" s="352">
        <v>21.05</v>
      </c>
      <c r="AB4028" s="352">
        <v>74.489999999999995</v>
      </c>
      <c r="AC4028" s="101" t="s">
        <v>450</v>
      </c>
      <c r="AD4028" s="101">
        <v>8.1999999999999993</v>
      </c>
      <c r="AE4028" s="101">
        <v>0.46500000000000002</v>
      </c>
      <c r="AH4028" s="101" t="s">
        <v>3486</v>
      </c>
      <c r="AI4028" s="101" t="s">
        <v>577</v>
      </c>
      <c r="AJ4028" s="101" t="s">
        <v>3485</v>
      </c>
      <c r="AK4028" s="101" t="s">
        <v>3556</v>
      </c>
      <c r="AW4028" s="24" t="s">
        <v>160</v>
      </c>
      <c r="BD4028" s="101" t="s">
        <v>3495</v>
      </c>
      <c r="BE4028" s="24" t="s">
        <v>3490</v>
      </c>
      <c r="BP4028" s="427"/>
      <c r="BQ4028" s="427"/>
      <c r="BU4028" s="427"/>
      <c r="BV4028" s="427"/>
      <c r="BZ4028" s="427"/>
      <c r="CA4028" s="427"/>
      <c r="CE4028" s="580"/>
      <c r="CF4028" s="580"/>
      <c r="CG4028" s="580"/>
      <c r="CH4028" s="580"/>
      <c r="FL4028" s="101">
        <f t="shared" ref="FL4028:FL4029" si="526">1.16*0.1*95</f>
        <v>11.02</v>
      </c>
      <c r="FM4028" s="101">
        <f>1.16*0.1*69</f>
        <v>8.0039999999999996</v>
      </c>
      <c r="FP4028" s="101" t="s">
        <v>3497</v>
      </c>
      <c r="JD4028" s="177"/>
    </row>
    <row r="4029" spans="1:264" s="101" customFormat="1" x14ac:dyDescent="0.25">
      <c r="A4029" s="101">
        <v>176</v>
      </c>
      <c r="B4029" s="42" t="s">
        <v>3511</v>
      </c>
      <c r="C4029" s="101" t="s">
        <v>3482</v>
      </c>
      <c r="D4029" s="101" t="s">
        <v>3483</v>
      </c>
      <c r="E4029" s="101">
        <v>2015</v>
      </c>
      <c r="F4029" s="101">
        <v>2008</v>
      </c>
      <c r="G4029" s="101" t="s">
        <v>2933</v>
      </c>
      <c r="H4029" s="101" t="s">
        <v>3484</v>
      </c>
      <c r="I4029" s="101" t="s">
        <v>3461</v>
      </c>
      <c r="J4029" s="101">
        <f t="shared" si="523"/>
        <v>36.966666666666669</v>
      </c>
      <c r="K4029" s="101">
        <f t="shared" si="524"/>
        <v>109.3</v>
      </c>
      <c r="L4029" s="101">
        <v>1275</v>
      </c>
      <c r="N4029" s="101">
        <v>8.8000000000000007</v>
      </c>
      <c r="P4029" s="101">
        <v>535</v>
      </c>
      <c r="R4029" s="102" t="s">
        <v>1858</v>
      </c>
      <c r="S4029" s="102" t="s">
        <v>1982</v>
      </c>
      <c r="T4029" s="102"/>
      <c r="U4029" s="102" t="s">
        <v>3487</v>
      </c>
      <c r="V4029" s="102" t="s">
        <v>3488</v>
      </c>
      <c r="W4029" s="102" t="s">
        <v>3498</v>
      </c>
      <c r="X4029" s="102" t="s">
        <v>3488</v>
      </c>
      <c r="Y4029" s="102" t="s">
        <v>3488</v>
      </c>
      <c r="Z4029" s="101">
        <v>1.1599999999999999</v>
      </c>
      <c r="AA4029" s="352">
        <v>21.05</v>
      </c>
      <c r="AB4029" s="352">
        <v>74.489999999999995</v>
      </c>
      <c r="AC4029" s="101" t="s">
        <v>450</v>
      </c>
      <c r="AD4029" s="101">
        <v>8.1999999999999993</v>
      </c>
      <c r="AE4029" s="101">
        <v>0.46500000000000002</v>
      </c>
      <c r="AH4029" s="101" t="s">
        <v>3486</v>
      </c>
      <c r="AI4029" s="101" t="s">
        <v>577</v>
      </c>
      <c r="AJ4029" s="101" t="s">
        <v>3485</v>
      </c>
      <c r="AK4029" s="101" t="s">
        <v>3556</v>
      </c>
      <c r="AW4029" s="24" t="s">
        <v>160</v>
      </c>
      <c r="BD4029" s="101" t="s">
        <v>3496</v>
      </c>
      <c r="BE4029" s="24" t="s">
        <v>3490</v>
      </c>
      <c r="BP4029" s="427"/>
      <c r="BQ4029" s="427"/>
      <c r="BU4029" s="427"/>
      <c r="BV4029" s="427"/>
      <c r="BZ4029" s="427"/>
      <c r="CA4029" s="427"/>
      <c r="CE4029" s="580"/>
      <c r="CF4029" s="580"/>
      <c r="CG4029" s="580"/>
      <c r="CH4029" s="580"/>
      <c r="FL4029" s="101">
        <f t="shared" si="526"/>
        <v>11.02</v>
      </c>
      <c r="FM4029" s="101">
        <f>1.16*0.1*96</f>
        <v>11.135999999999999</v>
      </c>
      <c r="FP4029" s="101" t="s">
        <v>3497</v>
      </c>
      <c r="JD4029" s="177"/>
    </row>
    <row r="4030" spans="1:264" s="24" customFormat="1" x14ac:dyDescent="0.25">
      <c r="A4030" s="24">
        <v>176</v>
      </c>
      <c r="B4030" s="42" t="s">
        <v>3512</v>
      </c>
      <c r="C4030" s="24" t="s">
        <v>3482</v>
      </c>
      <c r="D4030" s="24" t="s">
        <v>3483</v>
      </c>
      <c r="E4030" s="24">
        <v>2015</v>
      </c>
      <c r="F4030" s="24">
        <v>2008</v>
      </c>
      <c r="G4030" s="24" t="s">
        <v>2933</v>
      </c>
      <c r="H4030" s="24" t="s">
        <v>3484</v>
      </c>
      <c r="I4030" s="24" t="s">
        <v>3461</v>
      </c>
      <c r="J4030" s="24">
        <f t="shared" si="523"/>
        <v>36.966666666666669</v>
      </c>
      <c r="K4030" s="24">
        <f t="shared" si="524"/>
        <v>109.3</v>
      </c>
      <c r="L4030" s="24">
        <v>1275</v>
      </c>
      <c r="N4030" s="24">
        <v>8.8000000000000007</v>
      </c>
      <c r="P4030" s="24">
        <v>535</v>
      </c>
      <c r="R4030" s="42" t="s">
        <v>1858</v>
      </c>
      <c r="S4030" s="42" t="s">
        <v>1982</v>
      </c>
      <c r="T4030" s="42"/>
      <c r="U4030" s="42" t="s">
        <v>3487</v>
      </c>
      <c r="V4030" s="42" t="s">
        <v>3489</v>
      </c>
      <c r="W4030" s="42" t="s">
        <v>3499</v>
      </c>
      <c r="X4030" s="42" t="s">
        <v>3489</v>
      </c>
      <c r="Y4030" s="42" t="s">
        <v>3489</v>
      </c>
      <c r="Z4030" s="24">
        <v>1.1599999999999999</v>
      </c>
      <c r="AA4030" s="321">
        <v>21.05</v>
      </c>
      <c r="AB4030" s="321">
        <v>74.489999999999995</v>
      </c>
      <c r="AC4030" s="24" t="s">
        <v>450</v>
      </c>
      <c r="AD4030" s="24">
        <v>8.1999999999999993</v>
      </c>
      <c r="AE4030" s="24">
        <v>0.46500000000000002</v>
      </c>
      <c r="AH4030" s="24" t="s">
        <v>3486</v>
      </c>
      <c r="AI4030" s="24" t="s">
        <v>577</v>
      </c>
      <c r="AJ4030" s="24" t="s">
        <v>3485</v>
      </c>
      <c r="AK4030" s="24" t="s">
        <v>3556</v>
      </c>
      <c r="AW4030" s="24" t="s">
        <v>160</v>
      </c>
      <c r="BD4030" s="24" t="s">
        <v>3494</v>
      </c>
      <c r="BE4030" s="24" t="s">
        <v>3490</v>
      </c>
      <c r="BP4030" s="395"/>
      <c r="BQ4030" s="395"/>
      <c r="BU4030" s="395"/>
      <c r="BV4030" s="395"/>
      <c r="BZ4030" s="395"/>
      <c r="CA4030" s="395"/>
      <c r="CE4030" s="548"/>
      <c r="CF4030" s="548"/>
      <c r="CG4030" s="548"/>
      <c r="CH4030" s="548"/>
      <c r="FL4030" s="24">
        <f>1.16*0.1*98</f>
        <v>11.367999999999999</v>
      </c>
      <c r="FM4030" s="24">
        <f>1.16*0.1*84</f>
        <v>9.7439999999999998</v>
      </c>
      <c r="FP4030" s="24" t="s">
        <v>3497</v>
      </c>
      <c r="JD4030" s="249"/>
    </row>
    <row r="4031" spans="1:264" s="24" customFormat="1" x14ac:dyDescent="0.25">
      <c r="A4031" s="24">
        <v>176</v>
      </c>
      <c r="B4031" s="42" t="s">
        <v>3513</v>
      </c>
      <c r="C4031" s="24" t="s">
        <v>3482</v>
      </c>
      <c r="D4031" s="24" t="s">
        <v>3483</v>
      </c>
      <c r="E4031" s="24">
        <v>2015</v>
      </c>
      <c r="F4031" s="24">
        <v>2008</v>
      </c>
      <c r="G4031" s="24" t="s">
        <v>2933</v>
      </c>
      <c r="H4031" s="24" t="s">
        <v>3484</v>
      </c>
      <c r="I4031" s="24" t="s">
        <v>3461</v>
      </c>
      <c r="J4031" s="24">
        <f t="shared" si="523"/>
        <v>36.966666666666669</v>
      </c>
      <c r="K4031" s="24">
        <f t="shared" si="524"/>
        <v>109.3</v>
      </c>
      <c r="L4031" s="24">
        <v>1275</v>
      </c>
      <c r="N4031" s="24">
        <v>8.8000000000000007</v>
      </c>
      <c r="P4031" s="24">
        <v>535</v>
      </c>
      <c r="R4031" s="42" t="s">
        <v>1858</v>
      </c>
      <c r="S4031" s="42" t="s">
        <v>1982</v>
      </c>
      <c r="T4031" s="42"/>
      <c r="U4031" s="42" t="s">
        <v>3487</v>
      </c>
      <c r="V4031" s="42" t="s">
        <v>3489</v>
      </c>
      <c r="W4031" s="42" t="s">
        <v>3499</v>
      </c>
      <c r="X4031" s="42" t="s">
        <v>3489</v>
      </c>
      <c r="Y4031" s="42" t="s">
        <v>3489</v>
      </c>
      <c r="Z4031" s="24">
        <v>1.1599999999999999</v>
      </c>
      <c r="AA4031" s="321">
        <v>21.05</v>
      </c>
      <c r="AB4031" s="321">
        <v>74.489999999999995</v>
      </c>
      <c r="AC4031" s="24" t="s">
        <v>450</v>
      </c>
      <c r="AD4031" s="24">
        <v>8.1999999999999993</v>
      </c>
      <c r="AE4031" s="24">
        <v>0.46500000000000002</v>
      </c>
      <c r="AH4031" s="24" t="s">
        <v>3486</v>
      </c>
      <c r="AI4031" s="24" t="s">
        <v>577</v>
      </c>
      <c r="AJ4031" s="24" t="s">
        <v>3485</v>
      </c>
      <c r="AK4031" s="24" t="s">
        <v>3556</v>
      </c>
      <c r="AW4031" s="24" t="s">
        <v>160</v>
      </c>
      <c r="BD4031" s="24" t="s">
        <v>3495</v>
      </c>
      <c r="BE4031" s="24" t="s">
        <v>3490</v>
      </c>
      <c r="BP4031" s="395"/>
      <c r="BQ4031" s="395"/>
      <c r="BU4031" s="395"/>
      <c r="BV4031" s="395"/>
      <c r="BZ4031" s="395"/>
      <c r="CA4031" s="395"/>
      <c r="CE4031" s="548"/>
      <c r="CF4031" s="548"/>
      <c r="CG4031" s="548"/>
      <c r="CH4031" s="548"/>
      <c r="FL4031" s="24">
        <f t="shared" ref="FL4031:FL4032" si="527">1.16*0.1*98</f>
        <v>11.367999999999999</v>
      </c>
      <c r="FM4031" s="24">
        <f>1.16*0.1*71</f>
        <v>8.2359999999999989</v>
      </c>
      <c r="FP4031" s="24" t="s">
        <v>3497</v>
      </c>
      <c r="JD4031" s="249"/>
    </row>
    <row r="4032" spans="1:264" s="24" customFormat="1" x14ac:dyDescent="0.25">
      <c r="A4032" s="24">
        <v>176</v>
      </c>
      <c r="B4032" s="42" t="s">
        <v>3514</v>
      </c>
      <c r="C4032" s="24" t="s">
        <v>3482</v>
      </c>
      <c r="D4032" s="24" t="s">
        <v>3483</v>
      </c>
      <c r="E4032" s="24">
        <v>2015</v>
      </c>
      <c r="F4032" s="24">
        <v>2008</v>
      </c>
      <c r="G4032" s="24" t="s">
        <v>2933</v>
      </c>
      <c r="H4032" s="24" t="s">
        <v>3484</v>
      </c>
      <c r="I4032" s="24" t="s">
        <v>3461</v>
      </c>
      <c r="J4032" s="24">
        <f t="shared" si="523"/>
        <v>36.966666666666669</v>
      </c>
      <c r="K4032" s="24">
        <f t="shared" si="524"/>
        <v>109.3</v>
      </c>
      <c r="L4032" s="24">
        <v>1275</v>
      </c>
      <c r="N4032" s="24">
        <v>8.8000000000000007</v>
      </c>
      <c r="P4032" s="24">
        <v>535</v>
      </c>
      <c r="R4032" s="42" t="s">
        <v>1858</v>
      </c>
      <c r="S4032" s="42" t="s">
        <v>1982</v>
      </c>
      <c r="T4032" s="42"/>
      <c r="U4032" s="42" t="s">
        <v>3487</v>
      </c>
      <c r="V4032" s="42" t="s">
        <v>3489</v>
      </c>
      <c r="W4032" s="42" t="s">
        <v>3499</v>
      </c>
      <c r="X4032" s="42" t="s">
        <v>3489</v>
      </c>
      <c r="Y4032" s="42" t="s">
        <v>3489</v>
      </c>
      <c r="Z4032" s="24">
        <v>1.1599999999999999</v>
      </c>
      <c r="AA4032" s="321">
        <v>21.05</v>
      </c>
      <c r="AB4032" s="321">
        <v>74.489999999999995</v>
      </c>
      <c r="AC4032" s="24" t="s">
        <v>450</v>
      </c>
      <c r="AD4032" s="24">
        <v>8.1999999999999993</v>
      </c>
      <c r="AE4032" s="24">
        <v>0.46500000000000002</v>
      </c>
      <c r="AH4032" s="24" t="s">
        <v>3486</v>
      </c>
      <c r="AI4032" s="24" t="s">
        <v>577</v>
      </c>
      <c r="AJ4032" s="24" t="s">
        <v>3485</v>
      </c>
      <c r="AK4032" s="24" t="s">
        <v>3556</v>
      </c>
      <c r="AW4032" s="24" t="s">
        <v>160</v>
      </c>
      <c r="BD4032" s="24" t="s">
        <v>3496</v>
      </c>
      <c r="BE4032" s="24" t="s">
        <v>3490</v>
      </c>
      <c r="BP4032" s="395"/>
      <c r="BQ4032" s="395"/>
      <c r="BU4032" s="395"/>
      <c r="BV4032" s="395"/>
      <c r="BZ4032" s="395"/>
      <c r="CA4032" s="395"/>
      <c r="CE4032" s="548"/>
      <c r="CF4032" s="548"/>
      <c r="CG4032" s="548"/>
      <c r="CH4032" s="548"/>
      <c r="FL4032" s="24">
        <f t="shared" si="527"/>
        <v>11.367999999999999</v>
      </c>
      <c r="FM4032" s="24">
        <f>1.16*0.1*97</f>
        <v>11.251999999999999</v>
      </c>
      <c r="FP4032" s="24" t="s">
        <v>3497</v>
      </c>
      <c r="JD4032" s="249"/>
    </row>
    <row r="4033" spans="1:264" s="32" customFormat="1" x14ac:dyDescent="0.25">
      <c r="A4033" s="32">
        <v>176</v>
      </c>
      <c r="B4033" s="44" t="s">
        <v>3515</v>
      </c>
      <c r="C4033" s="32" t="s">
        <v>3482</v>
      </c>
      <c r="D4033" s="32" t="s">
        <v>3483</v>
      </c>
      <c r="E4033" s="32">
        <v>2015</v>
      </c>
      <c r="F4033" s="32">
        <v>2008</v>
      </c>
      <c r="G4033" s="32" t="s">
        <v>2933</v>
      </c>
      <c r="H4033" s="32" t="s">
        <v>3484</v>
      </c>
      <c r="I4033" s="32" t="s">
        <v>3461</v>
      </c>
      <c r="J4033" s="32">
        <f t="shared" si="523"/>
        <v>36.966666666666669</v>
      </c>
      <c r="K4033" s="32">
        <f t="shared" si="524"/>
        <v>109.3</v>
      </c>
      <c r="L4033" s="32">
        <v>1275</v>
      </c>
      <c r="N4033" s="32">
        <v>8.8000000000000007</v>
      </c>
      <c r="P4033" s="32">
        <v>535</v>
      </c>
      <c r="R4033" s="44" t="s">
        <v>1858</v>
      </c>
      <c r="S4033" s="44" t="s">
        <v>1982</v>
      </c>
      <c r="T4033" s="44"/>
      <c r="U4033" s="44" t="s">
        <v>3487</v>
      </c>
      <c r="V4033" s="44" t="s">
        <v>1417</v>
      </c>
      <c r="W4033" s="44" t="s">
        <v>1724</v>
      </c>
      <c r="X4033" s="44" t="s">
        <v>1417</v>
      </c>
      <c r="Y4033" s="44" t="s">
        <v>1417</v>
      </c>
      <c r="Z4033" s="32">
        <v>1.1599999999999999</v>
      </c>
      <c r="AA4033" s="323">
        <v>21.05</v>
      </c>
      <c r="AB4033" s="323">
        <v>74.489999999999995</v>
      </c>
      <c r="AC4033" s="32" t="s">
        <v>450</v>
      </c>
      <c r="AD4033" s="32">
        <v>8.1999999999999993</v>
      </c>
      <c r="AE4033" s="32">
        <v>0.46500000000000002</v>
      </c>
      <c r="AH4033" s="32" t="s">
        <v>3486</v>
      </c>
      <c r="AI4033" s="32" t="s">
        <v>577</v>
      </c>
      <c r="AJ4033" s="32" t="s">
        <v>3485</v>
      </c>
      <c r="AK4033" s="32" t="s">
        <v>3556</v>
      </c>
      <c r="AW4033" s="32" t="s">
        <v>160</v>
      </c>
      <c r="BD4033" s="32" t="s">
        <v>3494</v>
      </c>
      <c r="BE4033" s="32" t="s">
        <v>3491</v>
      </c>
      <c r="BP4033" s="397"/>
      <c r="BQ4033" s="397"/>
      <c r="BU4033" s="397"/>
      <c r="BV4033" s="397"/>
      <c r="BZ4033" s="397"/>
      <c r="CA4033" s="397"/>
      <c r="CE4033" s="550"/>
      <c r="CF4033" s="550"/>
      <c r="CG4033" s="550"/>
      <c r="CH4033" s="550"/>
      <c r="FL4033" s="32">
        <f>1.16*0.1*63</f>
        <v>7.3079999999999998</v>
      </c>
      <c r="FM4033" s="32">
        <f>1.16*0.1*57</f>
        <v>6.6119999999999992</v>
      </c>
      <c r="FP4033" s="32" t="s">
        <v>3497</v>
      </c>
      <c r="JD4033" s="243"/>
    </row>
    <row r="4034" spans="1:264" s="32" customFormat="1" x14ac:dyDescent="0.25">
      <c r="A4034" s="32">
        <v>176</v>
      </c>
      <c r="B4034" s="44" t="s">
        <v>3516</v>
      </c>
      <c r="C4034" s="32" t="s">
        <v>3482</v>
      </c>
      <c r="D4034" s="32" t="s">
        <v>3483</v>
      </c>
      <c r="E4034" s="32">
        <v>2015</v>
      </c>
      <c r="F4034" s="32">
        <v>2008</v>
      </c>
      <c r="G4034" s="32" t="s">
        <v>2933</v>
      </c>
      <c r="H4034" s="32" t="s">
        <v>3484</v>
      </c>
      <c r="I4034" s="32" t="s">
        <v>3461</v>
      </c>
      <c r="J4034" s="32">
        <f t="shared" si="523"/>
        <v>36.966666666666669</v>
      </c>
      <c r="K4034" s="32">
        <f t="shared" si="524"/>
        <v>109.3</v>
      </c>
      <c r="L4034" s="32">
        <v>1275</v>
      </c>
      <c r="N4034" s="32">
        <v>8.8000000000000007</v>
      </c>
      <c r="P4034" s="32">
        <v>535</v>
      </c>
      <c r="R4034" s="44" t="s">
        <v>1858</v>
      </c>
      <c r="S4034" s="44" t="s">
        <v>1982</v>
      </c>
      <c r="T4034" s="44"/>
      <c r="U4034" s="44" t="s">
        <v>3487</v>
      </c>
      <c r="V4034" s="44" t="s">
        <v>1417</v>
      </c>
      <c r="W4034" s="44" t="s">
        <v>1724</v>
      </c>
      <c r="X4034" s="44" t="s">
        <v>1417</v>
      </c>
      <c r="Y4034" s="44" t="s">
        <v>1417</v>
      </c>
      <c r="Z4034" s="32">
        <v>1.1599999999999999</v>
      </c>
      <c r="AA4034" s="323">
        <v>21.05</v>
      </c>
      <c r="AB4034" s="323">
        <v>74.489999999999995</v>
      </c>
      <c r="AC4034" s="32" t="s">
        <v>450</v>
      </c>
      <c r="AD4034" s="32">
        <v>8.1999999999999993</v>
      </c>
      <c r="AE4034" s="32">
        <v>0.46500000000000002</v>
      </c>
      <c r="AH4034" s="32" t="s">
        <v>3486</v>
      </c>
      <c r="AI4034" s="32" t="s">
        <v>577</v>
      </c>
      <c r="AJ4034" s="32" t="s">
        <v>3485</v>
      </c>
      <c r="AK4034" s="32" t="s">
        <v>3556</v>
      </c>
      <c r="AW4034" s="32" t="s">
        <v>160</v>
      </c>
      <c r="BD4034" s="32" t="s">
        <v>3495</v>
      </c>
      <c r="BE4034" s="32" t="s">
        <v>3491</v>
      </c>
      <c r="BP4034" s="397"/>
      <c r="BQ4034" s="397"/>
      <c r="BU4034" s="397"/>
      <c r="BV4034" s="397"/>
      <c r="BZ4034" s="397"/>
      <c r="CA4034" s="397"/>
      <c r="CE4034" s="550"/>
      <c r="CF4034" s="550"/>
      <c r="CG4034" s="550"/>
      <c r="CH4034" s="550"/>
      <c r="FL4034" s="32">
        <f t="shared" ref="FL4034:FL4035" si="528">1.16*0.1*63</f>
        <v>7.3079999999999998</v>
      </c>
      <c r="FM4034" s="32">
        <f>1.16*0.1*51</f>
        <v>5.9159999999999995</v>
      </c>
      <c r="FP4034" s="32" t="s">
        <v>3497</v>
      </c>
      <c r="JD4034" s="243"/>
    </row>
    <row r="4035" spans="1:264" s="32" customFormat="1" x14ac:dyDescent="0.25">
      <c r="A4035" s="32">
        <v>176</v>
      </c>
      <c r="B4035" s="44" t="s">
        <v>3517</v>
      </c>
      <c r="C4035" s="32" t="s">
        <v>3482</v>
      </c>
      <c r="D4035" s="32" t="s">
        <v>3483</v>
      </c>
      <c r="E4035" s="32">
        <v>2015</v>
      </c>
      <c r="F4035" s="32">
        <v>2008</v>
      </c>
      <c r="G4035" s="32" t="s">
        <v>2933</v>
      </c>
      <c r="H4035" s="32" t="s">
        <v>3484</v>
      </c>
      <c r="I4035" s="32" t="s">
        <v>3461</v>
      </c>
      <c r="J4035" s="32">
        <f t="shared" si="523"/>
        <v>36.966666666666669</v>
      </c>
      <c r="K4035" s="32">
        <f t="shared" si="524"/>
        <v>109.3</v>
      </c>
      <c r="L4035" s="32">
        <v>1275</v>
      </c>
      <c r="N4035" s="32">
        <v>8.8000000000000007</v>
      </c>
      <c r="P4035" s="32">
        <v>535</v>
      </c>
      <c r="R4035" s="44" t="s">
        <v>1858</v>
      </c>
      <c r="S4035" s="44" t="s">
        <v>1982</v>
      </c>
      <c r="T4035" s="44"/>
      <c r="U4035" s="44" t="s">
        <v>3487</v>
      </c>
      <c r="V4035" s="44" t="s">
        <v>1417</v>
      </c>
      <c r="W4035" s="44" t="s">
        <v>1724</v>
      </c>
      <c r="X4035" s="44" t="s">
        <v>1417</v>
      </c>
      <c r="Y4035" s="44" t="s">
        <v>1417</v>
      </c>
      <c r="Z4035" s="32">
        <v>1.1599999999999999</v>
      </c>
      <c r="AA4035" s="323">
        <v>21.05</v>
      </c>
      <c r="AB4035" s="323">
        <v>74.489999999999995</v>
      </c>
      <c r="AC4035" s="32" t="s">
        <v>450</v>
      </c>
      <c r="AD4035" s="32">
        <v>8.1999999999999993</v>
      </c>
      <c r="AE4035" s="32">
        <v>0.46500000000000002</v>
      </c>
      <c r="AH4035" s="32" t="s">
        <v>3486</v>
      </c>
      <c r="AI4035" s="32" t="s">
        <v>577</v>
      </c>
      <c r="AJ4035" s="32" t="s">
        <v>3485</v>
      </c>
      <c r="AK4035" s="32" t="s">
        <v>3556</v>
      </c>
      <c r="AW4035" s="32" t="s">
        <v>160</v>
      </c>
      <c r="BD4035" s="32" t="s">
        <v>3496</v>
      </c>
      <c r="BE4035" s="32" t="s">
        <v>3491</v>
      </c>
      <c r="BP4035" s="397"/>
      <c r="BQ4035" s="397"/>
      <c r="BU4035" s="397"/>
      <c r="BV4035" s="397"/>
      <c r="BZ4035" s="397"/>
      <c r="CA4035" s="397"/>
      <c r="CE4035" s="550"/>
      <c r="CF4035" s="550"/>
      <c r="CG4035" s="550"/>
      <c r="CH4035" s="550"/>
      <c r="FL4035" s="32">
        <f t="shared" si="528"/>
        <v>7.3079999999999998</v>
      </c>
      <c r="FM4035" s="32">
        <f>1.16*0.1*69</f>
        <v>8.0039999999999996</v>
      </c>
      <c r="FP4035" s="32" t="s">
        <v>3497</v>
      </c>
      <c r="JD4035" s="243"/>
    </row>
    <row r="4036" spans="1:264" s="105" customFormat="1" x14ac:dyDescent="0.25">
      <c r="A4036" s="105">
        <v>176</v>
      </c>
      <c r="B4036" s="44" t="s">
        <v>3518</v>
      </c>
      <c r="C4036" s="105" t="s">
        <v>3482</v>
      </c>
      <c r="D4036" s="105" t="s">
        <v>3483</v>
      </c>
      <c r="E4036" s="105">
        <v>2015</v>
      </c>
      <c r="F4036" s="105">
        <v>2008</v>
      </c>
      <c r="G4036" s="105" t="s">
        <v>2933</v>
      </c>
      <c r="H4036" s="105" t="s">
        <v>3484</v>
      </c>
      <c r="I4036" s="105" t="s">
        <v>3461</v>
      </c>
      <c r="J4036" s="105">
        <f t="shared" si="523"/>
        <v>36.966666666666669</v>
      </c>
      <c r="K4036" s="105">
        <f t="shared" si="524"/>
        <v>109.3</v>
      </c>
      <c r="L4036" s="105">
        <v>1275</v>
      </c>
      <c r="N4036" s="105">
        <v>8.8000000000000007</v>
      </c>
      <c r="P4036" s="105">
        <v>535</v>
      </c>
      <c r="R4036" s="106" t="s">
        <v>1858</v>
      </c>
      <c r="S4036" s="106" t="s">
        <v>1982</v>
      </c>
      <c r="T4036" s="106"/>
      <c r="U4036" s="106" t="s">
        <v>3487</v>
      </c>
      <c r="V4036" s="106" t="s">
        <v>3488</v>
      </c>
      <c r="W4036" s="106" t="s">
        <v>3498</v>
      </c>
      <c r="X4036" s="106" t="s">
        <v>3488</v>
      </c>
      <c r="Y4036" s="106" t="s">
        <v>3488</v>
      </c>
      <c r="Z4036" s="105">
        <v>1.1599999999999999</v>
      </c>
      <c r="AA4036" s="354">
        <v>21.05</v>
      </c>
      <c r="AB4036" s="354">
        <v>74.489999999999995</v>
      </c>
      <c r="AC4036" s="105" t="s">
        <v>450</v>
      </c>
      <c r="AD4036" s="105">
        <v>8.1999999999999993</v>
      </c>
      <c r="AE4036" s="105">
        <v>0.46500000000000002</v>
      </c>
      <c r="AH4036" s="105" t="s">
        <v>3486</v>
      </c>
      <c r="AI4036" s="105" t="s">
        <v>577</v>
      </c>
      <c r="AJ4036" s="105" t="s">
        <v>3485</v>
      </c>
      <c r="AK4036" s="105" t="s">
        <v>3556</v>
      </c>
      <c r="AW4036" s="105" t="s">
        <v>160</v>
      </c>
      <c r="BD4036" s="105" t="s">
        <v>3494</v>
      </c>
      <c r="BE4036" s="32" t="s">
        <v>3491</v>
      </c>
      <c r="BP4036" s="429"/>
      <c r="BQ4036" s="429"/>
      <c r="BU4036" s="429"/>
      <c r="BV4036" s="429"/>
      <c r="BZ4036" s="429"/>
      <c r="CA4036" s="429"/>
      <c r="CE4036" s="582"/>
      <c r="CF4036" s="582"/>
      <c r="CG4036" s="582"/>
      <c r="CH4036" s="582"/>
      <c r="FL4036" s="105">
        <f>1.16*0.1*70</f>
        <v>8.1199999999999992</v>
      </c>
      <c r="FM4036" s="105">
        <f>1.16*0.1*65</f>
        <v>7.5399999999999991</v>
      </c>
      <c r="FP4036" s="105" t="s">
        <v>3497</v>
      </c>
      <c r="JD4036" s="499"/>
    </row>
    <row r="4037" spans="1:264" s="105" customFormat="1" x14ac:dyDescent="0.25">
      <c r="A4037" s="105">
        <v>176</v>
      </c>
      <c r="B4037" s="44" t="s">
        <v>3519</v>
      </c>
      <c r="C4037" s="105" t="s">
        <v>3482</v>
      </c>
      <c r="D4037" s="105" t="s">
        <v>3483</v>
      </c>
      <c r="E4037" s="105">
        <v>2015</v>
      </c>
      <c r="F4037" s="105">
        <v>2008</v>
      </c>
      <c r="G4037" s="105" t="s">
        <v>2933</v>
      </c>
      <c r="H4037" s="105" t="s">
        <v>3484</v>
      </c>
      <c r="I4037" s="105" t="s">
        <v>3461</v>
      </c>
      <c r="J4037" s="105">
        <f t="shared" si="523"/>
        <v>36.966666666666669</v>
      </c>
      <c r="K4037" s="105">
        <f t="shared" si="524"/>
        <v>109.3</v>
      </c>
      <c r="L4037" s="105">
        <v>1275</v>
      </c>
      <c r="N4037" s="105">
        <v>8.8000000000000007</v>
      </c>
      <c r="P4037" s="105">
        <v>535</v>
      </c>
      <c r="R4037" s="106" t="s">
        <v>1858</v>
      </c>
      <c r="S4037" s="106" t="s">
        <v>1982</v>
      </c>
      <c r="T4037" s="106"/>
      <c r="U4037" s="106" t="s">
        <v>3487</v>
      </c>
      <c r="V4037" s="106" t="s">
        <v>3488</v>
      </c>
      <c r="W4037" s="106" t="s">
        <v>3498</v>
      </c>
      <c r="X4037" s="106" t="s">
        <v>3488</v>
      </c>
      <c r="Y4037" s="106" t="s">
        <v>3488</v>
      </c>
      <c r="Z4037" s="105">
        <v>1.1599999999999999</v>
      </c>
      <c r="AA4037" s="354">
        <v>21.05</v>
      </c>
      <c r="AB4037" s="354">
        <v>74.489999999999995</v>
      </c>
      <c r="AC4037" s="105" t="s">
        <v>450</v>
      </c>
      <c r="AD4037" s="105">
        <v>8.1999999999999993</v>
      </c>
      <c r="AE4037" s="105">
        <v>0.46500000000000002</v>
      </c>
      <c r="AH4037" s="105" t="s">
        <v>3486</v>
      </c>
      <c r="AI4037" s="105" t="s">
        <v>577</v>
      </c>
      <c r="AJ4037" s="105" t="s">
        <v>3485</v>
      </c>
      <c r="AK4037" s="105" t="s">
        <v>3556</v>
      </c>
      <c r="AW4037" s="105" t="s">
        <v>160</v>
      </c>
      <c r="BD4037" s="105" t="s">
        <v>3495</v>
      </c>
      <c r="BE4037" s="32" t="s">
        <v>3491</v>
      </c>
      <c r="BP4037" s="429"/>
      <c r="BQ4037" s="429"/>
      <c r="BU4037" s="429"/>
      <c r="BV4037" s="429"/>
      <c r="BZ4037" s="429"/>
      <c r="CA4037" s="429"/>
      <c r="CE4037" s="582"/>
      <c r="CF4037" s="582"/>
      <c r="CG4037" s="582"/>
      <c r="CH4037" s="582"/>
      <c r="FL4037" s="105">
        <f t="shared" ref="FL4037:FL4038" si="529">1.16*0.1*70</f>
        <v>8.1199999999999992</v>
      </c>
      <c r="FM4037" s="105">
        <f>1.16*0.1*60</f>
        <v>6.9599999999999991</v>
      </c>
      <c r="FP4037" s="105" t="s">
        <v>3497</v>
      </c>
      <c r="JD4037" s="499"/>
    </row>
    <row r="4038" spans="1:264" s="105" customFormat="1" x14ac:dyDescent="0.25">
      <c r="A4038" s="105">
        <v>176</v>
      </c>
      <c r="B4038" s="44" t="s">
        <v>3520</v>
      </c>
      <c r="C4038" s="105" t="s">
        <v>3482</v>
      </c>
      <c r="D4038" s="105" t="s">
        <v>3483</v>
      </c>
      <c r="E4038" s="105">
        <v>2015</v>
      </c>
      <c r="F4038" s="105">
        <v>2008</v>
      </c>
      <c r="G4038" s="105" t="s">
        <v>2933</v>
      </c>
      <c r="H4038" s="105" t="s">
        <v>3484</v>
      </c>
      <c r="I4038" s="105" t="s">
        <v>3461</v>
      </c>
      <c r="J4038" s="105">
        <f t="shared" si="523"/>
        <v>36.966666666666669</v>
      </c>
      <c r="K4038" s="105">
        <f t="shared" si="524"/>
        <v>109.3</v>
      </c>
      <c r="L4038" s="105">
        <v>1275</v>
      </c>
      <c r="N4038" s="105">
        <v>8.8000000000000007</v>
      </c>
      <c r="P4038" s="105">
        <v>535</v>
      </c>
      <c r="R4038" s="106" t="s">
        <v>1858</v>
      </c>
      <c r="S4038" s="106" t="s">
        <v>1982</v>
      </c>
      <c r="T4038" s="106"/>
      <c r="U4038" s="106" t="s">
        <v>3487</v>
      </c>
      <c r="V4038" s="106" t="s">
        <v>3488</v>
      </c>
      <c r="W4038" s="106" t="s">
        <v>3498</v>
      </c>
      <c r="X4038" s="106" t="s">
        <v>3488</v>
      </c>
      <c r="Y4038" s="106" t="s">
        <v>3488</v>
      </c>
      <c r="Z4038" s="105">
        <v>1.1599999999999999</v>
      </c>
      <c r="AA4038" s="354">
        <v>21.05</v>
      </c>
      <c r="AB4038" s="354">
        <v>74.489999999999995</v>
      </c>
      <c r="AC4038" s="105" t="s">
        <v>450</v>
      </c>
      <c r="AD4038" s="105">
        <v>8.1999999999999993</v>
      </c>
      <c r="AE4038" s="105">
        <v>0.46500000000000002</v>
      </c>
      <c r="AH4038" s="105" t="s">
        <v>3486</v>
      </c>
      <c r="AI4038" s="105" t="s">
        <v>577</v>
      </c>
      <c r="AJ4038" s="105" t="s">
        <v>3485</v>
      </c>
      <c r="AK4038" s="105" t="s">
        <v>3556</v>
      </c>
      <c r="AW4038" s="105" t="s">
        <v>160</v>
      </c>
      <c r="BD4038" s="105" t="s">
        <v>3496</v>
      </c>
      <c r="BE4038" s="32" t="s">
        <v>3491</v>
      </c>
      <c r="BP4038" s="429"/>
      <c r="BQ4038" s="429"/>
      <c r="BU4038" s="429"/>
      <c r="BV4038" s="429"/>
      <c r="BZ4038" s="429"/>
      <c r="CA4038" s="429"/>
      <c r="CE4038" s="582"/>
      <c r="CF4038" s="582"/>
      <c r="CG4038" s="582"/>
      <c r="CH4038" s="582"/>
      <c r="FL4038" s="105">
        <f t="shared" si="529"/>
        <v>8.1199999999999992</v>
      </c>
      <c r="FM4038" s="105">
        <f>1.16*0.1*71</f>
        <v>8.2359999999999989</v>
      </c>
      <c r="FP4038" s="105" t="s">
        <v>3497</v>
      </c>
      <c r="JD4038" s="499"/>
    </row>
    <row r="4039" spans="1:264" s="32" customFormat="1" x14ac:dyDescent="0.25">
      <c r="A4039" s="32">
        <v>176</v>
      </c>
      <c r="B4039" s="44" t="s">
        <v>3521</v>
      </c>
      <c r="C4039" s="32" t="s">
        <v>3482</v>
      </c>
      <c r="D4039" s="32" t="s">
        <v>3483</v>
      </c>
      <c r="E4039" s="32">
        <v>2015</v>
      </c>
      <c r="F4039" s="32">
        <v>2008</v>
      </c>
      <c r="G4039" s="32" t="s">
        <v>2933</v>
      </c>
      <c r="H4039" s="32" t="s">
        <v>3484</v>
      </c>
      <c r="I4039" s="32" t="s">
        <v>3461</v>
      </c>
      <c r="J4039" s="32">
        <f t="shared" si="523"/>
        <v>36.966666666666669</v>
      </c>
      <c r="K4039" s="32">
        <f t="shared" si="524"/>
        <v>109.3</v>
      </c>
      <c r="L4039" s="32">
        <v>1275</v>
      </c>
      <c r="N4039" s="32">
        <v>8.8000000000000007</v>
      </c>
      <c r="P4039" s="32">
        <v>535</v>
      </c>
      <c r="R4039" s="44" t="s">
        <v>1858</v>
      </c>
      <c r="S4039" s="44" t="s">
        <v>1982</v>
      </c>
      <c r="T4039" s="44"/>
      <c r="U4039" s="44" t="s">
        <v>3487</v>
      </c>
      <c r="V4039" s="44" t="s">
        <v>3489</v>
      </c>
      <c r="W4039" s="44" t="s">
        <v>3499</v>
      </c>
      <c r="X4039" s="44" t="s">
        <v>3489</v>
      </c>
      <c r="Y4039" s="44" t="s">
        <v>3489</v>
      </c>
      <c r="Z4039" s="32">
        <v>1.1599999999999999</v>
      </c>
      <c r="AA4039" s="323">
        <v>21.05</v>
      </c>
      <c r="AB4039" s="323">
        <v>74.489999999999995</v>
      </c>
      <c r="AC4039" s="32" t="s">
        <v>450</v>
      </c>
      <c r="AD4039" s="32">
        <v>8.1999999999999993</v>
      </c>
      <c r="AE4039" s="32">
        <v>0.46500000000000002</v>
      </c>
      <c r="AH4039" s="32" t="s">
        <v>3486</v>
      </c>
      <c r="AI4039" s="32" t="s">
        <v>577</v>
      </c>
      <c r="AJ4039" s="32" t="s">
        <v>3485</v>
      </c>
      <c r="AK4039" s="32" t="s">
        <v>3556</v>
      </c>
      <c r="AW4039" s="32" t="s">
        <v>160</v>
      </c>
      <c r="BD4039" s="32" t="s">
        <v>3494</v>
      </c>
      <c r="BE4039" s="32" t="s">
        <v>3491</v>
      </c>
      <c r="BP4039" s="397"/>
      <c r="BQ4039" s="397"/>
      <c r="BU4039" s="397"/>
      <c r="BV4039" s="397"/>
      <c r="BZ4039" s="397"/>
      <c r="CA4039" s="397"/>
      <c r="CE4039" s="550"/>
      <c r="CF4039" s="550"/>
      <c r="CG4039" s="550"/>
      <c r="CH4039" s="550"/>
      <c r="FL4039" s="32">
        <f>1.16*0.1*72</f>
        <v>8.3520000000000003</v>
      </c>
      <c r="FM4039" s="32">
        <f>1.16*0.1*68</f>
        <v>7.8879999999999999</v>
      </c>
      <c r="FP4039" s="32" t="s">
        <v>3497</v>
      </c>
      <c r="JD4039" s="243"/>
    </row>
    <row r="4040" spans="1:264" s="32" customFormat="1" x14ac:dyDescent="0.25">
      <c r="A4040" s="32">
        <v>176</v>
      </c>
      <c r="B4040" s="44" t="s">
        <v>3522</v>
      </c>
      <c r="C4040" s="32" t="s">
        <v>3482</v>
      </c>
      <c r="D4040" s="32" t="s">
        <v>3483</v>
      </c>
      <c r="E4040" s="32">
        <v>2015</v>
      </c>
      <c r="F4040" s="32">
        <v>2008</v>
      </c>
      <c r="G4040" s="32" t="s">
        <v>2933</v>
      </c>
      <c r="H4040" s="32" t="s">
        <v>3484</v>
      </c>
      <c r="I4040" s="32" t="s">
        <v>3461</v>
      </c>
      <c r="J4040" s="32">
        <f t="shared" si="523"/>
        <v>36.966666666666669</v>
      </c>
      <c r="K4040" s="32">
        <f t="shared" si="524"/>
        <v>109.3</v>
      </c>
      <c r="L4040" s="32">
        <v>1275</v>
      </c>
      <c r="N4040" s="32">
        <v>8.8000000000000007</v>
      </c>
      <c r="P4040" s="32">
        <v>535</v>
      </c>
      <c r="R4040" s="44" t="s">
        <v>1858</v>
      </c>
      <c r="S4040" s="44" t="s">
        <v>1982</v>
      </c>
      <c r="T4040" s="44"/>
      <c r="U4040" s="44" t="s">
        <v>3487</v>
      </c>
      <c r="V4040" s="44" t="s">
        <v>3489</v>
      </c>
      <c r="W4040" s="44" t="s">
        <v>3499</v>
      </c>
      <c r="X4040" s="44" t="s">
        <v>3489</v>
      </c>
      <c r="Y4040" s="44" t="s">
        <v>3489</v>
      </c>
      <c r="Z4040" s="32">
        <v>1.1599999999999999</v>
      </c>
      <c r="AA4040" s="323">
        <v>21.05</v>
      </c>
      <c r="AB4040" s="323">
        <v>74.489999999999995</v>
      </c>
      <c r="AC4040" s="32" t="s">
        <v>450</v>
      </c>
      <c r="AD4040" s="32">
        <v>8.1999999999999993</v>
      </c>
      <c r="AE4040" s="32">
        <v>0.46500000000000002</v>
      </c>
      <c r="AH4040" s="32" t="s">
        <v>3486</v>
      </c>
      <c r="AI4040" s="32" t="s">
        <v>577</v>
      </c>
      <c r="AJ4040" s="32" t="s">
        <v>3485</v>
      </c>
      <c r="AK4040" s="32" t="s">
        <v>3556</v>
      </c>
      <c r="AW4040" s="32" t="s">
        <v>160</v>
      </c>
      <c r="BD4040" s="32" t="s">
        <v>3495</v>
      </c>
      <c r="BE4040" s="32" t="s">
        <v>3491</v>
      </c>
      <c r="BP4040" s="397"/>
      <c r="BQ4040" s="397"/>
      <c r="BU4040" s="397"/>
      <c r="BV4040" s="397"/>
      <c r="BZ4040" s="397"/>
      <c r="CA4040" s="397"/>
      <c r="CE4040" s="550"/>
      <c r="CF4040" s="550"/>
      <c r="CG4040" s="550"/>
      <c r="CH4040" s="550"/>
      <c r="FL4040" s="32">
        <f t="shared" ref="FL4040:FL4041" si="530">1.16*0.1*72</f>
        <v>8.3520000000000003</v>
      </c>
      <c r="FM4040" s="32">
        <f>1.16*0.1*63</f>
        <v>7.3079999999999998</v>
      </c>
      <c r="FP4040" s="32" t="s">
        <v>3497</v>
      </c>
      <c r="JD4040" s="243"/>
    </row>
    <row r="4041" spans="1:264" s="32" customFormat="1" x14ac:dyDescent="0.25">
      <c r="A4041" s="32">
        <v>176</v>
      </c>
      <c r="B4041" s="44" t="s">
        <v>3523</v>
      </c>
      <c r="C4041" s="32" t="s">
        <v>3482</v>
      </c>
      <c r="D4041" s="32" t="s">
        <v>3483</v>
      </c>
      <c r="E4041" s="32">
        <v>2015</v>
      </c>
      <c r="F4041" s="32">
        <v>2008</v>
      </c>
      <c r="G4041" s="32" t="s">
        <v>2933</v>
      </c>
      <c r="H4041" s="32" t="s">
        <v>3484</v>
      </c>
      <c r="I4041" s="32" t="s">
        <v>3461</v>
      </c>
      <c r="J4041" s="32">
        <f t="shared" si="523"/>
        <v>36.966666666666669</v>
      </c>
      <c r="K4041" s="32">
        <f t="shared" si="524"/>
        <v>109.3</v>
      </c>
      <c r="L4041" s="32">
        <v>1275</v>
      </c>
      <c r="N4041" s="32">
        <v>8.8000000000000007</v>
      </c>
      <c r="P4041" s="32">
        <v>535</v>
      </c>
      <c r="R4041" s="44" t="s">
        <v>1858</v>
      </c>
      <c r="S4041" s="44" t="s">
        <v>1982</v>
      </c>
      <c r="T4041" s="44"/>
      <c r="U4041" s="44" t="s">
        <v>3487</v>
      </c>
      <c r="V4041" s="44" t="s">
        <v>3489</v>
      </c>
      <c r="W4041" s="44" t="s">
        <v>3499</v>
      </c>
      <c r="X4041" s="44" t="s">
        <v>3489</v>
      </c>
      <c r="Y4041" s="44" t="s">
        <v>3489</v>
      </c>
      <c r="Z4041" s="32">
        <v>1.1599999999999999</v>
      </c>
      <c r="AA4041" s="323">
        <v>21.05</v>
      </c>
      <c r="AB4041" s="323">
        <v>74.489999999999995</v>
      </c>
      <c r="AC4041" s="32" t="s">
        <v>450</v>
      </c>
      <c r="AD4041" s="32">
        <v>8.1999999999999993</v>
      </c>
      <c r="AE4041" s="32">
        <v>0.46500000000000002</v>
      </c>
      <c r="AH4041" s="32" t="s">
        <v>3486</v>
      </c>
      <c r="AI4041" s="32" t="s">
        <v>577</v>
      </c>
      <c r="AJ4041" s="32" t="s">
        <v>3485</v>
      </c>
      <c r="AK4041" s="32" t="s">
        <v>3556</v>
      </c>
      <c r="AW4041" s="32" t="s">
        <v>160</v>
      </c>
      <c r="BD4041" s="32" t="s">
        <v>3496</v>
      </c>
      <c r="BE4041" s="32" t="s">
        <v>3491</v>
      </c>
      <c r="BP4041" s="397"/>
      <c r="BQ4041" s="397"/>
      <c r="BU4041" s="397"/>
      <c r="BV4041" s="397"/>
      <c r="BZ4041" s="397"/>
      <c r="CA4041" s="397"/>
      <c r="CE4041" s="550"/>
      <c r="CF4041" s="550"/>
      <c r="CG4041" s="550"/>
      <c r="CH4041" s="550"/>
      <c r="FL4041" s="32">
        <f t="shared" si="530"/>
        <v>8.3520000000000003</v>
      </c>
      <c r="FM4041" s="32">
        <f>1.16*0.1*72</f>
        <v>8.3520000000000003</v>
      </c>
      <c r="FP4041" s="32" t="s">
        <v>3497</v>
      </c>
      <c r="JD4041" s="243"/>
    </row>
    <row r="4042" spans="1:264" s="24" customFormat="1" x14ac:dyDescent="0.25">
      <c r="A4042" s="24">
        <v>176</v>
      </c>
      <c r="B4042" s="42" t="s">
        <v>3524</v>
      </c>
      <c r="C4042" s="24" t="s">
        <v>3482</v>
      </c>
      <c r="D4042" s="24" t="s">
        <v>3483</v>
      </c>
      <c r="E4042" s="24">
        <v>2015</v>
      </c>
      <c r="F4042" s="24">
        <v>2008</v>
      </c>
      <c r="G4042" s="24" t="s">
        <v>2933</v>
      </c>
      <c r="H4042" s="24" t="s">
        <v>3484</v>
      </c>
      <c r="I4042" s="24" t="s">
        <v>3461</v>
      </c>
      <c r="J4042" s="24">
        <f t="shared" si="523"/>
        <v>36.966666666666669</v>
      </c>
      <c r="K4042" s="24">
        <f t="shared" si="524"/>
        <v>109.3</v>
      </c>
      <c r="L4042" s="24">
        <v>1275</v>
      </c>
      <c r="N4042" s="24">
        <v>8.8000000000000007</v>
      </c>
      <c r="P4042" s="24">
        <v>535</v>
      </c>
      <c r="R4042" s="42" t="s">
        <v>1858</v>
      </c>
      <c r="S4042" s="42" t="s">
        <v>1982</v>
      </c>
      <c r="T4042" s="42"/>
      <c r="U4042" s="42" t="s">
        <v>3487</v>
      </c>
      <c r="V4042" s="42" t="s">
        <v>1417</v>
      </c>
      <c r="W4042" s="42" t="s">
        <v>1724</v>
      </c>
      <c r="X4042" s="42" t="s">
        <v>1417</v>
      </c>
      <c r="Y4042" s="42" t="s">
        <v>1417</v>
      </c>
      <c r="Z4042" s="24">
        <v>1.1599999999999999</v>
      </c>
      <c r="AA4042" s="321">
        <v>21.05</v>
      </c>
      <c r="AB4042" s="321">
        <v>74.489999999999995</v>
      </c>
      <c r="AC4042" s="24" t="s">
        <v>450</v>
      </c>
      <c r="AD4042" s="24">
        <v>8.1999999999999993</v>
      </c>
      <c r="AE4042" s="24">
        <v>0.46500000000000002</v>
      </c>
      <c r="AH4042" s="24" t="s">
        <v>3486</v>
      </c>
      <c r="AI4042" s="24" t="s">
        <v>577</v>
      </c>
      <c r="AJ4042" s="24" t="s">
        <v>3485</v>
      </c>
      <c r="AK4042" s="24" t="s">
        <v>3556</v>
      </c>
      <c r="AW4042" s="24" t="s">
        <v>160</v>
      </c>
      <c r="BD4042" s="24" t="s">
        <v>3494</v>
      </c>
      <c r="BE4042" s="24" t="s">
        <v>3492</v>
      </c>
      <c r="BP4042" s="395"/>
      <c r="BQ4042" s="395"/>
      <c r="BU4042" s="395"/>
      <c r="BV4042" s="395"/>
      <c r="BZ4042" s="395"/>
      <c r="CA4042" s="395"/>
      <c r="CE4042" s="548"/>
      <c r="CF4042" s="548"/>
      <c r="CG4042" s="548"/>
      <c r="CH4042" s="548"/>
      <c r="FL4042" s="24">
        <f>1.16*0.1*128</f>
        <v>14.847999999999999</v>
      </c>
      <c r="FM4042" s="24">
        <f>1.16*0.1*118</f>
        <v>13.687999999999999</v>
      </c>
      <c r="FP4042" s="24" t="s">
        <v>3497</v>
      </c>
      <c r="JD4042" s="249"/>
    </row>
    <row r="4043" spans="1:264" s="24" customFormat="1" x14ac:dyDescent="0.25">
      <c r="A4043" s="24">
        <v>176</v>
      </c>
      <c r="B4043" s="42" t="s">
        <v>3525</v>
      </c>
      <c r="C4043" s="24" t="s">
        <v>3482</v>
      </c>
      <c r="D4043" s="24" t="s">
        <v>3483</v>
      </c>
      <c r="E4043" s="24">
        <v>2015</v>
      </c>
      <c r="F4043" s="24">
        <v>2008</v>
      </c>
      <c r="G4043" s="24" t="s">
        <v>2933</v>
      </c>
      <c r="H4043" s="24" t="s">
        <v>3484</v>
      </c>
      <c r="I4043" s="24" t="s">
        <v>3461</v>
      </c>
      <c r="J4043" s="24">
        <f t="shared" si="523"/>
        <v>36.966666666666669</v>
      </c>
      <c r="K4043" s="24">
        <f t="shared" si="524"/>
        <v>109.3</v>
      </c>
      <c r="L4043" s="24">
        <v>1275</v>
      </c>
      <c r="N4043" s="24">
        <v>8.8000000000000007</v>
      </c>
      <c r="P4043" s="24">
        <v>535</v>
      </c>
      <c r="R4043" s="42" t="s">
        <v>1858</v>
      </c>
      <c r="S4043" s="42" t="s">
        <v>1982</v>
      </c>
      <c r="T4043" s="42"/>
      <c r="U4043" s="42" t="s">
        <v>3487</v>
      </c>
      <c r="V4043" s="42" t="s">
        <v>1417</v>
      </c>
      <c r="W4043" s="42" t="s">
        <v>1724</v>
      </c>
      <c r="X4043" s="42" t="s">
        <v>1417</v>
      </c>
      <c r="Y4043" s="42" t="s">
        <v>1417</v>
      </c>
      <c r="Z4043" s="24">
        <v>1.1599999999999999</v>
      </c>
      <c r="AA4043" s="321">
        <v>21.05</v>
      </c>
      <c r="AB4043" s="321">
        <v>74.489999999999995</v>
      </c>
      <c r="AC4043" s="24" t="s">
        <v>450</v>
      </c>
      <c r="AD4043" s="24">
        <v>8.1999999999999993</v>
      </c>
      <c r="AE4043" s="24">
        <v>0.46500000000000002</v>
      </c>
      <c r="AH4043" s="24" t="s">
        <v>3486</v>
      </c>
      <c r="AI4043" s="24" t="s">
        <v>577</v>
      </c>
      <c r="AJ4043" s="24" t="s">
        <v>3485</v>
      </c>
      <c r="AK4043" s="24" t="s">
        <v>3556</v>
      </c>
      <c r="AW4043" s="24" t="s">
        <v>160</v>
      </c>
      <c r="BD4043" s="24" t="s">
        <v>3495</v>
      </c>
      <c r="BE4043" s="24" t="s">
        <v>3492</v>
      </c>
      <c r="BP4043" s="395"/>
      <c r="BQ4043" s="395"/>
      <c r="BU4043" s="395"/>
      <c r="BV4043" s="395"/>
      <c r="BZ4043" s="395"/>
      <c r="CA4043" s="395"/>
      <c r="CE4043" s="548"/>
      <c r="CF4043" s="548"/>
      <c r="CG4043" s="548"/>
      <c r="CH4043" s="548"/>
      <c r="FL4043" s="24">
        <f t="shared" ref="FL4043:FL4044" si="531">1.16*0.1*128</f>
        <v>14.847999999999999</v>
      </c>
      <c r="FM4043" s="24">
        <f>1.16*0.1*109</f>
        <v>12.643999999999998</v>
      </c>
      <c r="FP4043" s="24" t="s">
        <v>3497</v>
      </c>
      <c r="JD4043" s="249"/>
    </row>
    <row r="4044" spans="1:264" s="24" customFormat="1" x14ac:dyDescent="0.25">
      <c r="A4044" s="24">
        <v>176</v>
      </c>
      <c r="B4044" s="42" t="s">
        <v>3526</v>
      </c>
      <c r="C4044" s="24" t="s">
        <v>3482</v>
      </c>
      <c r="D4044" s="24" t="s">
        <v>3483</v>
      </c>
      <c r="E4044" s="24">
        <v>2015</v>
      </c>
      <c r="F4044" s="24">
        <v>2008</v>
      </c>
      <c r="G4044" s="24" t="s">
        <v>2933</v>
      </c>
      <c r="H4044" s="24" t="s">
        <v>3484</v>
      </c>
      <c r="I4044" s="24" t="s">
        <v>3461</v>
      </c>
      <c r="J4044" s="24">
        <f t="shared" si="523"/>
        <v>36.966666666666669</v>
      </c>
      <c r="K4044" s="24">
        <f t="shared" si="524"/>
        <v>109.3</v>
      </c>
      <c r="L4044" s="24">
        <v>1275</v>
      </c>
      <c r="N4044" s="24">
        <v>8.8000000000000007</v>
      </c>
      <c r="P4044" s="24">
        <v>535</v>
      </c>
      <c r="R4044" s="42" t="s">
        <v>1858</v>
      </c>
      <c r="S4044" s="42" t="s">
        <v>1982</v>
      </c>
      <c r="T4044" s="42"/>
      <c r="U4044" s="42" t="s">
        <v>3487</v>
      </c>
      <c r="V4044" s="42" t="s">
        <v>1417</v>
      </c>
      <c r="W4044" s="42" t="s">
        <v>1724</v>
      </c>
      <c r="X4044" s="42" t="s">
        <v>1417</v>
      </c>
      <c r="Y4044" s="42" t="s">
        <v>1417</v>
      </c>
      <c r="Z4044" s="24">
        <v>1.1599999999999999</v>
      </c>
      <c r="AA4044" s="321">
        <v>21.05</v>
      </c>
      <c r="AB4044" s="321">
        <v>74.489999999999995</v>
      </c>
      <c r="AC4044" s="24" t="s">
        <v>450</v>
      </c>
      <c r="AD4044" s="24">
        <v>8.1999999999999993</v>
      </c>
      <c r="AE4044" s="24">
        <v>0.46500000000000002</v>
      </c>
      <c r="AH4044" s="24" t="s">
        <v>3486</v>
      </c>
      <c r="AI4044" s="24" t="s">
        <v>577</v>
      </c>
      <c r="AJ4044" s="24" t="s">
        <v>3485</v>
      </c>
      <c r="AK4044" s="24" t="s">
        <v>3556</v>
      </c>
      <c r="AW4044" s="24" t="s">
        <v>160</v>
      </c>
      <c r="BD4044" s="24" t="s">
        <v>3496</v>
      </c>
      <c r="BE4044" s="24" t="s">
        <v>3492</v>
      </c>
      <c r="BP4044" s="395"/>
      <c r="BQ4044" s="395"/>
      <c r="BU4044" s="395"/>
      <c r="BV4044" s="395"/>
      <c r="BZ4044" s="395"/>
      <c r="CA4044" s="395"/>
      <c r="CE4044" s="548"/>
      <c r="CF4044" s="548"/>
      <c r="CG4044" s="548"/>
      <c r="CH4044" s="548"/>
      <c r="FL4044" s="24">
        <f t="shared" si="531"/>
        <v>14.847999999999999</v>
      </c>
      <c r="FM4044" s="24">
        <f>1.16*0.1*137</f>
        <v>15.891999999999999</v>
      </c>
      <c r="FP4044" s="24" t="s">
        <v>3497</v>
      </c>
      <c r="JD4044" s="249"/>
    </row>
    <row r="4045" spans="1:264" s="101" customFormat="1" x14ac:dyDescent="0.25">
      <c r="A4045" s="101">
        <v>176</v>
      </c>
      <c r="B4045" s="42" t="s">
        <v>3527</v>
      </c>
      <c r="C4045" s="101" t="s">
        <v>3482</v>
      </c>
      <c r="D4045" s="101" t="s">
        <v>3483</v>
      </c>
      <c r="E4045" s="101">
        <v>2015</v>
      </c>
      <c r="F4045" s="101">
        <v>2008</v>
      </c>
      <c r="G4045" s="101" t="s">
        <v>2933</v>
      </c>
      <c r="H4045" s="101" t="s">
        <v>3484</v>
      </c>
      <c r="I4045" s="101" t="s">
        <v>3461</v>
      </c>
      <c r="J4045" s="101">
        <f t="shared" si="523"/>
        <v>36.966666666666669</v>
      </c>
      <c r="K4045" s="101">
        <f t="shared" si="524"/>
        <v>109.3</v>
      </c>
      <c r="L4045" s="101">
        <v>1275</v>
      </c>
      <c r="N4045" s="101">
        <v>8.8000000000000007</v>
      </c>
      <c r="P4045" s="101">
        <v>535</v>
      </c>
      <c r="R4045" s="102" t="s">
        <v>1858</v>
      </c>
      <c r="S4045" s="102" t="s">
        <v>1982</v>
      </c>
      <c r="T4045" s="102"/>
      <c r="U4045" s="102" t="s">
        <v>3487</v>
      </c>
      <c r="V4045" s="102" t="s">
        <v>3488</v>
      </c>
      <c r="W4045" s="102" t="s">
        <v>3498</v>
      </c>
      <c r="X4045" s="102" t="s">
        <v>3488</v>
      </c>
      <c r="Y4045" s="102" t="s">
        <v>3488</v>
      </c>
      <c r="Z4045" s="101">
        <v>1.1599999999999999</v>
      </c>
      <c r="AA4045" s="352">
        <v>21.05</v>
      </c>
      <c r="AB4045" s="352">
        <v>74.489999999999995</v>
      </c>
      <c r="AC4045" s="101" t="s">
        <v>450</v>
      </c>
      <c r="AD4045" s="101">
        <v>8.1999999999999993</v>
      </c>
      <c r="AE4045" s="101">
        <v>0.46500000000000002</v>
      </c>
      <c r="AH4045" s="101" t="s">
        <v>3486</v>
      </c>
      <c r="AI4045" s="101" t="s">
        <v>577</v>
      </c>
      <c r="AJ4045" s="101" t="s">
        <v>3485</v>
      </c>
      <c r="AK4045" s="101" t="s">
        <v>3556</v>
      </c>
      <c r="AW4045" s="24" t="s">
        <v>160</v>
      </c>
      <c r="BD4045" s="101" t="s">
        <v>3494</v>
      </c>
      <c r="BE4045" s="24" t="s">
        <v>3492</v>
      </c>
      <c r="BP4045" s="427"/>
      <c r="BQ4045" s="427"/>
      <c r="BU4045" s="427"/>
      <c r="BV4045" s="427"/>
      <c r="BZ4045" s="427"/>
      <c r="CA4045" s="427"/>
      <c r="CE4045" s="580"/>
      <c r="CF4045" s="580"/>
      <c r="CG4045" s="580"/>
      <c r="CH4045" s="580"/>
      <c r="FL4045" s="101">
        <f>1.16*0.1*71</f>
        <v>8.2359999999999989</v>
      </c>
      <c r="FM4045" s="101">
        <f>1.16*0.1*67</f>
        <v>7.7719999999999994</v>
      </c>
      <c r="FP4045" s="101" t="s">
        <v>3497</v>
      </c>
      <c r="JD4045" s="177"/>
    </row>
    <row r="4046" spans="1:264" s="101" customFormat="1" x14ac:dyDescent="0.25">
      <c r="A4046" s="101">
        <v>176</v>
      </c>
      <c r="B4046" s="42" t="s">
        <v>3528</v>
      </c>
      <c r="C4046" s="101" t="s">
        <v>3482</v>
      </c>
      <c r="D4046" s="101" t="s">
        <v>3483</v>
      </c>
      <c r="E4046" s="101">
        <v>2015</v>
      </c>
      <c r="F4046" s="101">
        <v>2008</v>
      </c>
      <c r="G4046" s="101" t="s">
        <v>2933</v>
      </c>
      <c r="H4046" s="101" t="s">
        <v>3484</v>
      </c>
      <c r="I4046" s="101" t="s">
        <v>3461</v>
      </c>
      <c r="J4046" s="101">
        <f t="shared" si="523"/>
        <v>36.966666666666669</v>
      </c>
      <c r="K4046" s="101">
        <f t="shared" si="524"/>
        <v>109.3</v>
      </c>
      <c r="L4046" s="101">
        <v>1275</v>
      </c>
      <c r="N4046" s="101">
        <v>8.8000000000000007</v>
      </c>
      <c r="P4046" s="101">
        <v>535</v>
      </c>
      <c r="R4046" s="102" t="s">
        <v>1858</v>
      </c>
      <c r="S4046" s="102" t="s">
        <v>1982</v>
      </c>
      <c r="T4046" s="102"/>
      <c r="U4046" s="102" t="s">
        <v>3487</v>
      </c>
      <c r="V4046" s="102" t="s">
        <v>3488</v>
      </c>
      <c r="W4046" s="102" t="s">
        <v>3498</v>
      </c>
      <c r="X4046" s="102" t="s">
        <v>3488</v>
      </c>
      <c r="Y4046" s="102" t="s">
        <v>3488</v>
      </c>
      <c r="Z4046" s="101">
        <v>1.1599999999999999</v>
      </c>
      <c r="AA4046" s="352">
        <v>21.05</v>
      </c>
      <c r="AB4046" s="352">
        <v>74.489999999999995</v>
      </c>
      <c r="AC4046" s="101" t="s">
        <v>450</v>
      </c>
      <c r="AD4046" s="101">
        <v>8.1999999999999993</v>
      </c>
      <c r="AE4046" s="101">
        <v>0.46500000000000002</v>
      </c>
      <c r="AH4046" s="101" t="s">
        <v>3486</v>
      </c>
      <c r="AI4046" s="101" t="s">
        <v>577</v>
      </c>
      <c r="AJ4046" s="101" t="s">
        <v>3485</v>
      </c>
      <c r="AK4046" s="101" t="s">
        <v>3556</v>
      </c>
      <c r="AW4046" s="24" t="s">
        <v>160</v>
      </c>
      <c r="BD4046" s="101" t="s">
        <v>3495</v>
      </c>
      <c r="BE4046" s="24" t="s">
        <v>3492</v>
      </c>
      <c r="BP4046" s="427"/>
      <c r="BQ4046" s="427"/>
      <c r="BU4046" s="427"/>
      <c r="BV4046" s="427"/>
      <c r="BZ4046" s="427"/>
      <c r="CA4046" s="427"/>
      <c r="CE4046" s="580"/>
      <c r="CF4046" s="580"/>
      <c r="CG4046" s="580"/>
      <c r="CH4046" s="580"/>
      <c r="FL4046" s="101">
        <f t="shared" ref="FL4046:FL4047" si="532">1.16*0.1*71</f>
        <v>8.2359999999999989</v>
      </c>
      <c r="FM4046" s="101">
        <f>1.16*0.1*63</f>
        <v>7.3079999999999998</v>
      </c>
      <c r="FP4046" s="101" t="s">
        <v>3497</v>
      </c>
      <c r="JD4046" s="177"/>
    </row>
    <row r="4047" spans="1:264" s="101" customFormat="1" x14ac:dyDescent="0.25">
      <c r="A4047" s="101">
        <v>176</v>
      </c>
      <c r="B4047" s="42" t="s">
        <v>3529</v>
      </c>
      <c r="C4047" s="101" t="s">
        <v>3482</v>
      </c>
      <c r="D4047" s="101" t="s">
        <v>3483</v>
      </c>
      <c r="E4047" s="101">
        <v>2015</v>
      </c>
      <c r="F4047" s="101">
        <v>2008</v>
      </c>
      <c r="G4047" s="101" t="s">
        <v>2933</v>
      </c>
      <c r="H4047" s="101" t="s">
        <v>3484</v>
      </c>
      <c r="I4047" s="101" t="s">
        <v>3461</v>
      </c>
      <c r="J4047" s="101">
        <f t="shared" si="523"/>
        <v>36.966666666666669</v>
      </c>
      <c r="K4047" s="101">
        <f t="shared" si="524"/>
        <v>109.3</v>
      </c>
      <c r="L4047" s="101">
        <v>1275</v>
      </c>
      <c r="N4047" s="101">
        <v>8.8000000000000007</v>
      </c>
      <c r="P4047" s="101">
        <v>535</v>
      </c>
      <c r="R4047" s="102" t="s">
        <v>1858</v>
      </c>
      <c r="S4047" s="102" t="s">
        <v>1982</v>
      </c>
      <c r="T4047" s="102"/>
      <c r="U4047" s="102" t="s">
        <v>3487</v>
      </c>
      <c r="V4047" s="102" t="s">
        <v>3488</v>
      </c>
      <c r="W4047" s="102" t="s">
        <v>3498</v>
      </c>
      <c r="X4047" s="102" t="s">
        <v>3488</v>
      </c>
      <c r="Y4047" s="102" t="s">
        <v>3488</v>
      </c>
      <c r="Z4047" s="101">
        <v>1.1599999999999999</v>
      </c>
      <c r="AA4047" s="352">
        <v>21.05</v>
      </c>
      <c r="AB4047" s="352">
        <v>74.489999999999995</v>
      </c>
      <c r="AC4047" s="101" t="s">
        <v>450</v>
      </c>
      <c r="AD4047" s="101">
        <v>8.1999999999999993</v>
      </c>
      <c r="AE4047" s="101">
        <v>0.46500000000000002</v>
      </c>
      <c r="AH4047" s="101" t="s">
        <v>3486</v>
      </c>
      <c r="AI4047" s="101" t="s">
        <v>577</v>
      </c>
      <c r="AJ4047" s="101" t="s">
        <v>3485</v>
      </c>
      <c r="AK4047" s="101" t="s">
        <v>3556</v>
      </c>
      <c r="AW4047" s="24" t="s">
        <v>160</v>
      </c>
      <c r="BD4047" s="101" t="s">
        <v>3496</v>
      </c>
      <c r="BE4047" s="24" t="s">
        <v>3492</v>
      </c>
      <c r="BP4047" s="427"/>
      <c r="BQ4047" s="427"/>
      <c r="BU4047" s="427"/>
      <c r="BV4047" s="427"/>
      <c r="BZ4047" s="427"/>
      <c r="CA4047" s="427"/>
      <c r="CE4047" s="580"/>
      <c r="CF4047" s="580"/>
      <c r="CG4047" s="580"/>
      <c r="CH4047" s="580"/>
      <c r="FL4047" s="101">
        <f t="shared" si="532"/>
        <v>8.2359999999999989</v>
      </c>
      <c r="FM4047" s="101">
        <f>1.16*0.1*73</f>
        <v>8.468</v>
      </c>
      <c r="FP4047" s="101" t="s">
        <v>3497</v>
      </c>
      <c r="JD4047" s="177"/>
    </row>
    <row r="4048" spans="1:264" s="24" customFormat="1" x14ac:dyDescent="0.25">
      <c r="A4048" s="24">
        <v>176</v>
      </c>
      <c r="B4048" s="42" t="s">
        <v>3530</v>
      </c>
      <c r="C4048" s="24" t="s">
        <v>3482</v>
      </c>
      <c r="D4048" s="24" t="s">
        <v>3483</v>
      </c>
      <c r="E4048" s="24">
        <v>2015</v>
      </c>
      <c r="F4048" s="24">
        <v>2008</v>
      </c>
      <c r="G4048" s="24" t="s">
        <v>2933</v>
      </c>
      <c r="H4048" s="24" t="s">
        <v>3484</v>
      </c>
      <c r="I4048" s="24" t="s">
        <v>3461</v>
      </c>
      <c r="J4048" s="24">
        <f t="shared" si="523"/>
        <v>36.966666666666669</v>
      </c>
      <c r="K4048" s="24">
        <f t="shared" si="524"/>
        <v>109.3</v>
      </c>
      <c r="L4048" s="24">
        <v>1275</v>
      </c>
      <c r="N4048" s="24">
        <v>8.8000000000000007</v>
      </c>
      <c r="P4048" s="24">
        <v>535</v>
      </c>
      <c r="R4048" s="42" t="s">
        <v>1858</v>
      </c>
      <c r="S4048" s="42" t="s">
        <v>1982</v>
      </c>
      <c r="T4048" s="42"/>
      <c r="U4048" s="42" t="s">
        <v>3487</v>
      </c>
      <c r="V4048" s="42" t="s">
        <v>3489</v>
      </c>
      <c r="W4048" s="42" t="s">
        <v>3499</v>
      </c>
      <c r="X4048" s="42" t="s">
        <v>3489</v>
      </c>
      <c r="Y4048" s="42" t="s">
        <v>3489</v>
      </c>
      <c r="Z4048" s="24">
        <v>1.1599999999999999</v>
      </c>
      <c r="AA4048" s="321">
        <v>21.05</v>
      </c>
      <c r="AB4048" s="321">
        <v>74.489999999999995</v>
      </c>
      <c r="AC4048" s="24" t="s">
        <v>450</v>
      </c>
      <c r="AD4048" s="24">
        <v>8.1999999999999993</v>
      </c>
      <c r="AE4048" s="24">
        <v>0.46500000000000002</v>
      </c>
      <c r="AH4048" s="24" t="s">
        <v>3486</v>
      </c>
      <c r="AI4048" s="24" t="s">
        <v>577</v>
      </c>
      <c r="AJ4048" s="24" t="s">
        <v>3485</v>
      </c>
      <c r="AK4048" s="24" t="s">
        <v>3556</v>
      </c>
      <c r="AW4048" s="24" t="s">
        <v>160</v>
      </c>
      <c r="BD4048" s="24" t="s">
        <v>3494</v>
      </c>
      <c r="BE4048" s="24" t="s">
        <v>3492</v>
      </c>
      <c r="BP4048" s="395"/>
      <c r="BQ4048" s="395"/>
      <c r="BU4048" s="395"/>
      <c r="BV4048" s="395"/>
      <c r="BZ4048" s="395"/>
      <c r="CA4048" s="395"/>
      <c r="CE4048" s="548"/>
      <c r="CF4048" s="548"/>
      <c r="CG4048" s="548"/>
      <c r="CH4048" s="548"/>
      <c r="FL4048" s="24">
        <f>1.16*0.1*72</f>
        <v>8.3520000000000003</v>
      </c>
      <c r="FM4048" s="24">
        <f>1.16*0.1*68</f>
        <v>7.8879999999999999</v>
      </c>
      <c r="FP4048" s="24" t="s">
        <v>3497</v>
      </c>
      <c r="JD4048" s="249"/>
    </row>
    <row r="4049" spans="1:264" s="24" customFormat="1" x14ac:dyDescent="0.25">
      <c r="A4049" s="24">
        <v>176</v>
      </c>
      <c r="B4049" s="42" t="s">
        <v>3531</v>
      </c>
      <c r="C4049" s="24" t="s">
        <v>3482</v>
      </c>
      <c r="D4049" s="24" t="s">
        <v>3483</v>
      </c>
      <c r="E4049" s="24">
        <v>2015</v>
      </c>
      <c r="F4049" s="24">
        <v>2008</v>
      </c>
      <c r="G4049" s="24" t="s">
        <v>2933</v>
      </c>
      <c r="H4049" s="24" t="s">
        <v>3484</v>
      </c>
      <c r="I4049" s="24" t="s">
        <v>3461</v>
      </c>
      <c r="J4049" s="24">
        <f t="shared" si="523"/>
        <v>36.966666666666669</v>
      </c>
      <c r="K4049" s="24">
        <f t="shared" si="524"/>
        <v>109.3</v>
      </c>
      <c r="L4049" s="24">
        <v>1275</v>
      </c>
      <c r="N4049" s="24">
        <v>8.8000000000000007</v>
      </c>
      <c r="P4049" s="24">
        <v>535</v>
      </c>
      <c r="R4049" s="42" t="s">
        <v>1858</v>
      </c>
      <c r="S4049" s="42" t="s">
        <v>1982</v>
      </c>
      <c r="T4049" s="42"/>
      <c r="U4049" s="42" t="s">
        <v>3487</v>
      </c>
      <c r="V4049" s="42" t="s">
        <v>3489</v>
      </c>
      <c r="W4049" s="42" t="s">
        <v>3499</v>
      </c>
      <c r="X4049" s="42" t="s">
        <v>3489</v>
      </c>
      <c r="Y4049" s="42" t="s">
        <v>3489</v>
      </c>
      <c r="Z4049" s="24">
        <v>1.1599999999999999</v>
      </c>
      <c r="AA4049" s="321">
        <v>21.05</v>
      </c>
      <c r="AB4049" s="321">
        <v>74.489999999999995</v>
      </c>
      <c r="AC4049" s="24" t="s">
        <v>450</v>
      </c>
      <c r="AD4049" s="24">
        <v>8.1999999999999993</v>
      </c>
      <c r="AE4049" s="24">
        <v>0.46500000000000002</v>
      </c>
      <c r="AH4049" s="24" t="s">
        <v>3486</v>
      </c>
      <c r="AI4049" s="24" t="s">
        <v>577</v>
      </c>
      <c r="AJ4049" s="24" t="s">
        <v>3485</v>
      </c>
      <c r="AK4049" s="24" t="s">
        <v>3556</v>
      </c>
      <c r="AW4049" s="24" t="s">
        <v>160</v>
      </c>
      <c r="BD4049" s="24" t="s">
        <v>3495</v>
      </c>
      <c r="BE4049" s="24" t="s">
        <v>3492</v>
      </c>
      <c r="BP4049" s="395"/>
      <c r="BQ4049" s="395"/>
      <c r="BU4049" s="395"/>
      <c r="BV4049" s="395"/>
      <c r="BZ4049" s="395"/>
      <c r="CA4049" s="395"/>
      <c r="CE4049" s="548"/>
      <c r="CF4049" s="548"/>
      <c r="CG4049" s="548"/>
      <c r="CH4049" s="548"/>
      <c r="FL4049" s="24">
        <f t="shared" ref="FL4049:FL4050" si="533">1.16*0.1*72</f>
        <v>8.3520000000000003</v>
      </c>
      <c r="FM4049" s="24">
        <f>1.16*0.1*63</f>
        <v>7.3079999999999998</v>
      </c>
      <c r="FP4049" s="24" t="s">
        <v>3497</v>
      </c>
      <c r="JD4049" s="249"/>
    </row>
    <row r="4050" spans="1:264" s="24" customFormat="1" x14ac:dyDescent="0.25">
      <c r="A4050" s="24">
        <v>176</v>
      </c>
      <c r="B4050" s="42" t="s">
        <v>3532</v>
      </c>
      <c r="C4050" s="24" t="s">
        <v>3482</v>
      </c>
      <c r="D4050" s="24" t="s">
        <v>3483</v>
      </c>
      <c r="E4050" s="24">
        <v>2015</v>
      </c>
      <c r="F4050" s="24">
        <v>2008</v>
      </c>
      <c r="G4050" s="24" t="s">
        <v>2933</v>
      </c>
      <c r="H4050" s="24" t="s">
        <v>3484</v>
      </c>
      <c r="I4050" s="24" t="s">
        <v>3461</v>
      </c>
      <c r="J4050" s="24">
        <f t="shared" si="523"/>
        <v>36.966666666666669</v>
      </c>
      <c r="K4050" s="24">
        <f t="shared" si="524"/>
        <v>109.3</v>
      </c>
      <c r="L4050" s="24">
        <v>1275</v>
      </c>
      <c r="N4050" s="24">
        <v>8.8000000000000007</v>
      </c>
      <c r="P4050" s="24">
        <v>535</v>
      </c>
      <c r="R4050" s="42" t="s">
        <v>1858</v>
      </c>
      <c r="S4050" s="42" t="s">
        <v>1982</v>
      </c>
      <c r="T4050" s="42"/>
      <c r="U4050" s="42" t="s">
        <v>3487</v>
      </c>
      <c r="V4050" s="42" t="s">
        <v>3489</v>
      </c>
      <c r="W4050" s="42" t="s">
        <v>3499</v>
      </c>
      <c r="X4050" s="42" t="s">
        <v>3489</v>
      </c>
      <c r="Y4050" s="42" t="s">
        <v>3489</v>
      </c>
      <c r="Z4050" s="24">
        <v>1.1599999999999999</v>
      </c>
      <c r="AA4050" s="321">
        <v>21.05</v>
      </c>
      <c r="AB4050" s="321">
        <v>74.489999999999995</v>
      </c>
      <c r="AC4050" s="24" t="s">
        <v>450</v>
      </c>
      <c r="AD4050" s="24">
        <v>8.1999999999999993</v>
      </c>
      <c r="AE4050" s="24">
        <v>0.46500000000000002</v>
      </c>
      <c r="AH4050" s="24" t="s">
        <v>3486</v>
      </c>
      <c r="AI4050" s="24" t="s">
        <v>577</v>
      </c>
      <c r="AJ4050" s="24" t="s">
        <v>3485</v>
      </c>
      <c r="AK4050" s="24" t="s">
        <v>3556</v>
      </c>
      <c r="AW4050" s="24" t="s">
        <v>160</v>
      </c>
      <c r="BD4050" s="24" t="s">
        <v>3496</v>
      </c>
      <c r="BE4050" s="24" t="s">
        <v>3492</v>
      </c>
      <c r="BP4050" s="395"/>
      <c r="BQ4050" s="395"/>
      <c r="BU4050" s="395"/>
      <c r="BV4050" s="395"/>
      <c r="BZ4050" s="395"/>
      <c r="CA4050" s="395"/>
      <c r="CE4050" s="548"/>
      <c r="CF4050" s="548"/>
      <c r="CG4050" s="548"/>
      <c r="CH4050" s="548"/>
      <c r="FL4050" s="24">
        <f t="shared" si="533"/>
        <v>8.3520000000000003</v>
      </c>
      <c r="FM4050" s="24">
        <f>1.16*0.1*72</f>
        <v>8.3520000000000003</v>
      </c>
      <c r="FP4050" s="24" t="s">
        <v>3497</v>
      </c>
      <c r="JD4050" s="249"/>
    </row>
    <row r="4051" spans="1:264" s="32" customFormat="1" x14ac:dyDescent="0.25">
      <c r="A4051" s="32">
        <v>176</v>
      </c>
      <c r="B4051" s="44" t="s">
        <v>3533</v>
      </c>
      <c r="C4051" s="32" t="s">
        <v>3482</v>
      </c>
      <c r="D4051" s="32" t="s">
        <v>3483</v>
      </c>
      <c r="E4051" s="32">
        <v>2015</v>
      </c>
      <c r="F4051" s="32">
        <v>2008</v>
      </c>
      <c r="G4051" s="32" t="s">
        <v>2933</v>
      </c>
      <c r="H4051" s="32" t="s">
        <v>3484</v>
      </c>
      <c r="I4051" s="32" t="s">
        <v>3461</v>
      </c>
      <c r="J4051" s="32">
        <f t="shared" si="523"/>
        <v>36.966666666666669</v>
      </c>
      <c r="K4051" s="32">
        <f t="shared" si="524"/>
        <v>109.3</v>
      </c>
      <c r="L4051" s="32">
        <v>1275</v>
      </c>
      <c r="N4051" s="32">
        <v>8.8000000000000007</v>
      </c>
      <c r="P4051" s="32">
        <v>535</v>
      </c>
      <c r="R4051" s="44" t="s">
        <v>1858</v>
      </c>
      <c r="S4051" s="44" t="s">
        <v>1982</v>
      </c>
      <c r="T4051" s="44"/>
      <c r="U4051" s="44" t="s">
        <v>3487</v>
      </c>
      <c r="V4051" s="44" t="s">
        <v>1417</v>
      </c>
      <c r="W4051" s="44" t="s">
        <v>1724</v>
      </c>
      <c r="X4051" s="44" t="s">
        <v>1417</v>
      </c>
      <c r="Y4051" s="44" t="s">
        <v>1417</v>
      </c>
      <c r="Z4051" s="32">
        <v>1.1599999999999999</v>
      </c>
      <c r="AA4051" s="323">
        <v>21.05</v>
      </c>
      <c r="AB4051" s="323">
        <v>74.489999999999995</v>
      </c>
      <c r="AC4051" s="32" t="s">
        <v>450</v>
      </c>
      <c r="AD4051" s="32">
        <v>8.1999999999999993</v>
      </c>
      <c r="AE4051" s="32">
        <v>0.46500000000000002</v>
      </c>
      <c r="AH4051" s="32" t="s">
        <v>3486</v>
      </c>
      <c r="AI4051" s="32" t="s">
        <v>577</v>
      </c>
      <c r="AJ4051" s="32" t="s">
        <v>3485</v>
      </c>
      <c r="AK4051" s="32" t="s">
        <v>3556</v>
      </c>
      <c r="AW4051" s="32" t="s">
        <v>160</v>
      </c>
      <c r="BD4051" s="32" t="s">
        <v>3494</v>
      </c>
      <c r="BE4051" s="32" t="s">
        <v>3493</v>
      </c>
      <c r="BP4051" s="397"/>
      <c r="BQ4051" s="397"/>
      <c r="BU4051" s="397"/>
      <c r="BV4051" s="397"/>
      <c r="BZ4051" s="397"/>
      <c r="CA4051" s="397"/>
      <c r="CE4051" s="550"/>
      <c r="CF4051" s="550"/>
      <c r="CG4051" s="550"/>
      <c r="CH4051" s="550"/>
      <c r="FL4051" s="32">
        <v>13.34</v>
      </c>
      <c r="FM4051" s="32">
        <f>1.16*0.1*106</f>
        <v>12.295999999999999</v>
      </c>
      <c r="FP4051" s="32" t="s">
        <v>3497</v>
      </c>
      <c r="JD4051" s="243"/>
    </row>
    <row r="4052" spans="1:264" s="32" customFormat="1" x14ac:dyDescent="0.25">
      <c r="A4052" s="32">
        <v>176</v>
      </c>
      <c r="B4052" s="44" t="s">
        <v>3534</v>
      </c>
      <c r="C4052" s="32" t="s">
        <v>3482</v>
      </c>
      <c r="D4052" s="32" t="s">
        <v>3483</v>
      </c>
      <c r="E4052" s="32">
        <v>2015</v>
      </c>
      <c r="F4052" s="32">
        <v>2008</v>
      </c>
      <c r="G4052" s="32" t="s">
        <v>2933</v>
      </c>
      <c r="H4052" s="32" t="s">
        <v>3484</v>
      </c>
      <c r="I4052" s="32" t="s">
        <v>3461</v>
      </c>
      <c r="J4052" s="32">
        <f t="shared" si="523"/>
        <v>36.966666666666669</v>
      </c>
      <c r="K4052" s="32">
        <f t="shared" si="524"/>
        <v>109.3</v>
      </c>
      <c r="L4052" s="32">
        <v>1275</v>
      </c>
      <c r="N4052" s="32">
        <v>8.8000000000000007</v>
      </c>
      <c r="P4052" s="32">
        <v>535</v>
      </c>
      <c r="R4052" s="44" t="s">
        <v>1858</v>
      </c>
      <c r="S4052" s="44" t="s">
        <v>1982</v>
      </c>
      <c r="T4052" s="44"/>
      <c r="U4052" s="44" t="s">
        <v>3487</v>
      </c>
      <c r="V4052" s="44" t="s">
        <v>1417</v>
      </c>
      <c r="W4052" s="44" t="s">
        <v>1724</v>
      </c>
      <c r="X4052" s="44" t="s">
        <v>1417</v>
      </c>
      <c r="Y4052" s="44" t="s">
        <v>1417</v>
      </c>
      <c r="Z4052" s="32">
        <v>1.1599999999999999</v>
      </c>
      <c r="AA4052" s="323">
        <v>21.05</v>
      </c>
      <c r="AB4052" s="323">
        <v>74.489999999999995</v>
      </c>
      <c r="AC4052" s="32" t="s">
        <v>450</v>
      </c>
      <c r="AD4052" s="32">
        <v>8.1999999999999993</v>
      </c>
      <c r="AE4052" s="32">
        <v>0.46500000000000002</v>
      </c>
      <c r="AH4052" s="32" t="s">
        <v>3486</v>
      </c>
      <c r="AI4052" s="32" t="s">
        <v>577</v>
      </c>
      <c r="AJ4052" s="32" t="s">
        <v>3485</v>
      </c>
      <c r="AK4052" s="32" t="s">
        <v>3556</v>
      </c>
      <c r="AW4052" s="32" t="s">
        <v>160</v>
      </c>
      <c r="BD4052" s="32" t="s">
        <v>3495</v>
      </c>
      <c r="BE4052" s="32" t="s">
        <v>3493</v>
      </c>
      <c r="BP4052" s="397"/>
      <c r="BQ4052" s="397"/>
      <c r="BU4052" s="397"/>
      <c r="BV4052" s="397"/>
      <c r="BZ4052" s="397"/>
      <c r="CA4052" s="397"/>
      <c r="CE4052" s="550"/>
      <c r="CF4052" s="550"/>
      <c r="CG4052" s="550"/>
      <c r="CH4052" s="550"/>
      <c r="FL4052" s="32">
        <v>13.34</v>
      </c>
      <c r="FM4052" s="32">
        <f>1.16*0.1*100</f>
        <v>11.6</v>
      </c>
      <c r="FP4052" s="32" t="s">
        <v>3497</v>
      </c>
      <c r="JD4052" s="243"/>
    </row>
    <row r="4053" spans="1:264" s="32" customFormat="1" x14ac:dyDescent="0.25">
      <c r="A4053" s="32">
        <v>176</v>
      </c>
      <c r="B4053" s="44" t="s">
        <v>3535</v>
      </c>
      <c r="C4053" s="32" t="s">
        <v>3482</v>
      </c>
      <c r="D4053" s="32" t="s">
        <v>3483</v>
      </c>
      <c r="E4053" s="32">
        <v>2015</v>
      </c>
      <c r="F4053" s="32">
        <v>2008</v>
      </c>
      <c r="G4053" s="32" t="s">
        <v>2933</v>
      </c>
      <c r="H4053" s="32" t="s">
        <v>3484</v>
      </c>
      <c r="I4053" s="32" t="s">
        <v>3461</v>
      </c>
      <c r="J4053" s="32">
        <f t="shared" si="523"/>
        <v>36.966666666666669</v>
      </c>
      <c r="K4053" s="32">
        <f t="shared" si="524"/>
        <v>109.3</v>
      </c>
      <c r="L4053" s="32">
        <v>1275</v>
      </c>
      <c r="N4053" s="32">
        <v>8.8000000000000007</v>
      </c>
      <c r="P4053" s="32">
        <v>535</v>
      </c>
      <c r="R4053" s="44" t="s">
        <v>1858</v>
      </c>
      <c r="S4053" s="44" t="s">
        <v>1982</v>
      </c>
      <c r="T4053" s="44"/>
      <c r="U4053" s="44" t="s">
        <v>3487</v>
      </c>
      <c r="V4053" s="44" t="s">
        <v>1417</v>
      </c>
      <c r="W4053" s="44" t="s">
        <v>1724</v>
      </c>
      <c r="X4053" s="44" t="s">
        <v>1417</v>
      </c>
      <c r="Y4053" s="44" t="s">
        <v>1417</v>
      </c>
      <c r="Z4053" s="32">
        <v>1.1599999999999999</v>
      </c>
      <c r="AA4053" s="323">
        <v>21.05</v>
      </c>
      <c r="AB4053" s="323">
        <v>74.489999999999995</v>
      </c>
      <c r="AC4053" s="32" t="s">
        <v>450</v>
      </c>
      <c r="AD4053" s="32">
        <v>8.1999999999999993</v>
      </c>
      <c r="AE4053" s="32">
        <v>0.46500000000000002</v>
      </c>
      <c r="AH4053" s="32" t="s">
        <v>3486</v>
      </c>
      <c r="AI4053" s="32" t="s">
        <v>577</v>
      </c>
      <c r="AJ4053" s="32" t="s">
        <v>3485</v>
      </c>
      <c r="AK4053" s="32" t="s">
        <v>3556</v>
      </c>
      <c r="AW4053" s="32" t="s">
        <v>160</v>
      </c>
      <c r="BD4053" s="32" t="s">
        <v>3496</v>
      </c>
      <c r="BE4053" s="32" t="s">
        <v>3493</v>
      </c>
      <c r="BP4053" s="397"/>
      <c r="BQ4053" s="397"/>
      <c r="BU4053" s="397"/>
      <c r="BV4053" s="397"/>
      <c r="BZ4053" s="397"/>
      <c r="CA4053" s="397"/>
      <c r="CE4053" s="550"/>
      <c r="CF4053" s="550"/>
      <c r="CG4053" s="550"/>
      <c r="CH4053" s="550"/>
      <c r="FL4053" s="32">
        <v>13.34</v>
      </c>
      <c r="FM4053" s="32">
        <f>1.16*0.1*123</f>
        <v>14.267999999999999</v>
      </c>
      <c r="FP4053" s="32" t="s">
        <v>3497</v>
      </c>
      <c r="JD4053" s="243"/>
    </row>
    <row r="4054" spans="1:264" s="105" customFormat="1" x14ac:dyDescent="0.25">
      <c r="A4054" s="105">
        <v>176</v>
      </c>
      <c r="B4054" s="44" t="s">
        <v>3536</v>
      </c>
      <c r="C4054" s="105" t="s">
        <v>3482</v>
      </c>
      <c r="D4054" s="105" t="s">
        <v>3483</v>
      </c>
      <c r="E4054" s="105">
        <v>2015</v>
      </c>
      <c r="F4054" s="105">
        <v>2008</v>
      </c>
      <c r="G4054" s="105" t="s">
        <v>2933</v>
      </c>
      <c r="H4054" s="105" t="s">
        <v>3484</v>
      </c>
      <c r="I4054" s="105" t="s">
        <v>3461</v>
      </c>
      <c r="J4054" s="105">
        <f t="shared" si="523"/>
        <v>36.966666666666669</v>
      </c>
      <c r="K4054" s="105">
        <f t="shared" si="524"/>
        <v>109.3</v>
      </c>
      <c r="L4054" s="105">
        <v>1275</v>
      </c>
      <c r="N4054" s="105">
        <v>8.8000000000000007</v>
      </c>
      <c r="P4054" s="105">
        <v>535</v>
      </c>
      <c r="R4054" s="106" t="s">
        <v>1858</v>
      </c>
      <c r="S4054" s="106" t="s">
        <v>1982</v>
      </c>
      <c r="T4054" s="106"/>
      <c r="U4054" s="106" t="s">
        <v>3487</v>
      </c>
      <c r="V4054" s="106" t="s">
        <v>3488</v>
      </c>
      <c r="W4054" s="106" t="s">
        <v>3498</v>
      </c>
      <c r="X4054" s="106" t="s">
        <v>3488</v>
      </c>
      <c r="Y4054" s="106" t="s">
        <v>3488</v>
      </c>
      <c r="Z4054" s="105">
        <v>1.1599999999999999</v>
      </c>
      <c r="AA4054" s="354">
        <v>21.05</v>
      </c>
      <c r="AB4054" s="354">
        <v>74.489999999999995</v>
      </c>
      <c r="AC4054" s="105" t="s">
        <v>450</v>
      </c>
      <c r="AD4054" s="105">
        <v>8.1999999999999993</v>
      </c>
      <c r="AE4054" s="105">
        <v>0.46500000000000002</v>
      </c>
      <c r="AH4054" s="105" t="s">
        <v>3486</v>
      </c>
      <c r="AI4054" s="105" t="s">
        <v>577</v>
      </c>
      <c r="AJ4054" s="105" t="s">
        <v>3485</v>
      </c>
      <c r="AK4054" s="105" t="s">
        <v>3556</v>
      </c>
      <c r="AW4054" s="105" t="s">
        <v>160</v>
      </c>
      <c r="BD4054" s="105" t="s">
        <v>3494</v>
      </c>
      <c r="BE4054" s="32" t="s">
        <v>3493</v>
      </c>
      <c r="BP4054" s="429"/>
      <c r="BQ4054" s="429"/>
      <c r="BU4054" s="429"/>
      <c r="BV4054" s="429"/>
      <c r="BZ4054" s="429"/>
      <c r="CA4054" s="429"/>
      <c r="CE4054" s="582"/>
      <c r="CF4054" s="582"/>
      <c r="CG4054" s="582"/>
      <c r="CH4054" s="582"/>
      <c r="FL4054" s="105">
        <v>15.659999999999998</v>
      </c>
      <c r="FM4054" s="105">
        <f>1.16*0.1*125</f>
        <v>14.499999999999998</v>
      </c>
      <c r="FP4054" s="105" t="s">
        <v>3497</v>
      </c>
      <c r="JD4054" s="499"/>
    </row>
    <row r="4055" spans="1:264" s="105" customFormat="1" x14ac:dyDescent="0.25">
      <c r="A4055" s="105">
        <v>176</v>
      </c>
      <c r="B4055" s="44" t="s">
        <v>3537</v>
      </c>
      <c r="C4055" s="105" t="s">
        <v>3482</v>
      </c>
      <c r="D4055" s="105" t="s">
        <v>3483</v>
      </c>
      <c r="E4055" s="105">
        <v>2015</v>
      </c>
      <c r="F4055" s="105">
        <v>2008</v>
      </c>
      <c r="G4055" s="105" t="s">
        <v>2933</v>
      </c>
      <c r="H4055" s="105" t="s">
        <v>3484</v>
      </c>
      <c r="I4055" s="105" t="s">
        <v>3461</v>
      </c>
      <c r="J4055" s="105">
        <f t="shared" si="523"/>
        <v>36.966666666666669</v>
      </c>
      <c r="K4055" s="105">
        <f t="shared" si="524"/>
        <v>109.3</v>
      </c>
      <c r="L4055" s="105">
        <v>1275</v>
      </c>
      <c r="N4055" s="105">
        <v>8.8000000000000007</v>
      </c>
      <c r="P4055" s="105">
        <v>535</v>
      </c>
      <c r="R4055" s="106" t="s">
        <v>1858</v>
      </c>
      <c r="S4055" s="106" t="s">
        <v>1982</v>
      </c>
      <c r="T4055" s="106"/>
      <c r="U4055" s="106" t="s">
        <v>3487</v>
      </c>
      <c r="V4055" s="106" t="s">
        <v>3488</v>
      </c>
      <c r="W4055" s="106" t="s">
        <v>3498</v>
      </c>
      <c r="X4055" s="106" t="s">
        <v>3488</v>
      </c>
      <c r="Y4055" s="106" t="s">
        <v>3488</v>
      </c>
      <c r="Z4055" s="105">
        <v>1.1599999999999999</v>
      </c>
      <c r="AA4055" s="354">
        <v>21.05</v>
      </c>
      <c r="AB4055" s="354">
        <v>74.489999999999995</v>
      </c>
      <c r="AC4055" s="105" t="s">
        <v>450</v>
      </c>
      <c r="AD4055" s="105">
        <v>8.1999999999999993</v>
      </c>
      <c r="AE4055" s="105">
        <v>0.46500000000000002</v>
      </c>
      <c r="AH4055" s="105" t="s">
        <v>3486</v>
      </c>
      <c r="AI4055" s="105" t="s">
        <v>577</v>
      </c>
      <c r="AJ4055" s="105" t="s">
        <v>3485</v>
      </c>
      <c r="AK4055" s="105" t="s">
        <v>3556</v>
      </c>
      <c r="AW4055" s="105" t="s">
        <v>160</v>
      </c>
      <c r="BD4055" s="105" t="s">
        <v>3495</v>
      </c>
      <c r="BE4055" s="32" t="s">
        <v>3493</v>
      </c>
      <c r="BP4055" s="429"/>
      <c r="BQ4055" s="429"/>
      <c r="BU4055" s="429"/>
      <c r="BV4055" s="429"/>
      <c r="BZ4055" s="429"/>
      <c r="CA4055" s="429"/>
      <c r="CE4055" s="582"/>
      <c r="CF4055" s="582"/>
      <c r="CG4055" s="582"/>
      <c r="CH4055" s="582"/>
      <c r="FL4055" s="105">
        <v>15.659999999999998</v>
      </c>
      <c r="FM4055" s="105">
        <f>1.16*0.1*114</f>
        <v>13.223999999999998</v>
      </c>
      <c r="FP4055" s="105" t="s">
        <v>3497</v>
      </c>
      <c r="JD4055" s="499"/>
    </row>
    <row r="4056" spans="1:264" s="105" customFormat="1" x14ac:dyDescent="0.25">
      <c r="A4056" s="105">
        <v>176</v>
      </c>
      <c r="B4056" s="44" t="s">
        <v>3538</v>
      </c>
      <c r="C4056" s="105" t="s">
        <v>3482</v>
      </c>
      <c r="D4056" s="105" t="s">
        <v>3483</v>
      </c>
      <c r="E4056" s="105">
        <v>2015</v>
      </c>
      <c r="F4056" s="105">
        <v>2008</v>
      </c>
      <c r="G4056" s="105" t="s">
        <v>2933</v>
      </c>
      <c r="H4056" s="105" t="s">
        <v>3484</v>
      </c>
      <c r="I4056" s="105" t="s">
        <v>3461</v>
      </c>
      <c r="J4056" s="105">
        <f t="shared" si="523"/>
        <v>36.966666666666669</v>
      </c>
      <c r="K4056" s="105">
        <f t="shared" si="524"/>
        <v>109.3</v>
      </c>
      <c r="L4056" s="105">
        <v>1275</v>
      </c>
      <c r="N4056" s="105">
        <v>8.8000000000000007</v>
      </c>
      <c r="P4056" s="105">
        <v>535</v>
      </c>
      <c r="R4056" s="106" t="s">
        <v>1858</v>
      </c>
      <c r="S4056" s="106" t="s">
        <v>1982</v>
      </c>
      <c r="T4056" s="106"/>
      <c r="U4056" s="106" t="s">
        <v>3487</v>
      </c>
      <c r="V4056" s="106" t="s">
        <v>3488</v>
      </c>
      <c r="W4056" s="106" t="s">
        <v>3498</v>
      </c>
      <c r="X4056" s="106" t="s">
        <v>3488</v>
      </c>
      <c r="Y4056" s="106" t="s">
        <v>3488</v>
      </c>
      <c r="Z4056" s="105">
        <v>1.1599999999999999</v>
      </c>
      <c r="AA4056" s="354">
        <v>21.05</v>
      </c>
      <c r="AB4056" s="354">
        <v>74.489999999999995</v>
      </c>
      <c r="AC4056" s="105" t="s">
        <v>450</v>
      </c>
      <c r="AD4056" s="105">
        <v>8.1999999999999993</v>
      </c>
      <c r="AE4056" s="105">
        <v>0.46500000000000002</v>
      </c>
      <c r="AH4056" s="105" t="s">
        <v>3486</v>
      </c>
      <c r="AI4056" s="105" t="s">
        <v>577</v>
      </c>
      <c r="AJ4056" s="105" t="s">
        <v>3485</v>
      </c>
      <c r="AK4056" s="105" t="s">
        <v>3556</v>
      </c>
      <c r="AW4056" s="105" t="s">
        <v>160</v>
      </c>
      <c r="BD4056" s="105" t="s">
        <v>3496</v>
      </c>
      <c r="BE4056" s="32" t="s">
        <v>3493</v>
      </c>
      <c r="BP4056" s="429"/>
      <c r="BQ4056" s="429"/>
      <c r="BU4056" s="429"/>
      <c r="BV4056" s="429"/>
      <c r="BZ4056" s="429"/>
      <c r="CA4056" s="429"/>
      <c r="CE4056" s="582"/>
      <c r="CF4056" s="582"/>
      <c r="CG4056" s="582"/>
      <c r="CH4056" s="582"/>
      <c r="FL4056" s="105">
        <v>15.659999999999998</v>
      </c>
      <c r="FM4056" s="105">
        <f>1.16*0.1*135</f>
        <v>15.659999999999998</v>
      </c>
      <c r="FP4056" s="105" t="s">
        <v>3497</v>
      </c>
      <c r="JD4056" s="499"/>
    </row>
    <row r="4057" spans="1:264" s="32" customFormat="1" x14ac:dyDescent="0.25">
      <c r="A4057" s="32">
        <v>176</v>
      </c>
      <c r="B4057" s="44" t="s">
        <v>3539</v>
      </c>
      <c r="C4057" s="32" t="s">
        <v>3482</v>
      </c>
      <c r="D4057" s="32" t="s">
        <v>3483</v>
      </c>
      <c r="E4057" s="32">
        <v>2015</v>
      </c>
      <c r="F4057" s="32">
        <v>2008</v>
      </c>
      <c r="G4057" s="32" t="s">
        <v>2933</v>
      </c>
      <c r="H4057" s="32" t="s">
        <v>3484</v>
      </c>
      <c r="I4057" s="32" t="s">
        <v>3461</v>
      </c>
      <c r="J4057" s="32">
        <f t="shared" si="523"/>
        <v>36.966666666666669</v>
      </c>
      <c r="K4057" s="32">
        <f t="shared" si="524"/>
        <v>109.3</v>
      </c>
      <c r="L4057" s="32">
        <v>1275</v>
      </c>
      <c r="N4057" s="32">
        <v>8.8000000000000007</v>
      </c>
      <c r="P4057" s="32">
        <v>535</v>
      </c>
      <c r="R4057" s="44" t="s">
        <v>1858</v>
      </c>
      <c r="S4057" s="44" t="s">
        <v>1982</v>
      </c>
      <c r="T4057" s="44"/>
      <c r="U4057" s="44" t="s">
        <v>3487</v>
      </c>
      <c r="V4057" s="44" t="s">
        <v>3489</v>
      </c>
      <c r="W4057" s="44" t="s">
        <v>3499</v>
      </c>
      <c r="X4057" s="44" t="s">
        <v>3489</v>
      </c>
      <c r="Y4057" s="44" t="s">
        <v>3489</v>
      </c>
      <c r="Z4057" s="32">
        <v>1.1599999999999999</v>
      </c>
      <c r="AA4057" s="323">
        <v>21.05</v>
      </c>
      <c r="AB4057" s="323">
        <v>74.489999999999995</v>
      </c>
      <c r="AC4057" s="32" t="s">
        <v>450</v>
      </c>
      <c r="AD4057" s="32">
        <v>8.1999999999999993</v>
      </c>
      <c r="AE4057" s="32">
        <v>0.46500000000000002</v>
      </c>
      <c r="AH4057" s="32" t="s">
        <v>3486</v>
      </c>
      <c r="AI4057" s="32" t="s">
        <v>577</v>
      </c>
      <c r="AJ4057" s="32" t="s">
        <v>3485</v>
      </c>
      <c r="AK4057" s="32" t="s">
        <v>3556</v>
      </c>
      <c r="AW4057" s="32" t="s">
        <v>160</v>
      </c>
      <c r="BD4057" s="32" t="s">
        <v>3494</v>
      </c>
      <c r="BE4057" s="32" t="s">
        <v>3493</v>
      </c>
      <c r="BP4057" s="397"/>
      <c r="BQ4057" s="397"/>
      <c r="BU4057" s="397"/>
      <c r="BV4057" s="397"/>
      <c r="BZ4057" s="397"/>
      <c r="CA4057" s="397"/>
      <c r="CE4057" s="550"/>
      <c r="CF4057" s="550"/>
      <c r="CG4057" s="550"/>
      <c r="CH4057" s="550"/>
      <c r="FL4057" s="32">
        <v>15.543999999999999</v>
      </c>
      <c r="FM4057" s="32">
        <f>1.16*0.1*115</f>
        <v>13.34</v>
      </c>
      <c r="FP4057" s="32" t="s">
        <v>3497</v>
      </c>
      <c r="JD4057" s="243"/>
    </row>
    <row r="4058" spans="1:264" s="32" customFormat="1" x14ac:dyDescent="0.25">
      <c r="A4058" s="32">
        <v>176</v>
      </c>
      <c r="B4058" s="44" t="s">
        <v>3540</v>
      </c>
      <c r="C4058" s="32" t="s">
        <v>3482</v>
      </c>
      <c r="D4058" s="32" t="s">
        <v>3483</v>
      </c>
      <c r="E4058" s="32">
        <v>2015</v>
      </c>
      <c r="F4058" s="32">
        <v>2008</v>
      </c>
      <c r="G4058" s="32" t="s">
        <v>2933</v>
      </c>
      <c r="H4058" s="32" t="s">
        <v>3484</v>
      </c>
      <c r="I4058" s="32" t="s">
        <v>3461</v>
      </c>
      <c r="J4058" s="32">
        <f t="shared" si="523"/>
        <v>36.966666666666669</v>
      </c>
      <c r="K4058" s="32">
        <f t="shared" si="524"/>
        <v>109.3</v>
      </c>
      <c r="L4058" s="32">
        <v>1275</v>
      </c>
      <c r="N4058" s="32">
        <v>8.8000000000000007</v>
      </c>
      <c r="P4058" s="32">
        <v>535</v>
      </c>
      <c r="R4058" s="44" t="s">
        <v>1858</v>
      </c>
      <c r="S4058" s="44" t="s">
        <v>1982</v>
      </c>
      <c r="T4058" s="44"/>
      <c r="U4058" s="44" t="s">
        <v>3487</v>
      </c>
      <c r="V4058" s="44" t="s">
        <v>3489</v>
      </c>
      <c r="W4058" s="44" t="s">
        <v>3499</v>
      </c>
      <c r="X4058" s="44" t="s">
        <v>3489</v>
      </c>
      <c r="Y4058" s="44" t="s">
        <v>3489</v>
      </c>
      <c r="Z4058" s="32">
        <v>1.1599999999999999</v>
      </c>
      <c r="AA4058" s="323">
        <v>21.05</v>
      </c>
      <c r="AB4058" s="323">
        <v>74.489999999999995</v>
      </c>
      <c r="AC4058" s="32" t="s">
        <v>450</v>
      </c>
      <c r="AD4058" s="32">
        <v>8.1999999999999993</v>
      </c>
      <c r="AE4058" s="32">
        <v>0.46500000000000002</v>
      </c>
      <c r="AH4058" s="32" t="s">
        <v>3486</v>
      </c>
      <c r="AI4058" s="32" t="s">
        <v>577</v>
      </c>
      <c r="AJ4058" s="32" t="s">
        <v>3485</v>
      </c>
      <c r="AK4058" s="32" t="s">
        <v>3556</v>
      </c>
      <c r="AW4058" s="32" t="s">
        <v>160</v>
      </c>
      <c r="BD4058" s="32" t="s">
        <v>3495</v>
      </c>
      <c r="BE4058" s="32" t="s">
        <v>3493</v>
      </c>
      <c r="BP4058" s="397"/>
      <c r="BQ4058" s="397"/>
      <c r="BU4058" s="397"/>
      <c r="BV4058" s="397"/>
      <c r="BZ4058" s="397"/>
      <c r="CA4058" s="397"/>
      <c r="CE4058" s="550"/>
      <c r="CF4058" s="550"/>
      <c r="CG4058" s="550"/>
      <c r="CH4058" s="550"/>
      <c r="FL4058" s="32">
        <v>15.543999999999999</v>
      </c>
      <c r="FM4058" s="32">
        <f>1.16*0.1*99</f>
        <v>11.484</v>
      </c>
      <c r="FP4058" s="32" t="s">
        <v>3497</v>
      </c>
      <c r="JD4058" s="243"/>
    </row>
    <row r="4059" spans="1:264" s="32" customFormat="1" x14ac:dyDescent="0.25">
      <c r="A4059" s="32">
        <v>176</v>
      </c>
      <c r="B4059" s="44" t="s">
        <v>3541</v>
      </c>
      <c r="C4059" s="32" t="s">
        <v>3482</v>
      </c>
      <c r="D4059" s="32" t="s">
        <v>3483</v>
      </c>
      <c r="E4059" s="32">
        <v>2015</v>
      </c>
      <c r="F4059" s="32">
        <v>2008</v>
      </c>
      <c r="G4059" s="32" t="s">
        <v>2933</v>
      </c>
      <c r="H4059" s="32" t="s">
        <v>3484</v>
      </c>
      <c r="I4059" s="32" t="s">
        <v>3461</v>
      </c>
      <c r="J4059" s="32">
        <f t="shared" si="523"/>
        <v>36.966666666666669</v>
      </c>
      <c r="K4059" s="32">
        <f t="shared" si="524"/>
        <v>109.3</v>
      </c>
      <c r="L4059" s="32">
        <v>1275</v>
      </c>
      <c r="N4059" s="32">
        <v>8.8000000000000007</v>
      </c>
      <c r="P4059" s="32">
        <v>535</v>
      </c>
      <c r="R4059" s="44" t="s">
        <v>1858</v>
      </c>
      <c r="S4059" s="44" t="s">
        <v>1982</v>
      </c>
      <c r="T4059" s="44"/>
      <c r="U4059" s="44" t="s">
        <v>3487</v>
      </c>
      <c r="V4059" s="44" t="s">
        <v>3489</v>
      </c>
      <c r="W4059" s="44" t="s">
        <v>3499</v>
      </c>
      <c r="X4059" s="44" t="s">
        <v>3489</v>
      </c>
      <c r="Y4059" s="44" t="s">
        <v>3489</v>
      </c>
      <c r="Z4059" s="32">
        <v>1.1599999999999999</v>
      </c>
      <c r="AA4059" s="323">
        <v>21.05</v>
      </c>
      <c r="AB4059" s="323">
        <v>74.489999999999995</v>
      </c>
      <c r="AC4059" s="32" t="s">
        <v>450</v>
      </c>
      <c r="AD4059" s="32">
        <v>8.1999999999999993</v>
      </c>
      <c r="AE4059" s="32">
        <v>0.46500000000000002</v>
      </c>
      <c r="AH4059" s="32" t="s">
        <v>3486</v>
      </c>
      <c r="AI4059" s="32" t="s">
        <v>577</v>
      </c>
      <c r="AJ4059" s="32" t="s">
        <v>3485</v>
      </c>
      <c r="AK4059" s="32" t="s">
        <v>3556</v>
      </c>
      <c r="AW4059" s="32" t="s">
        <v>160</v>
      </c>
      <c r="BD4059" s="32" t="s">
        <v>3496</v>
      </c>
      <c r="BE4059" s="32" t="s">
        <v>3493</v>
      </c>
      <c r="BP4059" s="397"/>
      <c r="BQ4059" s="397"/>
      <c r="BU4059" s="397"/>
      <c r="BV4059" s="397"/>
      <c r="BZ4059" s="397"/>
      <c r="CA4059" s="397"/>
      <c r="CE4059" s="550"/>
      <c r="CF4059" s="550"/>
      <c r="CG4059" s="550"/>
      <c r="CH4059" s="550"/>
      <c r="FL4059" s="32">
        <v>15.543999999999999</v>
      </c>
      <c r="FM4059" s="32">
        <f>1.16*0.1*135</f>
        <v>15.659999999999998</v>
      </c>
      <c r="FP4059" s="32" t="s">
        <v>3497</v>
      </c>
      <c r="JD4059" s="243"/>
    </row>
    <row r="4060" spans="1:264" s="24" customFormat="1" x14ac:dyDescent="0.25">
      <c r="A4060" s="24">
        <v>176</v>
      </c>
      <c r="B4060" s="42" t="s">
        <v>3542</v>
      </c>
      <c r="C4060" s="24" t="s">
        <v>3482</v>
      </c>
      <c r="D4060" s="24" t="s">
        <v>3483</v>
      </c>
      <c r="E4060" s="24">
        <v>2015</v>
      </c>
      <c r="F4060" s="24">
        <v>2008</v>
      </c>
      <c r="G4060" s="24" t="s">
        <v>2933</v>
      </c>
      <c r="H4060" s="24" t="s">
        <v>3484</v>
      </c>
      <c r="I4060" s="24" t="s">
        <v>3461</v>
      </c>
      <c r="J4060" s="24">
        <f t="shared" si="523"/>
        <v>36.966666666666669</v>
      </c>
      <c r="K4060" s="24">
        <f t="shared" si="524"/>
        <v>109.3</v>
      </c>
      <c r="L4060" s="24">
        <v>1275</v>
      </c>
      <c r="N4060" s="24">
        <v>8.8000000000000007</v>
      </c>
      <c r="P4060" s="24">
        <v>535</v>
      </c>
      <c r="R4060" s="42" t="s">
        <v>1858</v>
      </c>
      <c r="S4060" s="42" t="s">
        <v>1982</v>
      </c>
      <c r="T4060" s="42"/>
      <c r="U4060" s="42" t="s">
        <v>3487</v>
      </c>
      <c r="V4060" s="42" t="s">
        <v>1379</v>
      </c>
      <c r="W4060" s="42" t="s">
        <v>1715</v>
      </c>
      <c r="X4060" s="42" t="s">
        <v>1379</v>
      </c>
      <c r="Y4060" s="42" t="s">
        <v>1379</v>
      </c>
      <c r="Z4060" s="24">
        <v>1.1599999999999999</v>
      </c>
      <c r="AA4060" s="321">
        <v>21.05</v>
      </c>
      <c r="AB4060" s="321">
        <v>74.489999999999995</v>
      </c>
      <c r="AC4060" s="24" t="s">
        <v>450</v>
      </c>
      <c r="AD4060" s="24">
        <v>8.1999999999999993</v>
      </c>
      <c r="AE4060" s="24">
        <v>0.46500000000000002</v>
      </c>
      <c r="AH4060" s="24" t="s">
        <v>3486</v>
      </c>
      <c r="AI4060" s="24" t="s">
        <v>577</v>
      </c>
      <c r="AJ4060" s="24" t="s">
        <v>3485</v>
      </c>
      <c r="AK4060" s="24" t="s">
        <v>3556</v>
      </c>
      <c r="AW4060" s="24" t="s">
        <v>160</v>
      </c>
      <c r="BD4060" s="24" t="s">
        <v>3494</v>
      </c>
      <c r="BE4060" s="24" t="s">
        <v>3490</v>
      </c>
      <c r="BK4060" s="24">
        <v>4260</v>
      </c>
      <c r="BL4060" s="24">
        <v>3250</v>
      </c>
      <c r="BO4060" s="24" t="s">
        <v>3505</v>
      </c>
      <c r="BP4060" s="395"/>
      <c r="BQ4060" s="395"/>
      <c r="BU4060" s="395">
        <v>0.442</v>
      </c>
      <c r="BV4060" s="395">
        <v>0.69799999999999995</v>
      </c>
      <c r="BY4060" s="24" t="s">
        <v>3502</v>
      </c>
      <c r="BZ4060" s="395"/>
      <c r="CA4060" s="395"/>
      <c r="CE4060" s="548">
        <v>0.442</v>
      </c>
      <c r="CF4060" s="548">
        <v>0.69799999999999995</v>
      </c>
      <c r="CG4060" s="548"/>
      <c r="CH4060" s="548"/>
      <c r="CI4060" s="24" t="s">
        <v>4545</v>
      </c>
      <c r="CJ4060" s="24">
        <v>350</v>
      </c>
      <c r="CK4060" s="24">
        <v>430</v>
      </c>
      <c r="CN4060" s="24" t="s">
        <v>3503</v>
      </c>
      <c r="CO4060" s="24">
        <v>570</v>
      </c>
      <c r="CP4060" s="24">
        <v>590</v>
      </c>
      <c r="CS4060" s="24" t="s">
        <v>3504</v>
      </c>
      <c r="JD4060" s="249"/>
    </row>
    <row r="4061" spans="1:264" s="24" customFormat="1" x14ac:dyDescent="0.25">
      <c r="A4061" s="24">
        <v>176</v>
      </c>
      <c r="B4061" s="42" t="s">
        <v>3543</v>
      </c>
      <c r="C4061" s="24" t="s">
        <v>3482</v>
      </c>
      <c r="D4061" s="24" t="s">
        <v>3483</v>
      </c>
      <c r="E4061" s="24">
        <v>2015</v>
      </c>
      <c r="F4061" s="24">
        <v>2008</v>
      </c>
      <c r="G4061" s="24" t="s">
        <v>2933</v>
      </c>
      <c r="H4061" s="24" t="s">
        <v>3484</v>
      </c>
      <c r="I4061" s="24" t="s">
        <v>3461</v>
      </c>
      <c r="J4061" s="24">
        <f t="shared" si="523"/>
        <v>36.966666666666669</v>
      </c>
      <c r="K4061" s="24">
        <f t="shared" si="524"/>
        <v>109.3</v>
      </c>
      <c r="L4061" s="24">
        <v>1275</v>
      </c>
      <c r="N4061" s="24">
        <v>8.8000000000000007</v>
      </c>
      <c r="P4061" s="24">
        <v>535</v>
      </c>
      <c r="R4061" s="42" t="s">
        <v>1858</v>
      </c>
      <c r="S4061" s="42" t="s">
        <v>1982</v>
      </c>
      <c r="T4061" s="42"/>
      <c r="U4061" s="42" t="s">
        <v>3487</v>
      </c>
      <c r="V4061" s="42" t="s">
        <v>1379</v>
      </c>
      <c r="W4061" s="42" t="s">
        <v>1715</v>
      </c>
      <c r="X4061" s="42" t="s">
        <v>1379</v>
      </c>
      <c r="Y4061" s="42" t="s">
        <v>1379</v>
      </c>
      <c r="Z4061" s="24">
        <v>1.1599999999999999</v>
      </c>
      <c r="AA4061" s="321">
        <v>21.05</v>
      </c>
      <c r="AB4061" s="321">
        <v>74.489999999999995</v>
      </c>
      <c r="AC4061" s="24" t="s">
        <v>450</v>
      </c>
      <c r="AD4061" s="24">
        <v>8.1999999999999993</v>
      </c>
      <c r="AE4061" s="24">
        <v>0.46500000000000002</v>
      </c>
      <c r="AH4061" s="24" t="s">
        <v>3486</v>
      </c>
      <c r="AI4061" s="24" t="s">
        <v>577</v>
      </c>
      <c r="AJ4061" s="24" t="s">
        <v>3485</v>
      </c>
      <c r="AK4061" s="24" t="s">
        <v>3556</v>
      </c>
      <c r="AW4061" s="24" t="s">
        <v>160</v>
      </c>
      <c r="BD4061" s="24" t="s">
        <v>3495</v>
      </c>
      <c r="BE4061" s="24" t="s">
        <v>3490</v>
      </c>
      <c r="BK4061" s="24">
        <v>4260</v>
      </c>
      <c r="BL4061" s="24">
        <v>2140</v>
      </c>
      <c r="BO4061" s="24" t="s">
        <v>3505</v>
      </c>
      <c r="BP4061" s="395"/>
      <c r="BQ4061" s="395"/>
      <c r="BU4061" s="395">
        <v>0.442</v>
      </c>
      <c r="BV4061" s="395">
        <v>0.54900000000000004</v>
      </c>
      <c r="BY4061" s="24" t="s">
        <v>3502</v>
      </c>
      <c r="BZ4061" s="395"/>
      <c r="CA4061" s="395"/>
      <c r="CE4061" s="548">
        <v>0.442</v>
      </c>
      <c r="CF4061" s="548">
        <v>0.54900000000000004</v>
      </c>
      <c r="CG4061" s="548"/>
      <c r="CH4061" s="548"/>
      <c r="CI4061" s="24" t="s">
        <v>4545</v>
      </c>
      <c r="CJ4061" s="24">
        <v>350</v>
      </c>
      <c r="CK4061" s="24">
        <v>380</v>
      </c>
      <c r="CN4061" s="24" t="s">
        <v>3503</v>
      </c>
      <c r="CO4061" s="24">
        <v>570</v>
      </c>
      <c r="CP4061" s="24">
        <v>560</v>
      </c>
      <c r="CS4061" s="24" t="s">
        <v>3504</v>
      </c>
      <c r="JD4061" s="249"/>
    </row>
    <row r="4062" spans="1:264" s="24" customFormat="1" x14ac:dyDescent="0.25">
      <c r="A4062" s="24">
        <v>176</v>
      </c>
      <c r="B4062" s="42" t="s">
        <v>3544</v>
      </c>
      <c r="C4062" s="24" t="s">
        <v>3482</v>
      </c>
      <c r="D4062" s="24" t="s">
        <v>3483</v>
      </c>
      <c r="E4062" s="24">
        <v>2015</v>
      </c>
      <c r="F4062" s="24">
        <v>2008</v>
      </c>
      <c r="G4062" s="24" t="s">
        <v>2933</v>
      </c>
      <c r="H4062" s="24" t="s">
        <v>3484</v>
      </c>
      <c r="I4062" s="24" t="s">
        <v>3461</v>
      </c>
      <c r="J4062" s="24">
        <f t="shared" si="523"/>
        <v>36.966666666666669</v>
      </c>
      <c r="K4062" s="24">
        <f t="shared" si="524"/>
        <v>109.3</v>
      </c>
      <c r="L4062" s="24">
        <v>1275</v>
      </c>
      <c r="N4062" s="24">
        <v>8.8000000000000007</v>
      </c>
      <c r="P4062" s="24">
        <v>535</v>
      </c>
      <c r="R4062" s="42" t="s">
        <v>1858</v>
      </c>
      <c r="S4062" s="42" t="s">
        <v>1982</v>
      </c>
      <c r="T4062" s="42"/>
      <c r="U4062" s="42" t="s">
        <v>3487</v>
      </c>
      <c r="V4062" s="42" t="s">
        <v>1379</v>
      </c>
      <c r="W4062" s="42" t="s">
        <v>1715</v>
      </c>
      <c r="X4062" s="42" t="s">
        <v>1379</v>
      </c>
      <c r="Y4062" s="42" t="s">
        <v>1379</v>
      </c>
      <c r="Z4062" s="24">
        <v>1.1599999999999999</v>
      </c>
      <c r="AA4062" s="321">
        <v>21.05</v>
      </c>
      <c r="AB4062" s="321">
        <v>74.489999999999995</v>
      </c>
      <c r="AC4062" s="24" t="s">
        <v>450</v>
      </c>
      <c r="AD4062" s="24">
        <v>8.1999999999999993</v>
      </c>
      <c r="AE4062" s="24">
        <v>0.46500000000000002</v>
      </c>
      <c r="AH4062" s="24" t="s">
        <v>3486</v>
      </c>
      <c r="AI4062" s="24" t="s">
        <v>577</v>
      </c>
      <c r="AJ4062" s="24" t="s">
        <v>3485</v>
      </c>
      <c r="AK4062" s="24" t="s">
        <v>3556</v>
      </c>
      <c r="AW4062" s="24" t="s">
        <v>160</v>
      </c>
      <c r="BD4062" s="24" t="s">
        <v>3496</v>
      </c>
      <c r="BE4062" s="24" t="s">
        <v>3490</v>
      </c>
      <c r="BK4062" s="24">
        <v>4260</v>
      </c>
      <c r="BL4062" s="24">
        <v>4890</v>
      </c>
      <c r="BO4062" s="24" t="s">
        <v>3505</v>
      </c>
      <c r="BP4062" s="395"/>
      <c r="BQ4062" s="395"/>
      <c r="BU4062" s="395">
        <v>0.442</v>
      </c>
      <c r="BV4062" s="395">
        <v>0.65300000000000002</v>
      </c>
      <c r="BY4062" s="24" t="s">
        <v>3502</v>
      </c>
      <c r="BZ4062" s="395"/>
      <c r="CA4062" s="395"/>
      <c r="CE4062" s="548">
        <v>0.442</v>
      </c>
      <c r="CF4062" s="548">
        <v>0.65300000000000002</v>
      </c>
      <c r="CG4062" s="548"/>
      <c r="CH4062" s="548"/>
      <c r="CI4062" s="24" t="s">
        <v>4545</v>
      </c>
      <c r="CJ4062" s="24">
        <v>350</v>
      </c>
      <c r="CK4062" s="24">
        <v>410</v>
      </c>
      <c r="CN4062" s="24" t="s">
        <v>3503</v>
      </c>
      <c r="CO4062" s="24">
        <v>570</v>
      </c>
      <c r="CP4062" s="24">
        <v>580</v>
      </c>
      <c r="CS4062" s="24" t="s">
        <v>3504</v>
      </c>
      <c r="JD4062" s="249"/>
    </row>
    <row r="4063" spans="1:264" s="101" customFormat="1" x14ac:dyDescent="0.25">
      <c r="A4063" s="101">
        <v>176</v>
      </c>
      <c r="B4063" s="42" t="s">
        <v>3545</v>
      </c>
      <c r="C4063" s="101" t="s">
        <v>3482</v>
      </c>
      <c r="D4063" s="101" t="s">
        <v>3483</v>
      </c>
      <c r="E4063" s="101">
        <v>2015</v>
      </c>
      <c r="F4063" s="101">
        <v>2008</v>
      </c>
      <c r="G4063" s="101" t="s">
        <v>2933</v>
      </c>
      <c r="H4063" s="101" t="s">
        <v>3484</v>
      </c>
      <c r="I4063" s="101" t="s">
        <v>3461</v>
      </c>
      <c r="J4063" s="101">
        <f t="shared" si="523"/>
        <v>36.966666666666669</v>
      </c>
      <c r="K4063" s="101">
        <f t="shared" si="524"/>
        <v>109.3</v>
      </c>
      <c r="L4063" s="101">
        <v>1275</v>
      </c>
      <c r="N4063" s="101">
        <v>8.8000000000000007</v>
      </c>
      <c r="P4063" s="101">
        <v>535</v>
      </c>
      <c r="R4063" s="102" t="s">
        <v>1858</v>
      </c>
      <c r="S4063" s="102" t="s">
        <v>1982</v>
      </c>
      <c r="T4063" s="102"/>
      <c r="U4063" s="102" t="s">
        <v>3487</v>
      </c>
      <c r="V4063" s="102" t="s">
        <v>4552</v>
      </c>
      <c r="W4063" s="102" t="s">
        <v>1724</v>
      </c>
      <c r="X4063" s="102" t="s">
        <v>4552</v>
      </c>
      <c r="Y4063" s="102" t="s">
        <v>4552</v>
      </c>
      <c r="Z4063" s="101">
        <v>1.1599999999999999</v>
      </c>
      <c r="AA4063" s="352">
        <v>21.05</v>
      </c>
      <c r="AB4063" s="352">
        <v>74.489999999999995</v>
      </c>
      <c r="AC4063" s="101" t="s">
        <v>450</v>
      </c>
      <c r="AD4063" s="101">
        <v>8.1999999999999993</v>
      </c>
      <c r="AE4063" s="101">
        <v>0.46500000000000002</v>
      </c>
      <c r="AH4063" s="101" t="s">
        <v>3486</v>
      </c>
      <c r="AI4063" s="101" t="s">
        <v>577</v>
      </c>
      <c r="AJ4063" s="101" t="s">
        <v>3485</v>
      </c>
      <c r="AK4063" s="101" t="s">
        <v>3556</v>
      </c>
      <c r="AW4063" s="24" t="s">
        <v>160</v>
      </c>
      <c r="BD4063" s="101" t="s">
        <v>3494</v>
      </c>
      <c r="BE4063" s="24" t="s">
        <v>3490</v>
      </c>
      <c r="BK4063" s="101">
        <v>4790</v>
      </c>
      <c r="BL4063" s="101">
        <v>2320</v>
      </c>
      <c r="BO4063" s="24" t="s">
        <v>3505</v>
      </c>
      <c r="BP4063" s="427"/>
      <c r="BQ4063" s="427"/>
      <c r="BU4063" s="427">
        <v>0.30199999999999999</v>
      </c>
      <c r="BV4063" s="427">
        <v>0.36699999999999999</v>
      </c>
      <c r="BY4063" s="24" t="s">
        <v>3502</v>
      </c>
      <c r="BZ4063" s="427"/>
      <c r="CA4063" s="427"/>
      <c r="CE4063" s="580">
        <v>0.30199999999999999</v>
      </c>
      <c r="CF4063" s="580">
        <v>0.36699999999999999</v>
      </c>
      <c r="CG4063" s="580"/>
      <c r="CH4063" s="580"/>
      <c r="CI4063" s="24" t="s">
        <v>4545</v>
      </c>
      <c r="CJ4063" s="101">
        <v>260</v>
      </c>
      <c r="CK4063" s="101">
        <v>290</v>
      </c>
      <c r="CN4063" s="24" t="s">
        <v>3503</v>
      </c>
      <c r="CO4063" s="101">
        <v>540</v>
      </c>
      <c r="CP4063" s="101">
        <v>540</v>
      </c>
      <c r="CS4063" s="24" t="s">
        <v>3504</v>
      </c>
      <c r="JD4063" s="177"/>
    </row>
    <row r="4064" spans="1:264" s="101" customFormat="1" x14ac:dyDescent="0.25">
      <c r="A4064" s="101">
        <v>176</v>
      </c>
      <c r="B4064" s="42" t="s">
        <v>3546</v>
      </c>
      <c r="C4064" s="101" t="s">
        <v>3482</v>
      </c>
      <c r="D4064" s="101" t="s">
        <v>3483</v>
      </c>
      <c r="E4064" s="101">
        <v>2015</v>
      </c>
      <c r="F4064" s="101">
        <v>2008</v>
      </c>
      <c r="G4064" s="101" t="s">
        <v>2933</v>
      </c>
      <c r="H4064" s="101" t="s">
        <v>3484</v>
      </c>
      <c r="I4064" s="101" t="s">
        <v>3461</v>
      </c>
      <c r="J4064" s="101">
        <f t="shared" si="523"/>
        <v>36.966666666666669</v>
      </c>
      <c r="K4064" s="101">
        <f t="shared" si="524"/>
        <v>109.3</v>
      </c>
      <c r="L4064" s="101">
        <v>1275</v>
      </c>
      <c r="N4064" s="101">
        <v>8.8000000000000007</v>
      </c>
      <c r="P4064" s="101">
        <v>535</v>
      </c>
      <c r="R4064" s="102" t="s">
        <v>1858</v>
      </c>
      <c r="S4064" s="102" t="s">
        <v>1982</v>
      </c>
      <c r="T4064" s="102"/>
      <c r="U4064" s="102" t="s">
        <v>3487</v>
      </c>
      <c r="V4064" s="102" t="s">
        <v>4552</v>
      </c>
      <c r="W4064" s="102" t="s">
        <v>1724</v>
      </c>
      <c r="X4064" s="102" t="s">
        <v>4552</v>
      </c>
      <c r="Y4064" s="102" t="s">
        <v>4552</v>
      </c>
      <c r="Z4064" s="101">
        <v>1.1599999999999999</v>
      </c>
      <c r="AA4064" s="352">
        <v>21.05</v>
      </c>
      <c r="AB4064" s="352">
        <v>74.489999999999995</v>
      </c>
      <c r="AC4064" s="101" t="s">
        <v>450</v>
      </c>
      <c r="AD4064" s="101">
        <v>8.1999999999999993</v>
      </c>
      <c r="AE4064" s="101">
        <v>0.46500000000000002</v>
      </c>
      <c r="AH4064" s="101" t="s">
        <v>3486</v>
      </c>
      <c r="AI4064" s="101" t="s">
        <v>577</v>
      </c>
      <c r="AJ4064" s="101" t="s">
        <v>3485</v>
      </c>
      <c r="AK4064" s="101" t="s">
        <v>3556</v>
      </c>
      <c r="AW4064" s="24" t="s">
        <v>160</v>
      </c>
      <c r="BD4064" s="101" t="s">
        <v>3495</v>
      </c>
      <c r="BE4064" s="24" t="s">
        <v>3490</v>
      </c>
      <c r="BK4064" s="101">
        <v>4790</v>
      </c>
      <c r="BL4064" s="101">
        <v>1640</v>
      </c>
      <c r="BO4064" s="24" t="s">
        <v>3505</v>
      </c>
      <c r="BP4064" s="427"/>
      <c r="BQ4064" s="427"/>
      <c r="BU4064" s="427">
        <v>0.30199999999999999</v>
      </c>
      <c r="BV4064" s="427">
        <v>0.371</v>
      </c>
      <c r="BY4064" s="24" t="s">
        <v>3502</v>
      </c>
      <c r="BZ4064" s="427"/>
      <c r="CA4064" s="427"/>
      <c r="CE4064" s="580">
        <v>0.30199999999999999</v>
      </c>
      <c r="CF4064" s="580">
        <v>0.371</v>
      </c>
      <c r="CG4064" s="580"/>
      <c r="CH4064" s="580"/>
      <c r="CI4064" s="24" t="s">
        <v>4545</v>
      </c>
      <c r="CJ4064" s="101">
        <v>260</v>
      </c>
      <c r="CK4064" s="101">
        <v>290</v>
      </c>
      <c r="CN4064" s="24" t="s">
        <v>3503</v>
      </c>
      <c r="CO4064" s="101">
        <v>540</v>
      </c>
      <c r="CP4064" s="101">
        <v>530</v>
      </c>
      <c r="CS4064" s="24" t="s">
        <v>3504</v>
      </c>
      <c r="JD4064" s="177"/>
    </row>
    <row r="4065" spans="1:264" s="101" customFormat="1" x14ac:dyDescent="0.25">
      <c r="A4065" s="101">
        <v>176</v>
      </c>
      <c r="B4065" s="42" t="s">
        <v>3547</v>
      </c>
      <c r="C4065" s="101" t="s">
        <v>3482</v>
      </c>
      <c r="D4065" s="101" t="s">
        <v>3483</v>
      </c>
      <c r="E4065" s="101">
        <v>2015</v>
      </c>
      <c r="F4065" s="101">
        <v>2008</v>
      </c>
      <c r="G4065" s="101" t="s">
        <v>2933</v>
      </c>
      <c r="H4065" s="101" t="s">
        <v>3484</v>
      </c>
      <c r="I4065" s="101" t="s">
        <v>3461</v>
      </c>
      <c r="J4065" s="101">
        <f t="shared" si="523"/>
        <v>36.966666666666669</v>
      </c>
      <c r="K4065" s="101">
        <f t="shared" si="524"/>
        <v>109.3</v>
      </c>
      <c r="L4065" s="101">
        <v>1275</v>
      </c>
      <c r="N4065" s="101">
        <v>8.8000000000000007</v>
      </c>
      <c r="P4065" s="101">
        <v>535</v>
      </c>
      <c r="R4065" s="102" t="s">
        <v>1858</v>
      </c>
      <c r="S4065" s="102" t="s">
        <v>1982</v>
      </c>
      <c r="T4065" s="102"/>
      <c r="U4065" s="102" t="s">
        <v>3487</v>
      </c>
      <c r="V4065" s="102" t="s">
        <v>4552</v>
      </c>
      <c r="W4065" s="102" t="s">
        <v>1724</v>
      </c>
      <c r="X4065" s="102" t="s">
        <v>4552</v>
      </c>
      <c r="Y4065" s="102" t="s">
        <v>4552</v>
      </c>
      <c r="Z4065" s="101">
        <v>1.1599999999999999</v>
      </c>
      <c r="AA4065" s="352">
        <v>21.05</v>
      </c>
      <c r="AB4065" s="352">
        <v>74.489999999999995</v>
      </c>
      <c r="AC4065" s="101" t="s">
        <v>450</v>
      </c>
      <c r="AD4065" s="101">
        <v>8.1999999999999993</v>
      </c>
      <c r="AE4065" s="101">
        <v>0.46500000000000002</v>
      </c>
      <c r="AH4065" s="101" t="s">
        <v>3486</v>
      </c>
      <c r="AI4065" s="101" t="s">
        <v>577</v>
      </c>
      <c r="AJ4065" s="101" t="s">
        <v>3485</v>
      </c>
      <c r="AK4065" s="101" t="s">
        <v>3556</v>
      </c>
      <c r="AW4065" s="24" t="s">
        <v>160</v>
      </c>
      <c r="BD4065" s="101" t="s">
        <v>3496</v>
      </c>
      <c r="BE4065" s="24" t="s">
        <v>3490</v>
      </c>
      <c r="BK4065" s="101">
        <v>4790</v>
      </c>
      <c r="BL4065" s="101">
        <v>5630</v>
      </c>
      <c r="BO4065" s="24" t="s">
        <v>3505</v>
      </c>
      <c r="BP4065" s="427"/>
      <c r="BQ4065" s="427"/>
      <c r="BU4065" s="427">
        <v>0.30199999999999999</v>
      </c>
      <c r="BV4065" s="427">
        <v>0.309</v>
      </c>
      <c r="BY4065" s="24" t="s">
        <v>3502</v>
      </c>
      <c r="BZ4065" s="427"/>
      <c r="CA4065" s="427"/>
      <c r="CE4065" s="580">
        <v>0.30199999999999999</v>
      </c>
      <c r="CF4065" s="580">
        <v>0.309</v>
      </c>
      <c r="CG4065" s="580"/>
      <c r="CH4065" s="580"/>
      <c r="CI4065" s="24" t="s">
        <v>4545</v>
      </c>
      <c r="CJ4065" s="101">
        <v>260</v>
      </c>
      <c r="CK4065" s="101">
        <v>260</v>
      </c>
      <c r="CN4065" s="24" t="s">
        <v>3503</v>
      </c>
      <c r="CO4065" s="101">
        <v>540</v>
      </c>
      <c r="CP4065" s="101">
        <v>540</v>
      </c>
      <c r="CS4065" s="24" t="s">
        <v>3504</v>
      </c>
      <c r="JD4065" s="177"/>
    </row>
    <row r="4066" spans="1:264" s="24" customFormat="1" x14ac:dyDescent="0.25">
      <c r="A4066" s="24">
        <v>176</v>
      </c>
      <c r="B4066" s="42" t="s">
        <v>3548</v>
      </c>
      <c r="C4066" s="24" t="s">
        <v>3482</v>
      </c>
      <c r="D4066" s="24" t="s">
        <v>3483</v>
      </c>
      <c r="E4066" s="24">
        <v>2015</v>
      </c>
      <c r="F4066" s="24">
        <v>2008</v>
      </c>
      <c r="G4066" s="24" t="s">
        <v>2933</v>
      </c>
      <c r="H4066" s="24" t="s">
        <v>3484</v>
      </c>
      <c r="I4066" s="24" t="s">
        <v>3461</v>
      </c>
      <c r="J4066" s="24">
        <f t="shared" si="523"/>
        <v>36.966666666666669</v>
      </c>
      <c r="K4066" s="24">
        <f t="shared" si="524"/>
        <v>109.3</v>
      </c>
      <c r="L4066" s="24">
        <v>1275</v>
      </c>
      <c r="N4066" s="24">
        <v>8.8000000000000007</v>
      </c>
      <c r="P4066" s="24">
        <v>535</v>
      </c>
      <c r="R4066" s="42" t="s">
        <v>1858</v>
      </c>
      <c r="S4066" s="42" t="s">
        <v>1982</v>
      </c>
      <c r="T4066" s="42"/>
      <c r="U4066" s="42" t="s">
        <v>3487</v>
      </c>
      <c r="V4066" s="42" t="s">
        <v>3500</v>
      </c>
      <c r="W4066" s="42" t="s">
        <v>3501</v>
      </c>
      <c r="X4066" s="42" t="s">
        <v>3500</v>
      </c>
      <c r="Y4066" s="42" t="s">
        <v>3500</v>
      </c>
      <c r="Z4066" s="24">
        <v>1.1599999999999999</v>
      </c>
      <c r="AA4066" s="321">
        <v>21.05</v>
      </c>
      <c r="AB4066" s="321">
        <v>74.489999999999995</v>
      </c>
      <c r="AC4066" s="24" t="s">
        <v>450</v>
      </c>
      <c r="AD4066" s="24">
        <v>8.1999999999999993</v>
      </c>
      <c r="AE4066" s="24">
        <v>0.46500000000000002</v>
      </c>
      <c r="AH4066" s="24" t="s">
        <v>3486</v>
      </c>
      <c r="AI4066" s="24" t="s">
        <v>577</v>
      </c>
      <c r="AJ4066" s="24" t="s">
        <v>3485</v>
      </c>
      <c r="AK4066" s="24" t="s">
        <v>3556</v>
      </c>
      <c r="AW4066" s="24" t="s">
        <v>160</v>
      </c>
      <c r="BD4066" s="24" t="s">
        <v>3494</v>
      </c>
      <c r="BE4066" s="24" t="s">
        <v>3490</v>
      </c>
      <c r="BO4066" s="24" t="s">
        <v>3505</v>
      </c>
      <c r="BP4066" s="395"/>
      <c r="BQ4066" s="395"/>
      <c r="BU4066" s="395">
        <v>0.307</v>
      </c>
      <c r="BV4066" s="395">
        <v>0.308</v>
      </c>
      <c r="BY4066" s="24" t="s">
        <v>3502</v>
      </c>
      <c r="BZ4066" s="395"/>
      <c r="CA4066" s="395"/>
      <c r="CE4066" s="548">
        <v>0.307</v>
      </c>
      <c r="CF4066" s="548">
        <v>0.308</v>
      </c>
      <c r="CG4066" s="548"/>
      <c r="CH4066" s="548"/>
      <c r="CI4066" s="24" t="s">
        <v>4545</v>
      </c>
      <c r="CJ4066" s="24">
        <v>260</v>
      </c>
      <c r="CK4066" s="24">
        <v>260</v>
      </c>
      <c r="CN4066" s="24" t="s">
        <v>3503</v>
      </c>
      <c r="CO4066" s="24">
        <v>540</v>
      </c>
      <c r="CP4066" s="24">
        <v>540</v>
      </c>
      <c r="CS4066" s="24" t="s">
        <v>3504</v>
      </c>
      <c r="JD4066" s="249"/>
    </row>
    <row r="4067" spans="1:264" s="24" customFormat="1" x14ac:dyDescent="0.25">
      <c r="A4067" s="24">
        <v>176</v>
      </c>
      <c r="B4067" s="42" t="s">
        <v>3549</v>
      </c>
      <c r="C4067" s="24" t="s">
        <v>3482</v>
      </c>
      <c r="D4067" s="24" t="s">
        <v>3483</v>
      </c>
      <c r="E4067" s="24">
        <v>2015</v>
      </c>
      <c r="F4067" s="24">
        <v>2008</v>
      </c>
      <c r="G4067" s="24" t="s">
        <v>2933</v>
      </c>
      <c r="H4067" s="24" t="s">
        <v>3484</v>
      </c>
      <c r="I4067" s="24" t="s">
        <v>3461</v>
      </c>
      <c r="J4067" s="24">
        <f t="shared" si="523"/>
        <v>36.966666666666669</v>
      </c>
      <c r="K4067" s="24">
        <f t="shared" si="524"/>
        <v>109.3</v>
      </c>
      <c r="L4067" s="24">
        <v>1275</v>
      </c>
      <c r="N4067" s="24">
        <v>8.8000000000000007</v>
      </c>
      <c r="P4067" s="24">
        <v>535</v>
      </c>
      <c r="R4067" s="42" t="s">
        <v>1858</v>
      </c>
      <c r="S4067" s="42" t="s">
        <v>1982</v>
      </c>
      <c r="T4067" s="42"/>
      <c r="U4067" s="42" t="s">
        <v>3487</v>
      </c>
      <c r="V4067" s="42" t="s">
        <v>3500</v>
      </c>
      <c r="W4067" s="42" t="s">
        <v>3501</v>
      </c>
      <c r="X4067" s="42" t="s">
        <v>3500</v>
      </c>
      <c r="Y4067" s="42" t="s">
        <v>3500</v>
      </c>
      <c r="Z4067" s="24">
        <v>1.1599999999999999</v>
      </c>
      <c r="AA4067" s="321">
        <v>21.05</v>
      </c>
      <c r="AB4067" s="321">
        <v>74.489999999999995</v>
      </c>
      <c r="AC4067" s="24" t="s">
        <v>450</v>
      </c>
      <c r="AD4067" s="24">
        <v>8.1999999999999993</v>
      </c>
      <c r="AE4067" s="24">
        <v>0.46500000000000002</v>
      </c>
      <c r="AH4067" s="24" t="s">
        <v>3486</v>
      </c>
      <c r="AI4067" s="24" t="s">
        <v>577</v>
      </c>
      <c r="AJ4067" s="24" t="s">
        <v>3485</v>
      </c>
      <c r="AK4067" s="24" t="s">
        <v>3556</v>
      </c>
      <c r="AW4067" s="24" t="s">
        <v>160</v>
      </c>
      <c r="BD4067" s="24" t="s">
        <v>3495</v>
      </c>
      <c r="BE4067" s="24" t="s">
        <v>3490</v>
      </c>
      <c r="BO4067" s="24" t="s">
        <v>3505</v>
      </c>
      <c r="BP4067" s="395"/>
      <c r="BQ4067" s="395"/>
      <c r="BU4067" s="395">
        <v>0.307</v>
      </c>
      <c r="BV4067" s="395">
        <v>0.31</v>
      </c>
      <c r="BY4067" s="24" t="s">
        <v>3502</v>
      </c>
      <c r="BZ4067" s="395"/>
      <c r="CA4067" s="395"/>
      <c r="CE4067" s="548">
        <v>0.307</v>
      </c>
      <c r="CF4067" s="548">
        <v>0.31</v>
      </c>
      <c r="CG4067" s="548"/>
      <c r="CH4067" s="548"/>
      <c r="CI4067" s="24" t="s">
        <v>4545</v>
      </c>
      <c r="CJ4067" s="24">
        <v>260</v>
      </c>
      <c r="CK4067" s="24">
        <v>260</v>
      </c>
      <c r="CN4067" s="24" t="s">
        <v>3503</v>
      </c>
      <c r="CO4067" s="24">
        <v>540</v>
      </c>
      <c r="CP4067" s="24">
        <v>530</v>
      </c>
      <c r="CS4067" s="24" t="s">
        <v>3504</v>
      </c>
      <c r="JD4067" s="249"/>
    </row>
    <row r="4068" spans="1:264" s="24" customFormat="1" x14ac:dyDescent="0.25">
      <c r="A4068" s="24">
        <v>176</v>
      </c>
      <c r="B4068" s="42" t="s">
        <v>3550</v>
      </c>
      <c r="C4068" s="24" t="s">
        <v>3482</v>
      </c>
      <c r="D4068" s="24" t="s">
        <v>3483</v>
      </c>
      <c r="E4068" s="24">
        <v>2015</v>
      </c>
      <c r="F4068" s="24">
        <v>2008</v>
      </c>
      <c r="G4068" s="24" t="s">
        <v>2933</v>
      </c>
      <c r="H4068" s="24" t="s">
        <v>3484</v>
      </c>
      <c r="I4068" s="24" t="s">
        <v>3461</v>
      </c>
      <c r="J4068" s="24">
        <f t="shared" si="523"/>
        <v>36.966666666666669</v>
      </c>
      <c r="K4068" s="24">
        <f t="shared" si="524"/>
        <v>109.3</v>
      </c>
      <c r="L4068" s="24">
        <v>1275</v>
      </c>
      <c r="N4068" s="24">
        <v>8.8000000000000007</v>
      </c>
      <c r="P4068" s="24">
        <v>535</v>
      </c>
      <c r="R4068" s="42" t="s">
        <v>1858</v>
      </c>
      <c r="S4068" s="42" t="s">
        <v>1982</v>
      </c>
      <c r="T4068" s="42"/>
      <c r="U4068" s="42" t="s">
        <v>3487</v>
      </c>
      <c r="V4068" s="42" t="s">
        <v>3500</v>
      </c>
      <c r="W4068" s="42" t="s">
        <v>3501</v>
      </c>
      <c r="X4068" s="42" t="s">
        <v>3500</v>
      </c>
      <c r="Y4068" s="42" t="s">
        <v>3500</v>
      </c>
      <c r="Z4068" s="24">
        <v>1.1599999999999999</v>
      </c>
      <c r="AA4068" s="321">
        <v>21.05</v>
      </c>
      <c r="AB4068" s="321">
        <v>74.489999999999995</v>
      </c>
      <c r="AC4068" s="24" t="s">
        <v>450</v>
      </c>
      <c r="AD4068" s="24">
        <v>8.1999999999999993</v>
      </c>
      <c r="AE4068" s="24">
        <v>0.46500000000000002</v>
      </c>
      <c r="AH4068" s="24" t="s">
        <v>3486</v>
      </c>
      <c r="AI4068" s="24" t="s">
        <v>577</v>
      </c>
      <c r="AJ4068" s="24" t="s">
        <v>3485</v>
      </c>
      <c r="AK4068" s="24" t="s">
        <v>3556</v>
      </c>
      <c r="AW4068" s="24" t="s">
        <v>160</v>
      </c>
      <c r="BD4068" s="24" t="s">
        <v>3496</v>
      </c>
      <c r="BE4068" s="24" t="s">
        <v>3490</v>
      </c>
      <c r="BO4068" s="24" t="s">
        <v>3505</v>
      </c>
      <c r="BP4068" s="395"/>
      <c r="BQ4068" s="395"/>
      <c r="BU4068" s="395">
        <v>0.307</v>
      </c>
      <c r="BV4068" s="395">
        <v>0.307</v>
      </c>
      <c r="BY4068" s="24" t="s">
        <v>3502</v>
      </c>
      <c r="BZ4068" s="395"/>
      <c r="CA4068" s="395"/>
      <c r="CE4068" s="548">
        <v>0.307</v>
      </c>
      <c r="CF4068" s="548">
        <v>0.307</v>
      </c>
      <c r="CG4068" s="548"/>
      <c r="CH4068" s="548"/>
      <c r="CI4068" s="24" t="s">
        <v>4545</v>
      </c>
      <c r="CJ4068" s="24">
        <v>260</v>
      </c>
      <c r="CK4068" s="24">
        <v>260</v>
      </c>
      <c r="CN4068" s="24" t="s">
        <v>3503</v>
      </c>
      <c r="CO4068" s="24">
        <v>540</v>
      </c>
      <c r="CP4068" s="24">
        <v>540</v>
      </c>
      <c r="CS4068" s="24" t="s">
        <v>3504</v>
      </c>
      <c r="JD4068" s="249"/>
    </row>
    <row r="4069" spans="1:264" s="126" customFormat="1" x14ac:dyDescent="0.25">
      <c r="A4069" s="126">
        <v>177</v>
      </c>
      <c r="B4069" s="478" t="s">
        <v>3573</v>
      </c>
      <c r="C4069" s="126" t="s">
        <v>3551</v>
      </c>
      <c r="D4069" s="126" t="s">
        <v>3552</v>
      </c>
      <c r="E4069" s="126">
        <v>2017</v>
      </c>
      <c r="G4069" s="126" t="s">
        <v>2713</v>
      </c>
      <c r="H4069" s="126" t="s">
        <v>3563</v>
      </c>
      <c r="I4069" s="126" t="s">
        <v>3461</v>
      </c>
      <c r="J4069" s="126">
        <f t="shared" ref="J4069:J4078" si="534">45+41/60</f>
        <v>45.68333333333333</v>
      </c>
      <c r="K4069" s="126">
        <f t="shared" ref="K4069:K4078" si="535">126+37/60</f>
        <v>126.61666666666666</v>
      </c>
      <c r="L4069" s="126">
        <v>170.5</v>
      </c>
      <c r="R4069" s="478"/>
      <c r="S4069" s="478"/>
      <c r="T4069" s="478"/>
      <c r="U4069" s="478"/>
      <c r="V4069" s="478" t="s">
        <v>1382</v>
      </c>
      <c r="W4069" s="478" t="s">
        <v>1717</v>
      </c>
      <c r="X4069" s="478" t="s">
        <v>1382</v>
      </c>
      <c r="Y4069" s="478" t="s">
        <v>1382</v>
      </c>
      <c r="AA4069" s="479"/>
      <c r="AB4069" s="479"/>
      <c r="AC4069" s="126" t="s">
        <v>240</v>
      </c>
      <c r="AD4069" s="126">
        <v>6.5</v>
      </c>
      <c r="AE4069" s="126">
        <v>6.1</v>
      </c>
      <c r="AH4069" s="126" t="s">
        <v>116</v>
      </c>
      <c r="AI4069" s="126" t="s">
        <v>1581</v>
      </c>
      <c r="AJ4069" s="126" t="s">
        <v>3553</v>
      </c>
      <c r="AK4069" s="126" t="s">
        <v>229</v>
      </c>
      <c r="AW4069" s="126" t="s">
        <v>160</v>
      </c>
      <c r="AY4069" s="126">
        <v>3</v>
      </c>
      <c r="BE4069" s="126" t="s">
        <v>3564</v>
      </c>
      <c r="BF4069" s="126">
        <v>7.9000000000000001E-2</v>
      </c>
      <c r="BG4069" s="126">
        <v>0.105</v>
      </c>
      <c r="BJ4069" s="126" t="s">
        <v>3566</v>
      </c>
      <c r="BP4069" s="481"/>
      <c r="BQ4069" s="481"/>
      <c r="BU4069" s="481">
        <v>3.7054999999999998</v>
      </c>
      <c r="BV4069" s="481">
        <v>4.1608999999999998</v>
      </c>
      <c r="BW4069" s="126">
        <v>0.22850000000000001</v>
      </c>
      <c r="BX4069" s="126">
        <v>0.25430000000000003</v>
      </c>
      <c r="BY4069" s="126" t="s">
        <v>3571</v>
      </c>
      <c r="BZ4069" s="481"/>
      <c r="CA4069" s="481"/>
      <c r="CE4069" s="605">
        <v>3.7054999999999998</v>
      </c>
      <c r="CF4069" s="605">
        <v>4.1608999999999998</v>
      </c>
      <c r="CG4069" s="605">
        <v>0.22850000000000001</v>
      </c>
      <c r="CH4069" s="605">
        <v>0.25430000000000003</v>
      </c>
      <c r="CI4069" s="126" t="s">
        <v>4546</v>
      </c>
      <c r="CJ4069" s="126">
        <v>163.84800000000001</v>
      </c>
      <c r="CK4069" s="126">
        <v>121.154</v>
      </c>
      <c r="CL4069" s="126">
        <v>16.338000000000001</v>
      </c>
      <c r="CM4069" s="126">
        <v>9.52</v>
      </c>
      <c r="CN4069" s="126" t="s">
        <v>3572</v>
      </c>
      <c r="CO4069" s="126">
        <v>442.97300000000001</v>
      </c>
      <c r="CP4069" s="126">
        <v>319.68599999999998</v>
      </c>
      <c r="CQ4069" s="126">
        <v>2.1139999999999999</v>
      </c>
      <c r="CR4069" s="126">
        <v>14.923999999999999</v>
      </c>
      <c r="CS4069" s="126" t="s">
        <v>3576</v>
      </c>
      <c r="CT4069" s="126">
        <v>760.02700000000004</v>
      </c>
      <c r="CU4069" s="126">
        <v>613.54</v>
      </c>
      <c r="CV4069" s="126">
        <v>10.223000000000001</v>
      </c>
      <c r="CW4069" s="126">
        <v>19.190000000000001</v>
      </c>
      <c r="CX4069" s="126" t="s">
        <v>3577</v>
      </c>
      <c r="JB4069" s="126" t="s">
        <v>3567</v>
      </c>
      <c r="JC4069" s="126" t="s">
        <v>3580</v>
      </c>
      <c r="JD4069" s="480"/>
    </row>
    <row r="4070" spans="1:264" s="126" customFormat="1" x14ac:dyDescent="0.25">
      <c r="A4070" s="126">
        <v>177</v>
      </c>
      <c r="B4070" s="478" t="s">
        <v>3573</v>
      </c>
      <c r="C4070" s="126" t="s">
        <v>3551</v>
      </c>
      <c r="D4070" s="126" t="s">
        <v>3552</v>
      </c>
      <c r="E4070" s="126">
        <v>2017</v>
      </c>
      <c r="G4070" s="126" t="s">
        <v>2713</v>
      </c>
      <c r="H4070" s="126" t="s">
        <v>3563</v>
      </c>
      <c r="I4070" s="126" t="s">
        <v>3461</v>
      </c>
      <c r="J4070" s="126">
        <f t="shared" si="534"/>
        <v>45.68333333333333</v>
      </c>
      <c r="K4070" s="126">
        <f t="shared" si="535"/>
        <v>126.61666666666666</v>
      </c>
      <c r="L4070" s="126">
        <v>170.5</v>
      </c>
      <c r="R4070" s="478"/>
      <c r="S4070" s="478"/>
      <c r="T4070" s="478"/>
      <c r="U4070" s="478"/>
      <c r="V4070" s="478" t="s">
        <v>1382</v>
      </c>
      <c r="W4070" s="478" t="s">
        <v>1717</v>
      </c>
      <c r="X4070" s="478" t="s">
        <v>1382</v>
      </c>
      <c r="Y4070" s="478" t="s">
        <v>1382</v>
      </c>
      <c r="AA4070" s="479"/>
      <c r="AB4070" s="479"/>
      <c r="AC4070" s="126" t="s">
        <v>240</v>
      </c>
      <c r="AD4070" s="126">
        <v>6.5</v>
      </c>
      <c r="AE4070" s="126">
        <v>6.1</v>
      </c>
      <c r="AH4070" s="126" t="s">
        <v>116</v>
      </c>
      <c r="AI4070" s="126" t="s">
        <v>1581</v>
      </c>
      <c r="AJ4070" s="126" t="s">
        <v>3553</v>
      </c>
      <c r="AK4070" s="126" t="s">
        <v>229</v>
      </c>
      <c r="AW4070" s="126" t="s">
        <v>160</v>
      </c>
      <c r="AY4070" s="126">
        <v>3</v>
      </c>
      <c r="BE4070" s="126" t="s">
        <v>3564</v>
      </c>
      <c r="BF4070" s="126">
        <v>7.9000000000000001E-2</v>
      </c>
      <c r="BG4070" s="126">
        <v>9.5000000000000001E-2</v>
      </c>
      <c r="BJ4070" s="126" t="s">
        <v>3566</v>
      </c>
      <c r="BP4070" s="481"/>
      <c r="BQ4070" s="481"/>
      <c r="CE4070" s="605"/>
      <c r="CF4070" s="605"/>
      <c r="CG4070" s="605"/>
      <c r="CH4070" s="605"/>
      <c r="JB4070" s="126" t="s">
        <v>3567</v>
      </c>
      <c r="JC4070" s="126" t="s">
        <v>3580</v>
      </c>
      <c r="JD4070" s="480"/>
    </row>
    <row r="4071" spans="1:264" s="126" customFormat="1" x14ac:dyDescent="0.25">
      <c r="A4071" s="126">
        <v>177</v>
      </c>
      <c r="B4071" s="478" t="s">
        <v>3574</v>
      </c>
      <c r="C4071" s="126" t="s">
        <v>3551</v>
      </c>
      <c r="D4071" s="126" t="s">
        <v>3552</v>
      </c>
      <c r="E4071" s="126">
        <v>2017</v>
      </c>
      <c r="G4071" s="126" t="s">
        <v>2713</v>
      </c>
      <c r="H4071" s="126" t="s">
        <v>3563</v>
      </c>
      <c r="I4071" s="126" t="s">
        <v>3461</v>
      </c>
      <c r="J4071" s="126">
        <f t="shared" si="534"/>
        <v>45.68333333333333</v>
      </c>
      <c r="K4071" s="126">
        <f t="shared" si="535"/>
        <v>126.61666666666666</v>
      </c>
      <c r="L4071" s="126">
        <v>170.5</v>
      </c>
      <c r="R4071" s="478"/>
      <c r="S4071" s="478"/>
      <c r="T4071" s="478"/>
      <c r="U4071" s="478"/>
      <c r="V4071" s="478" t="s">
        <v>1382</v>
      </c>
      <c r="W4071" s="478" t="s">
        <v>1717</v>
      </c>
      <c r="X4071" s="478" t="s">
        <v>1382</v>
      </c>
      <c r="Y4071" s="478" t="s">
        <v>1382</v>
      </c>
      <c r="AA4071" s="479"/>
      <c r="AB4071" s="479"/>
      <c r="AC4071" s="126" t="s">
        <v>240</v>
      </c>
      <c r="AD4071" s="126">
        <v>6.5</v>
      </c>
      <c r="AE4071" s="126">
        <v>6.1</v>
      </c>
      <c r="AH4071" s="126" t="s">
        <v>116</v>
      </c>
      <c r="AI4071" s="126" t="s">
        <v>1581</v>
      </c>
      <c r="AJ4071" s="126" t="s">
        <v>3553</v>
      </c>
      <c r="AK4071" s="126" t="s">
        <v>229</v>
      </c>
      <c r="AW4071" s="126" t="s">
        <v>160</v>
      </c>
      <c r="AY4071" s="126">
        <v>3</v>
      </c>
      <c r="BE4071" s="126" t="s">
        <v>3564</v>
      </c>
      <c r="BF4071" s="126">
        <v>8.8999999999999996E-2</v>
      </c>
      <c r="BG4071" s="126">
        <v>0.16900000000000001</v>
      </c>
      <c r="BJ4071" s="126" t="s">
        <v>3566</v>
      </c>
      <c r="BP4071" s="481"/>
      <c r="BQ4071" s="481"/>
      <c r="BU4071" s="481">
        <v>3.5842000000000001</v>
      </c>
      <c r="BV4071" s="481">
        <v>3.8927</v>
      </c>
      <c r="BW4071" s="126">
        <v>0.2132</v>
      </c>
      <c r="BX4071" s="126">
        <v>0.29530000000000001</v>
      </c>
      <c r="BY4071" s="126" t="s">
        <v>3571</v>
      </c>
      <c r="BZ4071" s="481"/>
      <c r="CA4071" s="481"/>
      <c r="CE4071" s="605">
        <v>3.5842000000000001</v>
      </c>
      <c r="CF4071" s="605">
        <v>3.8927</v>
      </c>
      <c r="CG4071" s="605">
        <v>0.2132</v>
      </c>
      <c r="CH4071" s="605">
        <v>0.29530000000000001</v>
      </c>
      <c r="CI4071" s="126" t="s">
        <v>4546</v>
      </c>
      <c r="CJ4071" s="126">
        <v>122.646</v>
      </c>
      <c r="CK4071" s="126">
        <v>103.312</v>
      </c>
      <c r="CL4071" s="126">
        <v>17.312999999999999</v>
      </c>
      <c r="CM4071" s="126">
        <v>13.45</v>
      </c>
      <c r="CN4071" s="126" t="s">
        <v>3572</v>
      </c>
      <c r="CO4071" s="126">
        <v>382.07499999999999</v>
      </c>
      <c r="CP4071" s="126">
        <v>328.40199999999999</v>
      </c>
      <c r="CQ4071" s="126">
        <v>24.677</v>
      </c>
      <c r="CR4071" s="126">
        <v>17.13</v>
      </c>
      <c r="CS4071" s="126" t="s">
        <v>3576</v>
      </c>
      <c r="CT4071" s="126">
        <v>725.06</v>
      </c>
      <c r="CU4071" s="126">
        <v>598.72</v>
      </c>
      <c r="CV4071" s="126">
        <v>12.012</v>
      </c>
      <c r="CW4071" s="126">
        <v>7.28</v>
      </c>
      <c r="CX4071" s="126" t="s">
        <v>3577</v>
      </c>
      <c r="JB4071" s="126" t="s">
        <v>3568</v>
      </c>
      <c r="JC4071" s="126" t="s">
        <v>3580</v>
      </c>
      <c r="JD4071" s="480"/>
    </row>
    <row r="4072" spans="1:264" s="126" customFormat="1" x14ac:dyDescent="0.25">
      <c r="A4072" s="126">
        <v>177</v>
      </c>
      <c r="B4072" s="478" t="s">
        <v>3574</v>
      </c>
      <c r="C4072" s="126" t="s">
        <v>3551</v>
      </c>
      <c r="D4072" s="126" t="s">
        <v>3552</v>
      </c>
      <c r="E4072" s="126">
        <v>2017</v>
      </c>
      <c r="G4072" s="126" t="s">
        <v>2713</v>
      </c>
      <c r="H4072" s="126" t="s">
        <v>3563</v>
      </c>
      <c r="I4072" s="126" t="s">
        <v>3461</v>
      </c>
      <c r="J4072" s="126">
        <f t="shared" si="534"/>
        <v>45.68333333333333</v>
      </c>
      <c r="K4072" s="126">
        <f t="shared" si="535"/>
        <v>126.61666666666666</v>
      </c>
      <c r="L4072" s="126">
        <v>170.5</v>
      </c>
      <c r="R4072" s="478"/>
      <c r="S4072" s="478"/>
      <c r="T4072" s="478"/>
      <c r="U4072" s="478"/>
      <c r="V4072" s="478" t="s">
        <v>1382</v>
      </c>
      <c r="W4072" s="478" t="s">
        <v>1717</v>
      </c>
      <c r="X4072" s="478" t="s">
        <v>1382</v>
      </c>
      <c r="Y4072" s="478" t="s">
        <v>1382</v>
      </c>
      <c r="AA4072" s="479"/>
      <c r="AB4072" s="479"/>
      <c r="AC4072" s="126" t="s">
        <v>240</v>
      </c>
      <c r="AD4072" s="126">
        <v>6.5</v>
      </c>
      <c r="AE4072" s="126">
        <v>6.1</v>
      </c>
      <c r="AH4072" s="126" t="s">
        <v>116</v>
      </c>
      <c r="AI4072" s="126" t="s">
        <v>1581</v>
      </c>
      <c r="AJ4072" s="126" t="s">
        <v>3553</v>
      </c>
      <c r="AK4072" s="126" t="s">
        <v>229</v>
      </c>
      <c r="AW4072" s="126" t="s">
        <v>160</v>
      </c>
      <c r="AY4072" s="126">
        <v>3</v>
      </c>
      <c r="BE4072" s="126" t="s">
        <v>3564</v>
      </c>
      <c r="BF4072" s="126">
        <v>8.8999999999999996E-2</v>
      </c>
      <c r="BG4072" s="126">
        <v>8.4000000000000005E-2</v>
      </c>
      <c r="BJ4072" s="126" t="s">
        <v>3566</v>
      </c>
      <c r="BP4072" s="481"/>
      <c r="BQ4072" s="481"/>
      <c r="BU4072" s="481"/>
      <c r="BV4072" s="481"/>
      <c r="BZ4072" s="481"/>
      <c r="CA4072" s="481"/>
      <c r="CE4072" s="605"/>
      <c r="CF4072" s="605"/>
      <c r="CG4072" s="605"/>
      <c r="CH4072" s="605"/>
      <c r="JB4072" s="126" t="s">
        <v>3568</v>
      </c>
      <c r="JC4072" s="126" t="s">
        <v>3580</v>
      </c>
      <c r="JD4072" s="480"/>
    </row>
    <row r="4073" spans="1:264" s="126" customFormat="1" x14ac:dyDescent="0.25">
      <c r="A4073" s="126">
        <v>177</v>
      </c>
      <c r="B4073" s="478" t="s">
        <v>3574</v>
      </c>
      <c r="C4073" s="126" t="s">
        <v>3551</v>
      </c>
      <c r="D4073" s="126" t="s">
        <v>3552</v>
      </c>
      <c r="E4073" s="126">
        <v>2017</v>
      </c>
      <c r="G4073" s="126" t="s">
        <v>2713</v>
      </c>
      <c r="H4073" s="126" t="s">
        <v>3563</v>
      </c>
      <c r="I4073" s="126" t="s">
        <v>3461</v>
      </c>
      <c r="J4073" s="126">
        <f t="shared" si="534"/>
        <v>45.68333333333333</v>
      </c>
      <c r="K4073" s="126">
        <f t="shared" si="535"/>
        <v>126.61666666666666</v>
      </c>
      <c r="L4073" s="126">
        <v>170.5</v>
      </c>
      <c r="R4073" s="478"/>
      <c r="S4073" s="478"/>
      <c r="T4073" s="478"/>
      <c r="U4073" s="478"/>
      <c r="V4073" s="478" t="s">
        <v>1382</v>
      </c>
      <c r="W4073" s="478" t="s">
        <v>1717</v>
      </c>
      <c r="X4073" s="478" t="s">
        <v>1382</v>
      </c>
      <c r="Y4073" s="478" t="s">
        <v>1382</v>
      </c>
      <c r="AA4073" s="479"/>
      <c r="AB4073" s="479"/>
      <c r="AC4073" s="126" t="s">
        <v>240</v>
      </c>
      <c r="AD4073" s="126">
        <v>6.5</v>
      </c>
      <c r="AE4073" s="126">
        <v>6.1</v>
      </c>
      <c r="AH4073" s="126" t="s">
        <v>116</v>
      </c>
      <c r="AI4073" s="126" t="s">
        <v>1581</v>
      </c>
      <c r="AJ4073" s="126" t="s">
        <v>3553</v>
      </c>
      <c r="AK4073" s="126" t="s">
        <v>229</v>
      </c>
      <c r="AW4073" s="126" t="s">
        <v>160</v>
      </c>
      <c r="AY4073" s="126">
        <v>3</v>
      </c>
      <c r="BE4073" s="126" t="s">
        <v>3564</v>
      </c>
      <c r="BF4073" s="126">
        <v>8.8999999999999996E-2</v>
      </c>
      <c r="BG4073" s="126">
        <v>0.109</v>
      </c>
      <c r="BJ4073" s="126" t="s">
        <v>3566</v>
      </c>
      <c r="BP4073" s="481"/>
      <c r="BQ4073" s="481"/>
      <c r="BU4073" s="481"/>
      <c r="BV4073" s="481"/>
      <c r="BZ4073" s="481"/>
      <c r="CA4073" s="481"/>
      <c r="CE4073" s="605"/>
      <c r="CF4073" s="605"/>
      <c r="CG4073" s="605"/>
      <c r="CH4073" s="605"/>
      <c r="JB4073" s="126" t="s">
        <v>3568</v>
      </c>
      <c r="JC4073" s="126" t="s">
        <v>3580</v>
      </c>
      <c r="JD4073" s="480"/>
    </row>
    <row r="4074" spans="1:264" s="36" customFormat="1" x14ac:dyDescent="0.25">
      <c r="A4074" s="36">
        <v>177</v>
      </c>
      <c r="B4074" s="51" t="s">
        <v>3578</v>
      </c>
      <c r="C4074" s="36" t="s">
        <v>3551</v>
      </c>
      <c r="D4074" s="36" t="s">
        <v>3552</v>
      </c>
      <c r="E4074" s="36">
        <v>2017</v>
      </c>
      <c r="G4074" s="36" t="s">
        <v>2713</v>
      </c>
      <c r="H4074" s="36" t="s">
        <v>3563</v>
      </c>
      <c r="I4074" s="36" t="s">
        <v>3461</v>
      </c>
      <c r="J4074" s="36">
        <f t="shared" si="534"/>
        <v>45.68333333333333</v>
      </c>
      <c r="K4074" s="36">
        <f t="shared" si="535"/>
        <v>126.61666666666666</v>
      </c>
      <c r="L4074" s="36">
        <v>170.5</v>
      </c>
      <c r="R4074" s="51"/>
      <c r="S4074" s="51"/>
      <c r="T4074" s="51"/>
      <c r="U4074" s="51"/>
      <c r="V4074" s="51" t="s">
        <v>1382</v>
      </c>
      <c r="W4074" s="51" t="s">
        <v>1717</v>
      </c>
      <c r="X4074" s="51" t="s">
        <v>1382</v>
      </c>
      <c r="Y4074" s="51" t="s">
        <v>1382</v>
      </c>
      <c r="AA4074" s="331"/>
      <c r="AB4074" s="331"/>
      <c r="AC4074" s="36" t="s">
        <v>240</v>
      </c>
      <c r="AD4074" s="36">
        <v>6.5</v>
      </c>
      <c r="AE4074" s="36">
        <v>6.1</v>
      </c>
      <c r="AH4074" s="36" t="s">
        <v>116</v>
      </c>
      <c r="AI4074" s="36" t="s">
        <v>1581</v>
      </c>
      <c r="AJ4074" s="36" t="s">
        <v>3553</v>
      </c>
      <c r="AK4074" s="36" t="s">
        <v>229</v>
      </c>
      <c r="AW4074" s="36" t="s">
        <v>160</v>
      </c>
      <c r="AY4074" s="36">
        <v>3</v>
      </c>
      <c r="BE4074" s="36" t="s">
        <v>3565</v>
      </c>
      <c r="BF4074" s="36">
        <v>0.30649999999999999</v>
      </c>
      <c r="BG4074" s="36">
        <v>0.378</v>
      </c>
      <c r="BJ4074" s="36" t="s">
        <v>3566</v>
      </c>
      <c r="BP4074" s="407"/>
      <c r="BQ4074" s="407"/>
      <c r="BU4074" s="407"/>
      <c r="BV4074" s="407"/>
      <c r="BZ4074" s="407"/>
      <c r="CA4074" s="407"/>
      <c r="CE4074" s="560"/>
      <c r="CF4074" s="560"/>
      <c r="CG4074" s="560"/>
      <c r="CH4074" s="560"/>
      <c r="CJ4074" s="36">
        <v>9.5009999999999994</v>
      </c>
      <c r="CK4074" s="36">
        <v>5.7169999999999996</v>
      </c>
      <c r="CL4074" s="36">
        <v>0.73599999999999999</v>
      </c>
      <c r="CM4074" s="36">
        <v>0.16500000000000001</v>
      </c>
      <c r="CN4074" s="36" t="s">
        <v>3575</v>
      </c>
      <c r="JB4074" s="36" t="s">
        <v>3567</v>
      </c>
      <c r="JC4074" s="36" t="s">
        <v>3580</v>
      </c>
      <c r="JD4074" s="230"/>
    </row>
    <row r="4075" spans="1:264" s="36" customFormat="1" x14ac:dyDescent="0.25">
      <c r="A4075" s="36">
        <v>177</v>
      </c>
      <c r="B4075" s="51" t="s">
        <v>3578</v>
      </c>
      <c r="C4075" s="36" t="s">
        <v>3551</v>
      </c>
      <c r="D4075" s="36" t="s">
        <v>3552</v>
      </c>
      <c r="E4075" s="36">
        <v>2017</v>
      </c>
      <c r="G4075" s="36" t="s">
        <v>2713</v>
      </c>
      <c r="H4075" s="36" t="s">
        <v>3563</v>
      </c>
      <c r="I4075" s="36" t="s">
        <v>3461</v>
      </c>
      <c r="J4075" s="36">
        <f t="shared" si="534"/>
        <v>45.68333333333333</v>
      </c>
      <c r="K4075" s="36">
        <f t="shared" si="535"/>
        <v>126.61666666666666</v>
      </c>
      <c r="L4075" s="36">
        <v>170.5</v>
      </c>
      <c r="R4075" s="51"/>
      <c r="S4075" s="51"/>
      <c r="T4075" s="51"/>
      <c r="U4075" s="51"/>
      <c r="V4075" s="51" t="s">
        <v>1382</v>
      </c>
      <c r="W4075" s="51" t="s">
        <v>1717</v>
      </c>
      <c r="X4075" s="51" t="s">
        <v>1382</v>
      </c>
      <c r="Y4075" s="51" t="s">
        <v>1382</v>
      </c>
      <c r="AA4075" s="331"/>
      <c r="AB4075" s="331"/>
      <c r="AC4075" s="36" t="s">
        <v>240</v>
      </c>
      <c r="AD4075" s="36">
        <v>6.5</v>
      </c>
      <c r="AE4075" s="36">
        <v>6.1</v>
      </c>
      <c r="AH4075" s="36" t="s">
        <v>116</v>
      </c>
      <c r="AI4075" s="36" t="s">
        <v>1581</v>
      </c>
      <c r="AJ4075" s="36" t="s">
        <v>3553</v>
      </c>
      <c r="AK4075" s="36" t="s">
        <v>229</v>
      </c>
      <c r="AW4075" s="36" t="s">
        <v>160</v>
      </c>
      <c r="AY4075" s="36">
        <v>3</v>
      </c>
      <c r="BE4075" s="36" t="s">
        <v>3565</v>
      </c>
      <c r="BF4075" s="36">
        <v>0.30649999999999999</v>
      </c>
      <c r="BG4075" s="36">
        <v>0.32</v>
      </c>
      <c r="BJ4075" s="36" t="s">
        <v>3566</v>
      </c>
      <c r="BP4075" s="407"/>
      <c r="BQ4075" s="407"/>
      <c r="BU4075" s="407"/>
      <c r="BV4075" s="407"/>
      <c r="BZ4075" s="407"/>
      <c r="CA4075" s="407"/>
      <c r="CE4075" s="560"/>
      <c r="CF4075" s="560"/>
      <c r="CG4075" s="560"/>
      <c r="CH4075" s="560"/>
      <c r="JB4075" s="36" t="s">
        <v>3567</v>
      </c>
      <c r="JC4075" s="36" t="s">
        <v>3580</v>
      </c>
      <c r="JD4075" s="230"/>
    </row>
    <row r="4076" spans="1:264" s="36" customFormat="1" x14ac:dyDescent="0.25">
      <c r="A4076" s="36">
        <v>177</v>
      </c>
      <c r="B4076" s="51" t="s">
        <v>3579</v>
      </c>
      <c r="C4076" s="36" t="s">
        <v>3551</v>
      </c>
      <c r="D4076" s="36" t="s">
        <v>3552</v>
      </c>
      <c r="E4076" s="36">
        <v>2017</v>
      </c>
      <c r="G4076" s="36" t="s">
        <v>2713</v>
      </c>
      <c r="H4076" s="36" t="s">
        <v>3563</v>
      </c>
      <c r="I4076" s="36" t="s">
        <v>3461</v>
      </c>
      <c r="J4076" s="36">
        <f t="shared" si="534"/>
        <v>45.68333333333333</v>
      </c>
      <c r="K4076" s="36">
        <f t="shared" si="535"/>
        <v>126.61666666666666</v>
      </c>
      <c r="L4076" s="36">
        <v>170.5</v>
      </c>
      <c r="R4076" s="51"/>
      <c r="S4076" s="51"/>
      <c r="T4076" s="51"/>
      <c r="U4076" s="51"/>
      <c r="V4076" s="51" t="s">
        <v>1382</v>
      </c>
      <c r="W4076" s="51" t="s">
        <v>1717</v>
      </c>
      <c r="X4076" s="51" t="s">
        <v>1382</v>
      </c>
      <c r="Y4076" s="51" t="s">
        <v>1382</v>
      </c>
      <c r="AA4076" s="331"/>
      <c r="AB4076" s="331"/>
      <c r="AC4076" s="36" t="s">
        <v>240</v>
      </c>
      <c r="AD4076" s="36">
        <v>6.5</v>
      </c>
      <c r="AE4076" s="36">
        <v>6.1</v>
      </c>
      <c r="AH4076" s="36" t="s">
        <v>116</v>
      </c>
      <c r="AI4076" s="36" t="s">
        <v>1581</v>
      </c>
      <c r="AJ4076" s="36" t="s">
        <v>3553</v>
      </c>
      <c r="AK4076" s="36" t="s">
        <v>229</v>
      </c>
      <c r="AW4076" s="36" t="s">
        <v>160</v>
      </c>
      <c r="AY4076" s="36">
        <v>3</v>
      </c>
      <c r="BE4076" s="36" t="s">
        <v>3565</v>
      </c>
      <c r="BF4076" s="36">
        <v>0.20480000000000001</v>
      </c>
      <c r="BG4076" s="36">
        <v>0.59240000000000004</v>
      </c>
      <c r="BJ4076" s="36" t="s">
        <v>3566</v>
      </c>
      <c r="BP4076" s="407"/>
      <c r="BQ4076" s="407"/>
      <c r="BU4076" s="407"/>
      <c r="BV4076" s="407"/>
      <c r="BZ4076" s="407"/>
      <c r="CA4076" s="407"/>
      <c r="CE4076" s="560"/>
      <c r="CF4076" s="560"/>
      <c r="CG4076" s="560"/>
      <c r="CH4076" s="560"/>
      <c r="CJ4076" s="36">
        <v>6.63</v>
      </c>
      <c r="CK4076" s="36">
        <v>3.5569999999999999</v>
      </c>
      <c r="CL4076" s="36">
        <v>1.1850000000000001</v>
      </c>
      <c r="CM4076" s="36">
        <v>0.504</v>
      </c>
      <c r="CN4076" s="36" t="s">
        <v>3575</v>
      </c>
      <c r="JB4076" s="36" t="s">
        <v>3568</v>
      </c>
      <c r="JC4076" s="36" t="s">
        <v>3580</v>
      </c>
      <c r="JD4076" s="230"/>
    </row>
    <row r="4077" spans="1:264" s="36" customFormat="1" x14ac:dyDescent="0.25">
      <c r="A4077" s="36">
        <v>177</v>
      </c>
      <c r="B4077" s="51" t="s">
        <v>3579</v>
      </c>
      <c r="C4077" s="36" t="s">
        <v>3551</v>
      </c>
      <c r="D4077" s="36" t="s">
        <v>3552</v>
      </c>
      <c r="E4077" s="36">
        <v>2017</v>
      </c>
      <c r="G4077" s="36" t="s">
        <v>2713</v>
      </c>
      <c r="H4077" s="36" t="s">
        <v>3563</v>
      </c>
      <c r="I4077" s="36" t="s">
        <v>3461</v>
      </c>
      <c r="J4077" s="36">
        <f t="shared" si="534"/>
        <v>45.68333333333333</v>
      </c>
      <c r="K4077" s="36">
        <f t="shared" si="535"/>
        <v>126.61666666666666</v>
      </c>
      <c r="L4077" s="36">
        <v>170.5</v>
      </c>
      <c r="R4077" s="51"/>
      <c r="S4077" s="51"/>
      <c r="T4077" s="51"/>
      <c r="U4077" s="51"/>
      <c r="V4077" s="51" t="s">
        <v>1382</v>
      </c>
      <c r="W4077" s="51" t="s">
        <v>1717</v>
      </c>
      <c r="X4077" s="51" t="s">
        <v>1382</v>
      </c>
      <c r="Y4077" s="51" t="s">
        <v>1382</v>
      </c>
      <c r="AA4077" s="331"/>
      <c r="AB4077" s="331"/>
      <c r="AC4077" s="36" t="s">
        <v>240</v>
      </c>
      <c r="AD4077" s="36">
        <v>6.5</v>
      </c>
      <c r="AE4077" s="36">
        <v>6.1</v>
      </c>
      <c r="AH4077" s="36" t="s">
        <v>116</v>
      </c>
      <c r="AI4077" s="36" t="s">
        <v>1581</v>
      </c>
      <c r="AJ4077" s="36" t="s">
        <v>3553</v>
      </c>
      <c r="AK4077" s="36" t="s">
        <v>229</v>
      </c>
      <c r="AW4077" s="36" t="s">
        <v>160</v>
      </c>
      <c r="AY4077" s="36">
        <v>3</v>
      </c>
      <c r="BE4077" s="36" t="s">
        <v>3565</v>
      </c>
      <c r="BF4077" s="36">
        <v>0.20480000000000001</v>
      </c>
      <c r="BG4077" s="36">
        <v>0.29599999999999999</v>
      </c>
      <c r="BJ4077" s="36" t="s">
        <v>3566</v>
      </c>
      <c r="BP4077" s="407"/>
      <c r="BQ4077" s="407"/>
      <c r="BU4077" s="407"/>
      <c r="BV4077" s="407"/>
      <c r="BZ4077" s="407"/>
      <c r="CA4077" s="407"/>
      <c r="CE4077" s="560"/>
      <c r="CF4077" s="560"/>
      <c r="CG4077" s="560"/>
      <c r="CH4077" s="560"/>
      <c r="JB4077" s="36" t="s">
        <v>3568</v>
      </c>
      <c r="JC4077" s="36" t="s">
        <v>3580</v>
      </c>
      <c r="JD4077" s="230"/>
    </row>
    <row r="4078" spans="1:264" s="36" customFormat="1" x14ac:dyDescent="0.25">
      <c r="A4078" s="36">
        <v>177</v>
      </c>
      <c r="B4078" s="51" t="s">
        <v>3579</v>
      </c>
      <c r="C4078" s="36" t="s">
        <v>3551</v>
      </c>
      <c r="D4078" s="36" t="s">
        <v>3552</v>
      </c>
      <c r="E4078" s="36">
        <v>2017</v>
      </c>
      <c r="G4078" s="36" t="s">
        <v>2713</v>
      </c>
      <c r="H4078" s="36" t="s">
        <v>3563</v>
      </c>
      <c r="I4078" s="36" t="s">
        <v>3461</v>
      </c>
      <c r="J4078" s="36">
        <f t="shared" si="534"/>
        <v>45.68333333333333</v>
      </c>
      <c r="K4078" s="36">
        <f t="shared" si="535"/>
        <v>126.61666666666666</v>
      </c>
      <c r="L4078" s="36">
        <v>170.5</v>
      </c>
      <c r="R4078" s="51"/>
      <c r="S4078" s="51"/>
      <c r="T4078" s="51"/>
      <c r="U4078" s="51"/>
      <c r="V4078" s="51" t="s">
        <v>1382</v>
      </c>
      <c r="W4078" s="51" t="s">
        <v>1717</v>
      </c>
      <c r="X4078" s="51" t="s">
        <v>1382</v>
      </c>
      <c r="Y4078" s="51" t="s">
        <v>1382</v>
      </c>
      <c r="AA4078" s="331"/>
      <c r="AB4078" s="331"/>
      <c r="AC4078" s="36" t="s">
        <v>240</v>
      </c>
      <c r="AD4078" s="36">
        <v>6.5</v>
      </c>
      <c r="AE4078" s="36">
        <v>6.1</v>
      </c>
      <c r="AH4078" s="36" t="s">
        <v>116</v>
      </c>
      <c r="AI4078" s="36" t="s">
        <v>1581</v>
      </c>
      <c r="AJ4078" s="36" t="s">
        <v>3553</v>
      </c>
      <c r="AK4078" s="36" t="s">
        <v>229</v>
      </c>
      <c r="AW4078" s="36" t="s">
        <v>160</v>
      </c>
      <c r="AY4078" s="36">
        <v>3</v>
      </c>
      <c r="BE4078" s="36" t="s">
        <v>3565</v>
      </c>
      <c r="BF4078" s="36">
        <v>0.20480000000000001</v>
      </c>
      <c r="BG4078" s="36">
        <v>0.38350000000000001</v>
      </c>
      <c r="BJ4078" s="36" t="s">
        <v>3566</v>
      </c>
      <c r="BP4078" s="407"/>
      <c r="BQ4078" s="407"/>
      <c r="BU4078" s="407"/>
      <c r="BV4078" s="407"/>
      <c r="BZ4078" s="407"/>
      <c r="CA4078" s="407"/>
      <c r="CE4078" s="560"/>
      <c r="CF4078" s="560"/>
      <c r="CG4078" s="560"/>
      <c r="CH4078" s="560"/>
      <c r="JB4078" s="36" t="s">
        <v>3568</v>
      </c>
      <c r="JC4078" s="36" t="s">
        <v>3580</v>
      </c>
      <c r="JD4078" s="230"/>
    </row>
    <row r="4079" spans="1:264" s="24" customFormat="1" x14ac:dyDescent="0.25">
      <c r="A4079" s="24">
        <v>178</v>
      </c>
      <c r="B4079" s="42" t="s">
        <v>3588</v>
      </c>
      <c r="C4079" s="24" t="s">
        <v>3584</v>
      </c>
      <c r="D4079" s="24" t="s">
        <v>3585</v>
      </c>
      <c r="E4079" s="24">
        <v>2017</v>
      </c>
      <c r="F4079" s="24">
        <v>2014</v>
      </c>
      <c r="G4079" s="24" t="s">
        <v>3583</v>
      </c>
      <c r="H4079" s="24" t="s">
        <v>3581</v>
      </c>
      <c r="I4079" s="24" t="s">
        <v>2819</v>
      </c>
      <c r="J4079" s="24">
        <f t="shared" ref="J4079:J4090" si="536">50+44/60</f>
        <v>50.733333333333334</v>
      </c>
      <c r="K4079" s="24">
        <f t="shared" ref="K4079:K4090" si="537">2+22/60</f>
        <v>2.3666666666666667</v>
      </c>
      <c r="L4079" s="24">
        <v>40</v>
      </c>
      <c r="N4079" s="24">
        <v>10.5</v>
      </c>
      <c r="P4079" s="24">
        <v>675</v>
      </c>
      <c r="R4079" s="42" t="s">
        <v>1977</v>
      </c>
      <c r="S4079" s="42" t="s">
        <v>1847</v>
      </c>
      <c r="T4079" s="42"/>
      <c r="U4079" s="42" t="s">
        <v>1961</v>
      </c>
      <c r="V4079" s="42" t="s">
        <v>1389</v>
      </c>
      <c r="W4079" s="42" t="s">
        <v>1720</v>
      </c>
      <c r="X4079" s="42" t="s">
        <v>1389</v>
      </c>
      <c r="Y4079" s="42" t="s">
        <v>1389</v>
      </c>
      <c r="AA4079" s="321">
        <f t="shared" ref="AA4079:AA4090" si="538">SUM(95.2+24.6)*0.1</f>
        <v>11.980000000000002</v>
      </c>
      <c r="AB4079" s="321">
        <f t="shared" ref="AB4079:AB4090" si="539">(232.3+436.3)/10</f>
        <v>66.86</v>
      </c>
      <c r="AC4079" s="24" t="s">
        <v>450</v>
      </c>
      <c r="AD4079" s="24">
        <v>6.9</v>
      </c>
      <c r="AE4079" s="24">
        <v>1.1599999999999999</v>
      </c>
      <c r="AH4079" s="24" t="s">
        <v>3582</v>
      </c>
      <c r="AI4079" s="24" t="s">
        <v>1641</v>
      </c>
      <c r="AJ4079" s="24" t="s">
        <v>116</v>
      </c>
      <c r="AK4079" s="24" t="s">
        <v>116</v>
      </c>
      <c r="AO4079" s="24" t="s">
        <v>156</v>
      </c>
      <c r="AP4079" s="24" t="s">
        <v>156</v>
      </c>
      <c r="AQ4079" s="24" t="s">
        <v>2126</v>
      </c>
      <c r="AR4079" s="24" t="s">
        <v>2126</v>
      </c>
      <c r="AS4079" s="24" t="s">
        <v>177</v>
      </c>
      <c r="AT4079" s="24">
        <v>0</v>
      </c>
      <c r="AU4079" s="24">
        <v>0</v>
      </c>
      <c r="AV4079" s="24" t="s">
        <v>177</v>
      </c>
      <c r="AW4079" s="24" t="s">
        <v>160</v>
      </c>
      <c r="BF4079" s="24">
        <v>3520</v>
      </c>
      <c r="BG4079" s="24">
        <v>3499</v>
      </c>
      <c r="BJ4079" s="24" t="s">
        <v>569</v>
      </c>
      <c r="BK4079" s="24">
        <v>1869</v>
      </c>
      <c r="BL4079" s="24">
        <v>2467</v>
      </c>
      <c r="BP4079" s="395"/>
      <c r="BQ4079" s="395"/>
      <c r="BU4079" s="395"/>
      <c r="BV4079" s="395"/>
      <c r="BZ4079" s="395"/>
      <c r="CA4079" s="395"/>
      <c r="CE4079" s="548"/>
      <c r="CF4079" s="548"/>
      <c r="CG4079" s="548"/>
      <c r="CH4079" s="548"/>
      <c r="JB4079" s="24" t="s">
        <v>3594</v>
      </c>
      <c r="JD4079" s="249"/>
    </row>
    <row r="4080" spans="1:264" s="24" customFormat="1" x14ac:dyDescent="0.25">
      <c r="A4080" s="24">
        <v>178</v>
      </c>
      <c r="B4080" s="42" t="s">
        <v>3589</v>
      </c>
      <c r="C4080" s="24" t="s">
        <v>3584</v>
      </c>
      <c r="D4080" s="24" t="s">
        <v>3585</v>
      </c>
      <c r="E4080" s="24">
        <v>2017</v>
      </c>
      <c r="F4080" s="24">
        <v>2014</v>
      </c>
      <c r="G4080" s="24" t="s">
        <v>3583</v>
      </c>
      <c r="H4080" s="24" t="s">
        <v>3581</v>
      </c>
      <c r="I4080" s="24" t="s">
        <v>2819</v>
      </c>
      <c r="J4080" s="24">
        <f t="shared" si="536"/>
        <v>50.733333333333334</v>
      </c>
      <c r="K4080" s="24">
        <f t="shared" si="537"/>
        <v>2.3666666666666667</v>
      </c>
      <c r="L4080" s="24">
        <v>40</v>
      </c>
      <c r="N4080" s="24">
        <v>10.5</v>
      </c>
      <c r="P4080" s="24">
        <v>675</v>
      </c>
      <c r="R4080" s="42" t="s">
        <v>1977</v>
      </c>
      <c r="S4080" s="42" t="s">
        <v>1847</v>
      </c>
      <c r="T4080" s="42"/>
      <c r="U4080" s="42" t="s">
        <v>1961</v>
      </c>
      <c r="V4080" s="42" t="s">
        <v>1389</v>
      </c>
      <c r="W4080" s="42" t="s">
        <v>1720</v>
      </c>
      <c r="X4080" s="42" t="s">
        <v>1389</v>
      </c>
      <c r="Y4080" s="42" t="s">
        <v>1389</v>
      </c>
      <c r="AA4080" s="321">
        <f t="shared" si="538"/>
        <v>11.980000000000002</v>
      </c>
      <c r="AB4080" s="321">
        <f t="shared" si="539"/>
        <v>66.86</v>
      </c>
      <c r="AC4080" s="24" t="s">
        <v>450</v>
      </c>
      <c r="AD4080" s="24">
        <v>6.9</v>
      </c>
      <c r="AE4080" s="24">
        <v>1.1599999999999999</v>
      </c>
      <c r="AH4080" s="24" t="s">
        <v>3582</v>
      </c>
      <c r="AI4080" s="24" t="s">
        <v>1641</v>
      </c>
      <c r="AJ4080" s="24" t="s">
        <v>116</v>
      </c>
      <c r="AK4080" s="24" t="s">
        <v>116</v>
      </c>
      <c r="AO4080" s="24" t="s">
        <v>231</v>
      </c>
      <c r="AP4080" s="24" t="s">
        <v>231</v>
      </c>
      <c r="AQ4080" s="24" t="s">
        <v>2125</v>
      </c>
      <c r="AR4080" s="24" t="s">
        <v>2125</v>
      </c>
      <c r="AS4080" s="24" t="s">
        <v>177</v>
      </c>
      <c r="AT4080" s="24">
        <v>0</v>
      </c>
      <c r="AU4080" s="24">
        <v>0</v>
      </c>
      <c r="AV4080" s="24" t="s">
        <v>177</v>
      </c>
      <c r="AW4080" s="24" t="s">
        <v>160</v>
      </c>
      <c r="BF4080" s="24">
        <v>5868</v>
      </c>
      <c r="BG4080" s="24">
        <v>5583</v>
      </c>
      <c r="BJ4080" s="24" t="s">
        <v>569</v>
      </c>
      <c r="BK4080" s="24">
        <v>2228</v>
      </c>
      <c r="BL4080" s="24">
        <v>2530</v>
      </c>
      <c r="BP4080" s="395"/>
      <c r="BQ4080" s="395"/>
      <c r="BU4080" s="395"/>
      <c r="BV4080" s="395"/>
      <c r="BZ4080" s="395"/>
      <c r="CA4080" s="395"/>
      <c r="CE4080" s="548"/>
      <c r="CF4080" s="548"/>
      <c r="CG4080" s="548"/>
      <c r="CH4080" s="548"/>
      <c r="JB4080" s="24" t="s">
        <v>3594</v>
      </c>
      <c r="JD4080" s="249"/>
    </row>
    <row r="4081" spans="1:264" s="136" customFormat="1" x14ac:dyDescent="0.25">
      <c r="A4081" s="136">
        <v>178</v>
      </c>
      <c r="B4081" s="137" t="s">
        <v>3590</v>
      </c>
      <c r="C4081" s="136" t="s">
        <v>3584</v>
      </c>
      <c r="D4081" s="136" t="s">
        <v>3585</v>
      </c>
      <c r="E4081" s="136">
        <v>2017</v>
      </c>
      <c r="F4081" s="136">
        <v>2014</v>
      </c>
      <c r="G4081" s="136" t="s">
        <v>3583</v>
      </c>
      <c r="H4081" s="136" t="s">
        <v>3581</v>
      </c>
      <c r="I4081" s="136" t="s">
        <v>2819</v>
      </c>
      <c r="J4081" s="136">
        <f t="shared" si="536"/>
        <v>50.733333333333334</v>
      </c>
      <c r="K4081" s="136">
        <f t="shared" si="537"/>
        <v>2.3666666666666667</v>
      </c>
      <c r="L4081" s="136">
        <v>40</v>
      </c>
      <c r="N4081" s="136">
        <v>10.5</v>
      </c>
      <c r="P4081" s="136">
        <v>675</v>
      </c>
      <c r="R4081" s="137" t="s">
        <v>1977</v>
      </c>
      <c r="S4081" s="137" t="s">
        <v>1847</v>
      </c>
      <c r="T4081" s="137"/>
      <c r="U4081" s="137" t="s">
        <v>1961</v>
      </c>
      <c r="V4081" s="137" t="s">
        <v>1389</v>
      </c>
      <c r="W4081" s="137" t="s">
        <v>1720</v>
      </c>
      <c r="X4081" s="137" t="s">
        <v>1389</v>
      </c>
      <c r="Y4081" s="137" t="s">
        <v>1389</v>
      </c>
      <c r="AA4081" s="357">
        <f t="shared" si="538"/>
        <v>11.980000000000002</v>
      </c>
      <c r="AB4081" s="357">
        <f t="shared" si="539"/>
        <v>66.86</v>
      </c>
      <c r="AC4081" s="136" t="s">
        <v>450</v>
      </c>
      <c r="AD4081" s="136">
        <v>6.9</v>
      </c>
      <c r="AE4081" s="136">
        <v>1.1599999999999999</v>
      </c>
      <c r="AH4081" s="136" t="s">
        <v>3582</v>
      </c>
      <c r="AI4081" s="136" t="s">
        <v>1641</v>
      </c>
      <c r="AJ4081" s="136" t="s">
        <v>116</v>
      </c>
      <c r="AK4081" s="136" t="s">
        <v>116</v>
      </c>
      <c r="AO4081" s="136" t="s">
        <v>156</v>
      </c>
      <c r="AP4081" s="136" t="s">
        <v>156</v>
      </c>
      <c r="AQ4081" s="24" t="s">
        <v>2126</v>
      </c>
      <c r="AR4081" s="24" t="s">
        <v>2126</v>
      </c>
      <c r="AS4081" s="136" t="s">
        <v>177</v>
      </c>
      <c r="AT4081" s="136" t="s">
        <v>3586</v>
      </c>
      <c r="AU4081" s="136" t="s">
        <v>3586</v>
      </c>
      <c r="AV4081" s="136" t="s">
        <v>177</v>
      </c>
      <c r="AW4081" s="24" t="s">
        <v>160</v>
      </c>
      <c r="BF4081" s="136">
        <v>13921</v>
      </c>
      <c r="BG4081" s="136">
        <v>15434</v>
      </c>
      <c r="BJ4081" s="24" t="s">
        <v>569</v>
      </c>
      <c r="BK4081" s="136">
        <v>6463</v>
      </c>
      <c r="BL4081" s="136">
        <v>8109</v>
      </c>
      <c r="BP4081" s="432"/>
      <c r="BQ4081" s="432"/>
      <c r="BU4081" s="432"/>
      <c r="BV4081" s="432"/>
      <c r="BZ4081" s="432"/>
      <c r="CA4081" s="432"/>
      <c r="CE4081" s="585"/>
      <c r="CF4081" s="585"/>
      <c r="CG4081" s="585"/>
      <c r="CH4081" s="585"/>
      <c r="JB4081" s="24" t="s">
        <v>3594</v>
      </c>
      <c r="JD4081" s="500"/>
    </row>
    <row r="4082" spans="1:264" s="136" customFormat="1" x14ac:dyDescent="0.25">
      <c r="A4082" s="136">
        <v>178</v>
      </c>
      <c r="B4082" s="137" t="s">
        <v>3591</v>
      </c>
      <c r="C4082" s="136" t="s">
        <v>3584</v>
      </c>
      <c r="D4082" s="136" t="s">
        <v>3585</v>
      </c>
      <c r="E4082" s="136">
        <v>2017</v>
      </c>
      <c r="F4082" s="136">
        <v>2014</v>
      </c>
      <c r="G4082" s="136" t="s">
        <v>3583</v>
      </c>
      <c r="H4082" s="136" t="s">
        <v>3581</v>
      </c>
      <c r="I4082" s="136" t="s">
        <v>2819</v>
      </c>
      <c r="J4082" s="136">
        <f t="shared" si="536"/>
        <v>50.733333333333334</v>
      </c>
      <c r="K4082" s="136">
        <f t="shared" si="537"/>
        <v>2.3666666666666667</v>
      </c>
      <c r="L4082" s="136">
        <v>40</v>
      </c>
      <c r="N4082" s="136">
        <v>10.5</v>
      </c>
      <c r="P4082" s="136">
        <v>675</v>
      </c>
      <c r="R4082" s="137" t="s">
        <v>1977</v>
      </c>
      <c r="S4082" s="137" t="s">
        <v>1847</v>
      </c>
      <c r="T4082" s="137"/>
      <c r="U4082" s="137" t="s">
        <v>1961</v>
      </c>
      <c r="V4082" s="137" t="s">
        <v>1389</v>
      </c>
      <c r="W4082" s="137" t="s">
        <v>1720</v>
      </c>
      <c r="X4082" s="137" t="s">
        <v>1389</v>
      </c>
      <c r="Y4082" s="137" t="s">
        <v>1389</v>
      </c>
      <c r="AA4082" s="357">
        <f t="shared" si="538"/>
        <v>11.980000000000002</v>
      </c>
      <c r="AB4082" s="357">
        <f t="shared" si="539"/>
        <v>66.86</v>
      </c>
      <c r="AC4082" s="136" t="s">
        <v>450</v>
      </c>
      <c r="AD4082" s="136">
        <v>6.9</v>
      </c>
      <c r="AE4082" s="136">
        <v>1.1599999999999999</v>
      </c>
      <c r="AH4082" s="136" t="s">
        <v>3582</v>
      </c>
      <c r="AI4082" s="136" t="s">
        <v>1641</v>
      </c>
      <c r="AJ4082" s="136" t="s">
        <v>116</v>
      </c>
      <c r="AK4082" s="136" t="s">
        <v>116</v>
      </c>
      <c r="AO4082" s="136" t="s">
        <v>231</v>
      </c>
      <c r="AP4082" s="136" t="s">
        <v>231</v>
      </c>
      <c r="AQ4082" s="24" t="s">
        <v>2125</v>
      </c>
      <c r="AR4082" s="24" t="s">
        <v>2125</v>
      </c>
      <c r="AS4082" s="136" t="s">
        <v>177</v>
      </c>
      <c r="AT4082" s="136" t="s">
        <v>3586</v>
      </c>
      <c r="AU4082" s="136" t="s">
        <v>3586</v>
      </c>
      <c r="AV4082" s="136" t="s">
        <v>177</v>
      </c>
      <c r="AW4082" s="24" t="s">
        <v>160</v>
      </c>
      <c r="BF4082" s="136">
        <v>17805</v>
      </c>
      <c r="BG4082" s="136">
        <v>16231</v>
      </c>
      <c r="BJ4082" s="24" t="s">
        <v>569</v>
      </c>
      <c r="BK4082" s="136">
        <v>8390</v>
      </c>
      <c r="BL4082" s="136">
        <v>8534</v>
      </c>
      <c r="BP4082" s="432"/>
      <c r="BQ4082" s="432"/>
      <c r="BU4082" s="432"/>
      <c r="BV4082" s="432"/>
      <c r="BZ4082" s="432"/>
      <c r="CA4082" s="432"/>
      <c r="CE4082" s="585"/>
      <c r="CF4082" s="585"/>
      <c r="CG4082" s="585"/>
      <c r="CH4082" s="585"/>
      <c r="JB4082" s="24" t="s">
        <v>3594</v>
      </c>
      <c r="JD4082" s="500"/>
    </row>
    <row r="4083" spans="1:264" s="24" customFormat="1" x14ac:dyDescent="0.25">
      <c r="A4083" s="24">
        <v>178</v>
      </c>
      <c r="B4083" s="42" t="s">
        <v>3592</v>
      </c>
      <c r="C4083" s="24" t="s">
        <v>3584</v>
      </c>
      <c r="D4083" s="24" t="s">
        <v>3585</v>
      </c>
      <c r="E4083" s="24">
        <v>2017</v>
      </c>
      <c r="F4083" s="24">
        <v>2014</v>
      </c>
      <c r="G4083" s="24" t="s">
        <v>3583</v>
      </c>
      <c r="H4083" s="24" t="s">
        <v>3581</v>
      </c>
      <c r="I4083" s="24" t="s">
        <v>2819</v>
      </c>
      <c r="J4083" s="24">
        <f t="shared" si="536"/>
        <v>50.733333333333334</v>
      </c>
      <c r="K4083" s="24">
        <f t="shared" si="537"/>
        <v>2.3666666666666667</v>
      </c>
      <c r="L4083" s="24">
        <v>40</v>
      </c>
      <c r="N4083" s="24">
        <v>10.5</v>
      </c>
      <c r="P4083" s="24">
        <v>675</v>
      </c>
      <c r="R4083" s="42" t="s">
        <v>1977</v>
      </c>
      <c r="S4083" s="42" t="s">
        <v>1847</v>
      </c>
      <c r="T4083" s="42"/>
      <c r="U4083" s="42" t="s">
        <v>1961</v>
      </c>
      <c r="V4083" s="42" t="s">
        <v>1389</v>
      </c>
      <c r="W4083" s="42" t="s">
        <v>1720</v>
      </c>
      <c r="X4083" s="42" t="s">
        <v>1389</v>
      </c>
      <c r="Y4083" s="42" t="s">
        <v>1389</v>
      </c>
      <c r="AA4083" s="321">
        <f t="shared" si="538"/>
        <v>11.980000000000002</v>
      </c>
      <c r="AB4083" s="321">
        <f t="shared" si="539"/>
        <v>66.86</v>
      </c>
      <c r="AC4083" s="24" t="s">
        <v>450</v>
      </c>
      <c r="AD4083" s="24">
        <v>6.9</v>
      </c>
      <c r="AE4083" s="24">
        <v>1.1599999999999999</v>
      </c>
      <c r="AH4083" s="24" t="s">
        <v>3582</v>
      </c>
      <c r="AI4083" s="24" t="s">
        <v>1641</v>
      </c>
      <c r="AJ4083" s="24" t="s">
        <v>116</v>
      </c>
      <c r="AK4083" s="24" t="s">
        <v>116</v>
      </c>
      <c r="AO4083" s="24" t="s">
        <v>156</v>
      </c>
      <c r="AP4083" s="24" t="s">
        <v>156</v>
      </c>
      <c r="AQ4083" s="24" t="s">
        <v>2126</v>
      </c>
      <c r="AR4083" s="24" t="s">
        <v>2126</v>
      </c>
      <c r="AS4083" s="24" t="s">
        <v>177</v>
      </c>
      <c r="AT4083" s="24" t="s">
        <v>3587</v>
      </c>
      <c r="AU4083" s="24" t="s">
        <v>3587</v>
      </c>
      <c r="AV4083" s="24" t="s">
        <v>177</v>
      </c>
      <c r="AW4083" s="24" t="s">
        <v>160</v>
      </c>
      <c r="BF4083" s="24">
        <v>18194</v>
      </c>
      <c r="BG4083" s="24">
        <v>17196</v>
      </c>
      <c r="BJ4083" s="24" t="s">
        <v>569</v>
      </c>
      <c r="BK4083" s="24">
        <v>8967</v>
      </c>
      <c r="BL4083" s="24">
        <v>9065</v>
      </c>
      <c r="BP4083" s="395"/>
      <c r="BQ4083" s="395"/>
      <c r="BU4083" s="395"/>
      <c r="BV4083" s="395"/>
      <c r="BZ4083" s="395"/>
      <c r="CA4083" s="395"/>
      <c r="CE4083" s="548"/>
      <c r="CF4083" s="548"/>
      <c r="CG4083" s="548"/>
      <c r="CH4083" s="548"/>
      <c r="JB4083" s="24" t="s">
        <v>3594</v>
      </c>
      <c r="JD4083" s="249"/>
    </row>
    <row r="4084" spans="1:264" s="24" customFormat="1" x14ac:dyDescent="0.25">
      <c r="A4084" s="24">
        <v>178</v>
      </c>
      <c r="B4084" s="42" t="s">
        <v>3593</v>
      </c>
      <c r="C4084" s="24" t="s">
        <v>3584</v>
      </c>
      <c r="D4084" s="24" t="s">
        <v>3585</v>
      </c>
      <c r="E4084" s="24">
        <v>2017</v>
      </c>
      <c r="F4084" s="24">
        <v>2014</v>
      </c>
      <c r="G4084" s="24" t="s">
        <v>3583</v>
      </c>
      <c r="H4084" s="24" t="s">
        <v>3581</v>
      </c>
      <c r="I4084" s="24" t="s">
        <v>2819</v>
      </c>
      <c r="J4084" s="24">
        <f t="shared" si="536"/>
        <v>50.733333333333334</v>
      </c>
      <c r="K4084" s="24">
        <f t="shared" si="537"/>
        <v>2.3666666666666667</v>
      </c>
      <c r="L4084" s="24">
        <v>40</v>
      </c>
      <c r="N4084" s="24">
        <v>10.5</v>
      </c>
      <c r="P4084" s="24">
        <v>675</v>
      </c>
      <c r="R4084" s="42" t="s">
        <v>1977</v>
      </c>
      <c r="S4084" s="42" t="s">
        <v>1847</v>
      </c>
      <c r="T4084" s="42"/>
      <c r="U4084" s="42" t="s">
        <v>1961</v>
      </c>
      <c r="V4084" s="42" t="s">
        <v>1389</v>
      </c>
      <c r="W4084" s="42" t="s">
        <v>1720</v>
      </c>
      <c r="X4084" s="42" t="s">
        <v>1389</v>
      </c>
      <c r="Y4084" s="42" t="s">
        <v>1389</v>
      </c>
      <c r="AA4084" s="321">
        <f t="shared" si="538"/>
        <v>11.980000000000002</v>
      </c>
      <c r="AB4084" s="321">
        <f t="shared" si="539"/>
        <v>66.86</v>
      </c>
      <c r="AC4084" s="24" t="s">
        <v>450</v>
      </c>
      <c r="AD4084" s="24">
        <v>6.9</v>
      </c>
      <c r="AE4084" s="24">
        <v>1.1599999999999999</v>
      </c>
      <c r="AH4084" s="24" t="s">
        <v>3582</v>
      </c>
      <c r="AI4084" s="24" t="s">
        <v>1641</v>
      </c>
      <c r="AJ4084" s="24" t="s">
        <v>116</v>
      </c>
      <c r="AK4084" s="24" t="s">
        <v>116</v>
      </c>
      <c r="AO4084" s="24" t="s">
        <v>231</v>
      </c>
      <c r="AP4084" s="24" t="s">
        <v>231</v>
      </c>
      <c r="AQ4084" s="24" t="s">
        <v>2125</v>
      </c>
      <c r="AR4084" s="24" t="s">
        <v>2125</v>
      </c>
      <c r="AS4084" s="24" t="s">
        <v>177</v>
      </c>
      <c r="AT4084" s="24" t="s">
        <v>3587</v>
      </c>
      <c r="AU4084" s="24" t="s">
        <v>3587</v>
      </c>
      <c r="AV4084" s="24" t="s">
        <v>177</v>
      </c>
      <c r="AW4084" s="24" t="s">
        <v>160</v>
      </c>
      <c r="BF4084" s="24">
        <v>17409</v>
      </c>
      <c r="BG4084" s="24">
        <v>18936</v>
      </c>
      <c r="BJ4084" s="24" t="s">
        <v>569</v>
      </c>
      <c r="BK4084" s="24">
        <v>8409</v>
      </c>
      <c r="BL4084" s="24">
        <v>10069</v>
      </c>
      <c r="BP4084" s="395"/>
      <c r="BQ4084" s="395"/>
      <c r="BU4084" s="395"/>
      <c r="BV4084" s="395"/>
      <c r="BZ4084" s="395"/>
      <c r="CA4084" s="395"/>
      <c r="CE4084" s="548"/>
      <c r="CF4084" s="548"/>
      <c r="CG4084" s="548"/>
      <c r="CH4084" s="548"/>
      <c r="JB4084" s="24" t="s">
        <v>3594</v>
      </c>
      <c r="JD4084" s="249"/>
    </row>
    <row r="4085" spans="1:264" s="32" customFormat="1" x14ac:dyDescent="0.25">
      <c r="A4085" s="32">
        <v>178</v>
      </c>
      <c r="B4085" s="44" t="s">
        <v>3588</v>
      </c>
      <c r="C4085" s="32" t="s">
        <v>3584</v>
      </c>
      <c r="D4085" s="32" t="s">
        <v>3585</v>
      </c>
      <c r="E4085" s="32">
        <v>2017</v>
      </c>
      <c r="F4085" s="32">
        <v>2015</v>
      </c>
      <c r="G4085" s="32" t="s">
        <v>3583</v>
      </c>
      <c r="H4085" s="32" t="s">
        <v>3581</v>
      </c>
      <c r="I4085" s="32" t="s">
        <v>2819</v>
      </c>
      <c r="J4085" s="32">
        <f t="shared" si="536"/>
        <v>50.733333333333334</v>
      </c>
      <c r="K4085" s="32">
        <f t="shared" si="537"/>
        <v>2.3666666666666667</v>
      </c>
      <c r="L4085" s="32">
        <v>40</v>
      </c>
      <c r="N4085" s="32">
        <v>10.5</v>
      </c>
      <c r="P4085" s="32">
        <v>675</v>
      </c>
      <c r="R4085" s="44" t="s">
        <v>1847</v>
      </c>
      <c r="S4085" s="44" t="s">
        <v>1847</v>
      </c>
      <c r="T4085" s="44"/>
      <c r="U4085" s="44" t="s">
        <v>1961</v>
      </c>
      <c r="V4085" s="44" t="s">
        <v>1389</v>
      </c>
      <c r="W4085" s="44" t="s">
        <v>1720</v>
      </c>
      <c r="X4085" s="44" t="s">
        <v>1389</v>
      </c>
      <c r="Y4085" s="44" t="s">
        <v>1389</v>
      </c>
      <c r="AA4085" s="323">
        <f t="shared" si="538"/>
        <v>11.980000000000002</v>
      </c>
      <c r="AB4085" s="323">
        <f t="shared" si="539"/>
        <v>66.86</v>
      </c>
      <c r="AC4085" s="32" t="s">
        <v>450</v>
      </c>
      <c r="AD4085" s="32">
        <v>6.9</v>
      </c>
      <c r="AE4085" s="32">
        <v>1.1599999999999999</v>
      </c>
      <c r="AH4085" s="32" t="s">
        <v>3582</v>
      </c>
      <c r="AI4085" s="32" t="s">
        <v>1641</v>
      </c>
      <c r="AJ4085" s="32" t="s">
        <v>116</v>
      </c>
      <c r="AK4085" s="32" t="s">
        <v>116</v>
      </c>
      <c r="AO4085" s="32" t="s">
        <v>156</v>
      </c>
      <c r="AP4085" s="32" t="s">
        <v>156</v>
      </c>
      <c r="AQ4085" s="32" t="s">
        <v>2126</v>
      </c>
      <c r="AR4085" s="32" t="s">
        <v>2126</v>
      </c>
      <c r="AS4085" s="32" t="s">
        <v>177</v>
      </c>
      <c r="AT4085" s="32">
        <v>0</v>
      </c>
      <c r="AU4085" s="32">
        <v>0</v>
      </c>
      <c r="AV4085" s="32" t="s">
        <v>177</v>
      </c>
      <c r="AW4085" s="32" t="s">
        <v>160</v>
      </c>
      <c r="BF4085" s="32">
        <v>4541</v>
      </c>
      <c r="BG4085" s="32">
        <v>5229</v>
      </c>
      <c r="BJ4085" s="32" t="s">
        <v>569</v>
      </c>
      <c r="BK4085" s="32">
        <v>2298</v>
      </c>
      <c r="BL4085" s="32">
        <v>2492</v>
      </c>
      <c r="BP4085" s="397"/>
      <c r="BQ4085" s="397"/>
      <c r="BU4085" s="397"/>
      <c r="BV4085" s="397"/>
      <c r="BZ4085" s="397"/>
      <c r="CA4085" s="397"/>
      <c r="CE4085" s="550"/>
      <c r="CF4085" s="550"/>
      <c r="CG4085" s="550"/>
      <c r="CH4085" s="550"/>
      <c r="JB4085" s="32" t="s">
        <v>3594</v>
      </c>
      <c r="JD4085" s="243"/>
    </row>
    <row r="4086" spans="1:264" s="32" customFormat="1" x14ac:dyDescent="0.25">
      <c r="A4086" s="32">
        <v>178</v>
      </c>
      <c r="B4086" s="44" t="s">
        <v>3589</v>
      </c>
      <c r="C4086" s="32" t="s">
        <v>3584</v>
      </c>
      <c r="D4086" s="32" t="s">
        <v>3585</v>
      </c>
      <c r="E4086" s="32">
        <v>2017</v>
      </c>
      <c r="F4086" s="32">
        <v>2015</v>
      </c>
      <c r="G4086" s="32" t="s">
        <v>3583</v>
      </c>
      <c r="H4086" s="32" t="s">
        <v>3581</v>
      </c>
      <c r="I4086" s="32" t="s">
        <v>2819</v>
      </c>
      <c r="J4086" s="32">
        <f t="shared" si="536"/>
        <v>50.733333333333334</v>
      </c>
      <c r="K4086" s="32">
        <f t="shared" si="537"/>
        <v>2.3666666666666667</v>
      </c>
      <c r="L4086" s="32">
        <v>40</v>
      </c>
      <c r="N4086" s="32">
        <v>10.5</v>
      </c>
      <c r="P4086" s="32">
        <v>675</v>
      </c>
      <c r="R4086" s="44" t="s">
        <v>1847</v>
      </c>
      <c r="S4086" s="44" t="s">
        <v>1847</v>
      </c>
      <c r="T4086" s="44"/>
      <c r="U4086" s="44" t="s">
        <v>1961</v>
      </c>
      <c r="V4086" s="44" t="s">
        <v>1389</v>
      </c>
      <c r="W4086" s="44" t="s">
        <v>1720</v>
      </c>
      <c r="X4086" s="44" t="s">
        <v>1389</v>
      </c>
      <c r="Y4086" s="44" t="s">
        <v>1389</v>
      </c>
      <c r="AA4086" s="323">
        <f t="shared" si="538"/>
        <v>11.980000000000002</v>
      </c>
      <c r="AB4086" s="323">
        <f t="shared" si="539"/>
        <v>66.86</v>
      </c>
      <c r="AC4086" s="32" t="s">
        <v>450</v>
      </c>
      <c r="AD4086" s="32">
        <v>6.9</v>
      </c>
      <c r="AE4086" s="32">
        <v>1.1599999999999999</v>
      </c>
      <c r="AH4086" s="32" t="s">
        <v>3582</v>
      </c>
      <c r="AI4086" s="32" t="s">
        <v>1641</v>
      </c>
      <c r="AJ4086" s="32" t="s">
        <v>116</v>
      </c>
      <c r="AK4086" s="32" t="s">
        <v>116</v>
      </c>
      <c r="AO4086" s="32" t="s">
        <v>231</v>
      </c>
      <c r="AP4086" s="32" t="s">
        <v>231</v>
      </c>
      <c r="AQ4086" s="32" t="s">
        <v>2125</v>
      </c>
      <c r="AR4086" s="32" t="s">
        <v>2125</v>
      </c>
      <c r="AS4086" s="32" t="s">
        <v>177</v>
      </c>
      <c r="AT4086" s="32">
        <v>0</v>
      </c>
      <c r="AU4086" s="32">
        <v>0</v>
      </c>
      <c r="AV4086" s="32" t="s">
        <v>177</v>
      </c>
      <c r="AW4086" s="32" t="s">
        <v>160</v>
      </c>
      <c r="BF4086" s="32">
        <v>5870</v>
      </c>
      <c r="BG4086" s="32">
        <v>7192</v>
      </c>
      <c r="BJ4086" s="32" t="s">
        <v>569</v>
      </c>
      <c r="BK4086" s="32">
        <v>2548</v>
      </c>
      <c r="BL4086" s="32">
        <v>3495</v>
      </c>
      <c r="BP4086" s="397"/>
      <c r="BQ4086" s="397"/>
      <c r="BU4086" s="397"/>
      <c r="BV4086" s="397"/>
      <c r="BZ4086" s="397"/>
      <c r="CA4086" s="397"/>
      <c r="CE4086" s="550"/>
      <c r="CF4086" s="550"/>
      <c r="CG4086" s="550"/>
      <c r="CH4086" s="550"/>
      <c r="JB4086" s="32" t="s">
        <v>3594</v>
      </c>
      <c r="JD4086" s="243"/>
    </row>
    <row r="4087" spans="1:264" s="134" customFormat="1" x14ac:dyDescent="0.25">
      <c r="A4087" s="134">
        <v>178</v>
      </c>
      <c r="B4087" s="135" t="s">
        <v>3590</v>
      </c>
      <c r="C4087" s="134" t="s">
        <v>3584</v>
      </c>
      <c r="D4087" s="134" t="s">
        <v>3585</v>
      </c>
      <c r="E4087" s="134">
        <v>2017</v>
      </c>
      <c r="F4087" s="134">
        <v>2015</v>
      </c>
      <c r="G4087" s="134" t="s">
        <v>3583</v>
      </c>
      <c r="H4087" s="134" t="s">
        <v>3581</v>
      </c>
      <c r="I4087" s="134" t="s">
        <v>2819</v>
      </c>
      <c r="J4087" s="134">
        <f t="shared" si="536"/>
        <v>50.733333333333334</v>
      </c>
      <c r="K4087" s="134">
        <f t="shared" si="537"/>
        <v>2.3666666666666667</v>
      </c>
      <c r="L4087" s="134">
        <v>40</v>
      </c>
      <c r="N4087" s="134">
        <v>10.5</v>
      </c>
      <c r="P4087" s="134">
        <v>675</v>
      </c>
      <c r="R4087" s="135" t="s">
        <v>1847</v>
      </c>
      <c r="S4087" s="135" t="s">
        <v>1847</v>
      </c>
      <c r="T4087" s="135"/>
      <c r="U4087" s="135" t="s">
        <v>1961</v>
      </c>
      <c r="V4087" s="135" t="s">
        <v>1389</v>
      </c>
      <c r="W4087" s="135" t="s">
        <v>1720</v>
      </c>
      <c r="X4087" s="135" t="s">
        <v>1389</v>
      </c>
      <c r="Y4087" s="135" t="s">
        <v>1389</v>
      </c>
      <c r="AA4087" s="356">
        <f t="shared" si="538"/>
        <v>11.980000000000002</v>
      </c>
      <c r="AB4087" s="356">
        <f t="shared" si="539"/>
        <v>66.86</v>
      </c>
      <c r="AC4087" s="134" t="s">
        <v>450</v>
      </c>
      <c r="AD4087" s="134">
        <v>6.9</v>
      </c>
      <c r="AE4087" s="134">
        <v>1.1599999999999999</v>
      </c>
      <c r="AH4087" s="134" t="s">
        <v>3582</v>
      </c>
      <c r="AI4087" s="134" t="s">
        <v>1641</v>
      </c>
      <c r="AJ4087" s="134" t="s">
        <v>116</v>
      </c>
      <c r="AK4087" s="134" t="s">
        <v>116</v>
      </c>
      <c r="AO4087" s="134" t="s">
        <v>156</v>
      </c>
      <c r="AP4087" s="134" t="s">
        <v>156</v>
      </c>
      <c r="AQ4087" s="134" t="s">
        <v>2126</v>
      </c>
      <c r="AR4087" s="134" t="s">
        <v>2126</v>
      </c>
      <c r="AS4087" s="134" t="s">
        <v>177</v>
      </c>
      <c r="AT4087" s="134" t="s">
        <v>3586</v>
      </c>
      <c r="AU4087" s="134" t="s">
        <v>3586</v>
      </c>
      <c r="AV4087" s="134" t="s">
        <v>177</v>
      </c>
      <c r="AW4087" s="32" t="s">
        <v>160</v>
      </c>
      <c r="BF4087" s="134">
        <v>15637</v>
      </c>
      <c r="BG4087" s="134">
        <v>19084</v>
      </c>
      <c r="BJ4087" s="134" t="s">
        <v>569</v>
      </c>
      <c r="BK4087" s="134">
        <v>8907</v>
      </c>
      <c r="BL4087" s="134">
        <v>10123</v>
      </c>
      <c r="BP4087" s="431"/>
      <c r="BQ4087" s="431"/>
      <c r="BU4087" s="431"/>
      <c r="BV4087" s="431"/>
      <c r="BZ4087" s="431"/>
      <c r="CA4087" s="431"/>
      <c r="CE4087" s="584"/>
      <c r="CF4087" s="584"/>
      <c r="CG4087" s="584"/>
      <c r="CH4087" s="584"/>
      <c r="JB4087" s="134" t="s">
        <v>3594</v>
      </c>
      <c r="JD4087" s="501"/>
    </row>
    <row r="4088" spans="1:264" s="134" customFormat="1" x14ac:dyDescent="0.25">
      <c r="A4088" s="134">
        <v>178</v>
      </c>
      <c r="B4088" s="135" t="s">
        <v>3591</v>
      </c>
      <c r="C4088" s="134" t="s">
        <v>3584</v>
      </c>
      <c r="D4088" s="134" t="s">
        <v>3585</v>
      </c>
      <c r="E4088" s="134">
        <v>2017</v>
      </c>
      <c r="F4088" s="134">
        <v>2015</v>
      </c>
      <c r="G4088" s="134" t="s">
        <v>3583</v>
      </c>
      <c r="H4088" s="134" t="s">
        <v>3581</v>
      </c>
      <c r="I4088" s="134" t="s">
        <v>2819</v>
      </c>
      <c r="J4088" s="134">
        <f t="shared" si="536"/>
        <v>50.733333333333334</v>
      </c>
      <c r="K4088" s="134">
        <f t="shared" si="537"/>
        <v>2.3666666666666667</v>
      </c>
      <c r="L4088" s="134">
        <v>40</v>
      </c>
      <c r="N4088" s="134">
        <v>10.5</v>
      </c>
      <c r="P4088" s="134">
        <v>675</v>
      </c>
      <c r="R4088" s="135" t="s">
        <v>1847</v>
      </c>
      <c r="S4088" s="135" t="s">
        <v>1847</v>
      </c>
      <c r="T4088" s="135"/>
      <c r="U4088" s="135" t="s">
        <v>1961</v>
      </c>
      <c r="V4088" s="135" t="s">
        <v>1389</v>
      </c>
      <c r="W4088" s="135" t="s">
        <v>1720</v>
      </c>
      <c r="X4088" s="135" t="s">
        <v>1389</v>
      </c>
      <c r="Y4088" s="135" t="s">
        <v>1389</v>
      </c>
      <c r="AA4088" s="356">
        <f t="shared" si="538"/>
        <v>11.980000000000002</v>
      </c>
      <c r="AB4088" s="356">
        <f t="shared" si="539"/>
        <v>66.86</v>
      </c>
      <c r="AC4088" s="134" t="s">
        <v>450</v>
      </c>
      <c r="AD4088" s="134">
        <v>6.9</v>
      </c>
      <c r="AE4088" s="134">
        <v>1.1599999999999999</v>
      </c>
      <c r="AH4088" s="134" t="s">
        <v>3582</v>
      </c>
      <c r="AI4088" s="134" t="s">
        <v>1641</v>
      </c>
      <c r="AJ4088" s="134" t="s">
        <v>116</v>
      </c>
      <c r="AK4088" s="134" t="s">
        <v>116</v>
      </c>
      <c r="AO4088" s="134" t="s">
        <v>231</v>
      </c>
      <c r="AP4088" s="134" t="s">
        <v>231</v>
      </c>
      <c r="AQ4088" s="134" t="s">
        <v>2125</v>
      </c>
      <c r="AR4088" s="134" t="s">
        <v>2125</v>
      </c>
      <c r="AS4088" s="134" t="s">
        <v>177</v>
      </c>
      <c r="AT4088" s="134" t="s">
        <v>3586</v>
      </c>
      <c r="AU4088" s="134" t="s">
        <v>3586</v>
      </c>
      <c r="AV4088" s="134" t="s">
        <v>177</v>
      </c>
      <c r="AW4088" s="32" t="s">
        <v>160</v>
      </c>
      <c r="BF4088" s="134">
        <v>16039</v>
      </c>
      <c r="BG4088" s="134">
        <v>15891</v>
      </c>
      <c r="BJ4088" s="134" t="s">
        <v>569</v>
      </c>
      <c r="BK4088" s="134">
        <v>7627</v>
      </c>
      <c r="BL4088" s="134">
        <v>7645</v>
      </c>
      <c r="BP4088" s="431"/>
      <c r="BQ4088" s="431"/>
      <c r="BU4088" s="431"/>
      <c r="BV4088" s="431"/>
      <c r="BZ4088" s="431"/>
      <c r="CA4088" s="431"/>
      <c r="CE4088" s="584"/>
      <c r="CF4088" s="584"/>
      <c r="CG4088" s="584"/>
      <c r="CH4088" s="584"/>
      <c r="JB4088" s="134" t="s">
        <v>3594</v>
      </c>
      <c r="JD4088" s="501"/>
    </row>
    <row r="4089" spans="1:264" s="32" customFormat="1" x14ac:dyDescent="0.25">
      <c r="A4089" s="32">
        <v>178</v>
      </c>
      <c r="B4089" s="44" t="s">
        <v>3592</v>
      </c>
      <c r="C4089" s="32" t="s">
        <v>3584</v>
      </c>
      <c r="D4089" s="32" t="s">
        <v>3585</v>
      </c>
      <c r="E4089" s="32">
        <v>2017</v>
      </c>
      <c r="F4089" s="32">
        <v>2015</v>
      </c>
      <c r="G4089" s="32" t="s">
        <v>3583</v>
      </c>
      <c r="H4089" s="32" t="s">
        <v>3581</v>
      </c>
      <c r="I4089" s="32" t="s">
        <v>2819</v>
      </c>
      <c r="J4089" s="32">
        <f t="shared" si="536"/>
        <v>50.733333333333334</v>
      </c>
      <c r="K4089" s="32">
        <f t="shared" si="537"/>
        <v>2.3666666666666667</v>
      </c>
      <c r="L4089" s="32">
        <v>40</v>
      </c>
      <c r="N4089" s="32">
        <v>10.5</v>
      </c>
      <c r="P4089" s="32">
        <v>675</v>
      </c>
      <c r="R4089" s="44" t="s">
        <v>1847</v>
      </c>
      <c r="S4089" s="44" t="s">
        <v>1847</v>
      </c>
      <c r="T4089" s="44"/>
      <c r="U4089" s="44" t="s">
        <v>1961</v>
      </c>
      <c r="V4089" s="44" t="s">
        <v>1389</v>
      </c>
      <c r="W4089" s="44" t="s">
        <v>1720</v>
      </c>
      <c r="X4089" s="44" t="s">
        <v>1389</v>
      </c>
      <c r="Y4089" s="44" t="s">
        <v>1389</v>
      </c>
      <c r="AA4089" s="323">
        <f t="shared" si="538"/>
        <v>11.980000000000002</v>
      </c>
      <c r="AB4089" s="323">
        <f t="shared" si="539"/>
        <v>66.86</v>
      </c>
      <c r="AC4089" s="32" t="s">
        <v>450</v>
      </c>
      <c r="AD4089" s="32">
        <v>6.9</v>
      </c>
      <c r="AE4089" s="32">
        <v>1.1599999999999999</v>
      </c>
      <c r="AH4089" s="32" t="s">
        <v>3582</v>
      </c>
      <c r="AI4089" s="32" t="s">
        <v>1641</v>
      </c>
      <c r="AJ4089" s="32" t="s">
        <v>116</v>
      </c>
      <c r="AK4089" s="32" t="s">
        <v>116</v>
      </c>
      <c r="AO4089" s="32" t="s">
        <v>156</v>
      </c>
      <c r="AP4089" s="32" t="s">
        <v>156</v>
      </c>
      <c r="AQ4089" s="32" t="s">
        <v>2126</v>
      </c>
      <c r="AR4089" s="32" t="s">
        <v>2126</v>
      </c>
      <c r="AS4089" s="32" t="s">
        <v>177</v>
      </c>
      <c r="AT4089" s="32" t="s">
        <v>3587</v>
      </c>
      <c r="AU4089" s="32" t="s">
        <v>3587</v>
      </c>
      <c r="AV4089" s="32" t="s">
        <v>177</v>
      </c>
      <c r="AW4089" s="32" t="s">
        <v>160</v>
      </c>
      <c r="BF4089" s="32">
        <v>21588</v>
      </c>
      <c r="BG4089" s="32">
        <v>22440</v>
      </c>
      <c r="BJ4089" s="32" t="s">
        <v>569</v>
      </c>
      <c r="BK4089" s="32">
        <v>11560</v>
      </c>
      <c r="BL4089" s="32">
        <v>11816</v>
      </c>
      <c r="BP4089" s="397"/>
      <c r="BQ4089" s="397"/>
      <c r="BU4089" s="397"/>
      <c r="BV4089" s="397"/>
      <c r="BZ4089" s="397"/>
      <c r="CA4089" s="397"/>
      <c r="CE4089" s="550"/>
      <c r="CF4089" s="550"/>
      <c r="CG4089" s="550"/>
      <c r="CH4089" s="550"/>
      <c r="JB4089" s="32" t="s">
        <v>3594</v>
      </c>
      <c r="JD4089" s="243"/>
    </row>
    <row r="4090" spans="1:264" s="32" customFormat="1" x14ac:dyDescent="0.25">
      <c r="A4090" s="32">
        <v>178</v>
      </c>
      <c r="B4090" s="44" t="s">
        <v>3593</v>
      </c>
      <c r="C4090" s="32" t="s">
        <v>3584</v>
      </c>
      <c r="D4090" s="32" t="s">
        <v>3585</v>
      </c>
      <c r="E4090" s="32">
        <v>2017</v>
      </c>
      <c r="F4090" s="32">
        <v>2015</v>
      </c>
      <c r="G4090" s="32" t="s">
        <v>3583</v>
      </c>
      <c r="H4090" s="32" t="s">
        <v>3581</v>
      </c>
      <c r="I4090" s="32" t="s">
        <v>2819</v>
      </c>
      <c r="J4090" s="32">
        <f t="shared" si="536"/>
        <v>50.733333333333334</v>
      </c>
      <c r="K4090" s="32">
        <f t="shared" si="537"/>
        <v>2.3666666666666667</v>
      </c>
      <c r="L4090" s="32">
        <v>40</v>
      </c>
      <c r="N4090" s="32">
        <v>10.5</v>
      </c>
      <c r="P4090" s="32">
        <v>675</v>
      </c>
      <c r="R4090" s="44" t="s">
        <v>1847</v>
      </c>
      <c r="S4090" s="44" t="s">
        <v>1847</v>
      </c>
      <c r="T4090" s="44"/>
      <c r="U4090" s="44" t="s">
        <v>1961</v>
      </c>
      <c r="V4090" s="44" t="s">
        <v>1389</v>
      </c>
      <c r="W4090" s="44" t="s">
        <v>1720</v>
      </c>
      <c r="X4090" s="44" t="s">
        <v>1389</v>
      </c>
      <c r="Y4090" s="44" t="s">
        <v>1389</v>
      </c>
      <c r="AA4090" s="323">
        <f t="shared" si="538"/>
        <v>11.980000000000002</v>
      </c>
      <c r="AB4090" s="323">
        <f t="shared" si="539"/>
        <v>66.86</v>
      </c>
      <c r="AC4090" s="32" t="s">
        <v>450</v>
      </c>
      <c r="AD4090" s="32">
        <v>6.9</v>
      </c>
      <c r="AE4090" s="32">
        <v>1.1599999999999999</v>
      </c>
      <c r="AH4090" s="32" t="s">
        <v>3582</v>
      </c>
      <c r="AI4090" s="32" t="s">
        <v>1641</v>
      </c>
      <c r="AJ4090" s="32" t="s">
        <v>116</v>
      </c>
      <c r="AK4090" s="32" t="s">
        <v>116</v>
      </c>
      <c r="AO4090" s="32" t="s">
        <v>231</v>
      </c>
      <c r="AP4090" s="32" t="s">
        <v>231</v>
      </c>
      <c r="AQ4090" s="32" t="s">
        <v>2125</v>
      </c>
      <c r="AR4090" s="32" t="s">
        <v>2125</v>
      </c>
      <c r="AS4090" s="32" t="s">
        <v>177</v>
      </c>
      <c r="AT4090" s="32" t="s">
        <v>3587</v>
      </c>
      <c r="AU4090" s="32" t="s">
        <v>3587</v>
      </c>
      <c r="AV4090" s="32" t="s">
        <v>177</v>
      </c>
      <c r="AW4090" s="32" t="s">
        <v>160</v>
      </c>
      <c r="BF4090" s="32">
        <v>18206</v>
      </c>
      <c r="BG4090" s="32">
        <v>20453</v>
      </c>
      <c r="BJ4090" s="32" t="s">
        <v>569</v>
      </c>
      <c r="BK4090" s="32">
        <v>9175</v>
      </c>
      <c r="BL4090" s="32">
        <v>11061</v>
      </c>
      <c r="BP4090" s="397"/>
      <c r="BQ4090" s="397"/>
      <c r="BU4090" s="397"/>
      <c r="BV4090" s="397"/>
      <c r="BZ4090" s="397"/>
      <c r="CA4090" s="397"/>
      <c r="CE4090" s="550"/>
      <c r="CF4090" s="550"/>
      <c r="CG4090" s="550"/>
      <c r="CH4090" s="550"/>
      <c r="JB4090" s="32" t="s">
        <v>3594</v>
      </c>
      <c r="JD4090" s="243"/>
    </row>
    <row r="4091" spans="1:264" s="126" customFormat="1" x14ac:dyDescent="0.25">
      <c r="A4091" s="126">
        <v>179</v>
      </c>
      <c r="B4091" s="478" t="s">
        <v>3602</v>
      </c>
      <c r="C4091" s="126" t="s">
        <v>3595</v>
      </c>
      <c r="D4091" s="126" t="s">
        <v>3596</v>
      </c>
      <c r="E4091" s="126">
        <v>2013</v>
      </c>
      <c r="G4091" s="126" t="s">
        <v>794</v>
      </c>
      <c r="H4091" s="126" t="s">
        <v>3598</v>
      </c>
      <c r="I4091" s="126" t="s">
        <v>3599</v>
      </c>
      <c r="J4091" s="126">
        <f>36+50/60</f>
        <v>36.833333333333336</v>
      </c>
      <c r="K4091" s="126">
        <f>128+26/60</f>
        <v>128.43333333333334</v>
      </c>
      <c r="L4091" s="126">
        <v>968.9</v>
      </c>
      <c r="R4091" s="478" t="s">
        <v>1977</v>
      </c>
      <c r="S4091" s="478" t="s">
        <v>1977</v>
      </c>
      <c r="T4091" s="478"/>
      <c r="U4091" s="478" t="s">
        <v>3601</v>
      </c>
      <c r="V4091" s="478" t="s">
        <v>1382</v>
      </c>
      <c r="W4091" s="478" t="s">
        <v>1717</v>
      </c>
      <c r="X4091" s="478" t="s">
        <v>1382</v>
      </c>
      <c r="Y4091" s="478" t="s">
        <v>1382</v>
      </c>
      <c r="AA4091" s="479"/>
      <c r="AB4091" s="479"/>
      <c r="AC4091" s="126" t="s">
        <v>450</v>
      </c>
      <c r="AD4091" s="126">
        <v>6.2</v>
      </c>
      <c r="AE4091" s="126">
        <v>2.04</v>
      </c>
      <c r="AG4091" s="126" t="s">
        <v>3600</v>
      </c>
      <c r="AH4091" s="126" t="s">
        <v>3597</v>
      </c>
      <c r="AI4091" s="126" t="s">
        <v>3217</v>
      </c>
      <c r="AJ4091" s="126" t="s">
        <v>1128</v>
      </c>
      <c r="AK4091" s="126" t="s">
        <v>1646</v>
      </c>
      <c r="AW4091" s="126" t="s">
        <v>3610</v>
      </c>
      <c r="AX4091" s="126">
        <v>3</v>
      </c>
      <c r="AZ4091" s="126" t="s">
        <v>141</v>
      </c>
      <c r="BE4091" s="126" t="s">
        <v>3606</v>
      </c>
      <c r="BK4091" s="126">
        <v>8400</v>
      </c>
      <c r="BL4091" s="126">
        <v>12400</v>
      </c>
      <c r="BP4091" s="481"/>
      <c r="BQ4091" s="481"/>
      <c r="BU4091" s="481">
        <v>0.84</v>
      </c>
      <c r="BV4091" s="481">
        <v>1.24</v>
      </c>
      <c r="BY4091" s="126" t="s">
        <v>3611</v>
      </c>
      <c r="BZ4091" s="481"/>
      <c r="CA4091" s="481"/>
      <c r="CE4091" s="605">
        <v>0.84</v>
      </c>
      <c r="CF4091" s="605">
        <v>1.24</v>
      </c>
      <c r="CG4091" s="605"/>
      <c r="CH4091" s="605"/>
      <c r="CI4091" s="126" t="s">
        <v>4544</v>
      </c>
      <c r="CJ4091" s="126">
        <v>710</v>
      </c>
      <c r="CK4091" s="126">
        <v>750</v>
      </c>
      <c r="CN4091" s="126" t="s">
        <v>2411</v>
      </c>
      <c r="CO4091" s="126">
        <v>150</v>
      </c>
      <c r="CP4091" s="126">
        <v>152</v>
      </c>
      <c r="CS4091" s="126" t="s">
        <v>3613</v>
      </c>
      <c r="CY4091" s="126">
        <v>7.1</v>
      </c>
      <c r="CZ4091" s="126">
        <v>6.4</v>
      </c>
      <c r="II4091" s="126">
        <v>205</v>
      </c>
      <c r="IJ4091" s="126">
        <v>367</v>
      </c>
      <c r="IM4091" s="126" t="s">
        <v>3612</v>
      </c>
      <c r="JD4091" s="480"/>
    </row>
    <row r="4092" spans="1:264" s="126" customFormat="1" x14ac:dyDescent="0.25">
      <c r="A4092" s="126">
        <v>179</v>
      </c>
      <c r="B4092" s="478" t="s">
        <v>3603</v>
      </c>
      <c r="C4092" s="126" t="s">
        <v>3595</v>
      </c>
      <c r="D4092" s="126" t="s">
        <v>3596</v>
      </c>
      <c r="E4092" s="126">
        <v>2013</v>
      </c>
      <c r="G4092" s="126" t="s">
        <v>794</v>
      </c>
      <c r="H4092" s="126" t="s">
        <v>3598</v>
      </c>
      <c r="I4092" s="126" t="s">
        <v>3599</v>
      </c>
      <c r="J4092" s="126">
        <f>36+50/60</f>
        <v>36.833333333333336</v>
      </c>
      <c r="K4092" s="126">
        <f>128+26/60</f>
        <v>128.43333333333334</v>
      </c>
      <c r="L4092" s="126">
        <v>968.9</v>
      </c>
      <c r="R4092" s="478" t="s">
        <v>1977</v>
      </c>
      <c r="S4092" s="478" t="s">
        <v>1977</v>
      </c>
      <c r="T4092" s="478"/>
      <c r="U4092" s="478" t="s">
        <v>3601</v>
      </c>
      <c r="V4092" s="478" t="s">
        <v>1382</v>
      </c>
      <c r="W4092" s="478" t="s">
        <v>1717</v>
      </c>
      <c r="X4092" s="478" t="s">
        <v>1382</v>
      </c>
      <c r="Y4092" s="478" t="s">
        <v>1382</v>
      </c>
      <c r="AA4092" s="479"/>
      <c r="AB4092" s="479"/>
      <c r="AC4092" s="126" t="s">
        <v>450</v>
      </c>
      <c r="AD4092" s="126">
        <v>6.2</v>
      </c>
      <c r="AE4092" s="126">
        <v>2.04</v>
      </c>
      <c r="AG4092" s="126" t="s">
        <v>3600</v>
      </c>
      <c r="AH4092" s="126" t="s">
        <v>3597</v>
      </c>
      <c r="AI4092" s="126" t="s">
        <v>3217</v>
      </c>
      <c r="AJ4092" s="126" t="s">
        <v>1128</v>
      </c>
      <c r="AK4092" s="126" t="s">
        <v>1646</v>
      </c>
      <c r="AW4092" s="126" t="s">
        <v>3610</v>
      </c>
      <c r="AX4092" s="126">
        <v>3</v>
      </c>
      <c r="AZ4092" s="126" t="s">
        <v>141</v>
      </c>
      <c r="BE4092" s="126" t="s">
        <v>3607</v>
      </c>
      <c r="BK4092" s="126">
        <v>8400</v>
      </c>
      <c r="BL4092" s="126">
        <v>12900</v>
      </c>
      <c r="BP4092" s="481"/>
      <c r="BQ4092" s="481"/>
      <c r="BU4092" s="481">
        <v>0.84</v>
      </c>
      <c r="BV4092" s="481">
        <v>1.29</v>
      </c>
      <c r="BY4092" s="126" t="s">
        <v>3611</v>
      </c>
      <c r="BZ4092" s="481"/>
      <c r="CA4092" s="481"/>
      <c r="CE4092" s="605">
        <v>0.84</v>
      </c>
      <c r="CF4092" s="605">
        <v>1.29</v>
      </c>
      <c r="CG4092" s="605"/>
      <c r="CH4092" s="605"/>
      <c r="CI4092" s="126" t="s">
        <v>4544</v>
      </c>
      <c r="CJ4092" s="126">
        <v>710</v>
      </c>
      <c r="CK4092" s="126">
        <v>770</v>
      </c>
      <c r="CN4092" s="126" t="s">
        <v>2411</v>
      </c>
      <c r="CO4092" s="126">
        <v>150</v>
      </c>
      <c r="CP4092" s="126">
        <v>155</v>
      </c>
      <c r="CS4092" s="126" t="s">
        <v>3613</v>
      </c>
      <c r="CY4092" s="126">
        <v>7.1</v>
      </c>
      <c r="CZ4092" s="126">
        <v>6.7</v>
      </c>
      <c r="II4092" s="126">
        <v>205</v>
      </c>
      <c r="IJ4092" s="126">
        <v>961</v>
      </c>
      <c r="IM4092" s="126" t="s">
        <v>3612</v>
      </c>
      <c r="JD4092" s="480"/>
    </row>
    <row r="4093" spans="1:264" s="126" customFormat="1" x14ac:dyDescent="0.25">
      <c r="A4093" s="126">
        <v>179</v>
      </c>
      <c r="B4093" s="478" t="s">
        <v>3604</v>
      </c>
      <c r="C4093" s="126" t="s">
        <v>3595</v>
      </c>
      <c r="D4093" s="126" t="s">
        <v>3596</v>
      </c>
      <c r="E4093" s="126">
        <v>2013</v>
      </c>
      <c r="G4093" s="126" t="s">
        <v>794</v>
      </c>
      <c r="H4093" s="126" t="s">
        <v>3598</v>
      </c>
      <c r="I4093" s="126" t="s">
        <v>3599</v>
      </c>
      <c r="J4093" s="126">
        <f>36+50/60</f>
        <v>36.833333333333336</v>
      </c>
      <c r="K4093" s="126">
        <f>128+26/60</f>
        <v>128.43333333333334</v>
      </c>
      <c r="L4093" s="126">
        <v>968.9</v>
      </c>
      <c r="R4093" s="478" t="s">
        <v>1977</v>
      </c>
      <c r="S4093" s="478" t="s">
        <v>1977</v>
      </c>
      <c r="T4093" s="478"/>
      <c r="U4093" s="478" t="s">
        <v>3601</v>
      </c>
      <c r="V4093" s="478" t="s">
        <v>1382</v>
      </c>
      <c r="W4093" s="478" t="s">
        <v>1717</v>
      </c>
      <c r="X4093" s="478" t="s">
        <v>1382</v>
      </c>
      <c r="Y4093" s="478" t="s">
        <v>1382</v>
      </c>
      <c r="AA4093" s="479"/>
      <c r="AB4093" s="479"/>
      <c r="AC4093" s="126" t="s">
        <v>450</v>
      </c>
      <c r="AD4093" s="126">
        <v>6.2</v>
      </c>
      <c r="AE4093" s="126">
        <v>2.04</v>
      </c>
      <c r="AG4093" s="126" t="s">
        <v>3600</v>
      </c>
      <c r="AH4093" s="126" t="s">
        <v>3597</v>
      </c>
      <c r="AI4093" s="126" t="s">
        <v>3217</v>
      </c>
      <c r="AJ4093" s="126" t="s">
        <v>1128</v>
      </c>
      <c r="AK4093" s="126" t="s">
        <v>1646</v>
      </c>
      <c r="AW4093" s="126" t="s">
        <v>3610</v>
      </c>
      <c r="AX4093" s="126">
        <v>3</v>
      </c>
      <c r="AZ4093" s="126" t="s">
        <v>141</v>
      </c>
      <c r="BE4093" s="126" t="s">
        <v>3608</v>
      </c>
      <c r="BK4093" s="126">
        <v>8400</v>
      </c>
      <c r="BL4093" s="126">
        <v>13100</v>
      </c>
      <c r="BP4093" s="481"/>
      <c r="BQ4093" s="481"/>
      <c r="BU4093" s="481">
        <v>0.84</v>
      </c>
      <c r="BV4093" s="481">
        <v>1.31</v>
      </c>
      <c r="BY4093" s="126" t="s">
        <v>3611</v>
      </c>
      <c r="BZ4093" s="481"/>
      <c r="CA4093" s="481"/>
      <c r="CE4093" s="605">
        <v>0.84</v>
      </c>
      <c r="CF4093" s="605">
        <v>1.31</v>
      </c>
      <c r="CG4093" s="605"/>
      <c r="CH4093" s="605"/>
      <c r="CI4093" s="126" t="s">
        <v>4544</v>
      </c>
      <c r="CJ4093" s="126">
        <v>710</v>
      </c>
      <c r="CK4093" s="126">
        <v>800</v>
      </c>
      <c r="CN4093" s="126" t="s">
        <v>2411</v>
      </c>
      <c r="CO4093" s="126">
        <v>150</v>
      </c>
      <c r="CP4093" s="126">
        <v>157</v>
      </c>
      <c r="CS4093" s="126" t="s">
        <v>3613</v>
      </c>
      <c r="CY4093" s="126">
        <v>7.1</v>
      </c>
      <c r="CZ4093" s="126">
        <v>7</v>
      </c>
      <c r="II4093" s="126">
        <v>205</v>
      </c>
      <c r="IJ4093" s="126">
        <v>1268</v>
      </c>
      <c r="IM4093" s="126" t="s">
        <v>3612</v>
      </c>
      <c r="JD4093" s="480"/>
    </row>
    <row r="4094" spans="1:264" s="126" customFormat="1" x14ac:dyDescent="0.25">
      <c r="A4094" s="126">
        <v>179</v>
      </c>
      <c r="B4094" s="478" t="s">
        <v>3605</v>
      </c>
      <c r="C4094" s="126" t="s">
        <v>3595</v>
      </c>
      <c r="D4094" s="126" t="s">
        <v>3596</v>
      </c>
      <c r="E4094" s="126">
        <v>2013</v>
      </c>
      <c r="G4094" s="126" t="s">
        <v>794</v>
      </c>
      <c r="H4094" s="126" t="s">
        <v>3598</v>
      </c>
      <c r="I4094" s="126" t="s">
        <v>3599</v>
      </c>
      <c r="J4094" s="126">
        <f>36+50/60</f>
        <v>36.833333333333336</v>
      </c>
      <c r="K4094" s="126">
        <f>128+26/60</f>
        <v>128.43333333333334</v>
      </c>
      <c r="L4094" s="126">
        <v>968.9</v>
      </c>
      <c r="R4094" s="478" t="s">
        <v>1977</v>
      </c>
      <c r="S4094" s="478" t="s">
        <v>1977</v>
      </c>
      <c r="T4094" s="478"/>
      <c r="U4094" s="478" t="s">
        <v>3601</v>
      </c>
      <c r="V4094" s="478" t="s">
        <v>1382</v>
      </c>
      <c r="W4094" s="478" t="s">
        <v>1717</v>
      </c>
      <c r="X4094" s="478" t="s">
        <v>1382</v>
      </c>
      <c r="Y4094" s="478" t="s">
        <v>1382</v>
      </c>
      <c r="AA4094" s="479"/>
      <c r="AB4094" s="479"/>
      <c r="AC4094" s="126" t="s">
        <v>450</v>
      </c>
      <c r="AD4094" s="126">
        <v>6.2</v>
      </c>
      <c r="AE4094" s="126">
        <v>2.04</v>
      </c>
      <c r="AG4094" s="126" t="s">
        <v>3600</v>
      </c>
      <c r="AH4094" s="126" t="s">
        <v>3597</v>
      </c>
      <c r="AI4094" s="126" t="s">
        <v>3217</v>
      </c>
      <c r="AJ4094" s="126" t="s">
        <v>1128</v>
      </c>
      <c r="AK4094" s="126" t="s">
        <v>1646</v>
      </c>
      <c r="AW4094" s="126" t="s">
        <v>3610</v>
      </c>
      <c r="AX4094" s="126">
        <v>3</v>
      </c>
      <c r="AZ4094" s="126" t="s">
        <v>141</v>
      </c>
      <c r="BE4094" s="126" t="s">
        <v>3609</v>
      </c>
      <c r="BK4094" s="126">
        <v>8400</v>
      </c>
      <c r="BL4094" s="126">
        <v>13300</v>
      </c>
      <c r="BP4094" s="481"/>
      <c r="BQ4094" s="481"/>
      <c r="BU4094" s="481">
        <v>0.84</v>
      </c>
      <c r="BV4094" s="481">
        <v>1.33</v>
      </c>
      <c r="BY4094" s="126" t="s">
        <v>3611</v>
      </c>
      <c r="BZ4094" s="481"/>
      <c r="CA4094" s="481"/>
      <c r="CE4094" s="605">
        <v>0.84</v>
      </c>
      <c r="CF4094" s="605">
        <v>1.33</v>
      </c>
      <c r="CG4094" s="605"/>
      <c r="CH4094" s="605"/>
      <c r="CI4094" s="126" t="s">
        <v>4544</v>
      </c>
      <c r="CJ4094" s="126">
        <v>710</v>
      </c>
      <c r="CK4094" s="126">
        <v>850</v>
      </c>
      <c r="CN4094" s="126" t="s">
        <v>2411</v>
      </c>
      <c r="CO4094" s="126">
        <v>150</v>
      </c>
      <c r="CP4094" s="126">
        <v>162</v>
      </c>
      <c r="CS4094" s="126" t="s">
        <v>3613</v>
      </c>
      <c r="CY4094" s="126">
        <v>7.1</v>
      </c>
      <c r="CZ4094" s="126">
        <v>7</v>
      </c>
      <c r="II4094" s="126">
        <v>205</v>
      </c>
      <c r="IJ4094" s="126">
        <v>1466</v>
      </c>
      <c r="IM4094" s="126" t="s">
        <v>3612</v>
      </c>
      <c r="JD4094" s="480"/>
    </row>
    <row r="4095" spans="1:264" s="32" customFormat="1" x14ac:dyDescent="0.25">
      <c r="A4095" s="32">
        <v>180</v>
      </c>
      <c r="B4095" s="44" t="s">
        <v>3631</v>
      </c>
      <c r="C4095" s="32" t="s">
        <v>3614</v>
      </c>
      <c r="D4095" s="32" t="s">
        <v>3615</v>
      </c>
      <c r="E4095" s="32">
        <v>2009</v>
      </c>
      <c r="F4095" s="32">
        <v>2005</v>
      </c>
      <c r="G4095" s="32" t="s">
        <v>358</v>
      </c>
      <c r="H4095" s="32" t="s">
        <v>3617</v>
      </c>
      <c r="I4095" s="32" t="s">
        <v>3618</v>
      </c>
      <c r="J4095" s="32">
        <v>41.28</v>
      </c>
      <c r="K4095" s="32">
        <v>36.340000000000003</v>
      </c>
      <c r="L4095" s="32">
        <v>33.6</v>
      </c>
      <c r="R4095" s="44" t="s">
        <v>1977</v>
      </c>
      <c r="S4095" s="44" t="s">
        <v>1728</v>
      </c>
      <c r="T4095" s="44"/>
      <c r="U4095" s="44" t="s">
        <v>2606</v>
      </c>
      <c r="V4095" s="44"/>
      <c r="W4095" s="44"/>
      <c r="X4095" s="44"/>
      <c r="Y4095" s="44"/>
      <c r="AA4095" s="323"/>
      <c r="AB4095" s="323"/>
      <c r="AC4095" s="32" t="s">
        <v>450</v>
      </c>
      <c r="AD4095" s="32">
        <v>6.7</v>
      </c>
      <c r="AE4095" s="32">
        <v>2.5</v>
      </c>
      <c r="AH4095" s="32" t="s">
        <v>3619</v>
      </c>
      <c r="AI4095" s="32" t="s">
        <v>1581</v>
      </c>
      <c r="AJ4095" s="32" t="s">
        <v>3616</v>
      </c>
      <c r="AK4095" s="32" t="s">
        <v>229</v>
      </c>
      <c r="AW4095" s="32" t="s">
        <v>3026</v>
      </c>
      <c r="AX4095" s="32">
        <v>4</v>
      </c>
      <c r="AZ4095" s="32" t="s">
        <v>141</v>
      </c>
      <c r="BE4095" s="32" t="s">
        <v>3627</v>
      </c>
      <c r="BK4095" s="32">
        <v>12314.4</v>
      </c>
      <c r="BL4095" s="32">
        <v>22445.4</v>
      </c>
      <c r="BM4095" s="32">
        <f>(13362.4-BK4095)*SQRT(3)</f>
        <v>1815.1892463321833</v>
      </c>
      <c r="BN4095" s="32">
        <f>(23842.79-BL4095)*SQRT(3)</f>
        <v>2420.3504779886721</v>
      </c>
      <c r="BP4095" s="397"/>
      <c r="BQ4095" s="397"/>
      <c r="BU4095" s="397"/>
      <c r="BV4095" s="397"/>
      <c r="BZ4095" s="397"/>
      <c r="CA4095" s="397"/>
      <c r="CE4095" s="550"/>
      <c r="CF4095" s="550"/>
      <c r="CG4095" s="550"/>
      <c r="CH4095" s="550"/>
      <c r="FV4095" s="32">
        <v>41.5</v>
      </c>
      <c r="FW4095" s="32">
        <v>19.2</v>
      </c>
      <c r="FZ4095" s="32" t="s">
        <v>3639</v>
      </c>
      <c r="JD4095" s="243"/>
    </row>
    <row r="4096" spans="1:264" s="32" customFormat="1" x14ac:dyDescent="0.25">
      <c r="A4096" s="32">
        <v>180</v>
      </c>
      <c r="B4096" s="44" t="s">
        <v>3631</v>
      </c>
      <c r="C4096" s="32" t="s">
        <v>3614</v>
      </c>
      <c r="D4096" s="32" t="s">
        <v>3615</v>
      </c>
      <c r="E4096" s="32">
        <v>2009</v>
      </c>
      <c r="F4096" s="32">
        <v>2005</v>
      </c>
      <c r="G4096" s="32" t="s">
        <v>358</v>
      </c>
      <c r="H4096" s="32" t="s">
        <v>3617</v>
      </c>
      <c r="I4096" s="32" t="s">
        <v>3618</v>
      </c>
      <c r="J4096" s="32">
        <v>41.28</v>
      </c>
      <c r="K4096" s="32">
        <v>36.340000000000003</v>
      </c>
      <c r="L4096" s="32">
        <v>33.6</v>
      </c>
      <c r="R4096" s="44" t="s">
        <v>1977</v>
      </c>
      <c r="S4096" s="44" t="s">
        <v>1728</v>
      </c>
      <c r="T4096" s="44"/>
      <c r="U4096" s="44" t="s">
        <v>2606</v>
      </c>
      <c r="V4096" s="44"/>
      <c r="W4096" s="44"/>
      <c r="X4096" s="44"/>
      <c r="Y4096" s="44"/>
      <c r="AA4096" s="323"/>
      <c r="AB4096" s="323"/>
      <c r="AC4096" s="32" t="s">
        <v>450</v>
      </c>
      <c r="AD4096" s="32">
        <v>6.7</v>
      </c>
      <c r="AE4096" s="32">
        <v>2.5</v>
      </c>
      <c r="AH4096" s="32" t="s">
        <v>3620</v>
      </c>
      <c r="AI4096" s="32" t="s">
        <v>1581</v>
      </c>
      <c r="AJ4096" s="32" t="s">
        <v>3616</v>
      </c>
      <c r="AK4096" s="32" t="s">
        <v>229</v>
      </c>
      <c r="AW4096" s="32" t="s">
        <v>3026</v>
      </c>
      <c r="AX4096" s="32">
        <v>4</v>
      </c>
      <c r="AZ4096" s="32" t="s">
        <v>141</v>
      </c>
      <c r="BE4096" s="32" t="s">
        <v>3627</v>
      </c>
      <c r="BK4096" s="32">
        <v>12314.4</v>
      </c>
      <c r="BL4096" s="32">
        <v>21572</v>
      </c>
      <c r="BM4096" s="32">
        <f t="shared" ref="BM4096:BM4102" si="540">(13362.4-BK4096)*SQRT(3)</f>
        <v>1815.1892463321833</v>
      </c>
      <c r="BN4096" s="32">
        <f>(23144.1-BL4096)*SQRT(3)</f>
        <v>2722.9570745790293</v>
      </c>
      <c r="BP4096" s="397"/>
      <c r="BQ4096" s="397"/>
      <c r="BU4096" s="397"/>
      <c r="BV4096" s="397"/>
      <c r="BZ4096" s="397"/>
      <c r="CA4096" s="397"/>
      <c r="CE4096" s="550"/>
      <c r="CF4096" s="550"/>
      <c r="CG4096" s="550"/>
      <c r="CH4096" s="550"/>
      <c r="FV4096" s="32">
        <v>41.5</v>
      </c>
      <c r="FW4096" s="32">
        <v>8.5</v>
      </c>
      <c r="FZ4096" s="32" t="s">
        <v>3639</v>
      </c>
      <c r="JD4096" s="243"/>
    </row>
    <row r="4097" spans="1:264" s="32" customFormat="1" x14ac:dyDescent="0.25">
      <c r="A4097" s="32">
        <v>180</v>
      </c>
      <c r="B4097" s="44" t="s">
        <v>3631</v>
      </c>
      <c r="C4097" s="32" t="s">
        <v>3614</v>
      </c>
      <c r="D4097" s="32" t="s">
        <v>3615</v>
      </c>
      <c r="E4097" s="32">
        <v>2009</v>
      </c>
      <c r="F4097" s="32">
        <v>2005</v>
      </c>
      <c r="G4097" s="32" t="s">
        <v>358</v>
      </c>
      <c r="H4097" s="32" t="s">
        <v>3617</v>
      </c>
      <c r="I4097" s="32" t="s">
        <v>3618</v>
      </c>
      <c r="J4097" s="32">
        <v>41.28</v>
      </c>
      <c r="K4097" s="32">
        <v>36.340000000000003</v>
      </c>
      <c r="L4097" s="32">
        <v>33.6</v>
      </c>
      <c r="R4097" s="44" t="s">
        <v>1977</v>
      </c>
      <c r="S4097" s="44" t="s">
        <v>1728</v>
      </c>
      <c r="T4097" s="44"/>
      <c r="U4097" s="44" t="s">
        <v>2606</v>
      </c>
      <c r="V4097" s="44"/>
      <c r="W4097" s="44"/>
      <c r="X4097" s="44"/>
      <c r="Y4097" s="44"/>
      <c r="AA4097" s="323"/>
      <c r="AB4097" s="323"/>
      <c r="AC4097" s="32" t="s">
        <v>450</v>
      </c>
      <c r="AD4097" s="32">
        <v>6.7</v>
      </c>
      <c r="AE4097" s="32">
        <v>2.5</v>
      </c>
      <c r="AH4097" s="32" t="s">
        <v>3621</v>
      </c>
      <c r="AI4097" s="32" t="s">
        <v>1581</v>
      </c>
      <c r="AJ4097" s="32" t="s">
        <v>3616</v>
      </c>
      <c r="AK4097" s="32" t="s">
        <v>229</v>
      </c>
      <c r="AW4097" s="32" t="s">
        <v>3026</v>
      </c>
      <c r="AX4097" s="32">
        <v>4</v>
      </c>
      <c r="AZ4097" s="32" t="s">
        <v>141</v>
      </c>
      <c r="BE4097" s="32" t="s">
        <v>3627</v>
      </c>
      <c r="BK4097" s="32">
        <v>12314.4</v>
      </c>
      <c r="BL4097" s="32">
        <v>25414.799999999999</v>
      </c>
      <c r="BM4097" s="32">
        <f t="shared" si="540"/>
        <v>1815.1892463321833</v>
      </c>
      <c r="BN4097" s="32">
        <f>(26812-BL4097)*SQRT(3)</f>
        <v>2420.0213883352367</v>
      </c>
      <c r="BP4097" s="397"/>
      <c r="BQ4097" s="397"/>
      <c r="BU4097" s="397"/>
      <c r="BV4097" s="397"/>
      <c r="BZ4097" s="397"/>
      <c r="CA4097" s="397"/>
      <c r="CE4097" s="550"/>
      <c r="CF4097" s="550"/>
      <c r="CG4097" s="550"/>
      <c r="CH4097" s="550"/>
      <c r="FV4097" s="32">
        <v>41.5</v>
      </c>
      <c r="FW4097" s="32">
        <v>9.1999999999999993</v>
      </c>
      <c r="FZ4097" s="32" t="s">
        <v>3639</v>
      </c>
      <c r="JD4097" s="243"/>
    </row>
    <row r="4098" spans="1:264" s="32" customFormat="1" x14ac:dyDescent="0.25">
      <c r="A4098" s="32">
        <v>180</v>
      </c>
      <c r="B4098" s="44" t="s">
        <v>3631</v>
      </c>
      <c r="C4098" s="32" t="s">
        <v>3614</v>
      </c>
      <c r="D4098" s="32" t="s">
        <v>3615</v>
      </c>
      <c r="E4098" s="32">
        <v>2009</v>
      </c>
      <c r="F4098" s="32">
        <v>2005</v>
      </c>
      <c r="G4098" s="32" t="s">
        <v>358</v>
      </c>
      <c r="H4098" s="32" t="s">
        <v>3617</v>
      </c>
      <c r="I4098" s="32" t="s">
        <v>3618</v>
      </c>
      <c r="J4098" s="32">
        <v>41.28</v>
      </c>
      <c r="K4098" s="32">
        <v>36.340000000000003</v>
      </c>
      <c r="L4098" s="32">
        <v>33.6</v>
      </c>
      <c r="R4098" s="44" t="s">
        <v>1977</v>
      </c>
      <c r="S4098" s="44" t="s">
        <v>1728</v>
      </c>
      <c r="T4098" s="44"/>
      <c r="U4098" s="44" t="s">
        <v>2606</v>
      </c>
      <c r="V4098" s="44"/>
      <c r="W4098" s="44"/>
      <c r="X4098" s="44"/>
      <c r="Y4098" s="44"/>
      <c r="AA4098" s="323"/>
      <c r="AB4098" s="323"/>
      <c r="AC4098" s="32" t="s">
        <v>450</v>
      </c>
      <c r="AD4098" s="32">
        <v>6.7</v>
      </c>
      <c r="AE4098" s="32">
        <v>2.5</v>
      </c>
      <c r="AH4098" s="32" t="s">
        <v>3622</v>
      </c>
      <c r="AI4098" s="32" t="s">
        <v>1581</v>
      </c>
      <c r="AJ4098" s="32" t="s">
        <v>3616</v>
      </c>
      <c r="AK4098" s="32" t="s">
        <v>229</v>
      </c>
      <c r="AW4098" s="32" t="s">
        <v>3026</v>
      </c>
      <c r="AX4098" s="32">
        <v>4</v>
      </c>
      <c r="AZ4098" s="32" t="s">
        <v>141</v>
      </c>
      <c r="BE4098" s="32" t="s">
        <v>3627</v>
      </c>
      <c r="BK4098" s="32">
        <v>12314.4</v>
      </c>
      <c r="BL4098" s="32">
        <v>16593.900000000001</v>
      </c>
      <c r="BM4098" s="32">
        <f t="shared" si="540"/>
        <v>1815.1892463321833</v>
      </c>
      <c r="BN4098" s="32">
        <f>(17642-BL4098)*SQRT(3)</f>
        <v>1815.3624514129376</v>
      </c>
      <c r="BP4098" s="397"/>
      <c r="BQ4098" s="397"/>
      <c r="BU4098" s="397"/>
      <c r="BV4098" s="397"/>
      <c r="BZ4098" s="397"/>
      <c r="CA4098" s="397"/>
      <c r="CE4098" s="550"/>
      <c r="CF4098" s="550"/>
      <c r="CG4098" s="550"/>
      <c r="CH4098" s="550"/>
      <c r="FV4098" s="32">
        <v>41.5</v>
      </c>
      <c r="FW4098" s="32">
        <v>19.2</v>
      </c>
      <c r="FZ4098" s="32" t="s">
        <v>3639</v>
      </c>
      <c r="JD4098" s="243"/>
    </row>
    <row r="4099" spans="1:264" s="32" customFormat="1" x14ac:dyDescent="0.25">
      <c r="A4099" s="32">
        <v>180</v>
      </c>
      <c r="B4099" s="44" t="s">
        <v>3631</v>
      </c>
      <c r="C4099" s="32" t="s">
        <v>3614</v>
      </c>
      <c r="D4099" s="32" t="s">
        <v>3615</v>
      </c>
      <c r="E4099" s="32">
        <v>2009</v>
      </c>
      <c r="F4099" s="32">
        <v>2005</v>
      </c>
      <c r="G4099" s="32" t="s">
        <v>358</v>
      </c>
      <c r="H4099" s="32" t="s">
        <v>3617</v>
      </c>
      <c r="I4099" s="32" t="s">
        <v>3618</v>
      </c>
      <c r="J4099" s="32">
        <v>41.28</v>
      </c>
      <c r="K4099" s="32">
        <v>36.340000000000003</v>
      </c>
      <c r="L4099" s="32">
        <v>33.6</v>
      </c>
      <c r="R4099" s="44" t="s">
        <v>1977</v>
      </c>
      <c r="S4099" s="44" t="s">
        <v>1728</v>
      </c>
      <c r="T4099" s="44"/>
      <c r="U4099" s="44" t="s">
        <v>2606</v>
      </c>
      <c r="V4099" s="44"/>
      <c r="W4099" s="44"/>
      <c r="X4099" s="44"/>
      <c r="Y4099" s="44"/>
      <c r="AA4099" s="323"/>
      <c r="AB4099" s="323"/>
      <c r="AC4099" s="32" t="s">
        <v>450</v>
      </c>
      <c r="AD4099" s="32">
        <v>6.7</v>
      </c>
      <c r="AE4099" s="32">
        <v>2.5</v>
      </c>
      <c r="AH4099" s="32" t="s">
        <v>3623</v>
      </c>
      <c r="AI4099" s="32" t="s">
        <v>1581</v>
      </c>
      <c r="AJ4099" s="32" t="s">
        <v>3616</v>
      </c>
      <c r="AK4099" s="32" t="s">
        <v>229</v>
      </c>
      <c r="AW4099" s="32" t="s">
        <v>3026</v>
      </c>
      <c r="AX4099" s="32">
        <v>4</v>
      </c>
      <c r="AZ4099" s="32" t="s">
        <v>141</v>
      </c>
      <c r="BE4099" s="32" t="s">
        <v>3627</v>
      </c>
      <c r="BK4099" s="32">
        <v>12314.4</v>
      </c>
      <c r="BL4099" s="32">
        <v>21834.1</v>
      </c>
      <c r="BM4099" s="32">
        <f t="shared" si="540"/>
        <v>1815.1892463321833</v>
      </c>
      <c r="BN4099" s="32">
        <f>(23056.7-BL4099)*SQRT(3)</f>
        <v>2117.6053173337132</v>
      </c>
      <c r="BP4099" s="397"/>
      <c r="BQ4099" s="397"/>
      <c r="BU4099" s="397"/>
      <c r="BV4099" s="397"/>
      <c r="BZ4099" s="397"/>
      <c r="CA4099" s="397"/>
      <c r="CE4099" s="550"/>
      <c r="CF4099" s="550"/>
      <c r="CG4099" s="550"/>
      <c r="CH4099" s="550"/>
      <c r="FV4099" s="32">
        <v>41.5</v>
      </c>
      <c r="FW4099" s="32">
        <v>21.5</v>
      </c>
      <c r="FZ4099" s="32" t="s">
        <v>3639</v>
      </c>
      <c r="JD4099" s="243"/>
    </row>
    <row r="4100" spans="1:264" s="32" customFormat="1" x14ac:dyDescent="0.25">
      <c r="A4100" s="32">
        <v>180</v>
      </c>
      <c r="B4100" s="44" t="s">
        <v>3631</v>
      </c>
      <c r="C4100" s="32" t="s">
        <v>3614</v>
      </c>
      <c r="D4100" s="32" t="s">
        <v>3615</v>
      </c>
      <c r="E4100" s="32">
        <v>2009</v>
      </c>
      <c r="F4100" s="32">
        <v>2005</v>
      </c>
      <c r="G4100" s="32" t="s">
        <v>358</v>
      </c>
      <c r="H4100" s="32" t="s">
        <v>3617</v>
      </c>
      <c r="I4100" s="32" t="s">
        <v>3618</v>
      </c>
      <c r="J4100" s="32">
        <v>41.28</v>
      </c>
      <c r="K4100" s="32">
        <v>36.340000000000003</v>
      </c>
      <c r="L4100" s="32">
        <v>33.6</v>
      </c>
      <c r="R4100" s="44" t="s">
        <v>1977</v>
      </c>
      <c r="S4100" s="44" t="s">
        <v>1728</v>
      </c>
      <c r="T4100" s="44"/>
      <c r="U4100" s="44" t="s">
        <v>2606</v>
      </c>
      <c r="V4100" s="44"/>
      <c r="W4100" s="44"/>
      <c r="X4100" s="44"/>
      <c r="Y4100" s="44"/>
      <c r="AA4100" s="323"/>
      <c r="AB4100" s="323"/>
      <c r="AC4100" s="32" t="s">
        <v>450</v>
      </c>
      <c r="AD4100" s="32">
        <v>6.7</v>
      </c>
      <c r="AE4100" s="32">
        <v>2.5</v>
      </c>
      <c r="AH4100" s="32" t="s">
        <v>3624</v>
      </c>
      <c r="AI4100" s="32" t="s">
        <v>1581</v>
      </c>
      <c r="AJ4100" s="32" t="s">
        <v>3616</v>
      </c>
      <c r="AK4100" s="32" t="s">
        <v>229</v>
      </c>
      <c r="AW4100" s="32" t="s">
        <v>3026</v>
      </c>
      <c r="AX4100" s="32">
        <v>4</v>
      </c>
      <c r="AZ4100" s="32" t="s">
        <v>141</v>
      </c>
      <c r="BE4100" s="32" t="s">
        <v>3627</v>
      </c>
      <c r="BK4100" s="32">
        <v>12314.4</v>
      </c>
      <c r="BL4100" s="32">
        <v>12139.7</v>
      </c>
      <c r="BM4100" s="32">
        <f t="shared" si="540"/>
        <v>1815.1892463321833</v>
      </c>
      <c r="BN4100" s="32">
        <f>(13362.4-BL4100)*SQRT(3)</f>
        <v>2117.7785224144641</v>
      </c>
      <c r="BP4100" s="397"/>
      <c r="BQ4100" s="397"/>
      <c r="BU4100" s="397"/>
      <c r="BV4100" s="397"/>
      <c r="BZ4100" s="397"/>
      <c r="CA4100" s="397"/>
      <c r="CE4100" s="550"/>
      <c r="CF4100" s="550"/>
      <c r="CG4100" s="550"/>
      <c r="CH4100" s="550"/>
      <c r="FV4100" s="32">
        <v>41.5</v>
      </c>
      <c r="FW4100" s="32">
        <v>25.5</v>
      </c>
      <c r="FZ4100" s="32" t="s">
        <v>3639</v>
      </c>
      <c r="JD4100" s="243"/>
    </row>
    <row r="4101" spans="1:264" s="32" customFormat="1" x14ac:dyDescent="0.25">
      <c r="A4101" s="32">
        <v>180</v>
      </c>
      <c r="B4101" s="44" t="s">
        <v>3632</v>
      </c>
      <c r="C4101" s="32" t="s">
        <v>3614</v>
      </c>
      <c r="D4101" s="32" t="s">
        <v>3615</v>
      </c>
      <c r="E4101" s="32">
        <v>2009</v>
      </c>
      <c r="F4101" s="32">
        <v>2005</v>
      </c>
      <c r="G4101" s="32" t="s">
        <v>358</v>
      </c>
      <c r="H4101" s="32" t="s">
        <v>3617</v>
      </c>
      <c r="I4101" s="32" t="s">
        <v>3618</v>
      </c>
      <c r="J4101" s="32">
        <v>41.28</v>
      </c>
      <c r="K4101" s="32">
        <v>36.340000000000003</v>
      </c>
      <c r="L4101" s="32">
        <v>33.6</v>
      </c>
      <c r="R4101" s="44" t="s">
        <v>1977</v>
      </c>
      <c r="S4101" s="44" t="s">
        <v>1728</v>
      </c>
      <c r="T4101" s="44"/>
      <c r="U4101" s="44" t="s">
        <v>2606</v>
      </c>
      <c r="V4101" s="44"/>
      <c r="W4101" s="44"/>
      <c r="X4101" s="44"/>
      <c r="Y4101" s="44"/>
      <c r="AA4101" s="323"/>
      <c r="AB4101" s="323"/>
      <c r="AC4101" s="32" t="s">
        <v>450</v>
      </c>
      <c r="AD4101" s="32">
        <v>6.7</v>
      </c>
      <c r="AE4101" s="32">
        <v>2.5</v>
      </c>
      <c r="AH4101" s="32" t="s">
        <v>3625</v>
      </c>
      <c r="AI4101" s="32" t="s">
        <v>577</v>
      </c>
      <c r="AJ4101" s="32" t="s">
        <v>3616</v>
      </c>
      <c r="AK4101" s="32" t="s">
        <v>229</v>
      </c>
      <c r="AW4101" s="32" t="s">
        <v>3026</v>
      </c>
      <c r="AX4101" s="32">
        <v>4</v>
      </c>
      <c r="AZ4101" s="32" t="s">
        <v>141</v>
      </c>
      <c r="BE4101" s="32" t="s">
        <v>3627</v>
      </c>
      <c r="BK4101" s="32">
        <v>12314.4</v>
      </c>
      <c r="BL4101" s="32">
        <v>24716.2</v>
      </c>
      <c r="BM4101" s="32">
        <f t="shared" si="540"/>
        <v>1815.1892463321833</v>
      </c>
      <c r="BN4101" s="32">
        <f>(25938.9-BL4101)*SQRT(3)</f>
        <v>2117.7785224144673</v>
      </c>
      <c r="BP4101" s="397"/>
      <c r="BQ4101" s="397"/>
      <c r="BU4101" s="397"/>
      <c r="BV4101" s="397"/>
      <c r="BZ4101" s="397"/>
      <c r="CA4101" s="397"/>
      <c r="CE4101" s="550"/>
      <c r="CF4101" s="550"/>
      <c r="CG4101" s="550"/>
      <c r="CH4101" s="550"/>
      <c r="FV4101" s="32">
        <v>41.5</v>
      </c>
      <c r="FW4101" s="32">
        <v>8.5</v>
      </c>
      <c r="FZ4101" s="32" t="s">
        <v>3639</v>
      </c>
      <c r="JD4101" s="243"/>
    </row>
    <row r="4102" spans="1:264" s="32" customFormat="1" x14ac:dyDescent="0.25">
      <c r="A4102" s="32">
        <v>180</v>
      </c>
      <c r="B4102" s="44" t="s">
        <v>3632</v>
      </c>
      <c r="C4102" s="32" t="s">
        <v>3614</v>
      </c>
      <c r="D4102" s="32" t="s">
        <v>3615</v>
      </c>
      <c r="E4102" s="32">
        <v>2009</v>
      </c>
      <c r="F4102" s="32">
        <v>2005</v>
      </c>
      <c r="G4102" s="32" t="s">
        <v>358</v>
      </c>
      <c r="H4102" s="32" t="s">
        <v>3617</v>
      </c>
      <c r="I4102" s="32" t="s">
        <v>3618</v>
      </c>
      <c r="J4102" s="32">
        <v>41.28</v>
      </c>
      <c r="K4102" s="32">
        <v>36.340000000000003</v>
      </c>
      <c r="L4102" s="32">
        <v>33.6</v>
      </c>
      <c r="R4102" s="44" t="s">
        <v>1977</v>
      </c>
      <c r="S4102" s="44" t="s">
        <v>1728</v>
      </c>
      <c r="T4102" s="44"/>
      <c r="U4102" s="44" t="s">
        <v>2606</v>
      </c>
      <c r="V4102" s="44"/>
      <c r="W4102" s="44"/>
      <c r="X4102" s="44"/>
      <c r="Y4102" s="44"/>
      <c r="AA4102" s="323"/>
      <c r="AB4102" s="323"/>
      <c r="AC4102" s="32" t="s">
        <v>450</v>
      </c>
      <c r="AD4102" s="32">
        <v>6.7</v>
      </c>
      <c r="AE4102" s="32">
        <v>2.5</v>
      </c>
      <c r="AH4102" s="32" t="s">
        <v>3626</v>
      </c>
      <c r="AI4102" s="32" t="s">
        <v>577</v>
      </c>
      <c r="AJ4102" s="32" t="s">
        <v>3616</v>
      </c>
      <c r="AK4102" s="32" t="s">
        <v>229</v>
      </c>
      <c r="AW4102" s="32" t="s">
        <v>3026</v>
      </c>
      <c r="AX4102" s="32">
        <v>4</v>
      </c>
      <c r="AZ4102" s="32" t="s">
        <v>141</v>
      </c>
      <c r="BE4102" s="32" t="s">
        <v>3627</v>
      </c>
      <c r="BK4102" s="32">
        <v>12314.4</v>
      </c>
      <c r="BL4102" s="32">
        <v>26550.2</v>
      </c>
      <c r="BM4102" s="32">
        <f t="shared" si="540"/>
        <v>1815.1892463321833</v>
      </c>
      <c r="BN4102" s="32">
        <f>(28646-BL4102)*SQRT(3)</f>
        <v>3630.0320825028516</v>
      </c>
      <c r="BP4102" s="397"/>
      <c r="BQ4102" s="397"/>
      <c r="BU4102" s="397"/>
      <c r="BV4102" s="397"/>
      <c r="BZ4102" s="397"/>
      <c r="CA4102" s="397"/>
      <c r="CE4102" s="550"/>
      <c r="CF4102" s="550"/>
      <c r="CG4102" s="550"/>
      <c r="CH4102" s="550"/>
      <c r="FV4102" s="32">
        <v>41.5</v>
      </c>
      <c r="FW4102" s="32">
        <v>9</v>
      </c>
      <c r="FZ4102" s="32" t="s">
        <v>3639</v>
      </c>
      <c r="JD4102" s="243"/>
    </row>
    <row r="4103" spans="1:264" s="24" customFormat="1" x14ac:dyDescent="0.25">
      <c r="A4103" s="24">
        <v>180</v>
      </c>
      <c r="B4103" s="42" t="s">
        <v>3633</v>
      </c>
      <c r="C4103" s="24" t="s">
        <v>3614</v>
      </c>
      <c r="D4103" s="24" t="s">
        <v>3615</v>
      </c>
      <c r="E4103" s="24">
        <v>2009</v>
      </c>
      <c r="F4103" s="24">
        <v>2006</v>
      </c>
      <c r="G4103" s="24" t="s">
        <v>358</v>
      </c>
      <c r="H4103" s="24" t="s">
        <v>3617</v>
      </c>
      <c r="I4103" s="24" t="s">
        <v>3618</v>
      </c>
      <c r="J4103" s="24">
        <v>41.28</v>
      </c>
      <c r="K4103" s="24">
        <v>36.340000000000003</v>
      </c>
      <c r="L4103" s="24">
        <v>33.6</v>
      </c>
      <c r="R4103" s="42" t="s">
        <v>1847</v>
      </c>
      <c r="S4103" s="42" t="s">
        <v>1728</v>
      </c>
      <c r="T4103" s="42"/>
      <c r="U4103" s="42" t="s">
        <v>2606</v>
      </c>
      <c r="V4103" s="42"/>
      <c r="W4103" s="42"/>
      <c r="X4103" s="42"/>
      <c r="Y4103" s="42"/>
      <c r="AA4103" s="321"/>
      <c r="AB4103" s="321"/>
      <c r="AC4103" s="24" t="s">
        <v>450</v>
      </c>
      <c r="AD4103" s="24">
        <v>6.7</v>
      </c>
      <c r="AE4103" s="24">
        <v>2.5</v>
      </c>
      <c r="AH4103" s="24" t="s">
        <v>3619</v>
      </c>
      <c r="AI4103" s="24" t="s">
        <v>1581</v>
      </c>
      <c r="AJ4103" s="24" t="s">
        <v>3616</v>
      </c>
      <c r="AK4103" s="24" t="s">
        <v>229</v>
      </c>
      <c r="AW4103" s="24" t="s">
        <v>3026</v>
      </c>
      <c r="AX4103" s="24">
        <v>4</v>
      </c>
      <c r="AZ4103" s="24" t="s">
        <v>141</v>
      </c>
      <c r="BE4103" s="24" t="s">
        <v>3628</v>
      </c>
      <c r="BK4103" s="24">
        <v>16157.2</v>
      </c>
      <c r="BL4103" s="24">
        <v>26986.9</v>
      </c>
      <c r="BM4103" s="24">
        <f>(18253.3-BK4103)*SQRT(3)</f>
        <v>3630.5516977451211</v>
      </c>
      <c r="BN4103" s="24">
        <f>(29083-BL4103)*SQRT(3)</f>
        <v>3630.5516977451211</v>
      </c>
      <c r="BP4103" s="395"/>
      <c r="BQ4103" s="395"/>
      <c r="BU4103" s="395"/>
      <c r="BV4103" s="395"/>
      <c r="BZ4103" s="395"/>
      <c r="CA4103" s="395"/>
      <c r="CE4103" s="548"/>
      <c r="CF4103" s="548"/>
      <c r="CG4103" s="548"/>
      <c r="CH4103" s="548"/>
      <c r="FV4103" s="24">
        <v>9.5</v>
      </c>
      <c r="FW4103" s="24">
        <v>7</v>
      </c>
      <c r="FZ4103" s="24" t="s">
        <v>3639</v>
      </c>
      <c r="JD4103" s="249"/>
    </row>
    <row r="4104" spans="1:264" s="24" customFormat="1" x14ac:dyDescent="0.25">
      <c r="A4104" s="24">
        <v>180</v>
      </c>
      <c r="B4104" s="42" t="s">
        <v>3633</v>
      </c>
      <c r="C4104" s="24" t="s">
        <v>3614</v>
      </c>
      <c r="D4104" s="24" t="s">
        <v>3615</v>
      </c>
      <c r="E4104" s="24">
        <v>2009</v>
      </c>
      <c r="F4104" s="24">
        <v>2006</v>
      </c>
      <c r="G4104" s="24" t="s">
        <v>358</v>
      </c>
      <c r="H4104" s="24" t="s">
        <v>3617</v>
      </c>
      <c r="I4104" s="24" t="s">
        <v>3618</v>
      </c>
      <c r="J4104" s="24">
        <v>41.28</v>
      </c>
      <c r="K4104" s="24">
        <v>36.340000000000003</v>
      </c>
      <c r="L4104" s="24">
        <v>33.6</v>
      </c>
      <c r="R4104" s="42" t="s">
        <v>1847</v>
      </c>
      <c r="S4104" s="42" t="s">
        <v>1728</v>
      </c>
      <c r="T4104" s="42"/>
      <c r="U4104" s="42" t="s">
        <v>2606</v>
      </c>
      <c r="V4104" s="42"/>
      <c r="W4104" s="42"/>
      <c r="X4104" s="42"/>
      <c r="Y4104" s="42"/>
      <c r="AA4104" s="321"/>
      <c r="AB4104" s="321"/>
      <c r="AC4104" s="24" t="s">
        <v>450</v>
      </c>
      <c r="AD4104" s="24">
        <v>6.7</v>
      </c>
      <c r="AE4104" s="24">
        <v>2.5</v>
      </c>
      <c r="AH4104" s="24" t="s">
        <v>3620</v>
      </c>
      <c r="AI4104" s="24" t="s">
        <v>1581</v>
      </c>
      <c r="AJ4104" s="24" t="s">
        <v>3616</v>
      </c>
      <c r="AK4104" s="24" t="s">
        <v>229</v>
      </c>
      <c r="AW4104" s="24" t="s">
        <v>3026</v>
      </c>
      <c r="AX4104" s="24">
        <v>4</v>
      </c>
      <c r="AZ4104" s="24" t="s">
        <v>141</v>
      </c>
      <c r="BE4104" s="24" t="s">
        <v>3628</v>
      </c>
      <c r="BK4104" s="24">
        <v>16157.2</v>
      </c>
      <c r="BL4104" s="24">
        <v>26462.3</v>
      </c>
      <c r="BM4104" s="24">
        <f t="shared" ref="BM4104:BM4110" si="541">(18253.3-BK4104)*SQRT(3)</f>
        <v>3630.5516977451211</v>
      </c>
      <c r="BN4104" s="24">
        <f>(28384-BL4104)*SQRT(3)</f>
        <v>3328.4820369051126</v>
      </c>
      <c r="BP4104" s="395"/>
      <c r="BQ4104" s="395"/>
      <c r="BU4104" s="395"/>
      <c r="BV4104" s="395"/>
      <c r="BZ4104" s="395"/>
      <c r="CA4104" s="395"/>
      <c r="CE4104" s="548"/>
      <c r="CF4104" s="548"/>
      <c r="CG4104" s="548"/>
      <c r="CH4104" s="548"/>
      <c r="FV4104" s="24">
        <v>9.5</v>
      </c>
      <c r="FW4104" s="24">
        <v>4.2</v>
      </c>
      <c r="FZ4104" s="24" t="s">
        <v>3639</v>
      </c>
      <c r="JD4104" s="249"/>
    </row>
    <row r="4105" spans="1:264" s="24" customFormat="1" x14ac:dyDescent="0.25">
      <c r="A4105" s="24">
        <v>180</v>
      </c>
      <c r="B4105" s="42" t="s">
        <v>3633</v>
      </c>
      <c r="C4105" s="24" t="s">
        <v>3614</v>
      </c>
      <c r="D4105" s="24" t="s">
        <v>3615</v>
      </c>
      <c r="E4105" s="24">
        <v>2009</v>
      </c>
      <c r="F4105" s="24">
        <v>2006</v>
      </c>
      <c r="G4105" s="24" t="s">
        <v>358</v>
      </c>
      <c r="H4105" s="24" t="s">
        <v>3617</v>
      </c>
      <c r="I4105" s="24" t="s">
        <v>3618</v>
      </c>
      <c r="J4105" s="24">
        <v>41.28</v>
      </c>
      <c r="K4105" s="24">
        <v>36.340000000000003</v>
      </c>
      <c r="L4105" s="24">
        <v>33.6</v>
      </c>
      <c r="R4105" s="42" t="s">
        <v>1847</v>
      </c>
      <c r="S4105" s="42" t="s">
        <v>1728</v>
      </c>
      <c r="T4105" s="42"/>
      <c r="U4105" s="42" t="s">
        <v>2606</v>
      </c>
      <c r="V4105" s="42"/>
      <c r="W4105" s="42"/>
      <c r="X4105" s="42"/>
      <c r="Y4105" s="42"/>
      <c r="AA4105" s="321"/>
      <c r="AB4105" s="321"/>
      <c r="AC4105" s="24" t="s">
        <v>450</v>
      </c>
      <c r="AD4105" s="24">
        <v>6.7</v>
      </c>
      <c r="AE4105" s="24">
        <v>2.5</v>
      </c>
      <c r="AH4105" s="24" t="s">
        <v>3621</v>
      </c>
      <c r="AI4105" s="24" t="s">
        <v>1581</v>
      </c>
      <c r="AJ4105" s="24" t="s">
        <v>3616</v>
      </c>
      <c r="AK4105" s="24" t="s">
        <v>229</v>
      </c>
      <c r="AW4105" s="24" t="s">
        <v>3026</v>
      </c>
      <c r="AX4105" s="24">
        <v>4</v>
      </c>
      <c r="AZ4105" s="24" t="s">
        <v>141</v>
      </c>
      <c r="BE4105" s="24" t="s">
        <v>3628</v>
      </c>
      <c r="BK4105" s="24">
        <v>16157.2</v>
      </c>
      <c r="BL4105" s="24">
        <v>29606.9</v>
      </c>
      <c r="BM4105" s="24">
        <f t="shared" si="541"/>
        <v>3630.5516977451211</v>
      </c>
      <c r="BN4105" s="24">
        <f>(31703.3-BL4105)*SQRT(3)</f>
        <v>3631.0713129873902</v>
      </c>
      <c r="BP4105" s="395"/>
      <c r="BQ4105" s="395"/>
      <c r="BU4105" s="395"/>
      <c r="BV4105" s="395"/>
      <c r="BZ4105" s="395"/>
      <c r="CA4105" s="395"/>
      <c r="CE4105" s="548"/>
      <c r="CF4105" s="548"/>
      <c r="CG4105" s="548"/>
      <c r="CH4105" s="548"/>
      <c r="FV4105" s="24">
        <v>9.5</v>
      </c>
      <c r="FW4105" s="24">
        <v>8.5</v>
      </c>
      <c r="FZ4105" s="24" t="s">
        <v>3639</v>
      </c>
      <c r="JD4105" s="249"/>
    </row>
    <row r="4106" spans="1:264" s="24" customFormat="1" x14ac:dyDescent="0.25">
      <c r="A4106" s="24">
        <v>180</v>
      </c>
      <c r="B4106" s="42" t="s">
        <v>3633</v>
      </c>
      <c r="C4106" s="24" t="s">
        <v>3614</v>
      </c>
      <c r="D4106" s="24" t="s">
        <v>3615</v>
      </c>
      <c r="E4106" s="24">
        <v>2009</v>
      </c>
      <c r="F4106" s="24">
        <v>2006</v>
      </c>
      <c r="G4106" s="24" t="s">
        <v>358</v>
      </c>
      <c r="H4106" s="24" t="s">
        <v>3617</v>
      </c>
      <c r="I4106" s="24" t="s">
        <v>3618</v>
      </c>
      <c r="J4106" s="24">
        <v>41.28</v>
      </c>
      <c r="K4106" s="24">
        <v>36.340000000000003</v>
      </c>
      <c r="L4106" s="24">
        <v>33.6</v>
      </c>
      <c r="R4106" s="42" t="s">
        <v>1847</v>
      </c>
      <c r="S4106" s="42" t="s">
        <v>1728</v>
      </c>
      <c r="T4106" s="42"/>
      <c r="U4106" s="42" t="s">
        <v>2606</v>
      </c>
      <c r="V4106" s="42"/>
      <c r="W4106" s="42"/>
      <c r="X4106" s="42"/>
      <c r="Y4106" s="42"/>
      <c r="AA4106" s="321"/>
      <c r="AB4106" s="321"/>
      <c r="AC4106" s="24" t="s">
        <v>450</v>
      </c>
      <c r="AD4106" s="24">
        <v>6.7</v>
      </c>
      <c r="AE4106" s="24">
        <v>2.5</v>
      </c>
      <c r="AH4106" s="24" t="s">
        <v>3622</v>
      </c>
      <c r="AI4106" s="24" t="s">
        <v>1581</v>
      </c>
      <c r="AJ4106" s="24" t="s">
        <v>3616</v>
      </c>
      <c r="AK4106" s="24" t="s">
        <v>229</v>
      </c>
      <c r="AW4106" s="24" t="s">
        <v>3026</v>
      </c>
      <c r="AX4106" s="24">
        <v>4</v>
      </c>
      <c r="AZ4106" s="24" t="s">
        <v>141</v>
      </c>
      <c r="BE4106" s="24" t="s">
        <v>3628</v>
      </c>
      <c r="BK4106" s="24">
        <v>16157.2</v>
      </c>
      <c r="BL4106" s="24">
        <v>21135.4</v>
      </c>
      <c r="BM4106" s="24">
        <f t="shared" si="541"/>
        <v>3630.5516977451211</v>
      </c>
      <c r="BN4106" s="24">
        <f>(22707-BL4106)*SQRT(3)</f>
        <v>2722.0910491752447</v>
      </c>
      <c r="BP4106" s="395"/>
      <c r="BQ4106" s="395"/>
      <c r="BU4106" s="395"/>
      <c r="BV4106" s="395"/>
      <c r="BZ4106" s="395"/>
      <c r="CA4106" s="395"/>
      <c r="CE4106" s="548"/>
      <c r="CF4106" s="548"/>
      <c r="CG4106" s="548"/>
      <c r="CH4106" s="548"/>
      <c r="FV4106" s="24">
        <v>9.5</v>
      </c>
      <c r="FW4106" s="24">
        <v>6</v>
      </c>
      <c r="FZ4106" s="24" t="s">
        <v>3639</v>
      </c>
      <c r="JD4106" s="249"/>
    </row>
    <row r="4107" spans="1:264" s="24" customFormat="1" x14ac:dyDescent="0.25">
      <c r="A4107" s="24">
        <v>180</v>
      </c>
      <c r="B4107" s="42" t="s">
        <v>3633</v>
      </c>
      <c r="C4107" s="24" t="s">
        <v>3614</v>
      </c>
      <c r="D4107" s="24" t="s">
        <v>3615</v>
      </c>
      <c r="E4107" s="24">
        <v>2009</v>
      </c>
      <c r="F4107" s="24">
        <v>2006</v>
      </c>
      <c r="G4107" s="24" t="s">
        <v>358</v>
      </c>
      <c r="H4107" s="24" t="s">
        <v>3617</v>
      </c>
      <c r="I4107" s="24" t="s">
        <v>3618</v>
      </c>
      <c r="J4107" s="24">
        <v>41.28</v>
      </c>
      <c r="K4107" s="24">
        <v>36.340000000000003</v>
      </c>
      <c r="L4107" s="24">
        <v>33.6</v>
      </c>
      <c r="R4107" s="42" t="s">
        <v>1847</v>
      </c>
      <c r="S4107" s="42" t="s">
        <v>1728</v>
      </c>
      <c r="T4107" s="42"/>
      <c r="U4107" s="42" t="s">
        <v>2606</v>
      </c>
      <c r="V4107" s="42"/>
      <c r="W4107" s="42"/>
      <c r="X4107" s="42"/>
      <c r="Y4107" s="42"/>
      <c r="AA4107" s="321"/>
      <c r="AB4107" s="321"/>
      <c r="AC4107" s="24" t="s">
        <v>450</v>
      </c>
      <c r="AD4107" s="24">
        <v>6.7</v>
      </c>
      <c r="AE4107" s="24">
        <v>2.5</v>
      </c>
      <c r="AH4107" s="24" t="s">
        <v>3623</v>
      </c>
      <c r="AI4107" s="24" t="s">
        <v>1581</v>
      </c>
      <c r="AJ4107" s="24" t="s">
        <v>3616</v>
      </c>
      <c r="AK4107" s="24" t="s">
        <v>229</v>
      </c>
      <c r="AW4107" s="24" t="s">
        <v>3026</v>
      </c>
      <c r="AX4107" s="24">
        <v>4</v>
      </c>
      <c r="AZ4107" s="24" t="s">
        <v>141</v>
      </c>
      <c r="BE4107" s="24" t="s">
        <v>3628</v>
      </c>
      <c r="BK4107" s="24">
        <v>16157.2</v>
      </c>
      <c r="BL4107" s="24">
        <v>21310</v>
      </c>
      <c r="BM4107" s="24">
        <f t="shared" si="541"/>
        <v>3630.5516977451211</v>
      </c>
      <c r="BN4107" s="24">
        <f>(23056.7-BL4107)*SQRT(3)</f>
        <v>3025.3731455805591</v>
      </c>
      <c r="BP4107" s="395"/>
      <c r="BQ4107" s="395"/>
      <c r="BU4107" s="395"/>
      <c r="BV4107" s="395"/>
      <c r="BZ4107" s="395"/>
      <c r="CA4107" s="395"/>
      <c r="CE4107" s="548"/>
      <c r="CF4107" s="548"/>
      <c r="CG4107" s="548"/>
      <c r="CH4107" s="548"/>
      <c r="FV4107" s="24">
        <v>9.5</v>
      </c>
      <c r="FW4107" s="24">
        <v>7</v>
      </c>
      <c r="FZ4107" s="24" t="s">
        <v>3639</v>
      </c>
      <c r="JD4107" s="249"/>
    </row>
    <row r="4108" spans="1:264" s="24" customFormat="1" x14ac:dyDescent="0.25">
      <c r="A4108" s="24">
        <v>180</v>
      </c>
      <c r="B4108" s="42" t="s">
        <v>3633</v>
      </c>
      <c r="C4108" s="24" t="s">
        <v>3614</v>
      </c>
      <c r="D4108" s="24" t="s">
        <v>3615</v>
      </c>
      <c r="E4108" s="24">
        <v>2009</v>
      </c>
      <c r="F4108" s="24">
        <v>2006</v>
      </c>
      <c r="G4108" s="24" t="s">
        <v>358</v>
      </c>
      <c r="H4108" s="24" t="s">
        <v>3617</v>
      </c>
      <c r="I4108" s="24" t="s">
        <v>3618</v>
      </c>
      <c r="J4108" s="24">
        <v>41.28</v>
      </c>
      <c r="K4108" s="24">
        <v>36.340000000000003</v>
      </c>
      <c r="L4108" s="24">
        <v>33.6</v>
      </c>
      <c r="R4108" s="42" t="s">
        <v>1847</v>
      </c>
      <c r="S4108" s="42" t="s">
        <v>1728</v>
      </c>
      <c r="T4108" s="42"/>
      <c r="U4108" s="42" t="s">
        <v>2606</v>
      </c>
      <c r="V4108" s="42"/>
      <c r="W4108" s="42"/>
      <c r="X4108" s="42"/>
      <c r="Y4108" s="42"/>
      <c r="AA4108" s="321"/>
      <c r="AB4108" s="321"/>
      <c r="AC4108" s="24" t="s">
        <v>450</v>
      </c>
      <c r="AD4108" s="24">
        <v>6.7</v>
      </c>
      <c r="AE4108" s="24">
        <v>2.5</v>
      </c>
      <c r="AH4108" s="24" t="s">
        <v>3624</v>
      </c>
      <c r="AI4108" s="24" t="s">
        <v>1581</v>
      </c>
      <c r="AJ4108" s="24" t="s">
        <v>3616</v>
      </c>
      <c r="AK4108" s="24" t="s">
        <v>229</v>
      </c>
      <c r="AW4108" s="24" t="s">
        <v>3026</v>
      </c>
      <c r="AX4108" s="24">
        <v>4</v>
      </c>
      <c r="AZ4108" s="24" t="s">
        <v>141</v>
      </c>
      <c r="BE4108" s="24" t="s">
        <v>3628</v>
      </c>
      <c r="BK4108" s="24">
        <v>16157.2</v>
      </c>
      <c r="BL4108" s="24">
        <v>15283.8</v>
      </c>
      <c r="BM4108" s="24">
        <f t="shared" si="541"/>
        <v>3630.5516977451211</v>
      </c>
      <c r="BN4108" s="24">
        <f>(17030.6-BL4108)*SQRT(3)</f>
        <v>3025.5463506613132</v>
      </c>
      <c r="BP4108" s="395"/>
      <c r="BQ4108" s="395"/>
      <c r="BU4108" s="395"/>
      <c r="BV4108" s="395"/>
      <c r="BZ4108" s="395"/>
      <c r="CA4108" s="395"/>
      <c r="CE4108" s="548"/>
      <c r="CF4108" s="548"/>
      <c r="CG4108" s="548"/>
      <c r="CH4108" s="548"/>
      <c r="FV4108" s="24">
        <v>9.5</v>
      </c>
      <c r="FW4108" s="24">
        <v>8.6999999999999993</v>
      </c>
      <c r="FZ4108" s="24" t="s">
        <v>3639</v>
      </c>
      <c r="JD4108" s="249"/>
    </row>
    <row r="4109" spans="1:264" s="24" customFormat="1" x14ac:dyDescent="0.25">
      <c r="A4109" s="24">
        <v>180</v>
      </c>
      <c r="B4109" s="42" t="s">
        <v>3634</v>
      </c>
      <c r="C4109" s="24" t="s">
        <v>3614</v>
      </c>
      <c r="D4109" s="24" t="s">
        <v>3615</v>
      </c>
      <c r="E4109" s="24">
        <v>2009</v>
      </c>
      <c r="F4109" s="24">
        <v>2006</v>
      </c>
      <c r="G4109" s="24" t="s">
        <v>358</v>
      </c>
      <c r="H4109" s="24" t="s">
        <v>3617</v>
      </c>
      <c r="I4109" s="24" t="s">
        <v>3618</v>
      </c>
      <c r="J4109" s="24">
        <v>41.28</v>
      </c>
      <c r="K4109" s="24">
        <v>36.340000000000003</v>
      </c>
      <c r="L4109" s="24">
        <v>33.6</v>
      </c>
      <c r="R4109" s="42" t="s">
        <v>1847</v>
      </c>
      <c r="S4109" s="42" t="s">
        <v>1728</v>
      </c>
      <c r="T4109" s="42"/>
      <c r="U4109" s="42" t="s">
        <v>2606</v>
      </c>
      <c r="V4109" s="42"/>
      <c r="W4109" s="42"/>
      <c r="X4109" s="42"/>
      <c r="Y4109" s="42"/>
      <c r="AA4109" s="321"/>
      <c r="AB4109" s="321"/>
      <c r="AC4109" s="24" t="s">
        <v>450</v>
      </c>
      <c r="AD4109" s="24">
        <v>6.7</v>
      </c>
      <c r="AE4109" s="24">
        <v>2.5</v>
      </c>
      <c r="AH4109" s="24" t="s">
        <v>3625</v>
      </c>
      <c r="AI4109" s="24" t="s">
        <v>577</v>
      </c>
      <c r="AJ4109" s="24" t="s">
        <v>3616</v>
      </c>
      <c r="AK4109" s="24" t="s">
        <v>229</v>
      </c>
      <c r="AW4109" s="24" t="s">
        <v>3026</v>
      </c>
      <c r="AX4109" s="24">
        <v>4</v>
      </c>
      <c r="AZ4109" s="24" t="s">
        <v>141</v>
      </c>
      <c r="BE4109" s="24" t="s">
        <v>3628</v>
      </c>
      <c r="BK4109" s="24">
        <v>16157.2</v>
      </c>
      <c r="BL4109" s="24">
        <v>30480</v>
      </c>
      <c r="BM4109" s="24">
        <f t="shared" si="541"/>
        <v>3630.5516977451211</v>
      </c>
      <c r="BN4109" s="24">
        <f>(31877.7-BL4109)*SQRT(3)</f>
        <v>2420.8874137390208</v>
      </c>
      <c r="BP4109" s="395"/>
      <c r="BQ4109" s="395"/>
      <c r="BU4109" s="395"/>
      <c r="BV4109" s="395"/>
      <c r="BZ4109" s="395"/>
      <c r="CA4109" s="395"/>
      <c r="CE4109" s="548"/>
      <c r="CF4109" s="548"/>
      <c r="CG4109" s="548"/>
      <c r="CH4109" s="548"/>
      <c r="FV4109" s="24">
        <v>9.5</v>
      </c>
      <c r="FW4109" s="24">
        <v>4.5</v>
      </c>
      <c r="FZ4109" s="24" t="s">
        <v>3639</v>
      </c>
      <c r="JD4109" s="249"/>
    </row>
    <row r="4110" spans="1:264" s="24" customFormat="1" x14ac:dyDescent="0.25">
      <c r="A4110" s="24">
        <v>180</v>
      </c>
      <c r="B4110" s="42" t="s">
        <v>3634</v>
      </c>
      <c r="C4110" s="24" t="s">
        <v>3614</v>
      </c>
      <c r="D4110" s="24" t="s">
        <v>3615</v>
      </c>
      <c r="E4110" s="24">
        <v>2009</v>
      </c>
      <c r="F4110" s="24">
        <v>2006</v>
      </c>
      <c r="G4110" s="24" t="s">
        <v>358</v>
      </c>
      <c r="H4110" s="24" t="s">
        <v>3617</v>
      </c>
      <c r="I4110" s="24" t="s">
        <v>3618</v>
      </c>
      <c r="J4110" s="24">
        <v>41.28</v>
      </c>
      <c r="K4110" s="24">
        <v>36.340000000000003</v>
      </c>
      <c r="L4110" s="24">
        <v>33.6</v>
      </c>
      <c r="R4110" s="42" t="s">
        <v>1847</v>
      </c>
      <c r="S4110" s="42" t="s">
        <v>1728</v>
      </c>
      <c r="T4110" s="42"/>
      <c r="U4110" s="42" t="s">
        <v>2606</v>
      </c>
      <c r="V4110" s="42"/>
      <c r="W4110" s="42"/>
      <c r="X4110" s="42"/>
      <c r="Y4110" s="42"/>
      <c r="AA4110" s="321"/>
      <c r="AB4110" s="321"/>
      <c r="AC4110" s="24" t="s">
        <v>450</v>
      </c>
      <c r="AD4110" s="24">
        <v>6.7</v>
      </c>
      <c r="AE4110" s="24">
        <v>2.5</v>
      </c>
      <c r="AH4110" s="24" t="s">
        <v>3626</v>
      </c>
      <c r="AI4110" s="24" t="s">
        <v>577</v>
      </c>
      <c r="AJ4110" s="24" t="s">
        <v>3616</v>
      </c>
      <c r="AK4110" s="24" t="s">
        <v>229</v>
      </c>
      <c r="AW4110" s="24" t="s">
        <v>3026</v>
      </c>
      <c r="AX4110" s="24">
        <v>4</v>
      </c>
      <c r="AZ4110" s="24" t="s">
        <v>141</v>
      </c>
      <c r="BE4110" s="24" t="s">
        <v>3628</v>
      </c>
      <c r="BK4110" s="24">
        <v>16157.2</v>
      </c>
      <c r="BL4110" s="24">
        <v>30742</v>
      </c>
      <c r="BM4110" s="24">
        <f t="shared" si="541"/>
        <v>3630.5516977451211</v>
      </c>
      <c r="BN4110" s="24">
        <f>(34410.5-BL4110)*SQRT(3)</f>
        <v>6354.0283875664263</v>
      </c>
      <c r="BP4110" s="395"/>
      <c r="BQ4110" s="395"/>
      <c r="BU4110" s="395"/>
      <c r="BV4110" s="395"/>
      <c r="BZ4110" s="395"/>
      <c r="CA4110" s="395"/>
      <c r="CE4110" s="548"/>
      <c r="CF4110" s="548"/>
      <c r="CG4110" s="548"/>
      <c r="CH4110" s="548"/>
      <c r="FV4110" s="24">
        <v>9.5</v>
      </c>
      <c r="FW4110" s="24">
        <v>4.5</v>
      </c>
      <c r="FZ4110" s="24" t="s">
        <v>3639</v>
      </c>
      <c r="JD4110" s="249"/>
    </row>
    <row r="4111" spans="1:264" s="32" customFormat="1" x14ac:dyDescent="0.25">
      <c r="A4111" s="32">
        <v>180</v>
      </c>
      <c r="B4111" s="44" t="s">
        <v>3635</v>
      </c>
      <c r="C4111" s="32" t="s">
        <v>3614</v>
      </c>
      <c r="D4111" s="32" t="s">
        <v>3615</v>
      </c>
      <c r="E4111" s="32">
        <v>2009</v>
      </c>
      <c r="F4111" s="32">
        <v>2005</v>
      </c>
      <c r="G4111" s="32" t="s">
        <v>358</v>
      </c>
      <c r="H4111" s="32" t="s">
        <v>3617</v>
      </c>
      <c r="I4111" s="32" t="s">
        <v>3618</v>
      </c>
      <c r="J4111" s="32">
        <v>41.28</v>
      </c>
      <c r="K4111" s="32">
        <v>36.340000000000003</v>
      </c>
      <c r="L4111" s="32">
        <v>33.6</v>
      </c>
      <c r="R4111" s="44" t="s">
        <v>1977</v>
      </c>
      <c r="S4111" s="44" t="s">
        <v>1728</v>
      </c>
      <c r="T4111" s="44"/>
      <c r="U4111" s="44" t="s">
        <v>2606</v>
      </c>
      <c r="V4111" s="44"/>
      <c r="W4111" s="44"/>
      <c r="X4111" s="44"/>
      <c r="Y4111" s="44"/>
      <c r="AA4111" s="323"/>
      <c r="AB4111" s="323"/>
      <c r="AC4111" s="32" t="s">
        <v>450</v>
      </c>
      <c r="AD4111" s="32">
        <v>6.7</v>
      </c>
      <c r="AE4111" s="32">
        <v>2.5</v>
      </c>
      <c r="AH4111" s="32" t="s">
        <v>3619</v>
      </c>
      <c r="AI4111" s="32" t="s">
        <v>1581</v>
      </c>
      <c r="AJ4111" s="32" t="s">
        <v>3616</v>
      </c>
      <c r="AK4111" s="32" t="s">
        <v>229</v>
      </c>
      <c r="AW4111" s="32" t="s">
        <v>3026</v>
      </c>
      <c r="AX4111" s="32">
        <v>4</v>
      </c>
      <c r="AZ4111" s="32" t="s">
        <v>141</v>
      </c>
      <c r="BE4111" s="32" t="s">
        <v>3629</v>
      </c>
      <c r="BP4111" s="397"/>
      <c r="BQ4111" s="397"/>
      <c r="BU4111" s="397"/>
      <c r="BV4111" s="397"/>
      <c r="BZ4111" s="397"/>
      <c r="CA4111" s="397"/>
      <c r="CE4111" s="550"/>
      <c r="CF4111" s="550"/>
      <c r="CG4111" s="550"/>
      <c r="CH4111" s="550"/>
      <c r="FV4111" s="32">
        <v>20.5</v>
      </c>
      <c r="FW4111" s="32">
        <v>16</v>
      </c>
      <c r="FZ4111" s="32" t="s">
        <v>3639</v>
      </c>
      <c r="JD4111" s="243"/>
    </row>
    <row r="4112" spans="1:264" s="32" customFormat="1" x14ac:dyDescent="0.25">
      <c r="A4112" s="32">
        <v>180</v>
      </c>
      <c r="B4112" s="44" t="s">
        <v>3635</v>
      </c>
      <c r="C4112" s="32" t="s">
        <v>3614</v>
      </c>
      <c r="D4112" s="32" t="s">
        <v>3615</v>
      </c>
      <c r="E4112" s="32">
        <v>2009</v>
      </c>
      <c r="F4112" s="32">
        <v>2005</v>
      </c>
      <c r="G4112" s="32" t="s">
        <v>358</v>
      </c>
      <c r="H4112" s="32" t="s">
        <v>3617</v>
      </c>
      <c r="I4112" s="32" t="s">
        <v>3618</v>
      </c>
      <c r="J4112" s="32">
        <v>41.28</v>
      </c>
      <c r="K4112" s="32">
        <v>36.340000000000003</v>
      </c>
      <c r="L4112" s="32">
        <v>33.6</v>
      </c>
      <c r="R4112" s="44" t="s">
        <v>1977</v>
      </c>
      <c r="S4112" s="44" t="s">
        <v>1728</v>
      </c>
      <c r="T4112" s="44"/>
      <c r="U4112" s="44" t="s">
        <v>2606</v>
      </c>
      <c r="V4112" s="44"/>
      <c r="W4112" s="44"/>
      <c r="X4112" s="44"/>
      <c r="Y4112" s="44"/>
      <c r="AA4112" s="323"/>
      <c r="AB4112" s="323"/>
      <c r="AC4112" s="32" t="s">
        <v>450</v>
      </c>
      <c r="AD4112" s="32">
        <v>6.7</v>
      </c>
      <c r="AE4112" s="32">
        <v>2.5</v>
      </c>
      <c r="AH4112" s="32" t="s">
        <v>3620</v>
      </c>
      <c r="AI4112" s="32" t="s">
        <v>1581</v>
      </c>
      <c r="AJ4112" s="32" t="s">
        <v>3616</v>
      </c>
      <c r="AK4112" s="32" t="s">
        <v>229</v>
      </c>
      <c r="AW4112" s="32" t="s">
        <v>3026</v>
      </c>
      <c r="AX4112" s="32">
        <v>4</v>
      </c>
      <c r="AZ4112" s="32" t="s">
        <v>141</v>
      </c>
      <c r="BE4112" s="32" t="s">
        <v>3629</v>
      </c>
      <c r="BP4112" s="397"/>
      <c r="BQ4112" s="397"/>
      <c r="BU4112" s="397"/>
      <c r="BV4112" s="397"/>
      <c r="BZ4112" s="397"/>
      <c r="CA4112" s="397"/>
      <c r="CE4112" s="550"/>
      <c r="CF4112" s="550"/>
      <c r="CG4112" s="550"/>
      <c r="CH4112" s="550"/>
      <c r="FV4112" s="32">
        <v>20.5</v>
      </c>
      <c r="FW4112" s="32">
        <v>7.7</v>
      </c>
      <c r="FZ4112" s="32" t="s">
        <v>3639</v>
      </c>
      <c r="JD4112" s="243"/>
    </row>
    <row r="4113" spans="1:264" s="32" customFormat="1" x14ac:dyDescent="0.25">
      <c r="A4113" s="32">
        <v>180</v>
      </c>
      <c r="B4113" s="44" t="s">
        <v>3635</v>
      </c>
      <c r="C4113" s="32" t="s">
        <v>3614</v>
      </c>
      <c r="D4113" s="32" t="s">
        <v>3615</v>
      </c>
      <c r="E4113" s="32">
        <v>2009</v>
      </c>
      <c r="F4113" s="32">
        <v>2005</v>
      </c>
      <c r="G4113" s="32" t="s">
        <v>358</v>
      </c>
      <c r="H4113" s="32" t="s">
        <v>3617</v>
      </c>
      <c r="I4113" s="32" t="s">
        <v>3618</v>
      </c>
      <c r="J4113" s="32">
        <v>41.28</v>
      </c>
      <c r="K4113" s="32">
        <v>36.340000000000003</v>
      </c>
      <c r="L4113" s="32">
        <v>33.6</v>
      </c>
      <c r="R4113" s="44" t="s">
        <v>1977</v>
      </c>
      <c r="S4113" s="44" t="s">
        <v>1728</v>
      </c>
      <c r="T4113" s="44"/>
      <c r="U4113" s="44" t="s">
        <v>2606</v>
      </c>
      <c r="V4113" s="44"/>
      <c r="W4113" s="44"/>
      <c r="X4113" s="44"/>
      <c r="Y4113" s="44"/>
      <c r="AA4113" s="323"/>
      <c r="AB4113" s="323"/>
      <c r="AC4113" s="32" t="s">
        <v>450</v>
      </c>
      <c r="AD4113" s="32">
        <v>6.7</v>
      </c>
      <c r="AE4113" s="32">
        <v>2.5</v>
      </c>
      <c r="AH4113" s="32" t="s">
        <v>3621</v>
      </c>
      <c r="AI4113" s="32" t="s">
        <v>1581</v>
      </c>
      <c r="AJ4113" s="32" t="s">
        <v>3616</v>
      </c>
      <c r="AK4113" s="32" t="s">
        <v>229</v>
      </c>
      <c r="AW4113" s="32" t="s">
        <v>3026</v>
      </c>
      <c r="AX4113" s="32">
        <v>4</v>
      </c>
      <c r="AZ4113" s="32" t="s">
        <v>141</v>
      </c>
      <c r="BE4113" s="32" t="s">
        <v>3629</v>
      </c>
      <c r="BP4113" s="397"/>
      <c r="BQ4113" s="397"/>
      <c r="BU4113" s="397"/>
      <c r="BV4113" s="397"/>
      <c r="BZ4113" s="397"/>
      <c r="CA4113" s="397"/>
      <c r="CE4113" s="550"/>
      <c r="CF4113" s="550"/>
      <c r="CG4113" s="550"/>
      <c r="CH4113" s="550"/>
      <c r="FV4113" s="32">
        <v>20.5</v>
      </c>
      <c r="FW4113" s="32">
        <v>9</v>
      </c>
      <c r="FZ4113" s="32" t="s">
        <v>3639</v>
      </c>
      <c r="JD4113" s="243"/>
    </row>
    <row r="4114" spans="1:264" s="32" customFormat="1" x14ac:dyDescent="0.25">
      <c r="A4114" s="32">
        <v>180</v>
      </c>
      <c r="B4114" s="44" t="s">
        <v>3635</v>
      </c>
      <c r="C4114" s="32" t="s">
        <v>3614</v>
      </c>
      <c r="D4114" s="32" t="s">
        <v>3615</v>
      </c>
      <c r="E4114" s="32">
        <v>2009</v>
      </c>
      <c r="F4114" s="32">
        <v>2005</v>
      </c>
      <c r="G4114" s="32" t="s">
        <v>358</v>
      </c>
      <c r="H4114" s="32" t="s">
        <v>3617</v>
      </c>
      <c r="I4114" s="32" t="s">
        <v>3618</v>
      </c>
      <c r="J4114" s="32">
        <v>41.28</v>
      </c>
      <c r="K4114" s="32">
        <v>36.340000000000003</v>
      </c>
      <c r="L4114" s="32">
        <v>33.6</v>
      </c>
      <c r="R4114" s="44" t="s">
        <v>1977</v>
      </c>
      <c r="S4114" s="44" t="s">
        <v>1728</v>
      </c>
      <c r="T4114" s="44"/>
      <c r="U4114" s="44" t="s">
        <v>2606</v>
      </c>
      <c r="V4114" s="44"/>
      <c r="W4114" s="44"/>
      <c r="X4114" s="44"/>
      <c r="Y4114" s="44"/>
      <c r="AA4114" s="323"/>
      <c r="AB4114" s="323"/>
      <c r="AC4114" s="32" t="s">
        <v>450</v>
      </c>
      <c r="AD4114" s="32">
        <v>6.7</v>
      </c>
      <c r="AE4114" s="32">
        <v>2.5</v>
      </c>
      <c r="AH4114" s="32" t="s">
        <v>3622</v>
      </c>
      <c r="AI4114" s="32" t="s">
        <v>1581</v>
      </c>
      <c r="AJ4114" s="32" t="s">
        <v>3616</v>
      </c>
      <c r="AK4114" s="32" t="s">
        <v>229</v>
      </c>
      <c r="AW4114" s="32" t="s">
        <v>3026</v>
      </c>
      <c r="AX4114" s="32">
        <v>4</v>
      </c>
      <c r="AZ4114" s="32" t="s">
        <v>141</v>
      </c>
      <c r="BE4114" s="32" t="s">
        <v>3629</v>
      </c>
      <c r="BP4114" s="397"/>
      <c r="BQ4114" s="397"/>
      <c r="BU4114" s="397"/>
      <c r="BV4114" s="397"/>
      <c r="BZ4114" s="397"/>
      <c r="CA4114" s="397"/>
      <c r="CE4114" s="550"/>
      <c r="CF4114" s="550"/>
      <c r="CG4114" s="550"/>
      <c r="CH4114" s="550"/>
      <c r="FV4114" s="32">
        <v>20.5</v>
      </c>
      <c r="FW4114" s="32">
        <v>10</v>
      </c>
      <c r="FZ4114" s="32" t="s">
        <v>3639</v>
      </c>
      <c r="JD4114" s="243"/>
    </row>
    <row r="4115" spans="1:264" s="32" customFormat="1" x14ac:dyDescent="0.25">
      <c r="A4115" s="32">
        <v>180</v>
      </c>
      <c r="B4115" s="44" t="s">
        <v>3635</v>
      </c>
      <c r="C4115" s="32" t="s">
        <v>3614</v>
      </c>
      <c r="D4115" s="32" t="s">
        <v>3615</v>
      </c>
      <c r="E4115" s="32">
        <v>2009</v>
      </c>
      <c r="F4115" s="32">
        <v>2005</v>
      </c>
      <c r="G4115" s="32" t="s">
        <v>358</v>
      </c>
      <c r="H4115" s="32" t="s">
        <v>3617</v>
      </c>
      <c r="I4115" s="32" t="s">
        <v>3618</v>
      </c>
      <c r="J4115" s="32">
        <v>41.28</v>
      </c>
      <c r="K4115" s="32">
        <v>36.340000000000003</v>
      </c>
      <c r="L4115" s="32">
        <v>33.6</v>
      </c>
      <c r="R4115" s="44" t="s">
        <v>1977</v>
      </c>
      <c r="S4115" s="44" t="s">
        <v>1728</v>
      </c>
      <c r="T4115" s="44"/>
      <c r="U4115" s="44" t="s">
        <v>2606</v>
      </c>
      <c r="V4115" s="44"/>
      <c r="W4115" s="44"/>
      <c r="X4115" s="44"/>
      <c r="Y4115" s="44"/>
      <c r="AA4115" s="323"/>
      <c r="AB4115" s="323"/>
      <c r="AC4115" s="32" t="s">
        <v>450</v>
      </c>
      <c r="AD4115" s="32">
        <v>6.7</v>
      </c>
      <c r="AE4115" s="32">
        <v>2.5</v>
      </c>
      <c r="AH4115" s="32" t="s">
        <v>3623</v>
      </c>
      <c r="AI4115" s="32" t="s">
        <v>1581</v>
      </c>
      <c r="AJ4115" s="32" t="s">
        <v>3616</v>
      </c>
      <c r="AK4115" s="32" t="s">
        <v>229</v>
      </c>
      <c r="AW4115" s="32" t="s">
        <v>3026</v>
      </c>
      <c r="AX4115" s="32">
        <v>4</v>
      </c>
      <c r="AZ4115" s="32" t="s">
        <v>141</v>
      </c>
      <c r="BE4115" s="32" t="s">
        <v>3629</v>
      </c>
      <c r="BP4115" s="397"/>
      <c r="BQ4115" s="397"/>
      <c r="BU4115" s="397"/>
      <c r="BV4115" s="397"/>
      <c r="BZ4115" s="397"/>
      <c r="CA4115" s="397"/>
      <c r="CE4115" s="550"/>
      <c r="CF4115" s="550"/>
      <c r="CG4115" s="550"/>
      <c r="CH4115" s="550"/>
      <c r="FV4115" s="32">
        <v>20.5</v>
      </c>
      <c r="FW4115" s="32">
        <v>13.5</v>
      </c>
      <c r="FZ4115" s="32" t="s">
        <v>3639</v>
      </c>
      <c r="JD4115" s="243"/>
    </row>
    <row r="4116" spans="1:264" s="32" customFormat="1" x14ac:dyDescent="0.25">
      <c r="A4116" s="32">
        <v>180</v>
      </c>
      <c r="B4116" s="44" t="s">
        <v>3635</v>
      </c>
      <c r="C4116" s="32" t="s">
        <v>3614</v>
      </c>
      <c r="D4116" s="32" t="s">
        <v>3615</v>
      </c>
      <c r="E4116" s="32">
        <v>2009</v>
      </c>
      <c r="F4116" s="32">
        <v>2005</v>
      </c>
      <c r="G4116" s="32" t="s">
        <v>358</v>
      </c>
      <c r="H4116" s="32" t="s">
        <v>3617</v>
      </c>
      <c r="I4116" s="32" t="s">
        <v>3618</v>
      </c>
      <c r="J4116" s="32">
        <v>41.28</v>
      </c>
      <c r="K4116" s="32">
        <v>36.340000000000003</v>
      </c>
      <c r="L4116" s="32">
        <v>33.6</v>
      </c>
      <c r="R4116" s="44" t="s">
        <v>1977</v>
      </c>
      <c r="S4116" s="44" t="s">
        <v>1728</v>
      </c>
      <c r="T4116" s="44"/>
      <c r="U4116" s="44" t="s">
        <v>2606</v>
      </c>
      <c r="V4116" s="44"/>
      <c r="W4116" s="44"/>
      <c r="X4116" s="44"/>
      <c r="Y4116" s="44"/>
      <c r="AA4116" s="323"/>
      <c r="AB4116" s="323"/>
      <c r="AC4116" s="32" t="s">
        <v>450</v>
      </c>
      <c r="AD4116" s="32">
        <v>6.7</v>
      </c>
      <c r="AE4116" s="32">
        <v>2.5</v>
      </c>
      <c r="AH4116" s="32" t="s">
        <v>3624</v>
      </c>
      <c r="AI4116" s="32" t="s">
        <v>1581</v>
      </c>
      <c r="AJ4116" s="32" t="s">
        <v>3616</v>
      </c>
      <c r="AK4116" s="32" t="s">
        <v>229</v>
      </c>
      <c r="AW4116" s="32" t="s">
        <v>3026</v>
      </c>
      <c r="AX4116" s="32">
        <v>4</v>
      </c>
      <c r="AZ4116" s="32" t="s">
        <v>141</v>
      </c>
      <c r="BE4116" s="32" t="s">
        <v>3629</v>
      </c>
      <c r="BP4116" s="397"/>
      <c r="BQ4116" s="397"/>
      <c r="BU4116" s="397"/>
      <c r="BV4116" s="397"/>
      <c r="BZ4116" s="397"/>
      <c r="CA4116" s="397"/>
      <c r="CE4116" s="550"/>
      <c r="CF4116" s="550"/>
      <c r="CG4116" s="550"/>
      <c r="CH4116" s="550"/>
      <c r="FV4116" s="32">
        <v>20.5</v>
      </c>
      <c r="FW4116" s="32">
        <v>16.5</v>
      </c>
      <c r="FZ4116" s="32" t="s">
        <v>3639</v>
      </c>
      <c r="JD4116" s="243"/>
    </row>
    <row r="4117" spans="1:264" s="32" customFormat="1" x14ac:dyDescent="0.25">
      <c r="A4117" s="32">
        <v>180</v>
      </c>
      <c r="B4117" s="44" t="s">
        <v>3636</v>
      </c>
      <c r="C4117" s="32" t="s">
        <v>3614</v>
      </c>
      <c r="D4117" s="32" t="s">
        <v>3615</v>
      </c>
      <c r="E4117" s="32">
        <v>2009</v>
      </c>
      <c r="F4117" s="32">
        <v>2005</v>
      </c>
      <c r="G4117" s="32" t="s">
        <v>358</v>
      </c>
      <c r="H4117" s="32" t="s">
        <v>3617</v>
      </c>
      <c r="I4117" s="32" t="s">
        <v>3618</v>
      </c>
      <c r="J4117" s="32">
        <v>41.28</v>
      </c>
      <c r="K4117" s="32">
        <v>36.340000000000003</v>
      </c>
      <c r="L4117" s="32">
        <v>33.6</v>
      </c>
      <c r="R4117" s="44" t="s">
        <v>1977</v>
      </c>
      <c r="S4117" s="44" t="s">
        <v>1728</v>
      </c>
      <c r="T4117" s="44"/>
      <c r="U4117" s="44" t="s">
        <v>2606</v>
      </c>
      <c r="V4117" s="44"/>
      <c r="W4117" s="44"/>
      <c r="X4117" s="44"/>
      <c r="Y4117" s="44"/>
      <c r="AA4117" s="323"/>
      <c r="AB4117" s="323"/>
      <c r="AC4117" s="32" t="s">
        <v>450</v>
      </c>
      <c r="AD4117" s="32">
        <v>6.7</v>
      </c>
      <c r="AE4117" s="32">
        <v>2.5</v>
      </c>
      <c r="AH4117" s="32" t="s">
        <v>3625</v>
      </c>
      <c r="AI4117" s="32" t="s">
        <v>577</v>
      </c>
      <c r="AJ4117" s="32" t="s">
        <v>3616</v>
      </c>
      <c r="AK4117" s="32" t="s">
        <v>229</v>
      </c>
      <c r="AW4117" s="32" t="s">
        <v>3026</v>
      </c>
      <c r="AX4117" s="32">
        <v>4</v>
      </c>
      <c r="AZ4117" s="32" t="s">
        <v>141</v>
      </c>
      <c r="BE4117" s="32" t="s">
        <v>3629</v>
      </c>
      <c r="BP4117" s="397"/>
      <c r="BQ4117" s="397"/>
      <c r="BU4117" s="397"/>
      <c r="BV4117" s="397"/>
      <c r="BZ4117" s="397"/>
      <c r="CA4117" s="397"/>
      <c r="CE4117" s="550"/>
      <c r="CF4117" s="550"/>
      <c r="CG4117" s="550"/>
      <c r="CH4117" s="550"/>
      <c r="FV4117" s="32">
        <v>20.5</v>
      </c>
      <c r="FW4117" s="32">
        <v>8.6999999999999993</v>
      </c>
      <c r="FZ4117" s="32" t="s">
        <v>3639</v>
      </c>
      <c r="JD4117" s="243"/>
    </row>
    <row r="4118" spans="1:264" s="32" customFormat="1" x14ac:dyDescent="0.25">
      <c r="A4118" s="32">
        <v>180</v>
      </c>
      <c r="B4118" s="44" t="s">
        <v>3636</v>
      </c>
      <c r="C4118" s="32" t="s">
        <v>3614</v>
      </c>
      <c r="D4118" s="32" t="s">
        <v>3615</v>
      </c>
      <c r="E4118" s="32">
        <v>2009</v>
      </c>
      <c r="F4118" s="32">
        <v>2005</v>
      </c>
      <c r="G4118" s="32" t="s">
        <v>358</v>
      </c>
      <c r="H4118" s="32" t="s">
        <v>3617</v>
      </c>
      <c r="I4118" s="32" t="s">
        <v>3618</v>
      </c>
      <c r="J4118" s="32">
        <v>41.28</v>
      </c>
      <c r="K4118" s="32">
        <v>36.340000000000003</v>
      </c>
      <c r="L4118" s="32">
        <v>33.6</v>
      </c>
      <c r="R4118" s="44" t="s">
        <v>1977</v>
      </c>
      <c r="S4118" s="44" t="s">
        <v>1728</v>
      </c>
      <c r="T4118" s="44"/>
      <c r="U4118" s="44" t="s">
        <v>2606</v>
      </c>
      <c r="V4118" s="44"/>
      <c r="W4118" s="44"/>
      <c r="X4118" s="44"/>
      <c r="Y4118" s="44"/>
      <c r="AA4118" s="323"/>
      <c r="AB4118" s="323"/>
      <c r="AC4118" s="32" t="s">
        <v>450</v>
      </c>
      <c r="AD4118" s="32">
        <v>6.7</v>
      </c>
      <c r="AE4118" s="32">
        <v>2.5</v>
      </c>
      <c r="AH4118" s="32" t="s">
        <v>3626</v>
      </c>
      <c r="AI4118" s="32" t="s">
        <v>577</v>
      </c>
      <c r="AJ4118" s="32" t="s">
        <v>3616</v>
      </c>
      <c r="AK4118" s="32" t="s">
        <v>229</v>
      </c>
      <c r="AW4118" s="32" t="s">
        <v>3026</v>
      </c>
      <c r="AX4118" s="32">
        <v>4</v>
      </c>
      <c r="AZ4118" s="32" t="s">
        <v>141</v>
      </c>
      <c r="BE4118" s="32" t="s">
        <v>3629</v>
      </c>
      <c r="BP4118" s="397"/>
      <c r="BQ4118" s="397"/>
      <c r="BU4118" s="397"/>
      <c r="BV4118" s="397"/>
      <c r="BZ4118" s="397"/>
      <c r="CA4118" s="397"/>
      <c r="CE4118" s="550"/>
      <c r="CF4118" s="550"/>
      <c r="CG4118" s="550"/>
      <c r="CH4118" s="550"/>
      <c r="FV4118" s="32">
        <v>20.5</v>
      </c>
      <c r="FW4118" s="32">
        <v>5.5</v>
      </c>
      <c r="FZ4118" s="32" t="s">
        <v>3639</v>
      </c>
      <c r="JD4118" s="243"/>
    </row>
    <row r="4119" spans="1:264" s="24" customFormat="1" x14ac:dyDescent="0.25">
      <c r="A4119" s="24">
        <v>180</v>
      </c>
      <c r="B4119" s="42" t="s">
        <v>3637</v>
      </c>
      <c r="C4119" s="24" t="s">
        <v>3614</v>
      </c>
      <c r="D4119" s="24" t="s">
        <v>3615</v>
      </c>
      <c r="E4119" s="24">
        <v>2009</v>
      </c>
      <c r="F4119" s="24">
        <v>2005</v>
      </c>
      <c r="G4119" s="24" t="s">
        <v>358</v>
      </c>
      <c r="H4119" s="24" t="s">
        <v>3617</v>
      </c>
      <c r="I4119" s="24" t="s">
        <v>3618</v>
      </c>
      <c r="J4119" s="24">
        <v>41.28</v>
      </c>
      <c r="K4119" s="24">
        <v>36.340000000000003</v>
      </c>
      <c r="L4119" s="24">
        <v>33.6</v>
      </c>
      <c r="R4119" s="42" t="s">
        <v>1977</v>
      </c>
      <c r="S4119" s="42" t="s">
        <v>1728</v>
      </c>
      <c r="T4119" s="42"/>
      <c r="U4119" s="42" t="s">
        <v>2606</v>
      </c>
      <c r="V4119" s="42"/>
      <c r="W4119" s="42"/>
      <c r="X4119" s="42"/>
      <c r="Y4119" s="42"/>
      <c r="AA4119" s="321"/>
      <c r="AB4119" s="321"/>
      <c r="AC4119" s="24" t="s">
        <v>450</v>
      </c>
      <c r="AD4119" s="24">
        <v>6.7</v>
      </c>
      <c r="AE4119" s="24">
        <v>2.5</v>
      </c>
      <c r="AH4119" s="24" t="s">
        <v>3619</v>
      </c>
      <c r="AI4119" s="24" t="s">
        <v>1581</v>
      </c>
      <c r="AJ4119" s="24" t="s">
        <v>3616</v>
      </c>
      <c r="AK4119" s="24" t="s">
        <v>229</v>
      </c>
      <c r="AW4119" s="24" t="s">
        <v>3026</v>
      </c>
      <c r="AX4119" s="24">
        <v>4</v>
      </c>
      <c r="AZ4119" s="24" t="s">
        <v>141</v>
      </c>
      <c r="BE4119" s="24" t="s">
        <v>3630</v>
      </c>
      <c r="BP4119" s="395"/>
      <c r="BQ4119" s="395"/>
      <c r="BU4119" s="395"/>
      <c r="BV4119" s="395"/>
      <c r="BZ4119" s="395"/>
      <c r="CA4119" s="395"/>
      <c r="CE4119" s="548"/>
      <c r="CF4119" s="548"/>
      <c r="CG4119" s="548"/>
      <c r="CH4119" s="548"/>
      <c r="FV4119" s="24">
        <v>32.5</v>
      </c>
      <c r="FW4119" s="24">
        <v>15.5</v>
      </c>
      <c r="FZ4119" s="24" t="s">
        <v>3639</v>
      </c>
      <c r="JD4119" s="249"/>
    </row>
    <row r="4120" spans="1:264" s="24" customFormat="1" x14ac:dyDescent="0.25">
      <c r="A4120" s="24">
        <v>180</v>
      </c>
      <c r="B4120" s="42" t="s">
        <v>3637</v>
      </c>
      <c r="C4120" s="24" t="s">
        <v>3614</v>
      </c>
      <c r="D4120" s="24" t="s">
        <v>3615</v>
      </c>
      <c r="E4120" s="24">
        <v>2009</v>
      </c>
      <c r="F4120" s="24">
        <v>2005</v>
      </c>
      <c r="G4120" s="24" t="s">
        <v>358</v>
      </c>
      <c r="H4120" s="24" t="s">
        <v>3617</v>
      </c>
      <c r="I4120" s="24" t="s">
        <v>3618</v>
      </c>
      <c r="J4120" s="24">
        <v>41.28</v>
      </c>
      <c r="K4120" s="24">
        <v>36.340000000000003</v>
      </c>
      <c r="L4120" s="24">
        <v>33.6</v>
      </c>
      <c r="R4120" s="42" t="s">
        <v>1977</v>
      </c>
      <c r="S4120" s="42" t="s">
        <v>1728</v>
      </c>
      <c r="T4120" s="42"/>
      <c r="U4120" s="42" t="s">
        <v>2606</v>
      </c>
      <c r="V4120" s="42"/>
      <c r="W4120" s="42"/>
      <c r="X4120" s="42"/>
      <c r="Y4120" s="42"/>
      <c r="AA4120" s="321"/>
      <c r="AB4120" s="321"/>
      <c r="AC4120" s="24" t="s">
        <v>450</v>
      </c>
      <c r="AD4120" s="24">
        <v>6.7</v>
      </c>
      <c r="AE4120" s="24">
        <v>2.5</v>
      </c>
      <c r="AH4120" s="24" t="s">
        <v>3620</v>
      </c>
      <c r="AI4120" s="24" t="s">
        <v>1581</v>
      </c>
      <c r="AJ4120" s="24" t="s">
        <v>3616</v>
      </c>
      <c r="AK4120" s="24" t="s">
        <v>229</v>
      </c>
      <c r="AW4120" s="24" t="s">
        <v>3026</v>
      </c>
      <c r="AX4120" s="24">
        <v>4</v>
      </c>
      <c r="AZ4120" s="24" t="s">
        <v>141</v>
      </c>
      <c r="BE4120" s="24" t="s">
        <v>3630</v>
      </c>
      <c r="BP4120" s="395"/>
      <c r="BQ4120" s="395"/>
      <c r="BU4120" s="395"/>
      <c r="BV4120" s="395"/>
      <c r="BZ4120" s="395"/>
      <c r="CA4120" s="395"/>
      <c r="CE4120" s="548"/>
      <c r="CF4120" s="548"/>
      <c r="CG4120" s="548"/>
      <c r="CH4120" s="548"/>
      <c r="FV4120" s="24">
        <v>32.5</v>
      </c>
      <c r="FW4120" s="24">
        <v>10.7</v>
      </c>
      <c r="FZ4120" s="24" t="s">
        <v>3639</v>
      </c>
      <c r="JD4120" s="249"/>
    </row>
    <row r="4121" spans="1:264" s="24" customFormat="1" x14ac:dyDescent="0.25">
      <c r="A4121" s="24">
        <v>180</v>
      </c>
      <c r="B4121" s="42" t="s">
        <v>3637</v>
      </c>
      <c r="C4121" s="24" t="s">
        <v>3614</v>
      </c>
      <c r="D4121" s="24" t="s">
        <v>3615</v>
      </c>
      <c r="E4121" s="24">
        <v>2009</v>
      </c>
      <c r="F4121" s="24">
        <v>2005</v>
      </c>
      <c r="G4121" s="24" t="s">
        <v>358</v>
      </c>
      <c r="H4121" s="24" t="s">
        <v>3617</v>
      </c>
      <c r="I4121" s="24" t="s">
        <v>3618</v>
      </c>
      <c r="J4121" s="24">
        <v>41.28</v>
      </c>
      <c r="K4121" s="24">
        <v>36.340000000000003</v>
      </c>
      <c r="L4121" s="24">
        <v>33.6</v>
      </c>
      <c r="R4121" s="42" t="s">
        <v>1977</v>
      </c>
      <c r="S4121" s="42" t="s">
        <v>1728</v>
      </c>
      <c r="T4121" s="42"/>
      <c r="U4121" s="42" t="s">
        <v>2606</v>
      </c>
      <c r="V4121" s="42"/>
      <c r="W4121" s="42"/>
      <c r="X4121" s="42"/>
      <c r="Y4121" s="42"/>
      <c r="AA4121" s="321"/>
      <c r="AB4121" s="321"/>
      <c r="AC4121" s="24" t="s">
        <v>450</v>
      </c>
      <c r="AD4121" s="24">
        <v>6.7</v>
      </c>
      <c r="AE4121" s="24">
        <v>2.5</v>
      </c>
      <c r="AH4121" s="24" t="s">
        <v>3621</v>
      </c>
      <c r="AI4121" s="24" t="s">
        <v>1581</v>
      </c>
      <c r="AJ4121" s="24" t="s">
        <v>3616</v>
      </c>
      <c r="AK4121" s="24" t="s">
        <v>229</v>
      </c>
      <c r="AW4121" s="24" t="s">
        <v>3026</v>
      </c>
      <c r="AX4121" s="24">
        <v>4</v>
      </c>
      <c r="AZ4121" s="24" t="s">
        <v>141</v>
      </c>
      <c r="BE4121" s="24" t="s">
        <v>3630</v>
      </c>
      <c r="BP4121" s="395"/>
      <c r="BQ4121" s="395"/>
      <c r="BU4121" s="395"/>
      <c r="BV4121" s="395"/>
      <c r="BZ4121" s="395"/>
      <c r="CA4121" s="395"/>
      <c r="CE4121" s="548"/>
      <c r="CF4121" s="548"/>
      <c r="CG4121" s="548"/>
      <c r="CH4121" s="548"/>
      <c r="FV4121" s="24">
        <v>32.5</v>
      </c>
      <c r="FW4121" s="24">
        <v>12.2</v>
      </c>
      <c r="FZ4121" s="24" t="s">
        <v>3639</v>
      </c>
      <c r="JD4121" s="249"/>
    </row>
    <row r="4122" spans="1:264" s="24" customFormat="1" x14ac:dyDescent="0.25">
      <c r="A4122" s="24">
        <v>180</v>
      </c>
      <c r="B4122" s="42" t="s">
        <v>3637</v>
      </c>
      <c r="C4122" s="24" t="s">
        <v>3614</v>
      </c>
      <c r="D4122" s="24" t="s">
        <v>3615</v>
      </c>
      <c r="E4122" s="24">
        <v>2009</v>
      </c>
      <c r="F4122" s="24">
        <v>2005</v>
      </c>
      <c r="G4122" s="24" t="s">
        <v>358</v>
      </c>
      <c r="H4122" s="24" t="s">
        <v>3617</v>
      </c>
      <c r="I4122" s="24" t="s">
        <v>3618</v>
      </c>
      <c r="J4122" s="24">
        <v>41.28</v>
      </c>
      <c r="K4122" s="24">
        <v>36.340000000000003</v>
      </c>
      <c r="L4122" s="24">
        <v>33.6</v>
      </c>
      <c r="R4122" s="42" t="s">
        <v>1977</v>
      </c>
      <c r="S4122" s="42" t="s">
        <v>1728</v>
      </c>
      <c r="T4122" s="42"/>
      <c r="U4122" s="42" t="s">
        <v>2606</v>
      </c>
      <c r="V4122" s="42"/>
      <c r="W4122" s="42"/>
      <c r="X4122" s="42"/>
      <c r="Y4122" s="42"/>
      <c r="AA4122" s="321"/>
      <c r="AB4122" s="321"/>
      <c r="AC4122" s="24" t="s">
        <v>450</v>
      </c>
      <c r="AD4122" s="24">
        <v>6.7</v>
      </c>
      <c r="AE4122" s="24">
        <v>2.5</v>
      </c>
      <c r="AH4122" s="24" t="s">
        <v>3622</v>
      </c>
      <c r="AI4122" s="24" t="s">
        <v>1581</v>
      </c>
      <c r="AJ4122" s="24" t="s">
        <v>3616</v>
      </c>
      <c r="AK4122" s="24" t="s">
        <v>229</v>
      </c>
      <c r="AW4122" s="24" t="s">
        <v>3026</v>
      </c>
      <c r="AX4122" s="24">
        <v>4</v>
      </c>
      <c r="AZ4122" s="24" t="s">
        <v>141</v>
      </c>
      <c r="BE4122" s="24" t="s">
        <v>3630</v>
      </c>
      <c r="BP4122" s="395"/>
      <c r="BQ4122" s="395"/>
      <c r="BU4122" s="395"/>
      <c r="BV4122" s="395"/>
      <c r="BZ4122" s="395"/>
      <c r="CA4122" s="395"/>
      <c r="CE4122" s="548"/>
      <c r="CF4122" s="548"/>
      <c r="CG4122" s="548"/>
      <c r="CH4122" s="548"/>
      <c r="FV4122" s="24">
        <v>32.5</v>
      </c>
      <c r="FW4122" s="24">
        <v>14.5</v>
      </c>
      <c r="FZ4122" s="24" t="s">
        <v>3639</v>
      </c>
      <c r="JD4122" s="249"/>
    </row>
    <row r="4123" spans="1:264" s="24" customFormat="1" x14ac:dyDescent="0.25">
      <c r="A4123" s="24">
        <v>180</v>
      </c>
      <c r="B4123" s="42" t="s">
        <v>3637</v>
      </c>
      <c r="C4123" s="24" t="s">
        <v>3614</v>
      </c>
      <c r="D4123" s="24" t="s">
        <v>3615</v>
      </c>
      <c r="E4123" s="24">
        <v>2009</v>
      </c>
      <c r="F4123" s="24">
        <v>2005</v>
      </c>
      <c r="G4123" s="24" t="s">
        <v>358</v>
      </c>
      <c r="H4123" s="24" t="s">
        <v>3617</v>
      </c>
      <c r="I4123" s="24" t="s">
        <v>3618</v>
      </c>
      <c r="J4123" s="24">
        <v>41.28</v>
      </c>
      <c r="K4123" s="24">
        <v>36.340000000000003</v>
      </c>
      <c r="L4123" s="24">
        <v>33.6</v>
      </c>
      <c r="R4123" s="42" t="s">
        <v>1977</v>
      </c>
      <c r="S4123" s="42" t="s">
        <v>1728</v>
      </c>
      <c r="T4123" s="42"/>
      <c r="U4123" s="42" t="s">
        <v>2606</v>
      </c>
      <c r="V4123" s="42"/>
      <c r="W4123" s="42"/>
      <c r="X4123" s="42"/>
      <c r="Y4123" s="42"/>
      <c r="AA4123" s="321"/>
      <c r="AB4123" s="321"/>
      <c r="AC4123" s="24" t="s">
        <v>450</v>
      </c>
      <c r="AD4123" s="24">
        <v>6.7</v>
      </c>
      <c r="AE4123" s="24">
        <v>2.5</v>
      </c>
      <c r="AH4123" s="24" t="s">
        <v>3623</v>
      </c>
      <c r="AI4123" s="24" t="s">
        <v>1581</v>
      </c>
      <c r="AJ4123" s="24" t="s">
        <v>3616</v>
      </c>
      <c r="AK4123" s="24" t="s">
        <v>229</v>
      </c>
      <c r="AW4123" s="24" t="s">
        <v>3026</v>
      </c>
      <c r="AX4123" s="24">
        <v>4</v>
      </c>
      <c r="AZ4123" s="24" t="s">
        <v>141</v>
      </c>
      <c r="BE4123" s="24" t="s">
        <v>3630</v>
      </c>
      <c r="BP4123" s="395"/>
      <c r="BQ4123" s="395"/>
      <c r="BU4123" s="395"/>
      <c r="BV4123" s="395"/>
      <c r="BZ4123" s="395"/>
      <c r="CA4123" s="395"/>
      <c r="CE4123" s="548"/>
      <c r="CF4123" s="548"/>
      <c r="CG4123" s="548"/>
      <c r="CH4123" s="548"/>
      <c r="FV4123" s="24">
        <v>32.5</v>
      </c>
      <c r="FW4123" s="24">
        <v>22</v>
      </c>
      <c r="FZ4123" s="24" t="s">
        <v>3639</v>
      </c>
      <c r="JD4123" s="249"/>
    </row>
    <row r="4124" spans="1:264" s="24" customFormat="1" x14ac:dyDescent="0.25">
      <c r="A4124" s="24">
        <v>180</v>
      </c>
      <c r="B4124" s="42" t="s">
        <v>3637</v>
      </c>
      <c r="C4124" s="24" t="s">
        <v>3614</v>
      </c>
      <c r="D4124" s="24" t="s">
        <v>3615</v>
      </c>
      <c r="E4124" s="24">
        <v>2009</v>
      </c>
      <c r="F4124" s="24">
        <v>2005</v>
      </c>
      <c r="G4124" s="24" t="s">
        <v>358</v>
      </c>
      <c r="H4124" s="24" t="s">
        <v>3617</v>
      </c>
      <c r="I4124" s="24" t="s">
        <v>3618</v>
      </c>
      <c r="J4124" s="24">
        <v>41.28</v>
      </c>
      <c r="K4124" s="24">
        <v>36.340000000000003</v>
      </c>
      <c r="L4124" s="24">
        <v>33.6</v>
      </c>
      <c r="R4124" s="42" t="s">
        <v>1977</v>
      </c>
      <c r="S4124" s="42" t="s">
        <v>1728</v>
      </c>
      <c r="T4124" s="42"/>
      <c r="U4124" s="42" t="s">
        <v>2606</v>
      </c>
      <c r="V4124" s="42"/>
      <c r="W4124" s="42"/>
      <c r="X4124" s="42"/>
      <c r="Y4124" s="42"/>
      <c r="AA4124" s="321"/>
      <c r="AB4124" s="321"/>
      <c r="AC4124" s="24" t="s">
        <v>450</v>
      </c>
      <c r="AD4124" s="24">
        <v>6.7</v>
      </c>
      <c r="AE4124" s="24">
        <v>2.5</v>
      </c>
      <c r="AH4124" s="24" t="s">
        <v>3624</v>
      </c>
      <c r="AI4124" s="24" t="s">
        <v>1581</v>
      </c>
      <c r="AJ4124" s="24" t="s">
        <v>3616</v>
      </c>
      <c r="AK4124" s="24" t="s">
        <v>229</v>
      </c>
      <c r="AW4124" s="24" t="s">
        <v>3026</v>
      </c>
      <c r="AX4124" s="24">
        <v>4</v>
      </c>
      <c r="AZ4124" s="24" t="s">
        <v>141</v>
      </c>
      <c r="BE4124" s="24" t="s">
        <v>3630</v>
      </c>
      <c r="BP4124" s="395"/>
      <c r="BQ4124" s="395"/>
      <c r="BU4124" s="395"/>
      <c r="BV4124" s="395"/>
      <c r="BZ4124" s="395"/>
      <c r="CA4124" s="395"/>
      <c r="CE4124" s="548"/>
      <c r="CF4124" s="548"/>
      <c r="CG4124" s="548"/>
      <c r="CH4124" s="548"/>
      <c r="FV4124" s="24">
        <v>32.5</v>
      </c>
      <c r="FW4124" s="24">
        <v>23</v>
      </c>
      <c r="FZ4124" s="24" t="s">
        <v>3639</v>
      </c>
      <c r="JD4124" s="249"/>
    </row>
    <row r="4125" spans="1:264" s="24" customFormat="1" x14ac:dyDescent="0.25">
      <c r="A4125" s="24">
        <v>180</v>
      </c>
      <c r="B4125" s="42" t="s">
        <v>3638</v>
      </c>
      <c r="C4125" s="24" t="s">
        <v>3614</v>
      </c>
      <c r="D4125" s="24" t="s">
        <v>3615</v>
      </c>
      <c r="E4125" s="24">
        <v>2009</v>
      </c>
      <c r="F4125" s="24">
        <v>2005</v>
      </c>
      <c r="G4125" s="24" t="s">
        <v>358</v>
      </c>
      <c r="H4125" s="24" t="s">
        <v>3617</v>
      </c>
      <c r="I4125" s="24" t="s">
        <v>3618</v>
      </c>
      <c r="J4125" s="24">
        <v>41.28</v>
      </c>
      <c r="K4125" s="24">
        <v>36.340000000000003</v>
      </c>
      <c r="L4125" s="24">
        <v>33.6</v>
      </c>
      <c r="R4125" s="42" t="s">
        <v>1977</v>
      </c>
      <c r="S4125" s="42" t="s">
        <v>1728</v>
      </c>
      <c r="T4125" s="42"/>
      <c r="U4125" s="42" t="s">
        <v>2606</v>
      </c>
      <c r="V4125" s="42"/>
      <c r="W4125" s="42"/>
      <c r="X4125" s="42"/>
      <c r="Y4125" s="42"/>
      <c r="AA4125" s="321"/>
      <c r="AB4125" s="321"/>
      <c r="AC4125" s="24" t="s">
        <v>450</v>
      </c>
      <c r="AD4125" s="24">
        <v>6.7</v>
      </c>
      <c r="AE4125" s="24">
        <v>2.5</v>
      </c>
      <c r="AH4125" s="24" t="s">
        <v>3625</v>
      </c>
      <c r="AI4125" s="24" t="s">
        <v>577</v>
      </c>
      <c r="AJ4125" s="24" t="s">
        <v>3616</v>
      </c>
      <c r="AK4125" s="24" t="s">
        <v>229</v>
      </c>
      <c r="AW4125" s="24" t="s">
        <v>3026</v>
      </c>
      <c r="AX4125" s="24">
        <v>4</v>
      </c>
      <c r="AZ4125" s="24" t="s">
        <v>141</v>
      </c>
      <c r="BE4125" s="24" t="s">
        <v>3630</v>
      </c>
      <c r="BP4125" s="395"/>
      <c r="BQ4125" s="395"/>
      <c r="BU4125" s="395"/>
      <c r="BV4125" s="395"/>
      <c r="BZ4125" s="395"/>
      <c r="CA4125" s="395"/>
      <c r="CE4125" s="548"/>
      <c r="CF4125" s="548"/>
      <c r="CG4125" s="548"/>
      <c r="CH4125" s="548"/>
      <c r="FV4125" s="24">
        <v>32.5</v>
      </c>
      <c r="FW4125" s="24">
        <v>11.5</v>
      </c>
      <c r="FZ4125" s="24" t="s">
        <v>3639</v>
      </c>
      <c r="JD4125" s="249"/>
    </row>
    <row r="4126" spans="1:264" s="24" customFormat="1" x14ac:dyDescent="0.25">
      <c r="A4126" s="24">
        <v>180</v>
      </c>
      <c r="B4126" s="42" t="s">
        <v>3638</v>
      </c>
      <c r="C4126" s="24" t="s">
        <v>3614</v>
      </c>
      <c r="D4126" s="24" t="s">
        <v>3615</v>
      </c>
      <c r="E4126" s="24">
        <v>2009</v>
      </c>
      <c r="F4126" s="24">
        <v>2005</v>
      </c>
      <c r="G4126" s="24" t="s">
        <v>358</v>
      </c>
      <c r="H4126" s="24" t="s">
        <v>3617</v>
      </c>
      <c r="I4126" s="24" t="s">
        <v>3618</v>
      </c>
      <c r="J4126" s="24">
        <v>41.28</v>
      </c>
      <c r="K4126" s="24">
        <v>36.340000000000003</v>
      </c>
      <c r="L4126" s="24">
        <v>33.6</v>
      </c>
      <c r="R4126" s="42" t="s">
        <v>1977</v>
      </c>
      <c r="S4126" s="42" t="s">
        <v>1728</v>
      </c>
      <c r="T4126" s="42"/>
      <c r="U4126" s="42" t="s">
        <v>2606</v>
      </c>
      <c r="V4126" s="42"/>
      <c r="W4126" s="42"/>
      <c r="X4126" s="42"/>
      <c r="Y4126" s="42"/>
      <c r="AA4126" s="321"/>
      <c r="AB4126" s="321"/>
      <c r="AC4126" s="24" t="s">
        <v>450</v>
      </c>
      <c r="AD4126" s="24">
        <v>6.7</v>
      </c>
      <c r="AE4126" s="24">
        <v>2.5</v>
      </c>
      <c r="AH4126" s="24" t="s">
        <v>3626</v>
      </c>
      <c r="AI4126" s="24" t="s">
        <v>577</v>
      </c>
      <c r="AJ4126" s="24" t="s">
        <v>3616</v>
      </c>
      <c r="AK4126" s="24" t="s">
        <v>229</v>
      </c>
      <c r="AW4126" s="24" t="s">
        <v>3026</v>
      </c>
      <c r="AX4126" s="24">
        <v>4</v>
      </c>
      <c r="AZ4126" s="24" t="s">
        <v>141</v>
      </c>
      <c r="BE4126" s="24" t="s">
        <v>3630</v>
      </c>
      <c r="BP4126" s="395"/>
      <c r="BQ4126" s="395"/>
      <c r="BU4126" s="395"/>
      <c r="BV4126" s="395"/>
      <c r="BZ4126" s="395"/>
      <c r="CA4126" s="395"/>
      <c r="CE4126" s="548"/>
      <c r="CF4126" s="548"/>
      <c r="CG4126" s="548"/>
      <c r="CH4126" s="548"/>
      <c r="FV4126" s="24">
        <v>32.5</v>
      </c>
      <c r="FW4126" s="24">
        <v>8.6999999999999993</v>
      </c>
      <c r="FZ4126" s="24" t="s">
        <v>3639</v>
      </c>
      <c r="JD4126" s="249"/>
    </row>
    <row r="4127" spans="1:264" s="126" customFormat="1" x14ac:dyDescent="0.25">
      <c r="A4127" s="126">
        <v>181</v>
      </c>
      <c r="B4127" s="478" t="s">
        <v>3648</v>
      </c>
      <c r="C4127" s="126" t="s">
        <v>3640</v>
      </c>
      <c r="D4127" s="126" t="s">
        <v>3641</v>
      </c>
      <c r="E4127" s="126">
        <v>2013</v>
      </c>
      <c r="F4127" s="126">
        <v>2009</v>
      </c>
      <c r="G4127" s="126" t="s">
        <v>2713</v>
      </c>
      <c r="H4127" s="126" t="s">
        <v>3642</v>
      </c>
      <c r="I4127" s="126" t="s">
        <v>3599</v>
      </c>
      <c r="J4127" s="126">
        <f>35+9/60</f>
        <v>35.15</v>
      </c>
      <c r="K4127" s="126">
        <f>128+5.4/60</f>
        <v>128.09</v>
      </c>
      <c r="L4127" s="126">
        <v>57.6</v>
      </c>
      <c r="R4127" s="478" t="s">
        <v>1977</v>
      </c>
      <c r="S4127" s="478" t="s">
        <v>1847</v>
      </c>
      <c r="T4127" s="478"/>
      <c r="U4127" s="478" t="s">
        <v>1868</v>
      </c>
      <c r="V4127" s="478" t="s">
        <v>1382</v>
      </c>
      <c r="W4127" s="478" t="s">
        <v>1717</v>
      </c>
      <c r="X4127" s="478" t="s">
        <v>1382</v>
      </c>
      <c r="Y4127" s="478" t="s">
        <v>1382</v>
      </c>
      <c r="Z4127" s="126">
        <v>1.2</v>
      </c>
      <c r="AA4127" s="479"/>
      <c r="AB4127" s="479"/>
      <c r="AC4127" s="126" t="s">
        <v>450</v>
      </c>
      <c r="AD4127" s="126">
        <v>6.6</v>
      </c>
      <c r="AE4127" s="126">
        <v>1.55</v>
      </c>
      <c r="AH4127" s="126" t="s">
        <v>131</v>
      </c>
      <c r="AI4127" s="126" t="s">
        <v>1581</v>
      </c>
      <c r="AJ4127" s="126" t="s">
        <v>1128</v>
      </c>
      <c r="AK4127" s="126" t="s">
        <v>1646</v>
      </c>
      <c r="AW4127" s="126" t="s">
        <v>160</v>
      </c>
      <c r="AX4127" s="126">
        <v>3</v>
      </c>
      <c r="AZ4127" s="126" t="s">
        <v>141</v>
      </c>
      <c r="BK4127" s="126">
        <v>5700</v>
      </c>
      <c r="BL4127" s="126">
        <v>6600</v>
      </c>
      <c r="BM4127" s="126">
        <v>500</v>
      </c>
      <c r="BN4127" s="126">
        <v>500</v>
      </c>
      <c r="BO4127" s="126" t="s">
        <v>3646</v>
      </c>
      <c r="BP4127" s="481"/>
      <c r="BQ4127" s="481"/>
      <c r="BU4127" s="481">
        <v>0.87</v>
      </c>
      <c r="BV4127" s="481">
        <v>0.99</v>
      </c>
      <c r="BW4127" s="481">
        <v>0.06</v>
      </c>
      <c r="BX4127" s="481">
        <v>0.06</v>
      </c>
      <c r="BY4127" s="126" t="s">
        <v>3643</v>
      </c>
      <c r="CE4127" s="605">
        <v>0.87</v>
      </c>
      <c r="CF4127" s="605">
        <v>0.99</v>
      </c>
      <c r="CG4127" s="605">
        <v>0.06</v>
      </c>
      <c r="CH4127" s="605">
        <v>0.06</v>
      </c>
      <c r="CI4127" s="126" t="s">
        <v>4544</v>
      </c>
      <c r="CJ4127" s="126">
        <v>490</v>
      </c>
      <c r="CK4127" s="126">
        <v>500</v>
      </c>
      <c r="CL4127" s="126">
        <v>30</v>
      </c>
      <c r="CM4127" s="126">
        <v>30</v>
      </c>
      <c r="CN4127" s="126" t="s">
        <v>3503</v>
      </c>
      <c r="CO4127" s="126">
        <v>63</v>
      </c>
      <c r="CP4127" s="126">
        <v>62</v>
      </c>
      <c r="CQ4127" s="126">
        <v>14</v>
      </c>
      <c r="CR4127" s="126">
        <v>14</v>
      </c>
      <c r="CS4127" s="126" t="s">
        <v>3613</v>
      </c>
      <c r="CT4127" s="126">
        <v>0.3</v>
      </c>
      <c r="CU4127" s="126">
        <v>0.3</v>
      </c>
      <c r="CX4127" s="126" t="s">
        <v>3444</v>
      </c>
      <c r="CY4127" s="126">
        <v>6.5</v>
      </c>
      <c r="CZ4127" s="126">
        <v>6.6</v>
      </c>
      <c r="DD4127" s="126">
        <f>0.3+8.2+0.5</f>
        <v>9</v>
      </c>
      <c r="DE4127" s="126">
        <f>0.3+7.9+0.6</f>
        <v>8.8000000000000007</v>
      </c>
      <c r="DH4127" s="126" t="s">
        <v>3644</v>
      </c>
      <c r="GP4127" s="126">
        <v>15.9</v>
      </c>
      <c r="GQ4127" s="126">
        <v>27.7</v>
      </c>
      <c r="GR4127" s="126">
        <v>12.5</v>
      </c>
      <c r="GS4127" s="126">
        <v>12.5</v>
      </c>
      <c r="GT4127" s="126" t="s">
        <v>1704</v>
      </c>
      <c r="GU4127" s="126">
        <v>138</v>
      </c>
      <c r="GV4127" s="126">
        <v>238</v>
      </c>
      <c r="GW4127" s="126">
        <v>51</v>
      </c>
      <c r="GX4127" s="126">
        <v>51</v>
      </c>
      <c r="GY4127" s="126" t="s">
        <v>3645</v>
      </c>
      <c r="HO4127" s="126">
        <v>2.4900000000000002</v>
      </c>
      <c r="HP4127" s="126">
        <v>2.2799999999999998</v>
      </c>
      <c r="HQ4127" s="126">
        <f>4.29-HO4127</f>
        <v>1.7999999999999998</v>
      </c>
      <c r="HR4127" s="126">
        <f>3.06-HP4127</f>
        <v>0.78000000000000025</v>
      </c>
      <c r="HS4127" s="126" t="s">
        <v>179</v>
      </c>
      <c r="ID4127" s="126">
        <v>2125.6</v>
      </c>
      <c r="IE4127" s="126">
        <v>5623</v>
      </c>
      <c r="IF4127" s="126">
        <f>3516.9-ID4127</f>
        <v>1391.3000000000002</v>
      </c>
      <c r="IG4127" s="126">
        <f>7227-IE4127</f>
        <v>1604</v>
      </c>
      <c r="IH4127" s="126" t="s">
        <v>3647</v>
      </c>
      <c r="II4127" s="126">
        <v>479.4</v>
      </c>
      <c r="IJ4127" s="126">
        <v>1037.4000000000001</v>
      </c>
      <c r="IK4127" s="126">
        <f>521.6-II4127</f>
        <v>42.200000000000045</v>
      </c>
      <c r="IL4127" s="126">
        <f>1212-IJ4127</f>
        <v>174.59999999999991</v>
      </c>
      <c r="IM4127" s="126" t="s">
        <v>179</v>
      </c>
      <c r="JD4127" s="480"/>
    </row>
    <row r="4128" spans="1:264" s="126" customFormat="1" x14ac:dyDescent="0.25">
      <c r="A4128" s="126">
        <v>181</v>
      </c>
      <c r="B4128" s="478" t="s">
        <v>3649</v>
      </c>
      <c r="C4128" s="126" t="s">
        <v>3640</v>
      </c>
      <c r="D4128" s="126" t="s">
        <v>3641</v>
      </c>
      <c r="E4128" s="126">
        <v>2013</v>
      </c>
      <c r="F4128" s="126">
        <v>2009</v>
      </c>
      <c r="G4128" s="126" t="s">
        <v>2713</v>
      </c>
      <c r="H4128" s="126" t="s">
        <v>3642</v>
      </c>
      <c r="I4128" s="126" t="s">
        <v>3599</v>
      </c>
      <c r="J4128" s="126">
        <f>35+9/60</f>
        <v>35.15</v>
      </c>
      <c r="K4128" s="126">
        <f>128+5.4/60</f>
        <v>128.09</v>
      </c>
      <c r="L4128" s="126">
        <v>57.6</v>
      </c>
      <c r="R4128" s="478" t="s">
        <v>1977</v>
      </c>
      <c r="S4128" s="478" t="s">
        <v>1847</v>
      </c>
      <c r="T4128" s="478"/>
      <c r="U4128" s="478" t="s">
        <v>1868</v>
      </c>
      <c r="V4128" s="478" t="s">
        <v>1382</v>
      </c>
      <c r="W4128" s="478" t="s">
        <v>1717</v>
      </c>
      <c r="X4128" s="478" t="s">
        <v>1382</v>
      </c>
      <c r="Y4128" s="478" t="s">
        <v>1382</v>
      </c>
      <c r="Z4128" s="126">
        <v>1.2</v>
      </c>
      <c r="AA4128" s="479"/>
      <c r="AB4128" s="479"/>
      <c r="AC4128" s="126" t="s">
        <v>450</v>
      </c>
      <c r="AD4128" s="126">
        <v>6.6</v>
      </c>
      <c r="AE4128" s="126">
        <v>1.55</v>
      </c>
      <c r="AH4128" s="126" t="s">
        <v>243</v>
      </c>
      <c r="AI4128" s="126" t="s">
        <v>577</v>
      </c>
      <c r="AJ4128" s="126" t="s">
        <v>1128</v>
      </c>
      <c r="AK4128" s="126" t="s">
        <v>1646</v>
      </c>
      <c r="AW4128" s="126" t="s">
        <v>160</v>
      </c>
      <c r="AX4128" s="126">
        <v>3</v>
      </c>
      <c r="AZ4128" s="126" t="s">
        <v>141</v>
      </c>
      <c r="BK4128" s="126">
        <v>5700</v>
      </c>
      <c r="BL4128" s="126">
        <v>7000</v>
      </c>
      <c r="BM4128" s="126">
        <v>500</v>
      </c>
      <c r="BN4128" s="126">
        <v>500</v>
      </c>
      <c r="BO4128" s="126" t="s">
        <v>3646</v>
      </c>
      <c r="BP4128" s="481"/>
      <c r="BQ4128" s="481"/>
      <c r="BU4128" s="481">
        <v>0.87</v>
      </c>
      <c r="BV4128" s="481">
        <v>0.92</v>
      </c>
      <c r="BW4128" s="481">
        <v>0.06</v>
      </c>
      <c r="BX4128" s="481">
        <v>0.06</v>
      </c>
      <c r="BY4128" s="126" t="s">
        <v>3643</v>
      </c>
      <c r="CE4128" s="605">
        <v>0.87</v>
      </c>
      <c r="CF4128" s="605">
        <v>0.92</v>
      </c>
      <c r="CG4128" s="605">
        <v>0.06</v>
      </c>
      <c r="CH4128" s="605">
        <v>0.06</v>
      </c>
      <c r="CI4128" s="126" t="s">
        <v>4544</v>
      </c>
      <c r="CJ4128" s="126">
        <v>490</v>
      </c>
      <c r="CK4128" s="126">
        <v>550</v>
      </c>
      <c r="CL4128" s="126">
        <v>30</v>
      </c>
      <c r="CM4128" s="126">
        <v>30</v>
      </c>
      <c r="CN4128" s="126" t="s">
        <v>3503</v>
      </c>
      <c r="CO4128" s="126">
        <v>63</v>
      </c>
      <c r="CP4128" s="126">
        <v>101</v>
      </c>
      <c r="CQ4128" s="126">
        <v>14</v>
      </c>
      <c r="CR4128" s="126">
        <v>14</v>
      </c>
      <c r="CS4128" s="126" t="s">
        <v>3613</v>
      </c>
      <c r="CT4128" s="126">
        <v>0.3</v>
      </c>
      <c r="CU4128" s="126">
        <v>0.3</v>
      </c>
      <c r="CX4128" s="126" t="s">
        <v>3444</v>
      </c>
      <c r="CY4128" s="126">
        <v>6.5</v>
      </c>
      <c r="CZ4128" s="126">
        <v>6.4</v>
      </c>
      <c r="DD4128" s="126">
        <f>0.3+8.2+0.5</f>
        <v>9</v>
      </c>
      <c r="DE4128" s="126">
        <f>0.3+8.2+0.5</f>
        <v>9</v>
      </c>
      <c r="DH4128" s="126" t="s">
        <v>3644</v>
      </c>
      <c r="GP4128" s="126">
        <v>15.9</v>
      </c>
      <c r="GQ4128" s="126">
        <v>29.3</v>
      </c>
      <c r="GR4128" s="126">
        <v>12.5</v>
      </c>
      <c r="GS4128" s="126">
        <v>12.5</v>
      </c>
      <c r="GT4128" s="126" t="s">
        <v>1704</v>
      </c>
      <c r="GU4128" s="126">
        <v>138</v>
      </c>
      <c r="GV4128" s="126">
        <v>221</v>
      </c>
      <c r="GW4128" s="126">
        <v>51</v>
      </c>
      <c r="GX4128" s="126">
        <v>51</v>
      </c>
      <c r="GY4128" s="126" t="s">
        <v>3645</v>
      </c>
      <c r="HO4128" s="126">
        <v>2.4900000000000002</v>
      </c>
      <c r="HP4128" s="126">
        <v>3</v>
      </c>
      <c r="HQ4128" s="126">
        <f>4.29-HO4128</f>
        <v>1.7999999999999998</v>
      </c>
      <c r="HR4128" s="126">
        <f>3.06-HP4128</f>
        <v>6.0000000000000053E-2</v>
      </c>
      <c r="HS4128" s="126" t="s">
        <v>179</v>
      </c>
      <c r="ID4128" s="126">
        <v>2125.6</v>
      </c>
      <c r="IE4128" s="126">
        <v>4135.26</v>
      </c>
      <c r="IF4128" s="126">
        <f>3516.9-ID4128</f>
        <v>1391.3000000000002</v>
      </c>
      <c r="IG4128" s="126">
        <f>4923.5-IE4128</f>
        <v>788.23999999999978</v>
      </c>
      <c r="IH4128" s="126" t="s">
        <v>3647</v>
      </c>
      <c r="II4128" s="126">
        <v>479.4</v>
      </c>
      <c r="IJ4128" s="126">
        <v>777.9</v>
      </c>
      <c r="IK4128" s="126">
        <f>521.6-II4128</f>
        <v>42.200000000000045</v>
      </c>
      <c r="IL4128" s="126">
        <f>789-IJ4128</f>
        <v>11.100000000000023</v>
      </c>
      <c r="IM4128" s="126" t="s">
        <v>179</v>
      </c>
      <c r="JD4128" s="480"/>
    </row>
    <row r="4129" spans="1:264" s="24" customFormat="1" x14ac:dyDescent="0.25">
      <c r="A4129" s="24">
        <v>182</v>
      </c>
      <c r="B4129" s="42" t="s">
        <v>3655</v>
      </c>
      <c r="C4129" s="24" t="s">
        <v>3650</v>
      </c>
      <c r="D4129" s="24" t="s">
        <v>3651</v>
      </c>
      <c r="E4129" s="24">
        <v>2016</v>
      </c>
      <c r="F4129" s="24">
        <v>2012</v>
      </c>
      <c r="G4129" s="24" t="s">
        <v>3653</v>
      </c>
      <c r="H4129" s="24" t="s">
        <v>3652</v>
      </c>
      <c r="I4129" s="24" t="s">
        <v>3461</v>
      </c>
      <c r="J4129" s="24">
        <f t="shared" ref="J4129:J4140" si="542">29+52/60</f>
        <v>29.866666666666667</v>
      </c>
      <c r="K4129" s="24">
        <f t="shared" ref="K4129:K4140" si="543">112+55/60</f>
        <v>112.91666666666667</v>
      </c>
      <c r="L4129" s="24">
        <v>25.8</v>
      </c>
      <c r="M4129" s="24">
        <f t="shared" ref="M4129:M4140" si="544">AVERAGE(22.35,10.9,7.45,6.63,8.7,12.7,15.97,22.58,25.63,30.71,30.09,29.57)</f>
        <v>18.606666666666666</v>
      </c>
      <c r="N4129" s="24">
        <f t="shared" ref="N4129:N4140" si="545">(14.7+22)/2</f>
        <v>18.350000000000001</v>
      </c>
      <c r="O4129" s="24">
        <f t="shared" ref="O4129:O4140" si="546">SUM(25.79,65,44,29.5,64.9,141.9,175.28,232.25,275.41,75.52,142.35,142.25)</f>
        <v>1414.1499999999999</v>
      </c>
      <c r="P4129" s="24">
        <v>1232</v>
      </c>
      <c r="R4129" s="42" t="s">
        <v>1977</v>
      </c>
      <c r="S4129" s="42" t="s">
        <v>1977</v>
      </c>
      <c r="T4129" s="42"/>
      <c r="U4129" s="42" t="s">
        <v>1849</v>
      </c>
      <c r="V4129" s="42"/>
      <c r="W4129" s="42"/>
      <c r="X4129" s="42"/>
      <c r="Y4129" s="42"/>
      <c r="Z4129" s="24">
        <v>1.18</v>
      </c>
      <c r="AA4129" s="321"/>
      <c r="AB4129" s="321"/>
      <c r="AC4129" s="24" t="s">
        <v>796</v>
      </c>
      <c r="AD4129" s="24">
        <v>6.2</v>
      </c>
      <c r="AE4129" s="24">
        <v>5.2</v>
      </c>
      <c r="AG4129" s="24" t="s">
        <v>3654</v>
      </c>
      <c r="AH4129" s="24" t="s">
        <v>3657</v>
      </c>
      <c r="AI4129" s="24" t="s">
        <v>577</v>
      </c>
      <c r="AJ4129" s="24" t="s">
        <v>1128</v>
      </c>
      <c r="AK4129" s="24" t="s">
        <v>1646</v>
      </c>
      <c r="AW4129" s="24" t="s">
        <v>160</v>
      </c>
      <c r="AX4129" s="24">
        <v>3</v>
      </c>
      <c r="AZ4129" s="24" t="s">
        <v>141</v>
      </c>
      <c r="BE4129" s="24" t="s">
        <v>3658</v>
      </c>
      <c r="BP4129" s="395"/>
      <c r="BQ4129" s="395"/>
      <c r="BU4129" s="395"/>
      <c r="BV4129" s="395"/>
      <c r="BZ4129" s="395"/>
      <c r="CA4129" s="395"/>
      <c r="CE4129" s="548"/>
      <c r="CF4129" s="548"/>
      <c r="CG4129" s="548"/>
      <c r="CH4129" s="548"/>
      <c r="GU4129" s="24">
        <v>20.93</v>
      </c>
      <c r="GV4129" s="24">
        <v>41.54</v>
      </c>
      <c r="GW4129" s="24">
        <f>21.74-GU4129</f>
        <v>0.80999999999999872</v>
      </c>
      <c r="GX4129" s="24">
        <f>44-GV4129</f>
        <v>2.4600000000000009</v>
      </c>
      <c r="GY4129" s="24" t="s">
        <v>3663</v>
      </c>
      <c r="JB4129" s="24" t="s">
        <v>3661</v>
      </c>
      <c r="JD4129" s="249"/>
    </row>
    <row r="4130" spans="1:264" s="24" customFormat="1" x14ac:dyDescent="0.25">
      <c r="A4130" s="24">
        <v>182</v>
      </c>
      <c r="B4130" s="42" t="s">
        <v>3656</v>
      </c>
      <c r="C4130" s="24" t="s">
        <v>3650</v>
      </c>
      <c r="D4130" s="24" t="s">
        <v>3651</v>
      </c>
      <c r="E4130" s="24">
        <v>2016</v>
      </c>
      <c r="F4130" s="24">
        <v>2012</v>
      </c>
      <c r="G4130" s="24" t="s">
        <v>3653</v>
      </c>
      <c r="H4130" s="24" t="s">
        <v>3652</v>
      </c>
      <c r="I4130" s="24" t="s">
        <v>3461</v>
      </c>
      <c r="J4130" s="24">
        <f t="shared" si="542"/>
        <v>29.866666666666667</v>
      </c>
      <c r="K4130" s="24">
        <f t="shared" si="543"/>
        <v>112.91666666666667</v>
      </c>
      <c r="L4130" s="24">
        <v>25.8</v>
      </c>
      <c r="M4130" s="24">
        <f t="shared" si="544"/>
        <v>18.606666666666666</v>
      </c>
      <c r="N4130" s="24">
        <f t="shared" si="545"/>
        <v>18.350000000000001</v>
      </c>
      <c r="O4130" s="24">
        <f t="shared" si="546"/>
        <v>1414.1499999999999</v>
      </c>
      <c r="P4130" s="24">
        <v>1232</v>
      </c>
      <c r="R4130" s="42" t="s">
        <v>1977</v>
      </c>
      <c r="S4130" s="42" t="s">
        <v>1977</v>
      </c>
      <c r="T4130" s="42"/>
      <c r="U4130" s="42" t="s">
        <v>1849</v>
      </c>
      <c r="V4130" s="42"/>
      <c r="W4130" s="42"/>
      <c r="X4130" s="42"/>
      <c r="Y4130" s="42"/>
      <c r="Z4130" s="24">
        <v>1.18</v>
      </c>
      <c r="AA4130" s="321"/>
      <c r="AB4130" s="321"/>
      <c r="AC4130" s="24" t="s">
        <v>796</v>
      </c>
      <c r="AD4130" s="24">
        <v>6.2</v>
      </c>
      <c r="AE4130" s="24">
        <v>5.2</v>
      </c>
      <c r="AG4130" s="24" t="s">
        <v>3654</v>
      </c>
      <c r="AH4130" s="24" t="s">
        <v>115</v>
      </c>
      <c r="AI4130" s="24" t="s">
        <v>1581</v>
      </c>
      <c r="AJ4130" s="24" t="s">
        <v>1128</v>
      </c>
      <c r="AK4130" s="24" t="s">
        <v>1646</v>
      </c>
      <c r="AW4130" s="24" t="s">
        <v>160</v>
      </c>
      <c r="AX4130" s="24">
        <v>3</v>
      </c>
      <c r="AZ4130" s="24" t="s">
        <v>141</v>
      </c>
      <c r="BE4130" s="24" t="s">
        <v>3658</v>
      </c>
      <c r="BP4130" s="395"/>
      <c r="BQ4130" s="395"/>
      <c r="BU4130" s="395"/>
      <c r="BV4130" s="395"/>
      <c r="BZ4130" s="395"/>
      <c r="CA4130" s="395"/>
      <c r="CE4130" s="548"/>
      <c r="CF4130" s="548"/>
      <c r="CG4130" s="548"/>
      <c r="CH4130" s="548"/>
      <c r="GU4130" s="24">
        <v>20.93</v>
      </c>
      <c r="GV4130" s="24">
        <v>39.03</v>
      </c>
      <c r="GW4130" s="24">
        <f>21.74-GU4130</f>
        <v>0.80999999999999872</v>
      </c>
      <c r="GX4130" s="24">
        <f>43.7-GV4130</f>
        <v>4.6700000000000017</v>
      </c>
      <c r="GY4130" s="24" t="s">
        <v>3663</v>
      </c>
      <c r="JB4130" s="24" t="s">
        <v>3661</v>
      </c>
      <c r="JD4130" s="249"/>
    </row>
    <row r="4131" spans="1:264" s="32" customFormat="1" x14ac:dyDescent="0.25">
      <c r="A4131" s="32">
        <v>182</v>
      </c>
      <c r="B4131" s="44" t="s">
        <v>3655</v>
      </c>
      <c r="C4131" s="32" t="s">
        <v>3650</v>
      </c>
      <c r="D4131" s="32" t="s">
        <v>3651</v>
      </c>
      <c r="E4131" s="32">
        <v>2016</v>
      </c>
      <c r="F4131" s="32">
        <v>2012</v>
      </c>
      <c r="G4131" s="32" t="s">
        <v>3653</v>
      </c>
      <c r="H4131" s="32" t="s">
        <v>3652</v>
      </c>
      <c r="I4131" s="32" t="s">
        <v>3461</v>
      </c>
      <c r="J4131" s="32">
        <f t="shared" si="542"/>
        <v>29.866666666666667</v>
      </c>
      <c r="K4131" s="32">
        <f t="shared" si="543"/>
        <v>112.91666666666667</v>
      </c>
      <c r="L4131" s="32">
        <v>25.8</v>
      </c>
      <c r="M4131" s="32">
        <f t="shared" si="544"/>
        <v>18.606666666666666</v>
      </c>
      <c r="N4131" s="32">
        <f t="shared" si="545"/>
        <v>18.350000000000001</v>
      </c>
      <c r="O4131" s="32">
        <f t="shared" si="546"/>
        <v>1414.1499999999999</v>
      </c>
      <c r="P4131" s="32">
        <v>1232</v>
      </c>
      <c r="R4131" s="44" t="s">
        <v>1977</v>
      </c>
      <c r="S4131" s="44" t="s">
        <v>1977</v>
      </c>
      <c r="T4131" s="44"/>
      <c r="U4131" s="44" t="s">
        <v>1849</v>
      </c>
      <c r="V4131" s="44"/>
      <c r="W4131" s="44"/>
      <c r="X4131" s="44"/>
      <c r="Y4131" s="44"/>
      <c r="Z4131" s="32">
        <v>1.18</v>
      </c>
      <c r="AA4131" s="323"/>
      <c r="AB4131" s="323"/>
      <c r="AC4131" s="32" t="s">
        <v>796</v>
      </c>
      <c r="AD4131" s="32">
        <v>6.2</v>
      </c>
      <c r="AE4131" s="32">
        <v>5.2</v>
      </c>
      <c r="AG4131" s="32" t="s">
        <v>3654</v>
      </c>
      <c r="AH4131" s="32" t="s">
        <v>3657</v>
      </c>
      <c r="AI4131" s="32" t="s">
        <v>577</v>
      </c>
      <c r="AJ4131" s="32" t="s">
        <v>1128</v>
      </c>
      <c r="AK4131" s="32" t="s">
        <v>1646</v>
      </c>
      <c r="AW4131" s="32" t="s">
        <v>160</v>
      </c>
      <c r="AX4131" s="32">
        <v>3</v>
      </c>
      <c r="AZ4131" s="32" t="s">
        <v>141</v>
      </c>
      <c r="BE4131" s="32" t="s">
        <v>3659</v>
      </c>
      <c r="BP4131" s="397"/>
      <c r="BQ4131" s="397"/>
      <c r="BU4131" s="397"/>
      <c r="BV4131" s="397"/>
      <c r="BZ4131" s="397"/>
      <c r="CA4131" s="397"/>
      <c r="CE4131" s="550"/>
      <c r="CF4131" s="550"/>
      <c r="CG4131" s="550"/>
      <c r="CH4131" s="550"/>
      <c r="GU4131" s="32">
        <v>31.3</v>
      </c>
      <c r="GV4131" s="32">
        <v>82.5</v>
      </c>
      <c r="GW4131" s="32">
        <f>32.12-GU4131</f>
        <v>0.81999999999999673</v>
      </c>
      <c r="GX4131" s="32">
        <f>85.8-GV4131</f>
        <v>3.2999999999999972</v>
      </c>
      <c r="GY4131" s="32" t="s">
        <v>3663</v>
      </c>
      <c r="JB4131" s="32" t="s">
        <v>3661</v>
      </c>
      <c r="JD4131" s="243"/>
    </row>
    <row r="4132" spans="1:264" s="32" customFormat="1" x14ac:dyDescent="0.25">
      <c r="A4132" s="32">
        <v>182</v>
      </c>
      <c r="B4132" s="44" t="s">
        <v>3656</v>
      </c>
      <c r="C4132" s="32" t="s">
        <v>3650</v>
      </c>
      <c r="D4132" s="32" t="s">
        <v>3651</v>
      </c>
      <c r="E4132" s="32">
        <v>2016</v>
      </c>
      <c r="F4132" s="32">
        <v>2012</v>
      </c>
      <c r="G4132" s="32" t="s">
        <v>3653</v>
      </c>
      <c r="H4132" s="32" t="s">
        <v>3652</v>
      </c>
      <c r="I4132" s="32" t="s">
        <v>3461</v>
      </c>
      <c r="J4132" s="32">
        <f t="shared" si="542"/>
        <v>29.866666666666667</v>
      </c>
      <c r="K4132" s="32">
        <f t="shared" si="543"/>
        <v>112.91666666666667</v>
      </c>
      <c r="L4132" s="32">
        <v>25.8</v>
      </c>
      <c r="M4132" s="32">
        <f t="shared" si="544"/>
        <v>18.606666666666666</v>
      </c>
      <c r="N4132" s="32">
        <f t="shared" si="545"/>
        <v>18.350000000000001</v>
      </c>
      <c r="O4132" s="32">
        <f t="shared" si="546"/>
        <v>1414.1499999999999</v>
      </c>
      <c r="P4132" s="32">
        <v>1232</v>
      </c>
      <c r="R4132" s="44" t="s">
        <v>1977</v>
      </c>
      <c r="S4132" s="44" t="s">
        <v>1977</v>
      </c>
      <c r="T4132" s="44"/>
      <c r="U4132" s="44" t="s">
        <v>1849</v>
      </c>
      <c r="V4132" s="44"/>
      <c r="W4132" s="44"/>
      <c r="X4132" s="44"/>
      <c r="Y4132" s="44"/>
      <c r="Z4132" s="32">
        <v>1.18</v>
      </c>
      <c r="AA4132" s="323"/>
      <c r="AB4132" s="323"/>
      <c r="AC4132" s="32" t="s">
        <v>796</v>
      </c>
      <c r="AD4132" s="32">
        <v>6.2</v>
      </c>
      <c r="AE4132" s="32">
        <v>5.2</v>
      </c>
      <c r="AG4132" s="32" t="s">
        <v>3654</v>
      </c>
      <c r="AH4132" s="32" t="s">
        <v>115</v>
      </c>
      <c r="AI4132" s="32" t="s">
        <v>1581</v>
      </c>
      <c r="AJ4132" s="32" t="s">
        <v>1128</v>
      </c>
      <c r="AK4132" s="32" t="s">
        <v>1646</v>
      </c>
      <c r="AW4132" s="32" t="s">
        <v>160</v>
      </c>
      <c r="AX4132" s="32">
        <v>3</v>
      </c>
      <c r="AZ4132" s="32" t="s">
        <v>141</v>
      </c>
      <c r="BE4132" s="32" t="s">
        <v>3659</v>
      </c>
      <c r="BP4132" s="397"/>
      <c r="BQ4132" s="397"/>
      <c r="BU4132" s="397"/>
      <c r="BV4132" s="397"/>
      <c r="BZ4132" s="397"/>
      <c r="CA4132" s="397"/>
      <c r="CE4132" s="550"/>
      <c r="CF4132" s="550"/>
      <c r="CG4132" s="550"/>
      <c r="CH4132" s="550"/>
      <c r="GU4132" s="32">
        <v>31.3</v>
      </c>
      <c r="GV4132" s="32">
        <v>84.4</v>
      </c>
      <c r="GW4132" s="32">
        <f>32.12-GU4132</f>
        <v>0.81999999999999673</v>
      </c>
      <c r="GX4132" s="32">
        <f>86.06-GV4132</f>
        <v>1.6599999999999966</v>
      </c>
      <c r="GY4132" s="32" t="s">
        <v>3663</v>
      </c>
      <c r="JB4132" s="32" t="s">
        <v>3661</v>
      </c>
      <c r="JD4132" s="243"/>
    </row>
    <row r="4133" spans="1:264" s="24" customFormat="1" x14ac:dyDescent="0.25">
      <c r="A4133" s="24">
        <v>182</v>
      </c>
      <c r="B4133" s="42" t="s">
        <v>3655</v>
      </c>
      <c r="C4133" s="24" t="s">
        <v>3650</v>
      </c>
      <c r="D4133" s="24" t="s">
        <v>3651</v>
      </c>
      <c r="E4133" s="24">
        <v>2016</v>
      </c>
      <c r="F4133" s="24">
        <v>2012</v>
      </c>
      <c r="G4133" s="24" t="s">
        <v>3653</v>
      </c>
      <c r="H4133" s="24" t="s">
        <v>3652</v>
      </c>
      <c r="I4133" s="24" t="s">
        <v>3461</v>
      </c>
      <c r="J4133" s="24">
        <f t="shared" si="542"/>
        <v>29.866666666666667</v>
      </c>
      <c r="K4133" s="24">
        <f t="shared" si="543"/>
        <v>112.91666666666667</v>
      </c>
      <c r="L4133" s="24">
        <v>25.8</v>
      </c>
      <c r="M4133" s="24">
        <f t="shared" si="544"/>
        <v>18.606666666666666</v>
      </c>
      <c r="N4133" s="24">
        <f t="shared" si="545"/>
        <v>18.350000000000001</v>
      </c>
      <c r="O4133" s="24">
        <f t="shared" si="546"/>
        <v>1414.1499999999999</v>
      </c>
      <c r="P4133" s="24">
        <v>1232</v>
      </c>
      <c r="R4133" s="42" t="s">
        <v>1977</v>
      </c>
      <c r="S4133" s="42" t="s">
        <v>1977</v>
      </c>
      <c r="T4133" s="42"/>
      <c r="U4133" s="42" t="s">
        <v>1849</v>
      </c>
      <c r="V4133" s="42"/>
      <c r="W4133" s="42"/>
      <c r="X4133" s="42"/>
      <c r="Y4133" s="42"/>
      <c r="Z4133" s="24">
        <v>1.18</v>
      </c>
      <c r="AA4133" s="321"/>
      <c r="AB4133" s="321"/>
      <c r="AC4133" s="24" t="s">
        <v>796</v>
      </c>
      <c r="AD4133" s="24">
        <v>6.2</v>
      </c>
      <c r="AE4133" s="24">
        <v>5.2</v>
      </c>
      <c r="AG4133" s="24" t="s">
        <v>3654</v>
      </c>
      <c r="AH4133" s="24" t="s">
        <v>3657</v>
      </c>
      <c r="AI4133" s="24" t="s">
        <v>577</v>
      </c>
      <c r="AJ4133" s="24" t="s">
        <v>1128</v>
      </c>
      <c r="AK4133" s="24" t="s">
        <v>1646</v>
      </c>
      <c r="AW4133" s="24" t="s">
        <v>160</v>
      </c>
      <c r="AX4133" s="24">
        <v>3</v>
      </c>
      <c r="AZ4133" s="24" t="s">
        <v>141</v>
      </c>
      <c r="BE4133" s="24" t="s">
        <v>3660</v>
      </c>
      <c r="BP4133" s="395"/>
      <c r="BQ4133" s="395"/>
      <c r="BU4133" s="395"/>
      <c r="BV4133" s="395"/>
      <c r="BZ4133" s="395"/>
      <c r="CA4133" s="395"/>
      <c r="CE4133" s="548"/>
      <c r="CF4133" s="548"/>
      <c r="CG4133" s="548"/>
      <c r="CH4133" s="548"/>
      <c r="GU4133" s="24">
        <v>35.340000000000003</v>
      </c>
      <c r="GV4133" s="24">
        <v>95.91</v>
      </c>
      <c r="GW4133" s="24">
        <f>40-GU4133</f>
        <v>4.6599999999999966</v>
      </c>
      <c r="GX4133" s="24">
        <f>101-GV4133</f>
        <v>5.0900000000000034</v>
      </c>
      <c r="GY4133" s="24" t="s">
        <v>3663</v>
      </c>
      <c r="JB4133" s="24" t="s">
        <v>3661</v>
      </c>
      <c r="JD4133" s="249"/>
    </row>
    <row r="4134" spans="1:264" s="24" customFormat="1" x14ac:dyDescent="0.25">
      <c r="A4134" s="24">
        <v>182</v>
      </c>
      <c r="B4134" s="42" t="s">
        <v>3656</v>
      </c>
      <c r="C4134" s="24" t="s">
        <v>3650</v>
      </c>
      <c r="D4134" s="24" t="s">
        <v>3651</v>
      </c>
      <c r="E4134" s="24">
        <v>2016</v>
      </c>
      <c r="F4134" s="24">
        <v>2012</v>
      </c>
      <c r="G4134" s="24" t="s">
        <v>3653</v>
      </c>
      <c r="H4134" s="24" t="s">
        <v>3652</v>
      </c>
      <c r="I4134" s="24" t="s">
        <v>3461</v>
      </c>
      <c r="J4134" s="24">
        <f t="shared" si="542"/>
        <v>29.866666666666667</v>
      </c>
      <c r="K4134" s="24">
        <f t="shared" si="543"/>
        <v>112.91666666666667</v>
      </c>
      <c r="L4134" s="24">
        <v>25.8</v>
      </c>
      <c r="M4134" s="24">
        <f t="shared" si="544"/>
        <v>18.606666666666666</v>
      </c>
      <c r="N4134" s="24">
        <f t="shared" si="545"/>
        <v>18.350000000000001</v>
      </c>
      <c r="O4134" s="24">
        <f t="shared" si="546"/>
        <v>1414.1499999999999</v>
      </c>
      <c r="P4134" s="24">
        <v>1232</v>
      </c>
      <c r="R4134" s="42" t="s">
        <v>1977</v>
      </c>
      <c r="S4134" s="42" t="s">
        <v>1977</v>
      </c>
      <c r="T4134" s="42"/>
      <c r="U4134" s="42" t="s">
        <v>1849</v>
      </c>
      <c r="V4134" s="42"/>
      <c r="W4134" s="42"/>
      <c r="X4134" s="42"/>
      <c r="Y4134" s="42"/>
      <c r="Z4134" s="24">
        <v>1.18</v>
      </c>
      <c r="AA4134" s="321"/>
      <c r="AB4134" s="321"/>
      <c r="AC4134" s="24" t="s">
        <v>796</v>
      </c>
      <c r="AD4134" s="24">
        <v>6.2</v>
      </c>
      <c r="AE4134" s="24">
        <v>5.2</v>
      </c>
      <c r="AG4134" s="24" t="s">
        <v>3654</v>
      </c>
      <c r="AH4134" s="24" t="s">
        <v>115</v>
      </c>
      <c r="AI4134" s="24" t="s">
        <v>1581</v>
      </c>
      <c r="AJ4134" s="24" t="s">
        <v>1128</v>
      </c>
      <c r="AK4134" s="24" t="s">
        <v>1646</v>
      </c>
      <c r="AW4134" s="24" t="s">
        <v>160</v>
      </c>
      <c r="AX4134" s="24">
        <v>3</v>
      </c>
      <c r="AZ4134" s="24" t="s">
        <v>141</v>
      </c>
      <c r="BE4134" s="24" t="s">
        <v>3660</v>
      </c>
      <c r="BP4134" s="395"/>
      <c r="BQ4134" s="395"/>
      <c r="BU4134" s="395"/>
      <c r="BV4134" s="395"/>
      <c r="BZ4134" s="395"/>
      <c r="CA4134" s="395"/>
      <c r="CE4134" s="548"/>
      <c r="CF4134" s="548"/>
      <c r="CG4134" s="548"/>
      <c r="CH4134" s="548"/>
      <c r="GU4134" s="24">
        <v>35.340000000000003</v>
      </c>
      <c r="GV4134" s="24">
        <v>91.19</v>
      </c>
      <c r="GW4134" s="24">
        <f>40-GU4134</f>
        <v>4.6599999999999966</v>
      </c>
      <c r="GX4134" s="24">
        <f>92-GV4134</f>
        <v>0.81000000000000227</v>
      </c>
      <c r="GY4134" s="24" t="s">
        <v>3663</v>
      </c>
      <c r="JB4134" s="24" t="s">
        <v>3661</v>
      </c>
      <c r="JD4134" s="249"/>
    </row>
    <row r="4135" spans="1:264" s="517" customFormat="1" x14ac:dyDescent="0.25">
      <c r="A4135" s="517">
        <v>182</v>
      </c>
      <c r="B4135" s="518" t="s">
        <v>3664</v>
      </c>
      <c r="C4135" s="517" t="s">
        <v>3650</v>
      </c>
      <c r="D4135" s="517" t="s">
        <v>3651</v>
      </c>
      <c r="E4135" s="517">
        <v>2016</v>
      </c>
      <c r="F4135" s="517">
        <v>2012</v>
      </c>
      <c r="G4135" s="517" t="s">
        <v>3653</v>
      </c>
      <c r="H4135" s="517" t="s">
        <v>3652</v>
      </c>
      <c r="I4135" s="517" t="s">
        <v>3461</v>
      </c>
      <c r="J4135" s="517">
        <f t="shared" si="542"/>
        <v>29.866666666666667</v>
      </c>
      <c r="K4135" s="517">
        <f t="shared" si="543"/>
        <v>112.91666666666667</v>
      </c>
      <c r="L4135" s="517">
        <v>25.8</v>
      </c>
      <c r="M4135" s="517">
        <f t="shared" si="544"/>
        <v>18.606666666666666</v>
      </c>
      <c r="N4135" s="517">
        <f t="shared" si="545"/>
        <v>18.350000000000001</v>
      </c>
      <c r="O4135" s="517">
        <f t="shared" si="546"/>
        <v>1414.1499999999999</v>
      </c>
      <c r="P4135" s="517">
        <v>1232</v>
      </c>
      <c r="R4135" s="518" t="s">
        <v>1977</v>
      </c>
      <c r="S4135" s="518" t="s">
        <v>1977</v>
      </c>
      <c r="T4135" s="518"/>
      <c r="U4135" s="518" t="s">
        <v>1849</v>
      </c>
      <c r="V4135" s="518"/>
      <c r="W4135" s="518"/>
      <c r="X4135" s="518"/>
      <c r="Y4135" s="518"/>
      <c r="Z4135" s="517">
        <v>1.18</v>
      </c>
      <c r="AA4135" s="519"/>
      <c r="AB4135" s="519"/>
      <c r="AC4135" s="517" t="s">
        <v>796</v>
      </c>
      <c r="AD4135" s="517">
        <v>6.2</v>
      </c>
      <c r="AE4135" s="517">
        <v>5.2</v>
      </c>
      <c r="AG4135" s="517" t="s">
        <v>3654</v>
      </c>
      <c r="AH4135" s="517" t="s">
        <v>3657</v>
      </c>
      <c r="AI4135" s="517" t="s">
        <v>577</v>
      </c>
      <c r="AJ4135" s="517" t="s">
        <v>1128</v>
      </c>
      <c r="AK4135" s="517" t="s">
        <v>1646</v>
      </c>
      <c r="AW4135" s="517" t="s">
        <v>160</v>
      </c>
      <c r="AX4135" s="517">
        <v>3</v>
      </c>
      <c r="AZ4135" s="517" t="s">
        <v>141</v>
      </c>
      <c r="BE4135" s="517" t="s">
        <v>3658</v>
      </c>
      <c r="BP4135" s="520"/>
      <c r="BQ4135" s="520"/>
      <c r="BU4135" s="520"/>
      <c r="BV4135" s="520"/>
      <c r="BZ4135" s="520"/>
      <c r="CA4135" s="520"/>
      <c r="CE4135" s="608"/>
      <c r="CF4135" s="608"/>
      <c r="CG4135" s="608"/>
      <c r="CH4135" s="608"/>
      <c r="GU4135" s="517">
        <v>37.08</v>
      </c>
      <c r="GV4135" s="517">
        <v>94.46</v>
      </c>
      <c r="GW4135" s="517">
        <f>42.24-GU4135</f>
        <v>5.1600000000000037</v>
      </c>
      <c r="GX4135" s="517">
        <f>98.64-GV4135</f>
        <v>4.1800000000000068</v>
      </c>
      <c r="GY4135" s="517" t="s">
        <v>3663</v>
      </c>
      <c r="JB4135" s="517" t="s">
        <v>3662</v>
      </c>
      <c r="JD4135" s="521"/>
    </row>
    <row r="4136" spans="1:264" s="517" customFormat="1" x14ac:dyDescent="0.25">
      <c r="A4136" s="517">
        <v>182</v>
      </c>
      <c r="B4136" s="518" t="s">
        <v>3665</v>
      </c>
      <c r="C4136" s="517" t="s">
        <v>3650</v>
      </c>
      <c r="D4136" s="517" t="s">
        <v>3651</v>
      </c>
      <c r="E4136" s="517">
        <v>2016</v>
      </c>
      <c r="F4136" s="517">
        <v>2012</v>
      </c>
      <c r="G4136" s="517" t="s">
        <v>3653</v>
      </c>
      <c r="H4136" s="517" t="s">
        <v>3652</v>
      </c>
      <c r="I4136" s="517" t="s">
        <v>3461</v>
      </c>
      <c r="J4136" s="517">
        <f t="shared" si="542"/>
        <v>29.866666666666667</v>
      </c>
      <c r="K4136" s="517">
        <f t="shared" si="543"/>
        <v>112.91666666666667</v>
      </c>
      <c r="L4136" s="517">
        <v>25.8</v>
      </c>
      <c r="M4136" s="517">
        <f t="shared" si="544"/>
        <v>18.606666666666666</v>
      </c>
      <c r="N4136" s="517">
        <f t="shared" si="545"/>
        <v>18.350000000000001</v>
      </c>
      <c r="O4136" s="517">
        <f t="shared" si="546"/>
        <v>1414.1499999999999</v>
      </c>
      <c r="P4136" s="517">
        <v>1232</v>
      </c>
      <c r="R4136" s="518" t="s">
        <v>1977</v>
      </c>
      <c r="S4136" s="518" t="s">
        <v>1977</v>
      </c>
      <c r="T4136" s="518"/>
      <c r="U4136" s="518" t="s">
        <v>1849</v>
      </c>
      <c r="V4136" s="518"/>
      <c r="W4136" s="518"/>
      <c r="X4136" s="518"/>
      <c r="Y4136" s="518"/>
      <c r="Z4136" s="517">
        <v>1.18</v>
      </c>
      <c r="AA4136" s="519"/>
      <c r="AB4136" s="519"/>
      <c r="AC4136" s="517" t="s">
        <v>796</v>
      </c>
      <c r="AD4136" s="517">
        <v>6.2</v>
      </c>
      <c r="AE4136" s="517">
        <v>5.2</v>
      </c>
      <c r="AG4136" s="517" t="s">
        <v>3654</v>
      </c>
      <c r="AH4136" s="517" t="s">
        <v>115</v>
      </c>
      <c r="AI4136" s="517" t="s">
        <v>1581</v>
      </c>
      <c r="AJ4136" s="517" t="s">
        <v>1128</v>
      </c>
      <c r="AK4136" s="517" t="s">
        <v>1646</v>
      </c>
      <c r="AW4136" s="517" t="s">
        <v>160</v>
      </c>
      <c r="AX4136" s="517">
        <v>3</v>
      </c>
      <c r="AZ4136" s="517" t="s">
        <v>141</v>
      </c>
      <c r="BE4136" s="517" t="s">
        <v>3658</v>
      </c>
      <c r="BP4136" s="520"/>
      <c r="BQ4136" s="520"/>
      <c r="BU4136" s="520"/>
      <c r="BV4136" s="520"/>
      <c r="BZ4136" s="520"/>
      <c r="CA4136" s="520"/>
      <c r="CE4136" s="608"/>
      <c r="CF4136" s="608"/>
      <c r="CG4136" s="608"/>
      <c r="CH4136" s="608"/>
      <c r="GU4136" s="517">
        <v>37.08</v>
      </c>
      <c r="GV4136" s="517">
        <v>89.26</v>
      </c>
      <c r="GW4136" s="517">
        <f>42.24-GU4136</f>
        <v>5.1600000000000037</v>
      </c>
      <c r="GX4136" s="517">
        <f>90.24-GV4136</f>
        <v>0.97999999999998977</v>
      </c>
      <c r="GY4136" s="517" t="s">
        <v>3663</v>
      </c>
      <c r="JB4136" s="517" t="s">
        <v>3662</v>
      </c>
      <c r="JD4136" s="521"/>
    </row>
    <row r="4137" spans="1:264" s="32" customFormat="1" x14ac:dyDescent="0.25">
      <c r="A4137" s="32">
        <v>182</v>
      </c>
      <c r="B4137" s="44" t="s">
        <v>3664</v>
      </c>
      <c r="C4137" s="32" t="s">
        <v>3650</v>
      </c>
      <c r="D4137" s="32" t="s">
        <v>3651</v>
      </c>
      <c r="E4137" s="32">
        <v>2016</v>
      </c>
      <c r="F4137" s="32">
        <v>2012</v>
      </c>
      <c r="G4137" s="32" t="s">
        <v>3653</v>
      </c>
      <c r="H4137" s="32" t="s">
        <v>3652</v>
      </c>
      <c r="I4137" s="32" t="s">
        <v>3461</v>
      </c>
      <c r="J4137" s="32">
        <f t="shared" si="542"/>
        <v>29.866666666666667</v>
      </c>
      <c r="K4137" s="32">
        <f t="shared" si="543"/>
        <v>112.91666666666667</v>
      </c>
      <c r="L4137" s="32">
        <v>25.8</v>
      </c>
      <c r="M4137" s="32">
        <f t="shared" si="544"/>
        <v>18.606666666666666</v>
      </c>
      <c r="N4137" s="32">
        <f t="shared" si="545"/>
        <v>18.350000000000001</v>
      </c>
      <c r="O4137" s="32">
        <f t="shared" si="546"/>
        <v>1414.1499999999999</v>
      </c>
      <c r="P4137" s="32">
        <v>1232</v>
      </c>
      <c r="R4137" s="44" t="s">
        <v>1977</v>
      </c>
      <c r="S4137" s="44" t="s">
        <v>1977</v>
      </c>
      <c r="T4137" s="44"/>
      <c r="U4137" s="44" t="s">
        <v>1849</v>
      </c>
      <c r="V4137" s="44"/>
      <c r="W4137" s="44"/>
      <c r="X4137" s="44"/>
      <c r="Y4137" s="44"/>
      <c r="Z4137" s="32">
        <v>1.18</v>
      </c>
      <c r="AA4137" s="323"/>
      <c r="AB4137" s="323"/>
      <c r="AC4137" s="32" t="s">
        <v>796</v>
      </c>
      <c r="AD4137" s="32">
        <v>6.2</v>
      </c>
      <c r="AE4137" s="32">
        <v>5.2</v>
      </c>
      <c r="AG4137" s="32" t="s">
        <v>3654</v>
      </c>
      <c r="AH4137" s="32" t="s">
        <v>3657</v>
      </c>
      <c r="AI4137" s="32" t="s">
        <v>577</v>
      </c>
      <c r="AJ4137" s="32" t="s">
        <v>1128</v>
      </c>
      <c r="AK4137" s="32" t="s">
        <v>1646</v>
      </c>
      <c r="AW4137" s="32" t="s">
        <v>160</v>
      </c>
      <c r="AX4137" s="32">
        <v>3</v>
      </c>
      <c r="AZ4137" s="32" t="s">
        <v>141</v>
      </c>
      <c r="BE4137" s="32" t="s">
        <v>3659</v>
      </c>
      <c r="BP4137" s="397"/>
      <c r="BQ4137" s="397"/>
      <c r="BU4137" s="397"/>
      <c r="BV4137" s="397"/>
      <c r="BZ4137" s="397"/>
      <c r="CA4137" s="397"/>
      <c r="CE4137" s="550"/>
      <c r="CF4137" s="550"/>
      <c r="CG4137" s="550"/>
      <c r="CH4137" s="550"/>
      <c r="GU4137" s="32">
        <v>31.49</v>
      </c>
      <c r="GV4137" s="32">
        <v>80.16</v>
      </c>
      <c r="GW4137" s="32">
        <f>35.35-GU4137</f>
        <v>3.860000000000003</v>
      </c>
      <c r="GX4137" s="32">
        <f>84.34-GV4137</f>
        <v>4.1800000000000068</v>
      </c>
      <c r="GY4137" s="32" t="s">
        <v>3663</v>
      </c>
      <c r="JB4137" s="32" t="s">
        <v>3662</v>
      </c>
      <c r="JD4137" s="243"/>
    </row>
    <row r="4138" spans="1:264" s="32" customFormat="1" x14ac:dyDescent="0.25">
      <c r="A4138" s="32">
        <v>182</v>
      </c>
      <c r="B4138" s="44" t="s">
        <v>3665</v>
      </c>
      <c r="C4138" s="32" t="s">
        <v>3650</v>
      </c>
      <c r="D4138" s="32" t="s">
        <v>3651</v>
      </c>
      <c r="E4138" s="32">
        <v>2016</v>
      </c>
      <c r="F4138" s="32">
        <v>2012</v>
      </c>
      <c r="G4138" s="32" t="s">
        <v>3653</v>
      </c>
      <c r="H4138" s="32" t="s">
        <v>3652</v>
      </c>
      <c r="I4138" s="32" t="s">
        <v>3461</v>
      </c>
      <c r="J4138" s="32">
        <f t="shared" si="542"/>
        <v>29.866666666666667</v>
      </c>
      <c r="K4138" s="32">
        <f t="shared" si="543"/>
        <v>112.91666666666667</v>
      </c>
      <c r="L4138" s="32">
        <v>25.8</v>
      </c>
      <c r="M4138" s="32">
        <f t="shared" si="544"/>
        <v>18.606666666666666</v>
      </c>
      <c r="N4138" s="32">
        <f t="shared" si="545"/>
        <v>18.350000000000001</v>
      </c>
      <c r="O4138" s="32">
        <f t="shared" si="546"/>
        <v>1414.1499999999999</v>
      </c>
      <c r="P4138" s="32">
        <v>1232</v>
      </c>
      <c r="R4138" s="44" t="s">
        <v>1977</v>
      </c>
      <c r="S4138" s="44" t="s">
        <v>1977</v>
      </c>
      <c r="T4138" s="44"/>
      <c r="U4138" s="44" t="s">
        <v>1849</v>
      </c>
      <c r="V4138" s="44"/>
      <c r="W4138" s="44"/>
      <c r="X4138" s="44"/>
      <c r="Y4138" s="44"/>
      <c r="Z4138" s="32">
        <v>1.18</v>
      </c>
      <c r="AA4138" s="323"/>
      <c r="AB4138" s="323"/>
      <c r="AC4138" s="32" t="s">
        <v>796</v>
      </c>
      <c r="AD4138" s="32">
        <v>6.2</v>
      </c>
      <c r="AE4138" s="32">
        <v>5.2</v>
      </c>
      <c r="AG4138" s="32" t="s">
        <v>3654</v>
      </c>
      <c r="AH4138" s="32" t="s">
        <v>115</v>
      </c>
      <c r="AI4138" s="32" t="s">
        <v>1581</v>
      </c>
      <c r="AJ4138" s="32" t="s">
        <v>1128</v>
      </c>
      <c r="AK4138" s="32" t="s">
        <v>1646</v>
      </c>
      <c r="AW4138" s="32" t="s">
        <v>160</v>
      </c>
      <c r="AX4138" s="32">
        <v>3</v>
      </c>
      <c r="AZ4138" s="32" t="s">
        <v>141</v>
      </c>
      <c r="BE4138" s="32" t="s">
        <v>3659</v>
      </c>
      <c r="BP4138" s="397"/>
      <c r="BQ4138" s="397"/>
      <c r="BU4138" s="397"/>
      <c r="BV4138" s="397"/>
      <c r="BZ4138" s="397"/>
      <c r="CA4138" s="397"/>
      <c r="CE4138" s="550"/>
      <c r="CF4138" s="550"/>
      <c r="CG4138" s="550"/>
      <c r="CH4138" s="550"/>
      <c r="GU4138" s="32">
        <v>31.49</v>
      </c>
      <c r="GV4138" s="32">
        <v>74.959999999999994</v>
      </c>
      <c r="GW4138" s="32">
        <f>35.35-GU4138</f>
        <v>3.860000000000003</v>
      </c>
      <c r="GX4138" s="32">
        <f>76.26-GV4138</f>
        <v>1.3000000000000114</v>
      </c>
      <c r="GY4138" s="32" t="s">
        <v>3663</v>
      </c>
      <c r="JB4138" s="32" t="s">
        <v>3662</v>
      </c>
      <c r="JD4138" s="243"/>
    </row>
    <row r="4139" spans="1:264" s="24" customFormat="1" x14ac:dyDescent="0.25">
      <c r="A4139" s="24">
        <v>182</v>
      </c>
      <c r="B4139" s="42" t="s">
        <v>3664</v>
      </c>
      <c r="C4139" s="24" t="s">
        <v>3650</v>
      </c>
      <c r="D4139" s="24" t="s">
        <v>3651</v>
      </c>
      <c r="E4139" s="24">
        <v>2016</v>
      </c>
      <c r="F4139" s="24">
        <v>2012</v>
      </c>
      <c r="G4139" s="24" t="s">
        <v>3653</v>
      </c>
      <c r="H4139" s="24" t="s">
        <v>3652</v>
      </c>
      <c r="I4139" s="24" t="s">
        <v>3461</v>
      </c>
      <c r="J4139" s="24">
        <f t="shared" si="542"/>
        <v>29.866666666666667</v>
      </c>
      <c r="K4139" s="24">
        <f t="shared" si="543"/>
        <v>112.91666666666667</v>
      </c>
      <c r="L4139" s="24">
        <v>25.8</v>
      </c>
      <c r="M4139" s="24">
        <f t="shared" si="544"/>
        <v>18.606666666666666</v>
      </c>
      <c r="N4139" s="24">
        <f t="shared" si="545"/>
        <v>18.350000000000001</v>
      </c>
      <c r="O4139" s="24">
        <f t="shared" si="546"/>
        <v>1414.1499999999999</v>
      </c>
      <c r="P4139" s="24">
        <v>1232</v>
      </c>
      <c r="R4139" s="42" t="s">
        <v>1977</v>
      </c>
      <c r="S4139" s="42" t="s">
        <v>1977</v>
      </c>
      <c r="T4139" s="42"/>
      <c r="U4139" s="42" t="s">
        <v>1849</v>
      </c>
      <c r="V4139" s="42"/>
      <c r="W4139" s="42"/>
      <c r="X4139" s="42"/>
      <c r="Y4139" s="42"/>
      <c r="Z4139" s="24">
        <v>1.18</v>
      </c>
      <c r="AA4139" s="321"/>
      <c r="AB4139" s="321"/>
      <c r="AC4139" s="24" t="s">
        <v>796</v>
      </c>
      <c r="AD4139" s="24">
        <v>6.2</v>
      </c>
      <c r="AE4139" s="24">
        <v>5.2</v>
      </c>
      <c r="AG4139" s="24" t="s">
        <v>3654</v>
      </c>
      <c r="AH4139" s="24" t="s">
        <v>3657</v>
      </c>
      <c r="AI4139" s="24" t="s">
        <v>577</v>
      </c>
      <c r="AJ4139" s="24" t="s">
        <v>1128</v>
      </c>
      <c r="AK4139" s="24" t="s">
        <v>1646</v>
      </c>
      <c r="AW4139" s="24" t="s">
        <v>160</v>
      </c>
      <c r="AX4139" s="24">
        <v>3</v>
      </c>
      <c r="AZ4139" s="24" t="s">
        <v>141</v>
      </c>
      <c r="BE4139" s="24" t="s">
        <v>3660</v>
      </c>
      <c r="BP4139" s="395"/>
      <c r="BQ4139" s="395"/>
      <c r="BU4139" s="395"/>
      <c r="BV4139" s="395"/>
      <c r="BZ4139" s="395"/>
      <c r="CA4139" s="395"/>
      <c r="CE4139" s="548"/>
      <c r="CF4139" s="548"/>
      <c r="CG4139" s="548"/>
      <c r="CH4139" s="548"/>
      <c r="GU4139" s="24">
        <v>41.06</v>
      </c>
      <c r="GV4139" s="24">
        <v>102.63</v>
      </c>
      <c r="GW4139" s="24">
        <f>45.24-GU4139</f>
        <v>4.18</v>
      </c>
      <c r="GX4139" s="24">
        <f>107.78-GV4139</f>
        <v>5.1500000000000057</v>
      </c>
      <c r="GY4139" s="24" t="s">
        <v>3663</v>
      </c>
      <c r="JB4139" s="24" t="s">
        <v>3662</v>
      </c>
      <c r="JD4139" s="249"/>
    </row>
    <row r="4140" spans="1:264" s="24" customFormat="1" x14ac:dyDescent="0.25">
      <c r="A4140" s="24">
        <v>182</v>
      </c>
      <c r="B4140" s="42" t="s">
        <v>3665</v>
      </c>
      <c r="C4140" s="24" t="s">
        <v>3650</v>
      </c>
      <c r="D4140" s="24" t="s">
        <v>3651</v>
      </c>
      <c r="E4140" s="24">
        <v>2016</v>
      </c>
      <c r="F4140" s="24">
        <v>2012</v>
      </c>
      <c r="G4140" s="24" t="s">
        <v>3653</v>
      </c>
      <c r="H4140" s="24" t="s">
        <v>3652</v>
      </c>
      <c r="I4140" s="24" t="s">
        <v>3461</v>
      </c>
      <c r="J4140" s="24">
        <f t="shared" si="542"/>
        <v>29.866666666666667</v>
      </c>
      <c r="K4140" s="24">
        <f t="shared" si="543"/>
        <v>112.91666666666667</v>
      </c>
      <c r="L4140" s="24">
        <v>25.8</v>
      </c>
      <c r="M4140" s="24">
        <f t="shared" si="544"/>
        <v>18.606666666666666</v>
      </c>
      <c r="N4140" s="24">
        <f t="shared" si="545"/>
        <v>18.350000000000001</v>
      </c>
      <c r="O4140" s="24">
        <f t="shared" si="546"/>
        <v>1414.1499999999999</v>
      </c>
      <c r="P4140" s="24">
        <v>1232</v>
      </c>
      <c r="R4140" s="42" t="s">
        <v>1977</v>
      </c>
      <c r="S4140" s="42" t="s">
        <v>1977</v>
      </c>
      <c r="T4140" s="42"/>
      <c r="U4140" s="42" t="s">
        <v>1849</v>
      </c>
      <c r="V4140" s="42"/>
      <c r="W4140" s="42"/>
      <c r="X4140" s="42"/>
      <c r="Y4140" s="42"/>
      <c r="Z4140" s="24">
        <v>1.18</v>
      </c>
      <c r="AA4140" s="321"/>
      <c r="AB4140" s="321"/>
      <c r="AC4140" s="24" t="s">
        <v>796</v>
      </c>
      <c r="AD4140" s="24">
        <v>6.2</v>
      </c>
      <c r="AE4140" s="24">
        <v>5.2</v>
      </c>
      <c r="AG4140" s="24" t="s">
        <v>3654</v>
      </c>
      <c r="AH4140" s="24" t="s">
        <v>115</v>
      </c>
      <c r="AI4140" s="24" t="s">
        <v>1581</v>
      </c>
      <c r="AJ4140" s="24" t="s">
        <v>1128</v>
      </c>
      <c r="AK4140" s="24" t="s">
        <v>1646</v>
      </c>
      <c r="AW4140" s="24" t="s">
        <v>160</v>
      </c>
      <c r="AX4140" s="24">
        <v>3</v>
      </c>
      <c r="AZ4140" s="24" t="s">
        <v>141</v>
      </c>
      <c r="BE4140" s="24" t="s">
        <v>3660</v>
      </c>
      <c r="BP4140" s="395"/>
      <c r="BQ4140" s="395"/>
      <c r="BU4140" s="395"/>
      <c r="BV4140" s="395"/>
      <c r="BZ4140" s="395"/>
      <c r="CA4140" s="395"/>
      <c r="CE4140" s="548"/>
      <c r="CF4140" s="548"/>
      <c r="CG4140" s="548"/>
      <c r="CH4140" s="548"/>
      <c r="GU4140" s="24">
        <v>41.06</v>
      </c>
      <c r="GV4140" s="24">
        <v>96.78</v>
      </c>
      <c r="GW4140" s="24">
        <f>45.24-GU4140</f>
        <v>4.18</v>
      </c>
      <c r="GX4140" s="24">
        <v>0.81</v>
      </c>
      <c r="GY4140" s="24" t="s">
        <v>3663</v>
      </c>
      <c r="JB4140" s="24" t="s">
        <v>3662</v>
      </c>
      <c r="JD4140" s="249"/>
    </row>
    <row r="4141" spans="1:264" s="126" customFormat="1" x14ac:dyDescent="0.25">
      <c r="A4141" s="126">
        <v>183</v>
      </c>
      <c r="B4141" s="478" t="s">
        <v>3672</v>
      </c>
      <c r="C4141" s="126" t="s">
        <v>3666</v>
      </c>
      <c r="D4141" s="126" t="s">
        <v>3667</v>
      </c>
      <c r="E4141" s="126">
        <v>2011</v>
      </c>
      <c r="F4141" s="126">
        <v>2008</v>
      </c>
      <c r="G4141" s="126" t="s">
        <v>2738</v>
      </c>
      <c r="H4141" s="126" t="s">
        <v>3669</v>
      </c>
      <c r="I4141" s="126" t="s">
        <v>3461</v>
      </c>
      <c r="J4141" s="126">
        <f t="shared" ref="J4141:J4185" si="547">31+14/60</f>
        <v>31.233333333333334</v>
      </c>
      <c r="K4141" s="126">
        <f t="shared" ref="K4141:K4185" si="548">119+53/60</f>
        <v>119.88333333333334</v>
      </c>
      <c r="L4141" s="126">
        <v>6.9</v>
      </c>
      <c r="N4141" s="126">
        <v>15.7</v>
      </c>
      <c r="R4141" s="478" t="s">
        <v>1977</v>
      </c>
      <c r="S4141" s="478" t="s">
        <v>1847</v>
      </c>
      <c r="T4141" s="478"/>
      <c r="U4141" s="478" t="s">
        <v>3668</v>
      </c>
      <c r="V4141" s="478"/>
      <c r="W4141" s="478"/>
      <c r="X4141" s="478"/>
      <c r="Y4141" s="478"/>
      <c r="Z4141" s="126">
        <v>1.44</v>
      </c>
      <c r="AA4141" s="479"/>
      <c r="AB4141" s="479"/>
      <c r="AD4141" s="126">
        <v>5.6</v>
      </c>
      <c r="AE4141" s="126">
        <v>2.4900000000000002</v>
      </c>
      <c r="AG4141" s="126" t="s">
        <v>3670</v>
      </c>
      <c r="AH4141" s="126" t="s">
        <v>797</v>
      </c>
      <c r="AI4141" s="126" t="s">
        <v>1581</v>
      </c>
      <c r="AJ4141" s="126" t="s">
        <v>3553</v>
      </c>
      <c r="AK4141" s="126" t="s">
        <v>229</v>
      </c>
      <c r="AT4141" s="126" t="s">
        <v>3677</v>
      </c>
      <c r="AU4141" s="126" t="s">
        <v>3677</v>
      </c>
      <c r="AV4141" s="126" t="s">
        <v>177</v>
      </c>
      <c r="AW4141" s="126" t="s">
        <v>160</v>
      </c>
      <c r="AX4141" s="126">
        <v>4</v>
      </c>
      <c r="BB4141" s="126">
        <f>AVERAGE(BB4146,BB4150)</f>
        <v>1100</v>
      </c>
      <c r="BC4141" s="126">
        <f>AVERAGE(BC4146,BC4150)</f>
        <v>70.794871794871796</v>
      </c>
      <c r="BD4141" s="126" t="s">
        <v>3671</v>
      </c>
      <c r="BK4141" s="126">
        <f>1000*16.57</f>
        <v>16570</v>
      </c>
      <c r="BL4141" s="126">
        <f>1000*16.93</f>
        <v>16930</v>
      </c>
      <c r="BM4141" s="126">
        <f>(1000*17.58-BK4141)*2</f>
        <v>2020</v>
      </c>
      <c r="BN4141" s="126">
        <f>(1000*17.97-BL4141)*2</f>
        <v>2080</v>
      </c>
      <c r="BP4141" s="481"/>
      <c r="BQ4141" s="481"/>
      <c r="BU4141" s="481"/>
      <c r="BV4141" s="481"/>
      <c r="BZ4141" s="481"/>
      <c r="CA4141" s="481"/>
      <c r="CE4141" s="605"/>
      <c r="CF4141" s="605"/>
      <c r="CG4141" s="605"/>
      <c r="CH4141" s="605"/>
      <c r="JB4141" s="126" t="s">
        <v>3706</v>
      </c>
      <c r="JC4141" s="126" t="s">
        <v>3708</v>
      </c>
      <c r="JD4141" s="480"/>
    </row>
    <row r="4142" spans="1:264" s="126" customFormat="1" x14ac:dyDescent="0.25">
      <c r="A4142" s="126">
        <v>183</v>
      </c>
      <c r="B4142" s="478" t="s">
        <v>3673</v>
      </c>
      <c r="C4142" s="126" t="s">
        <v>3666</v>
      </c>
      <c r="D4142" s="126" t="s">
        <v>3667</v>
      </c>
      <c r="E4142" s="126">
        <v>2011</v>
      </c>
      <c r="F4142" s="126">
        <v>2008</v>
      </c>
      <c r="G4142" s="126" t="s">
        <v>2738</v>
      </c>
      <c r="H4142" s="126" t="s">
        <v>3669</v>
      </c>
      <c r="I4142" s="126" t="s">
        <v>3461</v>
      </c>
      <c r="J4142" s="126">
        <f t="shared" si="547"/>
        <v>31.233333333333334</v>
      </c>
      <c r="K4142" s="126">
        <f t="shared" si="548"/>
        <v>119.88333333333334</v>
      </c>
      <c r="L4142" s="126">
        <v>6.9</v>
      </c>
      <c r="N4142" s="126">
        <v>15.7</v>
      </c>
      <c r="R4142" s="478" t="s">
        <v>1977</v>
      </c>
      <c r="S4142" s="478" t="s">
        <v>1847</v>
      </c>
      <c r="T4142" s="478"/>
      <c r="U4142" s="478" t="s">
        <v>3668</v>
      </c>
      <c r="V4142" s="478"/>
      <c r="W4142" s="478"/>
      <c r="X4142" s="478"/>
      <c r="Y4142" s="478"/>
      <c r="Z4142" s="126">
        <v>1.44</v>
      </c>
      <c r="AA4142" s="479"/>
      <c r="AB4142" s="479"/>
      <c r="AD4142" s="126">
        <v>5.6</v>
      </c>
      <c r="AE4142" s="126">
        <v>2.4900000000000002</v>
      </c>
      <c r="AG4142" s="126" t="s">
        <v>3670</v>
      </c>
      <c r="AH4142" s="126" t="s">
        <v>797</v>
      </c>
      <c r="AI4142" s="126" t="s">
        <v>1581</v>
      </c>
      <c r="AJ4142" s="126" t="s">
        <v>3553</v>
      </c>
      <c r="AK4142" s="126" t="s">
        <v>229</v>
      </c>
      <c r="AT4142" s="126" t="s">
        <v>3678</v>
      </c>
      <c r="AU4142" s="126" t="s">
        <v>3678</v>
      </c>
      <c r="AV4142" s="126" t="s">
        <v>177</v>
      </c>
      <c r="AW4142" s="126" t="s">
        <v>160</v>
      </c>
      <c r="AX4142" s="126">
        <v>4</v>
      </c>
      <c r="BB4142" s="126">
        <f>AVERAGE(BB4154,BB4158)</f>
        <v>1800</v>
      </c>
      <c r="BC4142" s="126">
        <f>AVERAGE(BC4154,BC4158)</f>
        <v>41.572463768115938</v>
      </c>
      <c r="BD4142" s="126" t="s">
        <v>3671</v>
      </c>
      <c r="BK4142" s="126">
        <f>1000*23.07</f>
        <v>23070</v>
      </c>
      <c r="BL4142" s="126">
        <f>1000*22.59</f>
        <v>22590</v>
      </c>
      <c r="BM4142" s="126">
        <f>(1000*24.73-BK4142)*2</f>
        <v>3320</v>
      </c>
      <c r="BN4142" s="126">
        <f>(1000*23.43-BL4142)*2</f>
        <v>1680</v>
      </c>
      <c r="BP4142" s="481"/>
      <c r="BQ4142" s="481"/>
      <c r="BU4142" s="481"/>
      <c r="BV4142" s="481"/>
      <c r="BZ4142" s="481"/>
      <c r="CA4142" s="481"/>
      <c r="CE4142" s="605"/>
      <c r="CF4142" s="605"/>
      <c r="CG4142" s="605"/>
      <c r="CH4142" s="605"/>
      <c r="JB4142" s="126" t="s">
        <v>3706</v>
      </c>
      <c r="JC4142" s="126" t="s">
        <v>3708</v>
      </c>
      <c r="JD4142" s="480"/>
    </row>
    <row r="4143" spans="1:264" s="126" customFormat="1" x14ac:dyDescent="0.25">
      <c r="A4143" s="126">
        <v>183</v>
      </c>
      <c r="B4143" s="478" t="s">
        <v>3674</v>
      </c>
      <c r="C4143" s="126" t="s">
        <v>3666</v>
      </c>
      <c r="D4143" s="126" t="s">
        <v>3667</v>
      </c>
      <c r="E4143" s="126">
        <v>2011</v>
      </c>
      <c r="F4143" s="126">
        <v>2008</v>
      </c>
      <c r="G4143" s="126" t="s">
        <v>2738</v>
      </c>
      <c r="H4143" s="126" t="s">
        <v>3669</v>
      </c>
      <c r="I4143" s="126" t="s">
        <v>3461</v>
      </c>
      <c r="J4143" s="126">
        <f t="shared" si="547"/>
        <v>31.233333333333334</v>
      </c>
      <c r="K4143" s="126">
        <f t="shared" si="548"/>
        <v>119.88333333333334</v>
      </c>
      <c r="L4143" s="126">
        <v>6.9</v>
      </c>
      <c r="N4143" s="126">
        <v>15.7</v>
      </c>
      <c r="R4143" s="478" t="s">
        <v>1977</v>
      </c>
      <c r="S4143" s="478" t="s">
        <v>1847</v>
      </c>
      <c r="T4143" s="478"/>
      <c r="U4143" s="478" t="s">
        <v>3668</v>
      </c>
      <c r="V4143" s="478"/>
      <c r="W4143" s="478"/>
      <c r="X4143" s="478"/>
      <c r="Y4143" s="478"/>
      <c r="Z4143" s="126">
        <v>1.44</v>
      </c>
      <c r="AA4143" s="479"/>
      <c r="AB4143" s="479"/>
      <c r="AD4143" s="126">
        <v>5.6</v>
      </c>
      <c r="AE4143" s="126">
        <v>2.4900000000000002</v>
      </c>
      <c r="AG4143" s="126" t="s">
        <v>3670</v>
      </c>
      <c r="AH4143" s="126" t="s">
        <v>797</v>
      </c>
      <c r="AI4143" s="126" t="s">
        <v>1581</v>
      </c>
      <c r="AJ4143" s="126" t="s">
        <v>3553</v>
      </c>
      <c r="AK4143" s="126" t="s">
        <v>229</v>
      </c>
      <c r="AT4143" s="126" t="s">
        <v>3679</v>
      </c>
      <c r="AU4143" s="126" t="s">
        <v>3680</v>
      </c>
      <c r="AV4143" s="126" t="s">
        <v>177</v>
      </c>
      <c r="AW4143" s="126" t="s">
        <v>160</v>
      </c>
      <c r="AX4143" s="126">
        <v>4</v>
      </c>
      <c r="BB4143" s="126">
        <f>AVERAGE(BB4162,BB4166)</f>
        <v>1700</v>
      </c>
      <c r="BC4143" s="126">
        <f>AVERAGE(BC4162,BC4166)</f>
        <v>40.245791245791239</v>
      </c>
      <c r="BD4143" s="126" t="s">
        <v>3671</v>
      </c>
      <c r="BK4143" s="126">
        <f>1000*33.47</f>
        <v>33470</v>
      </c>
      <c r="BL4143" s="126">
        <f>1000*33.42</f>
        <v>33420</v>
      </c>
      <c r="BM4143" s="126">
        <f>(1000*37.39-BK4143)*2</f>
        <v>7840</v>
      </c>
      <c r="BN4143" s="126">
        <f>(1000*34.67-BL4143)*2</f>
        <v>2500</v>
      </c>
      <c r="BP4143" s="481"/>
      <c r="BQ4143" s="481"/>
      <c r="BU4143" s="481"/>
      <c r="BV4143" s="481"/>
      <c r="BZ4143" s="481"/>
      <c r="CA4143" s="481"/>
      <c r="CE4143" s="605"/>
      <c r="CF4143" s="605"/>
      <c r="CG4143" s="605"/>
      <c r="CH4143" s="605"/>
      <c r="JB4143" s="126" t="s">
        <v>3706</v>
      </c>
      <c r="JC4143" s="126" t="s">
        <v>3708</v>
      </c>
      <c r="JD4143" s="480"/>
    </row>
    <row r="4144" spans="1:264" s="126" customFormat="1" x14ac:dyDescent="0.25">
      <c r="A4144" s="126">
        <v>183</v>
      </c>
      <c r="B4144" s="478" t="s">
        <v>3675</v>
      </c>
      <c r="C4144" s="126" t="s">
        <v>3666</v>
      </c>
      <c r="D4144" s="126" t="s">
        <v>3667</v>
      </c>
      <c r="E4144" s="126">
        <v>2011</v>
      </c>
      <c r="F4144" s="126">
        <v>2008</v>
      </c>
      <c r="G4144" s="126" t="s">
        <v>2738</v>
      </c>
      <c r="H4144" s="126" t="s">
        <v>3669</v>
      </c>
      <c r="I4144" s="126" t="s">
        <v>3461</v>
      </c>
      <c r="J4144" s="126">
        <f t="shared" si="547"/>
        <v>31.233333333333334</v>
      </c>
      <c r="K4144" s="126">
        <f t="shared" si="548"/>
        <v>119.88333333333334</v>
      </c>
      <c r="L4144" s="126">
        <v>6.9</v>
      </c>
      <c r="N4144" s="126">
        <v>15.7</v>
      </c>
      <c r="R4144" s="478" t="s">
        <v>1977</v>
      </c>
      <c r="S4144" s="478" t="s">
        <v>1847</v>
      </c>
      <c r="T4144" s="478"/>
      <c r="U4144" s="478" t="s">
        <v>3668</v>
      </c>
      <c r="V4144" s="478"/>
      <c r="W4144" s="478"/>
      <c r="X4144" s="478"/>
      <c r="Y4144" s="478"/>
      <c r="Z4144" s="126">
        <v>1.44</v>
      </c>
      <c r="AA4144" s="479"/>
      <c r="AB4144" s="479"/>
      <c r="AD4144" s="126">
        <v>5.6</v>
      </c>
      <c r="AE4144" s="126">
        <v>2.4900000000000002</v>
      </c>
      <c r="AG4144" s="126" t="s">
        <v>3670</v>
      </c>
      <c r="AH4144" s="126" t="s">
        <v>797</v>
      </c>
      <c r="AI4144" s="126" t="s">
        <v>1581</v>
      </c>
      <c r="AJ4144" s="126" t="s">
        <v>3553</v>
      </c>
      <c r="AK4144" s="126" t="s">
        <v>229</v>
      </c>
      <c r="AT4144" s="126" t="s">
        <v>3681</v>
      </c>
      <c r="AU4144" s="126" t="s">
        <v>3681</v>
      </c>
      <c r="AV4144" s="126" t="s">
        <v>177</v>
      </c>
      <c r="AW4144" s="126" t="s">
        <v>160</v>
      </c>
      <c r="AX4144" s="126">
        <v>4</v>
      </c>
      <c r="BB4144" s="126">
        <f>AVERAGE(BB4170,BB4174)</f>
        <v>1850</v>
      </c>
      <c r="BC4144" s="126">
        <f>AVERAGE(BC4170,BC4174)</f>
        <v>39.833333333333329</v>
      </c>
      <c r="BD4144" s="126" t="s">
        <v>3671</v>
      </c>
      <c r="BK4144" s="126">
        <f>1000*33.99</f>
        <v>33990</v>
      </c>
      <c r="BL4144" s="126">
        <f>1000*32.49</f>
        <v>32490.000000000004</v>
      </c>
      <c r="BM4144" s="126">
        <f>(1000*36.45-BK4144)*2</f>
        <v>4920</v>
      </c>
      <c r="BN4144" s="126">
        <f>(1000*33.54-BL4144)*2</f>
        <v>2099.9999999999927</v>
      </c>
      <c r="BP4144" s="481"/>
      <c r="BQ4144" s="481"/>
      <c r="BU4144" s="481"/>
      <c r="BV4144" s="481"/>
      <c r="BZ4144" s="481"/>
      <c r="CA4144" s="481"/>
      <c r="CE4144" s="605"/>
      <c r="CF4144" s="605"/>
      <c r="CG4144" s="605"/>
      <c r="CH4144" s="605"/>
      <c r="JB4144" s="126" t="s">
        <v>3706</v>
      </c>
      <c r="JC4144" s="126" t="s">
        <v>3708</v>
      </c>
      <c r="JD4144" s="480"/>
    </row>
    <row r="4145" spans="1:264" s="126" customFormat="1" x14ac:dyDescent="0.25">
      <c r="A4145" s="126">
        <v>183</v>
      </c>
      <c r="B4145" s="478" t="s">
        <v>3676</v>
      </c>
      <c r="C4145" s="126" t="s">
        <v>3666</v>
      </c>
      <c r="D4145" s="126" t="s">
        <v>3667</v>
      </c>
      <c r="E4145" s="126">
        <v>2011</v>
      </c>
      <c r="F4145" s="126">
        <v>2008</v>
      </c>
      <c r="G4145" s="126" t="s">
        <v>2738</v>
      </c>
      <c r="H4145" s="126" t="s">
        <v>3669</v>
      </c>
      <c r="I4145" s="126" t="s">
        <v>3461</v>
      </c>
      <c r="J4145" s="126">
        <f t="shared" si="547"/>
        <v>31.233333333333334</v>
      </c>
      <c r="K4145" s="126">
        <f t="shared" si="548"/>
        <v>119.88333333333334</v>
      </c>
      <c r="L4145" s="126">
        <v>6.9</v>
      </c>
      <c r="N4145" s="126">
        <v>15.7</v>
      </c>
      <c r="R4145" s="478" t="s">
        <v>1977</v>
      </c>
      <c r="S4145" s="478" t="s">
        <v>1847</v>
      </c>
      <c r="T4145" s="478"/>
      <c r="U4145" s="478" t="s">
        <v>3668</v>
      </c>
      <c r="V4145" s="478"/>
      <c r="W4145" s="478"/>
      <c r="X4145" s="478"/>
      <c r="Y4145" s="478"/>
      <c r="Z4145" s="126">
        <v>1.44</v>
      </c>
      <c r="AA4145" s="479"/>
      <c r="AB4145" s="479"/>
      <c r="AD4145" s="126">
        <v>5.6</v>
      </c>
      <c r="AE4145" s="126">
        <v>2.4900000000000002</v>
      </c>
      <c r="AG4145" s="126" t="s">
        <v>3670</v>
      </c>
      <c r="AH4145" s="126" t="s">
        <v>797</v>
      </c>
      <c r="AI4145" s="126" t="s">
        <v>1581</v>
      </c>
      <c r="AJ4145" s="126" t="s">
        <v>3553</v>
      </c>
      <c r="AK4145" s="126" t="s">
        <v>229</v>
      </c>
      <c r="AT4145" s="126" t="s">
        <v>3682</v>
      </c>
      <c r="AU4145" s="126" t="s">
        <v>3682</v>
      </c>
      <c r="AV4145" s="126" t="s">
        <v>177</v>
      </c>
      <c r="AW4145" s="126" t="s">
        <v>160</v>
      </c>
      <c r="AX4145" s="126">
        <v>4</v>
      </c>
      <c r="BB4145" s="126">
        <f>AVERAGE(BB4178,BB4182)</f>
        <v>2100</v>
      </c>
      <c r="BC4145" s="126">
        <f>AVERAGE(BC4178,BC4182)</f>
        <v>40.958041958041953</v>
      </c>
      <c r="BD4145" s="126" t="s">
        <v>3671</v>
      </c>
      <c r="BK4145" s="126">
        <f>1000*33.47</f>
        <v>33470</v>
      </c>
      <c r="BL4145" s="126">
        <f>1000*33.01</f>
        <v>33010</v>
      </c>
      <c r="BM4145" s="126">
        <f>(1000*35.33-BK4145)*2</f>
        <v>3720</v>
      </c>
      <c r="BN4145" s="126">
        <f>(1000*34.25-BL4145)*2</f>
        <v>2480</v>
      </c>
      <c r="BP4145" s="481"/>
      <c r="BQ4145" s="481"/>
      <c r="BU4145" s="481"/>
      <c r="BV4145" s="481"/>
      <c r="BZ4145" s="481"/>
      <c r="CA4145" s="481"/>
      <c r="CE4145" s="605"/>
      <c r="CF4145" s="605"/>
      <c r="CG4145" s="605"/>
      <c r="CH4145" s="605"/>
      <c r="JB4145" s="126" t="s">
        <v>3706</v>
      </c>
      <c r="JC4145" s="126" t="s">
        <v>3708</v>
      </c>
      <c r="JD4145" s="480"/>
    </row>
    <row r="4146" spans="1:264" s="36" customFormat="1" x14ac:dyDescent="0.25">
      <c r="A4146" s="36">
        <v>183</v>
      </c>
      <c r="B4146" s="51" t="s">
        <v>3684</v>
      </c>
      <c r="C4146" s="36" t="s">
        <v>3666</v>
      </c>
      <c r="D4146" s="36" t="s">
        <v>3667</v>
      </c>
      <c r="E4146" s="36">
        <v>2011</v>
      </c>
      <c r="F4146" s="36">
        <v>2008</v>
      </c>
      <c r="G4146" s="36" t="s">
        <v>2738</v>
      </c>
      <c r="H4146" s="36" t="s">
        <v>3669</v>
      </c>
      <c r="I4146" s="36" t="s">
        <v>3461</v>
      </c>
      <c r="J4146" s="36">
        <f t="shared" si="547"/>
        <v>31.233333333333334</v>
      </c>
      <c r="K4146" s="36">
        <f t="shared" si="548"/>
        <v>119.88333333333334</v>
      </c>
      <c r="L4146" s="36">
        <v>6.9</v>
      </c>
      <c r="N4146" s="36">
        <v>15.7</v>
      </c>
      <c r="R4146" s="51" t="s">
        <v>1977</v>
      </c>
      <c r="S4146" s="51" t="s">
        <v>1847</v>
      </c>
      <c r="T4146" s="51"/>
      <c r="U4146" s="51" t="s">
        <v>3668</v>
      </c>
      <c r="V4146" s="51" t="s">
        <v>1388</v>
      </c>
      <c r="W4146" s="51"/>
      <c r="X4146" s="51"/>
      <c r="Y4146" s="51"/>
      <c r="Z4146" s="36">
        <v>1.44</v>
      </c>
      <c r="AA4146" s="331"/>
      <c r="AB4146" s="331"/>
      <c r="AD4146" s="36">
        <v>5.6</v>
      </c>
      <c r="AE4146" s="36">
        <v>2.4900000000000002</v>
      </c>
      <c r="AG4146" s="36" t="s">
        <v>3670</v>
      </c>
      <c r="AH4146" s="36" t="s">
        <v>797</v>
      </c>
      <c r="AI4146" s="36" t="s">
        <v>1581</v>
      </c>
      <c r="AJ4146" s="36" t="s">
        <v>3553</v>
      </c>
      <c r="AK4146" s="36" t="s">
        <v>229</v>
      </c>
      <c r="AT4146" s="36" t="s">
        <v>3677</v>
      </c>
      <c r="AU4146" s="36" t="s">
        <v>3677</v>
      </c>
      <c r="AV4146" s="36" t="s">
        <v>177</v>
      </c>
      <c r="AW4146" s="36" t="s">
        <v>160</v>
      </c>
      <c r="AX4146" s="36">
        <v>4</v>
      </c>
      <c r="BB4146" s="36">
        <v>900</v>
      </c>
      <c r="BC4146" s="36">
        <f>(BB4146*(1-1.5%))/(BB4146*(1.5%))</f>
        <v>65.666666666666671</v>
      </c>
      <c r="BD4146" s="36" t="s">
        <v>3671</v>
      </c>
      <c r="BE4146" s="36" t="s">
        <v>3705</v>
      </c>
      <c r="BP4146" s="407"/>
      <c r="BQ4146" s="407"/>
      <c r="BU4146" s="407"/>
      <c r="BV4146" s="407"/>
      <c r="BZ4146" s="407"/>
      <c r="CA4146" s="407"/>
      <c r="CE4146" s="560"/>
      <c r="CF4146" s="560"/>
      <c r="CG4146" s="560"/>
      <c r="CH4146" s="560"/>
      <c r="CJ4146" s="36">
        <v>37</v>
      </c>
      <c r="CK4146" s="36">
        <v>31</v>
      </c>
      <c r="CN4146" s="36" t="s">
        <v>3704</v>
      </c>
      <c r="FB4146" s="36">
        <v>17</v>
      </c>
      <c r="FC4146" s="36">
        <v>9</v>
      </c>
      <c r="FD4146" s="36">
        <v>4</v>
      </c>
      <c r="FE4146" s="36">
        <v>2</v>
      </c>
      <c r="FF4146" s="36" t="s">
        <v>3707</v>
      </c>
      <c r="JB4146" s="36" t="s">
        <v>3706</v>
      </c>
      <c r="JC4146" s="36" t="s">
        <v>3708</v>
      </c>
      <c r="JD4146" s="230"/>
    </row>
    <row r="4147" spans="1:264" s="36" customFormat="1" x14ac:dyDescent="0.25">
      <c r="A4147" s="36">
        <v>183</v>
      </c>
      <c r="B4147" s="51" t="s">
        <v>3685</v>
      </c>
      <c r="C4147" s="36" t="s">
        <v>3666</v>
      </c>
      <c r="D4147" s="36" t="s">
        <v>3667</v>
      </c>
      <c r="E4147" s="36">
        <v>2011</v>
      </c>
      <c r="F4147" s="36">
        <v>2008</v>
      </c>
      <c r="G4147" s="36" t="s">
        <v>2738</v>
      </c>
      <c r="H4147" s="36" t="s">
        <v>3669</v>
      </c>
      <c r="I4147" s="36" t="s">
        <v>3461</v>
      </c>
      <c r="J4147" s="36">
        <f t="shared" si="547"/>
        <v>31.233333333333334</v>
      </c>
      <c r="K4147" s="36">
        <f t="shared" si="548"/>
        <v>119.88333333333334</v>
      </c>
      <c r="L4147" s="36">
        <v>6.9</v>
      </c>
      <c r="N4147" s="36">
        <v>15.7</v>
      </c>
      <c r="R4147" s="51" t="s">
        <v>1977</v>
      </c>
      <c r="S4147" s="51" t="s">
        <v>1847</v>
      </c>
      <c r="T4147" s="51"/>
      <c r="U4147" s="51" t="s">
        <v>3668</v>
      </c>
      <c r="V4147" s="51" t="s">
        <v>1392</v>
      </c>
      <c r="W4147" s="51"/>
      <c r="X4147" s="51"/>
      <c r="Y4147" s="51"/>
      <c r="Z4147" s="36">
        <v>1.44</v>
      </c>
      <c r="AA4147" s="331"/>
      <c r="AB4147" s="331"/>
      <c r="AD4147" s="36">
        <v>5.6</v>
      </c>
      <c r="AE4147" s="36">
        <v>2.4900000000000002</v>
      </c>
      <c r="AG4147" s="36" t="s">
        <v>3670</v>
      </c>
      <c r="AH4147" s="36" t="s">
        <v>797</v>
      </c>
      <c r="AI4147" s="36" t="s">
        <v>1581</v>
      </c>
      <c r="AJ4147" s="36" t="s">
        <v>3553</v>
      </c>
      <c r="AK4147" s="36" t="s">
        <v>229</v>
      </c>
      <c r="AT4147" s="36" t="s">
        <v>3677</v>
      </c>
      <c r="AU4147" s="36" t="s">
        <v>3677</v>
      </c>
      <c r="AV4147" s="36" t="s">
        <v>177</v>
      </c>
      <c r="AW4147" s="36" t="s">
        <v>160</v>
      </c>
      <c r="AX4147" s="36">
        <v>4</v>
      </c>
      <c r="BB4147" s="36">
        <v>900</v>
      </c>
      <c r="BC4147" s="36">
        <f t="shared" ref="BC4147:BC4149" si="549">(BB4147*(1-1.5%))/(BB4147*(1.5%))</f>
        <v>65.666666666666671</v>
      </c>
      <c r="BD4147" s="36" t="s">
        <v>3671</v>
      </c>
      <c r="BE4147" s="36" t="s">
        <v>3705</v>
      </c>
      <c r="BP4147" s="407"/>
      <c r="BQ4147" s="407"/>
      <c r="BU4147" s="407"/>
      <c r="BV4147" s="407"/>
      <c r="BZ4147" s="407"/>
      <c r="CA4147" s="407"/>
      <c r="CE4147" s="560"/>
      <c r="CF4147" s="560"/>
      <c r="CG4147" s="560"/>
      <c r="CH4147" s="560"/>
      <c r="CJ4147" s="36">
        <v>11</v>
      </c>
      <c r="CK4147" s="36">
        <v>23</v>
      </c>
      <c r="CN4147" s="36" t="s">
        <v>3704</v>
      </c>
      <c r="JB4147" s="36" t="s">
        <v>3706</v>
      </c>
      <c r="JC4147" s="36" t="s">
        <v>3708</v>
      </c>
      <c r="JD4147" s="230"/>
    </row>
    <row r="4148" spans="1:264" s="36" customFormat="1" x14ac:dyDescent="0.25">
      <c r="A4148" s="36">
        <v>183</v>
      </c>
      <c r="B4148" s="51" t="s">
        <v>3686</v>
      </c>
      <c r="C4148" s="36" t="s">
        <v>3666</v>
      </c>
      <c r="D4148" s="36" t="s">
        <v>3667</v>
      </c>
      <c r="E4148" s="36">
        <v>2011</v>
      </c>
      <c r="F4148" s="36">
        <v>2008</v>
      </c>
      <c r="G4148" s="36" t="s">
        <v>2738</v>
      </c>
      <c r="H4148" s="36" t="s">
        <v>3669</v>
      </c>
      <c r="I4148" s="36" t="s">
        <v>3461</v>
      </c>
      <c r="J4148" s="36">
        <f t="shared" si="547"/>
        <v>31.233333333333334</v>
      </c>
      <c r="K4148" s="36">
        <f t="shared" si="548"/>
        <v>119.88333333333334</v>
      </c>
      <c r="L4148" s="36">
        <v>6.9</v>
      </c>
      <c r="N4148" s="36">
        <v>15.7</v>
      </c>
      <c r="R4148" s="51" t="s">
        <v>1977</v>
      </c>
      <c r="S4148" s="51" t="s">
        <v>1847</v>
      </c>
      <c r="T4148" s="51"/>
      <c r="U4148" s="51" t="s">
        <v>3668</v>
      </c>
      <c r="V4148" s="51" t="s">
        <v>1383</v>
      </c>
      <c r="W4148" s="51"/>
      <c r="X4148" s="51"/>
      <c r="Y4148" s="51"/>
      <c r="Z4148" s="36">
        <v>1.44</v>
      </c>
      <c r="AA4148" s="331"/>
      <c r="AB4148" s="331"/>
      <c r="AD4148" s="36">
        <v>5.6</v>
      </c>
      <c r="AE4148" s="36">
        <v>2.4900000000000002</v>
      </c>
      <c r="AG4148" s="36" t="s">
        <v>3670</v>
      </c>
      <c r="AH4148" s="36" t="s">
        <v>797</v>
      </c>
      <c r="AI4148" s="36" t="s">
        <v>1581</v>
      </c>
      <c r="AJ4148" s="36" t="s">
        <v>3553</v>
      </c>
      <c r="AK4148" s="36" t="s">
        <v>229</v>
      </c>
      <c r="AT4148" s="36" t="s">
        <v>3677</v>
      </c>
      <c r="AU4148" s="36" t="s">
        <v>3677</v>
      </c>
      <c r="AV4148" s="36" t="s">
        <v>177</v>
      </c>
      <c r="AW4148" s="36" t="s">
        <v>160</v>
      </c>
      <c r="AX4148" s="36">
        <v>4</v>
      </c>
      <c r="BB4148" s="36">
        <v>900</v>
      </c>
      <c r="BC4148" s="36">
        <f t="shared" si="549"/>
        <v>65.666666666666671</v>
      </c>
      <c r="BD4148" s="36" t="s">
        <v>3671</v>
      </c>
      <c r="BE4148" s="36" t="s">
        <v>3705</v>
      </c>
      <c r="BP4148" s="407"/>
      <c r="BQ4148" s="407"/>
      <c r="BU4148" s="407"/>
      <c r="BV4148" s="407"/>
      <c r="BZ4148" s="407"/>
      <c r="CA4148" s="407"/>
      <c r="CE4148" s="560"/>
      <c r="CF4148" s="560"/>
      <c r="CG4148" s="560"/>
      <c r="CH4148" s="560"/>
      <c r="CJ4148" s="36">
        <v>5</v>
      </c>
      <c r="CK4148" s="36">
        <v>14</v>
      </c>
      <c r="CN4148" s="36" t="s">
        <v>3704</v>
      </c>
      <c r="JB4148" s="36" t="s">
        <v>3706</v>
      </c>
      <c r="JC4148" s="36" t="s">
        <v>3708</v>
      </c>
      <c r="JD4148" s="230"/>
    </row>
    <row r="4149" spans="1:264" s="36" customFormat="1" x14ac:dyDescent="0.25">
      <c r="A4149" s="36">
        <v>183</v>
      </c>
      <c r="B4149" s="51" t="s">
        <v>3687</v>
      </c>
      <c r="C4149" s="36" t="s">
        <v>3666</v>
      </c>
      <c r="D4149" s="36" t="s">
        <v>3667</v>
      </c>
      <c r="E4149" s="36">
        <v>2011</v>
      </c>
      <c r="F4149" s="36">
        <v>2008</v>
      </c>
      <c r="G4149" s="36" t="s">
        <v>2738</v>
      </c>
      <c r="H4149" s="36" t="s">
        <v>3669</v>
      </c>
      <c r="I4149" s="36" t="s">
        <v>3461</v>
      </c>
      <c r="J4149" s="36">
        <f t="shared" si="547"/>
        <v>31.233333333333334</v>
      </c>
      <c r="K4149" s="36">
        <f t="shared" si="548"/>
        <v>119.88333333333334</v>
      </c>
      <c r="L4149" s="36">
        <v>6.9</v>
      </c>
      <c r="N4149" s="36">
        <v>15.7</v>
      </c>
      <c r="R4149" s="51" t="s">
        <v>1977</v>
      </c>
      <c r="S4149" s="51" t="s">
        <v>1847</v>
      </c>
      <c r="T4149" s="51"/>
      <c r="U4149" s="51" t="s">
        <v>3668</v>
      </c>
      <c r="V4149" s="51" t="s">
        <v>3683</v>
      </c>
      <c r="W4149" s="51"/>
      <c r="X4149" s="51"/>
      <c r="Y4149" s="51"/>
      <c r="Z4149" s="36">
        <v>1.44</v>
      </c>
      <c r="AA4149" s="331"/>
      <c r="AB4149" s="331"/>
      <c r="AD4149" s="36">
        <v>5.6</v>
      </c>
      <c r="AE4149" s="36">
        <v>2.4900000000000002</v>
      </c>
      <c r="AG4149" s="36" t="s">
        <v>3670</v>
      </c>
      <c r="AH4149" s="36" t="s">
        <v>797</v>
      </c>
      <c r="AI4149" s="36" t="s">
        <v>1581</v>
      </c>
      <c r="AJ4149" s="36" t="s">
        <v>3553</v>
      </c>
      <c r="AK4149" s="36" t="s">
        <v>229</v>
      </c>
      <c r="AT4149" s="36" t="s">
        <v>3677</v>
      </c>
      <c r="AU4149" s="36" t="s">
        <v>3677</v>
      </c>
      <c r="AV4149" s="36" t="s">
        <v>177</v>
      </c>
      <c r="AW4149" s="36" t="s">
        <v>160</v>
      </c>
      <c r="AX4149" s="36">
        <v>4</v>
      </c>
      <c r="BB4149" s="36">
        <v>900</v>
      </c>
      <c r="BC4149" s="36">
        <f t="shared" si="549"/>
        <v>65.666666666666671</v>
      </c>
      <c r="BD4149" s="36" t="s">
        <v>3671</v>
      </c>
      <c r="BE4149" s="36" t="s">
        <v>3705</v>
      </c>
      <c r="BP4149" s="407"/>
      <c r="BQ4149" s="407"/>
      <c r="BU4149" s="407"/>
      <c r="BV4149" s="407"/>
      <c r="BZ4149" s="407"/>
      <c r="CA4149" s="407"/>
      <c r="CE4149" s="560"/>
      <c r="CF4149" s="560"/>
      <c r="CG4149" s="560"/>
      <c r="CH4149" s="560"/>
      <c r="CJ4149" s="36">
        <v>3</v>
      </c>
      <c r="CK4149" s="36">
        <v>4</v>
      </c>
      <c r="CN4149" s="36" t="s">
        <v>3704</v>
      </c>
      <c r="JB4149" s="36" t="s">
        <v>3706</v>
      </c>
      <c r="JC4149" s="36" t="s">
        <v>3708</v>
      </c>
      <c r="JD4149" s="230"/>
    </row>
    <row r="4150" spans="1:264" s="36" customFormat="1" x14ac:dyDescent="0.25">
      <c r="A4150" s="36">
        <v>183</v>
      </c>
      <c r="B4150" s="51" t="s">
        <v>3684</v>
      </c>
      <c r="C4150" s="36" t="s">
        <v>3666</v>
      </c>
      <c r="D4150" s="36" t="s">
        <v>3667</v>
      </c>
      <c r="E4150" s="36">
        <v>2011</v>
      </c>
      <c r="F4150" s="36">
        <v>2009</v>
      </c>
      <c r="G4150" s="36" t="s">
        <v>2738</v>
      </c>
      <c r="H4150" s="36" t="s">
        <v>3669</v>
      </c>
      <c r="I4150" s="36" t="s">
        <v>3461</v>
      </c>
      <c r="J4150" s="36">
        <f t="shared" si="547"/>
        <v>31.233333333333334</v>
      </c>
      <c r="K4150" s="36">
        <f t="shared" si="548"/>
        <v>119.88333333333334</v>
      </c>
      <c r="L4150" s="36">
        <v>6.9</v>
      </c>
      <c r="N4150" s="36">
        <v>15.7</v>
      </c>
      <c r="R4150" s="51" t="s">
        <v>1847</v>
      </c>
      <c r="S4150" s="51" t="s">
        <v>1847</v>
      </c>
      <c r="T4150" s="51"/>
      <c r="U4150" s="51" t="s">
        <v>3668</v>
      </c>
      <c r="V4150" s="51" t="s">
        <v>1388</v>
      </c>
      <c r="W4150" s="51"/>
      <c r="X4150" s="51"/>
      <c r="Y4150" s="51"/>
      <c r="Z4150" s="36">
        <v>1.44</v>
      </c>
      <c r="AA4150" s="331"/>
      <c r="AB4150" s="331"/>
      <c r="AD4150" s="36">
        <v>5.6</v>
      </c>
      <c r="AE4150" s="36">
        <v>2.4900000000000002</v>
      </c>
      <c r="AG4150" s="36" t="s">
        <v>3670</v>
      </c>
      <c r="AH4150" s="36" t="s">
        <v>797</v>
      </c>
      <c r="AI4150" s="36" t="s">
        <v>1581</v>
      </c>
      <c r="AJ4150" s="36" t="s">
        <v>3553</v>
      </c>
      <c r="AK4150" s="36" t="s">
        <v>229</v>
      </c>
      <c r="AT4150" s="36" t="s">
        <v>3677</v>
      </c>
      <c r="AU4150" s="36" t="s">
        <v>3677</v>
      </c>
      <c r="AV4150" s="36" t="s">
        <v>177</v>
      </c>
      <c r="AW4150" s="36" t="s">
        <v>160</v>
      </c>
      <c r="AX4150" s="36">
        <v>4</v>
      </c>
      <c r="BB4150" s="36">
        <v>1300</v>
      </c>
      <c r="BC4150" s="36">
        <f>(BB4150*(1-1.3%))/(BB4150*(1.3%))</f>
        <v>75.923076923076906</v>
      </c>
      <c r="BD4150" s="36" t="s">
        <v>3671</v>
      </c>
      <c r="BE4150" s="36" t="s">
        <v>3705</v>
      </c>
      <c r="BP4150" s="407"/>
      <c r="BQ4150" s="407"/>
      <c r="BU4150" s="407"/>
      <c r="BV4150" s="407"/>
      <c r="BZ4150" s="407"/>
      <c r="CA4150" s="407"/>
      <c r="CE4150" s="560"/>
      <c r="CF4150" s="560"/>
      <c r="CG4150" s="560"/>
      <c r="CH4150" s="560"/>
      <c r="CJ4150" s="36">
        <v>42</v>
      </c>
      <c r="CK4150" s="36">
        <v>23</v>
      </c>
      <c r="CN4150" s="36" t="s">
        <v>3704</v>
      </c>
      <c r="FB4150" s="36">
        <v>11</v>
      </c>
      <c r="FC4150" s="36">
        <v>4</v>
      </c>
      <c r="FD4150" s="36">
        <v>3</v>
      </c>
      <c r="FE4150" s="36">
        <v>1</v>
      </c>
      <c r="FF4150" s="36" t="s">
        <v>3707</v>
      </c>
      <c r="JB4150" s="36" t="s">
        <v>3706</v>
      </c>
      <c r="JC4150" s="36" t="s">
        <v>3708</v>
      </c>
      <c r="JD4150" s="230"/>
    </row>
    <row r="4151" spans="1:264" s="36" customFormat="1" x14ac:dyDescent="0.25">
      <c r="A4151" s="36">
        <v>183</v>
      </c>
      <c r="B4151" s="51" t="s">
        <v>3685</v>
      </c>
      <c r="C4151" s="36" t="s">
        <v>3666</v>
      </c>
      <c r="D4151" s="36" t="s">
        <v>3667</v>
      </c>
      <c r="E4151" s="36">
        <v>2011</v>
      </c>
      <c r="F4151" s="36">
        <v>2009</v>
      </c>
      <c r="G4151" s="36" t="s">
        <v>2738</v>
      </c>
      <c r="H4151" s="36" t="s">
        <v>3669</v>
      </c>
      <c r="I4151" s="36" t="s">
        <v>3461</v>
      </c>
      <c r="J4151" s="36">
        <f t="shared" si="547"/>
        <v>31.233333333333334</v>
      </c>
      <c r="K4151" s="36">
        <f t="shared" si="548"/>
        <v>119.88333333333334</v>
      </c>
      <c r="L4151" s="36">
        <v>6.9</v>
      </c>
      <c r="N4151" s="36">
        <v>15.7</v>
      </c>
      <c r="R4151" s="51" t="s">
        <v>1847</v>
      </c>
      <c r="S4151" s="51" t="s">
        <v>1847</v>
      </c>
      <c r="T4151" s="51"/>
      <c r="U4151" s="51" t="s">
        <v>3668</v>
      </c>
      <c r="V4151" s="51" t="s">
        <v>1392</v>
      </c>
      <c r="W4151" s="51"/>
      <c r="X4151" s="51"/>
      <c r="Y4151" s="51"/>
      <c r="Z4151" s="36">
        <v>1.44</v>
      </c>
      <c r="AA4151" s="331"/>
      <c r="AB4151" s="331"/>
      <c r="AD4151" s="36">
        <v>5.6</v>
      </c>
      <c r="AE4151" s="36">
        <v>2.4900000000000002</v>
      </c>
      <c r="AG4151" s="36" t="s">
        <v>3670</v>
      </c>
      <c r="AH4151" s="36" t="s">
        <v>797</v>
      </c>
      <c r="AI4151" s="36" t="s">
        <v>1581</v>
      </c>
      <c r="AJ4151" s="36" t="s">
        <v>3553</v>
      </c>
      <c r="AK4151" s="36" t="s">
        <v>229</v>
      </c>
      <c r="AT4151" s="36" t="s">
        <v>3677</v>
      </c>
      <c r="AU4151" s="36" t="s">
        <v>3677</v>
      </c>
      <c r="AV4151" s="36" t="s">
        <v>177</v>
      </c>
      <c r="AW4151" s="36" t="s">
        <v>160</v>
      </c>
      <c r="AX4151" s="36">
        <v>4</v>
      </c>
      <c r="BB4151" s="36">
        <v>1300</v>
      </c>
      <c r="BC4151" s="36">
        <f t="shared" ref="BC4151:BC4152" si="550">(BB4151*(1-1.3%))/(BB4151*(1.3%))</f>
        <v>75.923076923076906</v>
      </c>
      <c r="BD4151" s="36" t="s">
        <v>3671</v>
      </c>
      <c r="BE4151" s="36" t="s">
        <v>3705</v>
      </c>
      <c r="BP4151" s="407"/>
      <c r="BQ4151" s="407"/>
      <c r="BU4151" s="407"/>
      <c r="BV4151" s="407"/>
      <c r="BZ4151" s="407"/>
      <c r="CA4151" s="407"/>
      <c r="CE4151" s="560"/>
      <c r="CF4151" s="560"/>
      <c r="CG4151" s="560"/>
      <c r="CH4151" s="560"/>
      <c r="CJ4151" s="36">
        <v>7</v>
      </c>
      <c r="CK4151" s="36">
        <v>12</v>
      </c>
      <c r="CN4151" s="36" t="s">
        <v>3704</v>
      </c>
      <c r="JB4151" s="36" t="s">
        <v>3706</v>
      </c>
      <c r="JC4151" s="36" t="s">
        <v>3708</v>
      </c>
      <c r="JD4151" s="230"/>
    </row>
    <row r="4152" spans="1:264" s="36" customFormat="1" x14ac:dyDescent="0.25">
      <c r="A4152" s="36">
        <v>183</v>
      </c>
      <c r="B4152" s="51" t="s">
        <v>3686</v>
      </c>
      <c r="C4152" s="36" t="s">
        <v>3666</v>
      </c>
      <c r="D4152" s="36" t="s">
        <v>3667</v>
      </c>
      <c r="E4152" s="36">
        <v>2011</v>
      </c>
      <c r="F4152" s="36">
        <v>2009</v>
      </c>
      <c r="G4152" s="36" t="s">
        <v>2738</v>
      </c>
      <c r="H4152" s="36" t="s">
        <v>3669</v>
      </c>
      <c r="I4152" s="36" t="s">
        <v>3461</v>
      </c>
      <c r="J4152" s="36">
        <f t="shared" si="547"/>
        <v>31.233333333333334</v>
      </c>
      <c r="K4152" s="36">
        <f t="shared" si="548"/>
        <v>119.88333333333334</v>
      </c>
      <c r="L4152" s="36">
        <v>6.9</v>
      </c>
      <c r="N4152" s="36">
        <v>15.7</v>
      </c>
      <c r="R4152" s="51" t="s">
        <v>1847</v>
      </c>
      <c r="S4152" s="51" t="s">
        <v>1847</v>
      </c>
      <c r="T4152" s="51"/>
      <c r="U4152" s="51" t="s">
        <v>3668</v>
      </c>
      <c r="V4152" s="51" t="s">
        <v>1383</v>
      </c>
      <c r="W4152" s="51"/>
      <c r="X4152" s="51"/>
      <c r="Y4152" s="51"/>
      <c r="Z4152" s="36">
        <v>1.44</v>
      </c>
      <c r="AA4152" s="331"/>
      <c r="AB4152" s="331"/>
      <c r="AD4152" s="36">
        <v>5.6</v>
      </c>
      <c r="AE4152" s="36">
        <v>2.4900000000000002</v>
      </c>
      <c r="AG4152" s="36" t="s">
        <v>3670</v>
      </c>
      <c r="AH4152" s="36" t="s">
        <v>797</v>
      </c>
      <c r="AI4152" s="36" t="s">
        <v>1581</v>
      </c>
      <c r="AJ4152" s="36" t="s">
        <v>3553</v>
      </c>
      <c r="AK4152" s="36" t="s">
        <v>229</v>
      </c>
      <c r="AT4152" s="36" t="s">
        <v>3677</v>
      </c>
      <c r="AU4152" s="36" t="s">
        <v>3677</v>
      </c>
      <c r="AV4152" s="36" t="s">
        <v>177</v>
      </c>
      <c r="AW4152" s="36" t="s">
        <v>160</v>
      </c>
      <c r="AX4152" s="36">
        <v>4</v>
      </c>
      <c r="BB4152" s="36">
        <v>1300</v>
      </c>
      <c r="BC4152" s="36">
        <f t="shared" si="550"/>
        <v>75.923076923076906</v>
      </c>
      <c r="BD4152" s="36" t="s">
        <v>3671</v>
      </c>
      <c r="BE4152" s="36" t="s">
        <v>3705</v>
      </c>
      <c r="BP4152" s="407"/>
      <c r="BQ4152" s="407"/>
      <c r="BU4152" s="407"/>
      <c r="BV4152" s="407"/>
      <c r="BZ4152" s="407"/>
      <c r="CA4152" s="407"/>
      <c r="CE4152" s="560"/>
      <c r="CF4152" s="560"/>
      <c r="CG4152" s="560"/>
      <c r="CH4152" s="560"/>
      <c r="CJ4152" s="36">
        <v>3</v>
      </c>
      <c r="CK4152" s="36">
        <v>3</v>
      </c>
      <c r="CN4152" s="36" t="s">
        <v>3704</v>
      </c>
      <c r="JB4152" s="36" t="s">
        <v>3706</v>
      </c>
      <c r="JC4152" s="36" t="s">
        <v>3708</v>
      </c>
      <c r="JD4152" s="230"/>
    </row>
    <row r="4153" spans="1:264" s="36" customFormat="1" x14ac:dyDescent="0.25">
      <c r="A4153" s="36">
        <v>183</v>
      </c>
      <c r="B4153" s="51" t="s">
        <v>3687</v>
      </c>
      <c r="C4153" s="36" t="s">
        <v>3666</v>
      </c>
      <c r="D4153" s="36" t="s">
        <v>3667</v>
      </c>
      <c r="E4153" s="36">
        <v>2011</v>
      </c>
      <c r="F4153" s="36">
        <v>2009</v>
      </c>
      <c r="G4153" s="36" t="s">
        <v>2738</v>
      </c>
      <c r="H4153" s="36" t="s">
        <v>3669</v>
      </c>
      <c r="I4153" s="36" t="s">
        <v>3461</v>
      </c>
      <c r="J4153" s="36">
        <f t="shared" si="547"/>
        <v>31.233333333333334</v>
      </c>
      <c r="K4153" s="36">
        <f t="shared" si="548"/>
        <v>119.88333333333334</v>
      </c>
      <c r="L4153" s="36">
        <v>6.9</v>
      </c>
      <c r="N4153" s="36">
        <v>15.7</v>
      </c>
      <c r="R4153" s="51" t="s">
        <v>1847</v>
      </c>
      <c r="S4153" s="51" t="s">
        <v>1847</v>
      </c>
      <c r="T4153" s="51"/>
      <c r="U4153" s="51" t="s">
        <v>3668</v>
      </c>
      <c r="V4153" s="51" t="s">
        <v>3683</v>
      </c>
      <c r="W4153" s="51"/>
      <c r="X4153" s="51"/>
      <c r="Y4153" s="51"/>
      <c r="Z4153" s="36">
        <v>1.44</v>
      </c>
      <c r="AA4153" s="331"/>
      <c r="AB4153" s="331"/>
      <c r="AD4153" s="36">
        <v>5.6</v>
      </c>
      <c r="AE4153" s="36">
        <v>2.4900000000000002</v>
      </c>
      <c r="AG4153" s="36" t="s">
        <v>3670</v>
      </c>
      <c r="AH4153" s="36" t="s">
        <v>797</v>
      </c>
      <c r="AI4153" s="36" t="s">
        <v>1581</v>
      </c>
      <c r="AJ4153" s="36" t="s">
        <v>3553</v>
      </c>
      <c r="AK4153" s="36" t="s">
        <v>229</v>
      </c>
      <c r="AT4153" s="36" t="s">
        <v>3677</v>
      </c>
      <c r="AU4153" s="36" t="s">
        <v>3677</v>
      </c>
      <c r="AV4153" s="36" t="s">
        <v>177</v>
      </c>
      <c r="AW4153" s="36" t="s">
        <v>160</v>
      </c>
      <c r="AX4153" s="36">
        <v>4</v>
      </c>
      <c r="BB4153" s="36">
        <v>1300</v>
      </c>
      <c r="BC4153" s="36">
        <f>(BB4153*(1-1.3%))/(BB4153*(1.3%))</f>
        <v>75.923076923076906</v>
      </c>
      <c r="BD4153" s="36" t="s">
        <v>3671</v>
      </c>
      <c r="BE4153" s="36" t="s">
        <v>3705</v>
      </c>
      <c r="BP4153" s="407"/>
      <c r="BQ4153" s="407"/>
      <c r="BU4153" s="407"/>
      <c r="BV4153" s="407"/>
      <c r="BZ4153" s="407"/>
      <c r="CA4153" s="407"/>
      <c r="CE4153" s="560"/>
      <c r="CF4153" s="560"/>
      <c r="CG4153" s="560"/>
      <c r="CH4153" s="560"/>
      <c r="CJ4153" s="36">
        <v>2</v>
      </c>
      <c r="CK4153" s="36">
        <v>2</v>
      </c>
      <c r="CN4153" s="36" t="s">
        <v>3704</v>
      </c>
      <c r="JB4153" s="36" t="s">
        <v>3706</v>
      </c>
      <c r="JC4153" s="36" t="s">
        <v>3708</v>
      </c>
      <c r="JD4153" s="230"/>
    </row>
    <row r="4154" spans="1:264" s="126" customFormat="1" x14ac:dyDescent="0.25">
      <c r="A4154" s="126">
        <v>183</v>
      </c>
      <c r="B4154" s="478" t="s">
        <v>3688</v>
      </c>
      <c r="C4154" s="126" t="s">
        <v>3666</v>
      </c>
      <c r="D4154" s="126" t="s">
        <v>3667</v>
      </c>
      <c r="E4154" s="126">
        <v>2011</v>
      </c>
      <c r="F4154" s="126">
        <v>2008</v>
      </c>
      <c r="G4154" s="126" t="s">
        <v>2738</v>
      </c>
      <c r="H4154" s="126" t="s">
        <v>3669</v>
      </c>
      <c r="I4154" s="126" t="s">
        <v>3461</v>
      </c>
      <c r="J4154" s="126">
        <f t="shared" si="547"/>
        <v>31.233333333333334</v>
      </c>
      <c r="K4154" s="126">
        <f t="shared" si="548"/>
        <v>119.88333333333334</v>
      </c>
      <c r="L4154" s="126">
        <v>6.9</v>
      </c>
      <c r="N4154" s="126">
        <v>15.7</v>
      </c>
      <c r="R4154" s="478" t="s">
        <v>1977</v>
      </c>
      <c r="S4154" s="478" t="s">
        <v>1847</v>
      </c>
      <c r="T4154" s="478"/>
      <c r="U4154" s="478" t="s">
        <v>3668</v>
      </c>
      <c r="V4154" s="478" t="s">
        <v>1388</v>
      </c>
      <c r="W4154" s="478"/>
      <c r="X4154" s="478"/>
      <c r="Y4154" s="478"/>
      <c r="Z4154" s="126">
        <v>1.44</v>
      </c>
      <c r="AA4154" s="479"/>
      <c r="AB4154" s="479"/>
      <c r="AD4154" s="126">
        <v>5.6</v>
      </c>
      <c r="AE4154" s="126">
        <v>2.4900000000000002</v>
      </c>
      <c r="AG4154" s="126" t="s">
        <v>3670</v>
      </c>
      <c r="AH4154" s="126" t="s">
        <v>797</v>
      </c>
      <c r="AI4154" s="126" t="s">
        <v>1581</v>
      </c>
      <c r="AJ4154" s="126" t="s">
        <v>3553</v>
      </c>
      <c r="AK4154" s="126" t="s">
        <v>229</v>
      </c>
      <c r="AT4154" s="126" t="s">
        <v>3678</v>
      </c>
      <c r="AU4154" s="126" t="s">
        <v>3678</v>
      </c>
      <c r="AV4154" s="126" t="s">
        <v>177</v>
      </c>
      <c r="AW4154" s="126" t="s">
        <v>160</v>
      </c>
      <c r="AX4154" s="126">
        <v>4</v>
      </c>
      <c r="BB4154" s="126">
        <v>1200</v>
      </c>
      <c r="BC4154" s="126">
        <f>(BB4154*(1-2.4%))/(BB4154*(2.4%))</f>
        <v>40.666666666666664</v>
      </c>
      <c r="BD4154" s="126" t="s">
        <v>3671</v>
      </c>
      <c r="BE4154" s="126" t="s">
        <v>3705</v>
      </c>
      <c r="BP4154" s="481"/>
      <c r="BQ4154" s="481"/>
      <c r="BU4154" s="481"/>
      <c r="BV4154" s="481"/>
      <c r="BZ4154" s="481"/>
      <c r="CA4154" s="481"/>
      <c r="CE4154" s="605"/>
      <c r="CF4154" s="605"/>
      <c r="CG4154" s="605"/>
      <c r="CH4154" s="605"/>
      <c r="CJ4154" s="126">
        <v>95</v>
      </c>
      <c r="CK4154" s="126">
        <v>95</v>
      </c>
      <c r="CN4154" s="126" t="s">
        <v>3704</v>
      </c>
      <c r="FB4154" s="126">
        <v>38</v>
      </c>
      <c r="FC4154" s="126">
        <v>22</v>
      </c>
      <c r="FD4154" s="126">
        <v>5</v>
      </c>
      <c r="FE4154" s="126">
        <v>5</v>
      </c>
      <c r="FF4154" s="126" t="s">
        <v>3707</v>
      </c>
      <c r="JB4154" s="126" t="s">
        <v>3706</v>
      </c>
      <c r="JC4154" s="126" t="s">
        <v>3708</v>
      </c>
      <c r="JD4154" s="480"/>
    </row>
    <row r="4155" spans="1:264" s="126" customFormat="1" x14ac:dyDescent="0.25">
      <c r="A4155" s="126">
        <v>183</v>
      </c>
      <c r="B4155" s="478" t="s">
        <v>3689</v>
      </c>
      <c r="C4155" s="126" t="s">
        <v>3666</v>
      </c>
      <c r="D4155" s="126" t="s">
        <v>3667</v>
      </c>
      <c r="E4155" s="126">
        <v>2011</v>
      </c>
      <c r="F4155" s="126">
        <v>2008</v>
      </c>
      <c r="G4155" s="126" t="s">
        <v>2738</v>
      </c>
      <c r="H4155" s="126" t="s">
        <v>3669</v>
      </c>
      <c r="I4155" s="126" t="s">
        <v>3461</v>
      </c>
      <c r="J4155" s="126">
        <f t="shared" si="547"/>
        <v>31.233333333333334</v>
      </c>
      <c r="K4155" s="126">
        <f t="shared" si="548"/>
        <v>119.88333333333334</v>
      </c>
      <c r="L4155" s="126">
        <v>6.9</v>
      </c>
      <c r="N4155" s="126">
        <v>15.7</v>
      </c>
      <c r="R4155" s="478" t="s">
        <v>1977</v>
      </c>
      <c r="S4155" s="478" t="s">
        <v>1847</v>
      </c>
      <c r="T4155" s="478"/>
      <c r="U4155" s="478" t="s">
        <v>3668</v>
      </c>
      <c r="V4155" s="478" t="s">
        <v>1392</v>
      </c>
      <c r="W4155" s="478"/>
      <c r="X4155" s="478"/>
      <c r="Y4155" s="478"/>
      <c r="Z4155" s="126">
        <v>1.44</v>
      </c>
      <c r="AA4155" s="479"/>
      <c r="AB4155" s="479"/>
      <c r="AD4155" s="126">
        <v>5.6</v>
      </c>
      <c r="AE4155" s="126">
        <v>2.4900000000000002</v>
      </c>
      <c r="AG4155" s="126" t="s">
        <v>3670</v>
      </c>
      <c r="AH4155" s="126" t="s">
        <v>797</v>
      </c>
      <c r="AI4155" s="126" t="s">
        <v>1581</v>
      </c>
      <c r="AJ4155" s="126" t="s">
        <v>3553</v>
      </c>
      <c r="AK4155" s="126" t="s">
        <v>229</v>
      </c>
      <c r="AT4155" s="126" t="s">
        <v>3678</v>
      </c>
      <c r="AU4155" s="126" t="s">
        <v>3678</v>
      </c>
      <c r="AV4155" s="126" t="s">
        <v>177</v>
      </c>
      <c r="AW4155" s="126" t="s">
        <v>160</v>
      </c>
      <c r="AX4155" s="126">
        <v>4</v>
      </c>
      <c r="BB4155" s="126">
        <v>1200</v>
      </c>
      <c r="BC4155" s="126">
        <f t="shared" ref="BC4155:BC4157" si="551">(BB4155*(1-2.4%))/(BB4155*(2.4%))</f>
        <v>40.666666666666664</v>
      </c>
      <c r="BD4155" s="126" t="s">
        <v>3671</v>
      </c>
      <c r="BE4155" s="126" t="s">
        <v>3705</v>
      </c>
      <c r="BP4155" s="481"/>
      <c r="BQ4155" s="481"/>
      <c r="BU4155" s="481"/>
      <c r="BV4155" s="481"/>
      <c r="BZ4155" s="481"/>
      <c r="CA4155" s="481"/>
      <c r="CE4155" s="605"/>
      <c r="CF4155" s="605"/>
      <c r="CG4155" s="605"/>
      <c r="CH4155" s="605"/>
      <c r="CJ4155" s="126">
        <v>42</v>
      </c>
      <c r="CK4155" s="126">
        <v>35</v>
      </c>
      <c r="CN4155" s="126" t="s">
        <v>3704</v>
      </c>
      <c r="JB4155" s="126" t="s">
        <v>3706</v>
      </c>
      <c r="JC4155" s="126" t="s">
        <v>3708</v>
      </c>
      <c r="JD4155" s="480"/>
    </row>
    <row r="4156" spans="1:264" s="126" customFormat="1" x14ac:dyDescent="0.25">
      <c r="A4156" s="126">
        <v>183</v>
      </c>
      <c r="B4156" s="478" t="s">
        <v>3690</v>
      </c>
      <c r="C4156" s="126" t="s">
        <v>3666</v>
      </c>
      <c r="D4156" s="126" t="s">
        <v>3667</v>
      </c>
      <c r="E4156" s="126">
        <v>2011</v>
      </c>
      <c r="F4156" s="126">
        <v>2008</v>
      </c>
      <c r="G4156" s="126" t="s">
        <v>2738</v>
      </c>
      <c r="H4156" s="126" t="s">
        <v>3669</v>
      </c>
      <c r="I4156" s="126" t="s">
        <v>3461</v>
      </c>
      <c r="J4156" s="126">
        <f t="shared" si="547"/>
        <v>31.233333333333334</v>
      </c>
      <c r="K4156" s="126">
        <f t="shared" si="548"/>
        <v>119.88333333333334</v>
      </c>
      <c r="L4156" s="126">
        <v>6.9</v>
      </c>
      <c r="N4156" s="126">
        <v>15.7</v>
      </c>
      <c r="R4156" s="478" t="s">
        <v>1977</v>
      </c>
      <c r="S4156" s="478" t="s">
        <v>1847</v>
      </c>
      <c r="T4156" s="478"/>
      <c r="U4156" s="478" t="s">
        <v>3668</v>
      </c>
      <c r="V4156" s="478" t="s">
        <v>1383</v>
      </c>
      <c r="W4156" s="478"/>
      <c r="X4156" s="478"/>
      <c r="Y4156" s="478"/>
      <c r="Z4156" s="126">
        <v>1.44</v>
      </c>
      <c r="AA4156" s="479"/>
      <c r="AB4156" s="479"/>
      <c r="AD4156" s="126">
        <v>5.6</v>
      </c>
      <c r="AE4156" s="126">
        <v>2.4900000000000002</v>
      </c>
      <c r="AG4156" s="126" t="s">
        <v>3670</v>
      </c>
      <c r="AH4156" s="126" t="s">
        <v>797</v>
      </c>
      <c r="AI4156" s="126" t="s">
        <v>1581</v>
      </c>
      <c r="AJ4156" s="126" t="s">
        <v>3553</v>
      </c>
      <c r="AK4156" s="126" t="s">
        <v>229</v>
      </c>
      <c r="AT4156" s="126" t="s">
        <v>3678</v>
      </c>
      <c r="AU4156" s="126" t="s">
        <v>3678</v>
      </c>
      <c r="AV4156" s="126" t="s">
        <v>177</v>
      </c>
      <c r="AW4156" s="126" t="s">
        <v>160</v>
      </c>
      <c r="AX4156" s="126">
        <v>4</v>
      </c>
      <c r="BB4156" s="126">
        <v>1200</v>
      </c>
      <c r="BC4156" s="126">
        <f t="shared" si="551"/>
        <v>40.666666666666664</v>
      </c>
      <c r="BD4156" s="126" t="s">
        <v>3671</v>
      </c>
      <c r="BE4156" s="126" t="s">
        <v>3705</v>
      </c>
      <c r="BP4156" s="481"/>
      <c r="BQ4156" s="481"/>
      <c r="BU4156" s="481"/>
      <c r="BV4156" s="481"/>
      <c r="BZ4156" s="481"/>
      <c r="CA4156" s="481"/>
      <c r="CE4156" s="605"/>
      <c r="CF4156" s="605"/>
      <c r="CG4156" s="605"/>
      <c r="CH4156" s="605"/>
      <c r="CJ4156" s="126">
        <v>10</v>
      </c>
      <c r="CK4156" s="126">
        <v>14</v>
      </c>
      <c r="CN4156" s="126" t="s">
        <v>3704</v>
      </c>
      <c r="JB4156" s="126" t="s">
        <v>3706</v>
      </c>
      <c r="JC4156" s="126" t="s">
        <v>3708</v>
      </c>
      <c r="JD4156" s="480"/>
    </row>
    <row r="4157" spans="1:264" s="126" customFormat="1" x14ac:dyDescent="0.25">
      <c r="A4157" s="126">
        <v>183</v>
      </c>
      <c r="B4157" s="478" t="s">
        <v>3691</v>
      </c>
      <c r="C4157" s="126" t="s">
        <v>3666</v>
      </c>
      <c r="D4157" s="126" t="s">
        <v>3667</v>
      </c>
      <c r="E4157" s="126">
        <v>2011</v>
      </c>
      <c r="F4157" s="126">
        <v>2008</v>
      </c>
      <c r="G4157" s="126" t="s">
        <v>2738</v>
      </c>
      <c r="H4157" s="126" t="s">
        <v>3669</v>
      </c>
      <c r="I4157" s="126" t="s">
        <v>3461</v>
      </c>
      <c r="J4157" s="126">
        <f t="shared" si="547"/>
        <v>31.233333333333334</v>
      </c>
      <c r="K4157" s="126">
        <f t="shared" si="548"/>
        <v>119.88333333333334</v>
      </c>
      <c r="L4157" s="126">
        <v>6.9</v>
      </c>
      <c r="N4157" s="126">
        <v>15.7</v>
      </c>
      <c r="R4157" s="478" t="s">
        <v>1977</v>
      </c>
      <c r="S4157" s="478" t="s">
        <v>1847</v>
      </c>
      <c r="T4157" s="478"/>
      <c r="U4157" s="478" t="s">
        <v>3668</v>
      </c>
      <c r="V4157" s="478" t="s">
        <v>3683</v>
      </c>
      <c r="W4157" s="478"/>
      <c r="X4157" s="478"/>
      <c r="Y4157" s="478"/>
      <c r="Z4157" s="126">
        <v>1.44</v>
      </c>
      <c r="AA4157" s="479"/>
      <c r="AB4157" s="479"/>
      <c r="AD4157" s="126">
        <v>5.6</v>
      </c>
      <c r="AE4157" s="126">
        <v>2.4900000000000002</v>
      </c>
      <c r="AG4157" s="126" t="s">
        <v>3670</v>
      </c>
      <c r="AH4157" s="126" t="s">
        <v>797</v>
      </c>
      <c r="AI4157" s="126" t="s">
        <v>1581</v>
      </c>
      <c r="AJ4157" s="126" t="s">
        <v>3553</v>
      </c>
      <c r="AK4157" s="126" t="s">
        <v>229</v>
      </c>
      <c r="AT4157" s="126" t="s">
        <v>3678</v>
      </c>
      <c r="AU4157" s="126" t="s">
        <v>3678</v>
      </c>
      <c r="AV4157" s="126" t="s">
        <v>177</v>
      </c>
      <c r="AW4157" s="126" t="s">
        <v>160</v>
      </c>
      <c r="AX4157" s="126">
        <v>4</v>
      </c>
      <c r="BB4157" s="126">
        <v>1200</v>
      </c>
      <c r="BC4157" s="126">
        <f t="shared" si="551"/>
        <v>40.666666666666664</v>
      </c>
      <c r="BD4157" s="126" t="s">
        <v>3671</v>
      </c>
      <c r="BE4157" s="126" t="s">
        <v>3705</v>
      </c>
      <c r="BP4157" s="481"/>
      <c r="BQ4157" s="481"/>
      <c r="BU4157" s="481"/>
      <c r="BV4157" s="481"/>
      <c r="BZ4157" s="481"/>
      <c r="CA4157" s="481"/>
      <c r="CE4157" s="605"/>
      <c r="CF4157" s="605"/>
      <c r="CG4157" s="605"/>
      <c r="CH4157" s="605"/>
      <c r="CJ4157" s="126">
        <v>5</v>
      </c>
      <c r="CK4157" s="126">
        <v>7</v>
      </c>
      <c r="CN4157" s="126" t="s">
        <v>3704</v>
      </c>
      <c r="JB4157" s="126" t="s">
        <v>3706</v>
      </c>
      <c r="JC4157" s="126" t="s">
        <v>3708</v>
      </c>
      <c r="JD4157" s="480"/>
    </row>
    <row r="4158" spans="1:264" s="126" customFormat="1" x14ac:dyDescent="0.25">
      <c r="A4158" s="126">
        <v>183</v>
      </c>
      <c r="B4158" s="478" t="s">
        <v>3688</v>
      </c>
      <c r="C4158" s="126" t="s">
        <v>3666</v>
      </c>
      <c r="D4158" s="126" t="s">
        <v>3667</v>
      </c>
      <c r="E4158" s="126">
        <v>2011</v>
      </c>
      <c r="F4158" s="126">
        <v>2009</v>
      </c>
      <c r="G4158" s="126" t="s">
        <v>2738</v>
      </c>
      <c r="H4158" s="126" t="s">
        <v>3669</v>
      </c>
      <c r="I4158" s="126" t="s">
        <v>3461</v>
      </c>
      <c r="J4158" s="126">
        <f t="shared" si="547"/>
        <v>31.233333333333334</v>
      </c>
      <c r="K4158" s="126">
        <f t="shared" si="548"/>
        <v>119.88333333333334</v>
      </c>
      <c r="L4158" s="126">
        <v>6.9</v>
      </c>
      <c r="N4158" s="126">
        <v>15.7</v>
      </c>
      <c r="R4158" s="478" t="s">
        <v>1847</v>
      </c>
      <c r="S4158" s="478" t="s">
        <v>1847</v>
      </c>
      <c r="T4158" s="478"/>
      <c r="U4158" s="478" t="s">
        <v>3668</v>
      </c>
      <c r="V4158" s="478" t="s">
        <v>1388</v>
      </c>
      <c r="W4158" s="478"/>
      <c r="X4158" s="478"/>
      <c r="Y4158" s="478"/>
      <c r="Z4158" s="126">
        <v>1.44</v>
      </c>
      <c r="AA4158" s="479"/>
      <c r="AB4158" s="479"/>
      <c r="AD4158" s="126">
        <v>5.6</v>
      </c>
      <c r="AE4158" s="126">
        <v>2.4900000000000002</v>
      </c>
      <c r="AG4158" s="126" t="s">
        <v>3670</v>
      </c>
      <c r="AH4158" s="126" t="s">
        <v>797</v>
      </c>
      <c r="AI4158" s="126" t="s">
        <v>1581</v>
      </c>
      <c r="AJ4158" s="126" t="s">
        <v>3553</v>
      </c>
      <c r="AK4158" s="126" t="s">
        <v>229</v>
      </c>
      <c r="AT4158" s="126" t="s">
        <v>3678</v>
      </c>
      <c r="AU4158" s="126" t="s">
        <v>3678</v>
      </c>
      <c r="AV4158" s="126" t="s">
        <v>177</v>
      </c>
      <c r="AW4158" s="126" t="s">
        <v>160</v>
      </c>
      <c r="AX4158" s="126">
        <v>4</v>
      </c>
      <c r="BB4158" s="126">
        <v>2400</v>
      </c>
      <c r="BC4158" s="126">
        <f>(BB4158*(1-2.3%))/(BB4158*(2.3%))</f>
        <v>42.478260869565219</v>
      </c>
      <c r="BD4158" s="126" t="s">
        <v>3671</v>
      </c>
      <c r="BE4158" s="126" t="s">
        <v>3705</v>
      </c>
      <c r="BP4158" s="481"/>
      <c r="BQ4158" s="481"/>
      <c r="BU4158" s="481"/>
      <c r="BV4158" s="481"/>
      <c r="BZ4158" s="481"/>
      <c r="CA4158" s="481"/>
      <c r="CE4158" s="605"/>
      <c r="CF4158" s="605"/>
      <c r="CG4158" s="605"/>
      <c r="CH4158" s="605"/>
      <c r="CJ4158" s="126">
        <v>83</v>
      </c>
      <c r="CK4158" s="126">
        <v>17</v>
      </c>
      <c r="CN4158" s="126" t="s">
        <v>3704</v>
      </c>
      <c r="FB4158" s="126">
        <v>24</v>
      </c>
      <c r="FC4158" s="126">
        <v>19</v>
      </c>
      <c r="FD4158" s="126">
        <v>6</v>
      </c>
      <c r="FE4158" s="126">
        <v>5</v>
      </c>
      <c r="FF4158" s="126" t="s">
        <v>3707</v>
      </c>
      <c r="JB4158" s="126" t="s">
        <v>3706</v>
      </c>
      <c r="JC4158" s="126" t="s">
        <v>3708</v>
      </c>
      <c r="JD4158" s="480"/>
    </row>
    <row r="4159" spans="1:264" s="126" customFormat="1" x14ac:dyDescent="0.25">
      <c r="A4159" s="126">
        <v>183</v>
      </c>
      <c r="B4159" s="478" t="s">
        <v>3689</v>
      </c>
      <c r="C4159" s="126" t="s">
        <v>3666</v>
      </c>
      <c r="D4159" s="126" t="s">
        <v>3667</v>
      </c>
      <c r="E4159" s="126">
        <v>2011</v>
      </c>
      <c r="F4159" s="126">
        <v>2009</v>
      </c>
      <c r="G4159" s="126" t="s">
        <v>2738</v>
      </c>
      <c r="H4159" s="126" t="s">
        <v>3669</v>
      </c>
      <c r="I4159" s="126" t="s">
        <v>3461</v>
      </c>
      <c r="J4159" s="126">
        <f t="shared" si="547"/>
        <v>31.233333333333334</v>
      </c>
      <c r="K4159" s="126">
        <f t="shared" si="548"/>
        <v>119.88333333333334</v>
      </c>
      <c r="L4159" s="126">
        <v>6.9</v>
      </c>
      <c r="N4159" s="126">
        <v>15.7</v>
      </c>
      <c r="R4159" s="478" t="s">
        <v>1847</v>
      </c>
      <c r="S4159" s="478" t="s">
        <v>1847</v>
      </c>
      <c r="T4159" s="478"/>
      <c r="U4159" s="478" t="s">
        <v>3668</v>
      </c>
      <c r="V4159" s="478" t="s">
        <v>1392</v>
      </c>
      <c r="W4159" s="478"/>
      <c r="X4159" s="478"/>
      <c r="Y4159" s="478"/>
      <c r="Z4159" s="126">
        <v>1.44</v>
      </c>
      <c r="AA4159" s="479"/>
      <c r="AB4159" s="479"/>
      <c r="AD4159" s="126">
        <v>5.6</v>
      </c>
      <c r="AE4159" s="126">
        <v>2.4900000000000002</v>
      </c>
      <c r="AG4159" s="126" t="s">
        <v>3670</v>
      </c>
      <c r="AH4159" s="126" t="s">
        <v>797</v>
      </c>
      <c r="AI4159" s="126" t="s">
        <v>1581</v>
      </c>
      <c r="AJ4159" s="126" t="s">
        <v>3553</v>
      </c>
      <c r="AK4159" s="126" t="s">
        <v>229</v>
      </c>
      <c r="AT4159" s="126" t="s">
        <v>3678</v>
      </c>
      <c r="AU4159" s="126" t="s">
        <v>3678</v>
      </c>
      <c r="AV4159" s="126" t="s">
        <v>177</v>
      </c>
      <c r="AW4159" s="126" t="s">
        <v>160</v>
      </c>
      <c r="AX4159" s="126">
        <v>4</v>
      </c>
      <c r="BB4159" s="126">
        <v>2400</v>
      </c>
      <c r="BC4159" s="126">
        <f t="shared" ref="BC4159:BC4161" si="552">(BB4159*(1-2.3%))/(BB4159*(2.3%))</f>
        <v>42.478260869565219</v>
      </c>
      <c r="BD4159" s="126" t="s">
        <v>3671</v>
      </c>
      <c r="BE4159" s="126" t="s">
        <v>3705</v>
      </c>
      <c r="BP4159" s="481"/>
      <c r="BQ4159" s="481"/>
      <c r="BU4159" s="481"/>
      <c r="BV4159" s="481"/>
      <c r="BZ4159" s="481"/>
      <c r="CA4159" s="481"/>
      <c r="CE4159" s="605"/>
      <c r="CF4159" s="605"/>
      <c r="CG4159" s="605"/>
      <c r="CH4159" s="605"/>
      <c r="CJ4159" s="126">
        <v>17</v>
      </c>
      <c r="CK4159" s="126">
        <v>18</v>
      </c>
      <c r="CN4159" s="126" t="s">
        <v>3704</v>
      </c>
      <c r="JB4159" s="126" t="s">
        <v>3706</v>
      </c>
      <c r="JC4159" s="126" t="s">
        <v>3708</v>
      </c>
      <c r="JD4159" s="480"/>
    </row>
    <row r="4160" spans="1:264" s="126" customFormat="1" x14ac:dyDescent="0.25">
      <c r="A4160" s="126">
        <v>183</v>
      </c>
      <c r="B4160" s="478" t="s">
        <v>3690</v>
      </c>
      <c r="C4160" s="126" t="s">
        <v>3666</v>
      </c>
      <c r="D4160" s="126" t="s">
        <v>3667</v>
      </c>
      <c r="E4160" s="126">
        <v>2011</v>
      </c>
      <c r="F4160" s="126">
        <v>2009</v>
      </c>
      <c r="G4160" s="126" t="s">
        <v>2738</v>
      </c>
      <c r="H4160" s="126" t="s">
        <v>3669</v>
      </c>
      <c r="I4160" s="126" t="s">
        <v>3461</v>
      </c>
      <c r="J4160" s="126">
        <f t="shared" si="547"/>
        <v>31.233333333333334</v>
      </c>
      <c r="K4160" s="126">
        <f t="shared" si="548"/>
        <v>119.88333333333334</v>
      </c>
      <c r="L4160" s="126">
        <v>6.9</v>
      </c>
      <c r="N4160" s="126">
        <v>15.7</v>
      </c>
      <c r="R4160" s="478" t="s">
        <v>1847</v>
      </c>
      <c r="S4160" s="478" t="s">
        <v>1847</v>
      </c>
      <c r="T4160" s="478"/>
      <c r="U4160" s="478" t="s">
        <v>3668</v>
      </c>
      <c r="V4160" s="478" t="s">
        <v>1383</v>
      </c>
      <c r="W4160" s="478"/>
      <c r="X4160" s="478"/>
      <c r="Y4160" s="478"/>
      <c r="Z4160" s="126">
        <v>1.44</v>
      </c>
      <c r="AA4160" s="479"/>
      <c r="AB4160" s="479"/>
      <c r="AD4160" s="126">
        <v>5.6</v>
      </c>
      <c r="AE4160" s="126">
        <v>2.4900000000000002</v>
      </c>
      <c r="AG4160" s="126" t="s">
        <v>3670</v>
      </c>
      <c r="AH4160" s="126" t="s">
        <v>797</v>
      </c>
      <c r="AI4160" s="126" t="s">
        <v>1581</v>
      </c>
      <c r="AJ4160" s="126" t="s">
        <v>3553</v>
      </c>
      <c r="AK4160" s="126" t="s">
        <v>229</v>
      </c>
      <c r="AT4160" s="126" t="s">
        <v>3678</v>
      </c>
      <c r="AU4160" s="126" t="s">
        <v>3678</v>
      </c>
      <c r="AV4160" s="126" t="s">
        <v>177</v>
      </c>
      <c r="AW4160" s="126" t="s">
        <v>160</v>
      </c>
      <c r="AX4160" s="126">
        <v>4</v>
      </c>
      <c r="BB4160" s="126">
        <v>2400</v>
      </c>
      <c r="BC4160" s="126">
        <f t="shared" si="552"/>
        <v>42.478260869565219</v>
      </c>
      <c r="BD4160" s="126" t="s">
        <v>3671</v>
      </c>
      <c r="BE4160" s="126" t="s">
        <v>3705</v>
      </c>
      <c r="BP4160" s="481"/>
      <c r="BQ4160" s="481"/>
      <c r="BU4160" s="481"/>
      <c r="BV4160" s="481"/>
      <c r="BZ4160" s="481"/>
      <c r="CA4160" s="481"/>
      <c r="CE4160" s="605"/>
      <c r="CF4160" s="605"/>
      <c r="CG4160" s="605"/>
      <c r="CH4160" s="605"/>
      <c r="CJ4160" s="126">
        <v>7</v>
      </c>
      <c r="CK4160" s="126">
        <v>11</v>
      </c>
      <c r="CN4160" s="126" t="s">
        <v>3704</v>
      </c>
      <c r="JB4160" s="126" t="s">
        <v>3706</v>
      </c>
      <c r="JC4160" s="126" t="s">
        <v>3708</v>
      </c>
      <c r="JD4160" s="480"/>
    </row>
    <row r="4161" spans="1:264" s="126" customFormat="1" x14ac:dyDescent="0.25">
      <c r="A4161" s="126">
        <v>183</v>
      </c>
      <c r="B4161" s="478" t="s">
        <v>3691</v>
      </c>
      <c r="C4161" s="126" t="s">
        <v>3666</v>
      </c>
      <c r="D4161" s="126" t="s">
        <v>3667</v>
      </c>
      <c r="E4161" s="126">
        <v>2011</v>
      </c>
      <c r="F4161" s="126">
        <v>2009</v>
      </c>
      <c r="G4161" s="126" t="s">
        <v>2738</v>
      </c>
      <c r="H4161" s="126" t="s">
        <v>3669</v>
      </c>
      <c r="I4161" s="126" t="s">
        <v>3461</v>
      </c>
      <c r="J4161" s="126">
        <f t="shared" si="547"/>
        <v>31.233333333333334</v>
      </c>
      <c r="K4161" s="126">
        <f t="shared" si="548"/>
        <v>119.88333333333334</v>
      </c>
      <c r="L4161" s="126">
        <v>6.9</v>
      </c>
      <c r="N4161" s="126">
        <v>15.7</v>
      </c>
      <c r="R4161" s="478" t="s">
        <v>1847</v>
      </c>
      <c r="S4161" s="478" t="s">
        <v>1847</v>
      </c>
      <c r="T4161" s="478"/>
      <c r="U4161" s="478" t="s">
        <v>3668</v>
      </c>
      <c r="V4161" s="478" t="s">
        <v>3683</v>
      </c>
      <c r="W4161" s="478"/>
      <c r="X4161" s="478"/>
      <c r="Y4161" s="478"/>
      <c r="Z4161" s="126">
        <v>1.44</v>
      </c>
      <c r="AA4161" s="479"/>
      <c r="AB4161" s="479"/>
      <c r="AD4161" s="126">
        <v>5.6</v>
      </c>
      <c r="AE4161" s="126">
        <v>2.4900000000000002</v>
      </c>
      <c r="AG4161" s="126" t="s">
        <v>3670</v>
      </c>
      <c r="AH4161" s="126" t="s">
        <v>797</v>
      </c>
      <c r="AI4161" s="126" t="s">
        <v>1581</v>
      </c>
      <c r="AJ4161" s="126" t="s">
        <v>3553</v>
      </c>
      <c r="AK4161" s="126" t="s">
        <v>229</v>
      </c>
      <c r="AT4161" s="126" t="s">
        <v>3678</v>
      </c>
      <c r="AU4161" s="126" t="s">
        <v>3678</v>
      </c>
      <c r="AV4161" s="126" t="s">
        <v>177</v>
      </c>
      <c r="AW4161" s="126" t="s">
        <v>160</v>
      </c>
      <c r="AX4161" s="126">
        <v>4</v>
      </c>
      <c r="BB4161" s="126">
        <v>2400</v>
      </c>
      <c r="BC4161" s="126">
        <f t="shared" si="552"/>
        <v>42.478260869565219</v>
      </c>
      <c r="BD4161" s="126" t="s">
        <v>3671</v>
      </c>
      <c r="BE4161" s="126" t="s">
        <v>3705</v>
      </c>
      <c r="BP4161" s="481"/>
      <c r="BQ4161" s="481"/>
      <c r="BU4161" s="481"/>
      <c r="BV4161" s="481"/>
      <c r="BZ4161" s="481"/>
      <c r="CA4161" s="481"/>
      <c r="CE4161" s="605"/>
      <c r="CF4161" s="605"/>
      <c r="CG4161" s="605"/>
      <c r="CH4161" s="605"/>
      <c r="CJ4161" s="126">
        <v>3</v>
      </c>
      <c r="CK4161" s="126">
        <v>3</v>
      </c>
      <c r="CN4161" s="126" t="s">
        <v>3704</v>
      </c>
      <c r="JB4161" s="126" t="s">
        <v>3706</v>
      </c>
      <c r="JC4161" s="126" t="s">
        <v>3708</v>
      </c>
      <c r="JD4161" s="480"/>
    </row>
    <row r="4162" spans="1:264" s="36" customFormat="1" x14ac:dyDescent="0.25">
      <c r="A4162" s="36">
        <v>183</v>
      </c>
      <c r="B4162" s="51" t="s">
        <v>3692</v>
      </c>
      <c r="C4162" s="36" t="s">
        <v>3666</v>
      </c>
      <c r="D4162" s="36" t="s">
        <v>3667</v>
      </c>
      <c r="E4162" s="36">
        <v>2011</v>
      </c>
      <c r="F4162" s="36">
        <v>2008</v>
      </c>
      <c r="G4162" s="36" t="s">
        <v>2738</v>
      </c>
      <c r="H4162" s="36" t="s">
        <v>3669</v>
      </c>
      <c r="I4162" s="36" t="s">
        <v>3461</v>
      </c>
      <c r="J4162" s="36">
        <f t="shared" si="547"/>
        <v>31.233333333333334</v>
      </c>
      <c r="K4162" s="36">
        <f t="shared" si="548"/>
        <v>119.88333333333334</v>
      </c>
      <c r="L4162" s="36">
        <v>6.9</v>
      </c>
      <c r="N4162" s="36">
        <v>15.7</v>
      </c>
      <c r="R4162" s="51" t="s">
        <v>1977</v>
      </c>
      <c r="S4162" s="51" t="s">
        <v>1847</v>
      </c>
      <c r="T4162" s="51"/>
      <c r="U4162" s="51" t="s">
        <v>3668</v>
      </c>
      <c r="V4162" s="51" t="s">
        <v>1388</v>
      </c>
      <c r="W4162" s="51"/>
      <c r="X4162" s="51"/>
      <c r="Y4162" s="51"/>
      <c r="Z4162" s="36">
        <v>1.44</v>
      </c>
      <c r="AA4162" s="331"/>
      <c r="AB4162" s="331"/>
      <c r="AD4162" s="36">
        <v>5.6</v>
      </c>
      <c r="AE4162" s="36">
        <v>2.4900000000000002</v>
      </c>
      <c r="AG4162" s="36" t="s">
        <v>3670</v>
      </c>
      <c r="AH4162" s="36" t="s">
        <v>797</v>
      </c>
      <c r="AI4162" s="36" t="s">
        <v>1581</v>
      </c>
      <c r="AJ4162" s="36" t="s">
        <v>3553</v>
      </c>
      <c r="AK4162" s="36" t="s">
        <v>229</v>
      </c>
      <c r="AT4162" s="36" t="s">
        <v>3679</v>
      </c>
      <c r="AU4162" s="36" t="s">
        <v>3680</v>
      </c>
      <c r="AV4162" s="36" t="s">
        <v>177</v>
      </c>
      <c r="AW4162" s="36" t="s">
        <v>160</v>
      </c>
      <c r="AX4162" s="36">
        <v>4</v>
      </c>
      <c r="BB4162" s="36">
        <v>1200</v>
      </c>
      <c r="BC4162" s="36">
        <f>(BB4162*(1-2.2%))/(BB4162*(2.2%))</f>
        <v>44.454545454545446</v>
      </c>
      <c r="BD4162" s="36" t="s">
        <v>3671</v>
      </c>
      <c r="BE4162" s="36" t="s">
        <v>3705</v>
      </c>
      <c r="BP4162" s="407"/>
      <c r="BQ4162" s="407"/>
      <c r="BU4162" s="407"/>
      <c r="BV4162" s="407"/>
      <c r="BZ4162" s="407"/>
      <c r="CA4162" s="407"/>
      <c r="CE4162" s="560"/>
      <c r="CF4162" s="560"/>
      <c r="CG4162" s="560"/>
      <c r="CH4162" s="560"/>
      <c r="CJ4162" s="36">
        <v>263</v>
      </c>
      <c r="CK4162" s="36">
        <v>137</v>
      </c>
      <c r="CN4162" s="36" t="s">
        <v>3704</v>
      </c>
      <c r="FB4162" s="36">
        <v>52</v>
      </c>
      <c r="FC4162" s="36">
        <v>34</v>
      </c>
      <c r="FD4162" s="36">
        <v>9</v>
      </c>
      <c r="FE4162" s="36">
        <v>9</v>
      </c>
      <c r="FF4162" s="36" t="s">
        <v>3707</v>
      </c>
      <c r="JB4162" s="36" t="s">
        <v>3706</v>
      </c>
      <c r="JC4162" s="36" t="s">
        <v>3708</v>
      </c>
      <c r="JD4162" s="230"/>
    </row>
    <row r="4163" spans="1:264" s="36" customFormat="1" x14ac:dyDescent="0.25">
      <c r="A4163" s="36">
        <v>183</v>
      </c>
      <c r="B4163" s="51" t="s">
        <v>3693</v>
      </c>
      <c r="C4163" s="36" t="s">
        <v>3666</v>
      </c>
      <c r="D4163" s="36" t="s">
        <v>3667</v>
      </c>
      <c r="E4163" s="36">
        <v>2011</v>
      </c>
      <c r="F4163" s="36">
        <v>2008</v>
      </c>
      <c r="G4163" s="36" t="s">
        <v>2738</v>
      </c>
      <c r="H4163" s="36" t="s">
        <v>3669</v>
      </c>
      <c r="I4163" s="36" t="s">
        <v>3461</v>
      </c>
      <c r="J4163" s="36">
        <f t="shared" si="547"/>
        <v>31.233333333333334</v>
      </c>
      <c r="K4163" s="36">
        <f t="shared" si="548"/>
        <v>119.88333333333334</v>
      </c>
      <c r="L4163" s="36">
        <v>6.9</v>
      </c>
      <c r="N4163" s="36">
        <v>15.7</v>
      </c>
      <c r="R4163" s="51" t="s">
        <v>1977</v>
      </c>
      <c r="S4163" s="51" t="s">
        <v>1847</v>
      </c>
      <c r="T4163" s="51"/>
      <c r="U4163" s="51" t="s">
        <v>3668</v>
      </c>
      <c r="V4163" s="51" t="s">
        <v>1392</v>
      </c>
      <c r="W4163" s="51"/>
      <c r="X4163" s="51"/>
      <c r="Y4163" s="51"/>
      <c r="Z4163" s="36">
        <v>1.44</v>
      </c>
      <c r="AA4163" s="331"/>
      <c r="AB4163" s="331"/>
      <c r="AD4163" s="36">
        <v>5.6</v>
      </c>
      <c r="AE4163" s="36">
        <v>2.4900000000000002</v>
      </c>
      <c r="AG4163" s="36" t="s">
        <v>3670</v>
      </c>
      <c r="AH4163" s="36" t="s">
        <v>797</v>
      </c>
      <c r="AI4163" s="36" t="s">
        <v>1581</v>
      </c>
      <c r="AJ4163" s="36" t="s">
        <v>3553</v>
      </c>
      <c r="AK4163" s="36" t="s">
        <v>229</v>
      </c>
      <c r="AT4163" s="36" t="s">
        <v>3679</v>
      </c>
      <c r="AU4163" s="36" t="s">
        <v>3680</v>
      </c>
      <c r="AV4163" s="36" t="s">
        <v>177</v>
      </c>
      <c r="AW4163" s="36" t="s">
        <v>160</v>
      </c>
      <c r="AX4163" s="36">
        <v>4</v>
      </c>
      <c r="BB4163" s="36">
        <v>1200</v>
      </c>
      <c r="BC4163" s="36">
        <f t="shared" ref="BC4163:BC4165" si="553">(BB4163*(1-2.2%))/(BB4163*(2.2%))</f>
        <v>44.454545454545446</v>
      </c>
      <c r="BD4163" s="36" t="s">
        <v>3671</v>
      </c>
      <c r="BE4163" s="36" t="s">
        <v>3705</v>
      </c>
      <c r="BP4163" s="407"/>
      <c r="BQ4163" s="407"/>
      <c r="BU4163" s="407"/>
      <c r="BV4163" s="407"/>
      <c r="BZ4163" s="407"/>
      <c r="CA4163" s="407"/>
      <c r="CE4163" s="560"/>
      <c r="CF4163" s="560"/>
      <c r="CG4163" s="560"/>
      <c r="CH4163" s="560"/>
      <c r="CJ4163" s="36">
        <v>57</v>
      </c>
      <c r="CK4163" s="36">
        <v>38</v>
      </c>
      <c r="CN4163" s="36" t="s">
        <v>3704</v>
      </c>
      <c r="JB4163" s="36" t="s">
        <v>3706</v>
      </c>
      <c r="JC4163" s="36" t="s">
        <v>3708</v>
      </c>
      <c r="JD4163" s="230"/>
    </row>
    <row r="4164" spans="1:264" s="36" customFormat="1" x14ac:dyDescent="0.25">
      <c r="A4164" s="36">
        <v>183</v>
      </c>
      <c r="B4164" s="51" t="s">
        <v>3694</v>
      </c>
      <c r="C4164" s="36" t="s">
        <v>3666</v>
      </c>
      <c r="D4164" s="36" t="s">
        <v>3667</v>
      </c>
      <c r="E4164" s="36">
        <v>2011</v>
      </c>
      <c r="F4164" s="36">
        <v>2008</v>
      </c>
      <c r="G4164" s="36" t="s">
        <v>2738</v>
      </c>
      <c r="H4164" s="36" t="s">
        <v>3669</v>
      </c>
      <c r="I4164" s="36" t="s">
        <v>3461</v>
      </c>
      <c r="J4164" s="36">
        <f t="shared" si="547"/>
        <v>31.233333333333334</v>
      </c>
      <c r="K4164" s="36">
        <f t="shared" si="548"/>
        <v>119.88333333333334</v>
      </c>
      <c r="L4164" s="36">
        <v>6.9</v>
      </c>
      <c r="N4164" s="36">
        <v>15.7</v>
      </c>
      <c r="R4164" s="51" t="s">
        <v>1977</v>
      </c>
      <c r="S4164" s="51" t="s">
        <v>1847</v>
      </c>
      <c r="T4164" s="51"/>
      <c r="U4164" s="51" t="s">
        <v>3668</v>
      </c>
      <c r="V4164" s="51" t="s">
        <v>1383</v>
      </c>
      <c r="W4164" s="51"/>
      <c r="X4164" s="51"/>
      <c r="Y4164" s="51"/>
      <c r="Z4164" s="36">
        <v>1.44</v>
      </c>
      <c r="AA4164" s="331"/>
      <c r="AB4164" s="331"/>
      <c r="AD4164" s="36">
        <v>5.6</v>
      </c>
      <c r="AE4164" s="36">
        <v>2.4900000000000002</v>
      </c>
      <c r="AG4164" s="36" t="s">
        <v>3670</v>
      </c>
      <c r="AH4164" s="36" t="s">
        <v>797</v>
      </c>
      <c r="AI4164" s="36" t="s">
        <v>1581</v>
      </c>
      <c r="AJ4164" s="36" t="s">
        <v>3553</v>
      </c>
      <c r="AK4164" s="36" t="s">
        <v>229</v>
      </c>
      <c r="AT4164" s="36" t="s">
        <v>3679</v>
      </c>
      <c r="AU4164" s="36" t="s">
        <v>3680</v>
      </c>
      <c r="AV4164" s="36" t="s">
        <v>177</v>
      </c>
      <c r="AW4164" s="36" t="s">
        <v>160</v>
      </c>
      <c r="AX4164" s="36">
        <v>4</v>
      </c>
      <c r="BB4164" s="36">
        <v>1200</v>
      </c>
      <c r="BC4164" s="36">
        <f t="shared" si="553"/>
        <v>44.454545454545446</v>
      </c>
      <c r="BD4164" s="36" t="s">
        <v>3671</v>
      </c>
      <c r="BE4164" s="36" t="s">
        <v>3705</v>
      </c>
      <c r="BP4164" s="407"/>
      <c r="BQ4164" s="407"/>
      <c r="BU4164" s="407"/>
      <c r="BV4164" s="407"/>
      <c r="BZ4164" s="407"/>
      <c r="CA4164" s="407"/>
      <c r="CE4164" s="560"/>
      <c r="CF4164" s="560"/>
      <c r="CG4164" s="560"/>
      <c r="CH4164" s="560"/>
      <c r="CJ4164" s="36">
        <v>20</v>
      </c>
      <c r="CK4164" s="36">
        <v>17</v>
      </c>
      <c r="CN4164" s="36" t="s">
        <v>3704</v>
      </c>
      <c r="JB4164" s="36" t="s">
        <v>3706</v>
      </c>
      <c r="JC4164" s="36" t="s">
        <v>3708</v>
      </c>
      <c r="JD4164" s="230"/>
    </row>
    <row r="4165" spans="1:264" s="36" customFormat="1" x14ac:dyDescent="0.25">
      <c r="A4165" s="36">
        <v>183</v>
      </c>
      <c r="B4165" s="51" t="s">
        <v>3695</v>
      </c>
      <c r="C4165" s="36" t="s">
        <v>3666</v>
      </c>
      <c r="D4165" s="36" t="s">
        <v>3667</v>
      </c>
      <c r="E4165" s="36">
        <v>2011</v>
      </c>
      <c r="F4165" s="36">
        <v>2008</v>
      </c>
      <c r="G4165" s="36" t="s">
        <v>2738</v>
      </c>
      <c r="H4165" s="36" t="s">
        <v>3669</v>
      </c>
      <c r="I4165" s="36" t="s">
        <v>3461</v>
      </c>
      <c r="J4165" s="36">
        <f t="shared" si="547"/>
        <v>31.233333333333334</v>
      </c>
      <c r="K4165" s="36">
        <f t="shared" si="548"/>
        <v>119.88333333333334</v>
      </c>
      <c r="L4165" s="36">
        <v>6.9</v>
      </c>
      <c r="N4165" s="36">
        <v>15.7</v>
      </c>
      <c r="R4165" s="51" t="s">
        <v>1977</v>
      </c>
      <c r="S4165" s="51" t="s">
        <v>1847</v>
      </c>
      <c r="T4165" s="51"/>
      <c r="U4165" s="51" t="s">
        <v>3668</v>
      </c>
      <c r="V4165" s="51" t="s">
        <v>3683</v>
      </c>
      <c r="W4165" s="51"/>
      <c r="X4165" s="51"/>
      <c r="Y4165" s="51"/>
      <c r="Z4165" s="36">
        <v>1.44</v>
      </c>
      <c r="AA4165" s="331"/>
      <c r="AB4165" s="331"/>
      <c r="AD4165" s="36">
        <v>5.6</v>
      </c>
      <c r="AE4165" s="36">
        <v>2.4900000000000002</v>
      </c>
      <c r="AG4165" s="36" t="s">
        <v>3670</v>
      </c>
      <c r="AH4165" s="36" t="s">
        <v>797</v>
      </c>
      <c r="AI4165" s="36" t="s">
        <v>1581</v>
      </c>
      <c r="AJ4165" s="36" t="s">
        <v>3553</v>
      </c>
      <c r="AK4165" s="36" t="s">
        <v>229</v>
      </c>
      <c r="AT4165" s="36" t="s">
        <v>3679</v>
      </c>
      <c r="AU4165" s="36" t="s">
        <v>3680</v>
      </c>
      <c r="AV4165" s="36" t="s">
        <v>177</v>
      </c>
      <c r="AW4165" s="36" t="s">
        <v>160</v>
      </c>
      <c r="AX4165" s="36">
        <v>4</v>
      </c>
      <c r="BB4165" s="36">
        <v>1200</v>
      </c>
      <c r="BC4165" s="36">
        <f t="shared" si="553"/>
        <v>44.454545454545446</v>
      </c>
      <c r="BD4165" s="36" t="s">
        <v>3671</v>
      </c>
      <c r="BE4165" s="36" t="s">
        <v>3705</v>
      </c>
      <c r="BP4165" s="407"/>
      <c r="BQ4165" s="407"/>
      <c r="BU4165" s="407"/>
      <c r="BV4165" s="407"/>
      <c r="BZ4165" s="407"/>
      <c r="CA4165" s="407"/>
      <c r="CE4165" s="560"/>
      <c r="CF4165" s="560"/>
      <c r="CG4165" s="560"/>
      <c r="CH4165" s="560"/>
      <c r="CJ4165" s="36">
        <v>16</v>
      </c>
      <c r="CK4165" s="36">
        <v>12</v>
      </c>
      <c r="CN4165" s="36" t="s">
        <v>3704</v>
      </c>
      <c r="JB4165" s="36" t="s">
        <v>3706</v>
      </c>
      <c r="JC4165" s="36" t="s">
        <v>3708</v>
      </c>
      <c r="JD4165" s="230"/>
    </row>
    <row r="4166" spans="1:264" s="36" customFormat="1" x14ac:dyDescent="0.25">
      <c r="A4166" s="36">
        <v>183</v>
      </c>
      <c r="B4166" s="51" t="s">
        <v>3692</v>
      </c>
      <c r="C4166" s="36" t="s">
        <v>3666</v>
      </c>
      <c r="D4166" s="36" t="s">
        <v>3667</v>
      </c>
      <c r="E4166" s="36">
        <v>2011</v>
      </c>
      <c r="F4166" s="36">
        <v>2009</v>
      </c>
      <c r="G4166" s="36" t="s">
        <v>2738</v>
      </c>
      <c r="H4166" s="36" t="s">
        <v>3669</v>
      </c>
      <c r="I4166" s="36" t="s">
        <v>3461</v>
      </c>
      <c r="J4166" s="36">
        <f t="shared" si="547"/>
        <v>31.233333333333334</v>
      </c>
      <c r="K4166" s="36">
        <f t="shared" si="548"/>
        <v>119.88333333333334</v>
      </c>
      <c r="L4166" s="36">
        <v>6.9</v>
      </c>
      <c r="N4166" s="36">
        <v>15.7</v>
      </c>
      <c r="R4166" s="51" t="s">
        <v>1847</v>
      </c>
      <c r="S4166" s="51" t="s">
        <v>1847</v>
      </c>
      <c r="T4166" s="51"/>
      <c r="U4166" s="51" t="s">
        <v>3668</v>
      </c>
      <c r="V4166" s="51" t="s">
        <v>1388</v>
      </c>
      <c r="W4166" s="51"/>
      <c r="X4166" s="51"/>
      <c r="Y4166" s="51"/>
      <c r="Z4166" s="36">
        <v>1.44</v>
      </c>
      <c r="AA4166" s="331"/>
      <c r="AB4166" s="331"/>
      <c r="AD4166" s="36">
        <v>5.6</v>
      </c>
      <c r="AE4166" s="36">
        <v>2.4900000000000002</v>
      </c>
      <c r="AG4166" s="36" t="s">
        <v>3670</v>
      </c>
      <c r="AH4166" s="36" t="s">
        <v>797</v>
      </c>
      <c r="AI4166" s="36" t="s">
        <v>1581</v>
      </c>
      <c r="AJ4166" s="36" t="s">
        <v>3553</v>
      </c>
      <c r="AK4166" s="36" t="s">
        <v>229</v>
      </c>
      <c r="AT4166" s="36" t="s">
        <v>3679</v>
      </c>
      <c r="AU4166" s="36" t="s">
        <v>3680</v>
      </c>
      <c r="AV4166" s="36" t="s">
        <v>177</v>
      </c>
      <c r="AW4166" s="36" t="s">
        <v>160</v>
      </c>
      <c r="AX4166" s="36">
        <v>4</v>
      </c>
      <c r="BB4166" s="36">
        <v>2200</v>
      </c>
      <c r="BC4166" s="36">
        <f>(BB4166*(1-2.7%))/(BB4166*(2.7%))</f>
        <v>36.037037037037031</v>
      </c>
      <c r="BD4166" s="36" t="s">
        <v>3671</v>
      </c>
      <c r="BE4166" s="36" t="s">
        <v>3705</v>
      </c>
      <c r="BP4166" s="407"/>
      <c r="BQ4166" s="407"/>
      <c r="BU4166" s="407"/>
      <c r="BV4166" s="407"/>
      <c r="BZ4166" s="407"/>
      <c r="CA4166" s="407"/>
      <c r="CE4166" s="560"/>
      <c r="CF4166" s="560"/>
      <c r="CG4166" s="560"/>
      <c r="CH4166" s="560"/>
      <c r="CJ4166" s="36">
        <v>128</v>
      </c>
      <c r="CK4166" s="36">
        <v>69</v>
      </c>
      <c r="CN4166" s="36" t="s">
        <v>3704</v>
      </c>
      <c r="FB4166" s="36">
        <v>34</v>
      </c>
      <c r="FC4166" s="36">
        <v>25</v>
      </c>
      <c r="FD4166" s="36">
        <v>8</v>
      </c>
      <c r="FE4166" s="36">
        <v>7</v>
      </c>
      <c r="FF4166" s="36" t="s">
        <v>3707</v>
      </c>
      <c r="JB4166" s="36" t="s">
        <v>3706</v>
      </c>
      <c r="JC4166" s="36" t="s">
        <v>3708</v>
      </c>
      <c r="JD4166" s="230"/>
    </row>
    <row r="4167" spans="1:264" s="36" customFormat="1" x14ac:dyDescent="0.25">
      <c r="A4167" s="36">
        <v>183</v>
      </c>
      <c r="B4167" s="51" t="s">
        <v>3693</v>
      </c>
      <c r="C4167" s="36" t="s">
        <v>3666</v>
      </c>
      <c r="D4167" s="36" t="s">
        <v>3667</v>
      </c>
      <c r="E4167" s="36">
        <v>2011</v>
      </c>
      <c r="F4167" s="36">
        <v>2009</v>
      </c>
      <c r="G4167" s="36" t="s">
        <v>2738</v>
      </c>
      <c r="H4167" s="36" t="s">
        <v>3669</v>
      </c>
      <c r="I4167" s="36" t="s">
        <v>3461</v>
      </c>
      <c r="J4167" s="36">
        <f t="shared" si="547"/>
        <v>31.233333333333334</v>
      </c>
      <c r="K4167" s="36">
        <f t="shared" si="548"/>
        <v>119.88333333333334</v>
      </c>
      <c r="L4167" s="36">
        <v>6.9</v>
      </c>
      <c r="N4167" s="36">
        <v>15.7</v>
      </c>
      <c r="R4167" s="51" t="s">
        <v>1847</v>
      </c>
      <c r="S4167" s="51" t="s">
        <v>1847</v>
      </c>
      <c r="T4167" s="51"/>
      <c r="U4167" s="51" t="s">
        <v>3668</v>
      </c>
      <c r="V4167" s="51" t="s">
        <v>1392</v>
      </c>
      <c r="W4167" s="51"/>
      <c r="X4167" s="51"/>
      <c r="Y4167" s="51"/>
      <c r="Z4167" s="36">
        <v>1.44</v>
      </c>
      <c r="AA4167" s="331"/>
      <c r="AB4167" s="331"/>
      <c r="AD4167" s="36">
        <v>5.6</v>
      </c>
      <c r="AE4167" s="36">
        <v>2.4900000000000002</v>
      </c>
      <c r="AG4167" s="36" t="s">
        <v>3670</v>
      </c>
      <c r="AH4167" s="36" t="s">
        <v>797</v>
      </c>
      <c r="AI4167" s="36" t="s">
        <v>1581</v>
      </c>
      <c r="AJ4167" s="36" t="s">
        <v>3553</v>
      </c>
      <c r="AK4167" s="36" t="s">
        <v>229</v>
      </c>
      <c r="AT4167" s="36" t="s">
        <v>3679</v>
      </c>
      <c r="AU4167" s="36" t="s">
        <v>3680</v>
      </c>
      <c r="AV4167" s="36" t="s">
        <v>177</v>
      </c>
      <c r="AW4167" s="36" t="s">
        <v>160</v>
      </c>
      <c r="AX4167" s="36">
        <v>4</v>
      </c>
      <c r="BB4167" s="36">
        <v>2200</v>
      </c>
      <c r="BC4167" s="36">
        <f t="shared" ref="BC4167:BC4169" si="554">(BB4167*(1-2.7%))/(BB4167*(2.7%))</f>
        <v>36.037037037037031</v>
      </c>
      <c r="BD4167" s="36" t="s">
        <v>3671</v>
      </c>
      <c r="BE4167" s="36" t="s">
        <v>3705</v>
      </c>
      <c r="BP4167" s="407"/>
      <c r="BQ4167" s="407"/>
      <c r="BU4167" s="407"/>
      <c r="BV4167" s="407"/>
      <c r="BZ4167" s="407"/>
      <c r="CA4167" s="407"/>
      <c r="CE4167" s="560"/>
      <c r="CF4167" s="560"/>
      <c r="CG4167" s="560"/>
      <c r="CH4167" s="560"/>
      <c r="CJ4167" s="36">
        <v>36</v>
      </c>
      <c r="CK4167" s="36">
        <v>47</v>
      </c>
      <c r="CN4167" s="36" t="s">
        <v>3704</v>
      </c>
      <c r="JB4167" s="36" t="s">
        <v>3706</v>
      </c>
      <c r="JC4167" s="36" t="s">
        <v>3708</v>
      </c>
      <c r="JD4167" s="230"/>
    </row>
    <row r="4168" spans="1:264" s="36" customFormat="1" x14ac:dyDescent="0.25">
      <c r="A4168" s="36">
        <v>183</v>
      </c>
      <c r="B4168" s="51" t="s">
        <v>3694</v>
      </c>
      <c r="C4168" s="36" t="s">
        <v>3666</v>
      </c>
      <c r="D4168" s="36" t="s">
        <v>3667</v>
      </c>
      <c r="E4168" s="36">
        <v>2011</v>
      </c>
      <c r="F4168" s="36">
        <v>2009</v>
      </c>
      <c r="G4168" s="36" t="s">
        <v>2738</v>
      </c>
      <c r="H4168" s="36" t="s">
        <v>3669</v>
      </c>
      <c r="I4168" s="36" t="s">
        <v>3461</v>
      </c>
      <c r="J4168" s="36">
        <f t="shared" si="547"/>
        <v>31.233333333333334</v>
      </c>
      <c r="K4168" s="36">
        <f t="shared" si="548"/>
        <v>119.88333333333334</v>
      </c>
      <c r="L4168" s="36">
        <v>6.9</v>
      </c>
      <c r="N4168" s="36">
        <v>15.7</v>
      </c>
      <c r="R4168" s="51" t="s">
        <v>1847</v>
      </c>
      <c r="S4168" s="51" t="s">
        <v>1847</v>
      </c>
      <c r="T4168" s="51"/>
      <c r="U4168" s="51" t="s">
        <v>3668</v>
      </c>
      <c r="V4168" s="51" t="s">
        <v>1383</v>
      </c>
      <c r="W4168" s="51"/>
      <c r="X4168" s="51"/>
      <c r="Y4168" s="51"/>
      <c r="Z4168" s="36">
        <v>1.44</v>
      </c>
      <c r="AA4168" s="331"/>
      <c r="AB4168" s="331"/>
      <c r="AD4168" s="36">
        <v>5.6</v>
      </c>
      <c r="AE4168" s="36">
        <v>2.4900000000000002</v>
      </c>
      <c r="AG4168" s="36" t="s">
        <v>3670</v>
      </c>
      <c r="AH4168" s="36" t="s">
        <v>797</v>
      </c>
      <c r="AI4168" s="36" t="s">
        <v>1581</v>
      </c>
      <c r="AJ4168" s="36" t="s">
        <v>3553</v>
      </c>
      <c r="AK4168" s="36" t="s">
        <v>229</v>
      </c>
      <c r="AT4168" s="36" t="s">
        <v>3679</v>
      </c>
      <c r="AU4168" s="36" t="s">
        <v>3680</v>
      </c>
      <c r="AV4168" s="36" t="s">
        <v>177</v>
      </c>
      <c r="AW4168" s="36" t="s">
        <v>160</v>
      </c>
      <c r="AX4168" s="36">
        <v>4</v>
      </c>
      <c r="BB4168" s="36">
        <v>2200</v>
      </c>
      <c r="BC4168" s="36">
        <f t="shared" si="554"/>
        <v>36.037037037037031</v>
      </c>
      <c r="BD4168" s="36" t="s">
        <v>3671</v>
      </c>
      <c r="BE4168" s="36" t="s">
        <v>3705</v>
      </c>
      <c r="BP4168" s="407"/>
      <c r="BQ4168" s="407"/>
      <c r="BU4168" s="407"/>
      <c r="BV4168" s="407"/>
      <c r="BZ4168" s="407"/>
      <c r="CA4168" s="407"/>
      <c r="CE4168" s="560"/>
      <c r="CF4168" s="560"/>
      <c r="CG4168" s="560"/>
      <c r="CH4168" s="560"/>
      <c r="CJ4168" s="36">
        <v>24</v>
      </c>
      <c r="CK4168" s="36">
        <v>15</v>
      </c>
      <c r="CN4168" s="36" t="s">
        <v>3704</v>
      </c>
      <c r="JB4168" s="36" t="s">
        <v>3706</v>
      </c>
      <c r="JC4168" s="36" t="s">
        <v>3708</v>
      </c>
      <c r="JD4168" s="230"/>
    </row>
    <row r="4169" spans="1:264" s="36" customFormat="1" x14ac:dyDescent="0.25">
      <c r="A4169" s="36">
        <v>183</v>
      </c>
      <c r="B4169" s="51" t="s">
        <v>3695</v>
      </c>
      <c r="C4169" s="36" t="s">
        <v>3666</v>
      </c>
      <c r="D4169" s="36" t="s">
        <v>3667</v>
      </c>
      <c r="E4169" s="36">
        <v>2011</v>
      </c>
      <c r="F4169" s="36">
        <v>2009</v>
      </c>
      <c r="G4169" s="36" t="s">
        <v>2738</v>
      </c>
      <c r="H4169" s="36" t="s">
        <v>3669</v>
      </c>
      <c r="I4169" s="36" t="s">
        <v>3461</v>
      </c>
      <c r="J4169" s="36">
        <f t="shared" si="547"/>
        <v>31.233333333333334</v>
      </c>
      <c r="K4169" s="36">
        <f t="shared" si="548"/>
        <v>119.88333333333334</v>
      </c>
      <c r="L4169" s="36">
        <v>6.9</v>
      </c>
      <c r="N4169" s="36">
        <v>15.7</v>
      </c>
      <c r="R4169" s="51" t="s">
        <v>1847</v>
      </c>
      <c r="S4169" s="51" t="s">
        <v>1847</v>
      </c>
      <c r="T4169" s="51"/>
      <c r="U4169" s="51" t="s">
        <v>3668</v>
      </c>
      <c r="V4169" s="51" t="s">
        <v>3683</v>
      </c>
      <c r="W4169" s="51"/>
      <c r="X4169" s="51"/>
      <c r="Y4169" s="51"/>
      <c r="Z4169" s="36">
        <v>1.44</v>
      </c>
      <c r="AA4169" s="331"/>
      <c r="AB4169" s="331"/>
      <c r="AD4169" s="36">
        <v>5.6</v>
      </c>
      <c r="AE4169" s="36">
        <v>2.4900000000000002</v>
      </c>
      <c r="AG4169" s="36" t="s">
        <v>3670</v>
      </c>
      <c r="AH4169" s="36" t="s">
        <v>797</v>
      </c>
      <c r="AI4169" s="36" t="s">
        <v>1581</v>
      </c>
      <c r="AJ4169" s="36" t="s">
        <v>3553</v>
      </c>
      <c r="AK4169" s="36" t="s">
        <v>229</v>
      </c>
      <c r="AT4169" s="36" t="s">
        <v>3679</v>
      </c>
      <c r="AU4169" s="36" t="s">
        <v>3680</v>
      </c>
      <c r="AV4169" s="36" t="s">
        <v>177</v>
      </c>
      <c r="AW4169" s="36" t="s">
        <v>160</v>
      </c>
      <c r="AX4169" s="36">
        <v>4</v>
      </c>
      <c r="BB4169" s="36">
        <v>2200</v>
      </c>
      <c r="BC4169" s="36">
        <f t="shared" si="554"/>
        <v>36.037037037037031</v>
      </c>
      <c r="BD4169" s="36" t="s">
        <v>3671</v>
      </c>
      <c r="BE4169" s="36" t="s">
        <v>3705</v>
      </c>
      <c r="BP4169" s="407"/>
      <c r="BQ4169" s="407"/>
      <c r="BU4169" s="407"/>
      <c r="BV4169" s="407"/>
      <c r="BZ4169" s="407"/>
      <c r="CA4169" s="407"/>
      <c r="CE4169" s="560"/>
      <c r="CF4169" s="560"/>
      <c r="CG4169" s="560"/>
      <c r="CH4169" s="560"/>
      <c r="CJ4169" s="36">
        <v>6</v>
      </c>
      <c r="CK4169" s="36">
        <v>13</v>
      </c>
      <c r="CN4169" s="36" t="s">
        <v>3704</v>
      </c>
      <c r="JB4169" s="36" t="s">
        <v>3706</v>
      </c>
      <c r="JC4169" s="36" t="s">
        <v>3708</v>
      </c>
      <c r="JD4169" s="230"/>
    </row>
    <row r="4170" spans="1:264" s="126" customFormat="1" x14ac:dyDescent="0.25">
      <c r="A4170" s="126">
        <v>183</v>
      </c>
      <c r="B4170" s="478" t="s">
        <v>3696</v>
      </c>
      <c r="C4170" s="126" t="s">
        <v>3666</v>
      </c>
      <c r="D4170" s="126" t="s">
        <v>3667</v>
      </c>
      <c r="E4170" s="126">
        <v>2011</v>
      </c>
      <c r="F4170" s="126">
        <v>2008</v>
      </c>
      <c r="G4170" s="126" t="s">
        <v>2738</v>
      </c>
      <c r="H4170" s="126" t="s">
        <v>3669</v>
      </c>
      <c r="I4170" s="126" t="s">
        <v>3461</v>
      </c>
      <c r="J4170" s="126">
        <f t="shared" si="547"/>
        <v>31.233333333333334</v>
      </c>
      <c r="K4170" s="126">
        <f t="shared" si="548"/>
        <v>119.88333333333334</v>
      </c>
      <c r="L4170" s="126">
        <v>6.9</v>
      </c>
      <c r="N4170" s="126">
        <v>15.7</v>
      </c>
      <c r="R4170" s="478" t="s">
        <v>1977</v>
      </c>
      <c r="S4170" s="478" t="s">
        <v>1847</v>
      </c>
      <c r="T4170" s="478"/>
      <c r="U4170" s="478" t="s">
        <v>3668</v>
      </c>
      <c r="V4170" s="478" t="s">
        <v>1388</v>
      </c>
      <c r="W4170" s="478"/>
      <c r="X4170" s="478"/>
      <c r="Y4170" s="478"/>
      <c r="Z4170" s="126">
        <v>1.44</v>
      </c>
      <c r="AA4170" s="479"/>
      <c r="AB4170" s="479"/>
      <c r="AD4170" s="126">
        <v>5.6</v>
      </c>
      <c r="AE4170" s="126">
        <v>2.4900000000000002</v>
      </c>
      <c r="AG4170" s="126" t="s">
        <v>3670</v>
      </c>
      <c r="AH4170" s="126" t="s">
        <v>797</v>
      </c>
      <c r="AI4170" s="126" t="s">
        <v>1581</v>
      </c>
      <c r="AJ4170" s="126" t="s">
        <v>3553</v>
      </c>
      <c r="AK4170" s="126" t="s">
        <v>229</v>
      </c>
      <c r="AT4170" s="126" t="s">
        <v>3681</v>
      </c>
      <c r="AU4170" s="126" t="s">
        <v>3681</v>
      </c>
      <c r="AV4170" s="126" t="s">
        <v>177</v>
      </c>
      <c r="AW4170" s="126" t="s">
        <v>160</v>
      </c>
      <c r="AX4170" s="126">
        <v>4</v>
      </c>
      <c r="BB4170" s="126">
        <v>1300</v>
      </c>
      <c r="BC4170" s="126">
        <f>(BB4170*(1-2.4%))/(BB4170*(2.4%))</f>
        <v>40.666666666666664</v>
      </c>
      <c r="BD4170" s="126" t="s">
        <v>3671</v>
      </c>
      <c r="BE4170" s="126" t="s">
        <v>3705</v>
      </c>
      <c r="BP4170" s="481"/>
      <c r="BQ4170" s="481"/>
      <c r="BU4170" s="481"/>
      <c r="BV4170" s="481"/>
      <c r="BZ4170" s="481"/>
      <c r="CA4170" s="481"/>
      <c r="CE4170" s="605"/>
      <c r="CF4170" s="605"/>
      <c r="CG4170" s="605"/>
      <c r="CH4170" s="605"/>
      <c r="CJ4170" s="126">
        <v>346</v>
      </c>
      <c r="CK4170" s="126">
        <v>210</v>
      </c>
      <c r="CN4170" s="126" t="s">
        <v>3704</v>
      </c>
      <c r="FB4170" s="126">
        <v>90</v>
      </c>
      <c r="FC4170" s="126">
        <v>54</v>
      </c>
      <c r="FD4170" s="126">
        <v>16</v>
      </c>
      <c r="FE4170" s="126">
        <v>12</v>
      </c>
      <c r="FF4170" s="126" t="s">
        <v>3707</v>
      </c>
      <c r="JB4170" s="126" t="s">
        <v>3706</v>
      </c>
      <c r="JC4170" s="126" t="s">
        <v>3708</v>
      </c>
      <c r="JD4170" s="480"/>
    </row>
    <row r="4171" spans="1:264" s="126" customFormat="1" x14ac:dyDescent="0.25">
      <c r="A4171" s="126">
        <v>183</v>
      </c>
      <c r="B4171" s="478" t="s">
        <v>3697</v>
      </c>
      <c r="C4171" s="126" t="s">
        <v>3666</v>
      </c>
      <c r="D4171" s="126" t="s">
        <v>3667</v>
      </c>
      <c r="E4171" s="126">
        <v>2011</v>
      </c>
      <c r="F4171" s="126">
        <v>2008</v>
      </c>
      <c r="G4171" s="126" t="s">
        <v>2738</v>
      </c>
      <c r="H4171" s="126" t="s">
        <v>3669</v>
      </c>
      <c r="I4171" s="126" t="s">
        <v>3461</v>
      </c>
      <c r="J4171" s="126">
        <f t="shared" si="547"/>
        <v>31.233333333333334</v>
      </c>
      <c r="K4171" s="126">
        <f t="shared" si="548"/>
        <v>119.88333333333334</v>
      </c>
      <c r="L4171" s="126">
        <v>6.9</v>
      </c>
      <c r="N4171" s="126">
        <v>15.7</v>
      </c>
      <c r="R4171" s="478" t="s">
        <v>1977</v>
      </c>
      <c r="S4171" s="478" t="s">
        <v>1847</v>
      </c>
      <c r="T4171" s="478"/>
      <c r="U4171" s="478" t="s">
        <v>3668</v>
      </c>
      <c r="V4171" s="478" t="s">
        <v>1392</v>
      </c>
      <c r="W4171" s="478"/>
      <c r="X4171" s="478"/>
      <c r="Y4171" s="478"/>
      <c r="Z4171" s="126">
        <v>1.44</v>
      </c>
      <c r="AA4171" s="479"/>
      <c r="AB4171" s="479"/>
      <c r="AD4171" s="126">
        <v>5.6</v>
      </c>
      <c r="AE4171" s="126">
        <v>2.4900000000000002</v>
      </c>
      <c r="AG4171" s="126" t="s">
        <v>3670</v>
      </c>
      <c r="AH4171" s="126" t="s">
        <v>797</v>
      </c>
      <c r="AI4171" s="126" t="s">
        <v>1581</v>
      </c>
      <c r="AJ4171" s="126" t="s">
        <v>3553</v>
      </c>
      <c r="AK4171" s="126" t="s">
        <v>229</v>
      </c>
      <c r="AT4171" s="126" t="s">
        <v>3681</v>
      </c>
      <c r="AU4171" s="126" t="s">
        <v>3681</v>
      </c>
      <c r="AV4171" s="126" t="s">
        <v>177</v>
      </c>
      <c r="AW4171" s="126" t="s">
        <v>160</v>
      </c>
      <c r="AX4171" s="126">
        <v>4</v>
      </c>
      <c r="BB4171" s="126">
        <v>1300</v>
      </c>
      <c r="BC4171" s="126">
        <f t="shared" ref="BC4171:BC4173" si="555">(BB4171*(1-2.4%))/(BB4171*(2.4%))</f>
        <v>40.666666666666664</v>
      </c>
      <c r="BD4171" s="126" t="s">
        <v>3671</v>
      </c>
      <c r="BE4171" s="126" t="s">
        <v>3705</v>
      </c>
      <c r="BP4171" s="481"/>
      <c r="BQ4171" s="481"/>
      <c r="BU4171" s="481"/>
      <c r="BV4171" s="481"/>
      <c r="BZ4171" s="481"/>
      <c r="CA4171" s="481"/>
      <c r="CE4171" s="605"/>
      <c r="CF4171" s="605"/>
      <c r="CG4171" s="605"/>
      <c r="CH4171" s="605"/>
      <c r="CJ4171" s="126">
        <v>73</v>
      </c>
      <c r="CK4171" s="126">
        <v>60</v>
      </c>
      <c r="CN4171" s="126" t="s">
        <v>3704</v>
      </c>
      <c r="JB4171" s="126" t="s">
        <v>3706</v>
      </c>
      <c r="JC4171" s="126" t="s">
        <v>3708</v>
      </c>
      <c r="JD4171" s="480"/>
    </row>
    <row r="4172" spans="1:264" s="126" customFormat="1" x14ac:dyDescent="0.25">
      <c r="A4172" s="126">
        <v>183</v>
      </c>
      <c r="B4172" s="478" t="s">
        <v>3698</v>
      </c>
      <c r="C4172" s="126" t="s">
        <v>3666</v>
      </c>
      <c r="D4172" s="126" t="s">
        <v>3667</v>
      </c>
      <c r="E4172" s="126">
        <v>2011</v>
      </c>
      <c r="F4172" s="126">
        <v>2008</v>
      </c>
      <c r="G4172" s="126" t="s">
        <v>2738</v>
      </c>
      <c r="H4172" s="126" t="s">
        <v>3669</v>
      </c>
      <c r="I4172" s="126" t="s">
        <v>3461</v>
      </c>
      <c r="J4172" s="126">
        <f t="shared" si="547"/>
        <v>31.233333333333334</v>
      </c>
      <c r="K4172" s="126">
        <f t="shared" si="548"/>
        <v>119.88333333333334</v>
      </c>
      <c r="L4172" s="126">
        <v>6.9</v>
      </c>
      <c r="N4172" s="126">
        <v>15.7</v>
      </c>
      <c r="R4172" s="478" t="s">
        <v>1977</v>
      </c>
      <c r="S4172" s="478" t="s">
        <v>1847</v>
      </c>
      <c r="T4172" s="478"/>
      <c r="U4172" s="478" t="s">
        <v>3668</v>
      </c>
      <c r="V4172" s="478" t="s">
        <v>1383</v>
      </c>
      <c r="W4172" s="478"/>
      <c r="X4172" s="478"/>
      <c r="Y4172" s="478"/>
      <c r="Z4172" s="126">
        <v>1.44</v>
      </c>
      <c r="AA4172" s="479"/>
      <c r="AB4172" s="479"/>
      <c r="AD4172" s="126">
        <v>5.6</v>
      </c>
      <c r="AE4172" s="126">
        <v>2.4900000000000002</v>
      </c>
      <c r="AG4172" s="126" t="s">
        <v>3670</v>
      </c>
      <c r="AH4172" s="126" t="s">
        <v>797</v>
      </c>
      <c r="AI4172" s="126" t="s">
        <v>1581</v>
      </c>
      <c r="AJ4172" s="126" t="s">
        <v>3553</v>
      </c>
      <c r="AK4172" s="126" t="s">
        <v>229</v>
      </c>
      <c r="AT4172" s="126" t="s">
        <v>3681</v>
      </c>
      <c r="AU4172" s="126" t="s">
        <v>3681</v>
      </c>
      <c r="AV4172" s="126" t="s">
        <v>177</v>
      </c>
      <c r="AW4172" s="126" t="s">
        <v>160</v>
      </c>
      <c r="AX4172" s="126">
        <v>4</v>
      </c>
      <c r="BB4172" s="126">
        <v>1300</v>
      </c>
      <c r="BC4172" s="126">
        <f t="shared" si="555"/>
        <v>40.666666666666664</v>
      </c>
      <c r="BD4172" s="126" t="s">
        <v>3671</v>
      </c>
      <c r="BE4172" s="126" t="s">
        <v>3705</v>
      </c>
      <c r="BP4172" s="481"/>
      <c r="BQ4172" s="481"/>
      <c r="BU4172" s="481"/>
      <c r="BV4172" s="481"/>
      <c r="BZ4172" s="481"/>
      <c r="CA4172" s="481"/>
      <c r="CE4172" s="605"/>
      <c r="CF4172" s="605"/>
      <c r="CG4172" s="605"/>
      <c r="CH4172" s="605"/>
      <c r="CJ4172" s="126">
        <v>23</v>
      </c>
      <c r="CK4172" s="126">
        <v>20</v>
      </c>
      <c r="CN4172" s="126" t="s">
        <v>3704</v>
      </c>
      <c r="JB4172" s="126" t="s">
        <v>3706</v>
      </c>
      <c r="JC4172" s="126" t="s">
        <v>3708</v>
      </c>
      <c r="JD4172" s="480"/>
    </row>
    <row r="4173" spans="1:264" s="126" customFormat="1" x14ac:dyDescent="0.25">
      <c r="A4173" s="126">
        <v>183</v>
      </c>
      <c r="B4173" s="478" t="s">
        <v>3699</v>
      </c>
      <c r="C4173" s="126" t="s">
        <v>3666</v>
      </c>
      <c r="D4173" s="126" t="s">
        <v>3667</v>
      </c>
      <c r="E4173" s="126">
        <v>2011</v>
      </c>
      <c r="F4173" s="126">
        <v>2008</v>
      </c>
      <c r="G4173" s="126" t="s">
        <v>2738</v>
      </c>
      <c r="H4173" s="126" t="s">
        <v>3669</v>
      </c>
      <c r="I4173" s="126" t="s">
        <v>3461</v>
      </c>
      <c r="J4173" s="126">
        <f t="shared" si="547"/>
        <v>31.233333333333334</v>
      </c>
      <c r="K4173" s="126">
        <f t="shared" si="548"/>
        <v>119.88333333333334</v>
      </c>
      <c r="L4173" s="126">
        <v>6.9</v>
      </c>
      <c r="N4173" s="126">
        <v>15.7</v>
      </c>
      <c r="R4173" s="478" t="s">
        <v>1977</v>
      </c>
      <c r="S4173" s="478" t="s">
        <v>1847</v>
      </c>
      <c r="T4173" s="478"/>
      <c r="U4173" s="478" t="s">
        <v>3668</v>
      </c>
      <c r="V4173" s="478" t="s">
        <v>3683</v>
      </c>
      <c r="W4173" s="478"/>
      <c r="X4173" s="478"/>
      <c r="Y4173" s="478"/>
      <c r="Z4173" s="126">
        <v>1.44</v>
      </c>
      <c r="AA4173" s="479"/>
      <c r="AB4173" s="479"/>
      <c r="AD4173" s="126">
        <v>5.6</v>
      </c>
      <c r="AE4173" s="126">
        <v>2.4900000000000002</v>
      </c>
      <c r="AG4173" s="126" t="s">
        <v>3670</v>
      </c>
      <c r="AH4173" s="126" t="s">
        <v>797</v>
      </c>
      <c r="AI4173" s="126" t="s">
        <v>1581</v>
      </c>
      <c r="AJ4173" s="126" t="s">
        <v>3553</v>
      </c>
      <c r="AK4173" s="126" t="s">
        <v>229</v>
      </c>
      <c r="AT4173" s="126" t="s">
        <v>3681</v>
      </c>
      <c r="AU4173" s="126" t="s">
        <v>3681</v>
      </c>
      <c r="AV4173" s="126" t="s">
        <v>177</v>
      </c>
      <c r="AW4173" s="126" t="s">
        <v>160</v>
      </c>
      <c r="AX4173" s="126">
        <v>4</v>
      </c>
      <c r="BB4173" s="126">
        <v>1300</v>
      </c>
      <c r="BC4173" s="126">
        <f t="shared" si="555"/>
        <v>40.666666666666664</v>
      </c>
      <c r="BD4173" s="126" t="s">
        <v>3671</v>
      </c>
      <c r="BE4173" s="126" t="s">
        <v>3705</v>
      </c>
      <c r="BP4173" s="481"/>
      <c r="BQ4173" s="481"/>
      <c r="BU4173" s="481"/>
      <c r="BV4173" s="481"/>
      <c r="BZ4173" s="481"/>
      <c r="CA4173" s="481"/>
      <c r="CE4173" s="605"/>
      <c r="CF4173" s="605"/>
      <c r="CG4173" s="605"/>
      <c r="CH4173" s="605"/>
      <c r="CJ4173" s="126">
        <v>18</v>
      </c>
      <c r="CK4173" s="126">
        <v>13</v>
      </c>
      <c r="CN4173" s="126" t="s">
        <v>3704</v>
      </c>
      <c r="JB4173" s="126" t="s">
        <v>3706</v>
      </c>
      <c r="JC4173" s="126" t="s">
        <v>3708</v>
      </c>
      <c r="JD4173" s="480"/>
    </row>
    <row r="4174" spans="1:264" s="126" customFormat="1" x14ac:dyDescent="0.25">
      <c r="A4174" s="126">
        <v>183</v>
      </c>
      <c r="B4174" s="478" t="s">
        <v>3696</v>
      </c>
      <c r="C4174" s="126" t="s">
        <v>3666</v>
      </c>
      <c r="D4174" s="126" t="s">
        <v>3667</v>
      </c>
      <c r="E4174" s="126">
        <v>2011</v>
      </c>
      <c r="F4174" s="126">
        <v>2009</v>
      </c>
      <c r="G4174" s="126" t="s">
        <v>2738</v>
      </c>
      <c r="H4174" s="126" t="s">
        <v>3669</v>
      </c>
      <c r="I4174" s="126" t="s">
        <v>3461</v>
      </c>
      <c r="J4174" s="126">
        <f t="shared" si="547"/>
        <v>31.233333333333334</v>
      </c>
      <c r="K4174" s="126">
        <f t="shared" si="548"/>
        <v>119.88333333333334</v>
      </c>
      <c r="L4174" s="126">
        <v>6.9</v>
      </c>
      <c r="N4174" s="126">
        <v>15.7</v>
      </c>
      <c r="R4174" s="478" t="s">
        <v>1847</v>
      </c>
      <c r="S4174" s="478" t="s">
        <v>1847</v>
      </c>
      <c r="T4174" s="478"/>
      <c r="U4174" s="478" t="s">
        <v>3668</v>
      </c>
      <c r="V4174" s="478" t="s">
        <v>1388</v>
      </c>
      <c r="W4174" s="478"/>
      <c r="X4174" s="478"/>
      <c r="Y4174" s="478"/>
      <c r="Z4174" s="126">
        <v>1.44</v>
      </c>
      <c r="AA4174" s="479"/>
      <c r="AB4174" s="479"/>
      <c r="AD4174" s="126">
        <v>5.6</v>
      </c>
      <c r="AE4174" s="126">
        <v>2.4900000000000002</v>
      </c>
      <c r="AG4174" s="126" t="s">
        <v>3670</v>
      </c>
      <c r="AH4174" s="126" t="s">
        <v>797</v>
      </c>
      <c r="AI4174" s="126" t="s">
        <v>1581</v>
      </c>
      <c r="AJ4174" s="126" t="s">
        <v>3553</v>
      </c>
      <c r="AK4174" s="126" t="s">
        <v>229</v>
      </c>
      <c r="AT4174" s="126" t="s">
        <v>3681</v>
      </c>
      <c r="AU4174" s="126" t="s">
        <v>3681</v>
      </c>
      <c r="AV4174" s="126" t="s">
        <v>177</v>
      </c>
      <c r="AW4174" s="126" t="s">
        <v>160</v>
      </c>
      <c r="AX4174" s="126">
        <v>4</v>
      </c>
      <c r="BB4174" s="126">
        <v>2400</v>
      </c>
      <c r="BC4174" s="126">
        <f>(BB4174*(1-2.5%))/(BB4174*(2.5%))</f>
        <v>39</v>
      </c>
      <c r="BD4174" s="126" t="s">
        <v>3671</v>
      </c>
      <c r="BE4174" s="126" t="s">
        <v>3705</v>
      </c>
      <c r="BP4174" s="481"/>
      <c r="BQ4174" s="481"/>
      <c r="BU4174" s="481"/>
      <c r="BV4174" s="481"/>
      <c r="BZ4174" s="481"/>
      <c r="CA4174" s="481"/>
      <c r="CE4174" s="605"/>
      <c r="CF4174" s="605"/>
      <c r="CG4174" s="605"/>
      <c r="CH4174" s="605"/>
      <c r="CJ4174" s="126">
        <v>178</v>
      </c>
      <c r="CK4174" s="126">
        <v>124</v>
      </c>
      <c r="CN4174" s="126" t="s">
        <v>3704</v>
      </c>
      <c r="FB4174" s="126">
        <v>93</v>
      </c>
      <c r="FC4174" s="126">
        <v>56</v>
      </c>
      <c r="FD4174" s="126">
        <v>13</v>
      </c>
      <c r="FE4174" s="126">
        <v>9</v>
      </c>
      <c r="FF4174" s="126" t="s">
        <v>3707</v>
      </c>
      <c r="JB4174" s="126" t="s">
        <v>3706</v>
      </c>
      <c r="JC4174" s="126" t="s">
        <v>3708</v>
      </c>
      <c r="JD4174" s="480"/>
    </row>
    <row r="4175" spans="1:264" s="126" customFormat="1" x14ac:dyDescent="0.25">
      <c r="A4175" s="126">
        <v>183</v>
      </c>
      <c r="B4175" s="478" t="s">
        <v>3697</v>
      </c>
      <c r="C4175" s="126" t="s">
        <v>3666</v>
      </c>
      <c r="D4175" s="126" t="s">
        <v>3667</v>
      </c>
      <c r="E4175" s="126">
        <v>2011</v>
      </c>
      <c r="F4175" s="126">
        <v>2009</v>
      </c>
      <c r="G4175" s="126" t="s">
        <v>2738</v>
      </c>
      <c r="H4175" s="126" t="s">
        <v>3669</v>
      </c>
      <c r="I4175" s="126" t="s">
        <v>3461</v>
      </c>
      <c r="J4175" s="126">
        <f t="shared" si="547"/>
        <v>31.233333333333334</v>
      </c>
      <c r="K4175" s="126">
        <f t="shared" si="548"/>
        <v>119.88333333333334</v>
      </c>
      <c r="L4175" s="126">
        <v>6.9</v>
      </c>
      <c r="N4175" s="126">
        <v>15.7</v>
      </c>
      <c r="R4175" s="478" t="s">
        <v>1847</v>
      </c>
      <c r="S4175" s="478" t="s">
        <v>1847</v>
      </c>
      <c r="T4175" s="478"/>
      <c r="U4175" s="478" t="s">
        <v>3668</v>
      </c>
      <c r="V4175" s="478" t="s">
        <v>1392</v>
      </c>
      <c r="W4175" s="478"/>
      <c r="X4175" s="478"/>
      <c r="Y4175" s="478"/>
      <c r="Z4175" s="126">
        <v>1.44</v>
      </c>
      <c r="AA4175" s="479"/>
      <c r="AB4175" s="479"/>
      <c r="AD4175" s="126">
        <v>5.6</v>
      </c>
      <c r="AE4175" s="126">
        <v>2.4900000000000002</v>
      </c>
      <c r="AG4175" s="126" t="s">
        <v>3670</v>
      </c>
      <c r="AH4175" s="126" t="s">
        <v>797</v>
      </c>
      <c r="AI4175" s="126" t="s">
        <v>1581</v>
      </c>
      <c r="AJ4175" s="126" t="s">
        <v>3553</v>
      </c>
      <c r="AK4175" s="126" t="s">
        <v>229</v>
      </c>
      <c r="AT4175" s="126" t="s">
        <v>3681</v>
      </c>
      <c r="AU4175" s="126" t="s">
        <v>3681</v>
      </c>
      <c r="AV4175" s="126" t="s">
        <v>177</v>
      </c>
      <c r="AW4175" s="126" t="s">
        <v>160</v>
      </c>
      <c r="AX4175" s="126">
        <v>4</v>
      </c>
      <c r="BB4175" s="126">
        <v>2400</v>
      </c>
      <c r="BC4175" s="126">
        <f t="shared" ref="BC4175:BC4177" si="556">(BB4175*(1-2.5%))/(BB4175*(2.5%))</f>
        <v>39</v>
      </c>
      <c r="BD4175" s="126" t="s">
        <v>3671</v>
      </c>
      <c r="BE4175" s="126" t="s">
        <v>3705</v>
      </c>
      <c r="BP4175" s="481"/>
      <c r="BQ4175" s="481"/>
      <c r="BU4175" s="481"/>
      <c r="BV4175" s="481"/>
      <c r="BZ4175" s="481"/>
      <c r="CA4175" s="481"/>
      <c r="CE4175" s="605"/>
      <c r="CF4175" s="605"/>
      <c r="CG4175" s="605"/>
      <c r="CH4175" s="605"/>
      <c r="CJ4175" s="126">
        <v>83</v>
      </c>
      <c r="CK4175" s="126">
        <v>59</v>
      </c>
      <c r="CN4175" s="126" t="s">
        <v>3704</v>
      </c>
      <c r="JB4175" s="126" t="s">
        <v>3706</v>
      </c>
      <c r="JC4175" s="126" t="s">
        <v>3708</v>
      </c>
      <c r="JD4175" s="480"/>
    </row>
    <row r="4176" spans="1:264" s="126" customFormat="1" x14ac:dyDescent="0.25">
      <c r="A4176" s="126">
        <v>183</v>
      </c>
      <c r="B4176" s="478" t="s">
        <v>3698</v>
      </c>
      <c r="C4176" s="126" t="s">
        <v>3666</v>
      </c>
      <c r="D4176" s="126" t="s">
        <v>3667</v>
      </c>
      <c r="E4176" s="126">
        <v>2011</v>
      </c>
      <c r="F4176" s="126">
        <v>2009</v>
      </c>
      <c r="G4176" s="126" t="s">
        <v>2738</v>
      </c>
      <c r="H4176" s="126" t="s">
        <v>3669</v>
      </c>
      <c r="I4176" s="126" t="s">
        <v>3461</v>
      </c>
      <c r="J4176" s="126">
        <f t="shared" si="547"/>
        <v>31.233333333333334</v>
      </c>
      <c r="K4176" s="126">
        <f t="shared" si="548"/>
        <v>119.88333333333334</v>
      </c>
      <c r="L4176" s="126">
        <v>6.9</v>
      </c>
      <c r="N4176" s="126">
        <v>15.7</v>
      </c>
      <c r="R4176" s="478" t="s">
        <v>1847</v>
      </c>
      <c r="S4176" s="478" t="s">
        <v>1847</v>
      </c>
      <c r="T4176" s="478"/>
      <c r="U4176" s="478" t="s">
        <v>3668</v>
      </c>
      <c r="V4176" s="478" t="s">
        <v>1383</v>
      </c>
      <c r="W4176" s="478"/>
      <c r="X4176" s="478"/>
      <c r="Y4176" s="478"/>
      <c r="Z4176" s="126">
        <v>1.44</v>
      </c>
      <c r="AA4176" s="479"/>
      <c r="AB4176" s="479"/>
      <c r="AD4176" s="126">
        <v>5.6</v>
      </c>
      <c r="AE4176" s="126">
        <v>2.4900000000000002</v>
      </c>
      <c r="AG4176" s="126" t="s">
        <v>3670</v>
      </c>
      <c r="AH4176" s="126" t="s">
        <v>797</v>
      </c>
      <c r="AI4176" s="126" t="s">
        <v>1581</v>
      </c>
      <c r="AJ4176" s="126" t="s">
        <v>3553</v>
      </c>
      <c r="AK4176" s="126" t="s">
        <v>229</v>
      </c>
      <c r="AT4176" s="126" t="s">
        <v>3681</v>
      </c>
      <c r="AU4176" s="126" t="s">
        <v>3681</v>
      </c>
      <c r="AV4176" s="126" t="s">
        <v>177</v>
      </c>
      <c r="AW4176" s="126" t="s">
        <v>160</v>
      </c>
      <c r="AX4176" s="126">
        <v>4</v>
      </c>
      <c r="BB4176" s="126">
        <v>2400</v>
      </c>
      <c r="BC4176" s="126">
        <f t="shared" si="556"/>
        <v>39</v>
      </c>
      <c r="BD4176" s="126" t="s">
        <v>3671</v>
      </c>
      <c r="BE4176" s="126" t="s">
        <v>3705</v>
      </c>
      <c r="BP4176" s="481"/>
      <c r="BQ4176" s="481"/>
      <c r="BU4176" s="481"/>
      <c r="BV4176" s="481"/>
      <c r="BZ4176" s="481"/>
      <c r="CA4176" s="481"/>
      <c r="CE4176" s="605"/>
      <c r="CF4176" s="605"/>
      <c r="CG4176" s="605"/>
      <c r="CH4176" s="605"/>
      <c r="CJ4176" s="126">
        <v>36</v>
      </c>
      <c r="CK4176" s="126">
        <v>31</v>
      </c>
      <c r="CN4176" s="126" t="s">
        <v>3704</v>
      </c>
      <c r="JB4176" s="126" t="s">
        <v>3706</v>
      </c>
      <c r="JC4176" s="126" t="s">
        <v>3708</v>
      </c>
      <c r="JD4176" s="480"/>
    </row>
    <row r="4177" spans="1:264" s="126" customFormat="1" x14ac:dyDescent="0.25">
      <c r="A4177" s="126">
        <v>183</v>
      </c>
      <c r="B4177" s="478" t="s">
        <v>3699</v>
      </c>
      <c r="C4177" s="126" t="s">
        <v>3666</v>
      </c>
      <c r="D4177" s="126" t="s">
        <v>3667</v>
      </c>
      <c r="E4177" s="126">
        <v>2011</v>
      </c>
      <c r="F4177" s="126">
        <v>2009</v>
      </c>
      <c r="G4177" s="126" t="s">
        <v>2738</v>
      </c>
      <c r="H4177" s="126" t="s">
        <v>3669</v>
      </c>
      <c r="I4177" s="126" t="s">
        <v>3461</v>
      </c>
      <c r="J4177" s="126">
        <f t="shared" si="547"/>
        <v>31.233333333333334</v>
      </c>
      <c r="K4177" s="126">
        <f t="shared" si="548"/>
        <v>119.88333333333334</v>
      </c>
      <c r="L4177" s="126">
        <v>6.9</v>
      </c>
      <c r="N4177" s="126">
        <v>15.7</v>
      </c>
      <c r="R4177" s="478" t="s">
        <v>1847</v>
      </c>
      <c r="S4177" s="478" t="s">
        <v>1847</v>
      </c>
      <c r="T4177" s="478"/>
      <c r="U4177" s="478" t="s">
        <v>3668</v>
      </c>
      <c r="V4177" s="478" t="s">
        <v>3683</v>
      </c>
      <c r="W4177" s="478"/>
      <c r="X4177" s="478"/>
      <c r="Y4177" s="478"/>
      <c r="Z4177" s="126">
        <v>1.44</v>
      </c>
      <c r="AA4177" s="479"/>
      <c r="AB4177" s="479"/>
      <c r="AD4177" s="126">
        <v>5.6</v>
      </c>
      <c r="AE4177" s="126">
        <v>2.4900000000000002</v>
      </c>
      <c r="AG4177" s="126" t="s">
        <v>3670</v>
      </c>
      <c r="AH4177" s="126" t="s">
        <v>797</v>
      </c>
      <c r="AI4177" s="126" t="s">
        <v>1581</v>
      </c>
      <c r="AJ4177" s="126" t="s">
        <v>3553</v>
      </c>
      <c r="AK4177" s="126" t="s">
        <v>229</v>
      </c>
      <c r="AT4177" s="126" t="s">
        <v>3681</v>
      </c>
      <c r="AU4177" s="126" t="s">
        <v>3681</v>
      </c>
      <c r="AV4177" s="126" t="s">
        <v>177</v>
      </c>
      <c r="AW4177" s="126" t="s">
        <v>160</v>
      </c>
      <c r="AX4177" s="126">
        <v>4</v>
      </c>
      <c r="BB4177" s="126">
        <v>2400</v>
      </c>
      <c r="BC4177" s="126">
        <f t="shared" si="556"/>
        <v>39</v>
      </c>
      <c r="BD4177" s="126" t="s">
        <v>3671</v>
      </c>
      <c r="BE4177" s="126" t="s">
        <v>3705</v>
      </c>
      <c r="BP4177" s="481"/>
      <c r="BQ4177" s="481"/>
      <c r="BU4177" s="481"/>
      <c r="BV4177" s="481"/>
      <c r="BZ4177" s="481"/>
      <c r="CA4177" s="481"/>
      <c r="CE4177" s="605"/>
      <c r="CF4177" s="605"/>
      <c r="CG4177" s="605"/>
      <c r="CH4177" s="605"/>
      <c r="CJ4177" s="126">
        <v>18</v>
      </c>
      <c r="CK4177" s="126">
        <v>25</v>
      </c>
      <c r="CN4177" s="126" t="s">
        <v>3704</v>
      </c>
      <c r="JB4177" s="126" t="s">
        <v>3706</v>
      </c>
      <c r="JC4177" s="126" t="s">
        <v>3708</v>
      </c>
      <c r="JD4177" s="480"/>
    </row>
    <row r="4178" spans="1:264" s="36" customFormat="1" x14ac:dyDescent="0.25">
      <c r="A4178" s="36">
        <v>183</v>
      </c>
      <c r="B4178" s="51" t="s">
        <v>3700</v>
      </c>
      <c r="C4178" s="36" t="s">
        <v>3666</v>
      </c>
      <c r="D4178" s="36" t="s">
        <v>3667</v>
      </c>
      <c r="E4178" s="36">
        <v>2011</v>
      </c>
      <c r="F4178" s="36">
        <v>2008</v>
      </c>
      <c r="G4178" s="36" t="s">
        <v>2738</v>
      </c>
      <c r="H4178" s="36" t="s">
        <v>3669</v>
      </c>
      <c r="I4178" s="36" t="s">
        <v>3461</v>
      </c>
      <c r="J4178" s="36">
        <f t="shared" si="547"/>
        <v>31.233333333333334</v>
      </c>
      <c r="K4178" s="36">
        <f t="shared" si="548"/>
        <v>119.88333333333334</v>
      </c>
      <c r="L4178" s="36">
        <v>6.9</v>
      </c>
      <c r="N4178" s="36">
        <v>15.7</v>
      </c>
      <c r="R4178" s="51" t="s">
        <v>1977</v>
      </c>
      <c r="S4178" s="51" t="s">
        <v>1847</v>
      </c>
      <c r="T4178" s="51"/>
      <c r="U4178" s="51" t="s">
        <v>3668</v>
      </c>
      <c r="V4178" s="51" t="s">
        <v>1388</v>
      </c>
      <c r="W4178" s="51"/>
      <c r="X4178" s="51"/>
      <c r="Y4178" s="51"/>
      <c r="Z4178" s="36">
        <v>1.44</v>
      </c>
      <c r="AA4178" s="331"/>
      <c r="AB4178" s="331"/>
      <c r="AD4178" s="36">
        <v>5.6</v>
      </c>
      <c r="AE4178" s="36">
        <v>2.4900000000000002</v>
      </c>
      <c r="AG4178" s="36" t="s">
        <v>3670</v>
      </c>
      <c r="AH4178" s="36" t="s">
        <v>797</v>
      </c>
      <c r="AI4178" s="36" t="s">
        <v>1581</v>
      </c>
      <c r="AJ4178" s="36" t="s">
        <v>3553</v>
      </c>
      <c r="AK4178" s="36" t="s">
        <v>229</v>
      </c>
      <c r="AT4178" s="36" t="s">
        <v>3682</v>
      </c>
      <c r="AU4178" s="36" t="s">
        <v>3682</v>
      </c>
      <c r="AV4178" s="36" t="s">
        <v>177</v>
      </c>
      <c r="AW4178" s="36" t="s">
        <v>160</v>
      </c>
      <c r="AX4178" s="36">
        <v>4</v>
      </c>
      <c r="BB4178" s="36">
        <v>1700</v>
      </c>
      <c r="BC4178" s="36">
        <f>(BB4178*(1-2.6%))/(BB4178*(2.6%))</f>
        <v>37.46153846153846</v>
      </c>
      <c r="BD4178" s="36" t="s">
        <v>3671</v>
      </c>
      <c r="BE4178" s="36" t="s">
        <v>3705</v>
      </c>
      <c r="BP4178" s="407"/>
      <c r="BQ4178" s="407"/>
      <c r="BU4178" s="407"/>
      <c r="BV4178" s="407"/>
      <c r="BZ4178" s="407"/>
      <c r="CA4178" s="407"/>
      <c r="CE4178" s="560"/>
      <c r="CF4178" s="560"/>
      <c r="CG4178" s="560"/>
      <c r="CH4178" s="560"/>
      <c r="CJ4178" s="36">
        <v>411</v>
      </c>
      <c r="CK4178" s="36">
        <v>224</v>
      </c>
      <c r="CN4178" s="36" t="s">
        <v>3704</v>
      </c>
      <c r="FB4178" s="36">
        <v>123</v>
      </c>
      <c r="FC4178" s="36">
        <v>76</v>
      </c>
      <c r="FD4178" s="36">
        <v>18</v>
      </c>
      <c r="FE4178" s="36">
        <v>13</v>
      </c>
      <c r="FF4178" s="36" t="s">
        <v>3707</v>
      </c>
      <c r="JB4178" s="36" t="s">
        <v>3706</v>
      </c>
      <c r="JC4178" s="36" t="s">
        <v>3708</v>
      </c>
      <c r="JD4178" s="230"/>
    </row>
    <row r="4179" spans="1:264" s="36" customFormat="1" x14ac:dyDescent="0.25">
      <c r="A4179" s="36">
        <v>183</v>
      </c>
      <c r="B4179" s="51" t="s">
        <v>3701</v>
      </c>
      <c r="C4179" s="36" t="s">
        <v>3666</v>
      </c>
      <c r="D4179" s="36" t="s">
        <v>3667</v>
      </c>
      <c r="E4179" s="36">
        <v>2011</v>
      </c>
      <c r="F4179" s="36">
        <v>2008</v>
      </c>
      <c r="G4179" s="36" t="s">
        <v>2738</v>
      </c>
      <c r="H4179" s="36" t="s">
        <v>3669</v>
      </c>
      <c r="I4179" s="36" t="s">
        <v>3461</v>
      </c>
      <c r="J4179" s="36">
        <f t="shared" si="547"/>
        <v>31.233333333333334</v>
      </c>
      <c r="K4179" s="36">
        <f t="shared" si="548"/>
        <v>119.88333333333334</v>
      </c>
      <c r="L4179" s="36">
        <v>6.9</v>
      </c>
      <c r="N4179" s="36">
        <v>15.7</v>
      </c>
      <c r="R4179" s="51" t="s">
        <v>1977</v>
      </c>
      <c r="S4179" s="51" t="s">
        <v>1847</v>
      </c>
      <c r="T4179" s="51"/>
      <c r="U4179" s="51" t="s">
        <v>3668</v>
      </c>
      <c r="V4179" s="51" t="s">
        <v>1392</v>
      </c>
      <c r="W4179" s="51"/>
      <c r="X4179" s="51"/>
      <c r="Y4179" s="51"/>
      <c r="Z4179" s="36">
        <v>1.44</v>
      </c>
      <c r="AA4179" s="331"/>
      <c r="AB4179" s="331"/>
      <c r="AD4179" s="36">
        <v>5.6</v>
      </c>
      <c r="AE4179" s="36">
        <v>2.4900000000000002</v>
      </c>
      <c r="AG4179" s="36" t="s">
        <v>3670</v>
      </c>
      <c r="AH4179" s="36" t="s">
        <v>797</v>
      </c>
      <c r="AI4179" s="36" t="s">
        <v>1581</v>
      </c>
      <c r="AJ4179" s="36" t="s">
        <v>3553</v>
      </c>
      <c r="AK4179" s="36" t="s">
        <v>229</v>
      </c>
      <c r="AT4179" s="36" t="s">
        <v>3682</v>
      </c>
      <c r="AU4179" s="36" t="s">
        <v>3682</v>
      </c>
      <c r="AV4179" s="36" t="s">
        <v>177</v>
      </c>
      <c r="AW4179" s="36" t="s">
        <v>160</v>
      </c>
      <c r="AX4179" s="36">
        <v>4</v>
      </c>
      <c r="BB4179" s="36">
        <v>1700</v>
      </c>
      <c r="BC4179" s="36">
        <f t="shared" ref="BC4179:BC4181" si="557">(BB4179*(1-2.6%))/(BB4179*(2.6%))</f>
        <v>37.46153846153846</v>
      </c>
      <c r="BD4179" s="36" t="s">
        <v>3671</v>
      </c>
      <c r="BE4179" s="36" t="s">
        <v>3705</v>
      </c>
      <c r="BP4179" s="407"/>
      <c r="BQ4179" s="407"/>
      <c r="BU4179" s="407"/>
      <c r="BV4179" s="407"/>
      <c r="BZ4179" s="407"/>
      <c r="CA4179" s="407"/>
      <c r="CE4179" s="560"/>
      <c r="CF4179" s="560"/>
      <c r="CG4179" s="560"/>
      <c r="CH4179" s="560"/>
      <c r="CJ4179" s="36">
        <v>87</v>
      </c>
      <c r="CK4179" s="36">
        <v>57</v>
      </c>
      <c r="CN4179" s="36" t="s">
        <v>3704</v>
      </c>
      <c r="JB4179" s="36" t="s">
        <v>3706</v>
      </c>
      <c r="JC4179" s="36" t="s">
        <v>3708</v>
      </c>
      <c r="JD4179" s="230"/>
    </row>
    <row r="4180" spans="1:264" s="36" customFormat="1" x14ac:dyDescent="0.25">
      <c r="A4180" s="36">
        <v>183</v>
      </c>
      <c r="B4180" s="51" t="s">
        <v>3702</v>
      </c>
      <c r="C4180" s="36" t="s">
        <v>3666</v>
      </c>
      <c r="D4180" s="36" t="s">
        <v>3667</v>
      </c>
      <c r="E4180" s="36">
        <v>2011</v>
      </c>
      <c r="F4180" s="36">
        <v>2008</v>
      </c>
      <c r="G4180" s="36" t="s">
        <v>2738</v>
      </c>
      <c r="H4180" s="36" t="s">
        <v>3669</v>
      </c>
      <c r="I4180" s="36" t="s">
        <v>3461</v>
      </c>
      <c r="J4180" s="36">
        <f t="shared" si="547"/>
        <v>31.233333333333334</v>
      </c>
      <c r="K4180" s="36">
        <f t="shared" si="548"/>
        <v>119.88333333333334</v>
      </c>
      <c r="L4180" s="36">
        <v>6.9</v>
      </c>
      <c r="N4180" s="36">
        <v>15.7</v>
      </c>
      <c r="R4180" s="51" t="s">
        <v>1977</v>
      </c>
      <c r="S4180" s="51" t="s">
        <v>1847</v>
      </c>
      <c r="T4180" s="51"/>
      <c r="U4180" s="51" t="s">
        <v>3668</v>
      </c>
      <c r="V4180" s="51" t="s">
        <v>1383</v>
      </c>
      <c r="W4180" s="51"/>
      <c r="X4180" s="51"/>
      <c r="Y4180" s="51"/>
      <c r="Z4180" s="36">
        <v>1.44</v>
      </c>
      <c r="AA4180" s="331"/>
      <c r="AB4180" s="331"/>
      <c r="AD4180" s="36">
        <v>5.6</v>
      </c>
      <c r="AE4180" s="36">
        <v>2.4900000000000002</v>
      </c>
      <c r="AG4180" s="36" t="s">
        <v>3670</v>
      </c>
      <c r="AH4180" s="36" t="s">
        <v>797</v>
      </c>
      <c r="AI4180" s="36" t="s">
        <v>1581</v>
      </c>
      <c r="AJ4180" s="36" t="s">
        <v>3553</v>
      </c>
      <c r="AK4180" s="36" t="s">
        <v>229</v>
      </c>
      <c r="AT4180" s="36" t="s">
        <v>3682</v>
      </c>
      <c r="AU4180" s="36" t="s">
        <v>3682</v>
      </c>
      <c r="AV4180" s="36" t="s">
        <v>177</v>
      </c>
      <c r="AW4180" s="36" t="s">
        <v>160</v>
      </c>
      <c r="AX4180" s="36">
        <v>4</v>
      </c>
      <c r="BB4180" s="36">
        <v>1700</v>
      </c>
      <c r="BC4180" s="36">
        <f t="shared" si="557"/>
        <v>37.46153846153846</v>
      </c>
      <c r="BD4180" s="36" t="s">
        <v>3671</v>
      </c>
      <c r="BE4180" s="36" t="s">
        <v>3705</v>
      </c>
      <c r="BP4180" s="407"/>
      <c r="BQ4180" s="407"/>
      <c r="BU4180" s="407"/>
      <c r="BV4180" s="407"/>
      <c r="BZ4180" s="407"/>
      <c r="CA4180" s="407"/>
      <c r="CE4180" s="560"/>
      <c r="CF4180" s="560"/>
      <c r="CG4180" s="560"/>
      <c r="CH4180" s="560"/>
      <c r="CJ4180" s="36">
        <v>34</v>
      </c>
      <c r="CK4180" s="36">
        <v>27</v>
      </c>
      <c r="CN4180" s="36" t="s">
        <v>3704</v>
      </c>
      <c r="JB4180" s="36" t="s">
        <v>3706</v>
      </c>
      <c r="JC4180" s="36" t="s">
        <v>3708</v>
      </c>
      <c r="JD4180" s="230"/>
    </row>
    <row r="4181" spans="1:264" s="36" customFormat="1" x14ac:dyDescent="0.25">
      <c r="A4181" s="36">
        <v>183</v>
      </c>
      <c r="B4181" s="51" t="s">
        <v>3703</v>
      </c>
      <c r="C4181" s="36" t="s">
        <v>3666</v>
      </c>
      <c r="D4181" s="36" t="s">
        <v>3667</v>
      </c>
      <c r="E4181" s="36">
        <v>2011</v>
      </c>
      <c r="F4181" s="36">
        <v>2008</v>
      </c>
      <c r="G4181" s="36" t="s">
        <v>2738</v>
      </c>
      <c r="H4181" s="36" t="s">
        <v>3669</v>
      </c>
      <c r="I4181" s="36" t="s">
        <v>3461</v>
      </c>
      <c r="J4181" s="36">
        <f t="shared" si="547"/>
        <v>31.233333333333334</v>
      </c>
      <c r="K4181" s="36">
        <f t="shared" si="548"/>
        <v>119.88333333333334</v>
      </c>
      <c r="L4181" s="36">
        <v>6.9</v>
      </c>
      <c r="N4181" s="36">
        <v>15.7</v>
      </c>
      <c r="R4181" s="51" t="s">
        <v>1977</v>
      </c>
      <c r="S4181" s="51" t="s">
        <v>1847</v>
      </c>
      <c r="T4181" s="51"/>
      <c r="U4181" s="51" t="s">
        <v>3668</v>
      </c>
      <c r="V4181" s="51" t="s">
        <v>3683</v>
      </c>
      <c r="W4181" s="51"/>
      <c r="X4181" s="51"/>
      <c r="Y4181" s="51"/>
      <c r="Z4181" s="36">
        <v>1.44</v>
      </c>
      <c r="AA4181" s="331"/>
      <c r="AB4181" s="331"/>
      <c r="AD4181" s="36">
        <v>5.6</v>
      </c>
      <c r="AE4181" s="36">
        <v>2.4900000000000002</v>
      </c>
      <c r="AG4181" s="36" t="s">
        <v>3670</v>
      </c>
      <c r="AH4181" s="36" t="s">
        <v>797</v>
      </c>
      <c r="AI4181" s="36" t="s">
        <v>1581</v>
      </c>
      <c r="AJ4181" s="36" t="s">
        <v>3553</v>
      </c>
      <c r="AK4181" s="36" t="s">
        <v>229</v>
      </c>
      <c r="AT4181" s="36" t="s">
        <v>3682</v>
      </c>
      <c r="AU4181" s="36" t="s">
        <v>3682</v>
      </c>
      <c r="AV4181" s="36" t="s">
        <v>177</v>
      </c>
      <c r="AW4181" s="36" t="s">
        <v>160</v>
      </c>
      <c r="AX4181" s="36">
        <v>4</v>
      </c>
      <c r="BB4181" s="36">
        <v>1700</v>
      </c>
      <c r="BC4181" s="36">
        <f t="shared" si="557"/>
        <v>37.46153846153846</v>
      </c>
      <c r="BD4181" s="36" t="s">
        <v>3671</v>
      </c>
      <c r="BE4181" s="36" t="s">
        <v>3705</v>
      </c>
      <c r="BP4181" s="407"/>
      <c r="BQ4181" s="407"/>
      <c r="BU4181" s="407"/>
      <c r="BV4181" s="407"/>
      <c r="BZ4181" s="407"/>
      <c r="CA4181" s="407"/>
      <c r="CE4181" s="560"/>
      <c r="CF4181" s="560"/>
      <c r="CG4181" s="560"/>
      <c r="CH4181" s="560"/>
      <c r="CJ4181" s="36">
        <v>24</v>
      </c>
      <c r="CK4181" s="36">
        <v>17</v>
      </c>
      <c r="CN4181" s="36" t="s">
        <v>3704</v>
      </c>
      <c r="JB4181" s="36" t="s">
        <v>3706</v>
      </c>
      <c r="JC4181" s="36" t="s">
        <v>3708</v>
      </c>
      <c r="JD4181" s="230"/>
    </row>
    <row r="4182" spans="1:264" s="36" customFormat="1" x14ac:dyDescent="0.25">
      <c r="A4182" s="36">
        <v>183</v>
      </c>
      <c r="B4182" s="51" t="s">
        <v>3700</v>
      </c>
      <c r="C4182" s="36" t="s">
        <v>3666</v>
      </c>
      <c r="D4182" s="36" t="s">
        <v>3667</v>
      </c>
      <c r="E4182" s="36">
        <v>2011</v>
      </c>
      <c r="F4182" s="36">
        <v>2009</v>
      </c>
      <c r="G4182" s="36" t="s">
        <v>2738</v>
      </c>
      <c r="H4182" s="36" t="s">
        <v>3669</v>
      </c>
      <c r="I4182" s="36" t="s">
        <v>3461</v>
      </c>
      <c r="J4182" s="36">
        <f t="shared" si="547"/>
        <v>31.233333333333334</v>
      </c>
      <c r="K4182" s="36">
        <f t="shared" si="548"/>
        <v>119.88333333333334</v>
      </c>
      <c r="L4182" s="36">
        <v>6.9</v>
      </c>
      <c r="N4182" s="36">
        <v>15.7</v>
      </c>
      <c r="R4182" s="51" t="s">
        <v>1847</v>
      </c>
      <c r="S4182" s="51" t="s">
        <v>1847</v>
      </c>
      <c r="T4182" s="51"/>
      <c r="U4182" s="51" t="s">
        <v>3668</v>
      </c>
      <c r="V4182" s="51" t="s">
        <v>1388</v>
      </c>
      <c r="W4182" s="51"/>
      <c r="X4182" s="51"/>
      <c r="Y4182" s="51"/>
      <c r="Z4182" s="36">
        <v>1.44</v>
      </c>
      <c r="AA4182" s="331"/>
      <c r="AB4182" s="331"/>
      <c r="AD4182" s="36">
        <v>5.6</v>
      </c>
      <c r="AE4182" s="36">
        <v>2.4900000000000002</v>
      </c>
      <c r="AG4182" s="36" t="s">
        <v>3670</v>
      </c>
      <c r="AH4182" s="36" t="s">
        <v>797</v>
      </c>
      <c r="AI4182" s="36" t="s">
        <v>1581</v>
      </c>
      <c r="AJ4182" s="36" t="s">
        <v>3553</v>
      </c>
      <c r="AK4182" s="36" t="s">
        <v>229</v>
      </c>
      <c r="AT4182" s="36" t="s">
        <v>3682</v>
      </c>
      <c r="AU4182" s="36" t="s">
        <v>3682</v>
      </c>
      <c r="AV4182" s="36" t="s">
        <v>177</v>
      </c>
      <c r="AW4182" s="36" t="s">
        <v>160</v>
      </c>
      <c r="AX4182" s="36">
        <v>4</v>
      </c>
      <c r="BB4182" s="36">
        <v>2500</v>
      </c>
      <c r="BC4182" s="36">
        <f>(BB4182*(1-2.2%))/(BB4182*(2.2%))</f>
        <v>44.454545454545446</v>
      </c>
      <c r="BD4182" s="36" t="s">
        <v>3671</v>
      </c>
      <c r="BE4182" s="36" t="s">
        <v>3705</v>
      </c>
      <c r="BP4182" s="407"/>
      <c r="BQ4182" s="407"/>
      <c r="BU4182" s="407"/>
      <c r="BV4182" s="407"/>
      <c r="BZ4182" s="407"/>
      <c r="CA4182" s="407"/>
      <c r="CE4182" s="560"/>
      <c r="CF4182" s="560"/>
      <c r="CG4182" s="560"/>
      <c r="CH4182" s="560"/>
      <c r="CJ4182" s="36">
        <v>200</v>
      </c>
      <c r="CK4182" s="36">
        <v>165</v>
      </c>
      <c r="CN4182" s="36" t="s">
        <v>3704</v>
      </c>
      <c r="FB4182" s="36">
        <v>95</v>
      </c>
      <c r="FC4182" s="36">
        <v>64</v>
      </c>
      <c r="FD4182" s="36">
        <v>15</v>
      </c>
      <c r="FE4182" s="36">
        <v>10</v>
      </c>
      <c r="FF4182" s="36" t="s">
        <v>3707</v>
      </c>
      <c r="JB4182" s="36" t="s">
        <v>3706</v>
      </c>
      <c r="JC4182" s="36" t="s">
        <v>3708</v>
      </c>
      <c r="JD4182" s="230"/>
    </row>
    <row r="4183" spans="1:264" s="36" customFormat="1" x14ac:dyDescent="0.25">
      <c r="A4183" s="36">
        <v>183</v>
      </c>
      <c r="B4183" s="51" t="s">
        <v>3701</v>
      </c>
      <c r="C4183" s="36" t="s">
        <v>3666</v>
      </c>
      <c r="D4183" s="36" t="s">
        <v>3667</v>
      </c>
      <c r="E4183" s="36">
        <v>2011</v>
      </c>
      <c r="F4183" s="36">
        <v>2009</v>
      </c>
      <c r="G4183" s="36" t="s">
        <v>2738</v>
      </c>
      <c r="H4183" s="36" t="s">
        <v>3669</v>
      </c>
      <c r="I4183" s="36" t="s">
        <v>3461</v>
      </c>
      <c r="J4183" s="36">
        <f t="shared" si="547"/>
        <v>31.233333333333334</v>
      </c>
      <c r="K4183" s="36">
        <f t="shared" si="548"/>
        <v>119.88333333333334</v>
      </c>
      <c r="L4183" s="36">
        <v>6.9</v>
      </c>
      <c r="N4183" s="36">
        <v>15.7</v>
      </c>
      <c r="R4183" s="51" t="s">
        <v>1847</v>
      </c>
      <c r="S4183" s="51" t="s">
        <v>1847</v>
      </c>
      <c r="T4183" s="51"/>
      <c r="U4183" s="51" t="s">
        <v>3668</v>
      </c>
      <c r="V4183" s="51" t="s">
        <v>1392</v>
      </c>
      <c r="W4183" s="51"/>
      <c r="X4183" s="51"/>
      <c r="Y4183" s="51"/>
      <c r="Z4183" s="36">
        <v>1.44</v>
      </c>
      <c r="AA4183" s="331"/>
      <c r="AB4183" s="331"/>
      <c r="AD4183" s="36">
        <v>5.6</v>
      </c>
      <c r="AE4183" s="36">
        <v>2.4900000000000002</v>
      </c>
      <c r="AG4183" s="36" t="s">
        <v>3670</v>
      </c>
      <c r="AH4183" s="36" t="s">
        <v>797</v>
      </c>
      <c r="AI4183" s="36" t="s">
        <v>1581</v>
      </c>
      <c r="AJ4183" s="36" t="s">
        <v>3553</v>
      </c>
      <c r="AK4183" s="36" t="s">
        <v>229</v>
      </c>
      <c r="AT4183" s="36" t="s">
        <v>3682</v>
      </c>
      <c r="AU4183" s="36" t="s">
        <v>3682</v>
      </c>
      <c r="AV4183" s="36" t="s">
        <v>177</v>
      </c>
      <c r="AW4183" s="36" t="s">
        <v>160</v>
      </c>
      <c r="AX4183" s="36">
        <v>4</v>
      </c>
      <c r="BB4183" s="36">
        <v>2500</v>
      </c>
      <c r="BC4183" s="36">
        <f t="shared" ref="BC4183:BC4185" si="558">(BB4183*(1-2.2%))/(BB4183*(2.2%))</f>
        <v>44.454545454545446</v>
      </c>
      <c r="BD4183" s="36" t="s">
        <v>3671</v>
      </c>
      <c r="BE4183" s="36" t="s">
        <v>3705</v>
      </c>
      <c r="BP4183" s="407"/>
      <c r="BQ4183" s="407"/>
      <c r="BU4183" s="407"/>
      <c r="BV4183" s="407"/>
      <c r="BZ4183" s="407"/>
      <c r="CA4183" s="407"/>
      <c r="CE4183" s="560"/>
      <c r="CF4183" s="560"/>
      <c r="CG4183" s="560"/>
      <c r="CH4183" s="560"/>
      <c r="CJ4183" s="36">
        <v>120</v>
      </c>
      <c r="CK4183" s="36">
        <v>102</v>
      </c>
      <c r="CN4183" s="36" t="s">
        <v>3704</v>
      </c>
      <c r="JB4183" s="36" t="s">
        <v>3706</v>
      </c>
      <c r="JC4183" s="36" t="s">
        <v>3708</v>
      </c>
      <c r="JD4183" s="230"/>
    </row>
    <row r="4184" spans="1:264" s="36" customFormat="1" x14ac:dyDescent="0.25">
      <c r="A4184" s="36">
        <v>183</v>
      </c>
      <c r="B4184" s="51" t="s">
        <v>3702</v>
      </c>
      <c r="C4184" s="36" t="s">
        <v>3666</v>
      </c>
      <c r="D4184" s="36" t="s">
        <v>3667</v>
      </c>
      <c r="E4184" s="36">
        <v>2011</v>
      </c>
      <c r="F4184" s="36">
        <v>2009</v>
      </c>
      <c r="G4184" s="36" t="s">
        <v>2738</v>
      </c>
      <c r="H4184" s="36" t="s">
        <v>3669</v>
      </c>
      <c r="I4184" s="36" t="s">
        <v>3461</v>
      </c>
      <c r="J4184" s="36">
        <f t="shared" si="547"/>
        <v>31.233333333333334</v>
      </c>
      <c r="K4184" s="36">
        <f t="shared" si="548"/>
        <v>119.88333333333334</v>
      </c>
      <c r="L4184" s="36">
        <v>6.9</v>
      </c>
      <c r="N4184" s="36">
        <v>15.7</v>
      </c>
      <c r="R4184" s="51" t="s">
        <v>1847</v>
      </c>
      <c r="S4184" s="51" t="s">
        <v>1847</v>
      </c>
      <c r="T4184" s="51"/>
      <c r="U4184" s="51" t="s">
        <v>3668</v>
      </c>
      <c r="V4184" s="51" t="s">
        <v>1383</v>
      </c>
      <c r="W4184" s="51"/>
      <c r="X4184" s="51"/>
      <c r="Y4184" s="51"/>
      <c r="Z4184" s="36">
        <v>1.44</v>
      </c>
      <c r="AA4184" s="331"/>
      <c r="AB4184" s="331"/>
      <c r="AD4184" s="36">
        <v>5.6</v>
      </c>
      <c r="AE4184" s="36">
        <v>2.4900000000000002</v>
      </c>
      <c r="AG4184" s="36" t="s">
        <v>3670</v>
      </c>
      <c r="AH4184" s="36" t="s">
        <v>797</v>
      </c>
      <c r="AI4184" s="36" t="s">
        <v>1581</v>
      </c>
      <c r="AJ4184" s="36" t="s">
        <v>3553</v>
      </c>
      <c r="AK4184" s="36" t="s">
        <v>229</v>
      </c>
      <c r="AT4184" s="36" t="s">
        <v>3682</v>
      </c>
      <c r="AU4184" s="36" t="s">
        <v>3682</v>
      </c>
      <c r="AV4184" s="36" t="s">
        <v>177</v>
      </c>
      <c r="AW4184" s="36" t="s">
        <v>160</v>
      </c>
      <c r="AX4184" s="36">
        <v>4</v>
      </c>
      <c r="BB4184" s="36">
        <v>2500</v>
      </c>
      <c r="BC4184" s="36">
        <f t="shared" si="558"/>
        <v>44.454545454545446</v>
      </c>
      <c r="BD4184" s="36" t="s">
        <v>3671</v>
      </c>
      <c r="BE4184" s="36" t="s">
        <v>3705</v>
      </c>
      <c r="BP4184" s="407"/>
      <c r="BQ4184" s="407"/>
      <c r="BU4184" s="407"/>
      <c r="BV4184" s="407"/>
      <c r="BZ4184" s="407"/>
      <c r="CA4184" s="407"/>
      <c r="CE4184" s="560"/>
      <c r="CF4184" s="560"/>
      <c r="CG4184" s="560"/>
      <c r="CH4184" s="560"/>
      <c r="CJ4184" s="36">
        <v>40</v>
      </c>
      <c r="CK4184" s="36">
        <v>35</v>
      </c>
      <c r="CN4184" s="36" t="s">
        <v>3704</v>
      </c>
      <c r="JB4184" s="36" t="s">
        <v>3706</v>
      </c>
      <c r="JC4184" s="36" t="s">
        <v>3708</v>
      </c>
      <c r="JD4184" s="230"/>
    </row>
    <row r="4185" spans="1:264" s="36" customFormat="1" x14ac:dyDescent="0.25">
      <c r="A4185" s="36">
        <v>183</v>
      </c>
      <c r="B4185" s="51" t="s">
        <v>3703</v>
      </c>
      <c r="C4185" s="36" t="s">
        <v>3666</v>
      </c>
      <c r="D4185" s="36" t="s">
        <v>3667</v>
      </c>
      <c r="E4185" s="36">
        <v>2011</v>
      </c>
      <c r="F4185" s="36">
        <v>2009</v>
      </c>
      <c r="G4185" s="36" t="s">
        <v>2738</v>
      </c>
      <c r="H4185" s="36" t="s">
        <v>3669</v>
      </c>
      <c r="I4185" s="36" t="s">
        <v>3461</v>
      </c>
      <c r="J4185" s="36">
        <f t="shared" si="547"/>
        <v>31.233333333333334</v>
      </c>
      <c r="K4185" s="36">
        <f t="shared" si="548"/>
        <v>119.88333333333334</v>
      </c>
      <c r="L4185" s="36">
        <v>6.9</v>
      </c>
      <c r="N4185" s="36">
        <v>15.7</v>
      </c>
      <c r="R4185" s="51" t="s">
        <v>1847</v>
      </c>
      <c r="S4185" s="51" t="s">
        <v>1847</v>
      </c>
      <c r="T4185" s="51"/>
      <c r="U4185" s="51" t="s">
        <v>3668</v>
      </c>
      <c r="V4185" s="51" t="s">
        <v>3683</v>
      </c>
      <c r="W4185" s="51"/>
      <c r="X4185" s="51"/>
      <c r="Y4185" s="51"/>
      <c r="Z4185" s="36">
        <v>1.44</v>
      </c>
      <c r="AA4185" s="331"/>
      <c r="AB4185" s="331"/>
      <c r="AD4185" s="36">
        <v>5.6</v>
      </c>
      <c r="AE4185" s="36">
        <v>2.4900000000000002</v>
      </c>
      <c r="AG4185" s="36" t="s">
        <v>3670</v>
      </c>
      <c r="AH4185" s="36" t="s">
        <v>797</v>
      </c>
      <c r="AI4185" s="36" t="s">
        <v>1581</v>
      </c>
      <c r="AJ4185" s="36" t="s">
        <v>3553</v>
      </c>
      <c r="AK4185" s="36" t="s">
        <v>229</v>
      </c>
      <c r="AT4185" s="36" t="s">
        <v>3682</v>
      </c>
      <c r="AU4185" s="36" t="s">
        <v>3682</v>
      </c>
      <c r="AV4185" s="36" t="s">
        <v>177</v>
      </c>
      <c r="AW4185" s="36" t="s">
        <v>160</v>
      </c>
      <c r="AX4185" s="36">
        <v>4</v>
      </c>
      <c r="BB4185" s="36">
        <v>2500</v>
      </c>
      <c r="BC4185" s="36">
        <f t="shared" si="558"/>
        <v>44.454545454545446</v>
      </c>
      <c r="BD4185" s="36" t="s">
        <v>3671</v>
      </c>
      <c r="BE4185" s="36" t="s">
        <v>3705</v>
      </c>
      <c r="BP4185" s="407"/>
      <c r="BQ4185" s="407"/>
      <c r="BU4185" s="407"/>
      <c r="BV4185" s="407"/>
      <c r="BZ4185" s="407"/>
      <c r="CA4185" s="407"/>
      <c r="CE4185" s="560"/>
      <c r="CF4185" s="560"/>
      <c r="CG4185" s="560"/>
      <c r="CH4185" s="560"/>
      <c r="CJ4185" s="36">
        <v>15</v>
      </c>
      <c r="CK4185" s="36">
        <v>34</v>
      </c>
      <c r="CN4185" s="36" t="s">
        <v>3704</v>
      </c>
      <c r="JB4185" s="36" t="s">
        <v>3706</v>
      </c>
      <c r="JC4185" s="36" t="s">
        <v>3708</v>
      </c>
      <c r="JD4185" s="230"/>
    </row>
    <row r="4186" spans="1:264" s="24" customFormat="1" x14ac:dyDescent="0.25">
      <c r="A4186" s="24">
        <v>184</v>
      </c>
      <c r="B4186" s="42" t="s">
        <v>3716</v>
      </c>
      <c r="C4186" s="24" t="s">
        <v>3709</v>
      </c>
      <c r="D4186" s="24" t="s">
        <v>3710</v>
      </c>
      <c r="E4186" s="24">
        <v>2014</v>
      </c>
      <c r="F4186" s="24">
        <v>2012</v>
      </c>
      <c r="G4186" s="24" t="s">
        <v>3711</v>
      </c>
      <c r="H4186" s="24" t="s">
        <v>3712</v>
      </c>
      <c r="I4186" s="24" t="s">
        <v>3461</v>
      </c>
      <c r="J4186" s="24">
        <f t="shared" ref="J4186:J4225" si="559">28+12/60</f>
        <v>28.2</v>
      </c>
      <c r="K4186" s="24">
        <f t="shared" ref="K4186:K4225" si="560">113+4.8/60</f>
        <v>113.08</v>
      </c>
      <c r="L4186" s="24">
        <v>45.8</v>
      </c>
      <c r="N4186" s="24">
        <v>17.100000000000001</v>
      </c>
      <c r="P4186" s="24">
        <v>1500</v>
      </c>
      <c r="R4186" s="42" t="s">
        <v>1975</v>
      </c>
      <c r="S4186" s="42" t="s">
        <v>1719</v>
      </c>
      <c r="T4186" s="42"/>
      <c r="U4186" s="42" t="s">
        <v>3713</v>
      </c>
      <c r="V4186" s="42" t="s">
        <v>1379</v>
      </c>
      <c r="W4186" s="42"/>
      <c r="X4186" s="42"/>
      <c r="Y4186" s="42"/>
      <c r="AA4186" s="321"/>
      <c r="AB4186" s="321"/>
      <c r="AC4186" s="24" t="s">
        <v>672</v>
      </c>
      <c r="AD4186" s="24">
        <v>5.4</v>
      </c>
      <c r="AE4186" s="24">
        <v>1.33</v>
      </c>
      <c r="AH4186" s="24" t="s">
        <v>115</v>
      </c>
      <c r="AI4186" s="24" t="s">
        <v>1581</v>
      </c>
      <c r="AJ4186" s="24" t="s">
        <v>1128</v>
      </c>
      <c r="AK4186" s="24" t="s">
        <v>1646</v>
      </c>
      <c r="AW4186" s="24" t="s">
        <v>160</v>
      </c>
      <c r="AX4186" s="24">
        <v>3</v>
      </c>
      <c r="AZ4186" s="24" t="s">
        <v>141</v>
      </c>
      <c r="BE4186" s="24" t="s">
        <v>3714</v>
      </c>
      <c r="BK4186" s="24">
        <f>0.5*14359</f>
        <v>7179.5</v>
      </c>
      <c r="BL4186" s="24">
        <f>0.5*13800.23</f>
        <v>6900.1149999999998</v>
      </c>
      <c r="BM4186" s="24">
        <f>0.5*414.51</f>
        <v>207.255</v>
      </c>
      <c r="BN4186" s="24">
        <f>0.5*398.38</f>
        <v>199.19</v>
      </c>
      <c r="BO4186" s="24" t="s">
        <v>3725</v>
      </c>
      <c r="BP4186" s="395"/>
      <c r="BQ4186" s="395"/>
      <c r="BU4186" s="395"/>
      <c r="BV4186" s="395"/>
      <c r="BZ4186" s="395"/>
      <c r="CA4186" s="395"/>
      <c r="CE4186" s="548"/>
      <c r="CF4186" s="548"/>
      <c r="CG4186" s="548"/>
      <c r="CH4186" s="548"/>
      <c r="HO4186" s="24">
        <f>10*0.038</f>
        <v>0.38</v>
      </c>
      <c r="HP4186" s="24">
        <f>10*0.088</f>
        <v>0.87999999999999989</v>
      </c>
      <c r="HQ4186" s="24">
        <f>10*SQRT(3)*0.001</f>
        <v>1.7320508075688773E-2</v>
      </c>
      <c r="HR4186" s="24">
        <f>10*SQRT(3)*0.003</f>
        <v>5.1961524227066312E-2</v>
      </c>
      <c r="HS4186" s="24" t="s">
        <v>3721</v>
      </c>
      <c r="II4186" s="24">
        <f>10*6.732</f>
        <v>67.320000000000007</v>
      </c>
      <c r="IJ4186" s="24">
        <f>10*14.235</f>
        <v>142.35</v>
      </c>
      <c r="IK4186" s="24">
        <f>10*SQRT(3)*0.194</f>
        <v>3.3601785666836217</v>
      </c>
      <c r="IL4186" s="24">
        <f>10*SQRT(3)*0.411</f>
        <v>7.1187288191080844</v>
      </c>
      <c r="IM4186" s="24" t="s">
        <v>3721</v>
      </c>
      <c r="JD4186" s="249"/>
    </row>
    <row r="4187" spans="1:264" s="24" customFormat="1" x14ac:dyDescent="0.25">
      <c r="A4187" s="24">
        <v>184</v>
      </c>
      <c r="B4187" s="42" t="s">
        <v>3717</v>
      </c>
      <c r="C4187" s="24" t="s">
        <v>3709</v>
      </c>
      <c r="D4187" s="24" t="s">
        <v>3710</v>
      </c>
      <c r="E4187" s="24">
        <v>2014</v>
      </c>
      <c r="F4187" s="24">
        <v>2012</v>
      </c>
      <c r="G4187" s="24" t="s">
        <v>3711</v>
      </c>
      <c r="H4187" s="24" t="s">
        <v>3712</v>
      </c>
      <c r="I4187" s="24" t="s">
        <v>3461</v>
      </c>
      <c r="J4187" s="24">
        <f t="shared" si="559"/>
        <v>28.2</v>
      </c>
      <c r="K4187" s="24">
        <f t="shared" si="560"/>
        <v>113.08</v>
      </c>
      <c r="L4187" s="24">
        <v>45.8</v>
      </c>
      <c r="N4187" s="24">
        <v>17.100000000000001</v>
      </c>
      <c r="P4187" s="24">
        <v>1500</v>
      </c>
      <c r="R4187" s="42" t="s">
        <v>1975</v>
      </c>
      <c r="S4187" s="42" t="s">
        <v>1719</v>
      </c>
      <c r="T4187" s="42"/>
      <c r="U4187" s="42" t="s">
        <v>3713</v>
      </c>
      <c r="V4187" s="42" t="s">
        <v>1379</v>
      </c>
      <c r="W4187" s="42"/>
      <c r="X4187" s="42"/>
      <c r="Y4187" s="42"/>
      <c r="AA4187" s="321"/>
      <c r="AB4187" s="321"/>
      <c r="AC4187" s="24" t="s">
        <v>672</v>
      </c>
      <c r="AD4187" s="24">
        <v>5.4</v>
      </c>
      <c r="AE4187" s="24">
        <v>1.33</v>
      </c>
      <c r="AH4187" s="24" t="s">
        <v>3657</v>
      </c>
      <c r="AI4187" s="24" t="s">
        <v>577</v>
      </c>
      <c r="AJ4187" s="24" t="s">
        <v>1128</v>
      </c>
      <c r="AK4187" s="24" t="s">
        <v>1646</v>
      </c>
      <c r="AW4187" s="24" t="s">
        <v>160</v>
      </c>
      <c r="AX4187" s="24">
        <v>3</v>
      </c>
      <c r="AZ4187" s="24" t="s">
        <v>141</v>
      </c>
      <c r="BE4187" s="24" t="s">
        <v>3714</v>
      </c>
      <c r="BK4187" s="24">
        <f>0.5*14359</f>
        <v>7179.5</v>
      </c>
      <c r="BL4187" s="24">
        <f>0.5*15089.3</f>
        <v>7544.65</v>
      </c>
      <c r="BM4187" s="24">
        <f>0.5*414.51</f>
        <v>207.255</v>
      </c>
      <c r="BN4187" s="24">
        <f>0.5*435.59</f>
        <v>217.79499999999999</v>
      </c>
      <c r="BO4187" s="24" t="s">
        <v>3725</v>
      </c>
      <c r="BP4187" s="395"/>
      <c r="BQ4187" s="395"/>
      <c r="BU4187" s="395"/>
      <c r="BV4187" s="395"/>
      <c r="BZ4187" s="395"/>
      <c r="CA4187" s="395"/>
      <c r="CE4187" s="548"/>
      <c r="CF4187" s="548"/>
      <c r="CG4187" s="548"/>
      <c r="CH4187" s="548"/>
      <c r="HO4187" s="24">
        <f>10*0.038</f>
        <v>0.38</v>
      </c>
      <c r="HP4187" s="24">
        <f>10*0.101</f>
        <v>1.01</v>
      </c>
      <c r="HQ4187" s="24">
        <f>10*SQRT(3)*0.001</f>
        <v>1.7320508075688773E-2</v>
      </c>
      <c r="HR4187" s="24">
        <f>10*SQRT(3)*0.003</f>
        <v>5.1961524227066312E-2</v>
      </c>
      <c r="HS4187" s="24" t="s">
        <v>3721</v>
      </c>
      <c r="II4187" s="24">
        <f>10*6.732</f>
        <v>67.320000000000007</v>
      </c>
      <c r="IJ4187" s="24">
        <f>10*12.092</f>
        <v>120.92</v>
      </c>
      <c r="IK4187" s="24">
        <f>10*SQRT(3)*0.194</f>
        <v>3.3601785666836217</v>
      </c>
      <c r="IL4187" s="24">
        <f>10*SQRT(3)*0.349</f>
        <v>6.0448573184153807</v>
      </c>
      <c r="IM4187" s="24" t="s">
        <v>3721</v>
      </c>
      <c r="JD4187" s="249"/>
    </row>
    <row r="4188" spans="1:264" s="24" customFormat="1" x14ac:dyDescent="0.25">
      <c r="A4188" s="24">
        <v>184</v>
      </c>
      <c r="B4188" s="42" t="s">
        <v>3722</v>
      </c>
      <c r="C4188" s="24" t="s">
        <v>3709</v>
      </c>
      <c r="D4188" s="24" t="s">
        <v>3710</v>
      </c>
      <c r="E4188" s="24">
        <v>2014</v>
      </c>
      <c r="F4188" s="24">
        <v>2012</v>
      </c>
      <c r="G4188" s="24" t="s">
        <v>3711</v>
      </c>
      <c r="H4188" s="24" t="s">
        <v>3712</v>
      </c>
      <c r="I4188" s="24" t="s">
        <v>3461</v>
      </c>
      <c r="J4188" s="24">
        <f t="shared" si="559"/>
        <v>28.2</v>
      </c>
      <c r="K4188" s="24">
        <f t="shared" si="560"/>
        <v>113.08</v>
      </c>
      <c r="L4188" s="24">
        <v>45.8</v>
      </c>
      <c r="N4188" s="24">
        <v>17.100000000000001</v>
      </c>
      <c r="P4188" s="24">
        <v>1500</v>
      </c>
      <c r="R4188" s="42" t="s">
        <v>1975</v>
      </c>
      <c r="S4188" s="42" t="s">
        <v>1719</v>
      </c>
      <c r="T4188" s="42"/>
      <c r="U4188" s="42" t="s">
        <v>3713</v>
      </c>
      <c r="V4188" s="42" t="s">
        <v>1379</v>
      </c>
      <c r="W4188" s="42"/>
      <c r="X4188" s="42"/>
      <c r="Y4188" s="42"/>
      <c r="AA4188" s="321"/>
      <c r="AB4188" s="321"/>
      <c r="AC4188" s="24" t="s">
        <v>672</v>
      </c>
      <c r="AD4188" s="24">
        <v>5.4</v>
      </c>
      <c r="AE4188" s="24">
        <v>1.33</v>
      </c>
      <c r="AH4188" s="24" t="s">
        <v>115</v>
      </c>
      <c r="AI4188" s="24" t="s">
        <v>1581</v>
      </c>
      <c r="AJ4188" s="24" t="s">
        <v>1128</v>
      </c>
      <c r="AK4188" s="24" t="s">
        <v>1646</v>
      </c>
      <c r="AW4188" s="24" t="s">
        <v>160</v>
      </c>
      <c r="AX4188" s="24">
        <v>3</v>
      </c>
      <c r="AZ4188" s="24" t="s">
        <v>141</v>
      </c>
      <c r="BE4188" s="24" t="s">
        <v>3715</v>
      </c>
      <c r="BP4188" s="395"/>
      <c r="BQ4188" s="395"/>
      <c r="BU4188" s="395"/>
      <c r="BV4188" s="395"/>
      <c r="BZ4188" s="395"/>
      <c r="CA4188" s="395"/>
      <c r="CE4188" s="548"/>
      <c r="CF4188" s="548"/>
      <c r="CG4188" s="548"/>
      <c r="CH4188" s="548"/>
      <c r="HO4188" s="24">
        <f>10*0.072</f>
        <v>0.72</v>
      </c>
      <c r="HP4188" s="24">
        <f>10*0.176</f>
        <v>1.7599999999999998</v>
      </c>
      <c r="HQ4188" s="24">
        <f>10*SQRT(3)*0.02</f>
        <v>0.34641016151377541</v>
      </c>
      <c r="HR4188" s="24">
        <f>10*SQRT(3)*0.05</f>
        <v>0.8660254037844386</v>
      </c>
      <c r="HS4188" s="24" t="s">
        <v>3721</v>
      </c>
      <c r="II4188" s="24">
        <f>10*27.874</f>
        <v>278.74</v>
      </c>
      <c r="IJ4188" s="24">
        <f>10*35.673</f>
        <v>356.73</v>
      </c>
      <c r="IK4188" s="24">
        <f>10*SQRT(3)*0.805</f>
        <v>13.943009000929461</v>
      </c>
      <c r="IL4188" s="24">
        <f>10*SQRT(3)*1.03</f>
        <v>17.840123317959435</v>
      </c>
      <c r="IM4188" s="24" t="s">
        <v>3721</v>
      </c>
      <c r="JD4188" s="249"/>
    </row>
    <row r="4189" spans="1:264" s="24" customFormat="1" x14ac:dyDescent="0.25">
      <c r="A4189" s="24">
        <v>184</v>
      </c>
      <c r="B4189" s="42" t="s">
        <v>3723</v>
      </c>
      <c r="C4189" s="24" t="s">
        <v>3709</v>
      </c>
      <c r="D4189" s="24" t="s">
        <v>3710</v>
      </c>
      <c r="E4189" s="24">
        <v>2014</v>
      </c>
      <c r="F4189" s="24">
        <v>2012</v>
      </c>
      <c r="G4189" s="24" t="s">
        <v>3711</v>
      </c>
      <c r="H4189" s="24" t="s">
        <v>3712</v>
      </c>
      <c r="I4189" s="24" t="s">
        <v>3461</v>
      </c>
      <c r="J4189" s="24">
        <f t="shared" si="559"/>
        <v>28.2</v>
      </c>
      <c r="K4189" s="24">
        <f t="shared" si="560"/>
        <v>113.08</v>
      </c>
      <c r="L4189" s="24">
        <v>45.8</v>
      </c>
      <c r="N4189" s="24">
        <v>17.100000000000001</v>
      </c>
      <c r="P4189" s="24">
        <v>1500</v>
      </c>
      <c r="R4189" s="42" t="s">
        <v>1975</v>
      </c>
      <c r="S4189" s="42" t="s">
        <v>1719</v>
      </c>
      <c r="T4189" s="42"/>
      <c r="U4189" s="42" t="s">
        <v>3713</v>
      </c>
      <c r="V4189" s="42" t="s">
        <v>1379</v>
      </c>
      <c r="W4189" s="42"/>
      <c r="X4189" s="42"/>
      <c r="Y4189" s="42"/>
      <c r="AA4189" s="321"/>
      <c r="AB4189" s="321"/>
      <c r="AC4189" s="24" t="s">
        <v>672</v>
      </c>
      <c r="AD4189" s="24">
        <v>5.4</v>
      </c>
      <c r="AE4189" s="24">
        <v>1.33</v>
      </c>
      <c r="AH4189" s="24" t="s">
        <v>3657</v>
      </c>
      <c r="AI4189" s="24" t="s">
        <v>577</v>
      </c>
      <c r="AJ4189" s="24" t="s">
        <v>1128</v>
      </c>
      <c r="AK4189" s="24" t="s">
        <v>1646</v>
      </c>
      <c r="AW4189" s="24" t="s">
        <v>160</v>
      </c>
      <c r="AX4189" s="24">
        <v>3</v>
      </c>
      <c r="AZ4189" s="24" t="s">
        <v>141</v>
      </c>
      <c r="BE4189" s="24" t="s">
        <v>3715</v>
      </c>
      <c r="BP4189" s="395"/>
      <c r="BQ4189" s="395"/>
      <c r="BU4189" s="395"/>
      <c r="BV4189" s="395"/>
      <c r="BZ4189" s="395"/>
      <c r="CA4189" s="395"/>
      <c r="CE4189" s="548"/>
      <c r="CF4189" s="548"/>
      <c r="CG4189" s="548"/>
      <c r="CH4189" s="548"/>
      <c r="HO4189" s="24">
        <f>10*0.072</f>
        <v>0.72</v>
      </c>
      <c r="HP4189" s="24">
        <f>10*0.145</f>
        <v>1.45</v>
      </c>
      <c r="HQ4189" s="24">
        <f>10*SQRT(3)*0.02</f>
        <v>0.34641016151377541</v>
      </c>
      <c r="HR4189" s="24">
        <f>10*SQRT(3)*0.04</f>
        <v>0.69282032302755081</v>
      </c>
      <c r="HS4189" s="24" t="s">
        <v>3721</v>
      </c>
      <c r="II4189" s="24">
        <f>10*27.874</f>
        <v>278.74</v>
      </c>
      <c r="IJ4189" s="24">
        <f>10*31.542</f>
        <v>315.42</v>
      </c>
      <c r="IK4189" s="24">
        <f>10*SQRT(3)*0.805</f>
        <v>13.943009000929461</v>
      </c>
      <c r="IL4189" s="24">
        <f>10*SQRT(3)*0.912</f>
        <v>15.796303365028161</v>
      </c>
      <c r="IM4189" s="24" t="s">
        <v>3721</v>
      </c>
      <c r="JD4189" s="249"/>
    </row>
    <row r="4190" spans="1:264" s="32" customFormat="1" x14ac:dyDescent="0.25">
      <c r="A4190" s="32">
        <v>184</v>
      </c>
      <c r="B4190" s="44" t="s">
        <v>3716</v>
      </c>
      <c r="C4190" s="32" t="s">
        <v>3709</v>
      </c>
      <c r="D4190" s="32" t="s">
        <v>3710</v>
      </c>
      <c r="E4190" s="32">
        <v>2014</v>
      </c>
      <c r="F4190" s="32">
        <v>2013</v>
      </c>
      <c r="G4190" s="32" t="s">
        <v>3711</v>
      </c>
      <c r="H4190" s="32" t="s">
        <v>3712</v>
      </c>
      <c r="I4190" s="32" t="s">
        <v>3461</v>
      </c>
      <c r="J4190" s="32">
        <f t="shared" si="559"/>
        <v>28.2</v>
      </c>
      <c r="K4190" s="32">
        <f t="shared" si="560"/>
        <v>113.08</v>
      </c>
      <c r="L4190" s="32">
        <v>45.8</v>
      </c>
      <c r="N4190" s="32">
        <v>17.100000000000001</v>
      </c>
      <c r="P4190" s="32">
        <v>1500</v>
      </c>
      <c r="R4190" s="44" t="s">
        <v>1719</v>
      </c>
      <c r="S4190" s="44" t="s">
        <v>1719</v>
      </c>
      <c r="T4190" s="44"/>
      <c r="U4190" s="44" t="s">
        <v>3713</v>
      </c>
      <c r="V4190" s="44" t="s">
        <v>1379</v>
      </c>
      <c r="W4190" s="44"/>
      <c r="X4190" s="44"/>
      <c r="Y4190" s="44"/>
      <c r="AA4190" s="323"/>
      <c r="AB4190" s="323"/>
      <c r="AC4190" s="32" t="s">
        <v>672</v>
      </c>
      <c r="AD4190" s="32">
        <v>5.4</v>
      </c>
      <c r="AE4190" s="32">
        <v>1.33</v>
      </c>
      <c r="AH4190" s="32" t="s">
        <v>115</v>
      </c>
      <c r="AI4190" s="32" t="s">
        <v>1581</v>
      </c>
      <c r="AJ4190" s="32" t="s">
        <v>1128</v>
      </c>
      <c r="AK4190" s="32" t="s">
        <v>1646</v>
      </c>
      <c r="AW4190" s="32" t="s">
        <v>160</v>
      </c>
      <c r="AX4190" s="32">
        <v>3</v>
      </c>
      <c r="AZ4190" s="32" t="s">
        <v>141</v>
      </c>
      <c r="BE4190" s="32" t="s">
        <v>3714</v>
      </c>
      <c r="BK4190" s="32">
        <f>0.5*13625.16</f>
        <v>6812.58</v>
      </c>
      <c r="BL4190" s="32">
        <f>0.5*14738.87</f>
        <v>7369.4350000000004</v>
      </c>
      <c r="BM4190" s="32">
        <f>0.5*322.6</f>
        <v>161.30000000000001</v>
      </c>
      <c r="BN4190" s="32">
        <f>0.5*425.47</f>
        <v>212.73500000000001</v>
      </c>
      <c r="BO4190" s="32" t="s">
        <v>3725</v>
      </c>
      <c r="BP4190" s="397"/>
      <c r="BQ4190" s="397"/>
      <c r="BU4190" s="397"/>
      <c r="BV4190" s="397"/>
      <c r="BZ4190" s="397"/>
      <c r="CA4190" s="397"/>
      <c r="CE4190" s="550"/>
      <c r="CF4190" s="550"/>
      <c r="CG4190" s="550"/>
      <c r="CH4190" s="550"/>
      <c r="HO4190" s="32">
        <f>10*0.042</f>
        <v>0.42000000000000004</v>
      </c>
      <c r="HP4190" s="32">
        <f>10*0.1</f>
        <v>1</v>
      </c>
      <c r="HQ4190" s="32">
        <f>10*SQRT(3)*0.002</f>
        <v>3.4641016151377546E-2</v>
      </c>
      <c r="HR4190" s="32">
        <f>10*SQRT(3)*0.003</f>
        <v>5.1961524227066312E-2</v>
      </c>
      <c r="HS4190" s="32" t="s">
        <v>3721</v>
      </c>
      <c r="II4190" s="32">
        <f>10*7.535</f>
        <v>75.349999999999994</v>
      </c>
      <c r="IJ4190" s="32">
        <f>10*15.906</f>
        <v>159.06</v>
      </c>
      <c r="IK4190" s="32">
        <f>10*SQRT(3)*0.218</f>
        <v>3.775870760500152</v>
      </c>
      <c r="IL4190" s="32">
        <f>10*SQRT(3)*0.459</f>
        <v>7.950113206741146</v>
      </c>
      <c r="IM4190" s="32" t="s">
        <v>3721</v>
      </c>
      <c r="JD4190" s="243"/>
    </row>
    <row r="4191" spans="1:264" s="32" customFormat="1" x14ac:dyDescent="0.25">
      <c r="A4191" s="32">
        <v>184</v>
      </c>
      <c r="B4191" s="44" t="s">
        <v>3717</v>
      </c>
      <c r="C4191" s="32" t="s">
        <v>3709</v>
      </c>
      <c r="D4191" s="32" t="s">
        <v>3710</v>
      </c>
      <c r="E4191" s="32">
        <v>2014</v>
      </c>
      <c r="F4191" s="32">
        <v>2013</v>
      </c>
      <c r="G4191" s="32" t="s">
        <v>3711</v>
      </c>
      <c r="H4191" s="32" t="s">
        <v>3712</v>
      </c>
      <c r="I4191" s="32" t="s">
        <v>3461</v>
      </c>
      <c r="J4191" s="32">
        <f t="shared" si="559"/>
        <v>28.2</v>
      </c>
      <c r="K4191" s="32">
        <f t="shared" si="560"/>
        <v>113.08</v>
      </c>
      <c r="L4191" s="32">
        <v>45.8</v>
      </c>
      <c r="N4191" s="32">
        <v>17.100000000000001</v>
      </c>
      <c r="P4191" s="32">
        <v>1500</v>
      </c>
      <c r="R4191" s="44" t="s">
        <v>1719</v>
      </c>
      <c r="S4191" s="44" t="s">
        <v>1719</v>
      </c>
      <c r="T4191" s="44"/>
      <c r="U4191" s="44" t="s">
        <v>3713</v>
      </c>
      <c r="V4191" s="44" t="s">
        <v>1379</v>
      </c>
      <c r="W4191" s="44"/>
      <c r="X4191" s="44"/>
      <c r="Y4191" s="44"/>
      <c r="AA4191" s="323"/>
      <c r="AB4191" s="323"/>
      <c r="AC4191" s="32" t="s">
        <v>672</v>
      </c>
      <c r="AD4191" s="32">
        <v>5.4</v>
      </c>
      <c r="AE4191" s="32">
        <v>1.33</v>
      </c>
      <c r="AH4191" s="32" t="s">
        <v>3657</v>
      </c>
      <c r="AI4191" s="32" t="s">
        <v>577</v>
      </c>
      <c r="AJ4191" s="32" t="s">
        <v>1128</v>
      </c>
      <c r="AK4191" s="32" t="s">
        <v>1646</v>
      </c>
      <c r="AW4191" s="32" t="s">
        <v>160</v>
      </c>
      <c r="AX4191" s="32">
        <v>3</v>
      </c>
      <c r="AZ4191" s="32" t="s">
        <v>141</v>
      </c>
      <c r="BE4191" s="32" t="s">
        <v>3714</v>
      </c>
      <c r="BK4191" s="32">
        <f>0.5*13625.16</f>
        <v>6812.58</v>
      </c>
      <c r="BL4191" s="32">
        <f>0.5*14896.57</f>
        <v>7448.2849999999999</v>
      </c>
      <c r="BM4191" s="32">
        <f>0.5*322.6</f>
        <v>161.30000000000001</v>
      </c>
      <c r="BN4191" s="32">
        <f>0.5*430.03</f>
        <v>215.01499999999999</v>
      </c>
      <c r="BO4191" s="32" t="s">
        <v>3725</v>
      </c>
      <c r="BP4191" s="397"/>
      <c r="BQ4191" s="397"/>
      <c r="BU4191" s="397"/>
      <c r="BV4191" s="397"/>
      <c r="BZ4191" s="397"/>
      <c r="CA4191" s="397"/>
      <c r="CE4191" s="550"/>
      <c r="CF4191" s="550"/>
      <c r="CG4191" s="550"/>
      <c r="CH4191" s="550"/>
      <c r="HO4191" s="32">
        <f>10*0.042</f>
        <v>0.42000000000000004</v>
      </c>
      <c r="HP4191" s="32">
        <f>10*0.11</f>
        <v>1.1000000000000001</v>
      </c>
      <c r="HQ4191" s="32">
        <f>10*SQRT(3)*0.002</f>
        <v>3.4641016151377546E-2</v>
      </c>
      <c r="HR4191" s="32">
        <f>10*SQRT(3)*0.003</f>
        <v>5.1961524227066312E-2</v>
      </c>
      <c r="HS4191" s="32" t="s">
        <v>3721</v>
      </c>
      <c r="II4191" s="32">
        <f>10*7.535</f>
        <v>75.349999999999994</v>
      </c>
      <c r="IJ4191" s="32">
        <f>10*13.523</f>
        <v>135.22999999999999</v>
      </c>
      <c r="IK4191" s="32">
        <f>10*SQRT(3)*0.218</f>
        <v>3.775870760500152</v>
      </c>
      <c r="IL4191" s="32">
        <f>10*SQRT(3)*0.39</f>
        <v>6.7549981495186211</v>
      </c>
      <c r="IM4191" s="32" t="s">
        <v>3721</v>
      </c>
      <c r="JD4191" s="243"/>
    </row>
    <row r="4192" spans="1:264" s="32" customFormat="1" x14ac:dyDescent="0.25">
      <c r="A4192" s="32">
        <v>184</v>
      </c>
      <c r="B4192" s="44" t="s">
        <v>3722</v>
      </c>
      <c r="C4192" s="32" t="s">
        <v>3709</v>
      </c>
      <c r="D4192" s="32" t="s">
        <v>3710</v>
      </c>
      <c r="E4192" s="32">
        <v>2014</v>
      </c>
      <c r="F4192" s="32">
        <v>2013</v>
      </c>
      <c r="G4192" s="32" t="s">
        <v>3711</v>
      </c>
      <c r="H4192" s="32" t="s">
        <v>3712</v>
      </c>
      <c r="I4192" s="32" t="s">
        <v>3461</v>
      </c>
      <c r="J4192" s="32">
        <f t="shared" si="559"/>
        <v>28.2</v>
      </c>
      <c r="K4192" s="32">
        <f t="shared" si="560"/>
        <v>113.08</v>
      </c>
      <c r="L4192" s="32">
        <v>45.8</v>
      </c>
      <c r="N4192" s="32">
        <v>17.100000000000001</v>
      </c>
      <c r="P4192" s="32">
        <v>1500</v>
      </c>
      <c r="R4192" s="44" t="s">
        <v>1719</v>
      </c>
      <c r="S4192" s="44" t="s">
        <v>1719</v>
      </c>
      <c r="T4192" s="44"/>
      <c r="U4192" s="44" t="s">
        <v>3713</v>
      </c>
      <c r="V4192" s="44" t="s">
        <v>1379</v>
      </c>
      <c r="W4192" s="44"/>
      <c r="X4192" s="44"/>
      <c r="Y4192" s="44"/>
      <c r="AA4192" s="323"/>
      <c r="AB4192" s="323"/>
      <c r="AC4192" s="32" t="s">
        <v>672</v>
      </c>
      <c r="AD4192" s="32">
        <v>5.4</v>
      </c>
      <c r="AE4192" s="32">
        <v>1.33</v>
      </c>
      <c r="AH4192" s="32" t="s">
        <v>115</v>
      </c>
      <c r="AI4192" s="32" t="s">
        <v>1581</v>
      </c>
      <c r="AJ4192" s="32" t="s">
        <v>1128</v>
      </c>
      <c r="AK4192" s="32" t="s">
        <v>1646</v>
      </c>
      <c r="AW4192" s="32" t="s">
        <v>160</v>
      </c>
      <c r="AX4192" s="32">
        <v>3</v>
      </c>
      <c r="AZ4192" s="32" t="s">
        <v>141</v>
      </c>
      <c r="BE4192" s="32" t="s">
        <v>3715</v>
      </c>
      <c r="BP4192" s="397"/>
      <c r="BQ4192" s="397"/>
      <c r="BU4192" s="397"/>
      <c r="BV4192" s="397"/>
      <c r="BZ4192" s="397"/>
      <c r="CA4192" s="397"/>
      <c r="CE4192" s="550"/>
      <c r="CF4192" s="550"/>
      <c r="CG4192" s="550"/>
      <c r="CH4192" s="550"/>
      <c r="HO4192" s="32">
        <f>10*0.08</f>
        <v>0.8</v>
      </c>
      <c r="HP4192" s="32">
        <f>10*0.188</f>
        <v>1.88</v>
      </c>
      <c r="HQ4192" s="32">
        <f>10*SQRT(3)*0.002</f>
        <v>3.4641016151377546E-2</v>
      </c>
      <c r="HR4192" s="32">
        <f>10*SQRT(3)*0.006</f>
        <v>0.10392304845413262</v>
      </c>
      <c r="HS4192" s="32" t="s">
        <v>3721</v>
      </c>
      <c r="II4192" s="32">
        <f>10*30.55</f>
        <v>305.5</v>
      </c>
      <c r="IJ4192" s="32">
        <f>10*38.606</f>
        <v>386.06</v>
      </c>
      <c r="IK4192" s="32">
        <f>10*SQRT(3)*0.882</f>
        <v>15.276688122757497</v>
      </c>
      <c r="IL4192" s="32">
        <f>10*SQRT(3)*1.11</f>
        <v>19.225763964014536</v>
      </c>
      <c r="IM4192" s="32" t="s">
        <v>3721</v>
      </c>
      <c r="JD4192" s="243"/>
    </row>
    <row r="4193" spans="1:264" s="32" customFormat="1" x14ac:dyDescent="0.25">
      <c r="A4193" s="32">
        <v>184</v>
      </c>
      <c r="B4193" s="44" t="s">
        <v>3723</v>
      </c>
      <c r="C4193" s="32" t="s">
        <v>3709</v>
      </c>
      <c r="D4193" s="32" t="s">
        <v>3710</v>
      </c>
      <c r="E4193" s="32">
        <v>2014</v>
      </c>
      <c r="F4193" s="32">
        <v>2013</v>
      </c>
      <c r="G4193" s="32" t="s">
        <v>3711</v>
      </c>
      <c r="H4193" s="32" t="s">
        <v>3712</v>
      </c>
      <c r="I4193" s="32" t="s">
        <v>3461</v>
      </c>
      <c r="J4193" s="32">
        <f t="shared" si="559"/>
        <v>28.2</v>
      </c>
      <c r="K4193" s="32">
        <f t="shared" si="560"/>
        <v>113.08</v>
      </c>
      <c r="L4193" s="32">
        <v>45.8</v>
      </c>
      <c r="N4193" s="32">
        <v>17.100000000000001</v>
      </c>
      <c r="P4193" s="32">
        <v>1500</v>
      </c>
      <c r="R4193" s="44" t="s">
        <v>1719</v>
      </c>
      <c r="S4193" s="44" t="s">
        <v>1719</v>
      </c>
      <c r="T4193" s="44"/>
      <c r="U4193" s="44" t="s">
        <v>3713</v>
      </c>
      <c r="V4193" s="44" t="s">
        <v>1379</v>
      </c>
      <c r="W4193" s="44"/>
      <c r="X4193" s="44"/>
      <c r="Y4193" s="44"/>
      <c r="AA4193" s="323"/>
      <c r="AB4193" s="323"/>
      <c r="AC4193" s="32" t="s">
        <v>672</v>
      </c>
      <c r="AD4193" s="32">
        <v>5.4</v>
      </c>
      <c r="AE4193" s="32">
        <v>1.33</v>
      </c>
      <c r="AH4193" s="32" t="s">
        <v>3657</v>
      </c>
      <c r="AI4193" s="32" t="s">
        <v>577</v>
      </c>
      <c r="AJ4193" s="32" t="s">
        <v>1128</v>
      </c>
      <c r="AK4193" s="32" t="s">
        <v>1646</v>
      </c>
      <c r="AW4193" s="32" t="s">
        <v>160</v>
      </c>
      <c r="AX4193" s="32">
        <v>3</v>
      </c>
      <c r="AZ4193" s="32" t="s">
        <v>141</v>
      </c>
      <c r="BE4193" s="32" t="s">
        <v>3715</v>
      </c>
      <c r="BP4193" s="397"/>
      <c r="BQ4193" s="397"/>
      <c r="BU4193" s="397"/>
      <c r="BV4193" s="397"/>
      <c r="BZ4193" s="397"/>
      <c r="CA4193" s="397"/>
      <c r="CE4193" s="550"/>
      <c r="CF4193" s="550"/>
      <c r="CG4193" s="550"/>
      <c r="CH4193" s="550"/>
      <c r="HO4193" s="32">
        <f>10*0.08</f>
        <v>0.8</v>
      </c>
      <c r="HP4193" s="32">
        <f>10*0.156</f>
        <v>1.56</v>
      </c>
      <c r="HQ4193" s="32">
        <f>10*SQRT(3)*0.002</f>
        <v>3.4641016151377546E-2</v>
      </c>
      <c r="HR4193" s="32">
        <f>10*SQRT(3)*0.005</f>
        <v>8.6602540378443851E-2</v>
      </c>
      <c r="HS4193" s="32" t="s">
        <v>3721</v>
      </c>
      <c r="II4193" s="32">
        <f>10*30.55</f>
        <v>305.5</v>
      </c>
      <c r="IJ4193" s="32">
        <f>10*34.358</f>
        <v>343.58</v>
      </c>
      <c r="IK4193" s="32">
        <f>10*SQRT(3)*0.882</f>
        <v>15.276688122757497</v>
      </c>
      <c r="IL4193" s="32">
        <f>10*SQRT(3)*0.992</f>
        <v>17.18194401108326</v>
      </c>
      <c r="IM4193" s="32" t="s">
        <v>3721</v>
      </c>
      <c r="JD4193" s="243"/>
    </row>
    <row r="4194" spans="1:264" s="126" customFormat="1" x14ac:dyDescent="0.25">
      <c r="A4194" s="126">
        <v>185</v>
      </c>
      <c r="B4194" s="478" t="s">
        <v>3716</v>
      </c>
      <c r="C4194" s="126" t="s">
        <v>3709</v>
      </c>
      <c r="D4194" s="126" t="s">
        <v>3710</v>
      </c>
      <c r="E4194" s="126">
        <v>2014</v>
      </c>
      <c r="F4194" s="126">
        <v>2012</v>
      </c>
      <c r="G4194" s="126" t="s">
        <v>3711</v>
      </c>
      <c r="H4194" s="126" t="s">
        <v>3712</v>
      </c>
      <c r="I4194" s="126" t="s">
        <v>3461</v>
      </c>
      <c r="J4194" s="126">
        <f t="shared" si="559"/>
        <v>28.2</v>
      </c>
      <c r="K4194" s="126">
        <f t="shared" si="560"/>
        <v>113.08</v>
      </c>
      <c r="L4194" s="126">
        <v>45.8</v>
      </c>
      <c r="N4194" s="126">
        <v>17.100000000000001</v>
      </c>
      <c r="P4194" s="126">
        <v>1500</v>
      </c>
      <c r="R4194" s="478" t="s">
        <v>1975</v>
      </c>
      <c r="S4194" s="478" t="s">
        <v>1719</v>
      </c>
      <c r="T4194" s="478"/>
      <c r="U4194" s="478" t="s">
        <v>3713</v>
      </c>
      <c r="V4194" s="478" t="s">
        <v>1379</v>
      </c>
      <c r="W4194" s="478"/>
      <c r="X4194" s="478"/>
      <c r="Y4194" s="478"/>
      <c r="AA4194" s="479"/>
      <c r="AB4194" s="479"/>
      <c r="AC4194" s="126" t="s">
        <v>672</v>
      </c>
      <c r="AD4194" s="126">
        <v>5.4</v>
      </c>
      <c r="AE4194" s="126">
        <v>1.33</v>
      </c>
      <c r="AH4194" s="126" t="s">
        <v>115</v>
      </c>
      <c r="AI4194" s="126" t="s">
        <v>1581</v>
      </c>
      <c r="AJ4194" s="126" t="s">
        <v>1128</v>
      </c>
      <c r="AK4194" s="126" t="s">
        <v>1646</v>
      </c>
      <c r="AW4194" s="126" t="s">
        <v>160</v>
      </c>
      <c r="AX4194" s="126">
        <v>3</v>
      </c>
      <c r="AZ4194" s="126" t="s">
        <v>141</v>
      </c>
      <c r="BE4194" s="126" t="s">
        <v>3714</v>
      </c>
      <c r="BP4194" s="481"/>
      <c r="BQ4194" s="481"/>
      <c r="BU4194" s="481"/>
      <c r="BV4194" s="481"/>
      <c r="BZ4194" s="481"/>
      <c r="CA4194" s="481"/>
      <c r="CE4194" s="605"/>
      <c r="CF4194" s="605"/>
      <c r="CG4194" s="605"/>
      <c r="CH4194" s="605"/>
      <c r="GP4194" s="126">
        <v>2.2000000000000002</v>
      </c>
      <c r="GQ4194" s="126">
        <v>2.87</v>
      </c>
      <c r="GR4194" s="126">
        <f t="shared" ref="GR4194:GR4199" si="561">SQRT(3)*0.02</f>
        <v>3.4641016151377546E-2</v>
      </c>
      <c r="GS4194" s="126">
        <f>SQRT(3)*0.05</f>
        <v>8.6602540378443865E-2</v>
      </c>
      <c r="GT4194" s="126" t="s">
        <v>3726</v>
      </c>
      <c r="GU4194" s="126">
        <v>7.13</v>
      </c>
      <c r="GV4194" s="126">
        <v>9.07</v>
      </c>
      <c r="GW4194" s="126">
        <f>SQRT(3)*0.41</f>
        <v>0.71014083110323956</v>
      </c>
      <c r="GX4194" s="126">
        <f>SQRT(3)*0.29</f>
        <v>0.50229473419497439</v>
      </c>
      <c r="GY4194" s="126" t="s">
        <v>3728</v>
      </c>
      <c r="GZ4194" s="126">
        <v>39.799999999999997</v>
      </c>
      <c r="HA4194" s="126">
        <v>29.3</v>
      </c>
      <c r="HB4194" s="126">
        <f>SQRT(3)*1.96</f>
        <v>3.3948195828349994</v>
      </c>
      <c r="HC4194" s="126">
        <f>SQRT(3)*0.78</f>
        <v>1.3509996299037244</v>
      </c>
      <c r="HD4194" s="126" t="s">
        <v>3727</v>
      </c>
      <c r="JB4194" s="126" t="s">
        <v>3730</v>
      </c>
      <c r="JD4194" s="480"/>
    </row>
    <row r="4195" spans="1:264" s="126" customFormat="1" x14ac:dyDescent="0.25">
      <c r="A4195" s="126">
        <v>185</v>
      </c>
      <c r="B4195" s="478" t="s">
        <v>3717</v>
      </c>
      <c r="C4195" s="126" t="s">
        <v>3709</v>
      </c>
      <c r="D4195" s="126" t="s">
        <v>3710</v>
      </c>
      <c r="E4195" s="126">
        <v>2014</v>
      </c>
      <c r="F4195" s="126">
        <v>2012</v>
      </c>
      <c r="G4195" s="126" t="s">
        <v>3711</v>
      </c>
      <c r="H4195" s="126" t="s">
        <v>3712</v>
      </c>
      <c r="I4195" s="126" t="s">
        <v>3461</v>
      </c>
      <c r="J4195" s="126">
        <f t="shared" si="559"/>
        <v>28.2</v>
      </c>
      <c r="K4195" s="126">
        <f t="shared" si="560"/>
        <v>113.08</v>
      </c>
      <c r="L4195" s="126">
        <v>45.8</v>
      </c>
      <c r="N4195" s="126">
        <v>17.100000000000001</v>
      </c>
      <c r="P4195" s="126">
        <v>1500</v>
      </c>
      <c r="R4195" s="478" t="s">
        <v>1975</v>
      </c>
      <c r="S4195" s="478" t="s">
        <v>1719</v>
      </c>
      <c r="T4195" s="478"/>
      <c r="U4195" s="478" t="s">
        <v>3713</v>
      </c>
      <c r="V4195" s="478" t="s">
        <v>1379</v>
      </c>
      <c r="W4195" s="478"/>
      <c r="X4195" s="478"/>
      <c r="Y4195" s="478"/>
      <c r="AA4195" s="479"/>
      <c r="AB4195" s="479"/>
      <c r="AC4195" s="126" t="s">
        <v>672</v>
      </c>
      <c r="AD4195" s="126">
        <v>5.4</v>
      </c>
      <c r="AE4195" s="126">
        <v>1.33</v>
      </c>
      <c r="AH4195" s="126" t="s">
        <v>3657</v>
      </c>
      <c r="AI4195" s="126" t="s">
        <v>577</v>
      </c>
      <c r="AJ4195" s="126" t="s">
        <v>1128</v>
      </c>
      <c r="AK4195" s="126" t="s">
        <v>1646</v>
      </c>
      <c r="AW4195" s="126" t="s">
        <v>160</v>
      </c>
      <c r="AX4195" s="126">
        <v>3</v>
      </c>
      <c r="AZ4195" s="126" t="s">
        <v>141</v>
      </c>
      <c r="BE4195" s="126" t="s">
        <v>3714</v>
      </c>
      <c r="BP4195" s="481"/>
      <c r="BQ4195" s="481"/>
      <c r="BU4195" s="481"/>
      <c r="BV4195" s="481"/>
      <c r="BZ4195" s="481"/>
      <c r="CA4195" s="481"/>
      <c r="CE4195" s="605"/>
      <c r="CF4195" s="605"/>
      <c r="CG4195" s="605"/>
      <c r="CH4195" s="605"/>
      <c r="GP4195" s="126">
        <v>2.2000000000000002</v>
      </c>
      <c r="GQ4195" s="126">
        <v>2.74</v>
      </c>
      <c r="GR4195" s="126">
        <f t="shared" si="561"/>
        <v>3.4641016151377546E-2</v>
      </c>
      <c r="GS4195" s="126">
        <f>SQRT(3)*0.03</f>
        <v>5.1961524227066312E-2</v>
      </c>
      <c r="GT4195" s="126" t="s">
        <v>3726</v>
      </c>
      <c r="GU4195" s="126">
        <v>7.13</v>
      </c>
      <c r="GV4195" s="126">
        <v>10.27</v>
      </c>
      <c r="GW4195" s="126">
        <f>SQRT(3)*0.41</f>
        <v>0.71014083110323956</v>
      </c>
      <c r="GX4195" s="126">
        <f>SQRT(3)*0.26</f>
        <v>0.4503332099679081</v>
      </c>
      <c r="GY4195" s="126" t="s">
        <v>3728</v>
      </c>
      <c r="GZ4195" s="126">
        <v>39.799999999999997</v>
      </c>
      <c r="HA4195" s="126">
        <v>31.93</v>
      </c>
      <c r="HB4195" s="126">
        <f>SQRT(3)*1.96</f>
        <v>3.3948195828349994</v>
      </c>
      <c r="HC4195" s="126">
        <f>SQRT(3)*0.55</f>
        <v>0.95262794416288255</v>
      </c>
      <c r="HD4195" s="126" t="s">
        <v>3727</v>
      </c>
      <c r="JB4195" s="126" t="s">
        <v>3730</v>
      </c>
      <c r="JD4195" s="480"/>
    </row>
    <row r="4196" spans="1:264" s="126" customFormat="1" x14ac:dyDescent="0.25">
      <c r="A4196" s="126">
        <v>185</v>
      </c>
      <c r="B4196" s="478" t="s">
        <v>3735</v>
      </c>
      <c r="C4196" s="126" t="s">
        <v>3709</v>
      </c>
      <c r="D4196" s="126" t="s">
        <v>3710</v>
      </c>
      <c r="E4196" s="126">
        <v>2014</v>
      </c>
      <c r="F4196" s="126">
        <v>2012</v>
      </c>
      <c r="G4196" s="126" t="s">
        <v>3711</v>
      </c>
      <c r="H4196" s="126" t="s">
        <v>3712</v>
      </c>
      <c r="I4196" s="126" t="s">
        <v>3461</v>
      </c>
      <c r="J4196" s="126">
        <f t="shared" si="559"/>
        <v>28.2</v>
      </c>
      <c r="K4196" s="126">
        <f t="shared" si="560"/>
        <v>113.08</v>
      </c>
      <c r="L4196" s="126">
        <v>45.8</v>
      </c>
      <c r="N4196" s="126">
        <v>17.100000000000001</v>
      </c>
      <c r="P4196" s="126">
        <v>1500</v>
      </c>
      <c r="R4196" s="478" t="s">
        <v>1975</v>
      </c>
      <c r="S4196" s="478" t="s">
        <v>1719</v>
      </c>
      <c r="T4196" s="478"/>
      <c r="U4196" s="478" t="s">
        <v>3713</v>
      </c>
      <c r="V4196" s="478" t="s">
        <v>1379</v>
      </c>
      <c r="W4196" s="478"/>
      <c r="X4196" s="478"/>
      <c r="Y4196" s="478"/>
      <c r="AA4196" s="479"/>
      <c r="AB4196" s="479"/>
      <c r="AC4196" s="126" t="s">
        <v>672</v>
      </c>
      <c r="AD4196" s="126">
        <v>5.4</v>
      </c>
      <c r="AE4196" s="126">
        <v>1.33</v>
      </c>
      <c r="AH4196" s="126" t="s">
        <v>3729</v>
      </c>
      <c r="AI4196" s="126" t="s">
        <v>1129</v>
      </c>
      <c r="AJ4196" s="126" t="s">
        <v>1128</v>
      </c>
      <c r="AK4196" s="126" t="s">
        <v>1646</v>
      </c>
      <c r="AW4196" s="126" t="s">
        <v>160</v>
      </c>
      <c r="AX4196" s="126">
        <v>3</v>
      </c>
      <c r="AZ4196" s="126" t="s">
        <v>141</v>
      </c>
      <c r="BE4196" s="126" t="s">
        <v>3714</v>
      </c>
      <c r="BP4196" s="481"/>
      <c r="BQ4196" s="481"/>
      <c r="BU4196" s="481"/>
      <c r="BV4196" s="481"/>
      <c r="BZ4196" s="481"/>
      <c r="CA4196" s="481"/>
      <c r="CE4196" s="605"/>
      <c r="CF4196" s="605"/>
      <c r="CG4196" s="605"/>
      <c r="CH4196" s="605"/>
      <c r="GP4196" s="126">
        <v>2.2000000000000002</v>
      </c>
      <c r="GQ4196" s="126">
        <v>2.99</v>
      </c>
      <c r="GR4196" s="126">
        <f t="shared" si="561"/>
        <v>3.4641016151377546E-2</v>
      </c>
      <c r="GS4196" s="126">
        <f>SQRT(3)*0.05</f>
        <v>8.6602540378443865E-2</v>
      </c>
      <c r="GT4196" s="126" t="s">
        <v>3726</v>
      </c>
      <c r="GU4196" s="126">
        <v>7.13</v>
      </c>
      <c r="GV4196" s="126">
        <v>8.1</v>
      </c>
      <c r="GW4196" s="126">
        <f>SQRT(3)*0.41</f>
        <v>0.71014083110323956</v>
      </c>
      <c r="GX4196" s="126">
        <f>SQRT(3)*0.21</f>
        <v>0.36373066958946421</v>
      </c>
      <c r="GY4196" s="126" t="s">
        <v>3728</v>
      </c>
      <c r="GZ4196" s="126">
        <v>39.799999999999997</v>
      </c>
      <c r="HA4196" s="126">
        <v>41.67</v>
      </c>
      <c r="HB4196" s="126">
        <f>SQRT(3)*1.96</f>
        <v>3.3948195828349994</v>
      </c>
      <c r="HC4196" s="126">
        <f>SQRT(3)*0.7</f>
        <v>1.2124355652982139</v>
      </c>
      <c r="HD4196" s="126" t="s">
        <v>3727</v>
      </c>
      <c r="JB4196" s="126" t="s">
        <v>3730</v>
      </c>
      <c r="JD4196" s="480"/>
    </row>
    <row r="4197" spans="1:264" s="36" customFormat="1" x14ac:dyDescent="0.25">
      <c r="A4197" s="36">
        <v>185</v>
      </c>
      <c r="B4197" s="51" t="s">
        <v>3716</v>
      </c>
      <c r="C4197" s="36" t="s">
        <v>3709</v>
      </c>
      <c r="D4197" s="36" t="s">
        <v>3710</v>
      </c>
      <c r="E4197" s="36">
        <v>2014</v>
      </c>
      <c r="F4197" s="36">
        <v>2012</v>
      </c>
      <c r="G4197" s="36" t="s">
        <v>3711</v>
      </c>
      <c r="H4197" s="36" t="s">
        <v>3712</v>
      </c>
      <c r="I4197" s="36" t="s">
        <v>3461</v>
      </c>
      <c r="J4197" s="36">
        <f t="shared" si="559"/>
        <v>28.2</v>
      </c>
      <c r="K4197" s="36">
        <f t="shared" si="560"/>
        <v>113.08</v>
      </c>
      <c r="L4197" s="36">
        <v>45.8</v>
      </c>
      <c r="N4197" s="36">
        <v>17.100000000000001</v>
      </c>
      <c r="P4197" s="36">
        <v>1500</v>
      </c>
      <c r="R4197" s="51" t="s">
        <v>1975</v>
      </c>
      <c r="S4197" s="51" t="s">
        <v>1719</v>
      </c>
      <c r="T4197" s="51"/>
      <c r="U4197" s="51" t="s">
        <v>3713</v>
      </c>
      <c r="V4197" s="51" t="s">
        <v>1379</v>
      </c>
      <c r="W4197" s="51"/>
      <c r="X4197" s="51"/>
      <c r="Y4197" s="51"/>
      <c r="AA4197" s="331"/>
      <c r="AB4197" s="331"/>
      <c r="AC4197" s="36" t="s">
        <v>672</v>
      </c>
      <c r="AD4197" s="36">
        <v>5.4</v>
      </c>
      <c r="AE4197" s="36">
        <v>1.33</v>
      </c>
      <c r="AH4197" s="36" t="s">
        <v>115</v>
      </c>
      <c r="AI4197" s="36" t="s">
        <v>1581</v>
      </c>
      <c r="AJ4197" s="36" t="s">
        <v>1128</v>
      </c>
      <c r="AK4197" s="36" t="s">
        <v>1646</v>
      </c>
      <c r="AW4197" s="36" t="s">
        <v>160</v>
      </c>
      <c r="AX4197" s="36">
        <v>3</v>
      </c>
      <c r="AZ4197" s="36" t="s">
        <v>141</v>
      </c>
      <c r="BE4197" s="36" t="s">
        <v>3714</v>
      </c>
      <c r="BP4197" s="407"/>
      <c r="BQ4197" s="407"/>
      <c r="BU4197" s="407"/>
      <c r="BV4197" s="407"/>
      <c r="BZ4197" s="407"/>
      <c r="CA4197" s="407"/>
      <c r="CE4197" s="560"/>
      <c r="CF4197" s="560"/>
      <c r="CG4197" s="560"/>
      <c r="CH4197" s="560"/>
      <c r="GP4197" s="36">
        <v>1.55</v>
      </c>
      <c r="GQ4197" s="36">
        <v>2.0299999999999998</v>
      </c>
      <c r="GR4197" s="36">
        <f t="shared" si="561"/>
        <v>3.4641016151377546E-2</v>
      </c>
      <c r="GS4197" s="36">
        <f>SQRT(3)*0.03</f>
        <v>5.1961524227066312E-2</v>
      </c>
      <c r="GT4197" s="36" t="s">
        <v>3726</v>
      </c>
      <c r="GU4197" s="36">
        <v>7.87</v>
      </c>
      <c r="GV4197" s="36">
        <v>9.4700000000000006</v>
      </c>
      <c r="GW4197" s="36">
        <f>SQRT(3)*0.43</f>
        <v>0.74478184725461716</v>
      </c>
      <c r="GX4197" s="36">
        <f>SQRT(3)*0.25</f>
        <v>0.4330127018922193</v>
      </c>
      <c r="GY4197" s="36" t="s">
        <v>3728</v>
      </c>
      <c r="GZ4197" s="36">
        <v>33.770000000000003</v>
      </c>
      <c r="HA4197" s="36">
        <v>23.8</v>
      </c>
      <c r="HB4197" s="36">
        <f>SQRT(3)*1.11</f>
        <v>1.9225763964014539</v>
      </c>
      <c r="HC4197" s="36">
        <f>SQRT(3)*0.71</f>
        <v>1.2297560733739028</v>
      </c>
      <c r="HD4197" s="36" t="s">
        <v>3727</v>
      </c>
      <c r="JB4197" s="36" t="s">
        <v>3731</v>
      </c>
      <c r="JD4197" s="230"/>
    </row>
    <row r="4198" spans="1:264" s="36" customFormat="1" x14ac:dyDescent="0.25">
      <c r="A4198" s="36">
        <v>185</v>
      </c>
      <c r="B4198" s="51" t="s">
        <v>3717</v>
      </c>
      <c r="C4198" s="36" t="s">
        <v>3709</v>
      </c>
      <c r="D4198" s="36" t="s">
        <v>3710</v>
      </c>
      <c r="E4198" s="36">
        <v>2014</v>
      </c>
      <c r="F4198" s="36">
        <v>2012</v>
      </c>
      <c r="G4198" s="36" t="s">
        <v>3711</v>
      </c>
      <c r="H4198" s="36" t="s">
        <v>3712</v>
      </c>
      <c r="I4198" s="36" t="s">
        <v>3461</v>
      </c>
      <c r="J4198" s="36">
        <f t="shared" si="559"/>
        <v>28.2</v>
      </c>
      <c r="K4198" s="36">
        <f t="shared" si="560"/>
        <v>113.08</v>
      </c>
      <c r="L4198" s="36">
        <v>45.8</v>
      </c>
      <c r="N4198" s="36">
        <v>17.100000000000001</v>
      </c>
      <c r="P4198" s="36">
        <v>1500</v>
      </c>
      <c r="R4198" s="51" t="s">
        <v>1975</v>
      </c>
      <c r="S4198" s="51" t="s">
        <v>1719</v>
      </c>
      <c r="T4198" s="51"/>
      <c r="U4198" s="51" t="s">
        <v>3713</v>
      </c>
      <c r="V4198" s="51" t="s">
        <v>1379</v>
      </c>
      <c r="W4198" s="51"/>
      <c r="X4198" s="51"/>
      <c r="Y4198" s="51"/>
      <c r="AA4198" s="331"/>
      <c r="AB4198" s="331"/>
      <c r="AC4198" s="36" t="s">
        <v>672</v>
      </c>
      <c r="AD4198" s="36">
        <v>5.4</v>
      </c>
      <c r="AE4198" s="36">
        <v>1.33</v>
      </c>
      <c r="AH4198" s="36" t="s">
        <v>3657</v>
      </c>
      <c r="AI4198" s="36" t="s">
        <v>577</v>
      </c>
      <c r="AJ4198" s="36" t="s">
        <v>1128</v>
      </c>
      <c r="AK4198" s="36" t="s">
        <v>1646</v>
      </c>
      <c r="AW4198" s="36" t="s">
        <v>160</v>
      </c>
      <c r="AX4198" s="36">
        <v>3</v>
      </c>
      <c r="AZ4198" s="36" t="s">
        <v>141</v>
      </c>
      <c r="BE4198" s="36" t="s">
        <v>3714</v>
      </c>
      <c r="BP4198" s="407"/>
      <c r="BQ4198" s="407"/>
      <c r="BU4198" s="407"/>
      <c r="BV4198" s="407"/>
      <c r="BZ4198" s="407"/>
      <c r="CA4198" s="407"/>
      <c r="CE4198" s="560"/>
      <c r="CF4198" s="560"/>
      <c r="CG4198" s="560"/>
      <c r="CH4198" s="560"/>
      <c r="GP4198" s="36">
        <v>1.55</v>
      </c>
      <c r="GQ4198" s="36">
        <v>1.9</v>
      </c>
      <c r="GR4198" s="36">
        <f t="shared" si="561"/>
        <v>3.4641016151377546E-2</v>
      </c>
      <c r="GS4198" s="36">
        <f>SQRT(3)*0.05</f>
        <v>8.6602540378443865E-2</v>
      </c>
      <c r="GT4198" s="36" t="s">
        <v>3726</v>
      </c>
      <c r="GU4198" s="36">
        <v>7.87</v>
      </c>
      <c r="GV4198" s="36">
        <v>11.5</v>
      </c>
      <c r="GW4198" s="36">
        <f>SQRT(3)*0.43</f>
        <v>0.74478184725461716</v>
      </c>
      <c r="GX4198" s="36">
        <f>SQRT(3)*0.32</f>
        <v>0.55425625842204074</v>
      </c>
      <c r="GY4198" s="36" t="s">
        <v>3728</v>
      </c>
      <c r="GZ4198" s="36">
        <v>33.770000000000003</v>
      </c>
      <c r="HA4198" s="36">
        <v>26.53</v>
      </c>
      <c r="HB4198" s="36">
        <f>SQRT(3)*1.11</f>
        <v>1.9225763964014539</v>
      </c>
      <c r="HC4198" s="36">
        <f>SQRT(3)*0.72</f>
        <v>1.2470765814495914</v>
      </c>
      <c r="HD4198" s="36" t="s">
        <v>3727</v>
      </c>
      <c r="JB4198" s="36" t="s">
        <v>3731</v>
      </c>
      <c r="JD4198" s="230"/>
    </row>
    <row r="4199" spans="1:264" s="36" customFormat="1" x14ac:dyDescent="0.25">
      <c r="A4199" s="36">
        <v>185</v>
      </c>
      <c r="B4199" s="51" t="s">
        <v>3735</v>
      </c>
      <c r="C4199" s="36" t="s">
        <v>3709</v>
      </c>
      <c r="D4199" s="36" t="s">
        <v>3710</v>
      </c>
      <c r="E4199" s="36">
        <v>2014</v>
      </c>
      <c r="F4199" s="36">
        <v>2012</v>
      </c>
      <c r="G4199" s="36" t="s">
        <v>3711</v>
      </c>
      <c r="H4199" s="36" t="s">
        <v>3712</v>
      </c>
      <c r="I4199" s="36" t="s">
        <v>3461</v>
      </c>
      <c r="J4199" s="36">
        <f t="shared" si="559"/>
        <v>28.2</v>
      </c>
      <c r="K4199" s="36">
        <f t="shared" si="560"/>
        <v>113.08</v>
      </c>
      <c r="L4199" s="36">
        <v>45.8</v>
      </c>
      <c r="N4199" s="36">
        <v>17.100000000000001</v>
      </c>
      <c r="P4199" s="36">
        <v>1500</v>
      </c>
      <c r="R4199" s="51" t="s">
        <v>1975</v>
      </c>
      <c r="S4199" s="51" t="s">
        <v>1719</v>
      </c>
      <c r="T4199" s="51"/>
      <c r="U4199" s="51" t="s">
        <v>3713</v>
      </c>
      <c r="V4199" s="51" t="s">
        <v>1379</v>
      </c>
      <c r="W4199" s="51"/>
      <c r="X4199" s="51"/>
      <c r="Y4199" s="51"/>
      <c r="AA4199" s="331"/>
      <c r="AB4199" s="331"/>
      <c r="AC4199" s="36" t="s">
        <v>672</v>
      </c>
      <c r="AD4199" s="36">
        <v>5.4</v>
      </c>
      <c r="AE4199" s="36">
        <v>1.33</v>
      </c>
      <c r="AH4199" s="36" t="s">
        <v>3729</v>
      </c>
      <c r="AI4199" s="36" t="s">
        <v>1129</v>
      </c>
      <c r="AJ4199" s="36" t="s">
        <v>1128</v>
      </c>
      <c r="AK4199" s="36" t="s">
        <v>1646</v>
      </c>
      <c r="AW4199" s="36" t="s">
        <v>160</v>
      </c>
      <c r="AX4199" s="36">
        <v>3</v>
      </c>
      <c r="AZ4199" s="36" t="s">
        <v>141</v>
      </c>
      <c r="BE4199" s="36" t="s">
        <v>3714</v>
      </c>
      <c r="BP4199" s="407"/>
      <c r="BQ4199" s="407"/>
      <c r="BU4199" s="407"/>
      <c r="BV4199" s="407"/>
      <c r="BZ4199" s="407"/>
      <c r="CA4199" s="407"/>
      <c r="CE4199" s="560"/>
      <c r="CF4199" s="560"/>
      <c r="CG4199" s="560"/>
      <c r="CH4199" s="560"/>
      <c r="GP4199" s="36">
        <v>1.55</v>
      </c>
      <c r="GQ4199" s="36">
        <v>2.44</v>
      </c>
      <c r="GR4199" s="36">
        <f t="shared" si="561"/>
        <v>3.4641016151377546E-2</v>
      </c>
      <c r="GS4199" s="36">
        <f>SQRT(3)*0.02</f>
        <v>3.4641016151377546E-2</v>
      </c>
      <c r="GT4199" s="36" t="s">
        <v>3726</v>
      </c>
      <c r="GU4199" s="36">
        <v>7.87</v>
      </c>
      <c r="GV4199" s="36">
        <v>8.73</v>
      </c>
      <c r="GW4199" s="36">
        <f>SQRT(3)*0.43</f>
        <v>0.74478184725461716</v>
      </c>
      <c r="GX4199" s="36">
        <f>SQRT(3)*0.38</f>
        <v>0.65817930687617332</v>
      </c>
      <c r="GY4199" s="36" t="s">
        <v>3728</v>
      </c>
      <c r="GZ4199" s="36">
        <v>33.770000000000003</v>
      </c>
      <c r="HA4199" s="36">
        <v>35.83</v>
      </c>
      <c r="HB4199" s="36">
        <f>SQRT(3)*1.11</f>
        <v>1.9225763964014539</v>
      </c>
      <c r="HC4199" s="36">
        <f>SQRT(3)*0.76</f>
        <v>1.3163586137523466</v>
      </c>
      <c r="HD4199" s="36" t="s">
        <v>3727</v>
      </c>
      <c r="JB4199" s="36" t="s">
        <v>3731</v>
      </c>
      <c r="JD4199" s="230"/>
    </row>
    <row r="4200" spans="1:264" s="126" customFormat="1" x14ac:dyDescent="0.25">
      <c r="A4200" s="126">
        <v>185</v>
      </c>
      <c r="B4200" s="478" t="s">
        <v>3716</v>
      </c>
      <c r="C4200" s="126" t="s">
        <v>3709</v>
      </c>
      <c r="D4200" s="126" t="s">
        <v>3710</v>
      </c>
      <c r="E4200" s="126">
        <v>2014</v>
      </c>
      <c r="F4200" s="126">
        <v>2012</v>
      </c>
      <c r="G4200" s="126" t="s">
        <v>3711</v>
      </c>
      <c r="H4200" s="126" t="s">
        <v>3712</v>
      </c>
      <c r="I4200" s="126" t="s">
        <v>3461</v>
      </c>
      <c r="J4200" s="126">
        <f t="shared" si="559"/>
        <v>28.2</v>
      </c>
      <c r="K4200" s="126">
        <f t="shared" si="560"/>
        <v>113.08</v>
      </c>
      <c r="L4200" s="126">
        <v>45.8</v>
      </c>
      <c r="N4200" s="126">
        <v>17.100000000000001</v>
      </c>
      <c r="P4200" s="126">
        <v>1500</v>
      </c>
      <c r="R4200" s="478" t="s">
        <v>1975</v>
      </c>
      <c r="S4200" s="478" t="s">
        <v>1719</v>
      </c>
      <c r="T4200" s="478"/>
      <c r="U4200" s="478" t="s">
        <v>3713</v>
      </c>
      <c r="V4200" s="478" t="s">
        <v>1379</v>
      </c>
      <c r="W4200" s="478"/>
      <c r="X4200" s="478"/>
      <c r="Y4200" s="478"/>
      <c r="AA4200" s="479"/>
      <c r="AB4200" s="479"/>
      <c r="AC4200" s="126" t="s">
        <v>672</v>
      </c>
      <c r="AD4200" s="126">
        <v>5.4</v>
      </c>
      <c r="AE4200" s="126">
        <v>1.33</v>
      </c>
      <c r="AH4200" s="126" t="s">
        <v>115</v>
      </c>
      <c r="AI4200" s="126" t="s">
        <v>1581</v>
      </c>
      <c r="AJ4200" s="126" t="s">
        <v>1128</v>
      </c>
      <c r="AK4200" s="126" t="s">
        <v>1646</v>
      </c>
      <c r="AW4200" s="126" t="s">
        <v>160</v>
      </c>
      <c r="AX4200" s="126">
        <v>3</v>
      </c>
      <c r="AZ4200" s="126" t="s">
        <v>141</v>
      </c>
      <c r="BE4200" s="126" t="s">
        <v>3714</v>
      </c>
      <c r="BP4200" s="481"/>
      <c r="BQ4200" s="481"/>
      <c r="BU4200" s="481"/>
      <c r="BV4200" s="481"/>
      <c r="BZ4200" s="481"/>
      <c r="CA4200" s="481"/>
      <c r="CE4200" s="605"/>
      <c r="CF4200" s="605"/>
      <c r="CG4200" s="605"/>
      <c r="CH4200" s="605"/>
      <c r="GP4200" s="126">
        <v>1.34</v>
      </c>
      <c r="GQ4200" s="126">
        <v>1.62</v>
      </c>
      <c r="GR4200" s="126">
        <f>SQRT(3)*0.03</f>
        <v>5.1961524227066312E-2</v>
      </c>
      <c r="GS4200" s="126">
        <f>SQRT(3)*0.04</f>
        <v>6.9282032302755092E-2</v>
      </c>
      <c r="GT4200" s="126" t="s">
        <v>3726</v>
      </c>
      <c r="GU4200" s="126">
        <v>8.5</v>
      </c>
      <c r="GV4200" s="126">
        <v>9.93</v>
      </c>
      <c r="GW4200" s="126">
        <f>SQRT(3)*0.36</f>
        <v>0.62353829072479572</v>
      </c>
      <c r="GX4200" s="126">
        <f>SQRT(3)*0.43</f>
        <v>0.74478184725461716</v>
      </c>
      <c r="GY4200" s="126" t="s">
        <v>3728</v>
      </c>
      <c r="GZ4200" s="126">
        <v>24.23</v>
      </c>
      <c r="HA4200" s="126">
        <v>21.57</v>
      </c>
      <c r="HB4200" s="126">
        <f>SQRT(3)*0.58</f>
        <v>1.0045894683899488</v>
      </c>
      <c r="HC4200" s="126">
        <f>SQRT(3)*0.57</f>
        <v>0.98726896031425992</v>
      </c>
      <c r="HD4200" s="126" t="s">
        <v>3727</v>
      </c>
      <c r="JB4200" s="126" t="s">
        <v>3732</v>
      </c>
      <c r="JD4200" s="480"/>
    </row>
    <row r="4201" spans="1:264" s="126" customFormat="1" x14ac:dyDescent="0.25">
      <c r="A4201" s="126">
        <v>185</v>
      </c>
      <c r="B4201" s="478" t="s">
        <v>3717</v>
      </c>
      <c r="C4201" s="126" t="s">
        <v>3709</v>
      </c>
      <c r="D4201" s="126" t="s">
        <v>3710</v>
      </c>
      <c r="E4201" s="126">
        <v>2014</v>
      </c>
      <c r="F4201" s="126">
        <v>2012</v>
      </c>
      <c r="G4201" s="126" t="s">
        <v>3711</v>
      </c>
      <c r="H4201" s="126" t="s">
        <v>3712</v>
      </c>
      <c r="I4201" s="126" t="s">
        <v>3461</v>
      </c>
      <c r="J4201" s="126">
        <f t="shared" si="559"/>
        <v>28.2</v>
      </c>
      <c r="K4201" s="126">
        <f t="shared" si="560"/>
        <v>113.08</v>
      </c>
      <c r="L4201" s="126">
        <v>45.8</v>
      </c>
      <c r="N4201" s="126">
        <v>17.100000000000001</v>
      </c>
      <c r="P4201" s="126">
        <v>1500</v>
      </c>
      <c r="R4201" s="478" t="s">
        <v>1975</v>
      </c>
      <c r="S4201" s="478" t="s">
        <v>1719</v>
      </c>
      <c r="T4201" s="478"/>
      <c r="U4201" s="478" t="s">
        <v>3713</v>
      </c>
      <c r="V4201" s="478" t="s">
        <v>1379</v>
      </c>
      <c r="W4201" s="478"/>
      <c r="X4201" s="478"/>
      <c r="Y4201" s="478"/>
      <c r="AA4201" s="479"/>
      <c r="AB4201" s="479"/>
      <c r="AC4201" s="126" t="s">
        <v>672</v>
      </c>
      <c r="AD4201" s="126">
        <v>5.4</v>
      </c>
      <c r="AE4201" s="126">
        <v>1.33</v>
      </c>
      <c r="AH4201" s="126" t="s">
        <v>3657</v>
      </c>
      <c r="AI4201" s="126" t="s">
        <v>577</v>
      </c>
      <c r="AJ4201" s="126" t="s">
        <v>1128</v>
      </c>
      <c r="AK4201" s="126" t="s">
        <v>1646</v>
      </c>
      <c r="AW4201" s="126" t="s">
        <v>160</v>
      </c>
      <c r="AX4201" s="126">
        <v>3</v>
      </c>
      <c r="AZ4201" s="126" t="s">
        <v>141</v>
      </c>
      <c r="BE4201" s="126" t="s">
        <v>3714</v>
      </c>
      <c r="BP4201" s="481"/>
      <c r="BQ4201" s="481"/>
      <c r="BU4201" s="481"/>
      <c r="BV4201" s="481"/>
      <c r="BZ4201" s="481"/>
      <c r="CA4201" s="481"/>
      <c r="CE4201" s="605"/>
      <c r="CF4201" s="605"/>
      <c r="CG4201" s="605"/>
      <c r="CH4201" s="605"/>
      <c r="GP4201" s="126">
        <v>1.34</v>
      </c>
      <c r="GQ4201" s="126">
        <v>1.42</v>
      </c>
      <c r="GR4201" s="126">
        <f>SQRT(3)*0.03</f>
        <v>5.1961524227066312E-2</v>
      </c>
      <c r="GS4201" s="126">
        <f>SQRT(3)*0.03</f>
        <v>5.1961524227066312E-2</v>
      </c>
      <c r="GT4201" s="126" t="s">
        <v>3726</v>
      </c>
      <c r="GU4201" s="126">
        <v>8.5</v>
      </c>
      <c r="GV4201" s="126">
        <v>12.87</v>
      </c>
      <c r="GW4201" s="126">
        <f>SQRT(3)*0.36</f>
        <v>0.62353829072479572</v>
      </c>
      <c r="GX4201" s="126">
        <f>SQRT(3)*0.44</f>
        <v>0.76210235533030601</v>
      </c>
      <c r="GY4201" s="126" t="s">
        <v>3728</v>
      </c>
      <c r="GZ4201" s="126">
        <v>24.23</v>
      </c>
      <c r="HA4201" s="126">
        <v>23.07</v>
      </c>
      <c r="HB4201" s="126">
        <f>SQRT(3)*0.58</f>
        <v>1.0045894683899488</v>
      </c>
      <c r="HC4201" s="126">
        <f>SQRT(3)*0.58</f>
        <v>1.0045894683899488</v>
      </c>
      <c r="HD4201" s="126" t="s">
        <v>3727</v>
      </c>
      <c r="JB4201" s="126" t="s">
        <v>3732</v>
      </c>
      <c r="JD4201" s="480"/>
    </row>
    <row r="4202" spans="1:264" s="126" customFormat="1" x14ac:dyDescent="0.25">
      <c r="A4202" s="126">
        <v>185</v>
      </c>
      <c r="B4202" s="478" t="s">
        <v>3735</v>
      </c>
      <c r="C4202" s="126" t="s">
        <v>3709</v>
      </c>
      <c r="D4202" s="126" t="s">
        <v>3710</v>
      </c>
      <c r="E4202" s="126">
        <v>2014</v>
      </c>
      <c r="F4202" s="126">
        <v>2012</v>
      </c>
      <c r="G4202" s="126" t="s">
        <v>3711</v>
      </c>
      <c r="H4202" s="126" t="s">
        <v>3712</v>
      </c>
      <c r="I4202" s="126" t="s">
        <v>3461</v>
      </c>
      <c r="J4202" s="126">
        <f t="shared" si="559"/>
        <v>28.2</v>
      </c>
      <c r="K4202" s="126">
        <f t="shared" si="560"/>
        <v>113.08</v>
      </c>
      <c r="L4202" s="126">
        <v>45.8</v>
      </c>
      <c r="N4202" s="126">
        <v>17.100000000000001</v>
      </c>
      <c r="P4202" s="126">
        <v>1500</v>
      </c>
      <c r="R4202" s="478" t="s">
        <v>1975</v>
      </c>
      <c r="S4202" s="478" t="s">
        <v>1719</v>
      </c>
      <c r="T4202" s="478"/>
      <c r="U4202" s="478" t="s">
        <v>3713</v>
      </c>
      <c r="V4202" s="478" t="s">
        <v>1379</v>
      </c>
      <c r="W4202" s="478"/>
      <c r="X4202" s="478"/>
      <c r="Y4202" s="478"/>
      <c r="AA4202" s="479"/>
      <c r="AB4202" s="479"/>
      <c r="AC4202" s="126" t="s">
        <v>672</v>
      </c>
      <c r="AD4202" s="126">
        <v>5.4</v>
      </c>
      <c r="AE4202" s="126">
        <v>1.33</v>
      </c>
      <c r="AH4202" s="126" t="s">
        <v>3729</v>
      </c>
      <c r="AI4202" s="126" t="s">
        <v>1129</v>
      </c>
      <c r="AJ4202" s="126" t="s">
        <v>1128</v>
      </c>
      <c r="AK4202" s="126" t="s">
        <v>1646</v>
      </c>
      <c r="AW4202" s="126" t="s">
        <v>160</v>
      </c>
      <c r="AX4202" s="126">
        <v>3</v>
      </c>
      <c r="AZ4202" s="126" t="s">
        <v>141</v>
      </c>
      <c r="BE4202" s="126" t="s">
        <v>3714</v>
      </c>
      <c r="BP4202" s="481"/>
      <c r="BQ4202" s="481"/>
      <c r="BU4202" s="481"/>
      <c r="BV4202" s="481"/>
      <c r="BZ4202" s="481"/>
      <c r="CA4202" s="481"/>
      <c r="CE4202" s="605"/>
      <c r="CF4202" s="605"/>
      <c r="CG4202" s="605"/>
      <c r="CH4202" s="605"/>
      <c r="GP4202" s="126">
        <v>1.34</v>
      </c>
      <c r="GQ4202" s="126">
        <v>2.11</v>
      </c>
      <c r="GR4202" s="126">
        <f>SQRT(3)*0.03</f>
        <v>5.1961524227066312E-2</v>
      </c>
      <c r="GS4202" s="126">
        <f>SQRT(3)*0.05</f>
        <v>8.6602540378443865E-2</v>
      </c>
      <c r="GT4202" s="126" t="s">
        <v>3726</v>
      </c>
      <c r="GU4202" s="126">
        <v>8.5</v>
      </c>
      <c r="GV4202" s="126">
        <v>9.17</v>
      </c>
      <c r="GW4202" s="126">
        <f>SQRT(3)*0.36</f>
        <v>0.62353829072479572</v>
      </c>
      <c r="GX4202" s="126">
        <f>SQRT(3)*0.23</f>
        <v>0.39837168574084175</v>
      </c>
      <c r="GY4202" s="126" t="s">
        <v>3728</v>
      </c>
      <c r="GZ4202" s="126">
        <v>24.23</v>
      </c>
      <c r="HA4202" s="126">
        <v>28.57</v>
      </c>
      <c r="HB4202" s="126">
        <f>SQRT(3)*0.58</f>
        <v>1.0045894683899488</v>
      </c>
      <c r="HC4202" s="126">
        <f>SQRT(3)*0.43</f>
        <v>0.74478184725461716</v>
      </c>
      <c r="HD4202" s="126" t="s">
        <v>3727</v>
      </c>
      <c r="JB4202" s="126" t="s">
        <v>3732</v>
      </c>
      <c r="JD4202" s="480"/>
    </row>
    <row r="4203" spans="1:264" s="36" customFormat="1" x14ac:dyDescent="0.25">
      <c r="A4203" s="36">
        <v>185</v>
      </c>
      <c r="B4203" s="51" t="s">
        <v>3716</v>
      </c>
      <c r="C4203" s="36" t="s">
        <v>3709</v>
      </c>
      <c r="D4203" s="36" t="s">
        <v>3710</v>
      </c>
      <c r="E4203" s="36">
        <v>2014</v>
      </c>
      <c r="F4203" s="36">
        <v>2012</v>
      </c>
      <c r="G4203" s="36" t="s">
        <v>3711</v>
      </c>
      <c r="H4203" s="36" t="s">
        <v>3712</v>
      </c>
      <c r="I4203" s="36" t="s">
        <v>3461</v>
      </c>
      <c r="J4203" s="36">
        <f t="shared" si="559"/>
        <v>28.2</v>
      </c>
      <c r="K4203" s="36">
        <f t="shared" si="560"/>
        <v>113.08</v>
      </c>
      <c r="L4203" s="36">
        <v>45.8</v>
      </c>
      <c r="N4203" s="36">
        <v>17.100000000000001</v>
      </c>
      <c r="P4203" s="36">
        <v>1500</v>
      </c>
      <c r="R4203" s="51" t="s">
        <v>1975</v>
      </c>
      <c r="S4203" s="51" t="s">
        <v>1719</v>
      </c>
      <c r="T4203" s="51"/>
      <c r="U4203" s="51" t="s">
        <v>3713</v>
      </c>
      <c r="V4203" s="51" t="s">
        <v>1379</v>
      </c>
      <c r="W4203" s="51"/>
      <c r="X4203" s="51"/>
      <c r="Y4203" s="51"/>
      <c r="AA4203" s="331"/>
      <c r="AB4203" s="331"/>
      <c r="AC4203" s="36" t="s">
        <v>672</v>
      </c>
      <c r="AD4203" s="36">
        <v>5.4</v>
      </c>
      <c r="AE4203" s="36">
        <v>1.33</v>
      </c>
      <c r="AH4203" s="36" t="s">
        <v>115</v>
      </c>
      <c r="AI4203" s="36" t="s">
        <v>1581</v>
      </c>
      <c r="AJ4203" s="36" t="s">
        <v>1128</v>
      </c>
      <c r="AK4203" s="36" t="s">
        <v>1646</v>
      </c>
      <c r="AW4203" s="36" t="s">
        <v>160</v>
      </c>
      <c r="AX4203" s="36">
        <v>3</v>
      </c>
      <c r="AZ4203" s="36" t="s">
        <v>141</v>
      </c>
      <c r="BE4203" s="36" t="s">
        <v>3714</v>
      </c>
      <c r="BP4203" s="407"/>
      <c r="BQ4203" s="407"/>
      <c r="BU4203" s="407"/>
      <c r="BV4203" s="407"/>
      <c r="BZ4203" s="407"/>
      <c r="CA4203" s="407"/>
      <c r="CE4203" s="560"/>
      <c r="CF4203" s="560"/>
      <c r="CG4203" s="560"/>
      <c r="CH4203" s="560"/>
      <c r="GP4203" s="36">
        <v>0.27</v>
      </c>
      <c r="GQ4203" s="36">
        <v>0.65</v>
      </c>
      <c r="GR4203" s="36">
        <f>SQRT(3)*0.04</f>
        <v>6.9282032302755092E-2</v>
      </c>
      <c r="GS4203" s="36">
        <f>SQRT(3)*0.03</f>
        <v>5.1961524227066312E-2</v>
      </c>
      <c r="GT4203" s="36" t="s">
        <v>3726</v>
      </c>
      <c r="GU4203" s="36">
        <v>10.199999999999999</v>
      </c>
      <c r="GV4203" s="36">
        <v>17.47</v>
      </c>
      <c r="GW4203" s="36">
        <f>SQRT(3)*0.26</f>
        <v>0.4503332099679081</v>
      </c>
      <c r="GX4203" s="36">
        <f>SQRT(3)*0.35</f>
        <v>0.60621778264910697</v>
      </c>
      <c r="GY4203" s="36" t="s">
        <v>3728</v>
      </c>
      <c r="GZ4203" s="36">
        <v>23.07</v>
      </c>
      <c r="HA4203" s="36">
        <v>27.33</v>
      </c>
      <c r="HB4203" s="36">
        <f>SQRT(3)*0.44</f>
        <v>0.76210235533030601</v>
      </c>
      <c r="HC4203" s="36">
        <f>SQRT(3)*0.61</f>
        <v>1.0565509926170151</v>
      </c>
      <c r="HD4203" s="36" t="s">
        <v>3727</v>
      </c>
      <c r="JB4203" s="36" t="s">
        <v>3733</v>
      </c>
      <c r="JD4203" s="230"/>
    </row>
    <row r="4204" spans="1:264" s="36" customFormat="1" x14ac:dyDescent="0.25">
      <c r="A4204" s="36">
        <v>185</v>
      </c>
      <c r="B4204" s="51" t="s">
        <v>3717</v>
      </c>
      <c r="C4204" s="36" t="s">
        <v>3709</v>
      </c>
      <c r="D4204" s="36" t="s">
        <v>3710</v>
      </c>
      <c r="E4204" s="36">
        <v>2014</v>
      </c>
      <c r="F4204" s="36">
        <v>2012</v>
      </c>
      <c r="G4204" s="36" t="s">
        <v>3711</v>
      </c>
      <c r="H4204" s="36" t="s">
        <v>3712</v>
      </c>
      <c r="I4204" s="36" t="s">
        <v>3461</v>
      </c>
      <c r="J4204" s="36">
        <f t="shared" si="559"/>
        <v>28.2</v>
      </c>
      <c r="K4204" s="36">
        <f t="shared" si="560"/>
        <v>113.08</v>
      </c>
      <c r="L4204" s="36">
        <v>45.8</v>
      </c>
      <c r="N4204" s="36">
        <v>17.100000000000001</v>
      </c>
      <c r="P4204" s="36">
        <v>1500</v>
      </c>
      <c r="R4204" s="51" t="s">
        <v>1975</v>
      </c>
      <c r="S4204" s="51" t="s">
        <v>1719</v>
      </c>
      <c r="T4204" s="51"/>
      <c r="U4204" s="51" t="s">
        <v>3713</v>
      </c>
      <c r="V4204" s="51" t="s">
        <v>1379</v>
      </c>
      <c r="W4204" s="51"/>
      <c r="X4204" s="51"/>
      <c r="Y4204" s="51"/>
      <c r="AA4204" s="331"/>
      <c r="AB4204" s="331"/>
      <c r="AC4204" s="36" t="s">
        <v>672</v>
      </c>
      <c r="AD4204" s="36">
        <v>5.4</v>
      </c>
      <c r="AE4204" s="36">
        <v>1.33</v>
      </c>
      <c r="AH4204" s="36" t="s">
        <v>3657</v>
      </c>
      <c r="AI4204" s="36" t="s">
        <v>577</v>
      </c>
      <c r="AJ4204" s="36" t="s">
        <v>1128</v>
      </c>
      <c r="AK4204" s="36" t="s">
        <v>1646</v>
      </c>
      <c r="AW4204" s="36" t="s">
        <v>160</v>
      </c>
      <c r="AX4204" s="36">
        <v>3</v>
      </c>
      <c r="AZ4204" s="36" t="s">
        <v>141</v>
      </c>
      <c r="BE4204" s="36" t="s">
        <v>3714</v>
      </c>
      <c r="BP4204" s="407"/>
      <c r="BQ4204" s="407"/>
      <c r="BU4204" s="407"/>
      <c r="BV4204" s="407"/>
      <c r="BZ4204" s="407"/>
      <c r="CA4204" s="407"/>
      <c r="CE4204" s="560"/>
      <c r="CF4204" s="560"/>
      <c r="CG4204" s="560"/>
      <c r="CH4204" s="560"/>
      <c r="GP4204" s="36">
        <v>0.27</v>
      </c>
      <c r="GQ4204" s="36">
        <v>0.59</v>
      </c>
      <c r="GR4204" s="36">
        <f>SQRT(3)*0.04</f>
        <v>6.9282032302755092E-2</v>
      </c>
      <c r="GS4204" s="36">
        <f>SQRT(3)*0.04</f>
        <v>6.9282032302755092E-2</v>
      </c>
      <c r="GT4204" s="36" t="s">
        <v>3726</v>
      </c>
      <c r="GU4204" s="36">
        <v>10.199999999999999</v>
      </c>
      <c r="GV4204" s="36">
        <v>18.47</v>
      </c>
      <c r="GW4204" s="36">
        <f>SQRT(3)*0.26</f>
        <v>0.4503332099679081</v>
      </c>
      <c r="GX4204" s="36">
        <f>SQRT(3)*0.35</f>
        <v>0.60621778264910697</v>
      </c>
      <c r="GY4204" s="36" t="s">
        <v>3728</v>
      </c>
      <c r="GZ4204" s="36">
        <v>23.07</v>
      </c>
      <c r="HA4204" s="36">
        <v>18.07</v>
      </c>
      <c r="HB4204" s="36">
        <f>SQRT(3)*0.44</f>
        <v>0.76210235533030601</v>
      </c>
      <c r="HC4204" s="36">
        <f>SQRT(3)*0.43</f>
        <v>0.74478184725461716</v>
      </c>
      <c r="HD4204" s="36" t="s">
        <v>3727</v>
      </c>
      <c r="JB4204" s="36" t="s">
        <v>3733</v>
      </c>
      <c r="JD4204" s="230"/>
    </row>
    <row r="4205" spans="1:264" s="36" customFormat="1" x14ac:dyDescent="0.25">
      <c r="A4205" s="36">
        <v>185</v>
      </c>
      <c r="B4205" s="51" t="s">
        <v>3735</v>
      </c>
      <c r="C4205" s="36" t="s">
        <v>3709</v>
      </c>
      <c r="D4205" s="36" t="s">
        <v>3710</v>
      </c>
      <c r="E4205" s="36">
        <v>2014</v>
      </c>
      <c r="F4205" s="36">
        <v>2012</v>
      </c>
      <c r="G4205" s="36" t="s">
        <v>3711</v>
      </c>
      <c r="H4205" s="36" t="s">
        <v>3712</v>
      </c>
      <c r="I4205" s="36" t="s">
        <v>3461</v>
      </c>
      <c r="J4205" s="36">
        <f t="shared" si="559"/>
        <v>28.2</v>
      </c>
      <c r="K4205" s="36">
        <f t="shared" si="560"/>
        <v>113.08</v>
      </c>
      <c r="L4205" s="36">
        <v>45.8</v>
      </c>
      <c r="N4205" s="36">
        <v>17.100000000000001</v>
      </c>
      <c r="P4205" s="36">
        <v>1500</v>
      </c>
      <c r="R4205" s="51" t="s">
        <v>1975</v>
      </c>
      <c r="S4205" s="51" t="s">
        <v>1719</v>
      </c>
      <c r="T4205" s="51"/>
      <c r="U4205" s="51" t="s">
        <v>3713</v>
      </c>
      <c r="V4205" s="51" t="s">
        <v>1379</v>
      </c>
      <c r="W4205" s="51"/>
      <c r="X4205" s="51"/>
      <c r="Y4205" s="51"/>
      <c r="AA4205" s="331"/>
      <c r="AB4205" s="331"/>
      <c r="AC4205" s="36" t="s">
        <v>672</v>
      </c>
      <c r="AD4205" s="36">
        <v>5.4</v>
      </c>
      <c r="AE4205" s="36">
        <v>1.33</v>
      </c>
      <c r="AH4205" s="36" t="s">
        <v>3729</v>
      </c>
      <c r="AI4205" s="36" t="s">
        <v>1129</v>
      </c>
      <c r="AJ4205" s="36" t="s">
        <v>1128</v>
      </c>
      <c r="AK4205" s="36" t="s">
        <v>1646</v>
      </c>
      <c r="AW4205" s="36" t="s">
        <v>160</v>
      </c>
      <c r="AX4205" s="36">
        <v>3</v>
      </c>
      <c r="AZ4205" s="36" t="s">
        <v>141</v>
      </c>
      <c r="BE4205" s="36" t="s">
        <v>3714</v>
      </c>
      <c r="BP4205" s="407"/>
      <c r="BQ4205" s="407"/>
      <c r="BU4205" s="407"/>
      <c r="BV4205" s="407"/>
      <c r="BZ4205" s="407"/>
      <c r="CA4205" s="407"/>
      <c r="CE4205" s="560"/>
      <c r="CF4205" s="560"/>
      <c r="CG4205" s="560"/>
      <c r="CH4205" s="560"/>
      <c r="GP4205" s="36">
        <v>0.27</v>
      </c>
      <c r="GQ4205" s="36">
        <v>1.0900000000000001</v>
      </c>
      <c r="GR4205" s="36">
        <f>SQRT(3)*0.04</f>
        <v>6.9282032302755092E-2</v>
      </c>
      <c r="GS4205" s="36">
        <f>SQRT(3)*0.03</f>
        <v>5.1961524227066312E-2</v>
      </c>
      <c r="GT4205" s="36" t="s">
        <v>3726</v>
      </c>
      <c r="GU4205" s="36">
        <v>10.199999999999999</v>
      </c>
      <c r="GV4205" s="36">
        <v>12.77</v>
      </c>
      <c r="GW4205" s="36">
        <f>SQRT(3)*0.26</f>
        <v>0.4503332099679081</v>
      </c>
      <c r="GX4205" s="36">
        <f>SQRT(3)*0.43</f>
        <v>0.74478184725461716</v>
      </c>
      <c r="GY4205" s="36" t="s">
        <v>3728</v>
      </c>
      <c r="GZ4205" s="36">
        <v>23.07</v>
      </c>
      <c r="HA4205" s="36">
        <v>24.93</v>
      </c>
      <c r="HB4205" s="36">
        <f>SQRT(3)*0.44</f>
        <v>0.76210235533030601</v>
      </c>
      <c r="HC4205" s="36">
        <f>SQRT(3)*0.82</f>
        <v>1.4202816622064791</v>
      </c>
      <c r="HD4205" s="36" t="s">
        <v>3727</v>
      </c>
      <c r="JB4205" s="36" t="s">
        <v>3733</v>
      </c>
      <c r="JD4205" s="230"/>
    </row>
    <row r="4206" spans="1:264" s="99" customFormat="1" x14ac:dyDescent="0.25">
      <c r="A4206" s="99">
        <v>185</v>
      </c>
      <c r="B4206" s="100" t="s">
        <v>3716</v>
      </c>
      <c r="C4206" s="99" t="s">
        <v>3709</v>
      </c>
      <c r="D4206" s="99" t="s">
        <v>3710</v>
      </c>
      <c r="E4206" s="99">
        <v>2014</v>
      </c>
      <c r="F4206" s="99">
        <v>2012</v>
      </c>
      <c r="G4206" s="99" t="s">
        <v>3711</v>
      </c>
      <c r="H4206" s="99" t="s">
        <v>3712</v>
      </c>
      <c r="I4206" s="99" t="s">
        <v>3461</v>
      </c>
      <c r="J4206" s="99">
        <f t="shared" si="559"/>
        <v>28.2</v>
      </c>
      <c r="K4206" s="99">
        <f t="shared" si="560"/>
        <v>113.08</v>
      </c>
      <c r="L4206" s="99">
        <v>45.8</v>
      </c>
      <c r="N4206" s="99">
        <v>17.100000000000001</v>
      </c>
      <c r="P4206" s="99">
        <v>1500</v>
      </c>
      <c r="R4206" s="100" t="s">
        <v>1975</v>
      </c>
      <c r="S4206" s="100" t="s">
        <v>1719</v>
      </c>
      <c r="T4206" s="100"/>
      <c r="U4206" s="100" t="s">
        <v>3713</v>
      </c>
      <c r="V4206" s="100" t="s">
        <v>1379</v>
      </c>
      <c r="W4206" s="100"/>
      <c r="X4206" s="100"/>
      <c r="Y4206" s="100"/>
      <c r="AA4206" s="351"/>
      <c r="AB4206" s="351"/>
      <c r="AC4206" s="99" t="s">
        <v>672</v>
      </c>
      <c r="AD4206" s="99">
        <v>5.4</v>
      </c>
      <c r="AE4206" s="99">
        <v>1.33</v>
      </c>
      <c r="AH4206" s="99" t="s">
        <v>115</v>
      </c>
      <c r="AI4206" s="99" t="s">
        <v>1581</v>
      </c>
      <c r="AJ4206" s="99" t="s">
        <v>1128</v>
      </c>
      <c r="AK4206" s="99" t="s">
        <v>1646</v>
      </c>
      <c r="AW4206" s="99" t="s">
        <v>160</v>
      </c>
      <c r="AX4206" s="99">
        <v>3</v>
      </c>
      <c r="AZ4206" s="99" t="s">
        <v>141</v>
      </c>
      <c r="BE4206" s="99" t="s">
        <v>3715</v>
      </c>
      <c r="BP4206" s="426"/>
      <c r="BQ4206" s="426"/>
      <c r="BU4206" s="426"/>
      <c r="BV4206" s="426"/>
      <c r="BZ4206" s="426"/>
      <c r="CA4206" s="426"/>
      <c r="CE4206" s="579"/>
      <c r="CF4206" s="579"/>
      <c r="CG4206" s="579"/>
      <c r="CH4206" s="579"/>
      <c r="GP4206" s="99">
        <v>1.94</v>
      </c>
      <c r="GQ4206" s="99">
        <v>2.5299999999999998</v>
      </c>
      <c r="GR4206" s="99">
        <f>SQRT(3)*0.02</f>
        <v>3.4641016151377546E-2</v>
      </c>
      <c r="GS4206" s="99">
        <f>SQRT(3)*0.05</f>
        <v>8.6602540378443865E-2</v>
      </c>
      <c r="GT4206" s="99" t="s">
        <v>3726</v>
      </c>
      <c r="GU4206" s="99">
        <v>4.99</v>
      </c>
      <c r="GV4206" s="99">
        <v>6.93</v>
      </c>
      <c r="GW4206" s="99">
        <f>SQRT(3)*0.41</f>
        <v>0.71014083110323956</v>
      </c>
      <c r="GX4206" s="99">
        <f>SQRT(3)*0.28</f>
        <v>0.48497422611928565</v>
      </c>
      <c r="GY4206" s="99" t="s">
        <v>3728</v>
      </c>
      <c r="GZ4206" s="99">
        <v>34.79</v>
      </c>
      <c r="HA4206" s="99">
        <v>24.29</v>
      </c>
      <c r="HB4206" s="99">
        <f>SQRT(3)*1.96</f>
        <v>3.3948195828349994</v>
      </c>
      <c r="HC4206" s="99">
        <f>SQRT(3)*0.74</f>
        <v>1.2817175976009691</v>
      </c>
      <c r="HD4206" s="99" t="s">
        <v>3727</v>
      </c>
      <c r="JB4206" s="126" t="s">
        <v>3730</v>
      </c>
      <c r="JD4206" s="508"/>
    </row>
    <row r="4207" spans="1:264" s="99" customFormat="1" x14ac:dyDescent="0.25">
      <c r="A4207" s="99">
        <v>185</v>
      </c>
      <c r="B4207" s="100" t="s">
        <v>3717</v>
      </c>
      <c r="C4207" s="99" t="s">
        <v>3709</v>
      </c>
      <c r="D4207" s="99" t="s">
        <v>3710</v>
      </c>
      <c r="E4207" s="99">
        <v>2014</v>
      </c>
      <c r="F4207" s="99">
        <v>2012</v>
      </c>
      <c r="G4207" s="99" t="s">
        <v>3711</v>
      </c>
      <c r="H4207" s="99" t="s">
        <v>3712</v>
      </c>
      <c r="I4207" s="99" t="s">
        <v>3461</v>
      </c>
      <c r="J4207" s="99">
        <f t="shared" si="559"/>
        <v>28.2</v>
      </c>
      <c r="K4207" s="99">
        <f t="shared" si="560"/>
        <v>113.08</v>
      </c>
      <c r="L4207" s="99">
        <v>45.8</v>
      </c>
      <c r="N4207" s="99">
        <v>17.100000000000001</v>
      </c>
      <c r="P4207" s="99">
        <v>1500</v>
      </c>
      <c r="R4207" s="100" t="s">
        <v>1975</v>
      </c>
      <c r="S4207" s="100" t="s">
        <v>1719</v>
      </c>
      <c r="T4207" s="100"/>
      <c r="U4207" s="100" t="s">
        <v>3713</v>
      </c>
      <c r="V4207" s="100" t="s">
        <v>1379</v>
      </c>
      <c r="W4207" s="100"/>
      <c r="X4207" s="100"/>
      <c r="Y4207" s="100"/>
      <c r="AA4207" s="351"/>
      <c r="AB4207" s="351"/>
      <c r="AC4207" s="99" t="s">
        <v>672</v>
      </c>
      <c r="AD4207" s="99">
        <v>5.4</v>
      </c>
      <c r="AE4207" s="99">
        <v>1.33</v>
      </c>
      <c r="AH4207" s="99" t="s">
        <v>3657</v>
      </c>
      <c r="AI4207" s="99" t="s">
        <v>577</v>
      </c>
      <c r="AJ4207" s="99" t="s">
        <v>1128</v>
      </c>
      <c r="AK4207" s="99" t="s">
        <v>1646</v>
      </c>
      <c r="AW4207" s="99" t="s">
        <v>160</v>
      </c>
      <c r="AX4207" s="99">
        <v>3</v>
      </c>
      <c r="AZ4207" s="99" t="s">
        <v>141</v>
      </c>
      <c r="BE4207" s="99" t="s">
        <v>3715</v>
      </c>
      <c r="BP4207" s="426"/>
      <c r="BQ4207" s="426"/>
      <c r="BU4207" s="426"/>
      <c r="BV4207" s="426"/>
      <c r="BZ4207" s="426"/>
      <c r="CA4207" s="426"/>
      <c r="CE4207" s="579"/>
      <c r="CF4207" s="579"/>
      <c r="CG4207" s="579"/>
      <c r="CH4207" s="579"/>
      <c r="GP4207" s="99">
        <v>1.94</v>
      </c>
      <c r="GQ4207" s="99">
        <v>2.42</v>
      </c>
      <c r="GR4207" s="99">
        <f>SQRT(3)*0.02</f>
        <v>3.4641016151377546E-2</v>
      </c>
      <c r="GS4207" s="99">
        <f>SQRT(3)*0.03</f>
        <v>5.1961524227066312E-2</v>
      </c>
      <c r="GT4207" s="99" t="s">
        <v>3726</v>
      </c>
      <c r="GU4207" s="99">
        <v>4.99</v>
      </c>
      <c r="GV4207" s="99">
        <v>8.1</v>
      </c>
      <c r="GW4207" s="99">
        <f>SQRT(3)*0.41</f>
        <v>0.71014083110323956</v>
      </c>
      <c r="GX4207" s="99">
        <f>SQRT(3)*0.26</f>
        <v>0.4503332099679081</v>
      </c>
      <c r="GY4207" s="99" t="s">
        <v>3728</v>
      </c>
      <c r="GZ4207" s="99">
        <v>34.79</v>
      </c>
      <c r="HA4207" s="99">
        <v>26.77</v>
      </c>
      <c r="HB4207" s="99">
        <f>SQRT(3)*1.96</f>
        <v>3.3948195828349994</v>
      </c>
      <c r="HC4207" s="99">
        <f>SQRT(3)*0.51</f>
        <v>0.88334591186012734</v>
      </c>
      <c r="HD4207" s="99" t="s">
        <v>3727</v>
      </c>
      <c r="JB4207" s="126" t="s">
        <v>3730</v>
      </c>
      <c r="JD4207" s="508"/>
    </row>
    <row r="4208" spans="1:264" s="99" customFormat="1" x14ac:dyDescent="0.25">
      <c r="A4208" s="99">
        <v>185</v>
      </c>
      <c r="B4208" s="100" t="s">
        <v>3735</v>
      </c>
      <c r="C4208" s="99" t="s">
        <v>3709</v>
      </c>
      <c r="D4208" s="99" t="s">
        <v>3710</v>
      </c>
      <c r="E4208" s="99">
        <v>2014</v>
      </c>
      <c r="F4208" s="99">
        <v>2012</v>
      </c>
      <c r="G4208" s="99" t="s">
        <v>3711</v>
      </c>
      <c r="H4208" s="99" t="s">
        <v>3712</v>
      </c>
      <c r="I4208" s="99" t="s">
        <v>3461</v>
      </c>
      <c r="J4208" s="99">
        <f t="shared" si="559"/>
        <v>28.2</v>
      </c>
      <c r="K4208" s="99">
        <f t="shared" si="560"/>
        <v>113.08</v>
      </c>
      <c r="L4208" s="99">
        <v>45.8</v>
      </c>
      <c r="N4208" s="99">
        <v>17.100000000000001</v>
      </c>
      <c r="P4208" s="99">
        <v>1500</v>
      </c>
      <c r="R4208" s="100" t="s">
        <v>1975</v>
      </c>
      <c r="S4208" s="100" t="s">
        <v>1719</v>
      </c>
      <c r="T4208" s="100"/>
      <c r="U4208" s="100" t="s">
        <v>3713</v>
      </c>
      <c r="V4208" s="100" t="s">
        <v>1379</v>
      </c>
      <c r="W4208" s="100"/>
      <c r="X4208" s="100"/>
      <c r="Y4208" s="100"/>
      <c r="AA4208" s="351"/>
      <c r="AB4208" s="351"/>
      <c r="AC4208" s="99" t="s">
        <v>672</v>
      </c>
      <c r="AD4208" s="99">
        <v>5.4</v>
      </c>
      <c r="AE4208" s="99">
        <v>1.33</v>
      </c>
      <c r="AH4208" s="99" t="s">
        <v>3729</v>
      </c>
      <c r="AI4208" s="99" t="s">
        <v>1129</v>
      </c>
      <c r="AJ4208" s="99" t="s">
        <v>1128</v>
      </c>
      <c r="AK4208" s="99" t="s">
        <v>1646</v>
      </c>
      <c r="AW4208" s="99" t="s">
        <v>160</v>
      </c>
      <c r="AX4208" s="99">
        <v>3</v>
      </c>
      <c r="AZ4208" s="99" t="s">
        <v>141</v>
      </c>
      <c r="BE4208" s="99" t="s">
        <v>3715</v>
      </c>
      <c r="BP4208" s="426"/>
      <c r="BQ4208" s="426"/>
      <c r="BU4208" s="426"/>
      <c r="BV4208" s="426"/>
      <c r="BZ4208" s="426"/>
      <c r="CA4208" s="426"/>
      <c r="CE4208" s="579"/>
      <c r="CF4208" s="579"/>
      <c r="CG4208" s="579"/>
      <c r="CH4208" s="579"/>
      <c r="GP4208" s="99">
        <v>1.94</v>
      </c>
      <c r="GQ4208" s="99">
        <v>2.72</v>
      </c>
      <c r="GR4208" s="99">
        <f>SQRT(3)*0.02</f>
        <v>3.4641016151377546E-2</v>
      </c>
      <c r="GS4208" s="99">
        <f>SQRT(3)*0.04</f>
        <v>6.9282032302755092E-2</v>
      </c>
      <c r="GT4208" s="99" t="s">
        <v>3726</v>
      </c>
      <c r="GU4208" s="99">
        <v>4.99</v>
      </c>
      <c r="GV4208" s="99">
        <v>5.93</v>
      </c>
      <c r="GW4208" s="99">
        <f>SQRT(3)*0.41</f>
        <v>0.71014083110323956</v>
      </c>
      <c r="GX4208" s="99">
        <f>SQRT(3)*0.2</f>
        <v>0.34641016151377546</v>
      </c>
      <c r="GY4208" s="99" t="s">
        <v>3728</v>
      </c>
      <c r="GZ4208" s="99">
        <v>34.79</v>
      </c>
      <c r="HA4208" s="99">
        <v>36.5</v>
      </c>
      <c r="HB4208" s="99">
        <f>SQRT(3)*1.96</f>
        <v>3.3948195828349994</v>
      </c>
      <c r="HC4208" s="99">
        <f>SQRT(3)*0.72</f>
        <v>1.2470765814495914</v>
      </c>
      <c r="HD4208" s="99" t="s">
        <v>3727</v>
      </c>
      <c r="JB4208" s="126" t="s">
        <v>3730</v>
      </c>
      <c r="JD4208" s="508"/>
    </row>
    <row r="4209" spans="1:264" s="97" customFormat="1" x14ac:dyDescent="0.25">
      <c r="A4209" s="97">
        <v>185</v>
      </c>
      <c r="B4209" s="98" t="s">
        <v>3716</v>
      </c>
      <c r="C4209" s="97" t="s">
        <v>3709</v>
      </c>
      <c r="D4209" s="97" t="s">
        <v>3710</v>
      </c>
      <c r="E4209" s="97">
        <v>2014</v>
      </c>
      <c r="F4209" s="97">
        <v>2012</v>
      </c>
      <c r="G4209" s="97" t="s">
        <v>3711</v>
      </c>
      <c r="H4209" s="97" t="s">
        <v>3712</v>
      </c>
      <c r="I4209" s="97" t="s">
        <v>3461</v>
      </c>
      <c r="J4209" s="97">
        <f t="shared" si="559"/>
        <v>28.2</v>
      </c>
      <c r="K4209" s="97">
        <f t="shared" si="560"/>
        <v>113.08</v>
      </c>
      <c r="L4209" s="97">
        <v>45.8</v>
      </c>
      <c r="N4209" s="97">
        <v>17.100000000000001</v>
      </c>
      <c r="P4209" s="97">
        <v>1500</v>
      </c>
      <c r="R4209" s="98" t="s">
        <v>1975</v>
      </c>
      <c r="S4209" s="98" t="s">
        <v>1719</v>
      </c>
      <c r="T4209" s="98"/>
      <c r="U4209" s="98" t="s">
        <v>3713</v>
      </c>
      <c r="V4209" s="98" t="s">
        <v>1379</v>
      </c>
      <c r="W4209" s="98"/>
      <c r="X4209" s="98"/>
      <c r="Y4209" s="98"/>
      <c r="AA4209" s="350"/>
      <c r="AB4209" s="350"/>
      <c r="AC4209" s="97" t="s">
        <v>672</v>
      </c>
      <c r="AD4209" s="97">
        <v>5.4</v>
      </c>
      <c r="AE4209" s="97">
        <v>1.33</v>
      </c>
      <c r="AH4209" s="97" t="s">
        <v>115</v>
      </c>
      <c r="AI4209" s="97" t="s">
        <v>1581</v>
      </c>
      <c r="AJ4209" s="97" t="s">
        <v>1128</v>
      </c>
      <c r="AK4209" s="97" t="s">
        <v>1646</v>
      </c>
      <c r="AW4209" s="97" t="s">
        <v>160</v>
      </c>
      <c r="AX4209" s="97">
        <v>3</v>
      </c>
      <c r="AZ4209" s="97" t="s">
        <v>141</v>
      </c>
      <c r="BE4209" s="97" t="s">
        <v>3715</v>
      </c>
      <c r="BP4209" s="425"/>
      <c r="BQ4209" s="425"/>
      <c r="BU4209" s="425"/>
      <c r="BV4209" s="425"/>
      <c r="BZ4209" s="425"/>
      <c r="CA4209" s="425"/>
      <c r="CE4209" s="578"/>
      <c r="CF4209" s="578"/>
      <c r="CG4209" s="578"/>
      <c r="CH4209" s="578"/>
      <c r="GP4209" s="97">
        <v>1.31</v>
      </c>
      <c r="GQ4209" s="97">
        <v>1.75</v>
      </c>
      <c r="GR4209" s="97">
        <f>SQRT(3)*0.03</f>
        <v>5.1961524227066312E-2</v>
      </c>
      <c r="GS4209" s="97">
        <f>SQRT(3)*0.04</f>
        <v>6.9282032302755092E-2</v>
      </c>
      <c r="GT4209" s="97" t="s">
        <v>3726</v>
      </c>
      <c r="GU4209" s="97">
        <v>5.62</v>
      </c>
      <c r="GV4209" s="97">
        <v>6.94</v>
      </c>
      <c r="GW4209" s="97">
        <f>SQRT(3)*0.43</f>
        <v>0.74478184725461716</v>
      </c>
      <c r="GX4209" s="97">
        <f>SQRT(3)*0.23</f>
        <v>0.39837168574084175</v>
      </c>
      <c r="GY4209" s="97" t="s">
        <v>3728</v>
      </c>
      <c r="GZ4209" s="97">
        <v>29.02</v>
      </c>
      <c r="HA4209" s="97">
        <v>19.420000000000002</v>
      </c>
      <c r="HB4209" s="97">
        <f>SQRT(3)*1.05</f>
        <v>1.818653347947321</v>
      </c>
      <c r="HC4209" s="97">
        <f>SQRT(3)*0.72</f>
        <v>1.2470765814495914</v>
      </c>
      <c r="HD4209" s="97" t="s">
        <v>3727</v>
      </c>
      <c r="JB4209" s="36" t="s">
        <v>3731</v>
      </c>
      <c r="JD4209" s="514"/>
    </row>
    <row r="4210" spans="1:264" s="97" customFormat="1" x14ac:dyDescent="0.25">
      <c r="A4210" s="97">
        <v>185</v>
      </c>
      <c r="B4210" s="98" t="s">
        <v>3717</v>
      </c>
      <c r="C4210" s="97" t="s">
        <v>3709</v>
      </c>
      <c r="D4210" s="97" t="s">
        <v>3710</v>
      </c>
      <c r="E4210" s="97">
        <v>2014</v>
      </c>
      <c r="F4210" s="97">
        <v>2012</v>
      </c>
      <c r="G4210" s="97" t="s">
        <v>3711</v>
      </c>
      <c r="H4210" s="97" t="s">
        <v>3712</v>
      </c>
      <c r="I4210" s="97" t="s">
        <v>3461</v>
      </c>
      <c r="J4210" s="97">
        <f t="shared" si="559"/>
        <v>28.2</v>
      </c>
      <c r="K4210" s="97">
        <f t="shared" si="560"/>
        <v>113.08</v>
      </c>
      <c r="L4210" s="97">
        <v>45.8</v>
      </c>
      <c r="N4210" s="97">
        <v>17.100000000000001</v>
      </c>
      <c r="P4210" s="97">
        <v>1500</v>
      </c>
      <c r="R4210" s="98" t="s">
        <v>1975</v>
      </c>
      <c r="S4210" s="98" t="s">
        <v>1719</v>
      </c>
      <c r="T4210" s="98"/>
      <c r="U4210" s="98" t="s">
        <v>3713</v>
      </c>
      <c r="V4210" s="98" t="s">
        <v>1379</v>
      </c>
      <c r="W4210" s="98"/>
      <c r="X4210" s="98"/>
      <c r="Y4210" s="98"/>
      <c r="AA4210" s="350"/>
      <c r="AB4210" s="350"/>
      <c r="AC4210" s="97" t="s">
        <v>672</v>
      </c>
      <c r="AD4210" s="97">
        <v>5.4</v>
      </c>
      <c r="AE4210" s="97">
        <v>1.33</v>
      </c>
      <c r="AH4210" s="97" t="s">
        <v>3657</v>
      </c>
      <c r="AI4210" s="97" t="s">
        <v>577</v>
      </c>
      <c r="AJ4210" s="97" t="s">
        <v>1128</v>
      </c>
      <c r="AK4210" s="97" t="s">
        <v>1646</v>
      </c>
      <c r="AW4210" s="97" t="s">
        <v>160</v>
      </c>
      <c r="AX4210" s="97">
        <v>3</v>
      </c>
      <c r="AZ4210" s="97" t="s">
        <v>141</v>
      </c>
      <c r="BE4210" s="97" t="s">
        <v>3715</v>
      </c>
      <c r="BP4210" s="425"/>
      <c r="BQ4210" s="425"/>
      <c r="BU4210" s="425"/>
      <c r="BV4210" s="425"/>
      <c r="BZ4210" s="425"/>
      <c r="CA4210" s="425"/>
      <c r="CE4210" s="578"/>
      <c r="CF4210" s="578"/>
      <c r="CG4210" s="578"/>
      <c r="CH4210" s="578"/>
      <c r="GP4210" s="97">
        <v>1.31</v>
      </c>
      <c r="GQ4210" s="97">
        <v>1.66</v>
      </c>
      <c r="GR4210" s="97">
        <f>SQRT(3)*0.03</f>
        <v>5.1961524227066312E-2</v>
      </c>
      <c r="GS4210" s="97">
        <f>SQRT(3)*0.05</f>
        <v>8.6602540378443865E-2</v>
      </c>
      <c r="GT4210" s="97" t="s">
        <v>3726</v>
      </c>
      <c r="GU4210" s="97">
        <v>5.62</v>
      </c>
      <c r="GV4210" s="97">
        <v>8.92</v>
      </c>
      <c r="GW4210" s="97">
        <f>SQRT(3)*0.43</f>
        <v>0.74478184725461716</v>
      </c>
      <c r="GX4210" s="97">
        <f>SQRT(3)*0.32</f>
        <v>0.55425625842204074</v>
      </c>
      <c r="GY4210" s="97" t="s">
        <v>3728</v>
      </c>
      <c r="GZ4210" s="97">
        <v>29.02</v>
      </c>
      <c r="HA4210" s="97">
        <v>22.33</v>
      </c>
      <c r="HB4210" s="97">
        <f>SQRT(3)*1.05</f>
        <v>1.818653347947321</v>
      </c>
      <c r="HC4210" s="97">
        <f>SQRT(3)*0.88</f>
        <v>1.524204710660612</v>
      </c>
      <c r="HD4210" s="97" t="s">
        <v>3727</v>
      </c>
      <c r="JB4210" s="36" t="s">
        <v>3731</v>
      </c>
      <c r="JD4210" s="514"/>
    </row>
    <row r="4211" spans="1:264" s="97" customFormat="1" x14ac:dyDescent="0.25">
      <c r="A4211" s="97">
        <v>185</v>
      </c>
      <c r="B4211" s="98" t="s">
        <v>3735</v>
      </c>
      <c r="C4211" s="97" t="s">
        <v>3709</v>
      </c>
      <c r="D4211" s="97" t="s">
        <v>3710</v>
      </c>
      <c r="E4211" s="97">
        <v>2014</v>
      </c>
      <c r="F4211" s="97">
        <v>2012</v>
      </c>
      <c r="G4211" s="97" t="s">
        <v>3711</v>
      </c>
      <c r="H4211" s="97" t="s">
        <v>3712</v>
      </c>
      <c r="I4211" s="97" t="s">
        <v>3461</v>
      </c>
      <c r="J4211" s="97">
        <f t="shared" si="559"/>
        <v>28.2</v>
      </c>
      <c r="K4211" s="97">
        <f t="shared" si="560"/>
        <v>113.08</v>
      </c>
      <c r="L4211" s="97">
        <v>45.8</v>
      </c>
      <c r="N4211" s="97">
        <v>17.100000000000001</v>
      </c>
      <c r="P4211" s="97">
        <v>1500</v>
      </c>
      <c r="R4211" s="98" t="s">
        <v>1975</v>
      </c>
      <c r="S4211" s="98" t="s">
        <v>1719</v>
      </c>
      <c r="T4211" s="98"/>
      <c r="U4211" s="98" t="s">
        <v>3713</v>
      </c>
      <c r="V4211" s="98" t="s">
        <v>1379</v>
      </c>
      <c r="W4211" s="98"/>
      <c r="X4211" s="98"/>
      <c r="Y4211" s="98"/>
      <c r="AA4211" s="350"/>
      <c r="AB4211" s="350"/>
      <c r="AC4211" s="97" t="s">
        <v>672</v>
      </c>
      <c r="AD4211" s="97">
        <v>5.4</v>
      </c>
      <c r="AE4211" s="97">
        <v>1.33</v>
      </c>
      <c r="AH4211" s="97" t="s">
        <v>3729</v>
      </c>
      <c r="AI4211" s="97" t="s">
        <v>1129</v>
      </c>
      <c r="AJ4211" s="97" t="s">
        <v>1128</v>
      </c>
      <c r="AK4211" s="97" t="s">
        <v>1646</v>
      </c>
      <c r="AW4211" s="97" t="s">
        <v>160</v>
      </c>
      <c r="AX4211" s="97">
        <v>3</v>
      </c>
      <c r="AZ4211" s="97" t="s">
        <v>141</v>
      </c>
      <c r="BE4211" s="97" t="s">
        <v>3715</v>
      </c>
      <c r="BP4211" s="425"/>
      <c r="BQ4211" s="425"/>
      <c r="BU4211" s="425"/>
      <c r="BV4211" s="425"/>
      <c r="BZ4211" s="425"/>
      <c r="CA4211" s="425"/>
      <c r="CE4211" s="578"/>
      <c r="CF4211" s="578"/>
      <c r="CG4211" s="578"/>
      <c r="CH4211" s="578"/>
      <c r="GP4211" s="97">
        <v>1.31</v>
      </c>
      <c r="GQ4211" s="97">
        <v>2.11</v>
      </c>
      <c r="GR4211" s="97">
        <f>SQRT(3)*0.03</f>
        <v>5.1961524227066312E-2</v>
      </c>
      <c r="GS4211" s="97">
        <f>SQRT(3)*0.02</f>
        <v>3.4641016151377546E-2</v>
      </c>
      <c r="GT4211" s="97" t="s">
        <v>3726</v>
      </c>
      <c r="GU4211" s="97">
        <v>5.62</v>
      </c>
      <c r="GV4211" s="97">
        <v>6.53</v>
      </c>
      <c r="GW4211" s="97">
        <f>SQRT(3)*0.43</f>
        <v>0.74478184725461716</v>
      </c>
      <c r="GX4211" s="97">
        <f>SQRT(3)*0.41</f>
        <v>0.71014083110323956</v>
      </c>
      <c r="GY4211" s="97" t="s">
        <v>3728</v>
      </c>
      <c r="GZ4211" s="97">
        <v>29.02</v>
      </c>
      <c r="HA4211" s="97">
        <v>31.5</v>
      </c>
      <c r="HB4211" s="97">
        <f>SQRT(3)*1.05</f>
        <v>1.818653347947321</v>
      </c>
      <c r="HC4211" s="97">
        <f>SQRT(3)*0.71</f>
        <v>1.2297560733739028</v>
      </c>
      <c r="HD4211" s="97" t="s">
        <v>3727</v>
      </c>
      <c r="JB4211" s="36" t="s">
        <v>3731</v>
      </c>
      <c r="JD4211" s="514"/>
    </row>
    <row r="4212" spans="1:264" s="99" customFormat="1" x14ac:dyDescent="0.25">
      <c r="A4212" s="99">
        <v>185</v>
      </c>
      <c r="B4212" s="100" t="s">
        <v>3716</v>
      </c>
      <c r="C4212" s="99" t="s">
        <v>3709</v>
      </c>
      <c r="D4212" s="99" t="s">
        <v>3710</v>
      </c>
      <c r="E4212" s="99">
        <v>2014</v>
      </c>
      <c r="F4212" s="99">
        <v>2012</v>
      </c>
      <c r="G4212" s="99" t="s">
        <v>3711</v>
      </c>
      <c r="H4212" s="99" t="s">
        <v>3712</v>
      </c>
      <c r="I4212" s="99" t="s">
        <v>3461</v>
      </c>
      <c r="J4212" s="99">
        <f t="shared" si="559"/>
        <v>28.2</v>
      </c>
      <c r="K4212" s="99">
        <f t="shared" si="560"/>
        <v>113.08</v>
      </c>
      <c r="L4212" s="99">
        <v>45.8</v>
      </c>
      <c r="N4212" s="99">
        <v>17.100000000000001</v>
      </c>
      <c r="P4212" s="99">
        <v>1500</v>
      </c>
      <c r="R4212" s="100" t="s">
        <v>1975</v>
      </c>
      <c r="S4212" s="100" t="s">
        <v>1719</v>
      </c>
      <c r="T4212" s="100"/>
      <c r="U4212" s="100" t="s">
        <v>3713</v>
      </c>
      <c r="V4212" s="100" t="s">
        <v>1379</v>
      </c>
      <c r="W4212" s="100"/>
      <c r="X4212" s="100"/>
      <c r="Y4212" s="100"/>
      <c r="AA4212" s="351"/>
      <c r="AB4212" s="351"/>
      <c r="AC4212" s="99" t="s">
        <v>672</v>
      </c>
      <c r="AD4212" s="99">
        <v>5.4</v>
      </c>
      <c r="AE4212" s="99">
        <v>1.33</v>
      </c>
      <c r="AH4212" s="99" t="s">
        <v>115</v>
      </c>
      <c r="AI4212" s="99" t="s">
        <v>1581</v>
      </c>
      <c r="AJ4212" s="99" t="s">
        <v>1128</v>
      </c>
      <c r="AK4212" s="99" t="s">
        <v>1646</v>
      </c>
      <c r="AW4212" s="99" t="s">
        <v>160</v>
      </c>
      <c r="AX4212" s="99">
        <v>3</v>
      </c>
      <c r="AZ4212" s="99" t="s">
        <v>141</v>
      </c>
      <c r="BE4212" s="99" t="s">
        <v>3715</v>
      </c>
      <c r="BP4212" s="426"/>
      <c r="BQ4212" s="426"/>
      <c r="BU4212" s="426"/>
      <c r="BV4212" s="426"/>
      <c r="BZ4212" s="426"/>
      <c r="CA4212" s="426"/>
      <c r="CE4212" s="579"/>
      <c r="CF4212" s="579"/>
      <c r="CG4212" s="579"/>
      <c r="CH4212" s="579"/>
      <c r="GP4212" s="99">
        <v>0.99</v>
      </c>
      <c r="GQ4212" s="99">
        <v>1.29</v>
      </c>
      <c r="GR4212" s="99">
        <f>SQRT(3)*0.04</f>
        <v>6.9282032302755092E-2</v>
      </c>
      <c r="GS4212" s="99">
        <f>SQRT(3)*0.04</f>
        <v>6.9282032302755092E-2</v>
      </c>
      <c r="GT4212" s="99" t="s">
        <v>3726</v>
      </c>
      <c r="GU4212" s="99">
        <v>5.87</v>
      </c>
      <c r="GV4212" s="99">
        <v>7.3</v>
      </c>
      <c r="GW4212" s="99">
        <f>SQRT(3)*0.36</f>
        <v>0.62353829072479572</v>
      </c>
      <c r="GX4212" s="99">
        <f>SQRT(3)*0.46</f>
        <v>0.7967433714816835</v>
      </c>
      <c r="GY4212" s="99" t="s">
        <v>3728</v>
      </c>
      <c r="GZ4212" s="99">
        <v>19.600000000000001</v>
      </c>
      <c r="HA4212" s="99">
        <v>17.36</v>
      </c>
      <c r="HB4212" s="99">
        <f>SQRT(3)*0.56</f>
        <v>0.96994845223857129</v>
      </c>
      <c r="HC4212" s="99">
        <f>SQRT(3)*0.62</f>
        <v>1.0738715006927038</v>
      </c>
      <c r="HD4212" s="99" t="s">
        <v>3727</v>
      </c>
      <c r="JB4212" s="126" t="s">
        <v>3732</v>
      </c>
      <c r="JD4212" s="508"/>
    </row>
    <row r="4213" spans="1:264" s="99" customFormat="1" x14ac:dyDescent="0.25">
      <c r="A4213" s="99">
        <v>185</v>
      </c>
      <c r="B4213" s="100" t="s">
        <v>3717</v>
      </c>
      <c r="C4213" s="99" t="s">
        <v>3709</v>
      </c>
      <c r="D4213" s="99" t="s">
        <v>3710</v>
      </c>
      <c r="E4213" s="99">
        <v>2014</v>
      </c>
      <c r="F4213" s="99">
        <v>2012</v>
      </c>
      <c r="G4213" s="99" t="s">
        <v>3711</v>
      </c>
      <c r="H4213" s="99" t="s">
        <v>3712</v>
      </c>
      <c r="I4213" s="99" t="s">
        <v>3461</v>
      </c>
      <c r="J4213" s="99">
        <f t="shared" si="559"/>
        <v>28.2</v>
      </c>
      <c r="K4213" s="99">
        <f t="shared" si="560"/>
        <v>113.08</v>
      </c>
      <c r="L4213" s="99">
        <v>45.8</v>
      </c>
      <c r="N4213" s="99">
        <v>17.100000000000001</v>
      </c>
      <c r="P4213" s="99">
        <v>1500</v>
      </c>
      <c r="R4213" s="100" t="s">
        <v>1975</v>
      </c>
      <c r="S4213" s="100" t="s">
        <v>1719</v>
      </c>
      <c r="T4213" s="100"/>
      <c r="U4213" s="100" t="s">
        <v>3713</v>
      </c>
      <c r="V4213" s="100" t="s">
        <v>1379</v>
      </c>
      <c r="W4213" s="100"/>
      <c r="X4213" s="100"/>
      <c r="Y4213" s="100"/>
      <c r="AA4213" s="351"/>
      <c r="AB4213" s="351"/>
      <c r="AC4213" s="99" t="s">
        <v>672</v>
      </c>
      <c r="AD4213" s="99">
        <v>5.4</v>
      </c>
      <c r="AE4213" s="99">
        <v>1.33</v>
      </c>
      <c r="AH4213" s="99" t="s">
        <v>3657</v>
      </c>
      <c r="AI4213" s="99" t="s">
        <v>577</v>
      </c>
      <c r="AJ4213" s="99" t="s">
        <v>1128</v>
      </c>
      <c r="AK4213" s="99" t="s">
        <v>1646</v>
      </c>
      <c r="AW4213" s="99" t="s">
        <v>160</v>
      </c>
      <c r="AX4213" s="99">
        <v>3</v>
      </c>
      <c r="AZ4213" s="99" t="s">
        <v>141</v>
      </c>
      <c r="BE4213" s="99" t="s">
        <v>3715</v>
      </c>
      <c r="BP4213" s="426"/>
      <c r="BQ4213" s="426"/>
      <c r="BU4213" s="426"/>
      <c r="BV4213" s="426"/>
      <c r="BZ4213" s="426"/>
      <c r="CA4213" s="426"/>
      <c r="CE4213" s="579"/>
      <c r="CF4213" s="579"/>
      <c r="CG4213" s="579"/>
      <c r="CH4213" s="579"/>
      <c r="GP4213" s="99">
        <v>0.99</v>
      </c>
      <c r="GQ4213" s="99">
        <v>1.06</v>
      </c>
      <c r="GR4213" s="99">
        <f>SQRT(3)*0.04</f>
        <v>6.9282032302755092E-2</v>
      </c>
      <c r="GS4213" s="99">
        <f>SQRT(3)*0.02</f>
        <v>3.4641016151377546E-2</v>
      </c>
      <c r="GT4213" s="99" t="s">
        <v>3726</v>
      </c>
      <c r="GU4213" s="99">
        <v>5.87</v>
      </c>
      <c r="GV4213" s="99">
        <v>10.16</v>
      </c>
      <c r="GW4213" s="99">
        <f>SQRT(3)*0.36</f>
        <v>0.62353829072479572</v>
      </c>
      <c r="GX4213" s="99">
        <f>SQRT(3)*0.44</f>
        <v>0.76210235533030601</v>
      </c>
      <c r="GY4213" s="99" t="s">
        <v>3728</v>
      </c>
      <c r="GZ4213" s="99">
        <v>19.600000000000001</v>
      </c>
      <c r="HA4213" s="99">
        <v>18.88</v>
      </c>
      <c r="HB4213" s="99">
        <f>SQRT(3)*0.56</f>
        <v>0.96994845223857129</v>
      </c>
      <c r="HC4213" s="99">
        <f>SQRT(3)*0.52</f>
        <v>0.9006664199358162</v>
      </c>
      <c r="HD4213" s="99" t="s">
        <v>3727</v>
      </c>
      <c r="JB4213" s="126" t="s">
        <v>3732</v>
      </c>
      <c r="JD4213" s="508"/>
    </row>
    <row r="4214" spans="1:264" s="99" customFormat="1" x14ac:dyDescent="0.25">
      <c r="A4214" s="99">
        <v>185</v>
      </c>
      <c r="B4214" s="100" t="s">
        <v>3735</v>
      </c>
      <c r="C4214" s="99" t="s">
        <v>3709</v>
      </c>
      <c r="D4214" s="99" t="s">
        <v>3710</v>
      </c>
      <c r="E4214" s="99">
        <v>2014</v>
      </c>
      <c r="F4214" s="99">
        <v>2012</v>
      </c>
      <c r="G4214" s="99" t="s">
        <v>3711</v>
      </c>
      <c r="H4214" s="99" t="s">
        <v>3712</v>
      </c>
      <c r="I4214" s="99" t="s">
        <v>3461</v>
      </c>
      <c r="J4214" s="99">
        <f t="shared" si="559"/>
        <v>28.2</v>
      </c>
      <c r="K4214" s="99">
        <f t="shared" si="560"/>
        <v>113.08</v>
      </c>
      <c r="L4214" s="99">
        <v>45.8</v>
      </c>
      <c r="N4214" s="99">
        <v>17.100000000000001</v>
      </c>
      <c r="P4214" s="99">
        <v>1500</v>
      </c>
      <c r="R4214" s="100" t="s">
        <v>1975</v>
      </c>
      <c r="S4214" s="100" t="s">
        <v>1719</v>
      </c>
      <c r="T4214" s="100"/>
      <c r="U4214" s="100" t="s">
        <v>3713</v>
      </c>
      <c r="V4214" s="100" t="s">
        <v>1379</v>
      </c>
      <c r="W4214" s="100"/>
      <c r="X4214" s="100"/>
      <c r="Y4214" s="100"/>
      <c r="AA4214" s="351"/>
      <c r="AB4214" s="351"/>
      <c r="AC4214" s="99" t="s">
        <v>672</v>
      </c>
      <c r="AD4214" s="99">
        <v>5.4</v>
      </c>
      <c r="AE4214" s="99">
        <v>1.33</v>
      </c>
      <c r="AH4214" s="99" t="s">
        <v>3729</v>
      </c>
      <c r="AI4214" s="99" t="s">
        <v>1129</v>
      </c>
      <c r="AJ4214" s="99" t="s">
        <v>1128</v>
      </c>
      <c r="AK4214" s="99" t="s">
        <v>1646</v>
      </c>
      <c r="AW4214" s="99" t="s">
        <v>160</v>
      </c>
      <c r="AX4214" s="99">
        <v>3</v>
      </c>
      <c r="AZ4214" s="99" t="s">
        <v>141</v>
      </c>
      <c r="BE4214" s="99" t="s">
        <v>3715</v>
      </c>
      <c r="BP4214" s="426"/>
      <c r="BQ4214" s="426"/>
      <c r="BU4214" s="426"/>
      <c r="BV4214" s="426"/>
      <c r="BZ4214" s="426"/>
      <c r="CA4214" s="426"/>
      <c r="CE4214" s="579"/>
      <c r="CF4214" s="579"/>
      <c r="CG4214" s="579"/>
      <c r="CH4214" s="579"/>
      <c r="GP4214" s="99">
        <v>0.99</v>
      </c>
      <c r="GQ4214" s="99">
        <v>1.74</v>
      </c>
      <c r="GR4214" s="99">
        <f>SQRT(3)*0.04</f>
        <v>6.9282032302755092E-2</v>
      </c>
      <c r="GS4214" s="99">
        <f>SQRT(3)*0.06</f>
        <v>0.10392304845413262</v>
      </c>
      <c r="GT4214" s="99" t="s">
        <v>3726</v>
      </c>
      <c r="GU4214" s="99">
        <v>5.87</v>
      </c>
      <c r="GV4214" s="99">
        <v>6.4</v>
      </c>
      <c r="GW4214" s="99">
        <f>SQRT(3)*0.36</f>
        <v>0.62353829072479572</v>
      </c>
      <c r="GX4214" s="99">
        <f>SQRT(3)*0.23</f>
        <v>0.39837168574084175</v>
      </c>
      <c r="GY4214" s="99" t="s">
        <v>3728</v>
      </c>
      <c r="GZ4214" s="99">
        <v>19.600000000000001</v>
      </c>
      <c r="HA4214" s="99">
        <v>23.8</v>
      </c>
      <c r="HB4214" s="99">
        <f>SQRT(3)*0.56</f>
        <v>0.96994845223857129</v>
      </c>
      <c r="HC4214" s="99">
        <f>SQRT(3)*0.43</f>
        <v>0.74478184725461716</v>
      </c>
      <c r="HD4214" s="99" t="s">
        <v>3727</v>
      </c>
      <c r="JB4214" s="126" t="s">
        <v>3732</v>
      </c>
      <c r="JD4214" s="508"/>
    </row>
    <row r="4215" spans="1:264" s="97" customFormat="1" x14ac:dyDescent="0.25">
      <c r="A4215" s="97">
        <v>185</v>
      </c>
      <c r="B4215" s="98" t="s">
        <v>3716</v>
      </c>
      <c r="C4215" s="97" t="s">
        <v>3709</v>
      </c>
      <c r="D4215" s="97" t="s">
        <v>3710</v>
      </c>
      <c r="E4215" s="97">
        <v>2014</v>
      </c>
      <c r="F4215" s="97">
        <v>2012</v>
      </c>
      <c r="G4215" s="97" t="s">
        <v>3711</v>
      </c>
      <c r="H4215" s="97" t="s">
        <v>3712</v>
      </c>
      <c r="I4215" s="97" t="s">
        <v>3461</v>
      </c>
      <c r="J4215" s="97">
        <f t="shared" si="559"/>
        <v>28.2</v>
      </c>
      <c r="K4215" s="97">
        <f t="shared" si="560"/>
        <v>113.08</v>
      </c>
      <c r="L4215" s="97">
        <v>45.8</v>
      </c>
      <c r="N4215" s="97">
        <v>17.100000000000001</v>
      </c>
      <c r="P4215" s="97">
        <v>1500</v>
      </c>
      <c r="R4215" s="98" t="s">
        <v>1975</v>
      </c>
      <c r="S4215" s="98" t="s">
        <v>1719</v>
      </c>
      <c r="T4215" s="98"/>
      <c r="U4215" s="98" t="s">
        <v>3713</v>
      </c>
      <c r="V4215" s="98" t="s">
        <v>1379</v>
      </c>
      <c r="W4215" s="98"/>
      <c r="X4215" s="98"/>
      <c r="Y4215" s="98"/>
      <c r="AA4215" s="350"/>
      <c r="AB4215" s="350"/>
      <c r="AC4215" s="97" t="s">
        <v>672</v>
      </c>
      <c r="AD4215" s="97">
        <v>5.4</v>
      </c>
      <c r="AE4215" s="97">
        <v>1.33</v>
      </c>
      <c r="AH4215" s="97" t="s">
        <v>115</v>
      </c>
      <c r="AI4215" s="97" t="s">
        <v>1581</v>
      </c>
      <c r="AJ4215" s="97" t="s">
        <v>1128</v>
      </c>
      <c r="AK4215" s="97" t="s">
        <v>1646</v>
      </c>
      <c r="AW4215" s="97" t="s">
        <v>160</v>
      </c>
      <c r="AX4215" s="97">
        <v>3</v>
      </c>
      <c r="AZ4215" s="97" t="s">
        <v>141</v>
      </c>
      <c r="BE4215" s="97" t="s">
        <v>3715</v>
      </c>
      <c r="BP4215" s="425"/>
      <c r="BQ4215" s="425"/>
      <c r="BU4215" s="425"/>
      <c r="BV4215" s="425"/>
      <c r="BZ4215" s="425"/>
      <c r="CA4215" s="425"/>
      <c r="CE4215" s="578"/>
      <c r="CF4215" s="578"/>
      <c r="CG4215" s="578"/>
      <c r="CH4215" s="578"/>
      <c r="GP4215" s="97">
        <v>0.19</v>
      </c>
      <c r="GQ4215" s="97">
        <v>0.4</v>
      </c>
      <c r="GR4215" s="97">
        <f>SQRT(3)*0.04</f>
        <v>6.9282032302755092E-2</v>
      </c>
      <c r="GS4215" s="97">
        <f>SQRT(3)*0.03</f>
        <v>5.1961524227066312E-2</v>
      </c>
      <c r="GT4215" s="97" t="s">
        <v>3726</v>
      </c>
      <c r="GU4215" s="97">
        <v>7.05</v>
      </c>
      <c r="GV4215" s="97">
        <v>14.32</v>
      </c>
      <c r="GW4215" s="97">
        <f>SQRT(3)*0.26</f>
        <v>0.4503332099679081</v>
      </c>
      <c r="GX4215" s="97">
        <f>SQRT(3)*0.35</f>
        <v>0.60621778264910697</v>
      </c>
      <c r="GY4215" s="97" t="s">
        <v>3728</v>
      </c>
      <c r="GZ4215" s="97">
        <v>18.010000000000002</v>
      </c>
      <c r="HA4215" s="97">
        <v>17.190000000000001</v>
      </c>
      <c r="HB4215" s="97">
        <f>SQRT(3)*0.48</f>
        <v>0.83138438763306099</v>
      </c>
      <c r="HC4215" s="97">
        <f>SQRT(3)*0.62</f>
        <v>1.0738715006927038</v>
      </c>
      <c r="HD4215" s="97" t="s">
        <v>3727</v>
      </c>
      <c r="JB4215" s="36" t="s">
        <v>3733</v>
      </c>
      <c r="JD4215" s="514"/>
    </row>
    <row r="4216" spans="1:264" s="97" customFormat="1" x14ac:dyDescent="0.25">
      <c r="A4216" s="97">
        <v>185</v>
      </c>
      <c r="B4216" s="98" t="s">
        <v>3717</v>
      </c>
      <c r="C4216" s="97" t="s">
        <v>3709</v>
      </c>
      <c r="D4216" s="97" t="s">
        <v>3710</v>
      </c>
      <c r="E4216" s="97">
        <v>2014</v>
      </c>
      <c r="F4216" s="97">
        <v>2012</v>
      </c>
      <c r="G4216" s="97" t="s">
        <v>3711</v>
      </c>
      <c r="H4216" s="97" t="s">
        <v>3712</v>
      </c>
      <c r="I4216" s="97" t="s">
        <v>3461</v>
      </c>
      <c r="J4216" s="97">
        <f t="shared" si="559"/>
        <v>28.2</v>
      </c>
      <c r="K4216" s="97">
        <f t="shared" si="560"/>
        <v>113.08</v>
      </c>
      <c r="L4216" s="97">
        <v>45.8</v>
      </c>
      <c r="N4216" s="97">
        <v>17.100000000000001</v>
      </c>
      <c r="P4216" s="97">
        <v>1500</v>
      </c>
      <c r="R4216" s="98" t="s">
        <v>1975</v>
      </c>
      <c r="S4216" s="98" t="s">
        <v>1719</v>
      </c>
      <c r="T4216" s="98"/>
      <c r="U4216" s="98" t="s">
        <v>3713</v>
      </c>
      <c r="V4216" s="98" t="s">
        <v>1379</v>
      </c>
      <c r="W4216" s="98"/>
      <c r="X4216" s="98"/>
      <c r="Y4216" s="98"/>
      <c r="AA4216" s="350"/>
      <c r="AB4216" s="350"/>
      <c r="AC4216" s="97" t="s">
        <v>672</v>
      </c>
      <c r="AD4216" s="97">
        <v>5.4</v>
      </c>
      <c r="AE4216" s="97">
        <v>1.33</v>
      </c>
      <c r="AH4216" s="97" t="s">
        <v>3657</v>
      </c>
      <c r="AI4216" s="97" t="s">
        <v>577</v>
      </c>
      <c r="AJ4216" s="97" t="s">
        <v>1128</v>
      </c>
      <c r="AK4216" s="97" t="s">
        <v>1646</v>
      </c>
      <c r="AW4216" s="97" t="s">
        <v>160</v>
      </c>
      <c r="AX4216" s="97">
        <v>3</v>
      </c>
      <c r="AZ4216" s="97" t="s">
        <v>141</v>
      </c>
      <c r="BE4216" s="97" t="s">
        <v>3715</v>
      </c>
      <c r="BP4216" s="425"/>
      <c r="BQ4216" s="425"/>
      <c r="BU4216" s="425"/>
      <c r="BV4216" s="425"/>
      <c r="BZ4216" s="425"/>
      <c r="CA4216" s="425"/>
      <c r="CE4216" s="578"/>
      <c r="CF4216" s="578"/>
      <c r="CG4216" s="578"/>
      <c r="CH4216" s="578"/>
      <c r="GP4216" s="97">
        <v>0.19</v>
      </c>
      <c r="GQ4216" s="97">
        <v>0.36</v>
      </c>
      <c r="GR4216" s="97">
        <f>SQRT(3)*0.04</f>
        <v>6.9282032302755092E-2</v>
      </c>
      <c r="GS4216" s="97">
        <f>SQRT(3)*0.04</f>
        <v>6.9282032302755092E-2</v>
      </c>
      <c r="GT4216" s="97" t="s">
        <v>3726</v>
      </c>
      <c r="GU4216" s="97">
        <v>7.05</v>
      </c>
      <c r="GV4216" s="97">
        <v>15.23</v>
      </c>
      <c r="GW4216" s="97">
        <f>SQRT(3)*0.26</f>
        <v>0.4503332099679081</v>
      </c>
      <c r="GX4216" s="97">
        <f>SQRT(3)*0.35</f>
        <v>0.60621778264910697</v>
      </c>
      <c r="GY4216" s="97" t="s">
        <v>3728</v>
      </c>
      <c r="GZ4216" s="97">
        <v>18.010000000000002</v>
      </c>
      <c r="HA4216" s="97">
        <v>14.25</v>
      </c>
      <c r="HB4216" s="97">
        <f>SQRT(3)*0.48</f>
        <v>0.83138438763306099</v>
      </c>
      <c r="HC4216" s="97">
        <f>SQRT(3)*0.59</f>
        <v>1.0219099764656374</v>
      </c>
      <c r="HD4216" s="97" t="s">
        <v>3727</v>
      </c>
      <c r="JB4216" s="36" t="s">
        <v>3733</v>
      </c>
      <c r="JD4216" s="514"/>
    </row>
    <row r="4217" spans="1:264" s="97" customFormat="1" x14ac:dyDescent="0.25">
      <c r="A4217" s="97">
        <v>185</v>
      </c>
      <c r="B4217" s="98" t="s">
        <v>3735</v>
      </c>
      <c r="C4217" s="97" t="s">
        <v>3709</v>
      </c>
      <c r="D4217" s="97" t="s">
        <v>3710</v>
      </c>
      <c r="E4217" s="97">
        <v>2014</v>
      </c>
      <c r="F4217" s="97">
        <v>2012</v>
      </c>
      <c r="G4217" s="97" t="s">
        <v>3711</v>
      </c>
      <c r="H4217" s="97" t="s">
        <v>3712</v>
      </c>
      <c r="I4217" s="97" t="s">
        <v>3461</v>
      </c>
      <c r="J4217" s="97">
        <f t="shared" si="559"/>
        <v>28.2</v>
      </c>
      <c r="K4217" s="97">
        <f t="shared" si="560"/>
        <v>113.08</v>
      </c>
      <c r="L4217" s="97">
        <v>45.8</v>
      </c>
      <c r="N4217" s="97">
        <v>17.100000000000001</v>
      </c>
      <c r="P4217" s="97">
        <v>1500</v>
      </c>
      <c r="R4217" s="98" t="s">
        <v>1975</v>
      </c>
      <c r="S4217" s="98" t="s">
        <v>1719</v>
      </c>
      <c r="T4217" s="98"/>
      <c r="U4217" s="98" t="s">
        <v>3713</v>
      </c>
      <c r="V4217" s="98" t="s">
        <v>1379</v>
      </c>
      <c r="W4217" s="98"/>
      <c r="X4217" s="98"/>
      <c r="Y4217" s="98"/>
      <c r="AA4217" s="350"/>
      <c r="AB4217" s="350"/>
      <c r="AC4217" s="97" t="s">
        <v>672</v>
      </c>
      <c r="AD4217" s="97">
        <v>5.4</v>
      </c>
      <c r="AE4217" s="97">
        <v>1.33</v>
      </c>
      <c r="AH4217" s="97" t="s">
        <v>3729</v>
      </c>
      <c r="AI4217" s="97" t="s">
        <v>1129</v>
      </c>
      <c r="AJ4217" s="97" t="s">
        <v>1128</v>
      </c>
      <c r="AK4217" s="97" t="s">
        <v>1646</v>
      </c>
      <c r="AW4217" s="97" t="s">
        <v>160</v>
      </c>
      <c r="AX4217" s="97">
        <v>3</v>
      </c>
      <c r="AZ4217" s="97" t="s">
        <v>141</v>
      </c>
      <c r="BE4217" s="97" t="s">
        <v>3715</v>
      </c>
      <c r="BP4217" s="425"/>
      <c r="BQ4217" s="425"/>
      <c r="BU4217" s="425"/>
      <c r="BV4217" s="425"/>
      <c r="BZ4217" s="425"/>
      <c r="CA4217" s="425"/>
      <c r="CE4217" s="578"/>
      <c r="CF4217" s="578"/>
      <c r="CG4217" s="578"/>
      <c r="CH4217" s="578"/>
      <c r="GP4217" s="97">
        <v>0.19</v>
      </c>
      <c r="GQ4217" s="97">
        <v>0.81</v>
      </c>
      <c r="GR4217" s="97">
        <f>SQRT(3)*0.04</f>
        <v>6.9282032302755092E-2</v>
      </c>
      <c r="GS4217" s="97">
        <f>SQRT(3)*0.03</f>
        <v>5.1961524227066312E-2</v>
      </c>
      <c r="GT4217" s="97" t="s">
        <v>3726</v>
      </c>
      <c r="GU4217" s="97">
        <v>7.05</v>
      </c>
      <c r="GV4217" s="97">
        <v>9.73</v>
      </c>
      <c r="GW4217" s="97">
        <f>SQRT(3)*0.26</f>
        <v>0.4503332099679081</v>
      </c>
      <c r="GX4217" s="97">
        <f>SQRT(3)*0.43</f>
        <v>0.74478184725461716</v>
      </c>
      <c r="GY4217" s="97" t="s">
        <v>3728</v>
      </c>
      <c r="GZ4217" s="97">
        <v>18.010000000000002</v>
      </c>
      <c r="HA4217" s="97">
        <v>18.11</v>
      </c>
      <c r="HB4217" s="97">
        <f>SQRT(3)*0.48</f>
        <v>0.83138438763306099</v>
      </c>
      <c r="HC4217" s="97">
        <f>SQRT(3)*0.59</f>
        <v>1.0219099764656374</v>
      </c>
      <c r="HD4217" s="97" t="s">
        <v>3727</v>
      </c>
      <c r="JB4217" s="36" t="s">
        <v>3733</v>
      </c>
      <c r="JD4217" s="514"/>
    </row>
    <row r="4218" spans="1:264" s="24" customFormat="1" x14ac:dyDescent="0.25">
      <c r="A4218" s="24">
        <v>186</v>
      </c>
      <c r="B4218" s="42" t="s">
        <v>3735</v>
      </c>
      <c r="C4218" s="24" t="s">
        <v>3709</v>
      </c>
      <c r="D4218" s="24" t="s">
        <v>3710</v>
      </c>
      <c r="E4218" s="24">
        <v>2014</v>
      </c>
      <c r="F4218" s="24">
        <v>2012</v>
      </c>
      <c r="G4218" s="24" t="s">
        <v>3711</v>
      </c>
      <c r="H4218" s="24" t="s">
        <v>3712</v>
      </c>
      <c r="I4218" s="24" t="s">
        <v>3461</v>
      </c>
      <c r="J4218" s="24">
        <f t="shared" si="559"/>
        <v>28.2</v>
      </c>
      <c r="K4218" s="24">
        <f t="shared" si="560"/>
        <v>113.08</v>
      </c>
      <c r="L4218" s="24">
        <v>45.8</v>
      </c>
      <c r="N4218" s="24">
        <v>17.100000000000001</v>
      </c>
      <c r="P4218" s="24">
        <v>1500</v>
      </c>
      <c r="R4218" s="42" t="s">
        <v>1975</v>
      </c>
      <c r="S4218" s="42" t="s">
        <v>1719</v>
      </c>
      <c r="T4218" s="42"/>
      <c r="U4218" s="42" t="s">
        <v>3713</v>
      </c>
      <c r="V4218" s="42" t="s">
        <v>1379</v>
      </c>
      <c r="W4218" s="42"/>
      <c r="X4218" s="42"/>
      <c r="Y4218" s="42"/>
      <c r="AA4218" s="321"/>
      <c r="AB4218" s="321"/>
      <c r="AC4218" s="24" t="s">
        <v>672</v>
      </c>
      <c r="AD4218" s="24">
        <v>5.4</v>
      </c>
      <c r="AE4218" s="24">
        <v>1.33</v>
      </c>
      <c r="AH4218" s="24" t="s">
        <v>3729</v>
      </c>
      <c r="AI4218" s="24" t="s">
        <v>1129</v>
      </c>
      <c r="AJ4218" s="24" t="s">
        <v>1128</v>
      </c>
      <c r="AK4218" s="24" t="s">
        <v>1646</v>
      </c>
      <c r="AW4218" s="24" t="s">
        <v>160</v>
      </c>
      <c r="AX4218" s="24">
        <v>3</v>
      </c>
      <c r="AZ4218" s="24" t="s">
        <v>141</v>
      </c>
      <c r="BE4218" s="24" t="s">
        <v>3714</v>
      </c>
      <c r="BK4218" s="24">
        <f>0.5*14359</f>
        <v>7179.5</v>
      </c>
      <c r="BL4218" s="24">
        <f>0.5*14634.25</f>
        <v>7317.125</v>
      </c>
      <c r="BM4218" s="24">
        <f>0.5*422.45</f>
        <v>211.22499999999999</v>
      </c>
      <c r="BN4218" s="24">
        <f>0.5*398.38</f>
        <v>199.19</v>
      </c>
      <c r="BO4218" s="24" t="s">
        <v>3725</v>
      </c>
      <c r="BP4218" s="395"/>
      <c r="BQ4218" s="395"/>
      <c r="BU4218" s="395"/>
      <c r="BV4218" s="395"/>
      <c r="BZ4218" s="395"/>
      <c r="CA4218" s="395"/>
      <c r="CE4218" s="548"/>
      <c r="CF4218" s="548"/>
      <c r="CG4218" s="548"/>
      <c r="CH4218" s="548"/>
      <c r="HO4218" s="24">
        <f>10*0.038</f>
        <v>0.38</v>
      </c>
      <c r="HP4218" s="24">
        <f>10*0.077</f>
        <v>0.77</v>
      </c>
      <c r="HQ4218" s="24">
        <f>10*SQRT(3)*0.001</f>
        <v>1.7320508075688773E-2</v>
      </c>
      <c r="HR4218" s="24">
        <f>10*SQRT(3)*0.002</f>
        <v>3.4641016151377546E-2</v>
      </c>
      <c r="HS4218" s="24" t="s">
        <v>3721</v>
      </c>
      <c r="II4218" s="24">
        <f>10*6.732</f>
        <v>67.320000000000007</v>
      </c>
      <c r="IJ4218" s="24">
        <f>10*11.528</f>
        <v>115.28</v>
      </c>
      <c r="IK4218" s="24">
        <f>10*SQRT(3)*0.194</f>
        <v>3.3601785666836217</v>
      </c>
      <c r="IL4218" s="24">
        <f>10*SQRT(3)*0.538</f>
        <v>9.3184333447205603</v>
      </c>
      <c r="IM4218" s="24" t="s">
        <v>3721</v>
      </c>
      <c r="JD4218" s="249"/>
    </row>
    <row r="4219" spans="1:264" s="24" customFormat="1" x14ac:dyDescent="0.25">
      <c r="A4219" s="24">
        <v>186</v>
      </c>
      <c r="B4219" s="42" t="s">
        <v>3736</v>
      </c>
      <c r="C4219" s="24" t="s">
        <v>3709</v>
      </c>
      <c r="D4219" s="24" t="s">
        <v>3710</v>
      </c>
      <c r="E4219" s="24">
        <v>2014</v>
      </c>
      <c r="F4219" s="24">
        <v>2012</v>
      </c>
      <c r="G4219" s="24" t="s">
        <v>3711</v>
      </c>
      <c r="H4219" s="24" t="s">
        <v>3712</v>
      </c>
      <c r="I4219" s="24" t="s">
        <v>3461</v>
      </c>
      <c r="J4219" s="24">
        <f t="shared" si="559"/>
        <v>28.2</v>
      </c>
      <c r="K4219" s="24">
        <f t="shared" si="560"/>
        <v>113.08</v>
      </c>
      <c r="L4219" s="24">
        <v>45.8</v>
      </c>
      <c r="N4219" s="24">
        <v>17.100000000000001</v>
      </c>
      <c r="P4219" s="24">
        <v>1500</v>
      </c>
      <c r="R4219" s="42" t="s">
        <v>1975</v>
      </c>
      <c r="S4219" s="42" t="s">
        <v>1719</v>
      </c>
      <c r="T4219" s="42"/>
      <c r="U4219" s="42" t="s">
        <v>3713</v>
      </c>
      <c r="V4219" s="42" t="s">
        <v>1379</v>
      </c>
      <c r="W4219" s="42"/>
      <c r="X4219" s="42"/>
      <c r="Y4219" s="42"/>
      <c r="AA4219" s="321"/>
      <c r="AB4219" s="321"/>
      <c r="AC4219" s="24" t="s">
        <v>672</v>
      </c>
      <c r="AD4219" s="24">
        <v>5.4</v>
      </c>
      <c r="AE4219" s="24">
        <v>1.33</v>
      </c>
      <c r="AH4219" s="24" t="s">
        <v>3734</v>
      </c>
      <c r="AI4219" s="24" t="s">
        <v>1129</v>
      </c>
      <c r="AJ4219" s="24" t="s">
        <v>1128</v>
      </c>
      <c r="AK4219" s="24" t="s">
        <v>1646</v>
      </c>
      <c r="AW4219" s="24" t="s">
        <v>160</v>
      </c>
      <c r="AX4219" s="24">
        <v>3</v>
      </c>
      <c r="AZ4219" s="24" t="s">
        <v>141</v>
      </c>
      <c r="BE4219" s="24" t="s">
        <v>3714</v>
      </c>
      <c r="BK4219" s="24">
        <f>0.5*14359</f>
        <v>7179.5</v>
      </c>
      <c r="BL4219" s="24">
        <f>0.5*15620</f>
        <v>7810</v>
      </c>
      <c r="BM4219" s="24">
        <f>0.5*450.91</f>
        <v>225.45500000000001</v>
      </c>
      <c r="BN4219" s="24">
        <f>0.5*435.59</f>
        <v>217.79499999999999</v>
      </c>
      <c r="BO4219" s="24" t="s">
        <v>3725</v>
      </c>
      <c r="BP4219" s="395"/>
      <c r="BQ4219" s="395"/>
      <c r="BU4219" s="395"/>
      <c r="BV4219" s="395"/>
      <c r="BZ4219" s="395"/>
      <c r="CA4219" s="395"/>
      <c r="CE4219" s="548"/>
      <c r="CF4219" s="548"/>
      <c r="CG4219" s="548"/>
      <c r="CH4219" s="548"/>
      <c r="HO4219" s="24">
        <f>10*0.038</f>
        <v>0.38</v>
      </c>
      <c r="HP4219" s="24">
        <f>10*0.05</f>
        <v>0.5</v>
      </c>
      <c r="HQ4219" s="24">
        <f>10*SQRT(3)*0.001</f>
        <v>1.7320508075688773E-2</v>
      </c>
      <c r="HR4219" s="24">
        <f>10*SQRT(3)*0.002</f>
        <v>3.4641016151377546E-2</v>
      </c>
      <c r="HS4219" s="24" t="s">
        <v>3721</v>
      </c>
      <c r="II4219" s="24">
        <f>10*6.732</f>
        <v>67.320000000000007</v>
      </c>
      <c r="IJ4219" s="24">
        <f>10*18.62</f>
        <v>186.20000000000002</v>
      </c>
      <c r="IK4219" s="24">
        <f>10*SQRT(3)*0.194</f>
        <v>3.3601785666836217</v>
      </c>
      <c r="IL4219" s="24">
        <f>10*SQRT(3)*0.333</f>
        <v>5.7677291892043607</v>
      </c>
      <c r="IM4219" s="24" t="s">
        <v>3721</v>
      </c>
      <c r="JD4219" s="249"/>
    </row>
    <row r="4220" spans="1:264" s="24" customFormat="1" x14ac:dyDescent="0.25">
      <c r="A4220" s="24">
        <v>186</v>
      </c>
      <c r="B4220" s="42" t="s">
        <v>3737</v>
      </c>
      <c r="C4220" s="24" t="s">
        <v>3709</v>
      </c>
      <c r="D4220" s="24" t="s">
        <v>3710</v>
      </c>
      <c r="E4220" s="24">
        <v>2014</v>
      </c>
      <c r="F4220" s="24">
        <v>2012</v>
      </c>
      <c r="G4220" s="24" t="s">
        <v>3711</v>
      </c>
      <c r="H4220" s="24" t="s">
        <v>3712</v>
      </c>
      <c r="I4220" s="24" t="s">
        <v>3461</v>
      </c>
      <c r="J4220" s="24">
        <f t="shared" si="559"/>
        <v>28.2</v>
      </c>
      <c r="K4220" s="24">
        <f t="shared" si="560"/>
        <v>113.08</v>
      </c>
      <c r="L4220" s="24">
        <v>45.8</v>
      </c>
      <c r="N4220" s="24">
        <v>17.100000000000001</v>
      </c>
      <c r="P4220" s="24">
        <v>1500</v>
      </c>
      <c r="R4220" s="42" t="s">
        <v>1975</v>
      </c>
      <c r="S4220" s="42" t="s">
        <v>1719</v>
      </c>
      <c r="T4220" s="42"/>
      <c r="U4220" s="42" t="s">
        <v>3713</v>
      </c>
      <c r="V4220" s="42" t="s">
        <v>1379</v>
      </c>
      <c r="W4220" s="42"/>
      <c r="X4220" s="42"/>
      <c r="Y4220" s="42"/>
      <c r="AA4220" s="321"/>
      <c r="AB4220" s="321"/>
      <c r="AC4220" s="24" t="s">
        <v>672</v>
      </c>
      <c r="AD4220" s="24">
        <v>5.4</v>
      </c>
      <c r="AE4220" s="24">
        <v>1.33</v>
      </c>
      <c r="AH4220" s="24" t="s">
        <v>3729</v>
      </c>
      <c r="AI4220" s="24" t="s">
        <v>1129</v>
      </c>
      <c r="AJ4220" s="24" t="s">
        <v>1128</v>
      </c>
      <c r="AK4220" s="24" t="s">
        <v>1646</v>
      </c>
      <c r="AW4220" s="24" t="s">
        <v>160</v>
      </c>
      <c r="AX4220" s="24">
        <v>3</v>
      </c>
      <c r="AZ4220" s="24" t="s">
        <v>141</v>
      </c>
      <c r="BE4220" s="24" t="s">
        <v>3715</v>
      </c>
      <c r="BP4220" s="395"/>
      <c r="BQ4220" s="395"/>
      <c r="BU4220" s="395"/>
      <c r="BV4220" s="395"/>
      <c r="BZ4220" s="395"/>
      <c r="CA4220" s="395"/>
      <c r="CE4220" s="548"/>
      <c r="CF4220" s="548"/>
      <c r="CG4220" s="548"/>
      <c r="CH4220" s="548"/>
      <c r="HO4220" s="24">
        <f>10*0.072</f>
        <v>0.72</v>
      </c>
      <c r="HP4220" s="24">
        <f>10*0.154</f>
        <v>1.54</v>
      </c>
      <c r="HQ4220" s="24">
        <f t="shared" ref="HQ4220:HQ4225" si="562">10*SQRT(3)*0.002</f>
        <v>3.4641016151377546E-2</v>
      </c>
      <c r="HR4220" s="24">
        <f>10*SQRT(3)*0.005</f>
        <v>8.6602540378443851E-2</v>
      </c>
      <c r="HS4220" s="24" t="s">
        <v>3721</v>
      </c>
      <c r="II4220" s="24">
        <f>10*27.874</f>
        <v>278.74</v>
      </c>
      <c r="IJ4220" s="24">
        <f>10*50.007</f>
        <v>500.07</v>
      </c>
      <c r="IK4220" s="24">
        <f>10*SQRT(3)*0.805</f>
        <v>13.943009000929461</v>
      </c>
      <c r="IL4220" s="24">
        <f>10*SQRT(3)*1.744</f>
        <v>30.206966084001216</v>
      </c>
      <c r="IM4220" s="24" t="s">
        <v>3721</v>
      </c>
      <c r="JD4220" s="249"/>
    </row>
    <row r="4221" spans="1:264" s="24" customFormat="1" x14ac:dyDescent="0.25">
      <c r="A4221" s="24">
        <v>186</v>
      </c>
      <c r="B4221" s="42" t="s">
        <v>3738</v>
      </c>
      <c r="C4221" s="24" t="s">
        <v>3709</v>
      </c>
      <c r="D4221" s="24" t="s">
        <v>3710</v>
      </c>
      <c r="E4221" s="24">
        <v>2014</v>
      </c>
      <c r="F4221" s="24">
        <v>2012</v>
      </c>
      <c r="G4221" s="24" t="s">
        <v>3711</v>
      </c>
      <c r="H4221" s="24" t="s">
        <v>3712</v>
      </c>
      <c r="I4221" s="24" t="s">
        <v>3461</v>
      </c>
      <c r="J4221" s="24">
        <f t="shared" si="559"/>
        <v>28.2</v>
      </c>
      <c r="K4221" s="24">
        <f t="shared" si="560"/>
        <v>113.08</v>
      </c>
      <c r="L4221" s="24">
        <v>45.8</v>
      </c>
      <c r="N4221" s="24">
        <v>17.100000000000001</v>
      </c>
      <c r="P4221" s="24">
        <v>1500</v>
      </c>
      <c r="R4221" s="42" t="s">
        <v>1975</v>
      </c>
      <c r="S4221" s="42" t="s">
        <v>1719</v>
      </c>
      <c r="T4221" s="42"/>
      <c r="U4221" s="42" t="s">
        <v>3713</v>
      </c>
      <c r="V4221" s="42" t="s">
        <v>1379</v>
      </c>
      <c r="W4221" s="42"/>
      <c r="X4221" s="42"/>
      <c r="Y4221" s="42"/>
      <c r="AA4221" s="321"/>
      <c r="AB4221" s="321"/>
      <c r="AC4221" s="24" t="s">
        <v>672</v>
      </c>
      <c r="AD4221" s="24">
        <v>5.4</v>
      </c>
      <c r="AE4221" s="24">
        <v>1.33</v>
      </c>
      <c r="AH4221" s="24" t="s">
        <v>3734</v>
      </c>
      <c r="AI4221" s="24" t="s">
        <v>1129</v>
      </c>
      <c r="AJ4221" s="24" t="s">
        <v>1128</v>
      </c>
      <c r="AK4221" s="24" t="s">
        <v>1646</v>
      </c>
      <c r="AW4221" s="24" t="s">
        <v>160</v>
      </c>
      <c r="AX4221" s="24">
        <v>3</v>
      </c>
      <c r="AZ4221" s="24" t="s">
        <v>141</v>
      </c>
      <c r="BE4221" s="24" t="s">
        <v>3715</v>
      </c>
      <c r="BP4221" s="395"/>
      <c r="BQ4221" s="395"/>
      <c r="BU4221" s="395"/>
      <c r="BV4221" s="395"/>
      <c r="BZ4221" s="395"/>
      <c r="CA4221" s="395"/>
      <c r="CE4221" s="548"/>
      <c r="CF4221" s="548"/>
      <c r="CG4221" s="548"/>
      <c r="CH4221" s="548"/>
      <c r="HO4221" s="24">
        <f>10*0.072</f>
        <v>0.72</v>
      </c>
      <c r="HP4221" s="24">
        <f>10*0.098</f>
        <v>0.98</v>
      </c>
      <c r="HQ4221" s="24">
        <f t="shared" si="562"/>
        <v>3.4641016151377546E-2</v>
      </c>
      <c r="HR4221" s="24">
        <f>10*SQRT(3)*0.003</f>
        <v>5.1961524227066312E-2</v>
      </c>
      <c r="HS4221" s="24" t="s">
        <v>3721</v>
      </c>
      <c r="II4221" s="24">
        <f>10*27.874</f>
        <v>278.74</v>
      </c>
      <c r="IJ4221" s="24">
        <f>10*60.414</f>
        <v>604.14</v>
      </c>
      <c r="IK4221" s="24">
        <f>10*SQRT(3)*0.805</f>
        <v>13.943009000929461</v>
      </c>
      <c r="IL4221" s="24">
        <f>10*SQRT(3)*1.444</f>
        <v>25.010813661294584</v>
      </c>
      <c r="IM4221" s="24" t="s">
        <v>3721</v>
      </c>
      <c r="JD4221" s="249"/>
    </row>
    <row r="4222" spans="1:264" s="32" customFormat="1" x14ac:dyDescent="0.25">
      <c r="A4222" s="32">
        <v>186</v>
      </c>
      <c r="B4222" s="44" t="s">
        <v>3735</v>
      </c>
      <c r="C4222" s="32" t="s">
        <v>3709</v>
      </c>
      <c r="D4222" s="32" t="s">
        <v>3710</v>
      </c>
      <c r="E4222" s="32">
        <v>2014</v>
      </c>
      <c r="F4222" s="32">
        <v>2013</v>
      </c>
      <c r="G4222" s="32" t="s">
        <v>3711</v>
      </c>
      <c r="H4222" s="32" t="s">
        <v>3712</v>
      </c>
      <c r="I4222" s="32" t="s">
        <v>3461</v>
      </c>
      <c r="J4222" s="32">
        <f t="shared" si="559"/>
        <v>28.2</v>
      </c>
      <c r="K4222" s="32">
        <f t="shared" si="560"/>
        <v>113.08</v>
      </c>
      <c r="L4222" s="32">
        <v>45.8</v>
      </c>
      <c r="N4222" s="32">
        <v>17.100000000000001</v>
      </c>
      <c r="P4222" s="32">
        <v>1500</v>
      </c>
      <c r="R4222" s="44" t="s">
        <v>1719</v>
      </c>
      <c r="S4222" s="44" t="s">
        <v>1719</v>
      </c>
      <c r="T4222" s="44"/>
      <c r="U4222" s="44" t="s">
        <v>3713</v>
      </c>
      <c r="V4222" s="44" t="s">
        <v>1379</v>
      </c>
      <c r="W4222" s="44"/>
      <c r="X4222" s="44"/>
      <c r="Y4222" s="44"/>
      <c r="AA4222" s="323"/>
      <c r="AB4222" s="323"/>
      <c r="AC4222" s="32" t="s">
        <v>672</v>
      </c>
      <c r="AD4222" s="32">
        <v>5.4</v>
      </c>
      <c r="AE4222" s="32">
        <v>1.33</v>
      </c>
      <c r="AH4222" s="32" t="s">
        <v>3729</v>
      </c>
      <c r="AI4222" s="32" t="s">
        <v>1129</v>
      </c>
      <c r="AJ4222" s="32" t="s">
        <v>1128</v>
      </c>
      <c r="AK4222" s="32" t="s">
        <v>1646</v>
      </c>
      <c r="AW4222" s="32" t="s">
        <v>160</v>
      </c>
      <c r="AX4222" s="32">
        <v>3</v>
      </c>
      <c r="AZ4222" s="32" t="s">
        <v>141</v>
      </c>
      <c r="BE4222" s="32" t="s">
        <v>3714</v>
      </c>
      <c r="BK4222" s="32">
        <f>0.5*13625.16</f>
        <v>6812.58</v>
      </c>
      <c r="BL4222" s="32">
        <f>0.5*14805.1</f>
        <v>7402.55</v>
      </c>
      <c r="BM4222" s="32">
        <f>0.5*387.4</f>
        <v>193.7</v>
      </c>
      <c r="BN4222" s="32">
        <f>0.5*425.47</f>
        <v>212.73500000000001</v>
      </c>
      <c r="BO4222" s="32" t="s">
        <v>3725</v>
      </c>
      <c r="BP4222" s="397"/>
      <c r="BQ4222" s="397"/>
      <c r="BU4222" s="397"/>
      <c r="BV4222" s="397"/>
      <c r="BZ4222" s="397"/>
      <c r="CA4222" s="397"/>
      <c r="CE4222" s="550"/>
      <c r="CF4222" s="550"/>
      <c r="CG4222" s="550"/>
      <c r="CH4222" s="550"/>
      <c r="HO4222" s="32">
        <f>10*0.042</f>
        <v>0.42000000000000004</v>
      </c>
      <c r="HP4222" s="32">
        <f>10*0.092</f>
        <v>0.91999999999999993</v>
      </c>
      <c r="HQ4222" s="32">
        <f t="shared" si="562"/>
        <v>3.4641016151377546E-2</v>
      </c>
      <c r="HR4222" s="32">
        <f>10*SQRT(3)*0.003</f>
        <v>5.1961524227066312E-2</v>
      </c>
      <c r="HS4222" s="32" t="s">
        <v>3721</v>
      </c>
      <c r="II4222" s="32">
        <f>10*7.535</f>
        <v>75.349999999999994</v>
      </c>
      <c r="IJ4222" s="32">
        <f>10*12.831</f>
        <v>128.31</v>
      </c>
      <c r="IK4222" s="32">
        <f>10*SQRT(3)*0.218</f>
        <v>3.775870760500152</v>
      </c>
      <c r="IL4222" s="32">
        <f>10*SQRT(3)*0.596</f>
        <v>10.323022813110507</v>
      </c>
      <c r="IM4222" s="32" t="s">
        <v>3721</v>
      </c>
      <c r="JD4222" s="243"/>
    </row>
    <row r="4223" spans="1:264" s="32" customFormat="1" x14ac:dyDescent="0.25">
      <c r="A4223" s="32">
        <v>186</v>
      </c>
      <c r="B4223" s="44" t="s">
        <v>3736</v>
      </c>
      <c r="C4223" s="32" t="s">
        <v>3709</v>
      </c>
      <c r="D4223" s="32" t="s">
        <v>3710</v>
      </c>
      <c r="E4223" s="32">
        <v>2014</v>
      </c>
      <c r="F4223" s="32">
        <v>2013</v>
      </c>
      <c r="G4223" s="32" t="s">
        <v>3711</v>
      </c>
      <c r="H4223" s="32" t="s">
        <v>3712</v>
      </c>
      <c r="I4223" s="32" t="s">
        <v>3461</v>
      </c>
      <c r="J4223" s="32">
        <f t="shared" si="559"/>
        <v>28.2</v>
      </c>
      <c r="K4223" s="32">
        <f t="shared" si="560"/>
        <v>113.08</v>
      </c>
      <c r="L4223" s="32">
        <v>45.8</v>
      </c>
      <c r="N4223" s="32">
        <v>17.100000000000001</v>
      </c>
      <c r="P4223" s="32">
        <v>1500</v>
      </c>
      <c r="R4223" s="44" t="s">
        <v>1719</v>
      </c>
      <c r="S4223" s="44" t="s">
        <v>1719</v>
      </c>
      <c r="T4223" s="44"/>
      <c r="U4223" s="44" t="s">
        <v>3713</v>
      </c>
      <c r="V4223" s="44" t="s">
        <v>1379</v>
      </c>
      <c r="W4223" s="44"/>
      <c r="X4223" s="44"/>
      <c r="Y4223" s="44"/>
      <c r="AA4223" s="323"/>
      <c r="AB4223" s="323"/>
      <c r="AC4223" s="32" t="s">
        <v>672</v>
      </c>
      <c r="AD4223" s="32">
        <v>5.4</v>
      </c>
      <c r="AE4223" s="32">
        <v>1.33</v>
      </c>
      <c r="AH4223" s="32" t="s">
        <v>3734</v>
      </c>
      <c r="AI4223" s="32" t="s">
        <v>1129</v>
      </c>
      <c r="AJ4223" s="32" t="s">
        <v>1128</v>
      </c>
      <c r="AK4223" s="32" t="s">
        <v>1646</v>
      </c>
      <c r="AW4223" s="32" t="s">
        <v>160</v>
      </c>
      <c r="AX4223" s="32">
        <v>3</v>
      </c>
      <c r="AZ4223" s="32" t="s">
        <v>141</v>
      </c>
      <c r="BE4223" s="32" t="s">
        <v>3714</v>
      </c>
      <c r="BK4223" s="32">
        <f>0.5*13625.16</f>
        <v>6812.58</v>
      </c>
      <c r="BL4223" s="32">
        <f>0.5*14962.99</f>
        <v>7481.4949999999999</v>
      </c>
      <c r="BM4223" s="32">
        <f>0.5*406.35</f>
        <v>203.17500000000001</v>
      </c>
      <c r="BN4223" s="32">
        <f>0.5*430.03</f>
        <v>215.01499999999999</v>
      </c>
      <c r="BO4223" s="32" t="s">
        <v>3725</v>
      </c>
      <c r="BP4223" s="397"/>
      <c r="BQ4223" s="397"/>
      <c r="BU4223" s="397"/>
      <c r="BV4223" s="397"/>
      <c r="BZ4223" s="397"/>
      <c r="CA4223" s="397"/>
      <c r="CE4223" s="550"/>
      <c r="CF4223" s="550"/>
      <c r="CG4223" s="550"/>
      <c r="CH4223" s="550"/>
      <c r="HO4223" s="32">
        <f>10*0.042</f>
        <v>0.42000000000000004</v>
      </c>
      <c r="HP4223" s="32">
        <f>10*0.056</f>
        <v>0.56000000000000005</v>
      </c>
      <c r="HQ4223" s="32">
        <f t="shared" si="562"/>
        <v>3.4641016151377546E-2</v>
      </c>
      <c r="HR4223" s="32">
        <f>10*SQRT(3)*0.002</f>
        <v>3.4641016151377546E-2</v>
      </c>
      <c r="HS4223" s="32" t="s">
        <v>3721</v>
      </c>
      <c r="II4223" s="32">
        <f>10*7.535</f>
        <v>75.349999999999994</v>
      </c>
      <c r="IJ4223" s="32">
        <f>10*20.658</f>
        <v>206.58</v>
      </c>
      <c r="IK4223" s="32">
        <f>10*SQRT(3)*0.218</f>
        <v>3.775870760500152</v>
      </c>
      <c r="IL4223" s="32">
        <f>10*SQRT(3)*0.37</f>
        <v>6.4085879880048449</v>
      </c>
      <c r="IM4223" s="32" t="s">
        <v>3721</v>
      </c>
      <c r="JD4223" s="243"/>
    </row>
    <row r="4224" spans="1:264" s="32" customFormat="1" x14ac:dyDescent="0.25">
      <c r="A4224" s="32">
        <v>186</v>
      </c>
      <c r="B4224" s="44" t="s">
        <v>3737</v>
      </c>
      <c r="C4224" s="32" t="s">
        <v>3709</v>
      </c>
      <c r="D4224" s="32" t="s">
        <v>3710</v>
      </c>
      <c r="E4224" s="32">
        <v>2014</v>
      </c>
      <c r="F4224" s="32">
        <v>2013</v>
      </c>
      <c r="G4224" s="32" t="s">
        <v>3711</v>
      </c>
      <c r="H4224" s="32" t="s">
        <v>3712</v>
      </c>
      <c r="I4224" s="32" t="s">
        <v>3461</v>
      </c>
      <c r="J4224" s="32">
        <f t="shared" si="559"/>
        <v>28.2</v>
      </c>
      <c r="K4224" s="32">
        <f t="shared" si="560"/>
        <v>113.08</v>
      </c>
      <c r="L4224" s="32">
        <v>45.8</v>
      </c>
      <c r="N4224" s="32">
        <v>17.100000000000001</v>
      </c>
      <c r="P4224" s="32">
        <v>1500</v>
      </c>
      <c r="R4224" s="44" t="s">
        <v>1719</v>
      </c>
      <c r="S4224" s="44" t="s">
        <v>1719</v>
      </c>
      <c r="T4224" s="44"/>
      <c r="U4224" s="44" t="s">
        <v>3713</v>
      </c>
      <c r="V4224" s="44" t="s">
        <v>1379</v>
      </c>
      <c r="W4224" s="44"/>
      <c r="X4224" s="44"/>
      <c r="Y4224" s="44"/>
      <c r="AA4224" s="323"/>
      <c r="AB4224" s="323"/>
      <c r="AC4224" s="32" t="s">
        <v>672</v>
      </c>
      <c r="AD4224" s="32">
        <v>5.4</v>
      </c>
      <c r="AE4224" s="32">
        <v>1.33</v>
      </c>
      <c r="AH4224" s="32" t="s">
        <v>3729</v>
      </c>
      <c r="AI4224" s="32" t="s">
        <v>1129</v>
      </c>
      <c r="AJ4224" s="32" t="s">
        <v>1128</v>
      </c>
      <c r="AK4224" s="32" t="s">
        <v>1646</v>
      </c>
      <c r="AW4224" s="32" t="s">
        <v>160</v>
      </c>
      <c r="AX4224" s="32">
        <v>3</v>
      </c>
      <c r="AZ4224" s="32" t="s">
        <v>141</v>
      </c>
      <c r="BE4224" s="32" t="s">
        <v>3715</v>
      </c>
      <c r="BP4224" s="397"/>
      <c r="BQ4224" s="397"/>
      <c r="BU4224" s="397"/>
      <c r="BV4224" s="397"/>
      <c r="BZ4224" s="397"/>
      <c r="CA4224" s="397"/>
      <c r="CE4224" s="550"/>
      <c r="CF4224" s="550"/>
      <c r="CG4224" s="550"/>
      <c r="CH4224" s="550"/>
      <c r="HO4224" s="32">
        <f>10*0.08</f>
        <v>0.8</v>
      </c>
      <c r="HP4224" s="32">
        <f>10*0.165</f>
        <v>1.6500000000000001</v>
      </c>
      <c r="HQ4224" s="32">
        <f t="shared" si="562"/>
        <v>3.4641016151377546E-2</v>
      </c>
      <c r="HR4224" s="32">
        <f>10*SQRT(3)*0.005</f>
        <v>8.6602540378443851E-2</v>
      </c>
      <c r="HS4224" s="32" t="s">
        <v>3721</v>
      </c>
      <c r="II4224" s="32">
        <f>10*30.55</f>
        <v>305.5</v>
      </c>
      <c r="IJ4224" s="32">
        <f>10*53.37</f>
        <v>533.69999999999993</v>
      </c>
      <c r="IK4224" s="32">
        <f>10*SQRT(3)*0.882</f>
        <v>15.276688122757497</v>
      </c>
      <c r="IL4224" s="32">
        <f>10*SQRT(3)*1.847</f>
        <v>31.990978415797159</v>
      </c>
      <c r="IM4224" s="32" t="s">
        <v>3721</v>
      </c>
      <c r="JD4224" s="243"/>
    </row>
    <row r="4225" spans="1:264" s="32" customFormat="1" x14ac:dyDescent="0.25">
      <c r="A4225" s="32">
        <v>186</v>
      </c>
      <c r="B4225" s="44" t="s">
        <v>3738</v>
      </c>
      <c r="C4225" s="32" t="s">
        <v>3709</v>
      </c>
      <c r="D4225" s="32" t="s">
        <v>3710</v>
      </c>
      <c r="E4225" s="32">
        <v>2014</v>
      </c>
      <c r="F4225" s="32">
        <v>2013</v>
      </c>
      <c r="G4225" s="32" t="s">
        <v>3711</v>
      </c>
      <c r="H4225" s="32" t="s">
        <v>3712</v>
      </c>
      <c r="I4225" s="32" t="s">
        <v>3461</v>
      </c>
      <c r="J4225" s="32">
        <f t="shared" si="559"/>
        <v>28.2</v>
      </c>
      <c r="K4225" s="32">
        <f t="shared" si="560"/>
        <v>113.08</v>
      </c>
      <c r="L4225" s="32">
        <v>45.8</v>
      </c>
      <c r="N4225" s="32">
        <v>17.100000000000001</v>
      </c>
      <c r="P4225" s="32">
        <v>1500</v>
      </c>
      <c r="R4225" s="44" t="s">
        <v>1719</v>
      </c>
      <c r="S4225" s="44" t="s">
        <v>1719</v>
      </c>
      <c r="T4225" s="44"/>
      <c r="U4225" s="44" t="s">
        <v>3713</v>
      </c>
      <c r="V4225" s="44" t="s">
        <v>1379</v>
      </c>
      <c r="W4225" s="44"/>
      <c r="X4225" s="44"/>
      <c r="Y4225" s="44"/>
      <c r="AA4225" s="323"/>
      <c r="AB4225" s="323"/>
      <c r="AC4225" s="32" t="s">
        <v>672</v>
      </c>
      <c r="AD4225" s="32">
        <v>5.4</v>
      </c>
      <c r="AE4225" s="32">
        <v>1.33</v>
      </c>
      <c r="AH4225" s="32" t="s">
        <v>3734</v>
      </c>
      <c r="AI4225" s="32" t="s">
        <v>1129</v>
      </c>
      <c r="AJ4225" s="32" t="s">
        <v>1128</v>
      </c>
      <c r="AK4225" s="32" t="s">
        <v>1646</v>
      </c>
      <c r="AW4225" s="32" t="s">
        <v>160</v>
      </c>
      <c r="AX4225" s="32">
        <v>3</v>
      </c>
      <c r="AZ4225" s="32" t="s">
        <v>141</v>
      </c>
      <c r="BE4225" s="32" t="s">
        <v>3715</v>
      </c>
      <c r="BP4225" s="397"/>
      <c r="BQ4225" s="397"/>
      <c r="BU4225" s="397"/>
      <c r="BV4225" s="397"/>
      <c r="BZ4225" s="397"/>
      <c r="CA4225" s="397"/>
      <c r="CE4225" s="550"/>
      <c r="CF4225" s="550"/>
      <c r="CG4225" s="550"/>
      <c r="CH4225" s="550"/>
      <c r="HO4225" s="32">
        <f>10*0.08</f>
        <v>0.8</v>
      </c>
      <c r="HP4225" s="32">
        <f>10*0.108</f>
        <v>1.08</v>
      </c>
      <c r="HQ4225" s="32">
        <f t="shared" si="562"/>
        <v>3.4641016151377546E-2</v>
      </c>
      <c r="HR4225" s="32">
        <f>10*SQRT(3)*0.003</f>
        <v>5.1961524227066312E-2</v>
      </c>
      <c r="HS4225" s="32" t="s">
        <v>3721</v>
      </c>
      <c r="II4225" s="32">
        <f>10*30.55</f>
        <v>305.5</v>
      </c>
      <c r="IJ4225" s="32">
        <f>10*63.991</f>
        <v>639.91</v>
      </c>
      <c r="IK4225" s="32">
        <f>10*SQRT(3)*0.882</f>
        <v>15.276688122757497</v>
      </c>
      <c r="IL4225" s="32">
        <f>10*SQRT(3)*1.541</f>
        <v>26.690902944636395</v>
      </c>
      <c r="IM4225" s="32" t="s">
        <v>3721</v>
      </c>
      <c r="JD4225" s="243"/>
    </row>
    <row r="4226" spans="1:264" s="126" customFormat="1" x14ac:dyDescent="0.25">
      <c r="A4226" s="126">
        <v>187</v>
      </c>
      <c r="B4226" s="478" t="s">
        <v>3747</v>
      </c>
      <c r="C4226" s="126" t="s">
        <v>3418</v>
      </c>
      <c r="D4226" s="126" t="s">
        <v>3740</v>
      </c>
      <c r="E4226" s="126">
        <v>2011</v>
      </c>
      <c r="F4226" s="126">
        <v>2005</v>
      </c>
      <c r="G4226" s="126" t="s">
        <v>2713</v>
      </c>
      <c r="H4226" s="126" t="s">
        <v>3741</v>
      </c>
      <c r="I4226" s="126" t="s">
        <v>3461</v>
      </c>
      <c r="J4226" s="126">
        <v>40.22</v>
      </c>
      <c r="K4226" s="126">
        <v>116.23</v>
      </c>
      <c r="L4226" s="126">
        <v>67</v>
      </c>
      <c r="R4226" s="478" t="s">
        <v>1977</v>
      </c>
      <c r="S4226" s="478" t="s">
        <v>1858</v>
      </c>
      <c r="T4226" s="478"/>
      <c r="U4226" s="478" t="s">
        <v>3739</v>
      </c>
      <c r="V4226" s="478" t="s">
        <v>1389</v>
      </c>
      <c r="W4226" s="478" t="s">
        <v>1720</v>
      </c>
      <c r="X4226" s="478" t="s">
        <v>1389</v>
      </c>
      <c r="Y4226" s="478" t="s">
        <v>1389</v>
      </c>
      <c r="Z4226" s="126">
        <v>1.29</v>
      </c>
      <c r="AA4226" s="479"/>
      <c r="AB4226" s="479"/>
      <c r="AC4226" s="126" t="s">
        <v>450</v>
      </c>
      <c r="AD4226" s="126">
        <v>6.36</v>
      </c>
      <c r="AE4226" s="126">
        <v>2.81</v>
      </c>
      <c r="AH4226" s="126" t="s">
        <v>3742</v>
      </c>
      <c r="AI4226" s="126" t="s">
        <v>1581</v>
      </c>
      <c r="AJ4226" s="126" t="s">
        <v>3553</v>
      </c>
      <c r="AK4226" s="126" t="s">
        <v>229</v>
      </c>
      <c r="AW4226" s="126" t="s">
        <v>160</v>
      </c>
      <c r="AX4226" s="126">
        <v>3</v>
      </c>
      <c r="AY4226" s="126">
        <v>6</v>
      </c>
      <c r="AZ4226" s="126" t="s">
        <v>141</v>
      </c>
      <c r="BD4226" s="126" t="s">
        <v>3760</v>
      </c>
      <c r="BE4226" s="126" t="s">
        <v>3752</v>
      </c>
      <c r="BK4226" s="126">
        <v>47000</v>
      </c>
      <c r="BL4226" s="126">
        <v>53000</v>
      </c>
      <c r="BP4226" s="481"/>
      <c r="BQ4226" s="481"/>
      <c r="BU4226" s="481"/>
      <c r="BV4226" s="481"/>
      <c r="BZ4226" s="481"/>
      <c r="CA4226" s="481"/>
      <c r="CE4226" s="605"/>
      <c r="CF4226" s="605"/>
      <c r="CG4226" s="605"/>
      <c r="CH4226" s="605"/>
      <c r="JC4226" s="126" t="s">
        <v>3759</v>
      </c>
      <c r="JD4226" s="480"/>
    </row>
    <row r="4227" spans="1:264" s="126" customFormat="1" x14ac:dyDescent="0.25">
      <c r="A4227" s="126">
        <v>187</v>
      </c>
      <c r="B4227" s="478" t="s">
        <v>3748</v>
      </c>
      <c r="C4227" s="126" t="s">
        <v>3418</v>
      </c>
      <c r="D4227" s="126" t="s">
        <v>3740</v>
      </c>
      <c r="E4227" s="126">
        <v>2011</v>
      </c>
      <c r="F4227" s="126">
        <v>2005</v>
      </c>
      <c r="G4227" s="126" t="s">
        <v>2713</v>
      </c>
      <c r="H4227" s="126" t="s">
        <v>3741</v>
      </c>
      <c r="I4227" s="126" t="s">
        <v>3461</v>
      </c>
      <c r="J4227" s="126">
        <v>40.22</v>
      </c>
      <c r="K4227" s="126">
        <v>116.23</v>
      </c>
      <c r="L4227" s="126">
        <v>67</v>
      </c>
      <c r="R4227" s="478" t="s">
        <v>1977</v>
      </c>
      <c r="S4227" s="478" t="s">
        <v>1858</v>
      </c>
      <c r="T4227" s="478"/>
      <c r="U4227" s="478" t="s">
        <v>3739</v>
      </c>
      <c r="V4227" s="478" t="s">
        <v>1389</v>
      </c>
      <c r="W4227" s="478" t="s">
        <v>1720</v>
      </c>
      <c r="X4227" s="478" t="s">
        <v>1389</v>
      </c>
      <c r="Y4227" s="478" t="s">
        <v>1389</v>
      </c>
      <c r="Z4227" s="126">
        <v>1.29</v>
      </c>
      <c r="AA4227" s="479"/>
      <c r="AB4227" s="479"/>
      <c r="AC4227" s="126" t="s">
        <v>450</v>
      </c>
      <c r="AD4227" s="126">
        <v>6.36</v>
      </c>
      <c r="AE4227" s="126">
        <v>2.81</v>
      </c>
      <c r="AH4227" s="126" t="s">
        <v>3743</v>
      </c>
      <c r="AI4227" s="126" t="s">
        <v>1581</v>
      </c>
      <c r="AJ4227" s="126" t="s">
        <v>3553</v>
      </c>
      <c r="AK4227" s="126" t="s">
        <v>229</v>
      </c>
      <c r="AW4227" s="126" t="s">
        <v>160</v>
      </c>
      <c r="AX4227" s="126">
        <v>3</v>
      </c>
      <c r="AY4227" s="126">
        <v>6</v>
      </c>
      <c r="AZ4227" s="126" t="s">
        <v>141</v>
      </c>
      <c r="BD4227" s="126" t="s">
        <v>3760</v>
      </c>
      <c r="BE4227" s="126" t="s">
        <v>3753</v>
      </c>
      <c r="BK4227" s="126">
        <v>47000</v>
      </c>
      <c r="BL4227" s="126">
        <v>52900</v>
      </c>
      <c r="BP4227" s="481"/>
      <c r="BQ4227" s="481"/>
      <c r="BU4227" s="481"/>
      <c r="BV4227" s="481"/>
      <c r="BZ4227" s="481"/>
      <c r="CA4227" s="481"/>
      <c r="CE4227" s="605"/>
      <c r="CF4227" s="605"/>
      <c r="CG4227" s="605"/>
      <c r="CH4227" s="605"/>
      <c r="JC4227" s="126" t="s">
        <v>3759</v>
      </c>
      <c r="JD4227" s="480"/>
    </row>
    <row r="4228" spans="1:264" s="126" customFormat="1" x14ac:dyDescent="0.25">
      <c r="A4228" s="126">
        <v>187</v>
      </c>
      <c r="B4228" s="478" t="s">
        <v>3749</v>
      </c>
      <c r="C4228" s="126" t="s">
        <v>3418</v>
      </c>
      <c r="D4228" s="126" t="s">
        <v>3740</v>
      </c>
      <c r="E4228" s="126">
        <v>2011</v>
      </c>
      <c r="F4228" s="126">
        <v>2005</v>
      </c>
      <c r="G4228" s="126" t="s">
        <v>2713</v>
      </c>
      <c r="H4228" s="126" t="s">
        <v>3741</v>
      </c>
      <c r="I4228" s="126" t="s">
        <v>3461</v>
      </c>
      <c r="J4228" s="126">
        <v>40.22</v>
      </c>
      <c r="K4228" s="126">
        <v>116.23</v>
      </c>
      <c r="L4228" s="126">
        <v>67</v>
      </c>
      <c r="R4228" s="478" t="s">
        <v>1977</v>
      </c>
      <c r="S4228" s="478" t="s">
        <v>1858</v>
      </c>
      <c r="T4228" s="478"/>
      <c r="U4228" s="478" t="s">
        <v>3739</v>
      </c>
      <c r="V4228" s="478" t="s">
        <v>1389</v>
      </c>
      <c r="W4228" s="478" t="s">
        <v>1720</v>
      </c>
      <c r="X4228" s="478" t="s">
        <v>1389</v>
      </c>
      <c r="Y4228" s="478" t="s">
        <v>1389</v>
      </c>
      <c r="Z4228" s="126">
        <v>1.29</v>
      </c>
      <c r="AA4228" s="479"/>
      <c r="AB4228" s="479"/>
      <c r="AC4228" s="126" t="s">
        <v>450</v>
      </c>
      <c r="AD4228" s="126">
        <v>6.36</v>
      </c>
      <c r="AE4228" s="126">
        <v>2.81</v>
      </c>
      <c r="AH4228" s="126" t="s">
        <v>3744</v>
      </c>
      <c r="AI4228" s="126" t="s">
        <v>577</v>
      </c>
      <c r="AJ4228" s="126" t="s">
        <v>3553</v>
      </c>
      <c r="AK4228" s="126" t="s">
        <v>229</v>
      </c>
      <c r="AW4228" s="126" t="s">
        <v>160</v>
      </c>
      <c r="AX4228" s="126">
        <v>3</v>
      </c>
      <c r="AY4228" s="126">
        <v>6</v>
      </c>
      <c r="AZ4228" s="126" t="s">
        <v>141</v>
      </c>
      <c r="BD4228" s="126" t="s">
        <v>3760</v>
      </c>
      <c r="BE4228" s="126" t="s">
        <v>3754</v>
      </c>
      <c r="BK4228" s="126">
        <v>47000</v>
      </c>
      <c r="BL4228" s="126">
        <v>48200</v>
      </c>
      <c r="BP4228" s="481"/>
      <c r="BQ4228" s="481"/>
      <c r="BU4228" s="481"/>
      <c r="BV4228" s="481"/>
      <c r="BZ4228" s="481"/>
      <c r="CA4228" s="481"/>
      <c r="CE4228" s="605"/>
      <c r="CF4228" s="605"/>
      <c r="CG4228" s="605"/>
      <c r="CH4228" s="605"/>
      <c r="JC4228" s="126" t="s">
        <v>3759</v>
      </c>
      <c r="JD4228" s="480"/>
    </row>
    <row r="4229" spans="1:264" s="126" customFormat="1" x14ac:dyDescent="0.25">
      <c r="A4229" s="126">
        <v>187</v>
      </c>
      <c r="B4229" s="478" t="s">
        <v>3750</v>
      </c>
      <c r="C4229" s="126" t="s">
        <v>3418</v>
      </c>
      <c r="D4229" s="126" t="s">
        <v>3740</v>
      </c>
      <c r="E4229" s="126">
        <v>2011</v>
      </c>
      <c r="F4229" s="126">
        <v>2005</v>
      </c>
      <c r="G4229" s="126" t="s">
        <v>2713</v>
      </c>
      <c r="H4229" s="126" t="s">
        <v>3741</v>
      </c>
      <c r="I4229" s="126" t="s">
        <v>3461</v>
      </c>
      <c r="J4229" s="126">
        <v>40.22</v>
      </c>
      <c r="K4229" s="126">
        <v>116.23</v>
      </c>
      <c r="L4229" s="126">
        <v>67</v>
      </c>
      <c r="R4229" s="478" t="s">
        <v>1977</v>
      </c>
      <c r="S4229" s="478" t="s">
        <v>1858</v>
      </c>
      <c r="T4229" s="478"/>
      <c r="U4229" s="478" t="s">
        <v>3739</v>
      </c>
      <c r="V4229" s="478" t="s">
        <v>1389</v>
      </c>
      <c r="W4229" s="478" t="s">
        <v>1720</v>
      </c>
      <c r="X4229" s="478" t="s">
        <v>1389</v>
      </c>
      <c r="Y4229" s="478" t="s">
        <v>1389</v>
      </c>
      <c r="Z4229" s="126">
        <v>1.29</v>
      </c>
      <c r="AA4229" s="479"/>
      <c r="AB4229" s="479"/>
      <c r="AC4229" s="126" t="s">
        <v>450</v>
      </c>
      <c r="AD4229" s="126">
        <v>6.36</v>
      </c>
      <c r="AE4229" s="126">
        <v>2.81</v>
      </c>
      <c r="AH4229" s="126" t="s">
        <v>3745</v>
      </c>
      <c r="AI4229" s="126" t="s">
        <v>577</v>
      </c>
      <c r="AJ4229" s="126" t="s">
        <v>3553</v>
      </c>
      <c r="AK4229" s="126" t="s">
        <v>229</v>
      </c>
      <c r="AW4229" s="126" t="s">
        <v>160</v>
      </c>
      <c r="AX4229" s="126">
        <v>3</v>
      </c>
      <c r="AY4229" s="126">
        <v>6</v>
      </c>
      <c r="AZ4229" s="126" t="s">
        <v>141</v>
      </c>
      <c r="BD4229" s="126" t="s">
        <v>3760</v>
      </c>
      <c r="BE4229" s="126" t="s">
        <v>3753</v>
      </c>
      <c r="BK4229" s="126">
        <v>47000</v>
      </c>
      <c r="BL4229" s="126">
        <v>44100</v>
      </c>
      <c r="BP4229" s="481"/>
      <c r="BQ4229" s="481"/>
      <c r="BU4229" s="481"/>
      <c r="BV4229" s="481"/>
      <c r="BZ4229" s="481"/>
      <c r="CA4229" s="481"/>
      <c r="CE4229" s="605"/>
      <c r="CF4229" s="605"/>
      <c r="CG4229" s="605"/>
      <c r="CH4229" s="605"/>
      <c r="JC4229" s="126" t="s">
        <v>3759</v>
      </c>
      <c r="JD4229" s="480"/>
    </row>
    <row r="4230" spans="1:264" s="126" customFormat="1" x14ac:dyDescent="0.25">
      <c r="A4230" s="126">
        <v>187</v>
      </c>
      <c r="B4230" s="478" t="s">
        <v>3751</v>
      </c>
      <c r="C4230" s="126" t="s">
        <v>3418</v>
      </c>
      <c r="D4230" s="126" t="s">
        <v>3740</v>
      </c>
      <c r="E4230" s="126">
        <v>2011</v>
      </c>
      <c r="F4230" s="126">
        <v>2005</v>
      </c>
      <c r="G4230" s="126" t="s">
        <v>2713</v>
      </c>
      <c r="H4230" s="126" t="s">
        <v>3741</v>
      </c>
      <c r="I4230" s="126" t="s">
        <v>3461</v>
      </c>
      <c r="J4230" s="126">
        <v>40.22</v>
      </c>
      <c r="K4230" s="126">
        <v>116.23</v>
      </c>
      <c r="L4230" s="126">
        <v>67</v>
      </c>
      <c r="R4230" s="478" t="s">
        <v>1977</v>
      </c>
      <c r="S4230" s="478" t="s">
        <v>1858</v>
      </c>
      <c r="T4230" s="478"/>
      <c r="U4230" s="478" t="s">
        <v>3739</v>
      </c>
      <c r="V4230" s="478" t="s">
        <v>1389</v>
      </c>
      <c r="W4230" s="478" t="s">
        <v>1720</v>
      </c>
      <c r="X4230" s="478" t="s">
        <v>1389</v>
      </c>
      <c r="Y4230" s="478" t="s">
        <v>1389</v>
      </c>
      <c r="Z4230" s="126">
        <v>1.29</v>
      </c>
      <c r="AA4230" s="479"/>
      <c r="AB4230" s="479"/>
      <c r="AC4230" s="126" t="s">
        <v>450</v>
      </c>
      <c r="AD4230" s="126">
        <v>6.36</v>
      </c>
      <c r="AE4230" s="126">
        <v>2.81</v>
      </c>
      <c r="AH4230" s="126" t="s">
        <v>3746</v>
      </c>
      <c r="AI4230" s="126" t="s">
        <v>3217</v>
      </c>
      <c r="AJ4230" s="126" t="s">
        <v>3553</v>
      </c>
      <c r="AK4230" s="126" t="s">
        <v>229</v>
      </c>
      <c r="AW4230" s="126" t="s">
        <v>160</v>
      </c>
      <c r="AX4230" s="126">
        <v>3</v>
      </c>
      <c r="AY4230" s="126">
        <v>6</v>
      </c>
      <c r="AZ4230" s="126" t="s">
        <v>141</v>
      </c>
      <c r="BD4230" s="126" t="s">
        <v>3760</v>
      </c>
      <c r="BE4230" s="126" t="s">
        <v>3752</v>
      </c>
      <c r="BK4230" s="126">
        <v>47000</v>
      </c>
      <c r="BL4230" s="126">
        <v>51300</v>
      </c>
      <c r="BP4230" s="481"/>
      <c r="BQ4230" s="481"/>
      <c r="BU4230" s="481"/>
      <c r="BV4230" s="481"/>
      <c r="BZ4230" s="481"/>
      <c r="CA4230" s="481"/>
      <c r="CE4230" s="605"/>
      <c r="CF4230" s="605"/>
      <c r="CG4230" s="605"/>
      <c r="CH4230" s="605"/>
      <c r="JC4230" s="126" t="s">
        <v>3759</v>
      </c>
      <c r="JD4230" s="480"/>
    </row>
    <row r="4231" spans="1:264" s="36" customFormat="1" x14ac:dyDescent="0.25">
      <c r="A4231" s="36">
        <v>187</v>
      </c>
      <c r="B4231" s="51" t="s">
        <v>3747</v>
      </c>
      <c r="C4231" s="36" t="s">
        <v>3418</v>
      </c>
      <c r="D4231" s="36" t="s">
        <v>3740</v>
      </c>
      <c r="E4231" s="36">
        <v>2011</v>
      </c>
      <c r="F4231" s="36">
        <v>2006</v>
      </c>
      <c r="G4231" s="36" t="s">
        <v>2713</v>
      </c>
      <c r="H4231" s="36" t="s">
        <v>3741</v>
      </c>
      <c r="I4231" s="36" t="s">
        <v>3461</v>
      </c>
      <c r="J4231" s="36">
        <v>40.22</v>
      </c>
      <c r="K4231" s="36">
        <v>116.23</v>
      </c>
      <c r="L4231" s="36">
        <v>67</v>
      </c>
      <c r="R4231" s="51" t="s">
        <v>1847</v>
      </c>
      <c r="S4231" s="51" t="s">
        <v>1858</v>
      </c>
      <c r="T4231" s="51"/>
      <c r="U4231" s="51" t="s">
        <v>3739</v>
      </c>
      <c r="V4231" s="51" t="s">
        <v>1389</v>
      </c>
      <c r="W4231" s="51" t="s">
        <v>1720</v>
      </c>
      <c r="X4231" s="51" t="s">
        <v>1389</v>
      </c>
      <c r="Y4231" s="51" t="s">
        <v>1389</v>
      </c>
      <c r="Z4231" s="36">
        <v>1.29</v>
      </c>
      <c r="AA4231" s="331"/>
      <c r="AB4231" s="331"/>
      <c r="AC4231" s="36" t="s">
        <v>450</v>
      </c>
      <c r="AD4231" s="36">
        <v>6.36</v>
      </c>
      <c r="AE4231" s="36">
        <v>2.81</v>
      </c>
      <c r="AH4231" s="36" t="s">
        <v>3742</v>
      </c>
      <c r="AI4231" s="36" t="s">
        <v>1581</v>
      </c>
      <c r="AJ4231" s="36" t="s">
        <v>3553</v>
      </c>
      <c r="AK4231" s="36" t="s">
        <v>229</v>
      </c>
      <c r="AW4231" s="36" t="s">
        <v>160</v>
      </c>
      <c r="AX4231" s="36">
        <v>3</v>
      </c>
      <c r="AY4231" s="36">
        <v>6</v>
      </c>
      <c r="AZ4231" s="36" t="s">
        <v>141</v>
      </c>
      <c r="BD4231" s="36" t="s">
        <v>3760</v>
      </c>
      <c r="BE4231" s="36" t="s">
        <v>3752</v>
      </c>
      <c r="BK4231" s="36">
        <v>47900</v>
      </c>
      <c r="BL4231" s="36">
        <v>53200</v>
      </c>
      <c r="BP4231" s="407"/>
      <c r="BQ4231" s="407"/>
      <c r="BU4231" s="407"/>
      <c r="BV4231" s="407"/>
      <c r="BZ4231" s="407"/>
      <c r="CA4231" s="407"/>
      <c r="CE4231" s="560"/>
      <c r="CF4231" s="560"/>
      <c r="CG4231" s="560"/>
      <c r="CH4231" s="560"/>
      <c r="JC4231" s="36" t="s">
        <v>3759</v>
      </c>
      <c r="JD4231" s="230"/>
    </row>
    <row r="4232" spans="1:264" s="36" customFormat="1" x14ac:dyDescent="0.25">
      <c r="A4232" s="36">
        <v>187</v>
      </c>
      <c r="B4232" s="51" t="s">
        <v>3748</v>
      </c>
      <c r="C4232" s="36" t="s">
        <v>3418</v>
      </c>
      <c r="D4232" s="36" t="s">
        <v>3740</v>
      </c>
      <c r="E4232" s="36">
        <v>2011</v>
      </c>
      <c r="F4232" s="36">
        <v>2006</v>
      </c>
      <c r="G4232" s="36" t="s">
        <v>2713</v>
      </c>
      <c r="H4232" s="36" t="s">
        <v>3741</v>
      </c>
      <c r="I4232" s="36" t="s">
        <v>3461</v>
      </c>
      <c r="J4232" s="36">
        <v>40.22</v>
      </c>
      <c r="K4232" s="36">
        <v>116.23</v>
      </c>
      <c r="L4232" s="36">
        <v>67</v>
      </c>
      <c r="R4232" s="51" t="s">
        <v>1847</v>
      </c>
      <c r="S4232" s="51" t="s">
        <v>1858</v>
      </c>
      <c r="T4232" s="51"/>
      <c r="U4232" s="51" t="s">
        <v>3739</v>
      </c>
      <c r="V4232" s="51" t="s">
        <v>1389</v>
      </c>
      <c r="W4232" s="51" t="s">
        <v>1720</v>
      </c>
      <c r="X4232" s="51" t="s">
        <v>1389</v>
      </c>
      <c r="Y4232" s="51" t="s">
        <v>1389</v>
      </c>
      <c r="Z4232" s="36">
        <v>1.29</v>
      </c>
      <c r="AA4232" s="331"/>
      <c r="AB4232" s="331"/>
      <c r="AC4232" s="36" t="s">
        <v>450</v>
      </c>
      <c r="AD4232" s="36">
        <v>6.36</v>
      </c>
      <c r="AE4232" s="36">
        <v>2.81</v>
      </c>
      <c r="AH4232" s="36" t="s">
        <v>3743</v>
      </c>
      <c r="AI4232" s="36" t="s">
        <v>1581</v>
      </c>
      <c r="AJ4232" s="36" t="s">
        <v>3553</v>
      </c>
      <c r="AK4232" s="36" t="s">
        <v>229</v>
      </c>
      <c r="AW4232" s="36" t="s">
        <v>160</v>
      </c>
      <c r="AX4232" s="36">
        <v>3</v>
      </c>
      <c r="AY4232" s="36">
        <v>6</v>
      </c>
      <c r="AZ4232" s="36" t="s">
        <v>141</v>
      </c>
      <c r="BD4232" s="36" t="s">
        <v>3760</v>
      </c>
      <c r="BE4232" s="36" t="s">
        <v>3753</v>
      </c>
      <c r="BK4232" s="36">
        <v>47900</v>
      </c>
      <c r="BL4232" s="36">
        <v>56300</v>
      </c>
      <c r="BP4232" s="407"/>
      <c r="BQ4232" s="407"/>
      <c r="BU4232" s="407"/>
      <c r="BV4232" s="407"/>
      <c r="BZ4232" s="407"/>
      <c r="CA4232" s="407"/>
      <c r="CE4232" s="560"/>
      <c r="CF4232" s="560"/>
      <c r="CG4232" s="560"/>
      <c r="CH4232" s="560"/>
      <c r="JC4232" s="36" t="s">
        <v>3759</v>
      </c>
      <c r="JD4232" s="230"/>
    </row>
    <row r="4233" spans="1:264" s="36" customFormat="1" x14ac:dyDescent="0.25">
      <c r="A4233" s="36">
        <v>187</v>
      </c>
      <c r="B4233" s="51" t="s">
        <v>3749</v>
      </c>
      <c r="C4233" s="36" t="s">
        <v>3418</v>
      </c>
      <c r="D4233" s="36" t="s">
        <v>3740</v>
      </c>
      <c r="E4233" s="36">
        <v>2011</v>
      </c>
      <c r="F4233" s="36">
        <v>2006</v>
      </c>
      <c r="G4233" s="36" t="s">
        <v>2713</v>
      </c>
      <c r="H4233" s="36" t="s">
        <v>3741</v>
      </c>
      <c r="I4233" s="36" t="s">
        <v>3461</v>
      </c>
      <c r="J4233" s="36">
        <v>40.22</v>
      </c>
      <c r="K4233" s="36">
        <v>116.23</v>
      </c>
      <c r="L4233" s="36">
        <v>67</v>
      </c>
      <c r="R4233" s="51" t="s">
        <v>1847</v>
      </c>
      <c r="S4233" s="51" t="s">
        <v>1858</v>
      </c>
      <c r="T4233" s="51"/>
      <c r="U4233" s="51" t="s">
        <v>3739</v>
      </c>
      <c r="V4233" s="51" t="s">
        <v>1389</v>
      </c>
      <c r="W4233" s="51" t="s">
        <v>1720</v>
      </c>
      <c r="X4233" s="51" t="s">
        <v>1389</v>
      </c>
      <c r="Y4233" s="51" t="s">
        <v>1389</v>
      </c>
      <c r="Z4233" s="36">
        <v>1.29</v>
      </c>
      <c r="AA4233" s="331"/>
      <c r="AB4233" s="331"/>
      <c r="AC4233" s="36" t="s">
        <v>450</v>
      </c>
      <c r="AD4233" s="36">
        <v>6.36</v>
      </c>
      <c r="AE4233" s="36">
        <v>2.81</v>
      </c>
      <c r="AH4233" s="36" t="s">
        <v>3744</v>
      </c>
      <c r="AI4233" s="36" t="s">
        <v>577</v>
      </c>
      <c r="AJ4233" s="36" t="s">
        <v>3553</v>
      </c>
      <c r="AK4233" s="36" t="s">
        <v>229</v>
      </c>
      <c r="AW4233" s="36" t="s">
        <v>160</v>
      </c>
      <c r="AX4233" s="36">
        <v>3</v>
      </c>
      <c r="AY4233" s="36">
        <v>6</v>
      </c>
      <c r="AZ4233" s="36" t="s">
        <v>141</v>
      </c>
      <c r="BD4233" s="36" t="s">
        <v>3760</v>
      </c>
      <c r="BE4233" s="36" t="s">
        <v>3754</v>
      </c>
      <c r="BK4233" s="36">
        <v>47900</v>
      </c>
      <c r="BL4233" s="36">
        <v>42000</v>
      </c>
      <c r="BP4233" s="407"/>
      <c r="BQ4233" s="407"/>
      <c r="BU4233" s="407"/>
      <c r="BV4233" s="407"/>
      <c r="BZ4233" s="407"/>
      <c r="CA4233" s="407"/>
      <c r="CE4233" s="560"/>
      <c r="CF4233" s="560"/>
      <c r="CG4233" s="560"/>
      <c r="CH4233" s="560"/>
      <c r="JC4233" s="36" t="s">
        <v>3759</v>
      </c>
      <c r="JD4233" s="230"/>
    </row>
    <row r="4234" spans="1:264" s="36" customFormat="1" x14ac:dyDescent="0.25">
      <c r="A4234" s="36">
        <v>187</v>
      </c>
      <c r="B4234" s="51" t="s">
        <v>3750</v>
      </c>
      <c r="C4234" s="36" t="s">
        <v>3418</v>
      </c>
      <c r="D4234" s="36" t="s">
        <v>3740</v>
      </c>
      <c r="E4234" s="36">
        <v>2011</v>
      </c>
      <c r="F4234" s="36">
        <v>2006</v>
      </c>
      <c r="G4234" s="36" t="s">
        <v>2713</v>
      </c>
      <c r="H4234" s="36" t="s">
        <v>3741</v>
      </c>
      <c r="I4234" s="36" t="s">
        <v>3461</v>
      </c>
      <c r="J4234" s="36">
        <v>40.22</v>
      </c>
      <c r="K4234" s="36">
        <v>116.23</v>
      </c>
      <c r="L4234" s="36">
        <v>67</v>
      </c>
      <c r="R4234" s="51" t="s">
        <v>1847</v>
      </c>
      <c r="S4234" s="51" t="s">
        <v>1858</v>
      </c>
      <c r="T4234" s="51"/>
      <c r="U4234" s="51" t="s">
        <v>3739</v>
      </c>
      <c r="V4234" s="51" t="s">
        <v>1389</v>
      </c>
      <c r="W4234" s="51" t="s">
        <v>1720</v>
      </c>
      <c r="X4234" s="51" t="s">
        <v>1389</v>
      </c>
      <c r="Y4234" s="51" t="s">
        <v>1389</v>
      </c>
      <c r="Z4234" s="36">
        <v>1.29</v>
      </c>
      <c r="AA4234" s="331"/>
      <c r="AB4234" s="331"/>
      <c r="AC4234" s="36" t="s">
        <v>450</v>
      </c>
      <c r="AD4234" s="36">
        <v>6.36</v>
      </c>
      <c r="AE4234" s="36">
        <v>2.81</v>
      </c>
      <c r="AH4234" s="36" t="s">
        <v>3745</v>
      </c>
      <c r="AI4234" s="36" t="s">
        <v>577</v>
      </c>
      <c r="AJ4234" s="36" t="s">
        <v>3553</v>
      </c>
      <c r="AK4234" s="36" t="s">
        <v>229</v>
      </c>
      <c r="AW4234" s="36" t="s">
        <v>160</v>
      </c>
      <c r="AX4234" s="36">
        <v>3</v>
      </c>
      <c r="AY4234" s="36">
        <v>6</v>
      </c>
      <c r="AZ4234" s="36" t="s">
        <v>141</v>
      </c>
      <c r="BD4234" s="36" t="s">
        <v>3760</v>
      </c>
      <c r="BE4234" s="36" t="s">
        <v>3753</v>
      </c>
      <c r="BK4234" s="36">
        <v>47900</v>
      </c>
      <c r="BL4234" s="36">
        <v>46000</v>
      </c>
      <c r="BP4234" s="407"/>
      <c r="BQ4234" s="407"/>
      <c r="BU4234" s="407"/>
      <c r="BV4234" s="407"/>
      <c r="BZ4234" s="407"/>
      <c r="CA4234" s="407"/>
      <c r="CE4234" s="560"/>
      <c r="CF4234" s="560"/>
      <c r="CG4234" s="560"/>
      <c r="CH4234" s="560"/>
      <c r="JC4234" s="36" t="s">
        <v>3759</v>
      </c>
      <c r="JD4234" s="230"/>
    </row>
    <row r="4235" spans="1:264" s="36" customFormat="1" x14ac:dyDescent="0.25">
      <c r="A4235" s="36">
        <v>187</v>
      </c>
      <c r="B4235" s="51" t="s">
        <v>3751</v>
      </c>
      <c r="C4235" s="36" t="s">
        <v>3418</v>
      </c>
      <c r="D4235" s="36" t="s">
        <v>3740</v>
      </c>
      <c r="E4235" s="36">
        <v>2011</v>
      </c>
      <c r="F4235" s="36">
        <v>2006</v>
      </c>
      <c r="G4235" s="36" t="s">
        <v>2713</v>
      </c>
      <c r="H4235" s="36" t="s">
        <v>3741</v>
      </c>
      <c r="I4235" s="36" t="s">
        <v>3461</v>
      </c>
      <c r="J4235" s="36">
        <v>40.22</v>
      </c>
      <c r="K4235" s="36">
        <v>116.23</v>
      </c>
      <c r="L4235" s="36">
        <v>67</v>
      </c>
      <c r="R4235" s="51" t="s">
        <v>1847</v>
      </c>
      <c r="S4235" s="51" t="s">
        <v>1858</v>
      </c>
      <c r="T4235" s="51"/>
      <c r="U4235" s="51" t="s">
        <v>3739</v>
      </c>
      <c r="V4235" s="51" t="s">
        <v>1389</v>
      </c>
      <c r="W4235" s="51" t="s">
        <v>1720</v>
      </c>
      <c r="X4235" s="51" t="s">
        <v>1389</v>
      </c>
      <c r="Y4235" s="51" t="s">
        <v>1389</v>
      </c>
      <c r="Z4235" s="36">
        <v>1.29</v>
      </c>
      <c r="AA4235" s="331"/>
      <c r="AB4235" s="331"/>
      <c r="AC4235" s="36" t="s">
        <v>450</v>
      </c>
      <c r="AD4235" s="36">
        <v>6.36</v>
      </c>
      <c r="AE4235" s="36">
        <v>2.81</v>
      </c>
      <c r="AH4235" s="36" t="s">
        <v>3746</v>
      </c>
      <c r="AI4235" s="36" t="s">
        <v>3217</v>
      </c>
      <c r="AJ4235" s="36" t="s">
        <v>3553</v>
      </c>
      <c r="AK4235" s="36" t="s">
        <v>229</v>
      </c>
      <c r="AW4235" s="36" t="s">
        <v>160</v>
      </c>
      <c r="AX4235" s="36">
        <v>3</v>
      </c>
      <c r="AY4235" s="36">
        <v>6</v>
      </c>
      <c r="AZ4235" s="36" t="s">
        <v>141</v>
      </c>
      <c r="BD4235" s="36" t="s">
        <v>3760</v>
      </c>
      <c r="BE4235" s="36" t="s">
        <v>3752</v>
      </c>
      <c r="BK4235" s="36">
        <v>47900</v>
      </c>
      <c r="BL4235" s="36">
        <v>57900</v>
      </c>
      <c r="BP4235" s="407"/>
      <c r="BQ4235" s="407"/>
      <c r="BU4235" s="407"/>
      <c r="BV4235" s="407"/>
      <c r="BZ4235" s="407"/>
      <c r="CA4235" s="407"/>
      <c r="CE4235" s="560"/>
      <c r="CF4235" s="560"/>
      <c r="CG4235" s="560"/>
      <c r="CH4235" s="560"/>
      <c r="JC4235" s="36" t="s">
        <v>3759</v>
      </c>
      <c r="JD4235" s="230"/>
    </row>
    <row r="4236" spans="1:264" s="126" customFormat="1" x14ac:dyDescent="0.25">
      <c r="A4236" s="126">
        <v>187</v>
      </c>
      <c r="B4236" s="478" t="s">
        <v>3747</v>
      </c>
      <c r="C4236" s="126" t="s">
        <v>3418</v>
      </c>
      <c r="D4236" s="126" t="s">
        <v>3740</v>
      </c>
      <c r="E4236" s="126">
        <v>2011</v>
      </c>
      <c r="F4236" s="126">
        <v>2007</v>
      </c>
      <c r="G4236" s="126" t="s">
        <v>2713</v>
      </c>
      <c r="H4236" s="126" t="s">
        <v>3741</v>
      </c>
      <c r="I4236" s="126" t="s">
        <v>3461</v>
      </c>
      <c r="J4236" s="126">
        <v>40.22</v>
      </c>
      <c r="K4236" s="126">
        <v>116.23</v>
      </c>
      <c r="L4236" s="126">
        <v>67</v>
      </c>
      <c r="R4236" s="478" t="s">
        <v>1728</v>
      </c>
      <c r="S4236" s="478" t="s">
        <v>1858</v>
      </c>
      <c r="T4236" s="478"/>
      <c r="U4236" s="478" t="s">
        <v>3739</v>
      </c>
      <c r="V4236" s="478" t="s">
        <v>1389</v>
      </c>
      <c r="W4236" s="478" t="s">
        <v>1720</v>
      </c>
      <c r="X4236" s="478" t="s">
        <v>1389</v>
      </c>
      <c r="Y4236" s="478" t="s">
        <v>1389</v>
      </c>
      <c r="Z4236" s="126">
        <v>1.29</v>
      </c>
      <c r="AA4236" s="479"/>
      <c r="AB4236" s="479"/>
      <c r="AC4236" s="126" t="s">
        <v>450</v>
      </c>
      <c r="AD4236" s="126">
        <v>6.36</v>
      </c>
      <c r="AE4236" s="126">
        <v>2.81</v>
      </c>
      <c r="AH4236" s="126" t="s">
        <v>3742</v>
      </c>
      <c r="AI4236" s="126" t="s">
        <v>1581</v>
      </c>
      <c r="AJ4236" s="126" t="s">
        <v>3553</v>
      </c>
      <c r="AK4236" s="126" t="s">
        <v>229</v>
      </c>
      <c r="AW4236" s="126" t="s">
        <v>160</v>
      </c>
      <c r="AX4236" s="126">
        <v>3</v>
      </c>
      <c r="AY4236" s="126">
        <v>6</v>
      </c>
      <c r="AZ4236" s="126" t="s">
        <v>141</v>
      </c>
      <c r="BD4236" s="126" t="s">
        <v>3760</v>
      </c>
      <c r="BE4236" s="126" t="s">
        <v>3752</v>
      </c>
      <c r="BK4236" s="126">
        <v>46500</v>
      </c>
      <c r="BL4236" s="126">
        <v>61800</v>
      </c>
      <c r="BP4236" s="481"/>
      <c r="BQ4236" s="481"/>
      <c r="BU4236" s="481">
        <v>1.73</v>
      </c>
      <c r="BV4236" s="481">
        <v>1.51</v>
      </c>
      <c r="BZ4236" s="481"/>
      <c r="CA4236" s="481"/>
      <c r="CE4236" s="605">
        <v>1.73</v>
      </c>
      <c r="CF4236" s="605">
        <v>1.51</v>
      </c>
      <c r="CG4236" s="605"/>
      <c r="CH4236" s="605"/>
      <c r="CI4236" s="126" t="s">
        <v>4546</v>
      </c>
      <c r="CJ4236" s="126">
        <v>144</v>
      </c>
      <c r="CK4236" s="126">
        <v>146</v>
      </c>
      <c r="CN4236" s="126" t="s">
        <v>3503</v>
      </c>
      <c r="CO4236" s="126">
        <v>169</v>
      </c>
      <c r="CP4236" s="126">
        <v>137</v>
      </c>
      <c r="CS4236" s="126" t="s">
        <v>3755</v>
      </c>
      <c r="GP4236" s="126">
        <v>3.73</v>
      </c>
      <c r="GQ4236" s="126">
        <v>3.99</v>
      </c>
      <c r="GT4236" s="126" t="s">
        <v>3758</v>
      </c>
      <c r="GU4236" s="126">
        <v>6.5</v>
      </c>
      <c r="GV4236" s="126">
        <v>6.68</v>
      </c>
      <c r="GY4236" s="126" t="s">
        <v>3756</v>
      </c>
      <c r="GZ4236" s="126">
        <v>5.93</v>
      </c>
      <c r="HA4236" s="126">
        <v>6.1</v>
      </c>
      <c r="HD4236" s="126" t="s">
        <v>3757</v>
      </c>
      <c r="IN4236" s="126">
        <v>136</v>
      </c>
      <c r="IO4236" s="126">
        <v>217</v>
      </c>
      <c r="IS4236" s="126">
        <v>48.7</v>
      </c>
      <c r="IT4236" s="126">
        <v>48.7</v>
      </c>
      <c r="JB4236" s="126" t="s">
        <v>596</v>
      </c>
      <c r="JC4236" s="126" t="s">
        <v>3759</v>
      </c>
      <c r="JD4236" s="480"/>
    </row>
    <row r="4237" spans="1:264" s="126" customFormat="1" x14ac:dyDescent="0.25">
      <c r="A4237" s="126">
        <v>187</v>
      </c>
      <c r="B4237" s="478" t="s">
        <v>3748</v>
      </c>
      <c r="C4237" s="126" t="s">
        <v>3418</v>
      </c>
      <c r="D4237" s="126" t="s">
        <v>3740</v>
      </c>
      <c r="E4237" s="126">
        <v>2011</v>
      </c>
      <c r="F4237" s="126">
        <v>2007</v>
      </c>
      <c r="G4237" s="126" t="s">
        <v>2713</v>
      </c>
      <c r="H4237" s="126" t="s">
        <v>3741</v>
      </c>
      <c r="I4237" s="126" t="s">
        <v>3461</v>
      </c>
      <c r="J4237" s="126">
        <v>40.22</v>
      </c>
      <c r="K4237" s="126">
        <v>116.23</v>
      </c>
      <c r="L4237" s="126">
        <v>67</v>
      </c>
      <c r="R4237" s="478" t="s">
        <v>1728</v>
      </c>
      <c r="S4237" s="478" t="s">
        <v>1858</v>
      </c>
      <c r="T4237" s="478"/>
      <c r="U4237" s="478" t="s">
        <v>3739</v>
      </c>
      <c r="V4237" s="478" t="s">
        <v>1389</v>
      </c>
      <c r="W4237" s="478" t="s">
        <v>1720</v>
      </c>
      <c r="X4237" s="478" t="s">
        <v>1389</v>
      </c>
      <c r="Y4237" s="478" t="s">
        <v>1389</v>
      </c>
      <c r="Z4237" s="126">
        <v>1.29</v>
      </c>
      <c r="AA4237" s="479"/>
      <c r="AB4237" s="479"/>
      <c r="AC4237" s="126" t="s">
        <v>450</v>
      </c>
      <c r="AD4237" s="126">
        <v>6.36</v>
      </c>
      <c r="AE4237" s="126">
        <v>2.81</v>
      </c>
      <c r="AH4237" s="126" t="s">
        <v>3743</v>
      </c>
      <c r="AI4237" s="126" t="s">
        <v>1581</v>
      </c>
      <c r="AJ4237" s="126" t="s">
        <v>3553</v>
      </c>
      <c r="AK4237" s="126" t="s">
        <v>229</v>
      </c>
      <c r="AW4237" s="126" t="s">
        <v>160</v>
      </c>
      <c r="AX4237" s="126">
        <v>3</v>
      </c>
      <c r="AY4237" s="126">
        <v>6</v>
      </c>
      <c r="AZ4237" s="126" t="s">
        <v>141</v>
      </c>
      <c r="BD4237" s="126" t="s">
        <v>3760</v>
      </c>
      <c r="BE4237" s="126" t="s">
        <v>3753</v>
      </c>
      <c r="BK4237" s="126">
        <v>46500</v>
      </c>
      <c r="BL4237" s="126">
        <v>63300</v>
      </c>
      <c r="BP4237" s="481"/>
      <c r="BQ4237" s="481"/>
      <c r="BU4237" s="481">
        <v>1.73</v>
      </c>
      <c r="BV4237" s="481">
        <v>1.63</v>
      </c>
      <c r="BZ4237" s="481"/>
      <c r="CA4237" s="481"/>
      <c r="CE4237" s="605">
        <v>1.73</v>
      </c>
      <c r="CF4237" s="605">
        <v>1.63</v>
      </c>
      <c r="CG4237" s="605"/>
      <c r="CH4237" s="605"/>
      <c r="CI4237" s="126" t="s">
        <v>4546</v>
      </c>
      <c r="CJ4237" s="126">
        <v>144</v>
      </c>
      <c r="CK4237" s="126">
        <v>155</v>
      </c>
      <c r="CN4237" s="126" t="s">
        <v>3503</v>
      </c>
      <c r="CO4237" s="126">
        <v>169</v>
      </c>
      <c r="CP4237" s="126">
        <v>123</v>
      </c>
      <c r="CS4237" s="126" t="s">
        <v>3755</v>
      </c>
      <c r="GP4237" s="126">
        <v>3.73</v>
      </c>
      <c r="GQ4237" s="126">
        <v>4.01</v>
      </c>
      <c r="GT4237" s="126" t="s">
        <v>3758</v>
      </c>
      <c r="GU4237" s="126">
        <v>6.5</v>
      </c>
      <c r="GV4237" s="126">
        <v>6.8</v>
      </c>
      <c r="GY4237" s="126" t="s">
        <v>3756</v>
      </c>
      <c r="GZ4237" s="126">
        <v>5.93</v>
      </c>
      <c r="HA4237" s="126">
        <v>6.24</v>
      </c>
      <c r="HD4237" s="126" t="s">
        <v>3757</v>
      </c>
      <c r="IN4237" s="126">
        <v>136</v>
      </c>
      <c r="IO4237" s="126">
        <v>287</v>
      </c>
      <c r="IS4237" s="126">
        <v>48.7</v>
      </c>
      <c r="IT4237" s="126">
        <v>52.5</v>
      </c>
      <c r="JB4237" s="126" t="s">
        <v>596</v>
      </c>
      <c r="JC4237" s="126" t="s">
        <v>3759</v>
      </c>
      <c r="JD4237" s="480"/>
    </row>
    <row r="4238" spans="1:264" s="126" customFormat="1" x14ac:dyDescent="0.25">
      <c r="A4238" s="126">
        <v>187</v>
      </c>
      <c r="B4238" s="478" t="s">
        <v>3749</v>
      </c>
      <c r="C4238" s="126" t="s">
        <v>3418</v>
      </c>
      <c r="D4238" s="126" t="s">
        <v>3740</v>
      </c>
      <c r="E4238" s="126">
        <v>2011</v>
      </c>
      <c r="F4238" s="126">
        <v>2007</v>
      </c>
      <c r="G4238" s="126" t="s">
        <v>2713</v>
      </c>
      <c r="H4238" s="126" t="s">
        <v>3741</v>
      </c>
      <c r="I4238" s="126" t="s">
        <v>3461</v>
      </c>
      <c r="J4238" s="126">
        <v>40.22</v>
      </c>
      <c r="K4238" s="126">
        <v>116.23</v>
      </c>
      <c r="L4238" s="126">
        <v>67</v>
      </c>
      <c r="R4238" s="478" t="s">
        <v>1728</v>
      </c>
      <c r="S4238" s="478" t="s">
        <v>1858</v>
      </c>
      <c r="T4238" s="478"/>
      <c r="U4238" s="478" t="s">
        <v>3739</v>
      </c>
      <c r="V4238" s="478" t="s">
        <v>1389</v>
      </c>
      <c r="W4238" s="478" t="s">
        <v>1720</v>
      </c>
      <c r="X4238" s="478" t="s">
        <v>1389</v>
      </c>
      <c r="Y4238" s="478" t="s">
        <v>1389</v>
      </c>
      <c r="Z4238" s="126">
        <v>1.29</v>
      </c>
      <c r="AA4238" s="479"/>
      <c r="AB4238" s="479"/>
      <c r="AC4238" s="126" t="s">
        <v>450</v>
      </c>
      <c r="AD4238" s="126">
        <v>6.36</v>
      </c>
      <c r="AE4238" s="126">
        <v>2.81</v>
      </c>
      <c r="AH4238" s="126" t="s">
        <v>3744</v>
      </c>
      <c r="AI4238" s="126" t="s">
        <v>577</v>
      </c>
      <c r="AJ4238" s="126" t="s">
        <v>3553</v>
      </c>
      <c r="AK4238" s="126" t="s">
        <v>229</v>
      </c>
      <c r="AW4238" s="126" t="s">
        <v>160</v>
      </c>
      <c r="AX4238" s="126">
        <v>3</v>
      </c>
      <c r="AY4238" s="126">
        <v>6</v>
      </c>
      <c r="AZ4238" s="126" t="s">
        <v>141</v>
      </c>
      <c r="BD4238" s="126" t="s">
        <v>3760</v>
      </c>
      <c r="BE4238" s="126" t="s">
        <v>3754</v>
      </c>
      <c r="BK4238" s="126">
        <v>46500</v>
      </c>
      <c r="BL4238" s="126">
        <v>31600</v>
      </c>
      <c r="BP4238" s="481"/>
      <c r="BQ4238" s="481"/>
      <c r="BU4238" s="481">
        <v>1.73</v>
      </c>
      <c r="BV4238" s="481">
        <v>1.85</v>
      </c>
      <c r="BZ4238" s="481"/>
      <c r="CA4238" s="481"/>
      <c r="CE4238" s="605">
        <v>1.73</v>
      </c>
      <c r="CF4238" s="605">
        <v>1.85</v>
      </c>
      <c r="CG4238" s="605"/>
      <c r="CH4238" s="605"/>
      <c r="CI4238" s="126" t="s">
        <v>4546</v>
      </c>
      <c r="CJ4238" s="126">
        <v>144</v>
      </c>
      <c r="CK4238" s="126">
        <v>149</v>
      </c>
      <c r="CN4238" s="126" t="s">
        <v>3503</v>
      </c>
      <c r="CO4238" s="126">
        <v>169</v>
      </c>
      <c r="CP4238" s="126">
        <v>147</v>
      </c>
      <c r="CS4238" s="126" t="s">
        <v>3755</v>
      </c>
      <c r="GP4238" s="126">
        <v>3.73</v>
      </c>
      <c r="GQ4238" s="126">
        <v>4.08</v>
      </c>
      <c r="GT4238" s="126" t="s">
        <v>3758</v>
      </c>
      <c r="GU4238" s="126">
        <v>6.5</v>
      </c>
      <c r="GV4238" s="126">
        <v>6.16</v>
      </c>
      <c r="GY4238" s="126" t="s">
        <v>3756</v>
      </c>
      <c r="GZ4238" s="126">
        <v>5.93</v>
      </c>
      <c r="HA4238" s="126">
        <v>5.95</v>
      </c>
      <c r="HD4238" s="126" t="s">
        <v>3757</v>
      </c>
      <c r="IN4238" s="126">
        <v>136</v>
      </c>
      <c r="IO4238" s="126">
        <v>270</v>
      </c>
      <c r="IS4238" s="126">
        <v>48.7</v>
      </c>
      <c r="IT4238" s="126">
        <v>49</v>
      </c>
      <c r="JB4238" s="126" t="s">
        <v>596</v>
      </c>
      <c r="JC4238" s="126" t="s">
        <v>3759</v>
      </c>
      <c r="JD4238" s="480"/>
    </row>
    <row r="4239" spans="1:264" s="126" customFormat="1" x14ac:dyDescent="0.25">
      <c r="A4239" s="126">
        <v>187</v>
      </c>
      <c r="B4239" s="478" t="s">
        <v>3750</v>
      </c>
      <c r="C4239" s="126" t="s">
        <v>3418</v>
      </c>
      <c r="D4239" s="126" t="s">
        <v>3740</v>
      </c>
      <c r="E4239" s="126">
        <v>2011</v>
      </c>
      <c r="F4239" s="126">
        <v>2007</v>
      </c>
      <c r="G4239" s="126" t="s">
        <v>2713</v>
      </c>
      <c r="H4239" s="126" t="s">
        <v>3741</v>
      </c>
      <c r="I4239" s="126" t="s">
        <v>3461</v>
      </c>
      <c r="J4239" s="126">
        <v>40.22</v>
      </c>
      <c r="K4239" s="126">
        <v>116.23</v>
      </c>
      <c r="L4239" s="126">
        <v>67</v>
      </c>
      <c r="R4239" s="478" t="s">
        <v>1728</v>
      </c>
      <c r="S4239" s="478" t="s">
        <v>1858</v>
      </c>
      <c r="T4239" s="478"/>
      <c r="U4239" s="478" t="s">
        <v>3739</v>
      </c>
      <c r="V4239" s="478" t="s">
        <v>1389</v>
      </c>
      <c r="W4239" s="478" t="s">
        <v>1720</v>
      </c>
      <c r="X4239" s="478" t="s">
        <v>1389</v>
      </c>
      <c r="Y4239" s="478" t="s">
        <v>1389</v>
      </c>
      <c r="Z4239" s="126">
        <v>1.29</v>
      </c>
      <c r="AA4239" s="479"/>
      <c r="AB4239" s="479"/>
      <c r="AC4239" s="126" t="s">
        <v>450</v>
      </c>
      <c r="AD4239" s="126">
        <v>6.36</v>
      </c>
      <c r="AE4239" s="126">
        <v>2.81</v>
      </c>
      <c r="AH4239" s="126" t="s">
        <v>3745</v>
      </c>
      <c r="AI4239" s="126" t="s">
        <v>577</v>
      </c>
      <c r="AJ4239" s="126" t="s">
        <v>3553</v>
      </c>
      <c r="AK4239" s="126" t="s">
        <v>229</v>
      </c>
      <c r="AW4239" s="126" t="s">
        <v>160</v>
      </c>
      <c r="AX4239" s="126">
        <v>3</v>
      </c>
      <c r="AY4239" s="126">
        <v>6</v>
      </c>
      <c r="AZ4239" s="126" t="s">
        <v>141</v>
      </c>
      <c r="BD4239" s="126" t="s">
        <v>3760</v>
      </c>
      <c r="BE4239" s="126" t="s">
        <v>3753</v>
      </c>
      <c r="BK4239" s="126">
        <v>46500</v>
      </c>
      <c r="BL4239" s="126">
        <v>36800</v>
      </c>
      <c r="BP4239" s="481"/>
      <c r="BQ4239" s="481"/>
      <c r="BU4239" s="481">
        <v>1.73</v>
      </c>
      <c r="BV4239" s="481">
        <v>1.55</v>
      </c>
      <c r="BZ4239" s="481"/>
      <c r="CA4239" s="481"/>
      <c r="CE4239" s="605">
        <v>1.73</v>
      </c>
      <c r="CF4239" s="605">
        <v>1.55</v>
      </c>
      <c r="CG4239" s="605"/>
      <c r="CH4239" s="605"/>
      <c r="CI4239" s="126" t="s">
        <v>4546</v>
      </c>
      <c r="CJ4239" s="126">
        <v>144</v>
      </c>
      <c r="CK4239" s="126">
        <v>176</v>
      </c>
      <c r="CN4239" s="126" t="s">
        <v>3503</v>
      </c>
      <c r="CO4239" s="126">
        <v>169</v>
      </c>
      <c r="CP4239" s="126">
        <v>144</v>
      </c>
      <c r="CS4239" s="126" t="s">
        <v>3755</v>
      </c>
      <c r="GP4239" s="126">
        <v>3.73</v>
      </c>
      <c r="GQ4239" s="126">
        <v>4.03</v>
      </c>
      <c r="GT4239" s="126" t="s">
        <v>3758</v>
      </c>
      <c r="GU4239" s="126">
        <v>6.5</v>
      </c>
      <c r="GV4239" s="126">
        <v>6.49</v>
      </c>
      <c r="GY4239" s="126" t="s">
        <v>3756</v>
      </c>
      <c r="GZ4239" s="126">
        <v>5.93</v>
      </c>
      <c r="HA4239" s="126">
        <v>6.18</v>
      </c>
      <c r="HD4239" s="126" t="s">
        <v>3757</v>
      </c>
      <c r="IN4239" s="126">
        <v>136</v>
      </c>
      <c r="IO4239" s="126">
        <v>196</v>
      </c>
      <c r="IS4239" s="126">
        <v>48.7</v>
      </c>
      <c r="IT4239" s="126">
        <v>51.9</v>
      </c>
      <c r="JB4239" s="126" t="s">
        <v>596</v>
      </c>
      <c r="JC4239" s="126" t="s">
        <v>3759</v>
      </c>
      <c r="JD4239" s="480"/>
    </row>
    <row r="4240" spans="1:264" s="126" customFormat="1" x14ac:dyDescent="0.25">
      <c r="A4240" s="126">
        <v>187</v>
      </c>
      <c r="B4240" s="478" t="s">
        <v>3751</v>
      </c>
      <c r="C4240" s="126" t="s">
        <v>3418</v>
      </c>
      <c r="D4240" s="126" t="s">
        <v>3740</v>
      </c>
      <c r="E4240" s="126">
        <v>2011</v>
      </c>
      <c r="F4240" s="126">
        <v>2007</v>
      </c>
      <c r="G4240" s="126" t="s">
        <v>2713</v>
      </c>
      <c r="H4240" s="126" t="s">
        <v>3741</v>
      </c>
      <c r="I4240" s="126" t="s">
        <v>3461</v>
      </c>
      <c r="J4240" s="126">
        <v>40.22</v>
      </c>
      <c r="K4240" s="126">
        <v>116.23</v>
      </c>
      <c r="L4240" s="126">
        <v>67</v>
      </c>
      <c r="R4240" s="478" t="s">
        <v>1728</v>
      </c>
      <c r="S4240" s="478" t="s">
        <v>1858</v>
      </c>
      <c r="T4240" s="478"/>
      <c r="U4240" s="478" t="s">
        <v>3739</v>
      </c>
      <c r="V4240" s="478" t="s">
        <v>1389</v>
      </c>
      <c r="W4240" s="478" t="s">
        <v>1720</v>
      </c>
      <c r="X4240" s="478" t="s">
        <v>1389</v>
      </c>
      <c r="Y4240" s="478" t="s">
        <v>1389</v>
      </c>
      <c r="Z4240" s="126">
        <v>1.29</v>
      </c>
      <c r="AA4240" s="479"/>
      <c r="AB4240" s="479"/>
      <c r="AC4240" s="126" t="s">
        <v>450</v>
      </c>
      <c r="AD4240" s="126">
        <v>6.36</v>
      </c>
      <c r="AE4240" s="126">
        <v>2.81</v>
      </c>
      <c r="AH4240" s="126" t="s">
        <v>3746</v>
      </c>
      <c r="AI4240" s="126" t="s">
        <v>3217</v>
      </c>
      <c r="AJ4240" s="126" t="s">
        <v>3553</v>
      </c>
      <c r="AK4240" s="126" t="s">
        <v>229</v>
      </c>
      <c r="AW4240" s="126" t="s">
        <v>160</v>
      </c>
      <c r="AX4240" s="126">
        <v>3</v>
      </c>
      <c r="AY4240" s="126">
        <v>6</v>
      </c>
      <c r="AZ4240" s="126" t="s">
        <v>141</v>
      </c>
      <c r="BD4240" s="126" t="s">
        <v>3760</v>
      </c>
      <c r="BE4240" s="126" t="s">
        <v>3752</v>
      </c>
      <c r="BK4240" s="126">
        <v>46500</v>
      </c>
      <c r="BL4240" s="126">
        <v>53700</v>
      </c>
      <c r="BP4240" s="481"/>
      <c r="BQ4240" s="481"/>
      <c r="BU4240" s="481">
        <v>1.73</v>
      </c>
      <c r="BV4240" s="481">
        <v>1.43</v>
      </c>
      <c r="BZ4240" s="481"/>
      <c r="CA4240" s="481"/>
      <c r="CE4240" s="605">
        <v>1.73</v>
      </c>
      <c r="CF4240" s="605">
        <v>1.43</v>
      </c>
      <c r="CG4240" s="605"/>
      <c r="CH4240" s="605"/>
      <c r="CI4240" s="126" t="s">
        <v>4546</v>
      </c>
      <c r="CJ4240" s="126">
        <v>144</v>
      </c>
      <c r="CK4240" s="126">
        <v>160</v>
      </c>
      <c r="CN4240" s="126" t="s">
        <v>3503</v>
      </c>
      <c r="CO4240" s="126">
        <v>169</v>
      </c>
      <c r="CP4240" s="126">
        <v>137</v>
      </c>
      <c r="CS4240" s="126" t="s">
        <v>3755</v>
      </c>
      <c r="GP4240" s="126">
        <v>3.73</v>
      </c>
      <c r="GQ4240" s="126">
        <v>3.98</v>
      </c>
      <c r="GT4240" s="126" t="s">
        <v>3758</v>
      </c>
      <c r="GU4240" s="126">
        <v>6.5</v>
      </c>
      <c r="GV4240" s="126">
        <v>6.85</v>
      </c>
      <c r="GY4240" s="126" t="s">
        <v>3756</v>
      </c>
      <c r="GZ4240" s="126">
        <v>5.93</v>
      </c>
      <c r="HA4240" s="126">
        <v>5.8</v>
      </c>
      <c r="HD4240" s="126" t="s">
        <v>3757</v>
      </c>
      <c r="IN4240" s="126">
        <v>136</v>
      </c>
      <c r="IO4240" s="126">
        <v>274</v>
      </c>
      <c r="IS4240" s="126">
        <v>48.7</v>
      </c>
      <c r="IT4240" s="126">
        <v>46.1</v>
      </c>
      <c r="JB4240" s="126" t="s">
        <v>596</v>
      </c>
      <c r="JC4240" s="126" t="s">
        <v>3759</v>
      </c>
      <c r="JD4240" s="480"/>
    </row>
    <row r="4241" spans="1:264" s="36" customFormat="1" x14ac:dyDescent="0.25">
      <c r="A4241" s="36">
        <v>187</v>
      </c>
      <c r="B4241" s="51" t="s">
        <v>3747</v>
      </c>
      <c r="C4241" s="36" t="s">
        <v>3418</v>
      </c>
      <c r="D4241" s="36" t="s">
        <v>3740</v>
      </c>
      <c r="E4241" s="36">
        <v>2011</v>
      </c>
      <c r="F4241" s="36">
        <v>2008</v>
      </c>
      <c r="G4241" s="36" t="s">
        <v>2713</v>
      </c>
      <c r="H4241" s="36" t="s">
        <v>3741</v>
      </c>
      <c r="I4241" s="36" t="s">
        <v>3461</v>
      </c>
      <c r="J4241" s="36">
        <v>40.22</v>
      </c>
      <c r="K4241" s="36">
        <v>116.23</v>
      </c>
      <c r="L4241" s="36">
        <v>67</v>
      </c>
      <c r="R4241" s="51" t="s">
        <v>1858</v>
      </c>
      <c r="S4241" s="51" t="s">
        <v>1858</v>
      </c>
      <c r="T4241" s="51"/>
      <c r="U4241" s="51" t="s">
        <v>3739</v>
      </c>
      <c r="V4241" s="51" t="s">
        <v>1389</v>
      </c>
      <c r="W4241" s="51" t="s">
        <v>1720</v>
      </c>
      <c r="X4241" s="51" t="s">
        <v>1389</v>
      </c>
      <c r="Y4241" s="51" t="s">
        <v>1389</v>
      </c>
      <c r="Z4241" s="36">
        <v>1.29</v>
      </c>
      <c r="AA4241" s="331"/>
      <c r="AB4241" s="331"/>
      <c r="AC4241" s="36" t="s">
        <v>450</v>
      </c>
      <c r="AD4241" s="36">
        <v>6.36</v>
      </c>
      <c r="AE4241" s="36">
        <v>2.81</v>
      </c>
      <c r="AH4241" s="36" t="s">
        <v>3742</v>
      </c>
      <c r="AI4241" s="36" t="s">
        <v>1581</v>
      </c>
      <c r="AJ4241" s="36" t="s">
        <v>3553</v>
      </c>
      <c r="AK4241" s="36" t="s">
        <v>229</v>
      </c>
      <c r="AW4241" s="36" t="s">
        <v>160</v>
      </c>
      <c r="AX4241" s="36">
        <v>3</v>
      </c>
      <c r="AY4241" s="36">
        <v>6</v>
      </c>
      <c r="AZ4241" s="36" t="s">
        <v>141</v>
      </c>
      <c r="BD4241" s="36" t="s">
        <v>3760</v>
      </c>
      <c r="BE4241" s="36" t="s">
        <v>3752</v>
      </c>
      <c r="BK4241" s="36">
        <v>41800</v>
      </c>
      <c r="BL4241" s="36">
        <v>54700</v>
      </c>
      <c r="BP4241" s="407"/>
      <c r="BQ4241" s="407"/>
      <c r="BU4241" s="407">
        <v>1.76</v>
      </c>
      <c r="BV4241" s="407">
        <v>1.62</v>
      </c>
      <c r="BZ4241" s="407"/>
      <c r="CA4241" s="407"/>
      <c r="CE4241" s="560">
        <v>1.76</v>
      </c>
      <c r="CF4241" s="560">
        <v>1.62</v>
      </c>
      <c r="CG4241" s="560"/>
      <c r="CH4241" s="560"/>
      <c r="CI4241" s="36" t="s">
        <v>4546</v>
      </c>
      <c r="CJ4241" s="36">
        <v>127</v>
      </c>
      <c r="CK4241" s="36">
        <v>146</v>
      </c>
      <c r="CN4241" s="36" t="s">
        <v>3503</v>
      </c>
      <c r="CO4241" s="36">
        <v>182</v>
      </c>
      <c r="CP4241" s="36">
        <v>126</v>
      </c>
      <c r="CS4241" s="36" t="s">
        <v>3755</v>
      </c>
      <c r="GP4241" s="36">
        <v>3.92</v>
      </c>
      <c r="GQ4241" s="36">
        <v>4.2</v>
      </c>
      <c r="GT4241" s="36" t="s">
        <v>3758</v>
      </c>
      <c r="GU4241" s="36">
        <v>6.24</v>
      </c>
      <c r="GV4241" s="36">
        <v>6.61</v>
      </c>
      <c r="GY4241" s="36" t="s">
        <v>3756</v>
      </c>
      <c r="GZ4241" s="36">
        <v>5.25</v>
      </c>
      <c r="HA4241" s="36">
        <v>5.4</v>
      </c>
      <c r="HD4241" s="36" t="s">
        <v>3757</v>
      </c>
      <c r="IN4241" s="36">
        <v>115</v>
      </c>
      <c r="IO4241" s="36">
        <v>162</v>
      </c>
      <c r="IS4241" s="36">
        <v>53.5</v>
      </c>
      <c r="IT4241" s="36">
        <v>51.2</v>
      </c>
      <c r="JB4241" s="36" t="s">
        <v>596</v>
      </c>
      <c r="JC4241" s="36" t="s">
        <v>3759</v>
      </c>
      <c r="JD4241" s="230"/>
    </row>
    <row r="4242" spans="1:264" s="36" customFormat="1" x14ac:dyDescent="0.25">
      <c r="A4242" s="36">
        <v>187</v>
      </c>
      <c r="B4242" s="51" t="s">
        <v>3748</v>
      </c>
      <c r="C4242" s="36" t="s">
        <v>3418</v>
      </c>
      <c r="D4242" s="36" t="s">
        <v>3740</v>
      </c>
      <c r="E4242" s="36">
        <v>2011</v>
      </c>
      <c r="F4242" s="36">
        <v>2008</v>
      </c>
      <c r="G4242" s="36" t="s">
        <v>2713</v>
      </c>
      <c r="H4242" s="36" t="s">
        <v>3741</v>
      </c>
      <c r="I4242" s="36" t="s">
        <v>3461</v>
      </c>
      <c r="J4242" s="36">
        <v>40.22</v>
      </c>
      <c r="K4242" s="36">
        <v>116.23</v>
      </c>
      <c r="L4242" s="36">
        <v>67</v>
      </c>
      <c r="R4242" s="51" t="s">
        <v>1858</v>
      </c>
      <c r="S4242" s="51" t="s">
        <v>1858</v>
      </c>
      <c r="T4242" s="51"/>
      <c r="U4242" s="51" t="s">
        <v>3739</v>
      </c>
      <c r="V4242" s="51" t="s">
        <v>1389</v>
      </c>
      <c r="W4242" s="51" t="s">
        <v>1720</v>
      </c>
      <c r="X4242" s="51" t="s">
        <v>1389</v>
      </c>
      <c r="Y4242" s="51" t="s">
        <v>1389</v>
      </c>
      <c r="Z4242" s="36">
        <v>1.29</v>
      </c>
      <c r="AA4242" s="331"/>
      <c r="AB4242" s="331"/>
      <c r="AC4242" s="36" t="s">
        <v>450</v>
      </c>
      <c r="AD4242" s="36">
        <v>6.36</v>
      </c>
      <c r="AE4242" s="36">
        <v>2.81</v>
      </c>
      <c r="AH4242" s="36" t="s">
        <v>3743</v>
      </c>
      <c r="AI4242" s="36" t="s">
        <v>1581</v>
      </c>
      <c r="AJ4242" s="36" t="s">
        <v>3553</v>
      </c>
      <c r="AK4242" s="36" t="s">
        <v>229</v>
      </c>
      <c r="AW4242" s="36" t="s">
        <v>160</v>
      </c>
      <c r="AX4242" s="36">
        <v>3</v>
      </c>
      <c r="AY4242" s="36">
        <v>6</v>
      </c>
      <c r="AZ4242" s="36" t="s">
        <v>141</v>
      </c>
      <c r="BD4242" s="36" t="s">
        <v>3760</v>
      </c>
      <c r="BE4242" s="36" t="s">
        <v>3753</v>
      </c>
      <c r="BK4242" s="36">
        <v>41800</v>
      </c>
      <c r="BL4242" s="36">
        <v>68800</v>
      </c>
      <c r="BP4242" s="407"/>
      <c r="BQ4242" s="407"/>
      <c r="BU4242" s="407">
        <v>1.76</v>
      </c>
      <c r="BV4242" s="407">
        <v>1.89</v>
      </c>
      <c r="BZ4242" s="407"/>
      <c r="CA4242" s="407"/>
      <c r="CE4242" s="560">
        <v>1.76</v>
      </c>
      <c r="CF4242" s="560">
        <v>1.89</v>
      </c>
      <c r="CG4242" s="560"/>
      <c r="CH4242" s="560"/>
      <c r="CI4242" s="36" t="s">
        <v>4546</v>
      </c>
      <c r="CJ4242" s="36">
        <v>127</v>
      </c>
      <c r="CK4242" s="36">
        <v>167</v>
      </c>
      <c r="CN4242" s="36" t="s">
        <v>3503</v>
      </c>
      <c r="CO4242" s="36">
        <v>182</v>
      </c>
      <c r="CP4242" s="36">
        <v>144</v>
      </c>
      <c r="CS4242" s="36" t="s">
        <v>3755</v>
      </c>
      <c r="GP4242" s="36">
        <v>3.92</v>
      </c>
      <c r="GQ4242" s="36">
        <v>4.2699999999999996</v>
      </c>
      <c r="GT4242" s="36" t="s">
        <v>3758</v>
      </c>
      <c r="GU4242" s="36">
        <v>6.24</v>
      </c>
      <c r="GV4242" s="36">
        <v>6.58</v>
      </c>
      <c r="GY4242" s="36" t="s">
        <v>3756</v>
      </c>
      <c r="GZ4242" s="36">
        <v>5.25</v>
      </c>
      <c r="HA4242" s="36">
        <v>5.62</v>
      </c>
      <c r="HD4242" s="36" t="s">
        <v>3757</v>
      </c>
      <c r="IN4242" s="36">
        <v>115</v>
      </c>
      <c r="IO4242" s="36">
        <v>317</v>
      </c>
      <c r="IS4242" s="36">
        <v>53.5</v>
      </c>
      <c r="IT4242" s="36">
        <v>57.7</v>
      </c>
      <c r="JB4242" s="36" t="s">
        <v>596</v>
      </c>
      <c r="JC4242" s="36" t="s">
        <v>3759</v>
      </c>
      <c r="JD4242" s="230"/>
    </row>
    <row r="4243" spans="1:264" s="36" customFormat="1" x14ac:dyDescent="0.25">
      <c r="A4243" s="36">
        <v>187</v>
      </c>
      <c r="B4243" s="51" t="s">
        <v>3749</v>
      </c>
      <c r="C4243" s="36" t="s">
        <v>3418</v>
      </c>
      <c r="D4243" s="36" t="s">
        <v>3740</v>
      </c>
      <c r="E4243" s="36">
        <v>2011</v>
      </c>
      <c r="F4243" s="36">
        <v>2008</v>
      </c>
      <c r="G4243" s="36" t="s">
        <v>2713</v>
      </c>
      <c r="H4243" s="36" t="s">
        <v>3741</v>
      </c>
      <c r="I4243" s="36" t="s">
        <v>3461</v>
      </c>
      <c r="J4243" s="36">
        <v>40.22</v>
      </c>
      <c r="K4243" s="36">
        <v>116.23</v>
      </c>
      <c r="L4243" s="36">
        <v>67</v>
      </c>
      <c r="R4243" s="51" t="s">
        <v>1858</v>
      </c>
      <c r="S4243" s="51" t="s">
        <v>1858</v>
      </c>
      <c r="T4243" s="51"/>
      <c r="U4243" s="51" t="s">
        <v>3739</v>
      </c>
      <c r="V4243" s="51" t="s">
        <v>1389</v>
      </c>
      <c r="W4243" s="51" t="s">
        <v>1720</v>
      </c>
      <c r="X4243" s="51" t="s">
        <v>1389</v>
      </c>
      <c r="Y4243" s="51" t="s">
        <v>1389</v>
      </c>
      <c r="Z4243" s="36">
        <v>1.29</v>
      </c>
      <c r="AA4243" s="331"/>
      <c r="AB4243" s="331"/>
      <c r="AC4243" s="36" t="s">
        <v>450</v>
      </c>
      <c r="AD4243" s="36">
        <v>6.36</v>
      </c>
      <c r="AE4243" s="36">
        <v>2.81</v>
      </c>
      <c r="AH4243" s="36" t="s">
        <v>3744</v>
      </c>
      <c r="AI4243" s="36" t="s">
        <v>577</v>
      </c>
      <c r="AJ4243" s="36" t="s">
        <v>3553</v>
      </c>
      <c r="AK4243" s="36" t="s">
        <v>229</v>
      </c>
      <c r="AW4243" s="36" t="s">
        <v>160</v>
      </c>
      <c r="AX4243" s="36">
        <v>3</v>
      </c>
      <c r="AY4243" s="36">
        <v>6</v>
      </c>
      <c r="AZ4243" s="36" t="s">
        <v>141</v>
      </c>
      <c r="BD4243" s="36" t="s">
        <v>3760</v>
      </c>
      <c r="BE4243" s="36" t="s">
        <v>3754</v>
      </c>
      <c r="BK4243" s="36">
        <v>41800</v>
      </c>
      <c r="BL4243" s="36">
        <v>6700</v>
      </c>
      <c r="BP4243" s="407"/>
      <c r="BQ4243" s="407"/>
      <c r="BU4243" s="407">
        <v>1.76</v>
      </c>
      <c r="BV4243" s="407">
        <v>1.99</v>
      </c>
      <c r="BZ4243" s="407"/>
      <c r="CA4243" s="407"/>
      <c r="CE4243" s="560">
        <v>1.76</v>
      </c>
      <c r="CF4243" s="560">
        <v>1.99</v>
      </c>
      <c r="CG4243" s="560"/>
      <c r="CH4243" s="560"/>
      <c r="CI4243" s="36" t="s">
        <v>4546</v>
      </c>
      <c r="CJ4243" s="36">
        <v>127</v>
      </c>
      <c r="CK4243" s="36">
        <v>146</v>
      </c>
      <c r="CN4243" s="36" t="s">
        <v>3503</v>
      </c>
      <c r="CO4243" s="36">
        <v>182</v>
      </c>
      <c r="CP4243" s="36">
        <v>137</v>
      </c>
      <c r="CS4243" s="36" t="s">
        <v>3755</v>
      </c>
      <c r="GP4243" s="36">
        <v>3.92</v>
      </c>
      <c r="GQ4243" s="36">
        <v>3.93</v>
      </c>
      <c r="GT4243" s="36" t="s">
        <v>3758</v>
      </c>
      <c r="GU4243" s="36">
        <v>6.24</v>
      </c>
      <c r="GV4243" s="36">
        <v>6.43</v>
      </c>
      <c r="GY4243" s="36" t="s">
        <v>3756</v>
      </c>
      <c r="GZ4243" s="36">
        <v>5.25</v>
      </c>
      <c r="HA4243" s="36">
        <v>5.68</v>
      </c>
      <c r="HD4243" s="36" t="s">
        <v>3757</v>
      </c>
      <c r="IN4243" s="36">
        <v>115</v>
      </c>
      <c r="IO4243" s="36">
        <v>269</v>
      </c>
      <c r="IS4243" s="36">
        <v>53.5</v>
      </c>
      <c r="IT4243" s="36">
        <v>51.6</v>
      </c>
      <c r="JB4243" s="36" t="s">
        <v>596</v>
      </c>
      <c r="JC4243" s="36" t="s">
        <v>3759</v>
      </c>
      <c r="JD4243" s="230"/>
    </row>
    <row r="4244" spans="1:264" s="36" customFormat="1" x14ac:dyDescent="0.25">
      <c r="A4244" s="36">
        <v>187</v>
      </c>
      <c r="B4244" s="51" t="s">
        <v>3750</v>
      </c>
      <c r="C4244" s="36" t="s">
        <v>3418</v>
      </c>
      <c r="D4244" s="36" t="s">
        <v>3740</v>
      </c>
      <c r="E4244" s="36">
        <v>2011</v>
      </c>
      <c r="F4244" s="36">
        <v>2008</v>
      </c>
      <c r="G4244" s="36" t="s">
        <v>2713</v>
      </c>
      <c r="H4244" s="36" t="s">
        <v>3741</v>
      </c>
      <c r="I4244" s="36" t="s">
        <v>3461</v>
      </c>
      <c r="J4244" s="36">
        <v>40.22</v>
      </c>
      <c r="K4244" s="36">
        <v>116.23</v>
      </c>
      <c r="L4244" s="36">
        <v>67</v>
      </c>
      <c r="R4244" s="51" t="s">
        <v>1858</v>
      </c>
      <c r="S4244" s="51" t="s">
        <v>1858</v>
      </c>
      <c r="T4244" s="51"/>
      <c r="U4244" s="51" t="s">
        <v>3739</v>
      </c>
      <c r="V4244" s="51" t="s">
        <v>1389</v>
      </c>
      <c r="W4244" s="51" t="s">
        <v>1720</v>
      </c>
      <c r="X4244" s="51" t="s">
        <v>1389</v>
      </c>
      <c r="Y4244" s="51" t="s">
        <v>1389</v>
      </c>
      <c r="Z4244" s="36">
        <v>1.29</v>
      </c>
      <c r="AA4244" s="331"/>
      <c r="AB4244" s="331"/>
      <c r="AC4244" s="36" t="s">
        <v>450</v>
      </c>
      <c r="AD4244" s="36">
        <v>6.36</v>
      </c>
      <c r="AE4244" s="36">
        <v>2.81</v>
      </c>
      <c r="AH4244" s="36" t="s">
        <v>3745</v>
      </c>
      <c r="AI4244" s="36" t="s">
        <v>577</v>
      </c>
      <c r="AJ4244" s="36" t="s">
        <v>3553</v>
      </c>
      <c r="AK4244" s="36" t="s">
        <v>229</v>
      </c>
      <c r="AW4244" s="36" t="s">
        <v>160</v>
      </c>
      <c r="AX4244" s="36">
        <v>3</v>
      </c>
      <c r="AY4244" s="36">
        <v>6</v>
      </c>
      <c r="AZ4244" s="36" t="s">
        <v>141</v>
      </c>
      <c r="BD4244" s="36" t="s">
        <v>3760</v>
      </c>
      <c r="BE4244" s="36" t="s">
        <v>3753</v>
      </c>
      <c r="BK4244" s="36">
        <v>41800</v>
      </c>
      <c r="BL4244" s="36">
        <v>16300</v>
      </c>
      <c r="BP4244" s="407"/>
      <c r="BQ4244" s="407"/>
      <c r="BU4244" s="407">
        <v>1.76</v>
      </c>
      <c r="BV4244" s="407">
        <v>1.91</v>
      </c>
      <c r="BZ4244" s="407"/>
      <c r="CA4244" s="407"/>
      <c r="CE4244" s="560">
        <v>1.76</v>
      </c>
      <c r="CF4244" s="560">
        <v>1.91</v>
      </c>
      <c r="CG4244" s="560"/>
      <c r="CH4244" s="560"/>
      <c r="CI4244" s="36" t="s">
        <v>4546</v>
      </c>
      <c r="CJ4244" s="36">
        <v>127</v>
      </c>
      <c r="CK4244" s="36">
        <v>136</v>
      </c>
      <c r="CN4244" s="36" t="s">
        <v>3503</v>
      </c>
      <c r="CO4244" s="36">
        <v>182</v>
      </c>
      <c r="CP4244" s="36">
        <v>143</v>
      </c>
      <c r="CS4244" s="36" t="s">
        <v>3755</v>
      </c>
      <c r="GP4244" s="36">
        <v>3.92</v>
      </c>
      <c r="GQ4244" s="36">
        <v>4.29</v>
      </c>
      <c r="GT4244" s="36" t="s">
        <v>3758</v>
      </c>
      <c r="GU4244" s="36">
        <v>6.24</v>
      </c>
      <c r="GV4244" s="36">
        <v>6.64</v>
      </c>
      <c r="GY4244" s="36" t="s">
        <v>3756</v>
      </c>
      <c r="GZ4244" s="36">
        <v>5.25</v>
      </c>
      <c r="HA4244" s="36">
        <v>5.34</v>
      </c>
      <c r="HD4244" s="36" t="s">
        <v>3757</v>
      </c>
      <c r="IN4244" s="36">
        <v>115</v>
      </c>
      <c r="IO4244" s="36">
        <v>131</v>
      </c>
      <c r="IS4244" s="36">
        <v>53.5</v>
      </c>
      <c r="IT4244" s="36">
        <v>59.9</v>
      </c>
      <c r="JB4244" s="36" t="s">
        <v>596</v>
      </c>
      <c r="JC4244" s="36" t="s">
        <v>3759</v>
      </c>
      <c r="JD4244" s="230"/>
    </row>
    <row r="4245" spans="1:264" s="36" customFormat="1" x14ac:dyDescent="0.25">
      <c r="A4245" s="36">
        <v>187</v>
      </c>
      <c r="B4245" s="51" t="s">
        <v>3751</v>
      </c>
      <c r="C4245" s="36" t="s">
        <v>3418</v>
      </c>
      <c r="D4245" s="36" t="s">
        <v>3740</v>
      </c>
      <c r="E4245" s="36">
        <v>2011</v>
      </c>
      <c r="F4245" s="36">
        <v>2008</v>
      </c>
      <c r="G4245" s="36" t="s">
        <v>2713</v>
      </c>
      <c r="H4245" s="36" t="s">
        <v>3741</v>
      </c>
      <c r="I4245" s="36" t="s">
        <v>3461</v>
      </c>
      <c r="J4245" s="36">
        <v>40.22</v>
      </c>
      <c r="K4245" s="36">
        <v>116.23</v>
      </c>
      <c r="L4245" s="36">
        <v>67</v>
      </c>
      <c r="R4245" s="51" t="s">
        <v>1858</v>
      </c>
      <c r="S4245" s="51" t="s">
        <v>1858</v>
      </c>
      <c r="T4245" s="51"/>
      <c r="U4245" s="51" t="s">
        <v>3739</v>
      </c>
      <c r="V4245" s="51" t="s">
        <v>1389</v>
      </c>
      <c r="W4245" s="51" t="s">
        <v>1720</v>
      </c>
      <c r="X4245" s="51" t="s">
        <v>1389</v>
      </c>
      <c r="Y4245" s="51" t="s">
        <v>1389</v>
      </c>
      <c r="Z4245" s="36">
        <v>1.29</v>
      </c>
      <c r="AA4245" s="331"/>
      <c r="AB4245" s="331"/>
      <c r="AC4245" s="36" t="s">
        <v>450</v>
      </c>
      <c r="AD4245" s="36">
        <v>6.36</v>
      </c>
      <c r="AE4245" s="36">
        <v>2.81</v>
      </c>
      <c r="AH4245" s="36" t="s">
        <v>3746</v>
      </c>
      <c r="AI4245" s="36" t="s">
        <v>3217</v>
      </c>
      <c r="AJ4245" s="36" t="s">
        <v>3553</v>
      </c>
      <c r="AK4245" s="36" t="s">
        <v>229</v>
      </c>
      <c r="AW4245" s="36" t="s">
        <v>160</v>
      </c>
      <c r="AX4245" s="36">
        <v>3</v>
      </c>
      <c r="AY4245" s="36">
        <v>6</v>
      </c>
      <c r="AZ4245" s="36" t="s">
        <v>141</v>
      </c>
      <c r="BD4245" s="36" t="s">
        <v>3760</v>
      </c>
      <c r="BE4245" s="36" t="s">
        <v>3752</v>
      </c>
      <c r="BK4245" s="36">
        <v>41800</v>
      </c>
      <c r="BL4245" s="36">
        <v>68600</v>
      </c>
      <c r="BP4245" s="407"/>
      <c r="BQ4245" s="407"/>
      <c r="BU4245" s="407">
        <v>1.76</v>
      </c>
      <c r="BV4245" s="407">
        <v>1.43</v>
      </c>
      <c r="BZ4245" s="407"/>
      <c r="CA4245" s="407"/>
      <c r="CE4245" s="560">
        <v>1.76</v>
      </c>
      <c r="CF4245" s="560">
        <v>1.43</v>
      </c>
      <c r="CG4245" s="560"/>
      <c r="CH4245" s="560"/>
      <c r="CI4245" s="36" t="s">
        <v>4546</v>
      </c>
      <c r="CJ4245" s="36">
        <v>127</v>
      </c>
      <c r="CK4245" s="36">
        <v>165</v>
      </c>
      <c r="CN4245" s="36" t="s">
        <v>3503</v>
      </c>
      <c r="CO4245" s="36">
        <v>182</v>
      </c>
      <c r="CP4245" s="36">
        <v>150</v>
      </c>
      <c r="CS4245" s="36" t="s">
        <v>3755</v>
      </c>
      <c r="GP4245" s="36">
        <v>3.92</v>
      </c>
      <c r="GQ4245" s="36">
        <v>4.13</v>
      </c>
      <c r="GT4245" s="36" t="s">
        <v>3758</v>
      </c>
      <c r="GU4245" s="36">
        <v>6.24</v>
      </c>
      <c r="GV4245" s="36">
        <v>6.75</v>
      </c>
      <c r="GY4245" s="36" t="s">
        <v>3756</v>
      </c>
      <c r="GZ4245" s="36">
        <v>5.25</v>
      </c>
      <c r="HA4245" s="36">
        <v>5.49</v>
      </c>
      <c r="HD4245" s="36" t="s">
        <v>3757</v>
      </c>
      <c r="IN4245" s="36">
        <v>115</v>
      </c>
      <c r="IO4245" s="36">
        <v>215</v>
      </c>
      <c r="IS4245" s="36">
        <v>53.5</v>
      </c>
      <c r="IT4245" s="36">
        <v>59.5</v>
      </c>
      <c r="JB4245" s="36" t="s">
        <v>596</v>
      </c>
      <c r="JC4245" s="36" t="s">
        <v>3759</v>
      </c>
      <c r="JD4245" s="230"/>
    </row>
    <row r="4246" spans="1:264" s="126" customFormat="1" x14ac:dyDescent="0.25">
      <c r="A4246" s="126">
        <v>187</v>
      </c>
      <c r="B4246" s="478" t="s">
        <v>3747</v>
      </c>
      <c r="C4246" s="126" t="s">
        <v>3418</v>
      </c>
      <c r="D4246" s="126" t="s">
        <v>3740</v>
      </c>
      <c r="E4246" s="126">
        <v>2011</v>
      </c>
      <c r="F4246" s="126">
        <v>2007</v>
      </c>
      <c r="G4246" s="126" t="s">
        <v>2713</v>
      </c>
      <c r="H4246" s="126" t="s">
        <v>3741</v>
      </c>
      <c r="I4246" s="126" t="s">
        <v>3461</v>
      </c>
      <c r="J4246" s="126">
        <v>40.22</v>
      </c>
      <c r="K4246" s="126">
        <v>116.23</v>
      </c>
      <c r="L4246" s="126">
        <v>67</v>
      </c>
      <c r="R4246" s="478" t="s">
        <v>1728</v>
      </c>
      <c r="S4246" s="478" t="s">
        <v>1858</v>
      </c>
      <c r="T4246" s="478"/>
      <c r="U4246" s="478" t="s">
        <v>3739</v>
      </c>
      <c r="V4246" s="478" t="s">
        <v>1389</v>
      </c>
      <c r="W4246" s="478" t="s">
        <v>1720</v>
      </c>
      <c r="X4246" s="478" t="s">
        <v>1389</v>
      </c>
      <c r="Y4246" s="478" t="s">
        <v>1389</v>
      </c>
      <c r="Z4246" s="126">
        <v>1.29</v>
      </c>
      <c r="AA4246" s="479"/>
      <c r="AB4246" s="479"/>
      <c r="AC4246" s="126" t="s">
        <v>450</v>
      </c>
      <c r="AD4246" s="126">
        <v>6.36</v>
      </c>
      <c r="AE4246" s="126">
        <v>2.81</v>
      </c>
      <c r="AH4246" s="126" t="s">
        <v>3742</v>
      </c>
      <c r="AI4246" s="126" t="s">
        <v>1581</v>
      </c>
      <c r="AJ4246" s="126" t="s">
        <v>3553</v>
      </c>
      <c r="AK4246" s="126" t="s">
        <v>229</v>
      </c>
      <c r="AW4246" s="126" t="s">
        <v>160</v>
      </c>
      <c r="AX4246" s="126">
        <v>3</v>
      </c>
      <c r="AY4246" s="126">
        <v>6</v>
      </c>
      <c r="AZ4246" s="126" t="s">
        <v>141</v>
      </c>
      <c r="BD4246" s="126" t="s">
        <v>3760</v>
      </c>
      <c r="BE4246" s="126" t="s">
        <v>3752</v>
      </c>
      <c r="BP4246" s="481"/>
      <c r="BQ4246" s="481"/>
      <c r="BU4246" s="481"/>
      <c r="BV4246" s="481"/>
      <c r="BZ4246" s="481"/>
      <c r="CA4246" s="481"/>
      <c r="CE4246" s="605"/>
      <c r="CF4246" s="605"/>
      <c r="CG4246" s="605"/>
      <c r="CH4246" s="605"/>
      <c r="CO4246" s="126">
        <v>152</v>
      </c>
      <c r="CP4246" s="126">
        <v>112</v>
      </c>
      <c r="CS4246" s="126" t="s">
        <v>3755</v>
      </c>
      <c r="GP4246" s="126">
        <v>3.69</v>
      </c>
      <c r="GQ4246" s="126">
        <v>3.99</v>
      </c>
      <c r="GT4246" s="126" t="s">
        <v>3758</v>
      </c>
      <c r="GU4246" s="126">
        <v>6.27</v>
      </c>
      <c r="GV4246" s="126">
        <v>6.46</v>
      </c>
      <c r="GY4246" s="126" t="s">
        <v>3756</v>
      </c>
      <c r="GZ4246" s="126">
        <v>5.56</v>
      </c>
      <c r="HA4246" s="126">
        <v>5.97</v>
      </c>
      <c r="HD4246" s="126" t="s">
        <v>3757</v>
      </c>
      <c r="IN4246" s="126">
        <v>47.3</v>
      </c>
      <c r="IO4246" s="126">
        <v>77</v>
      </c>
      <c r="IS4246" s="126">
        <v>45.8</v>
      </c>
      <c r="IT4246" s="126">
        <v>45.6</v>
      </c>
      <c r="JB4246" s="126" t="s">
        <v>601</v>
      </c>
      <c r="JC4246" s="126" t="s">
        <v>3759</v>
      </c>
      <c r="JD4246" s="480"/>
    </row>
    <row r="4247" spans="1:264" s="126" customFormat="1" x14ac:dyDescent="0.25">
      <c r="A4247" s="126">
        <v>187</v>
      </c>
      <c r="B4247" s="478" t="s">
        <v>3748</v>
      </c>
      <c r="C4247" s="126" t="s">
        <v>3418</v>
      </c>
      <c r="D4247" s="126" t="s">
        <v>3740</v>
      </c>
      <c r="E4247" s="126">
        <v>2011</v>
      </c>
      <c r="F4247" s="126">
        <v>2007</v>
      </c>
      <c r="G4247" s="126" t="s">
        <v>2713</v>
      </c>
      <c r="H4247" s="126" t="s">
        <v>3741</v>
      </c>
      <c r="I4247" s="126" t="s">
        <v>3461</v>
      </c>
      <c r="J4247" s="126">
        <v>40.22</v>
      </c>
      <c r="K4247" s="126">
        <v>116.23</v>
      </c>
      <c r="L4247" s="126">
        <v>67</v>
      </c>
      <c r="R4247" s="478" t="s">
        <v>1728</v>
      </c>
      <c r="S4247" s="478" t="s">
        <v>1858</v>
      </c>
      <c r="T4247" s="478"/>
      <c r="U4247" s="478" t="s">
        <v>3739</v>
      </c>
      <c r="V4247" s="478" t="s">
        <v>1389</v>
      </c>
      <c r="W4247" s="478" t="s">
        <v>1720</v>
      </c>
      <c r="X4247" s="478" t="s">
        <v>1389</v>
      </c>
      <c r="Y4247" s="478" t="s">
        <v>1389</v>
      </c>
      <c r="Z4247" s="126">
        <v>1.29</v>
      </c>
      <c r="AA4247" s="479"/>
      <c r="AB4247" s="479"/>
      <c r="AC4247" s="126" t="s">
        <v>450</v>
      </c>
      <c r="AD4247" s="126">
        <v>6.36</v>
      </c>
      <c r="AE4247" s="126">
        <v>2.81</v>
      </c>
      <c r="AH4247" s="126" t="s">
        <v>3743</v>
      </c>
      <c r="AI4247" s="126" t="s">
        <v>1581</v>
      </c>
      <c r="AJ4247" s="126" t="s">
        <v>3553</v>
      </c>
      <c r="AK4247" s="126" t="s">
        <v>229</v>
      </c>
      <c r="AW4247" s="126" t="s">
        <v>160</v>
      </c>
      <c r="AX4247" s="126">
        <v>3</v>
      </c>
      <c r="AY4247" s="126">
        <v>6</v>
      </c>
      <c r="AZ4247" s="126" t="s">
        <v>141</v>
      </c>
      <c r="BD4247" s="126" t="s">
        <v>3760</v>
      </c>
      <c r="BE4247" s="126" t="s">
        <v>3753</v>
      </c>
      <c r="BP4247" s="481"/>
      <c r="BQ4247" s="481"/>
      <c r="BU4247" s="481"/>
      <c r="BV4247" s="481"/>
      <c r="BZ4247" s="481"/>
      <c r="CA4247" s="481"/>
      <c r="CE4247" s="605"/>
      <c r="CF4247" s="605"/>
      <c r="CG4247" s="605"/>
      <c r="CH4247" s="605"/>
      <c r="CO4247" s="126">
        <v>152</v>
      </c>
      <c r="CP4247" s="126">
        <v>102</v>
      </c>
      <c r="CS4247" s="126" t="s">
        <v>3755</v>
      </c>
      <c r="GP4247" s="126">
        <v>3.69</v>
      </c>
      <c r="GQ4247" s="126">
        <v>4.12</v>
      </c>
      <c r="GT4247" s="126" t="s">
        <v>3758</v>
      </c>
      <c r="GU4247" s="126">
        <v>6.27</v>
      </c>
      <c r="GV4247" s="126">
        <v>6.59</v>
      </c>
      <c r="GY4247" s="126" t="s">
        <v>3756</v>
      </c>
      <c r="GZ4247" s="126">
        <v>5.56</v>
      </c>
      <c r="HA4247" s="126">
        <v>6.06</v>
      </c>
      <c r="HD4247" s="126" t="s">
        <v>3757</v>
      </c>
      <c r="IN4247" s="126">
        <v>47.3</v>
      </c>
      <c r="IO4247" s="126">
        <v>212</v>
      </c>
      <c r="IS4247" s="126">
        <v>45.8</v>
      </c>
      <c r="IT4247" s="126">
        <v>48.9</v>
      </c>
      <c r="JB4247" s="126" t="s">
        <v>601</v>
      </c>
      <c r="JC4247" s="126" t="s">
        <v>3759</v>
      </c>
      <c r="JD4247" s="480"/>
    </row>
    <row r="4248" spans="1:264" s="126" customFormat="1" x14ac:dyDescent="0.25">
      <c r="A4248" s="126">
        <v>187</v>
      </c>
      <c r="B4248" s="478" t="s">
        <v>3749</v>
      </c>
      <c r="C4248" s="126" t="s">
        <v>3418</v>
      </c>
      <c r="D4248" s="126" t="s">
        <v>3740</v>
      </c>
      <c r="E4248" s="126">
        <v>2011</v>
      </c>
      <c r="F4248" s="126">
        <v>2007</v>
      </c>
      <c r="G4248" s="126" t="s">
        <v>2713</v>
      </c>
      <c r="H4248" s="126" t="s">
        <v>3741</v>
      </c>
      <c r="I4248" s="126" t="s">
        <v>3461</v>
      </c>
      <c r="J4248" s="126">
        <v>40.22</v>
      </c>
      <c r="K4248" s="126">
        <v>116.23</v>
      </c>
      <c r="L4248" s="126">
        <v>67</v>
      </c>
      <c r="R4248" s="478" t="s">
        <v>1728</v>
      </c>
      <c r="S4248" s="478" t="s">
        <v>1858</v>
      </c>
      <c r="T4248" s="478"/>
      <c r="U4248" s="478" t="s">
        <v>3739</v>
      </c>
      <c r="V4248" s="478" t="s">
        <v>1389</v>
      </c>
      <c r="W4248" s="478" t="s">
        <v>1720</v>
      </c>
      <c r="X4248" s="478" t="s">
        <v>1389</v>
      </c>
      <c r="Y4248" s="478" t="s">
        <v>1389</v>
      </c>
      <c r="Z4248" s="126">
        <v>1.29</v>
      </c>
      <c r="AA4248" s="479"/>
      <c r="AB4248" s="479"/>
      <c r="AC4248" s="126" t="s">
        <v>450</v>
      </c>
      <c r="AD4248" s="126">
        <v>6.36</v>
      </c>
      <c r="AE4248" s="126">
        <v>2.81</v>
      </c>
      <c r="AH4248" s="126" t="s">
        <v>3744</v>
      </c>
      <c r="AI4248" s="126" t="s">
        <v>577</v>
      </c>
      <c r="AJ4248" s="126" t="s">
        <v>3553</v>
      </c>
      <c r="AK4248" s="126" t="s">
        <v>229</v>
      </c>
      <c r="AW4248" s="126" t="s">
        <v>160</v>
      </c>
      <c r="AX4248" s="126">
        <v>3</v>
      </c>
      <c r="AY4248" s="126">
        <v>6</v>
      </c>
      <c r="AZ4248" s="126" t="s">
        <v>141</v>
      </c>
      <c r="BD4248" s="126" t="s">
        <v>3760</v>
      </c>
      <c r="BE4248" s="126" t="s">
        <v>3754</v>
      </c>
      <c r="BP4248" s="481"/>
      <c r="BQ4248" s="481"/>
      <c r="BU4248" s="481"/>
      <c r="BV4248" s="481"/>
      <c r="BZ4248" s="481"/>
      <c r="CA4248" s="481"/>
      <c r="CE4248" s="605"/>
      <c r="CF4248" s="605"/>
      <c r="CG4248" s="605"/>
      <c r="CH4248" s="605"/>
      <c r="CO4248" s="126">
        <v>152</v>
      </c>
      <c r="CP4248" s="126">
        <v>146</v>
      </c>
      <c r="CS4248" s="126" t="s">
        <v>3755</v>
      </c>
      <c r="GP4248" s="126">
        <v>3.69</v>
      </c>
      <c r="GQ4248" s="126">
        <v>3.8</v>
      </c>
      <c r="GT4248" s="126" t="s">
        <v>3758</v>
      </c>
      <c r="GU4248" s="126">
        <v>6.27</v>
      </c>
      <c r="GV4248" s="126">
        <v>6.54</v>
      </c>
      <c r="GY4248" s="126" t="s">
        <v>3756</v>
      </c>
      <c r="GZ4248" s="126">
        <v>5.56</v>
      </c>
      <c r="HA4248" s="126">
        <v>5.93</v>
      </c>
      <c r="HD4248" s="126" t="s">
        <v>3757</v>
      </c>
      <c r="IN4248" s="126">
        <v>47.3</v>
      </c>
      <c r="IO4248" s="126">
        <v>118</v>
      </c>
      <c r="IS4248" s="126">
        <v>45.8</v>
      </c>
      <c r="IT4248" s="126">
        <v>47.4</v>
      </c>
      <c r="JB4248" s="126" t="s">
        <v>601</v>
      </c>
      <c r="JC4248" s="126" t="s">
        <v>3759</v>
      </c>
      <c r="JD4248" s="480"/>
    </row>
    <row r="4249" spans="1:264" s="126" customFormat="1" x14ac:dyDescent="0.25">
      <c r="A4249" s="126">
        <v>187</v>
      </c>
      <c r="B4249" s="478" t="s">
        <v>3750</v>
      </c>
      <c r="C4249" s="126" t="s">
        <v>3418</v>
      </c>
      <c r="D4249" s="126" t="s">
        <v>3740</v>
      </c>
      <c r="E4249" s="126">
        <v>2011</v>
      </c>
      <c r="F4249" s="126">
        <v>2007</v>
      </c>
      <c r="G4249" s="126" t="s">
        <v>2713</v>
      </c>
      <c r="H4249" s="126" t="s">
        <v>3741</v>
      </c>
      <c r="I4249" s="126" t="s">
        <v>3461</v>
      </c>
      <c r="J4249" s="126">
        <v>40.22</v>
      </c>
      <c r="K4249" s="126">
        <v>116.23</v>
      </c>
      <c r="L4249" s="126">
        <v>67</v>
      </c>
      <c r="R4249" s="478" t="s">
        <v>1728</v>
      </c>
      <c r="S4249" s="478" t="s">
        <v>1858</v>
      </c>
      <c r="T4249" s="478"/>
      <c r="U4249" s="478" t="s">
        <v>3739</v>
      </c>
      <c r="V4249" s="478" t="s">
        <v>1389</v>
      </c>
      <c r="W4249" s="478" t="s">
        <v>1720</v>
      </c>
      <c r="X4249" s="478" t="s">
        <v>1389</v>
      </c>
      <c r="Y4249" s="478" t="s">
        <v>1389</v>
      </c>
      <c r="Z4249" s="126">
        <v>1.29</v>
      </c>
      <c r="AA4249" s="479"/>
      <c r="AB4249" s="479"/>
      <c r="AC4249" s="126" t="s">
        <v>450</v>
      </c>
      <c r="AD4249" s="126">
        <v>6.36</v>
      </c>
      <c r="AE4249" s="126">
        <v>2.81</v>
      </c>
      <c r="AH4249" s="126" t="s">
        <v>3745</v>
      </c>
      <c r="AI4249" s="126" t="s">
        <v>577</v>
      </c>
      <c r="AJ4249" s="126" t="s">
        <v>3553</v>
      </c>
      <c r="AK4249" s="126" t="s">
        <v>229</v>
      </c>
      <c r="AW4249" s="126" t="s">
        <v>160</v>
      </c>
      <c r="AX4249" s="126">
        <v>3</v>
      </c>
      <c r="AY4249" s="126">
        <v>6</v>
      </c>
      <c r="AZ4249" s="126" t="s">
        <v>141</v>
      </c>
      <c r="BD4249" s="126" t="s">
        <v>3760</v>
      </c>
      <c r="BE4249" s="126" t="s">
        <v>3753</v>
      </c>
      <c r="BP4249" s="481"/>
      <c r="BQ4249" s="481"/>
      <c r="BU4249" s="481"/>
      <c r="BV4249" s="481"/>
      <c r="BZ4249" s="481"/>
      <c r="CA4249" s="481"/>
      <c r="CE4249" s="605"/>
      <c r="CF4249" s="605"/>
      <c r="CG4249" s="605"/>
      <c r="CH4249" s="605"/>
      <c r="CO4249" s="126">
        <v>152</v>
      </c>
      <c r="CP4249" s="126">
        <v>127</v>
      </c>
      <c r="CS4249" s="126" t="s">
        <v>3755</v>
      </c>
      <c r="GP4249" s="126">
        <v>3.69</v>
      </c>
      <c r="GQ4249" s="126">
        <v>3.66</v>
      </c>
      <c r="GT4249" s="126" t="s">
        <v>3758</v>
      </c>
      <c r="GU4249" s="126">
        <v>6.27</v>
      </c>
      <c r="GV4249" s="126">
        <v>6.74</v>
      </c>
      <c r="GY4249" s="126" t="s">
        <v>3756</v>
      </c>
      <c r="GZ4249" s="126">
        <v>5.56</v>
      </c>
      <c r="HA4249" s="126">
        <v>5.84</v>
      </c>
      <c r="HD4249" s="126" t="s">
        <v>3757</v>
      </c>
      <c r="IN4249" s="126">
        <v>47.3</v>
      </c>
      <c r="IO4249" s="126">
        <v>75</v>
      </c>
      <c r="IS4249" s="126">
        <v>45.8</v>
      </c>
      <c r="IT4249" s="126">
        <v>46.7</v>
      </c>
      <c r="JB4249" s="126" t="s">
        <v>601</v>
      </c>
      <c r="JC4249" s="126" t="s">
        <v>3759</v>
      </c>
      <c r="JD4249" s="480"/>
    </row>
    <row r="4250" spans="1:264" s="126" customFormat="1" x14ac:dyDescent="0.25">
      <c r="A4250" s="126">
        <v>187</v>
      </c>
      <c r="B4250" s="478" t="s">
        <v>3751</v>
      </c>
      <c r="C4250" s="126" t="s">
        <v>3418</v>
      </c>
      <c r="D4250" s="126" t="s">
        <v>3740</v>
      </c>
      <c r="E4250" s="126">
        <v>2011</v>
      </c>
      <c r="F4250" s="126">
        <v>2007</v>
      </c>
      <c r="G4250" s="126" t="s">
        <v>2713</v>
      </c>
      <c r="H4250" s="126" t="s">
        <v>3741</v>
      </c>
      <c r="I4250" s="126" t="s">
        <v>3461</v>
      </c>
      <c r="J4250" s="126">
        <v>40.22</v>
      </c>
      <c r="K4250" s="126">
        <v>116.23</v>
      </c>
      <c r="L4250" s="126">
        <v>67</v>
      </c>
      <c r="R4250" s="478" t="s">
        <v>1728</v>
      </c>
      <c r="S4250" s="478" t="s">
        <v>1858</v>
      </c>
      <c r="T4250" s="478"/>
      <c r="U4250" s="478" t="s">
        <v>3739</v>
      </c>
      <c r="V4250" s="478" t="s">
        <v>1389</v>
      </c>
      <c r="W4250" s="478" t="s">
        <v>1720</v>
      </c>
      <c r="X4250" s="478" t="s">
        <v>1389</v>
      </c>
      <c r="Y4250" s="478" t="s">
        <v>1389</v>
      </c>
      <c r="Z4250" s="126">
        <v>1.29</v>
      </c>
      <c r="AA4250" s="479"/>
      <c r="AB4250" s="479"/>
      <c r="AC4250" s="126" t="s">
        <v>450</v>
      </c>
      <c r="AD4250" s="126">
        <v>6.36</v>
      </c>
      <c r="AE4250" s="126">
        <v>2.81</v>
      </c>
      <c r="AH4250" s="126" t="s">
        <v>3746</v>
      </c>
      <c r="AI4250" s="126" t="s">
        <v>3217</v>
      </c>
      <c r="AJ4250" s="126" t="s">
        <v>3553</v>
      </c>
      <c r="AK4250" s="126" t="s">
        <v>229</v>
      </c>
      <c r="AW4250" s="126" t="s">
        <v>160</v>
      </c>
      <c r="AX4250" s="126">
        <v>3</v>
      </c>
      <c r="AY4250" s="126">
        <v>6</v>
      </c>
      <c r="AZ4250" s="126" t="s">
        <v>141</v>
      </c>
      <c r="BD4250" s="126" t="s">
        <v>3760</v>
      </c>
      <c r="BE4250" s="126" t="s">
        <v>3752</v>
      </c>
      <c r="BP4250" s="481"/>
      <c r="BQ4250" s="481"/>
      <c r="BU4250" s="481"/>
      <c r="BV4250" s="481"/>
      <c r="BZ4250" s="481"/>
      <c r="CA4250" s="481"/>
      <c r="CE4250" s="605"/>
      <c r="CF4250" s="605"/>
      <c r="CG4250" s="605"/>
      <c r="CH4250" s="605"/>
      <c r="CO4250" s="126">
        <v>152</v>
      </c>
      <c r="CP4250" s="126">
        <v>126</v>
      </c>
      <c r="CS4250" s="126" t="s">
        <v>3755</v>
      </c>
      <c r="GP4250" s="126">
        <v>3.69</v>
      </c>
      <c r="GQ4250" s="126">
        <v>4.0599999999999996</v>
      </c>
      <c r="GT4250" s="126" t="s">
        <v>3758</v>
      </c>
      <c r="GU4250" s="126">
        <v>6.27</v>
      </c>
      <c r="GV4250" s="126">
        <v>6.7</v>
      </c>
      <c r="GY4250" s="126" t="s">
        <v>3756</v>
      </c>
      <c r="GZ4250" s="126">
        <v>5.56</v>
      </c>
      <c r="HA4250" s="126">
        <v>5.73</v>
      </c>
      <c r="HD4250" s="126" t="s">
        <v>3757</v>
      </c>
      <c r="IN4250" s="126">
        <v>47.3</v>
      </c>
      <c r="IO4250" s="126">
        <v>124</v>
      </c>
      <c r="IS4250" s="126">
        <v>45.8</v>
      </c>
      <c r="IT4250" s="126">
        <v>50.1</v>
      </c>
      <c r="JB4250" s="126" t="s">
        <v>601</v>
      </c>
      <c r="JC4250" s="126" t="s">
        <v>3759</v>
      </c>
      <c r="JD4250" s="480"/>
    </row>
    <row r="4251" spans="1:264" s="36" customFormat="1" x14ac:dyDescent="0.25">
      <c r="A4251" s="36">
        <v>187</v>
      </c>
      <c r="B4251" s="51" t="s">
        <v>3747</v>
      </c>
      <c r="C4251" s="36" t="s">
        <v>3418</v>
      </c>
      <c r="D4251" s="36" t="s">
        <v>3740</v>
      </c>
      <c r="E4251" s="36">
        <v>2011</v>
      </c>
      <c r="F4251" s="36">
        <v>2008</v>
      </c>
      <c r="G4251" s="36" t="s">
        <v>2713</v>
      </c>
      <c r="H4251" s="36" t="s">
        <v>3741</v>
      </c>
      <c r="I4251" s="36" t="s">
        <v>3461</v>
      </c>
      <c r="J4251" s="36">
        <v>40.22</v>
      </c>
      <c r="K4251" s="36">
        <v>116.23</v>
      </c>
      <c r="L4251" s="36">
        <v>67</v>
      </c>
      <c r="R4251" s="51" t="s">
        <v>1858</v>
      </c>
      <c r="S4251" s="51" t="s">
        <v>1858</v>
      </c>
      <c r="T4251" s="51"/>
      <c r="U4251" s="51" t="s">
        <v>3739</v>
      </c>
      <c r="V4251" s="51" t="s">
        <v>1389</v>
      </c>
      <c r="W4251" s="51" t="s">
        <v>1720</v>
      </c>
      <c r="X4251" s="51" t="s">
        <v>1389</v>
      </c>
      <c r="Y4251" s="51" t="s">
        <v>1389</v>
      </c>
      <c r="Z4251" s="36">
        <v>1.29</v>
      </c>
      <c r="AA4251" s="331"/>
      <c r="AB4251" s="331"/>
      <c r="AC4251" s="36" t="s">
        <v>450</v>
      </c>
      <c r="AD4251" s="36">
        <v>6.36</v>
      </c>
      <c r="AE4251" s="36">
        <v>2.81</v>
      </c>
      <c r="AH4251" s="36" t="s">
        <v>3742</v>
      </c>
      <c r="AI4251" s="36" t="s">
        <v>1581</v>
      </c>
      <c r="AJ4251" s="36" t="s">
        <v>3553</v>
      </c>
      <c r="AK4251" s="36" t="s">
        <v>229</v>
      </c>
      <c r="AW4251" s="36" t="s">
        <v>160</v>
      </c>
      <c r="AX4251" s="36">
        <v>3</v>
      </c>
      <c r="AY4251" s="36">
        <v>6</v>
      </c>
      <c r="AZ4251" s="36" t="s">
        <v>141</v>
      </c>
      <c r="BD4251" s="36" t="s">
        <v>3760</v>
      </c>
      <c r="BE4251" s="36" t="s">
        <v>3752</v>
      </c>
      <c r="BP4251" s="407"/>
      <c r="BQ4251" s="407"/>
      <c r="BU4251" s="407"/>
      <c r="BV4251" s="407"/>
      <c r="BZ4251" s="407"/>
      <c r="CA4251" s="407"/>
      <c r="CE4251" s="560"/>
      <c r="CF4251" s="560"/>
      <c r="CG4251" s="560"/>
      <c r="CH4251" s="560"/>
      <c r="CO4251" s="36">
        <v>164</v>
      </c>
      <c r="CP4251" s="36">
        <v>117</v>
      </c>
      <c r="CS4251" s="36" t="s">
        <v>3755</v>
      </c>
      <c r="GP4251" s="36">
        <v>3.9</v>
      </c>
      <c r="GQ4251" s="36">
        <v>4.04</v>
      </c>
      <c r="GT4251" s="36" t="s">
        <v>3758</v>
      </c>
      <c r="GU4251" s="36">
        <v>6.16</v>
      </c>
      <c r="GV4251" s="36">
        <v>6.49</v>
      </c>
      <c r="GY4251" s="36" t="s">
        <v>3756</v>
      </c>
      <c r="GZ4251" s="36">
        <v>5.46</v>
      </c>
      <c r="HA4251" s="36">
        <v>5.59</v>
      </c>
      <c r="HD4251" s="36" t="s">
        <v>3757</v>
      </c>
      <c r="IN4251" s="36">
        <v>47.6</v>
      </c>
      <c r="IO4251" s="36">
        <v>101</v>
      </c>
      <c r="IS4251" s="36">
        <v>41.4</v>
      </c>
      <c r="IT4251" s="36">
        <v>53.7</v>
      </c>
      <c r="JB4251" s="36" t="s">
        <v>601</v>
      </c>
      <c r="JC4251" s="36" t="s">
        <v>3759</v>
      </c>
      <c r="JD4251" s="230"/>
    </row>
    <row r="4252" spans="1:264" s="36" customFormat="1" x14ac:dyDescent="0.25">
      <c r="A4252" s="36">
        <v>187</v>
      </c>
      <c r="B4252" s="51" t="s">
        <v>3748</v>
      </c>
      <c r="C4252" s="36" t="s">
        <v>3418</v>
      </c>
      <c r="D4252" s="36" t="s">
        <v>3740</v>
      </c>
      <c r="E4252" s="36">
        <v>2011</v>
      </c>
      <c r="F4252" s="36">
        <v>2008</v>
      </c>
      <c r="G4252" s="36" t="s">
        <v>2713</v>
      </c>
      <c r="H4252" s="36" t="s">
        <v>3741</v>
      </c>
      <c r="I4252" s="36" t="s">
        <v>3461</v>
      </c>
      <c r="J4252" s="36">
        <v>40.22</v>
      </c>
      <c r="K4252" s="36">
        <v>116.23</v>
      </c>
      <c r="L4252" s="36">
        <v>67</v>
      </c>
      <c r="R4252" s="51" t="s">
        <v>1858</v>
      </c>
      <c r="S4252" s="51" t="s">
        <v>1858</v>
      </c>
      <c r="T4252" s="51"/>
      <c r="U4252" s="51" t="s">
        <v>3739</v>
      </c>
      <c r="V4252" s="51" t="s">
        <v>1389</v>
      </c>
      <c r="W4252" s="51" t="s">
        <v>1720</v>
      </c>
      <c r="X4252" s="51" t="s">
        <v>1389</v>
      </c>
      <c r="Y4252" s="51" t="s">
        <v>1389</v>
      </c>
      <c r="Z4252" s="36">
        <v>1.29</v>
      </c>
      <c r="AA4252" s="331"/>
      <c r="AB4252" s="331"/>
      <c r="AC4252" s="36" t="s">
        <v>450</v>
      </c>
      <c r="AD4252" s="36">
        <v>6.36</v>
      </c>
      <c r="AE4252" s="36">
        <v>2.81</v>
      </c>
      <c r="AH4252" s="36" t="s">
        <v>3743</v>
      </c>
      <c r="AI4252" s="36" t="s">
        <v>1581</v>
      </c>
      <c r="AJ4252" s="36" t="s">
        <v>3553</v>
      </c>
      <c r="AK4252" s="36" t="s">
        <v>229</v>
      </c>
      <c r="AW4252" s="36" t="s">
        <v>160</v>
      </c>
      <c r="AX4252" s="36">
        <v>3</v>
      </c>
      <c r="AY4252" s="36">
        <v>6</v>
      </c>
      <c r="AZ4252" s="36" t="s">
        <v>141</v>
      </c>
      <c r="BD4252" s="36" t="s">
        <v>3760</v>
      </c>
      <c r="BE4252" s="36" t="s">
        <v>3753</v>
      </c>
      <c r="BP4252" s="407"/>
      <c r="BQ4252" s="407"/>
      <c r="BU4252" s="407"/>
      <c r="BV4252" s="407"/>
      <c r="BZ4252" s="407"/>
      <c r="CA4252" s="407"/>
      <c r="CE4252" s="560"/>
      <c r="CF4252" s="560"/>
      <c r="CG4252" s="560"/>
      <c r="CH4252" s="560"/>
      <c r="CO4252" s="36">
        <v>164</v>
      </c>
      <c r="CP4252" s="36">
        <v>126</v>
      </c>
      <c r="CS4252" s="36" t="s">
        <v>3755</v>
      </c>
      <c r="GP4252" s="36">
        <v>3.9</v>
      </c>
      <c r="GQ4252" s="36">
        <v>4.18</v>
      </c>
      <c r="GT4252" s="36" t="s">
        <v>3758</v>
      </c>
      <c r="GU4252" s="36">
        <v>6.16</v>
      </c>
      <c r="GV4252" s="36">
        <v>6.75</v>
      </c>
      <c r="GY4252" s="36" t="s">
        <v>3756</v>
      </c>
      <c r="GZ4252" s="36">
        <v>5.46</v>
      </c>
      <c r="HA4252" s="36">
        <v>5.91</v>
      </c>
      <c r="HD4252" s="36" t="s">
        <v>3757</v>
      </c>
      <c r="IN4252" s="36">
        <v>47.6</v>
      </c>
      <c r="IO4252" s="36">
        <v>147</v>
      </c>
      <c r="IS4252" s="36">
        <v>41.4</v>
      </c>
      <c r="IT4252" s="36">
        <v>56.8</v>
      </c>
      <c r="JB4252" s="36" t="s">
        <v>601</v>
      </c>
      <c r="JC4252" s="36" t="s">
        <v>3759</v>
      </c>
      <c r="JD4252" s="230"/>
    </row>
    <row r="4253" spans="1:264" s="36" customFormat="1" x14ac:dyDescent="0.25">
      <c r="A4253" s="36">
        <v>187</v>
      </c>
      <c r="B4253" s="51" t="s">
        <v>3749</v>
      </c>
      <c r="C4253" s="36" t="s">
        <v>3418</v>
      </c>
      <c r="D4253" s="36" t="s">
        <v>3740</v>
      </c>
      <c r="E4253" s="36">
        <v>2011</v>
      </c>
      <c r="F4253" s="36">
        <v>2008</v>
      </c>
      <c r="G4253" s="36" t="s">
        <v>2713</v>
      </c>
      <c r="H4253" s="36" t="s">
        <v>3741</v>
      </c>
      <c r="I4253" s="36" t="s">
        <v>3461</v>
      </c>
      <c r="J4253" s="36">
        <v>40.22</v>
      </c>
      <c r="K4253" s="36">
        <v>116.23</v>
      </c>
      <c r="L4253" s="36">
        <v>67</v>
      </c>
      <c r="R4253" s="51" t="s">
        <v>1858</v>
      </c>
      <c r="S4253" s="51" t="s">
        <v>1858</v>
      </c>
      <c r="T4253" s="51"/>
      <c r="U4253" s="51" t="s">
        <v>3739</v>
      </c>
      <c r="V4253" s="51" t="s">
        <v>1389</v>
      </c>
      <c r="W4253" s="51" t="s">
        <v>1720</v>
      </c>
      <c r="X4253" s="51" t="s">
        <v>1389</v>
      </c>
      <c r="Y4253" s="51" t="s">
        <v>1389</v>
      </c>
      <c r="Z4253" s="36">
        <v>1.29</v>
      </c>
      <c r="AA4253" s="331"/>
      <c r="AB4253" s="331"/>
      <c r="AC4253" s="36" t="s">
        <v>450</v>
      </c>
      <c r="AD4253" s="36">
        <v>6.36</v>
      </c>
      <c r="AE4253" s="36">
        <v>2.81</v>
      </c>
      <c r="AH4253" s="36" t="s">
        <v>3744</v>
      </c>
      <c r="AI4253" s="36" t="s">
        <v>577</v>
      </c>
      <c r="AJ4253" s="36" t="s">
        <v>3553</v>
      </c>
      <c r="AK4253" s="36" t="s">
        <v>229</v>
      </c>
      <c r="AW4253" s="36" t="s">
        <v>160</v>
      </c>
      <c r="AX4253" s="36">
        <v>3</v>
      </c>
      <c r="AY4253" s="36">
        <v>6</v>
      </c>
      <c r="AZ4253" s="36" t="s">
        <v>141</v>
      </c>
      <c r="BD4253" s="36" t="s">
        <v>3760</v>
      </c>
      <c r="BE4253" s="36" t="s">
        <v>3754</v>
      </c>
      <c r="BP4253" s="407"/>
      <c r="BQ4253" s="407"/>
      <c r="BU4253" s="407"/>
      <c r="BV4253" s="407"/>
      <c r="BZ4253" s="407"/>
      <c r="CA4253" s="407"/>
      <c r="CE4253" s="560"/>
      <c r="CF4253" s="560"/>
      <c r="CG4253" s="560"/>
      <c r="CH4253" s="560"/>
      <c r="CO4253" s="36">
        <v>164</v>
      </c>
      <c r="CP4253" s="36">
        <v>138</v>
      </c>
      <c r="CS4253" s="36" t="s">
        <v>3755</v>
      </c>
      <c r="GP4253" s="36">
        <v>3.9</v>
      </c>
      <c r="GQ4253" s="36">
        <v>3.84</v>
      </c>
      <c r="GT4253" s="36" t="s">
        <v>3758</v>
      </c>
      <c r="GU4253" s="36">
        <v>6.16</v>
      </c>
      <c r="GV4253" s="36">
        <v>6.41</v>
      </c>
      <c r="GY4253" s="36" t="s">
        <v>3756</v>
      </c>
      <c r="GZ4253" s="36">
        <v>5.46</v>
      </c>
      <c r="HA4253" s="36">
        <v>5.81</v>
      </c>
      <c r="HD4253" s="36" t="s">
        <v>3757</v>
      </c>
      <c r="IN4253" s="36">
        <v>47.6</v>
      </c>
      <c r="IO4253" s="36">
        <v>150</v>
      </c>
      <c r="IS4253" s="36">
        <v>41.4</v>
      </c>
      <c r="IT4253" s="36">
        <v>43.5</v>
      </c>
      <c r="JB4253" s="36" t="s">
        <v>601</v>
      </c>
      <c r="JC4253" s="36" t="s">
        <v>3759</v>
      </c>
      <c r="JD4253" s="230"/>
    </row>
    <row r="4254" spans="1:264" s="36" customFormat="1" x14ac:dyDescent="0.25">
      <c r="A4254" s="36">
        <v>187</v>
      </c>
      <c r="B4254" s="51" t="s">
        <v>3750</v>
      </c>
      <c r="C4254" s="36" t="s">
        <v>3418</v>
      </c>
      <c r="D4254" s="36" t="s">
        <v>3740</v>
      </c>
      <c r="E4254" s="36">
        <v>2011</v>
      </c>
      <c r="F4254" s="36">
        <v>2008</v>
      </c>
      <c r="G4254" s="36" t="s">
        <v>2713</v>
      </c>
      <c r="H4254" s="36" t="s">
        <v>3741</v>
      </c>
      <c r="I4254" s="36" t="s">
        <v>3461</v>
      </c>
      <c r="J4254" s="36">
        <v>40.22</v>
      </c>
      <c r="K4254" s="36">
        <v>116.23</v>
      </c>
      <c r="L4254" s="36">
        <v>67</v>
      </c>
      <c r="R4254" s="51" t="s">
        <v>1858</v>
      </c>
      <c r="S4254" s="51" t="s">
        <v>1858</v>
      </c>
      <c r="T4254" s="51"/>
      <c r="U4254" s="51" t="s">
        <v>3739</v>
      </c>
      <c r="V4254" s="51" t="s">
        <v>1389</v>
      </c>
      <c r="W4254" s="51" t="s">
        <v>1720</v>
      </c>
      <c r="X4254" s="51" t="s">
        <v>1389</v>
      </c>
      <c r="Y4254" s="51" t="s">
        <v>1389</v>
      </c>
      <c r="Z4254" s="36">
        <v>1.29</v>
      </c>
      <c r="AA4254" s="331"/>
      <c r="AB4254" s="331"/>
      <c r="AC4254" s="36" t="s">
        <v>450</v>
      </c>
      <c r="AD4254" s="36">
        <v>6.36</v>
      </c>
      <c r="AE4254" s="36">
        <v>2.81</v>
      </c>
      <c r="AH4254" s="36" t="s">
        <v>3745</v>
      </c>
      <c r="AI4254" s="36" t="s">
        <v>577</v>
      </c>
      <c r="AJ4254" s="36" t="s">
        <v>3553</v>
      </c>
      <c r="AK4254" s="36" t="s">
        <v>229</v>
      </c>
      <c r="AW4254" s="36" t="s">
        <v>160</v>
      </c>
      <c r="AX4254" s="36">
        <v>3</v>
      </c>
      <c r="AY4254" s="36">
        <v>6</v>
      </c>
      <c r="AZ4254" s="36" t="s">
        <v>141</v>
      </c>
      <c r="BD4254" s="36" t="s">
        <v>3760</v>
      </c>
      <c r="BE4254" s="36" t="s">
        <v>3753</v>
      </c>
      <c r="BP4254" s="407"/>
      <c r="BQ4254" s="407"/>
      <c r="BU4254" s="407"/>
      <c r="BV4254" s="407"/>
      <c r="BZ4254" s="407"/>
      <c r="CA4254" s="407"/>
      <c r="CE4254" s="560"/>
      <c r="CF4254" s="560"/>
      <c r="CG4254" s="560"/>
      <c r="CH4254" s="560"/>
      <c r="CO4254" s="36">
        <v>164</v>
      </c>
      <c r="CP4254" s="36">
        <v>138</v>
      </c>
      <c r="CS4254" s="36" t="s">
        <v>3755</v>
      </c>
      <c r="GP4254" s="36">
        <v>3.9</v>
      </c>
      <c r="GQ4254" s="36">
        <v>4.01</v>
      </c>
      <c r="GT4254" s="36" t="s">
        <v>3758</v>
      </c>
      <c r="GU4254" s="36">
        <v>6.16</v>
      </c>
      <c r="GV4254" s="36">
        <v>6.29</v>
      </c>
      <c r="GY4254" s="36" t="s">
        <v>3756</v>
      </c>
      <c r="GZ4254" s="36">
        <v>5.46</v>
      </c>
      <c r="HA4254" s="36">
        <v>5.66</v>
      </c>
      <c r="HD4254" s="36" t="s">
        <v>3757</v>
      </c>
      <c r="IN4254" s="36">
        <v>47.6</v>
      </c>
      <c r="IO4254" s="36">
        <v>135</v>
      </c>
      <c r="IS4254" s="36">
        <v>41.4</v>
      </c>
      <c r="IT4254" s="36">
        <v>52</v>
      </c>
      <c r="JB4254" s="36" t="s">
        <v>601</v>
      </c>
      <c r="JC4254" s="36" t="s">
        <v>3759</v>
      </c>
      <c r="JD4254" s="230"/>
    </row>
    <row r="4255" spans="1:264" s="36" customFormat="1" x14ac:dyDescent="0.25">
      <c r="A4255" s="36">
        <v>187</v>
      </c>
      <c r="B4255" s="51" t="s">
        <v>3751</v>
      </c>
      <c r="C4255" s="36" t="s">
        <v>3418</v>
      </c>
      <c r="D4255" s="36" t="s">
        <v>3740</v>
      </c>
      <c r="E4255" s="36">
        <v>2011</v>
      </c>
      <c r="F4255" s="36">
        <v>2008</v>
      </c>
      <c r="G4255" s="36" t="s">
        <v>2713</v>
      </c>
      <c r="H4255" s="36" t="s">
        <v>3741</v>
      </c>
      <c r="I4255" s="36" t="s">
        <v>3461</v>
      </c>
      <c r="J4255" s="36">
        <v>40.22</v>
      </c>
      <c r="K4255" s="36">
        <v>116.23</v>
      </c>
      <c r="L4255" s="36">
        <v>67</v>
      </c>
      <c r="R4255" s="51" t="s">
        <v>1858</v>
      </c>
      <c r="S4255" s="51" t="s">
        <v>1858</v>
      </c>
      <c r="T4255" s="51"/>
      <c r="U4255" s="51" t="s">
        <v>3739</v>
      </c>
      <c r="V4255" s="51" t="s">
        <v>1389</v>
      </c>
      <c r="W4255" s="51" t="s">
        <v>1720</v>
      </c>
      <c r="X4255" s="51" t="s">
        <v>1389</v>
      </c>
      <c r="Y4255" s="51" t="s">
        <v>1389</v>
      </c>
      <c r="Z4255" s="36">
        <v>1.29</v>
      </c>
      <c r="AA4255" s="331"/>
      <c r="AB4255" s="331"/>
      <c r="AC4255" s="36" t="s">
        <v>450</v>
      </c>
      <c r="AD4255" s="36">
        <v>6.36</v>
      </c>
      <c r="AE4255" s="36">
        <v>2.81</v>
      </c>
      <c r="AH4255" s="36" t="s">
        <v>3746</v>
      </c>
      <c r="AI4255" s="36" t="s">
        <v>3217</v>
      </c>
      <c r="AJ4255" s="36" t="s">
        <v>3553</v>
      </c>
      <c r="AK4255" s="36" t="s">
        <v>229</v>
      </c>
      <c r="AW4255" s="36" t="s">
        <v>160</v>
      </c>
      <c r="AX4255" s="36">
        <v>3</v>
      </c>
      <c r="AY4255" s="36">
        <v>6</v>
      </c>
      <c r="AZ4255" s="36" t="s">
        <v>141</v>
      </c>
      <c r="BD4255" s="36" t="s">
        <v>3760</v>
      </c>
      <c r="BE4255" s="36" t="s">
        <v>3752</v>
      </c>
      <c r="BP4255" s="407"/>
      <c r="BQ4255" s="407"/>
      <c r="BU4255" s="407"/>
      <c r="BV4255" s="407"/>
      <c r="BZ4255" s="407"/>
      <c r="CA4255" s="407"/>
      <c r="CE4255" s="560"/>
      <c r="CF4255" s="560"/>
      <c r="CG4255" s="560"/>
      <c r="CH4255" s="560"/>
      <c r="CO4255" s="36">
        <v>164</v>
      </c>
      <c r="CP4255" s="36">
        <v>129</v>
      </c>
      <c r="CS4255" s="36" t="s">
        <v>3755</v>
      </c>
      <c r="GP4255" s="36">
        <v>3.9</v>
      </c>
      <c r="GQ4255" s="36">
        <v>3.73</v>
      </c>
      <c r="GT4255" s="36" t="s">
        <v>3758</v>
      </c>
      <c r="GU4255" s="36">
        <v>6.16</v>
      </c>
      <c r="GV4255" s="36">
        <v>6.9</v>
      </c>
      <c r="GY4255" s="36" t="s">
        <v>3756</v>
      </c>
      <c r="GZ4255" s="36">
        <v>5.46</v>
      </c>
      <c r="HA4255" s="36">
        <v>5.83</v>
      </c>
      <c r="HD4255" s="36" t="s">
        <v>3757</v>
      </c>
      <c r="IN4255" s="36">
        <v>47.6</v>
      </c>
      <c r="IO4255" s="36">
        <v>149</v>
      </c>
      <c r="IS4255" s="36">
        <v>41.4</v>
      </c>
      <c r="IT4255" s="36">
        <v>56.1</v>
      </c>
      <c r="JB4255" s="36" t="s">
        <v>601</v>
      </c>
      <c r="JC4255" s="36" t="s">
        <v>3759</v>
      </c>
      <c r="JD4255" s="230"/>
    </row>
    <row r="4256" spans="1:264" s="126" customFormat="1" x14ac:dyDescent="0.25">
      <c r="A4256" s="126">
        <v>187</v>
      </c>
      <c r="B4256" s="478" t="s">
        <v>3747</v>
      </c>
      <c r="C4256" s="126" t="s">
        <v>3418</v>
      </c>
      <c r="D4256" s="126" t="s">
        <v>3740</v>
      </c>
      <c r="E4256" s="126">
        <v>2011</v>
      </c>
      <c r="F4256" s="126">
        <v>2007</v>
      </c>
      <c r="G4256" s="126" t="s">
        <v>2713</v>
      </c>
      <c r="H4256" s="126" t="s">
        <v>3741</v>
      </c>
      <c r="I4256" s="126" t="s">
        <v>3461</v>
      </c>
      <c r="J4256" s="126">
        <v>40.22</v>
      </c>
      <c r="K4256" s="126">
        <v>116.23</v>
      </c>
      <c r="L4256" s="126">
        <v>67</v>
      </c>
      <c r="R4256" s="478" t="s">
        <v>1728</v>
      </c>
      <c r="S4256" s="478" t="s">
        <v>1858</v>
      </c>
      <c r="T4256" s="478"/>
      <c r="U4256" s="478" t="s">
        <v>3739</v>
      </c>
      <c r="V4256" s="478" t="s">
        <v>1389</v>
      </c>
      <c r="W4256" s="478" t="s">
        <v>1720</v>
      </c>
      <c r="X4256" s="478" t="s">
        <v>1389</v>
      </c>
      <c r="Y4256" s="478" t="s">
        <v>1389</v>
      </c>
      <c r="Z4256" s="126">
        <v>1.29</v>
      </c>
      <c r="AA4256" s="479"/>
      <c r="AB4256" s="479"/>
      <c r="AC4256" s="126" t="s">
        <v>450</v>
      </c>
      <c r="AD4256" s="126">
        <v>6.36</v>
      </c>
      <c r="AE4256" s="126">
        <v>2.81</v>
      </c>
      <c r="AH4256" s="126" t="s">
        <v>3742</v>
      </c>
      <c r="AI4256" s="126" t="s">
        <v>1581</v>
      </c>
      <c r="AJ4256" s="126" t="s">
        <v>3553</v>
      </c>
      <c r="AK4256" s="126" t="s">
        <v>229</v>
      </c>
      <c r="AW4256" s="126" t="s">
        <v>160</v>
      </c>
      <c r="AX4256" s="126">
        <v>3</v>
      </c>
      <c r="AY4256" s="126">
        <v>6</v>
      </c>
      <c r="AZ4256" s="126" t="s">
        <v>141</v>
      </c>
      <c r="BD4256" s="126" t="s">
        <v>3760</v>
      </c>
      <c r="BE4256" s="126" t="s">
        <v>3752</v>
      </c>
      <c r="BP4256" s="481"/>
      <c r="BQ4256" s="481"/>
      <c r="BU4256" s="481">
        <v>1.65</v>
      </c>
      <c r="BV4256" s="481">
        <v>1.45</v>
      </c>
      <c r="BZ4256" s="481"/>
      <c r="CA4256" s="481"/>
      <c r="CE4256" s="605">
        <v>1.65</v>
      </c>
      <c r="CF4256" s="605">
        <v>1.45</v>
      </c>
      <c r="CG4256" s="605"/>
      <c r="CH4256" s="605"/>
      <c r="CI4256" s="126" t="s">
        <v>4546</v>
      </c>
      <c r="CJ4256" s="126">
        <v>155</v>
      </c>
      <c r="CK4256" s="126">
        <v>148</v>
      </c>
      <c r="CN4256" s="126" t="s">
        <v>3503</v>
      </c>
      <c r="CO4256" s="126">
        <v>172</v>
      </c>
      <c r="CP4256" s="126">
        <v>149</v>
      </c>
      <c r="CS4256" s="126" t="s">
        <v>3755</v>
      </c>
      <c r="GP4256" s="126">
        <v>3.83</v>
      </c>
      <c r="GQ4256" s="126">
        <v>4.0199999999999996</v>
      </c>
      <c r="GT4256" s="126" t="s">
        <v>3758</v>
      </c>
      <c r="GU4256" s="126">
        <v>6.42</v>
      </c>
      <c r="GV4256" s="126">
        <v>6.74</v>
      </c>
      <c r="GY4256" s="126" t="s">
        <v>3756</v>
      </c>
      <c r="GZ4256" s="126">
        <v>5.69</v>
      </c>
      <c r="HA4256" s="126">
        <v>5.78</v>
      </c>
      <c r="HD4256" s="126" t="s">
        <v>3757</v>
      </c>
      <c r="IN4256" s="126">
        <v>83.7</v>
      </c>
      <c r="IO4256" s="126">
        <v>135</v>
      </c>
      <c r="IS4256" s="126">
        <v>49.5</v>
      </c>
      <c r="IT4256" s="126">
        <v>63.6</v>
      </c>
      <c r="JB4256" s="126" t="s">
        <v>519</v>
      </c>
      <c r="JC4256" s="126" t="s">
        <v>3759</v>
      </c>
      <c r="JD4256" s="480"/>
    </row>
    <row r="4257" spans="1:264" s="126" customFormat="1" x14ac:dyDescent="0.25">
      <c r="A4257" s="126">
        <v>187</v>
      </c>
      <c r="B4257" s="478" t="s">
        <v>3748</v>
      </c>
      <c r="C4257" s="126" t="s">
        <v>3418</v>
      </c>
      <c r="D4257" s="126" t="s">
        <v>3740</v>
      </c>
      <c r="E4257" s="126">
        <v>2011</v>
      </c>
      <c r="F4257" s="126">
        <v>2007</v>
      </c>
      <c r="G4257" s="126" t="s">
        <v>2713</v>
      </c>
      <c r="H4257" s="126" t="s">
        <v>3741</v>
      </c>
      <c r="I4257" s="126" t="s">
        <v>3461</v>
      </c>
      <c r="J4257" s="126">
        <v>40.22</v>
      </c>
      <c r="K4257" s="126">
        <v>116.23</v>
      </c>
      <c r="L4257" s="126">
        <v>67</v>
      </c>
      <c r="R4257" s="478" t="s">
        <v>1728</v>
      </c>
      <c r="S4257" s="478" t="s">
        <v>1858</v>
      </c>
      <c r="T4257" s="478"/>
      <c r="U4257" s="478" t="s">
        <v>3739</v>
      </c>
      <c r="V4257" s="478" t="s">
        <v>1389</v>
      </c>
      <c r="W4257" s="478" t="s">
        <v>1720</v>
      </c>
      <c r="X4257" s="478" t="s">
        <v>1389</v>
      </c>
      <c r="Y4257" s="478" t="s">
        <v>1389</v>
      </c>
      <c r="Z4257" s="126">
        <v>1.29</v>
      </c>
      <c r="AA4257" s="479"/>
      <c r="AB4257" s="479"/>
      <c r="AC4257" s="126" t="s">
        <v>450</v>
      </c>
      <c r="AD4257" s="126">
        <v>6.36</v>
      </c>
      <c r="AE4257" s="126">
        <v>2.81</v>
      </c>
      <c r="AH4257" s="126" t="s">
        <v>3743</v>
      </c>
      <c r="AI4257" s="126" t="s">
        <v>1581</v>
      </c>
      <c r="AJ4257" s="126" t="s">
        <v>3553</v>
      </c>
      <c r="AK4257" s="126" t="s">
        <v>229</v>
      </c>
      <c r="AW4257" s="126" t="s">
        <v>160</v>
      </c>
      <c r="AX4257" s="126">
        <v>3</v>
      </c>
      <c r="AY4257" s="126">
        <v>6</v>
      </c>
      <c r="AZ4257" s="126" t="s">
        <v>141</v>
      </c>
      <c r="BD4257" s="126" t="s">
        <v>3760</v>
      </c>
      <c r="BE4257" s="126" t="s">
        <v>3753</v>
      </c>
      <c r="BP4257" s="481"/>
      <c r="BQ4257" s="481"/>
      <c r="BU4257" s="481">
        <v>1.65</v>
      </c>
      <c r="BV4257" s="481">
        <v>1.48</v>
      </c>
      <c r="BZ4257" s="481"/>
      <c r="CA4257" s="481"/>
      <c r="CE4257" s="605">
        <v>1.65</v>
      </c>
      <c r="CF4257" s="605">
        <v>1.48</v>
      </c>
      <c r="CG4257" s="605"/>
      <c r="CH4257" s="605"/>
      <c r="CI4257" s="126" t="s">
        <v>4546</v>
      </c>
      <c r="CJ4257" s="126">
        <v>155</v>
      </c>
      <c r="CK4257" s="126">
        <v>190</v>
      </c>
      <c r="CN4257" s="126" t="s">
        <v>3503</v>
      </c>
      <c r="CO4257" s="126">
        <v>172</v>
      </c>
      <c r="CP4257" s="126">
        <v>126</v>
      </c>
      <c r="CS4257" s="126" t="s">
        <v>3755</v>
      </c>
      <c r="GP4257" s="126">
        <v>3.83</v>
      </c>
      <c r="GQ4257" s="126">
        <v>4.16</v>
      </c>
      <c r="GT4257" s="126" t="s">
        <v>3758</v>
      </c>
      <c r="GU4257" s="126">
        <v>6.42</v>
      </c>
      <c r="GV4257" s="126">
        <v>6.98</v>
      </c>
      <c r="GY4257" s="126" t="s">
        <v>3756</v>
      </c>
      <c r="GZ4257" s="126">
        <v>5.69</v>
      </c>
      <c r="HA4257" s="126">
        <v>6.1</v>
      </c>
      <c r="HD4257" s="126" t="s">
        <v>3757</v>
      </c>
      <c r="IN4257" s="126">
        <v>83.7</v>
      </c>
      <c r="IO4257" s="126">
        <v>215</v>
      </c>
      <c r="IS4257" s="126">
        <v>49.5</v>
      </c>
      <c r="IT4257" s="126">
        <v>68.400000000000006</v>
      </c>
      <c r="JB4257" s="126" t="s">
        <v>519</v>
      </c>
      <c r="JC4257" s="126" t="s">
        <v>3759</v>
      </c>
      <c r="JD4257" s="480"/>
    </row>
    <row r="4258" spans="1:264" s="126" customFormat="1" x14ac:dyDescent="0.25">
      <c r="A4258" s="126">
        <v>187</v>
      </c>
      <c r="B4258" s="478" t="s">
        <v>3749</v>
      </c>
      <c r="C4258" s="126" t="s">
        <v>3418</v>
      </c>
      <c r="D4258" s="126" t="s">
        <v>3740</v>
      </c>
      <c r="E4258" s="126">
        <v>2011</v>
      </c>
      <c r="F4258" s="126">
        <v>2007</v>
      </c>
      <c r="G4258" s="126" t="s">
        <v>2713</v>
      </c>
      <c r="H4258" s="126" t="s">
        <v>3741</v>
      </c>
      <c r="I4258" s="126" t="s">
        <v>3461</v>
      </c>
      <c r="J4258" s="126">
        <v>40.22</v>
      </c>
      <c r="K4258" s="126">
        <v>116.23</v>
      </c>
      <c r="L4258" s="126">
        <v>67</v>
      </c>
      <c r="R4258" s="478" t="s">
        <v>1728</v>
      </c>
      <c r="S4258" s="478" t="s">
        <v>1858</v>
      </c>
      <c r="T4258" s="478"/>
      <c r="U4258" s="478" t="s">
        <v>3739</v>
      </c>
      <c r="V4258" s="478" t="s">
        <v>1389</v>
      </c>
      <c r="W4258" s="478" t="s">
        <v>1720</v>
      </c>
      <c r="X4258" s="478" t="s">
        <v>1389</v>
      </c>
      <c r="Y4258" s="478" t="s">
        <v>1389</v>
      </c>
      <c r="Z4258" s="126">
        <v>1.29</v>
      </c>
      <c r="AA4258" s="479"/>
      <c r="AB4258" s="479"/>
      <c r="AC4258" s="126" t="s">
        <v>450</v>
      </c>
      <c r="AD4258" s="126">
        <v>6.36</v>
      </c>
      <c r="AE4258" s="126">
        <v>2.81</v>
      </c>
      <c r="AH4258" s="126" t="s">
        <v>3744</v>
      </c>
      <c r="AI4258" s="126" t="s">
        <v>577</v>
      </c>
      <c r="AJ4258" s="126" t="s">
        <v>3553</v>
      </c>
      <c r="AK4258" s="126" t="s">
        <v>229</v>
      </c>
      <c r="AW4258" s="126" t="s">
        <v>160</v>
      </c>
      <c r="AX4258" s="126">
        <v>3</v>
      </c>
      <c r="AY4258" s="126">
        <v>6</v>
      </c>
      <c r="AZ4258" s="126" t="s">
        <v>141</v>
      </c>
      <c r="BD4258" s="126" t="s">
        <v>3760</v>
      </c>
      <c r="BE4258" s="126" t="s">
        <v>3754</v>
      </c>
      <c r="BP4258" s="481"/>
      <c r="BQ4258" s="481"/>
      <c r="BU4258" s="481">
        <v>1.65</v>
      </c>
      <c r="BV4258" s="481">
        <v>1.67</v>
      </c>
      <c r="BZ4258" s="481"/>
      <c r="CA4258" s="481"/>
      <c r="CE4258" s="605">
        <v>1.65</v>
      </c>
      <c r="CF4258" s="605">
        <v>1.67</v>
      </c>
      <c r="CG4258" s="605"/>
      <c r="CH4258" s="605"/>
      <c r="CI4258" s="126" t="s">
        <v>4546</v>
      </c>
      <c r="CJ4258" s="126">
        <v>155</v>
      </c>
      <c r="CK4258" s="126">
        <v>172</v>
      </c>
      <c r="CN4258" s="126" t="s">
        <v>3503</v>
      </c>
      <c r="CO4258" s="126">
        <v>172</v>
      </c>
      <c r="CP4258" s="126">
        <v>147</v>
      </c>
      <c r="CS4258" s="126" t="s">
        <v>3755</v>
      </c>
      <c r="GP4258" s="126">
        <v>3.83</v>
      </c>
      <c r="GQ4258" s="126">
        <v>3.85</v>
      </c>
      <c r="GT4258" s="126" t="s">
        <v>3758</v>
      </c>
      <c r="GU4258" s="126">
        <v>6.42</v>
      </c>
      <c r="GV4258" s="126">
        <v>6.76</v>
      </c>
      <c r="GY4258" s="126" t="s">
        <v>3756</v>
      </c>
      <c r="GZ4258" s="126">
        <v>5.69</v>
      </c>
      <c r="HA4258" s="126">
        <v>5.8</v>
      </c>
      <c r="HD4258" s="126" t="s">
        <v>3757</v>
      </c>
      <c r="IN4258" s="126">
        <v>83.7</v>
      </c>
      <c r="IO4258" s="126">
        <v>90.3</v>
      </c>
      <c r="IS4258" s="126">
        <v>49.5</v>
      </c>
      <c r="IT4258" s="126">
        <v>59.3</v>
      </c>
      <c r="JB4258" s="126" t="s">
        <v>519</v>
      </c>
      <c r="JC4258" s="126" t="s">
        <v>3759</v>
      </c>
      <c r="JD4258" s="480"/>
    </row>
    <row r="4259" spans="1:264" s="126" customFormat="1" x14ac:dyDescent="0.25">
      <c r="A4259" s="126">
        <v>187</v>
      </c>
      <c r="B4259" s="478" t="s">
        <v>3750</v>
      </c>
      <c r="C4259" s="126" t="s">
        <v>3418</v>
      </c>
      <c r="D4259" s="126" t="s">
        <v>3740</v>
      </c>
      <c r="E4259" s="126">
        <v>2011</v>
      </c>
      <c r="F4259" s="126">
        <v>2007</v>
      </c>
      <c r="G4259" s="126" t="s">
        <v>2713</v>
      </c>
      <c r="H4259" s="126" t="s">
        <v>3741</v>
      </c>
      <c r="I4259" s="126" t="s">
        <v>3461</v>
      </c>
      <c r="J4259" s="126">
        <v>40.22</v>
      </c>
      <c r="K4259" s="126">
        <v>116.23</v>
      </c>
      <c r="L4259" s="126">
        <v>67</v>
      </c>
      <c r="R4259" s="478" t="s">
        <v>1728</v>
      </c>
      <c r="S4259" s="478" t="s">
        <v>1858</v>
      </c>
      <c r="T4259" s="478"/>
      <c r="U4259" s="478" t="s">
        <v>3739</v>
      </c>
      <c r="V4259" s="478" t="s">
        <v>1389</v>
      </c>
      <c r="W4259" s="478" t="s">
        <v>1720</v>
      </c>
      <c r="X4259" s="478" t="s">
        <v>1389</v>
      </c>
      <c r="Y4259" s="478" t="s">
        <v>1389</v>
      </c>
      <c r="Z4259" s="126">
        <v>1.29</v>
      </c>
      <c r="AA4259" s="479"/>
      <c r="AB4259" s="479"/>
      <c r="AC4259" s="126" t="s">
        <v>450</v>
      </c>
      <c r="AD4259" s="126">
        <v>6.36</v>
      </c>
      <c r="AE4259" s="126">
        <v>2.81</v>
      </c>
      <c r="AH4259" s="126" t="s">
        <v>3745</v>
      </c>
      <c r="AI4259" s="126" t="s">
        <v>577</v>
      </c>
      <c r="AJ4259" s="126" t="s">
        <v>3553</v>
      </c>
      <c r="AK4259" s="126" t="s">
        <v>229</v>
      </c>
      <c r="AW4259" s="126" t="s">
        <v>160</v>
      </c>
      <c r="AX4259" s="126">
        <v>3</v>
      </c>
      <c r="AY4259" s="126">
        <v>6</v>
      </c>
      <c r="AZ4259" s="126" t="s">
        <v>141</v>
      </c>
      <c r="BD4259" s="126" t="s">
        <v>3760</v>
      </c>
      <c r="BE4259" s="126" t="s">
        <v>3753</v>
      </c>
      <c r="BP4259" s="481"/>
      <c r="BQ4259" s="481"/>
      <c r="BU4259" s="481">
        <v>1.65</v>
      </c>
      <c r="BV4259" s="481">
        <v>1.81</v>
      </c>
      <c r="BZ4259" s="481"/>
      <c r="CA4259" s="481"/>
      <c r="CE4259" s="605">
        <v>1.65</v>
      </c>
      <c r="CF4259" s="605">
        <v>1.81</v>
      </c>
      <c r="CG4259" s="605"/>
      <c r="CH4259" s="605"/>
      <c r="CI4259" s="126" t="s">
        <v>4546</v>
      </c>
      <c r="CJ4259" s="126">
        <v>155</v>
      </c>
      <c r="CK4259" s="126">
        <v>190</v>
      </c>
      <c r="CN4259" s="126" t="s">
        <v>3503</v>
      </c>
      <c r="CO4259" s="126">
        <v>172</v>
      </c>
      <c r="CP4259" s="126">
        <v>151</v>
      </c>
      <c r="CS4259" s="126" t="s">
        <v>3755</v>
      </c>
      <c r="GP4259" s="126">
        <v>3.83</v>
      </c>
      <c r="GQ4259" s="126">
        <v>3.98</v>
      </c>
      <c r="GT4259" s="126" t="s">
        <v>3758</v>
      </c>
      <c r="GU4259" s="126">
        <v>6.42</v>
      </c>
      <c r="GV4259" s="126">
        <v>6.82</v>
      </c>
      <c r="GY4259" s="126" t="s">
        <v>3756</v>
      </c>
      <c r="GZ4259" s="126">
        <v>5.69</v>
      </c>
      <c r="HA4259" s="126">
        <v>5.96</v>
      </c>
      <c r="HD4259" s="126" t="s">
        <v>3757</v>
      </c>
      <c r="IN4259" s="126">
        <v>83.7</v>
      </c>
      <c r="IO4259" s="126">
        <v>154</v>
      </c>
      <c r="IS4259" s="126">
        <v>49.5</v>
      </c>
      <c r="IT4259" s="126">
        <v>62.6</v>
      </c>
      <c r="JB4259" s="126" t="s">
        <v>519</v>
      </c>
      <c r="JC4259" s="126" t="s">
        <v>3759</v>
      </c>
      <c r="JD4259" s="480"/>
    </row>
    <row r="4260" spans="1:264" s="126" customFormat="1" x14ac:dyDescent="0.25">
      <c r="A4260" s="126">
        <v>187</v>
      </c>
      <c r="B4260" s="478" t="s">
        <v>3751</v>
      </c>
      <c r="C4260" s="126" t="s">
        <v>3418</v>
      </c>
      <c r="D4260" s="126" t="s">
        <v>3740</v>
      </c>
      <c r="E4260" s="126">
        <v>2011</v>
      </c>
      <c r="F4260" s="126">
        <v>2007</v>
      </c>
      <c r="G4260" s="126" t="s">
        <v>2713</v>
      </c>
      <c r="H4260" s="126" t="s">
        <v>3741</v>
      </c>
      <c r="I4260" s="126" t="s">
        <v>3461</v>
      </c>
      <c r="J4260" s="126">
        <v>40.22</v>
      </c>
      <c r="K4260" s="126">
        <v>116.23</v>
      </c>
      <c r="L4260" s="126">
        <v>67</v>
      </c>
      <c r="R4260" s="478" t="s">
        <v>1728</v>
      </c>
      <c r="S4260" s="478" t="s">
        <v>1858</v>
      </c>
      <c r="T4260" s="478"/>
      <c r="U4260" s="478" t="s">
        <v>3739</v>
      </c>
      <c r="V4260" s="478" t="s">
        <v>1389</v>
      </c>
      <c r="W4260" s="478" t="s">
        <v>1720</v>
      </c>
      <c r="X4260" s="478" t="s">
        <v>1389</v>
      </c>
      <c r="Y4260" s="478" t="s">
        <v>1389</v>
      </c>
      <c r="Z4260" s="126">
        <v>1.29</v>
      </c>
      <c r="AA4260" s="479"/>
      <c r="AB4260" s="479"/>
      <c r="AC4260" s="126" t="s">
        <v>450</v>
      </c>
      <c r="AD4260" s="126">
        <v>6.36</v>
      </c>
      <c r="AE4260" s="126">
        <v>2.81</v>
      </c>
      <c r="AH4260" s="126" t="s">
        <v>3746</v>
      </c>
      <c r="AI4260" s="126" t="s">
        <v>3217</v>
      </c>
      <c r="AJ4260" s="126" t="s">
        <v>3553</v>
      </c>
      <c r="AK4260" s="126" t="s">
        <v>229</v>
      </c>
      <c r="AW4260" s="126" t="s">
        <v>160</v>
      </c>
      <c r="AX4260" s="126">
        <v>3</v>
      </c>
      <c r="AY4260" s="126">
        <v>6</v>
      </c>
      <c r="AZ4260" s="126" t="s">
        <v>141</v>
      </c>
      <c r="BD4260" s="126" t="s">
        <v>3760</v>
      </c>
      <c r="BE4260" s="126" t="s">
        <v>3752</v>
      </c>
      <c r="BP4260" s="481"/>
      <c r="BQ4260" s="481"/>
      <c r="BU4260" s="481">
        <v>1.65</v>
      </c>
      <c r="BV4260" s="481">
        <v>1.46</v>
      </c>
      <c r="BZ4260" s="481"/>
      <c r="CA4260" s="481"/>
      <c r="CE4260" s="605">
        <v>1.65</v>
      </c>
      <c r="CF4260" s="605">
        <v>1.46</v>
      </c>
      <c r="CG4260" s="605"/>
      <c r="CH4260" s="605"/>
      <c r="CI4260" s="126" t="s">
        <v>4546</v>
      </c>
      <c r="CJ4260" s="126">
        <v>155</v>
      </c>
      <c r="CK4260" s="126">
        <v>126</v>
      </c>
      <c r="CN4260" s="126" t="s">
        <v>3503</v>
      </c>
      <c r="CO4260" s="126">
        <v>172</v>
      </c>
      <c r="CP4260" s="126">
        <v>138</v>
      </c>
      <c r="CS4260" s="126" t="s">
        <v>3755</v>
      </c>
      <c r="GP4260" s="126">
        <v>3.83</v>
      </c>
      <c r="GQ4260" s="126">
        <v>3.86</v>
      </c>
      <c r="GT4260" s="126" t="s">
        <v>3758</v>
      </c>
      <c r="GU4260" s="126">
        <v>6.42</v>
      </c>
      <c r="GV4260" s="126">
        <v>7</v>
      </c>
      <c r="GY4260" s="126" t="s">
        <v>3756</v>
      </c>
      <c r="GZ4260" s="126">
        <v>5.69</v>
      </c>
      <c r="HA4260" s="126">
        <v>6.36</v>
      </c>
      <c r="HD4260" s="126" t="s">
        <v>3757</v>
      </c>
      <c r="IN4260" s="126">
        <v>83.7</v>
      </c>
      <c r="IO4260" s="126">
        <v>251</v>
      </c>
      <c r="IS4260" s="126">
        <v>49.5</v>
      </c>
      <c r="IT4260" s="126">
        <v>63.1</v>
      </c>
      <c r="JB4260" s="126" t="s">
        <v>519</v>
      </c>
      <c r="JC4260" s="126" t="s">
        <v>3759</v>
      </c>
      <c r="JD4260" s="480"/>
    </row>
    <row r="4261" spans="1:264" s="36" customFormat="1" x14ac:dyDescent="0.25">
      <c r="A4261" s="36">
        <v>187</v>
      </c>
      <c r="B4261" s="51" t="s">
        <v>3747</v>
      </c>
      <c r="C4261" s="36" t="s">
        <v>3418</v>
      </c>
      <c r="D4261" s="36" t="s">
        <v>3740</v>
      </c>
      <c r="E4261" s="36">
        <v>2011</v>
      </c>
      <c r="F4261" s="36">
        <v>2008</v>
      </c>
      <c r="G4261" s="36" t="s">
        <v>2713</v>
      </c>
      <c r="H4261" s="36" t="s">
        <v>3741</v>
      </c>
      <c r="I4261" s="36" t="s">
        <v>3461</v>
      </c>
      <c r="J4261" s="36">
        <v>40.22</v>
      </c>
      <c r="K4261" s="36">
        <v>116.23</v>
      </c>
      <c r="L4261" s="36">
        <v>67</v>
      </c>
      <c r="R4261" s="51" t="s">
        <v>1858</v>
      </c>
      <c r="S4261" s="51" t="s">
        <v>1858</v>
      </c>
      <c r="T4261" s="51"/>
      <c r="U4261" s="51" t="s">
        <v>3739</v>
      </c>
      <c r="V4261" s="51" t="s">
        <v>1389</v>
      </c>
      <c r="W4261" s="51" t="s">
        <v>1720</v>
      </c>
      <c r="X4261" s="51" t="s">
        <v>1389</v>
      </c>
      <c r="Y4261" s="51" t="s">
        <v>1389</v>
      </c>
      <c r="Z4261" s="36">
        <v>1.29</v>
      </c>
      <c r="AA4261" s="331"/>
      <c r="AB4261" s="331"/>
      <c r="AC4261" s="36" t="s">
        <v>450</v>
      </c>
      <c r="AD4261" s="36">
        <v>6.36</v>
      </c>
      <c r="AE4261" s="36">
        <v>2.81</v>
      </c>
      <c r="AH4261" s="36" t="s">
        <v>3742</v>
      </c>
      <c r="AI4261" s="36" t="s">
        <v>1581</v>
      </c>
      <c r="AJ4261" s="36" t="s">
        <v>3553</v>
      </c>
      <c r="AK4261" s="36" t="s">
        <v>229</v>
      </c>
      <c r="AW4261" s="36" t="s">
        <v>160</v>
      </c>
      <c r="AX4261" s="36">
        <v>3</v>
      </c>
      <c r="AY4261" s="36">
        <v>6</v>
      </c>
      <c r="AZ4261" s="36" t="s">
        <v>141</v>
      </c>
      <c r="BD4261" s="36" t="s">
        <v>3760</v>
      </c>
      <c r="BE4261" s="36" t="s">
        <v>3752</v>
      </c>
      <c r="BP4261" s="407"/>
      <c r="BQ4261" s="407"/>
      <c r="BU4261" s="407">
        <v>1.61</v>
      </c>
      <c r="BV4261" s="407">
        <v>1.5</v>
      </c>
      <c r="BZ4261" s="407"/>
      <c r="CA4261" s="407"/>
      <c r="CE4261" s="560">
        <v>1.61</v>
      </c>
      <c r="CF4261" s="560">
        <v>1.5</v>
      </c>
      <c r="CG4261" s="560"/>
      <c r="CH4261" s="560"/>
      <c r="CI4261" s="36" t="s">
        <v>4546</v>
      </c>
      <c r="CJ4261" s="36">
        <v>173</v>
      </c>
      <c r="CK4261" s="36">
        <v>181</v>
      </c>
      <c r="CN4261" s="36" t="s">
        <v>3503</v>
      </c>
      <c r="CO4261" s="36">
        <v>186</v>
      </c>
      <c r="CP4261" s="36">
        <v>140</v>
      </c>
      <c r="CS4261" s="36" t="s">
        <v>3755</v>
      </c>
      <c r="GP4261" s="36">
        <v>3.53</v>
      </c>
      <c r="GQ4261" s="36">
        <v>3.83</v>
      </c>
      <c r="GT4261" s="36" t="s">
        <v>3758</v>
      </c>
      <c r="GU4261" s="36">
        <v>6.55</v>
      </c>
      <c r="GV4261" s="36">
        <v>6.88</v>
      </c>
      <c r="GY4261" s="36" t="s">
        <v>3756</v>
      </c>
      <c r="GZ4261" s="36">
        <v>5.38</v>
      </c>
      <c r="HA4261" s="36">
        <v>5.68</v>
      </c>
      <c r="HD4261" s="36" t="s">
        <v>3757</v>
      </c>
      <c r="IN4261" s="36">
        <v>65.3</v>
      </c>
      <c r="IO4261" s="36">
        <v>272</v>
      </c>
      <c r="IS4261" s="36">
        <v>60.7</v>
      </c>
      <c r="IT4261" s="36">
        <v>75.7</v>
      </c>
      <c r="JB4261" s="36" t="s">
        <v>519</v>
      </c>
      <c r="JC4261" s="36" t="s">
        <v>3759</v>
      </c>
      <c r="JD4261" s="230"/>
    </row>
    <row r="4262" spans="1:264" s="36" customFormat="1" x14ac:dyDescent="0.25">
      <c r="A4262" s="36">
        <v>187</v>
      </c>
      <c r="B4262" s="51" t="s">
        <v>3748</v>
      </c>
      <c r="C4262" s="36" t="s">
        <v>3418</v>
      </c>
      <c r="D4262" s="36" t="s">
        <v>3740</v>
      </c>
      <c r="E4262" s="36">
        <v>2011</v>
      </c>
      <c r="F4262" s="36">
        <v>2008</v>
      </c>
      <c r="G4262" s="36" t="s">
        <v>2713</v>
      </c>
      <c r="H4262" s="36" t="s">
        <v>3741</v>
      </c>
      <c r="I4262" s="36" t="s">
        <v>3461</v>
      </c>
      <c r="J4262" s="36">
        <v>40.22</v>
      </c>
      <c r="K4262" s="36">
        <v>116.23</v>
      </c>
      <c r="L4262" s="36">
        <v>67</v>
      </c>
      <c r="R4262" s="51" t="s">
        <v>1858</v>
      </c>
      <c r="S4262" s="51" t="s">
        <v>1858</v>
      </c>
      <c r="T4262" s="51"/>
      <c r="U4262" s="51" t="s">
        <v>3739</v>
      </c>
      <c r="V4262" s="51" t="s">
        <v>1389</v>
      </c>
      <c r="W4262" s="51" t="s">
        <v>1720</v>
      </c>
      <c r="X4262" s="51" t="s">
        <v>1389</v>
      </c>
      <c r="Y4262" s="51" t="s">
        <v>1389</v>
      </c>
      <c r="Z4262" s="36">
        <v>1.29</v>
      </c>
      <c r="AA4262" s="331"/>
      <c r="AB4262" s="331"/>
      <c r="AC4262" s="36" t="s">
        <v>450</v>
      </c>
      <c r="AD4262" s="36">
        <v>6.36</v>
      </c>
      <c r="AE4262" s="36">
        <v>2.81</v>
      </c>
      <c r="AH4262" s="36" t="s">
        <v>3743</v>
      </c>
      <c r="AI4262" s="36" t="s">
        <v>1581</v>
      </c>
      <c r="AJ4262" s="36" t="s">
        <v>3553</v>
      </c>
      <c r="AK4262" s="36" t="s">
        <v>229</v>
      </c>
      <c r="AW4262" s="36" t="s">
        <v>160</v>
      </c>
      <c r="AX4262" s="36">
        <v>3</v>
      </c>
      <c r="AY4262" s="36">
        <v>6</v>
      </c>
      <c r="AZ4262" s="36" t="s">
        <v>141</v>
      </c>
      <c r="BD4262" s="36" t="s">
        <v>3760</v>
      </c>
      <c r="BE4262" s="36" t="s">
        <v>3753</v>
      </c>
      <c r="BP4262" s="407"/>
      <c r="BQ4262" s="407"/>
      <c r="BU4262" s="407">
        <v>1.61</v>
      </c>
      <c r="BV4262" s="407">
        <v>1.79</v>
      </c>
      <c r="BZ4262" s="407"/>
      <c r="CA4262" s="407"/>
      <c r="CE4262" s="560">
        <v>1.61</v>
      </c>
      <c r="CF4262" s="560">
        <v>1.79</v>
      </c>
      <c r="CG4262" s="560"/>
      <c r="CH4262" s="560"/>
      <c r="CI4262" s="36" t="s">
        <v>4546</v>
      </c>
      <c r="CJ4262" s="36">
        <v>173</v>
      </c>
      <c r="CK4262" s="36">
        <v>221</v>
      </c>
      <c r="CN4262" s="36" t="s">
        <v>3503</v>
      </c>
      <c r="CO4262" s="36">
        <v>186</v>
      </c>
      <c r="CP4262" s="36">
        <v>122</v>
      </c>
      <c r="CS4262" s="36" t="s">
        <v>3755</v>
      </c>
      <c r="GP4262" s="36">
        <v>3.53</v>
      </c>
      <c r="GQ4262" s="36">
        <v>4.34</v>
      </c>
      <c r="GT4262" s="36" t="s">
        <v>3758</v>
      </c>
      <c r="GU4262" s="36">
        <v>6.55</v>
      </c>
      <c r="GV4262" s="36">
        <v>7.26</v>
      </c>
      <c r="GY4262" s="36" t="s">
        <v>3756</v>
      </c>
      <c r="GZ4262" s="36">
        <v>5.38</v>
      </c>
      <c r="HA4262" s="36">
        <v>5.55</v>
      </c>
      <c r="HD4262" s="36" t="s">
        <v>3757</v>
      </c>
      <c r="IN4262" s="36">
        <v>65.3</v>
      </c>
      <c r="IO4262" s="36">
        <v>330</v>
      </c>
      <c r="IS4262" s="36">
        <v>60.7</v>
      </c>
      <c r="IT4262" s="36">
        <v>84.9</v>
      </c>
      <c r="JB4262" s="36" t="s">
        <v>519</v>
      </c>
      <c r="JC4262" s="36" t="s">
        <v>3759</v>
      </c>
      <c r="JD4262" s="230"/>
    </row>
    <row r="4263" spans="1:264" s="36" customFormat="1" x14ac:dyDescent="0.25">
      <c r="A4263" s="36">
        <v>187</v>
      </c>
      <c r="B4263" s="51" t="s">
        <v>3749</v>
      </c>
      <c r="C4263" s="36" t="s">
        <v>3418</v>
      </c>
      <c r="D4263" s="36" t="s">
        <v>3740</v>
      </c>
      <c r="E4263" s="36">
        <v>2011</v>
      </c>
      <c r="F4263" s="36">
        <v>2008</v>
      </c>
      <c r="G4263" s="36" t="s">
        <v>2713</v>
      </c>
      <c r="H4263" s="36" t="s">
        <v>3741</v>
      </c>
      <c r="I4263" s="36" t="s">
        <v>3461</v>
      </c>
      <c r="J4263" s="36">
        <v>40.22</v>
      </c>
      <c r="K4263" s="36">
        <v>116.23</v>
      </c>
      <c r="L4263" s="36">
        <v>67</v>
      </c>
      <c r="R4263" s="51" t="s">
        <v>1858</v>
      </c>
      <c r="S4263" s="51" t="s">
        <v>1858</v>
      </c>
      <c r="T4263" s="51"/>
      <c r="U4263" s="51" t="s">
        <v>3739</v>
      </c>
      <c r="V4263" s="51" t="s">
        <v>1389</v>
      </c>
      <c r="W4263" s="51" t="s">
        <v>1720</v>
      </c>
      <c r="X4263" s="51" t="s">
        <v>1389</v>
      </c>
      <c r="Y4263" s="51" t="s">
        <v>1389</v>
      </c>
      <c r="Z4263" s="36">
        <v>1.29</v>
      </c>
      <c r="AA4263" s="331"/>
      <c r="AB4263" s="331"/>
      <c r="AC4263" s="36" t="s">
        <v>450</v>
      </c>
      <c r="AD4263" s="36">
        <v>6.36</v>
      </c>
      <c r="AE4263" s="36">
        <v>2.81</v>
      </c>
      <c r="AH4263" s="36" t="s">
        <v>3744</v>
      </c>
      <c r="AI4263" s="36" t="s">
        <v>577</v>
      </c>
      <c r="AJ4263" s="36" t="s">
        <v>3553</v>
      </c>
      <c r="AK4263" s="36" t="s">
        <v>229</v>
      </c>
      <c r="AW4263" s="36" t="s">
        <v>160</v>
      </c>
      <c r="AX4263" s="36">
        <v>3</v>
      </c>
      <c r="AY4263" s="36">
        <v>6</v>
      </c>
      <c r="AZ4263" s="36" t="s">
        <v>141</v>
      </c>
      <c r="BD4263" s="36" t="s">
        <v>3760</v>
      </c>
      <c r="BE4263" s="36" t="s">
        <v>3754</v>
      </c>
      <c r="BP4263" s="407"/>
      <c r="BQ4263" s="407"/>
      <c r="BU4263" s="407">
        <v>1.61</v>
      </c>
      <c r="BV4263" s="407">
        <v>1.78</v>
      </c>
      <c r="BZ4263" s="407"/>
      <c r="CA4263" s="407"/>
      <c r="CE4263" s="560">
        <v>1.61</v>
      </c>
      <c r="CF4263" s="560">
        <v>1.78</v>
      </c>
      <c r="CG4263" s="560"/>
      <c r="CH4263" s="560"/>
      <c r="CI4263" s="36" t="s">
        <v>4546</v>
      </c>
      <c r="CJ4263" s="36">
        <v>173</v>
      </c>
      <c r="CK4263" s="36">
        <v>138</v>
      </c>
      <c r="CN4263" s="36" t="s">
        <v>3503</v>
      </c>
      <c r="CO4263" s="36">
        <v>186</v>
      </c>
      <c r="CP4263" s="36">
        <v>154</v>
      </c>
      <c r="CS4263" s="36" t="s">
        <v>3755</v>
      </c>
      <c r="GP4263" s="36">
        <v>3.53</v>
      </c>
      <c r="GQ4263" s="36">
        <v>3.98</v>
      </c>
      <c r="GT4263" s="36" t="s">
        <v>3758</v>
      </c>
      <c r="GU4263" s="36">
        <v>6.55</v>
      </c>
      <c r="GV4263" s="36">
        <v>6.6</v>
      </c>
      <c r="GY4263" s="36" t="s">
        <v>3756</v>
      </c>
      <c r="GZ4263" s="36">
        <v>5.38</v>
      </c>
      <c r="HA4263" s="36">
        <v>5.27</v>
      </c>
      <c r="HD4263" s="36" t="s">
        <v>3757</v>
      </c>
      <c r="IN4263" s="36">
        <v>65.3</v>
      </c>
      <c r="IO4263" s="36">
        <v>71.099999999999994</v>
      </c>
      <c r="IS4263" s="36">
        <v>60.7</v>
      </c>
      <c r="IT4263" s="36">
        <v>70.3</v>
      </c>
      <c r="JB4263" s="36" t="s">
        <v>519</v>
      </c>
      <c r="JC4263" s="36" t="s">
        <v>3759</v>
      </c>
      <c r="JD4263" s="230"/>
    </row>
    <row r="4264" spans="1:264" s="36" customFormat="1" x14ac:dyDescent="0.25">
      <c r="A4264" s="36">
        <v>187</v>
      </c>
      <c r="B4264" s="51" t="s">
        <v>3750</v>
      </c>
      <c r="C4264" s="36" t="s">
        <v>3418</v>
      </c>
      <c r="D4264" s="36" t="s">
        <v>3740</v>
      </c>
      <c r="E4264" s="36">
        <v>2011</v>
      </c>
      <c r="F4264" s="36">
        <v>2008</v>
      </c>
      <c r="G4264" s="36" t="s">
        <v>2713</v>
      </c>
      <c r="H4264" s="36" t="s">
        <v>3741</v>
      </c>
      <c r="I4264" s="36" t="s">
        <v>3461</v>
      </c>
      <c r="J4264" s="36">
        <v>40.22</v>
      </c>
      <c r="K4264" s="36">
        <v>116.23</v>
      </c>
      <c r="L4264" s="36">
        <v>67</v>
      </c>
      <c r="R4264" s="51" t="s">
        <v>1858</v>
      </c>
      <c r="S4264" s="51" t="s">
        <v>1858</v>
      </c>
      <c r="T4264" s="51"/>
      <c r="U4264" s="51" t="s">
        <v>3739</v>
      </c>
      <c r="V4264" s="51" t="s">
        <v>1389</v>
      </c>
      <c r="W4264" s="51" t="s">
        <v>1720</v>
      </c>
      <c r="X4264" s="51" t="s">
        <v>1389</v>
      </c>
      <c r="Y4264" s="51" t="s">
        <v>1389</v>
      </c>
      <c r="Z4264" s="36">
        <v>1.29</v>
      </c>
      <c r="AA4264" s="331"/>
      <c r="AB4264" s="331"/>
      <c r="AC4264" s="36" t="s">
        <v>450</v>
      </c>
      <c r="AD4264" s="36">
        <v>6.36</v>
      </c>
      <c r="AE4264" s="36">
        <v>2.81</v>
      </c>
      <c r="AH4264" s="36" t="s">
        <v>3745</v>
      </c>
      <c r="AI4264" s="36" t="s">
        <v>577</v>
      </c>
      <c r="AJ4264" s="36" t="s">
        <v>3553</v>
      </c>
      <c r="AK4264" s="36" t="s">
        <v>229</v>
      </c>
      <c r="AW4264" s="36" t="s">
        <v>160</v>
      </c>
      <c r="AX4264" s="36">
        <v>3</v>
      </c>
      <c r="AY4264" s="36">
        <v>6</v>
      </c>
      <c r="AZ4264" s="36" t="s">
        <v>141</v>
      </c>
      <c r="BD4264" s="36" t="s">
        <v>3760</v>
      </c>
      <c r="BE4264" s="36" t="s">
        <v>3753</v>
      </c>
      <c r="BP4264" s="407"/>
      <c r="BQ4264" s="407"/>
      <c r="BU4264" s="407">
        <v>1.61</v>
      </c>
      <c r="BV4264" s="407">
        <v>1.74</v>
      </c>
      <c r="BZ4264" s="407"/>
      <c r="CA4264" s="407"/>
      <c r="CE4264" s="560">
        <v>1.61</v>
      </c>
      <c r="CF4264" s="560">
        <v>1.74</v>
      </c>
      <c r="CG4264" s="560"/>
      <c r="CH4264" s="560"/>
      <c r="CI4264" s="36" t="s">
        <v>4546</v>
      </c>
      <c r="CJ4264" s="36">
        <v>173</v>
      </c>
      <c r="CK4264" s="36">
        <v>141</v>
      </c>
      <c r="CN4264" s="36" t="s">
        <v>3503</v>
      </c>
      <c r="CO4264" s="36">
        <v>186</v>
      </c>
      <c r="CP4264" s="36">
        <v>169</v>
      </c>
      <c r="CS4264" s="36" t="s">
        <v>3755</v>
      </c>
      <c r="GP4264" s="36">
        <v>3.53</v>
      </c>
      <c r="GQ4264" s="36">
        <v>4.49</v>
      </c>
      <c r="GT4264" s="36" t="s">
        <v>3758</v>
      </c>
      <c r="GU4264" s="36">
        <v>6.55</v>
      </c>
      <c r="GV4264" s="36">
        <v>6.95</v>
      </c>
      <c r="GY4264" s="36" t="s">
        <v>3756</v>
      </c>
      <c r="GZ4264" s="36">
        <v>5.38</v>
      </c>
      <c r="HA4264" s="36">
        <v>5.31</v>
      </c>
      <c r="HD4264" s="36" t="s">
        <v>3757</v>
      </c>
      <c r="IN4264" s="36">
        <v>65.3</v>
      </c>
      <c r="IO4264" s="36">
        <v>105</v>
      </c>
      <c r="IS4264" s="36">
        <v>60.7</v>
      </c>
      <c r="IT4264" s="36">
        <v>72.2</v>
      </c>
      <c r="JB4264" s="36" t="s">
        <v>519</v>
      </c>
      <c r="JC4264" s="36" t="s">
        <v>3759</v>
      </c>
      <c r="JD4264" s="230"/>
    </row>
    <row r="4265" spans="1:264" s="36" customFormat="1" x14ac:dyDescent="0.25">
      <c r="A4265" s="36">
        <v>187</v>
      </c>
      <c r="B4265" s="51" t="s">
        <v>3751</v>
      </c>
      <c r="C4265" s="36" t="s">
        <v>3418</v>
      </c>
      <c r="D4265" s="36" t="s">
        <v>3740</v>
      </c>
      <c r="E4265" s="36">
        <v>2011</v>
      </c>
      <c r="F4265" s="36">
        <v>2008</v>
      </c>
      <c r="G4265" s="36" t="s">
        <v>2713</v>
      </c>
      <c r="H4265" s="36" t="s">
        <v>3741</v>
      </c>
      <c r="I4265" s="36" t="s">
        <v>3461</v>
      </c>
      <c r="J4265" s="36">
        <v>40.22</v>
      </c>
      <c r="K4265" s="36">
        <v>116.23</v>
      </c>
      <c r="L4265" s="36">
        <v>67</v>
      </c>
      <c r="R4265" s="51" t="s">
        <v>1858</v>
      </c>
      <c r="S4265" s="51" t="s">
        <v>1858</v>
      </c>
      <c r="T4265" s="51"/>
      <c r="U4265" s="51" t="s">
        <v>3739</v>
      </c>
      <c r="V4265" s="51" t="s">
        <v>1389</v>
      </c>
      <c r="W4265" s="51" t="s">
        <v>1720</v>
      </c>
      <c r="X4265" s="51" t="s">
        <v>1389</v>
      </c>
      <c r="Y4265" s="51" t="s">
        <v>1389</v>
      </c>
      <c r="Z4265" s="36">
        <v>1.29</v>
      </c>
      <c r="AA4265" s="331"/>
      <c r="AB4265" s="331"/>
      <c r="AC4265" s="36" t="s">
        <v>450</v>
      </c>
      <c r="AD4265" s="36">
        <v>6.36</v>
      </c>
      <c r="AE4265" s="36">
        <v>2.81</v>
      </c>
      <c r="AH4265" s="36" t="s">
        <v>3746</v>
      </c>
      <c r="AI4265" s="36" t="s">
        <v>3217</v>
      </c>
      <c r="AJ4265" s="36" t="s">
        <v>3553</v>
      </c>
      <c r="AK4265" s="36" t="s">
        <v>229</v>
      </c>
      <c r="AW4265" s="36" t="s">
        <v>160</v>
      </c>
      <c r="AX4265" s="36">
        <v>3</v>
      </c>
      <c r="AY4265" s="36">
        <v>6</v>
      </c>
      <c r="AZ4265" s="36" t="s">
        <v>141</v>
      </c>
      <c r="BD4265" s="36" t="s">
        <v>3760</v>
      </c>
      <c r="BE4265" s="36" t="s">
        <v>3752</v>
      </c>
      <c r="BP4265" s="407"/>
      <c r="BQ4265" s="407"/>
      <c r="BU4265" s="407">
        <v>1.61</v>
      </c>
      <c r="BV4265" s="407">
        <v>1.52</v>
      </c>
      <c r="BZ4265" s="407"/>
      <c r="CA4265" s="407"/>
      <c r="CE4265" s="560">
        <v>1.61</v>
      </c>
      <c r="CF4265" s="560">
        <v>1.52</v>
      </c>
      <c r="CG4265" s="560"/>
      <c r="CH4265" s="560"/>
      <c r="CI4265" s="36" t="s">
        <v>4546</v>
      </c>
      <c r="CJ4265" s="36">
        <v>173</v>
      </c>
      <c r="CK4265" s="36">
        <v>167</v>
      </c>
      <c r="CN4265" s="36" t="s">
        <v>3503</v>
      </c>
      <c r="CO4265" s="36">
        <v>186</v>
      </c>
      <c r="CP4265" s="36">
        <v>128</v>
      </c>
      <c r="CS4265" s="36" t="s">
        <v>3755</v>
      </c>
      <c r="GP4265" s="36">
        <v>3.53</v>
      </c>
      <c r="GQ4265" s="36">
        <v>3.8</v>
      </c>
      <c r="GT4265" s="36" t="s">
        <v>3758</v>
      </c>
      <c r="GU4265" s="36">
        <v>6.55</v>
      </c>
      <c r="GV4265" s="36">
        <v>6.93</v>
      </c>
      <c r="GY4265" s="36" t="s">
        <v>3756</v>
      </c>
      <c r="GZ4265" s="36">
        <v>5.38</v>
      </c>
      <c r="HA4265" s="36">
        <v>6.04</v>
      </c>
      <c r="HD4265" s="36" t="s">
        <v>3757</v>
      </c>
      <c r="IN4265" s="36">
        <v>65.3</v>
      </c>
      <c r="IO4265" s="36">
        <v>358</v>
      </c>
      <c r="IS4265" s="36">
        <v>60.7</v>
      </c>
      <c r="IT4265" s="36">
        <v>70.2</v>
      </c>
      <c r="JB4265" s="36" t="s">
        <v>519</v>
      </c>
      <c r="JC4265" s="36" t="s">
        <v>3759</v>
      </c>
      <c r="JD4265" s="230"/>
    </row>
    <row r="4266" spans="1:264" s="24" customFormat="1" x14ac:dyDescent="0.25">
      <c r="A4266" s="24">
        <v>188</v>
      </c>
      <c r="B4266" s="42" t="s">
        <v>3777</v>
      </c>
      <c r="C4266" s="24" t="s">
        <v>3762</v>
      </c>
      <c r="D4266" s="24" t="s">
        <v>3763</v>
      </c>
      <c r="E4266" s="24">
        <v>2016</v>
      </c>
      <c r="F4266" s="24">
        <v>2011</v>
      </c>
      <c r="G4266" s="24" t="s">
        <v>3766</v>
      </c>
      <c r="H4266" s="24" t="s">
        <v>3765</v>
      </c>
      <c r="I4266" s="24" t="s">
        <v>3461</v>
      </c>
      <c r="J4266" s="24">
        <f t="shared" ref="J4266:J4310" si="563">35+21/60</f>
        <v>35.35</v>
      </c>
      <c r="K4266" s="24">
        <f t="shared" ref="K4266:K4310" si="564">109+56/60</f>
        <v>109.93333333333334</v>
      </c>
      <c r="L4266" s="24">
        <v>838</v>
      </c>
      <c r="R4266" s="42" t="s">
        <v>1977</v>
      </c>
      <c r="S4266" s="42" t="s">
        <v>1858</v>
      </c>
      <c r="T4266" s="42"/>
      <c r="U4266" s="42" t="s">
        <v>3764</v>
      </c>
      <c r="V4266" s="42" t="s">
        <v>1438</v>
      </c>
      <c r="W4266" s="42" t="s">
        <v>3767</v>
      </c>
      <c r="X4266" s="42" t="s">
        <v>1438</v>
      </c>
      <c r="Y4266" s="42" t="s">
        <v>1438</v>
      </c>
      <c r="Z4266" s="24">
        <f t="shared" ref="Z4266:Z4280" si="565">(1.2+1.385)/2</f>
        <v>1.2925</v>
      </c>
      <c r="AA4266" s="321">
        <v>8</v>
      </c>
      <c r="AB4266" s="321">
        <v>67</v>
      </c>
      <c r="AC4266" s="24" t="s">
        <v>450</v>
      </c>
      <c r="AD4266" s="24">
        <v>8.3000000000000007</v>
      </c>
      <c r="AE4266" s="24">
        <v>1.302</v>
      </c>
      <c r="AG4266" s="24" t="s">
        <v>3193</v>
      </c>
      <c r="AH4266" s="24" t="s">
        <v>3769</v>
      </c>
      <c r="AI4266" s="24" t="s">
        <v>577</v>
      </c>
      <c r="AJ4266" s="24" t="s">
        <v>3768</v>
      </c>
      <c r="AK4266" s="24" t="s">
        <v>3555</v>
      </c>
      <c r="AT4266" s="24" t="s">
        <v>3149</v>
      </c>
      <c r="AU4266" s="24" t="s">
        <v>3149</v>
      </c>
      <c r="AV4266" s="24" t="s">
        <v>177</v>
      </c>
      <c r="AW4266" s="24" t="s">
        <v>160</v>
      </c>
      <c r="AX4266" s="24">
        <v>3</v>
      </c>
      <c r="AY4266" s="24">
        <v>9</v>
      </c>
      <c r="AZ4266" s="24" t="s">
        <v>2121</v>
      </c>
      <c r="BE4266" s="24" t="s">
        <v>3770</v>
      </c>
      <c r="BK4266" s="24">
        <v>19700</v>
      </c>
      <c r="BL4266" s="24">
        <v>20000</v>
      </c>
      <c r="BP4266" s="395"/>
      <c r="BQ4266" s="395"/>
      <c r="BU4266" s="395"/>
      <c r="BV4266" s="395"/>
      <c r="BZ4266" s="395"/>
      <c r="CA4266" s="395"/>
      <c r="CE4266" s="548"/>
      <c r="CF4266" s="548"/>
      <c r="CG4266" s="548"/>
      <c r="CH4266" s="548"/>
      <c r="FL4266" s="24">
        <f>1/2000*100*403.6</f>
        <v>20.180000000000003</v>
      </c>
      <c r="FM4266" s="24">
        <f>1/2000*100*366.9</f>
        <v>18.344999999999999</v>
      </c>
      <c r="FP4266" s="24" t="s">
        <v>3782</v>
      </c>
      <c r="JD4266" s="249"/>
    </row>
    <row r="4267" spans="1:264" s="24" customFormat="1" x14ac:dyDescent="0.25">
      <c r="A4267" s="24">
        <v>188</v>
      </c>
      <c r="B4267" s="42" t="s">
        <v>3778</v>
      </c>
      <c r="C4267" s="24" t="s">
        <v>3762</v>
      </c>
      <c r="D4267" s="24" t="s">
        <v>3763</v>
      </c>
      <c r="E4267" s="24">
        <v>2016</v>
      </c>
      <c r="F4267" s="24">
        <v>2011</v>
      </c>
      <c r="G4267" s="24" t="s">
        <v>3766</v>
      </c>
      <c r="H4267" s="24" t="s">
        <v>3765</v>
      </c>
      <c r="I4267" s="24" t="s">
        <v>3461</v>
      </c>
      <c r="J4267" s="24">
        <f t="shared" si="563"/>
        <v>35.35</v>
      </c>
      <c r="K4267" s="24">
        <f t="shared" si="564"/>
        <v>109.93333333333334</v>
      </c>
      <c r="L4267" s="24">
        <v>838</v>
      </c>
      <c r="R4267" s="42" t="s">
        <v>1977</v>
      </c>
      <c r="S4267" s="42" t="s">
        <v>1858</v>
      </c>
      <c r="T4267" s="42"/>
      <c r="U4267" s="42" t="s">
        <v>3764</v>
      </c>
      <c r="V4267" s="42" t="s">
        <v>1438</v>
      </c>
      <c r="W4267" s="42" t="s">
        <v>3767</v>
      </c>
      <c r="X4267" s="42" t="s">
        <v>1438</v>
      </c>
      <c r="Y4267" s="42" t="s">
        <v>1438</v>
      </c>
      <c r="Z4267" s="24">
        <f t="shared" si="565"/>
        <v>1.2925</v>
      </c>
      <c r="AA4267" s="321">
        <v>8</v>
      </c>
      <c r="AB4267" s="321">
        <v>67</v>
      </c>
      <c r="AC4267" s="24" t="s">
        <v>450</v>
      </c>
      <c r="AD4267" s="24">
        <v>8.3000000000000007</v>
      </c>
      <c r="AE4267" s="24">
        <v>1.302</v>
      </c>
      <c r="AG4267" s="24" t="s">
        <v>3193</v>
      </c>
      <c r="AH4267" s="24" t="s">
        <v>3769</v>
      </c>
      <c r="AI4267" s="24" t="s">
        <v>577</v>
      </c>
      <c r="AJ4267" s="24" t="s">
        <v>3768</v>
      </c>
      <c r="AK4267" s="24" t="s">
        <v>3555</v>
      </c>
      <c r="AT4267" s="24" t="s">
        <v>3773</v>
      </c>
      <c r="AU4267" s="24" t="s">
        <v>3773</v>
      </c>
      <c r="AV4267" s="24" t="s">
        <v>177</v>
      </c>
      <c r="AW4267" s="24" t="s">
        <v>160</v>
      </c>
      <c r="AX4267" s="24">
        <v>3</v>
      </c>
      <c r="AY4267" s="24">
        <v>9</v>
      </c>
      <c r="AZ4267" s="24" t="s">
        <v>2121</v>
      </c>
      <c r="BE4267" s="24" t="s">
        <v>3770</v>
      </c>
      <c r="BK4267" s="24">
        <v>23700</v>
      </c>
      <c r="BL4267" s="24">
        <v>22900</v>
      </c>
      <c r="BP4267" s="395"/>
      <c r="BQ4267" s="395"/>
      <c r="BU4267" s="395"/>
      <c r="BV4267" s="395"/>
      <c r="BZ4267" s="395"/>
      <c r="CA4267" s="395"/>
      <c r="CE4267" s="548"/>
      <c r="CF4267" s="548"/>
      <c r="CG4267" s="548"/>
      <c r="CH4267" s="548"/>
      <c r="FL4267" s="24">
        <f>1/2000*100*403.7</f>
        <v>20.185000000000002</v>
      </c>
      <c r="FM4267" s="24">
        <f>1/2000*100*379.6</f>
        <v>18.98</v>
      </c>
      <c r="FP4267" s="24" t="s">
        <v>3782</v>
      </c>
      <c r="JD4267" s="249"/>
    </row>
    <row r="4268" spans="1:264" s="24" customFormat="1" x14ac:dyDescent="0.25">
      <c r="A4268" s="24">
        <v>188</v>
      </c>
      <c r="B4268" s="42" t="s">
        <v>3779</v>
      </c>
      <c r="C4268" s="24" t="s">
        <v>3762</v>
      </c>
      <c r="D4268" s="24" t="s">
        <v>3763</v>
      </c>
      <c r="E4268" s="24">
        <v>2016</v>
      </c>
      <c r="F4268" s="24">
        <v>2011</v>
      </c>
      <c r="G4268" s="24" t="s">
        <v>3766</v>
      </c>
      <c r="H4268" s="24" t="s">
        <v>3765</v>
      </c>
      <c r="I4268" s="24" t="s">
        <v>3461</v>
      </c>
      <c r="J4268" s="24">
        <f t="shared" si="563"/>
        <v>35.35</v>
      </c>
      <c r="K4268" s="24">
        <f t="shared" si="564"/>
        <v>109.93333333333334</v>
      </c>
      <c r="L4268" s="24">
        <v>838</v>
      </c>
      <c r="R4268" s="42" t="s">
        <v>1977</v>
      </c>
      <c r="S4268" s="42" t="s">
        <v>1858</v>
      </c>
      <c r="T4268" s="42"/>
      <c r="U4268" s="42" t="s">
        <v>3764</v>
      </c>
      <c r="V4268" s="42" t="s">
        <v>1438</v>
      </c>
      <c r="W4268" s="42" t="s">
        <v>3767</v>
      </c>
      <c r="X4268" s="42" t="s">
        <v>1438</v>
      </c>
      <c r="Y4268" s="42" t="s">
        <v>1438</v>
      </c>
      <c r="Z4268" s="24">
        <f t="shared" si="565"/>
        <v>1.2925</v>
      </c>
      <c r="AA4268" s="321">
        <v>8</v>
      </c>
      <c r="AB4268" s="321">
        <v>67</v>
      </c>
      <c r="AC4268" s="24" t="s">
        <v>450</v>
      </c>
      <c r="AD4268" s="24">
        <v>8.3000000000000007</v>
      </c>
      <c r="AE4268" s="24">
        <v>1.302</v>
      </c>
      <c r="AG4268" s="24" t="s">
        <v>3193</v>
      </c>
      <c r="AH4268" s="24" t="s">
        <v>3769</v>
      </c>
      <c r="AI4268" s="24" t="s">
        <v>577</v>
      </c>
      <c r="AJ4268" s="24" t="s">
        <v>3768</v>
      </c>
      <c r="AK4268" s="24" t="s">
        <v>3555</v>
      </c>
      <c r="AT4268" s="24" t="s">
        <v>3774</v>
      </c>
      <c r="AU4268" s="24" t="s">
        <v>3774</v>
      </c>
      <c r="AV4268" s="24" t="s">
        <v>177</v>
      </c>
      <c r="AW4268" s="24" t="s">
        <v>160</v>
      </c>
      <c r="AX4268" s="24">
        <v>3</v>
      </c>
      <c r="AY4268" s="24">
        <v>9</v>
      </c>
      <c r="AZ4268" s="24" t="s">
        <v>2121</v>
      </c>
      <c r="BE4268" s="24" t="s">
        <v>3770</v>
      </c>
      <c r="BK4268" s="24">
        <v>23500</v>
      </c>
      <c r="BL4268" s="24">
        <v>22300</v>
      </c>
      <c r="BP4268" s="395"/>
      <c r="BQ4268" s="395"/>
      <c r="BU4268" s="395"/>
      <c r="BV4268" s="395"/>
      <c r="BZ4268" s="395"/>
      <c r="CA4268" s="395"/>
      <c r="CE4268" s="548"/>
      <c r="CF4268" s="548"/>
      <c r="CG4268" s="548"/>
      <c r="CH4268" s="548"/>
      <c r="FL4268" s="24">
        <f>1/2000*100*502.2</f>
        <v>25.11</v>
      </c>
      <c r="FM4268" s="24">
        <f>1/2000*100*448.8</f>
        <v>22.44</v>
      </c>
      <c r="FP4268" s="24" t="s">
        <v>3782</v>
      </c>
      <c r="JD4268" s="249"/>
    </row>
    <row r="4269" spans="1:264" s="24" customFormat="1" x14ac:dyDescent="0.25">
      <c r="A4269" s="24">
        <v>188</v>
      </c>
      <c r="B4269" s="42" t="s">
        <v>3780</v>
      </c>
      <c r="C4269" s="24" t="s">
        <v>3762</v>
      </c>
      <c r="D4269" s="24" t="s">
        <v>3763</v>
      </c>
      <c r="E4269" s="24">
        <v>2016</v>
      </c>
      <c r="F4269" s="24">
        <v>2011</v>
      </c>
      <c r="G4269" s="24" t="s">
        <v>3766</v>
      </c>
      <c r="H4269" s="24" t="s">
        <v>3765</v>
      </c>
      <c r="I4269" s="24" t="s">
        <v>3461</v>
      </c>
      <c r="J4269" s="24">
        <f t="shared" si="563"/>
        <v>35.35</v>
      </c>
      <c r="K4269" s="24">
        <f t="shared" si="564"/>
        <v>109.93333333333334</v>
      </c>
      <c r="L4269" s="24">
        <v>838</v>
      </c>
      <c r="R4269" s="42" t="s">
        <v>1977</v>
      </c>
      <c r="S4269" s="42" t="s">
        <v>1858</v>
      </c>
      <c r="T4269" s="42"/>
      <c r="U4269" s="42" t="s">
        <v>3764</v>
      </c>
      <c r="V4269" s="42" t="s">
        <v>1438</v>
      </c>
      <c r="W4269" s="42" t="s">
        <v>3767</v>
      </c>
      <c r="X4269" s="42" t="s">
        <v>1438</v>
      </c>
      <c r="Y4269" s="42" t="s">
        <v>1438</v>
      </c>
      <c r="Z4269" s="24">
        <f t="shared" si="565"/>
        <v>1.2925</v>
      </c>
      <c r="AA4269" s="321">
        <v>8</v>
      </c>
      <c r="AB4269" s="321">
        <v>67</v>
      </c>
      <c r="AC4269" s="24" t="s">
        <v>450</v>
      </c>
      <c r="AD4269" s="24">
        <v>8.3000000000000007</v>
      </c>
      <c r="AE4269" s="24">
        <v>1.302</v>
      </c>
      <c r="AG4269" s="24" t="s">
        <v>3193</v>
      </c>
      <c r="AH4269" s="24" t="s">
        <v>3769</v>
      </c>
      <c r="AI4269" s="24" t="s">
        <v>577</v>
      </c>
      <c r="AJ4269" s="24" t="s">
        <v>3768</v>
      </c>
      <c r="AK4269" s="24" t="s">
        <v>3555</v>
      </c>
      <c r="AT4269" s="24" t="s">
        <v>3775</v>
      </c>
      <c r="AU4269" s="24" t="s">
        <v>3775</v>
      </c>
      <c r="AV4269" s="24" t="s">
        <v>177</v>
      </c>
      <c r="AW4269" s="24" t="s">
        <v>160</v>
      </c>
      <c r="AX4269" s="24">
        <v>3</v>
      </c>
      <c r="AY4269" s="24">
        <v>9</v>
      </c>
      <c r="AZ4269" s="24" t="s">
        <v>2121</v>
      </c>
      <c r="BE4269" s="24" t="s">
        <v>3770</v>
      </c>
      <c r="BK4269" s="24">
        <v>26700</v>
      </c>
      <c r="BL4269" s="24">
        <v>24100</v>
      </c>
      <c r="BP4269" s="395"/>
      <c r="BQ4269" s="395"/>
      <c r="BU4269" s="395"/>
      <c r="BV4269" s="395"/>
      <c r="BZ4269" s="395"/>
      <c r="CA4269" s="395"/>
      <c r="CE4269" s="548"/>
      <c r="CF4269" s="548"/>
      <c r="CG4269" s="548"/>
      <c r="CH4269" s="548"/>
      <c r="FL4269" s="24">
        <f>1/2000*100*506.9</f>
        <v>25.344999999999999</v>
      </c>
      <c r="FM4269" s="24">
        <f>1/2000*100*439.6</f>
        <v>21.980000000000004</v>
      </c>
      <c r="FP4269" s="24" t="s">
        <v>3782</v>
      </c>
      <c r="JD4269" s="249"/>
    </row>
    <row r="4270" spans="1:264" s="24" customFormat="1" x14ac:dyDescent="0.25">
      <c r="A4270" s="24">
        <v>188</v>
      </c>
      <c r="B4270" s="42" t="s">
        <v>3781</v>
      </c>
      <c r="C4270" s="24" t="s">
        <v>3762</v>
      </c>
      <c r="D4270" s="24" t="s">
        <v>3763</v>
      </c>
      <c r="E4270" s="24">
        <v>2016</v>
      </c>
      <c r="F4270" s="24">
        <v>2011</v>
      </c>
      <c r="G4270" s="24" t="s">
        <v>3766</v>
      </c>
      <c r="H4270" s="24" t="s">
        <v>3765</v>
      </c>
      <c r="I4270" s="24" t="s">
        <v>3461</v>
      </c>
      <c r="J4270" s="24">
        <f t="shared" si="563"/>
        <v>35.35</v>
      </c>
      <c r="K4270" s="24">
        <f t="shared" si="564"/>
        <v>109.93333333333334</v>
      </c>
      <c r="L4270" s="24">
        <v>838</v>
      </c>
      <c r="R4270" s="42" t="s">
        <v>1977</v>
      </c>
      <c r="S4270" s="42" t="s">
        <v>1858</v>
      </c>
      <c r="T4270" s="42"/>
      <c r="U4270" s="42" t="s">
        <v>3764</v>
      </c>
      <c r="V4270" s="42" t="s">
        <v>1438</v>
      </c>
      <c r="W4270" s="42" t="s">
        <v>3767</v>
      </c>
      <c r="X4270" s="42" t="s">
        <v>1438</v>
      </c>
      <c r="Y4270" s="42" t="s">
        <v>1438</v>
      </c>
      <c r="Z4270" s="24">
        <f t="shared" si="565"/>
        <v>1.2925</v>
      </c>
      <c r="AA4270" s="321">
        <v>8</v>
      </c>
      <c r="AB4270" s="321">
        <v>67</v>
      </c>
      <c r="AC4270" s="24" t="s">
        <v>450</v>
      </c>
      <c r="AD4270" s="24">
        <v>8.3000000000000007</v>
      </c>
      <c r="AE4270" s="24">
        <v>1.302</v>
      </c>
      <c r="AG4270" s="24" t="s">
        <v>3193</v>
      </c>
      <c r="AH4270" s="24" t="s">
        <v>3769</v>
      </c>
      <c r="AI4270" s="24" t="s">
        <v>577</v>
      </c>
      <c r="AJ4270" s="24" t="s">
        <v>3768</v>
      </c>
      <c r="AK4270" s="24" t="s">
        <v>3555</v>
      </c>
      <c r="AT4270" s="24" t="s">
        <v>3776</v>
      </c>
      <c r="AU4270" s="24" t="s">
        <v>3776</v>
      </c>
      <c r="AV4270" s="24" t="s">
        <v>177</v>
      </c>
      <c r="AW4270" s="24" t="s">
        <v>160</v>
      </c>
      <c r="AX4270" s="24">
        <v>3</v>
      </c>
      <c r="AY4270" s="24">
        <v>9</v>
      </c>
      <c r="AZ4270" s="24" t="s">
        <v>2121</v>
      </c>
      <c r="BE4270" s="24" t="s">
        <v>3770</v>
      </c>
      <c r="BK4270" s="24">
        <v>30100</v>
      </c>
      <c r="BL4270" s="24">
        <v>26600</v>
      </c>
      <c r="BP4270" s="395"/>
      <c r="BQ4270" s="395"/>
      <c r="BU4270" s="395"/>
      <c r="BV4270" s="395"/>
      <c r="BZ4270" s="395"/>
      <c r="CA4270" s="395"/>
      <c r="CE4270" s="548"/>
      <c r="CF4270" s="548"/>
      <c r="CG4270" s="548"/>
      <c r="CH4270" s="548"/>
      <c r="FL4270" s="24">
        <f>1/2000*100*539</f>
        <v>26.950000000000003</v>
      </c>
      <c r="FM4270" s="24">
        <f>1/2000*100*467.9</f>
        <v>23.395</v>
      </c>
      <c r="FP4270" s="24" t="s">
        <v>3782</v>
      </c>
      <c r="JD4270" s="249"/>
    </row>
    <row r="4271" spans="1:264" s="101" customFormat="1" x14ac:dyDescent="0.25">
      <c r="A4271" s="101">
        <v>188</v>
      </c>
      <c r="B4271" s="102" t="s">
        <v>3777</v>
      </c>
      <c r="C4271" s="101" t="s">
        <v>3762</v>
      </c>
      <c r="D4271" s="101" t="s">
        <v>3763</v>
      </c>
      <c r="E4271" s="101">
        <v>2016</v>
      </c>
      <c r="F4271" s="24">
        <v>2011</v>
      </c>
      <c r="G4271" s="101" t="s">
        <v>3766</v>
      </c>
      <c r="H4271" s="101" t="s">
        <v>3765</v>
      </c>
      <c r="I4271" s="101" t="s">
        <v>3461</v>
      </c>
      <c r="J4271" s="101">
        <f t="shared" si="563"/>
        <v>35.35</v>
      </c>
      <c r="K4271" s="101">
        <f t="shared" si="564"/>
        <v>109.93333333333334</v>
      </c>
      <c r="L4271" s="101">
        <v>838</v>
      </c>
      <c r="R4271" s="102" t="s">
        <v>1977</v>
      </c>
      <c r="S4271" s="102" t="s">
        <v>1858</v>
      </c>
      <c r="T4271" s="102"/>
      <c r="U4271" s="102" t="s">
        <v>3764</v>
      </c>
      <c r="V4271" s="102" t="s">
        <v>1438</v>
      </c>
      <c r="W4271" s="102" t="s">
        <v>3767</v>
      </c>
      <c r="X4271" s="102" t="s">
        <v>1438</v>
      </c>
      <c r="Y4271" s="102" t="s">
        <v>1438</v>
      </c>
      <c r="Z4271" s="101">
        <f t="shared" si="565"/>
        <v>1.2925</v>
      </c>
      <c r="AA4271" s="352">
        <v>8</v>
      </c>
      <c r="AB4271" s="352">
        <v>67</v>
      </c>
      <c r="AC4271" s="101" t="s">
        <v>450</v>
      </c>
      <c r="AD4271" s="101">
        <v>8.3000000000000007</v>
      </c>
      <c r="AE4271" s="101">
        <v>1.302</v>
      </c>
      <c r="AG4271" s="101" t="s">
        <v>3193</v>
      </c>
      <c r="AH4271" s="101" t="s">
        <v>3769</v>
      </c>
      <c r="AI4271" s="101" t="s">
        <v>577</v>
      </c>
      <c r="AJ4271" s="101" t="s">
        <v>3768</v>
      </c>
      <c r="AK4271" s="101" t="s">
        <v>3555</v>
      </c>
      <c r="AT4271" s="101" t="s">
        <v>3149</v>
      </c>
      <c r="AU4271" s="101" t="s">
        <v>3149</v>
      </c>
      <c r="AV4271" s="24" t="s">
        <v>177</v>
      </c>
      <c r="AW4271" s="101" t="s">
        <v>160</v>
      </c>
      <c r="AX4271" s="101">
        <v>3</v>
      </c>
      <c r="AY4271" s="101">
        <v>9</v>
      </c>
      <c r="AZ4271" s="101" t="s">
        <v>2121</v>
      </c>
      <c r="BE4271" s="101" t="s">
        <v>3771</v>
      </c>
      <c r="BP4271" s="427"/>
      <c r="BQ4271" s="427"/>
      <c r="BU4271" s="427"/>
      <c r="BV4271" s="427"/>
      <c r="BZ4271" s="427"/>
      <c r="CA4271" s="427"/>
      <c r="CE4271" s="580"/>
      <c r="CF4271" s="580"/>
      <c r="CG4271" s="580"/>
      <c r="CH4271" s="580"/>
      <c r="JD4271" s="177"/>
    </row>
    <row r="4272" spans="1:264" s="101" customFormat="1" x14ac:dyDescent="0.25">
      <c r="A4272" s="101">
        <v>188</v>
      </c>
      <c r="B4272" s="102" t="s">
        <v>3778</v>
      </c>
      <c r="C4272" s="101" t="s">
        <v>3762</v>
      </c>
      <c r="D4272" s="101" t="s">
        <v>3763</v>
      </c>
      <c r="E4272" s="101">
        <v>2016</v>
      </c>
      <c r="F4272" s="24">
        <v>2011</v>
      </c>
      <c r="G4272" s="101" t="s">
        <v>3766</v>
      </c>
      <c r="H4272" s="101" t="s">
        <v>3765</v>
      </c>
      <c r="I4272" s="101" t="s">
        <v>3461</v>
      </c>
      <c r="J4272" s="101">
        <f t="shared" si="563"/>
        <v>35.35</v>
      </c>
      <c r="K4272" s="101">
        <f t="shared" si="564"/>
        <v>109.93333333333334</v>
      </c>
      <c r="L4272" s="101">
        <v>838</v>
      </c>
      <c r="R4272" s="102" t="s">
        <v>1977</v>
      </c>
      <c r="S4272" s="102" t="s">
        <v>1858</v>
      </c>
      <c r="T4272" s="102"/>
      <c r="U4272" s="102" t="s">
        <v>3764</v>
      </c>
      <c r="V4272" s="102" t="s">
        <v>1438</v>
      </c>
      <c r="W4272" s="102" t="s">
        <v>3767</v>
      </c>
      <c r="X4272" s="102" t="s">
        <v>1438</v>
      </c>
      <c r="Y4272" s="102" t="s">
        <v>1438</v>
      </c>
      <c r="Z4272" s="101">
        <f t="shared" si="565"/>
        <v>1.2925</v>
      </c>
      <c r="AA4272" s="352">
        <v>8</v>
      </c>
      <c r="AB4272" s="352">
        <v>67</v>
      </c>
      <c r="AC4272" s="101" t="s">
        <v>450</v>
      </c>
      <c r="AD4272" s="101">
        <v>8.3000000000000007</v>
      </c>
      <c r="AE4272" s="101">
        <v>1.302</v>
      </c>
      <c r="AG4272" s="101" t="s">
        <v>3193</v>
      </c>
      <c r="AH4272" s="101" t="s">
        <v>3769</v>
      </c>
      <c r="AI4272" s="101" t="s">
        <v>577</v>
      </c>
      <c r="AJ4272" s="101" t="s">
        <v>3768</v>
      </c>
      <c r="AK4272" s="101" t="s">
        <v>3555</v>
      </c>
      <c r="AT4272" s="101" t="s">
        <v>3773</v>
      </c>
      <c r="AU4272" s="101" t="s">
        <v>3773</v>
      </c>
      <c r="AV4272" s="24" t="s">
        <v>177</v>
      </c>
      <c r="AW4272" s="101" t="s">
        <v>160</v>
      </c>
      <c r="AX4272" s="101">
        <v>3</v>
      </c>
      <c r="AY4272" s="101">
        <v>9</v>
      </c>
      <c r="AZ4272" s="101" t="s">
        <v>2121</v>
      </c>
      <c r="BE4272" s="101" t="s">
        <v>3771</v>
      </c>
      <c r="BP4272" s="427"/>
      <c r="BQ4272" s="427"/>
      <c r="BU4272" s="427"/>
      <c r="BV4272" s="427"/>
      <c r="BZ4272" s="427"/>
      <c r="CA4272" s="427"/>
      <c r="CE4272" s="580"/>
      <c r="CF4272" s="580"/>
      <c r="CG4272" s="580"/>
      <c r="CH4272" s="580"/>
      <c r="JD4272" s="177"/>
    </row>
    <row r="4273" spans="1:264" s="101" customFormat="1" x14ac:dyDescent="0.25">
      <c r="A4273" s="101">
        <v>188</v>
      </c>
      <c r="B4273" s="102" t="s">
        <v>3779</v>
      </c>
      <c r="C4273" s="101" t="s">
        <v>3762</v>
      </c>
      <c r="D4273" s="101" t="s">
        <v>3763</v>
      </c>
      <c r="E4273" s="101">
        <v>2016</v>
      </c>
      <c r="F4273" s="24">
        <v>2011</v>
      </c>
      <c r="G4273" s="101" t="s">
        <v>3766</v>
      </c>
      <c r="H4273" s="101" t="s">
        <v>3765</v>
      </c>
      <c r="I4273" s="101" t="s">
        <v>3461</v>
      </c>
      <c r="J4273" s="101">
        <f t="shared" si="563"/>
        <v>35.35</v>
      </c>
      <c r="K4273" s="101">
        <f t="shared" si="564"/>
        <v>109.93333333333334</v>
      </c>
      <c r="L4273" s="101">
        <v>838</v>
      </c>
      <c r="R4273" s="102" t="s">
        <v>1977</v>
      </c>
      <c r="S4273" s="102" t="s">
        <v>1858</v>
      </c>
      <c r="T4273" s="102"/>
      <c r="U4273" s="102" t="s">
        <v>3764</v>
      </c>
      <c r="V4273" s="102" t="s">
        <v>1438</v>
      </c>
      <c r="W4273" s="102" t="s">
        <v>3767</v>
      </c>
      <c r="X4273" s="102" t="s">
        <v>1438</v>
      </c>
      <c r="Y4273" s="102" t="s">
        <v>1438</v>
      </c>
      <c r="Z4273" s="101">
        <f t="shared" si="565"/>
        <v>1.2925</v>
      </c>
      <c r="AA4273" s="352">
        <v>8</v>
      </c>
      <c r="AB4273" s="352">
        <v>67</v>
      </c>
      <c r="AC4273" s="101" t="s">
        <v>450</v>
      </c>
      <c r="AD4273" s="101">
        <v>8.3000000000000007</v>
      </c>
      <c r="AE4273" s="101">
        <v>1.302</v>
      </c>
      <c r="AG4273" s="101" t="s">
        <v>3193</v>
      </c>
      <c r="AH4273" s="101" t="s">
        <v>3769</v>
      </c>
      <c r="AI4273" s="101" t="s">
        <v>577</v>
      </c>
      <c r="AJ4273" s="101" t="s">
        <v>3768</v>
      </c>
      <c r="AK4273" s="101" t="s">
        <v>3555</v>
      </c>
      <c r="AT4273" s="101" t="s">
        <v>3774</v>
      </c>
      <c r="AU4273" s="101" t="s">
        <v>3774</v>
      </c>
      <c r="AV4273" s="24" t="s">
        <v>177</v>
      </c>
      <c r="AW4273" s="101" t="s">
        <v>160</v>
      </c>
      <c r="AX4273" s="101">
        <v>3</v>
      </c>
      <c r="AY4273" s="101">
        <v>9</v>
      </c>
      <c r="AZ4273" s="101" t="s">
        <v>2121</v>
      </c>
      <c r="BE4273" s="101" t="s">
        <v>3771</v>
      </c>
      <c r="BP4273" s="427"/>
      <c r="BQ4273" s="427"/>
      <c r="BU4273" s="427"/>
      <c r="BV4273" s="427"/>
      <c r="BZ4273" s="427"/>
      <c r="CA4273" s="427"/>
      <c r="CE4273" s="580"/>
      <c r="CF4273" s="580"/>
      <c r="CG4273" s="580"/>
      <c r="CH4273" s="580"/>
      <c r="JD4273" s="177"/>
    </row>
    <row r="4274" spans="1:264" s="101" customFormat="1" x14ac:dyDescent="0.25">
      <c r="A4274" s="101">
        <v>188</v>
      </c>
      <c r="B4274" s="102" t="s">
        <v>3780</v>
      </c>
      <c r="C4274" s="101" t="s">
        <v>3762</v>
      </c>
      <c r="D4274" s="101" t="s">
        <v>3763</v>
      </c>
      <c r="E4274" s="101">
        <v>2016</v>
      </c>
      <c r="F4274" s="24">
        <v>2011</v>
      </c>
      <c r="G4274" s="101" t="s">
        <v>3766</v>
      </c>
      <c r="H4274" s="101" t="s">
        <v>3765</v>
      </c>
      <c r="I4274" s="101" t="s">
        <v>3461</v>
      </c>
      <c r="J4274" s="101">
        <f t="shared" si="563"/>
        <v>35.35</v>
      </c>
      <c r="K4274" s="101">
        <f t="shared" si="564"/>
        <v>109.93333333333334</v>
      </c>
      <c r="L4274" s="101">
        <v>838</v>
      </c>
      <c r="R4274" s="102" t="s">
        <v>1977</v>
      </c>
      <c r="S4274" s="102" t="s">
        <v>1858</v>
      </c>
      <c r="T4274" s="102"/>
      <c r="U4274" s="102" t="s">
        <v>3764</v>
      </c>
      <c r="V4274" s="102" t="s">
        <v>1438</v>
      </c>
      <c r="W4274" s="102" t="s">
        <v>3767</v>
      </c>
      <c r="X4274" s="102" t="s">
        <v>1438</v>
      </c>
      <c r="Y4274" s="102" t="s">
        <v>1438</v>
      </c>
      <c r="Z4274" s="101">
        <f t="shared" si="565"/>
        <v>1.2925</v>
      </c>
      <c r="AA4274" s="352">
        <v>8</v>
      </c>
      <c r="AB4274" s="352">
        <v>67</v>
      </c>
      <c r="AC4274" s="101" t="s">
        <v>450</v>
      </c>
      <c r="AD4274" s="101">
        <v>8.3000000000000007</v>
      </c>
      <c r="AE4274" s="101">
        <v>1.302</v>
      </c>
      <c r="AG4274" s="101" t="s">
        <v>3193</v>
      </c>
      <c r="AH4274" s="101" t="s">
        <v>3769</v>
      </c>
      <c r="AI4274" s="101" t="s">
        <v>577</v>
      </c>
      <c r="AJ4274" s="101" t="s">
        <v>3768</v>
      </c>
      <c r="AK4274" s="101" t="s">
        <v>3555</v>
      </c>
      <c r="AT4274" s="101" t="s">
        <v>3775</v>
      </c>
      <c r="AU4274" s="101" t="s">
        <v>3775</v>
      </c>
      <c r="AV4274" s="24" t="s">
        <v>177</v>
      </c>
      <c r="AW4274" s="101" t="s">
        <v>160</v>
      </c>
      <c r="AX4274" s="101">
        <v>3</v>
      </c>
      <c r="AY4274" s="101">
        <v>9</v>
      </c>
      <c r="AZ4274" s="101" t="s">
        <v>2121</v>
      </c>
      <c r="BE4274" s="101" t="s">
        <v>3771</v>
      </c>
      <c r="BP4274" s="427"/>
      <c r="BQ4274" s="427"/>
      <c r="BU4274" s="427"/>
      <c r="BV4274" s="427"/>
      <c r="BZ4274" s="427"/>
      <c r="CA4274" s="427"/>
      <c r="CE4274" s="580"/>
      <c r="CF4274" s="580"/>
      <c r="CG4274" s="580"/>
      <c r="CH4274" s="580"/>
      <c r="JD4274" s="177"/>
    </row>
    <row r="4275" spans="1:264" s="101" customFormat="1" x14ac:dyDescent="0.25">
      <c r="A4275" s="101">
        <v>188</v>
      </c>
      <c r="B4275" s="102" t="s">
        <v>3781</v>
      </c>
      <c r="C4275" s="101" t="s">
        <v>3762</v>
      </c>
      <c r="D4275" s="101" t="s">
        <v>3763</v>
      </c>
      <c r="E4275" s="101">
        <v>2016</v>
      </c>
      <c r="F4275" s="24">
        <v>2011</v>
      </c>
      <c r="G4275" s="101" t="s">
        <v>3766</v>
      </c>
      <c r="H4275" s="101" t="s">
        <v>3765</v>
      </c>
      <c r="I4275" s="101" t="s">
        <v>3461</v>
      </c>
      <c r="J4275" s="101">
        <f t="shared" si="563"/>
        <v>35.35</v>
      </c>
      <c r="K4275" s="101">
        <f t="shared" si="564"/>
        <v>109.93333333333334</v>
      </c>
      <c r="L4275" s="101">
        <v>838</v>
      </c>
      <c r="R4275" s="102" t="s">
        <v>1977</v>
      </c>
      <c r="S4275" s="102" t="s">
        <v>1858</v>
      </c>
      <c r="T4275" s="102"/>
      <c r="U4275" s="102" t="s">
        <v>3764</v>
      </c>
      <c r="V4275" s="102" t="s">
        <v>1438</v>
      </c>
      <c r="W4275" s="102" t="s">
        <v>3767</v>
      </c>
      <c r="X4275" s="102" t="s">
        <v>1438</v>
      </c>
      <c r="Y4275" s="102" t="s">
        <v>1438</v>
      </c>
      <c r="Z4275" s="101">
        <f t="shared" si="565"/>
        <v>1.2925</v>
      </c>
      <c r="AA4275" s="352">
        <v>8</v>
      </c>
      <c r="AB4275" s="352">
        <v>67</v>
      </c>
      <c r="AC4275" s="101" t="s">
        <v>450</v>
      </c>
      <c r="AD4275" s="101">
        <v>8.3000000000000007</v>
      </c>
      <c r="AE4275" s="101">
        <v>1.302</v>
      </c>
      <c r="AG4275" s="101" t="s">
        <v>3193</v>
      </c>
      <c r="AH4275" s="101" t="s">
        <v>3769</v>
      </c>
      <c r="AI4275" s="101" t="s">
        <v>577</v>
      </c>
      <c r="AJ4275" s="101" t="s">
        <v>3768</v>
      </c>
      <c r="AK4275" s="101" t="s">
        <v>3555</v>
      </c>
      <c r="AT4275" s="101" t="s">
        <v>3776</v>
      </c>
      <c r="AU4275" s="101" t="s">
        <v>3776</v>
      </c>
      <c r="AV4275" s="24" t="s">
        <v>177</v>
      </c>
      <c r="AW4275" s="101" t="s">
        <v>160</v>
      </c>
      <c r="AX4275" s="101">
        <v>3</v>
      </c>
      <c r="AY4275" s="101">
        <v>9</v>
      </c>
      <c r="AZ4275" s="101" t="s">
        <v>2121</v>
      </c>
      <c r="BE4275" s="101" t="s">
        <v>3771</v>
      </c>
      <c r="BP4275" s="427"/>
      <c r="BQ4275" s="427"/>
      <c r="BU4275" s="427"/>
      <c r="BV4275" s="427"/>
      <c r="BZ4275" s="427"/>
      <c r="CA4275" s="427"/>
      <c r="CE4275" s="580"/>
      <c r="CF4275" s="580"/>
      <c r="CG4275" s="580"/>
      <c r="CH4275" s="580"/>
      <c r="JD4275" s="177"/>
    </row>
    <row r="4276" spans="1:264" s="24" customFormat="1" x14ac:dyDescent="0.25">
      <c r="A4276" s="24">
        <v>188</v>
      </c>
      <c r="B4276" s="42" t="s">
        <v>3777</v>
      </c>
      <c r="C4276" s="24" t="s">
        <v>3762</v>
      </c>
      <c r="D4276" s="24" t="s">
        <v>3763</v>
      </c>
      <c r="E4276" s="24">
        <v>2016</v>
      </c>
      <c r="F4276" s="24">
        <v>2011</v>
      </c>
      <c r="G4276" s="24" t="s">
        <v>3766</v>
      </c>
      <c r="H4276" s="24" t="s">
        <v>3765</v>
      </c>
      <c r="I4276" s="24" t="s">
        <v>3461</v>
      </c>
      <c r="J4276" s="24">
        <f t="shared" si="563"/>
        <v>35.35</v>
      </c>
      <c r="K4276" s="24">
        <f t="shared" si="564"/>
        <v>109.93333333333334</v>
      </c>
      <c r="L4276" s="24">
        <v>838</v>
      </c>
      <c r="R4276" s="42" t="s">
        <v>1977</v>
      </c>
      <c r="S4276" s="42" t="s">
        <v>1858</v>
      </c>
      <c r="T4276" s="42"/>
      <c r="U4276" s="42" t="s">
        <v>3764</v>
      </c>
      <c r="V4276" s="42" t="s">
        <v>1438</v>
      </c>
      <c r="W4276" s="42" t="s">
        <v>3767</v>
      </c>
      <c r="X4276" s="42" t="s">
        <v>1438</v>
      </c>
      <c r="Y4276" s="42" t="s">
        <v>1438</v>
      </c>
      <c r="Z4276" s="24">
        <f t="shared" si="565"/>
        <v>1.2925</v>
      </c>
      <c r="AA4276" s="321">
        <v>8</v>
      </c>
      <c r="AB4276" s="321">
        <v>67</v>
      </c>
      <c r="AC4276" s="24" t="s">
        <v>450</v>
      </c>
      <c r="AD4276" s="24">
        <v>8.3000000000000007</v>
      </c>
      <c r="AE4276" s="24">
        <v>1.302</v>
      </c>
      <c r="AG4276" s="24" t="s">
        <v>3193</v>
      </c>
      <c r="AH4276" s="24" t="s">
        <v>3769</v>
      </c>
      <c r="AI4276" s="24" t="s">
        <v>577</v>
      </c>
      <c r="AJ4276" s="24" t="s">
        <v>3768</v>
      </c>
      <c r="AK4276" s="24" t="s">
        <v>3555</v>
      </c>
      <c r="AT4276" s="24" t="s">
        <v>3149</v>
      </c>
      <c r="AU4276" s="24" t="s">
        <v>3149</v>
      </c>
      <c r="AV4276" s="24" t="s">
        <v>177</v>
      </c>
      <c r="AW4276" s="24" t="s">
        <v>160</v>
      </c>
      <c r="AX4276" s="24">
        <v>3</v>
      </c>
      <c r="AY4276" s="24">
        <v>9</v>
      </c>
      <c r="AZ4276" s="24" t="s">
        <v>2121</v>
      </c>
      <c r="BE4276" s="24" t="s">
        <v>3772</v>
      </c>
      <c r="BP4276" s="395"/>
      <c r="BQ4276" s="395"/>
      <c r="BU4276" s="395"/>
      <c r="BV4276" s="395"/>
      <c r="BZ4276" s="395"/>
      <c r="CA4276" s="395"/>
      <c r="CE4276" s="548"/>
      <c r="CF4276" s="548"/>
      <c r="CG4276" s="548"/>
      <c r="CH4276" s="548"/>
      <c r="FL4276" s="24">
        <f>1/2000*100*577.2</f>
        <v>28.860000000000003</v>
      </c>
      <c r="FM4276" s="24">
        <f>1/2000*100*563.8</f>
        <v>28.189999999999998</v>
      </c>
      <c r="FP4276" s="24" t="s">
        <v>3782</v>
      </c>
      <c r="JD4276" s="249"/>
    </row>
    <row r="4277" spans="1:264" s="24" customFormat="1" x14ac:dyDescent="0.25">
      <c r="A4277" s="24">
        <v>188</v>
      </c>
      <c r="B4277" s="42" t="s">
        <v>3778</v>
      </c>
      <c r="C4277" s="24" t="s">
        <v>3762</v>
      </c>
      <c r="D4277" s="24" t="s">
        <v>3763</v>
      </c>
      <c r="E4277" s="24">
        <v>2016</v>
      </c>
      <c r="F4277" s="24">
        <v>2011</v>
      </c>
      <c r="G4277" s="24" t="s">
        <v>3766</v>
      </c>
      <c r="H4277" s="24" t="s">
        <v>3765</v>
      </c>
      <c r="I4277" s="24" t="s">
        <v>3461</v>
      </c>
      <c r="J4277" s="24">
        <f t="shared" si="563"/>
        <v>35.35</v>
      </c>
      <c r="K4277" s="24">
        <f t="shared" si="564"/>
        <v>109.93333333333334</v>
      </c>
      <c r="L4277" s="24">
        <v>838</v>
      </c>
      <c r="R4277" s="42" t="s">
        <v>1977</v>
      </c>
      <c r="S4277" s="42" t="s">
        <v>1858</v>
      </c>
      <c r="T4277" s="42"/>
      <c r="U4277" s="42" t="s">
        <v>3764</v>
      </c>
      <c r="V4277" s="42" t="s">
        <v>1438</v>
      </c>
      <c r="W4277" s="42" t="s">
        <v>3767</v>
      </c>
      <c r="X4277" s="42" t="s">
        <v>1438</v>
      </c>
      <c r="Y4277" s="42" t="s">
        <v>1438</v>
      </c>
      <c r="Z4277" s="24">
        <f t="shared" si="565"/>
        <v>1.2925</v>
      </c>
      <c r="AA4277" s="321">
        <v>8</v>
      </c>
      <c r="AB4277" s="321">
        <v>67</v>
      </c>
      <c r="AC4277" s="24" t="s">
        <v>450</v>
      </c>
      <c r="AD4277" s="24">
        <v>8.3000000000000007</v>
      </c>
      <c r="AE4277" s="24">
        <v>1.302</v>
      </c>
      <c r="AG4277" s="24" t="s">
        <v>3193</v>
      </c>
      <c r="AH4277" s="24" t="s">
        <v>3769</v>
      </c>
      <c r="AI4277" s="24" t="s">
        <v>577</v>
      </c>
      <c r="AJ4277" s="24" t="s">
        <v>3768</v>
      </c>
      <c r="AK4277" s="24" t="s">
        <v>3555</v>
      </c>
      <c r="AT4277" s="24" t="s">
        <v>3773</v>
      </c>
      <c r="AU4277" s="24" t="s">
        <v>3773</v>
      </c>
      <c r="AV4277" s="24" t="s">
        <v>177</v>
      </c>
      <c r="AW4277" s="24" t="s">
        <v>160</v>
      </c>
      <c r="AX4277" s="24">
        <v>3</v>
      </c>
      <c r="AY4277" s="24">
        <v>9</v>
      </c>
      <c r="AZ4277" s="24" t="s">
        <v>2121</v>
      </c>
      <c r="BE4277" s="24" t="s">
        <v>3772</v>
      </c>
      <c r="BP4277" s="395"/>
      <c r="BQ4277" s="395"/>
      <c r="BU4277" s="395"/>
      <c r="BV4277" s="395"/>
      <c r="BZ4277" s="395"/>
      <c r="CA4277" s="395"/>
      <c r="CE4277" s="548"/>
      <c r="CF4277" s="548"/>
      <c r="CG4277" s="548"/>
      <c r="CH4277" s="548"/>
      <c r="FL4277" s="24">
        <f>1/2000*100*554.2</f>
        <v>27.710000000000004</v>
      </c>
      <c r="FM4277" s="24">
        <f>1/2000*100*568.1</f>
        <v>28.405000000000001</v>
      </c>
      <c r="FP4277" s="24" t="s">
        <v>3782</v>
      </c>
      <c r="JD4277" s="249"/>
    </row>
    <row r="4278" spans="1:264" s="24" customFormat="1" x14ac:dyDescent="0.25">
      <c r="A4278" s="24">
        <v>188</v>
      </c>
      <c r="B4278" s="42" t="s">
        <v>3779</v>
      </c>
      <c r="C4278" s="24" t="s">
        <v>3762</v>
      </c>
      <c r="D4278" s="24" t="s">
        <v>3763</v>
      </c>
      <c r="E4278" s="24">
        <v>2016</v>
      </c>
      <c r="F4278" s="24">
        <v>2011</v>
      </c>
      <c r="G4278" s="24" t="s">
        <v>3766</v>
      </c>
      <c r="H4278" s="24" t="s">
        <v>3765</v>
      </c>
      <c r="I4278" s="24" t="s">
        <v>3461</v>
      </c>
      <c r="J4278" s="24">
        <f t="shared" si="563"/>
        <v>35.35</v>
      </c>
      <c r="K4278" s="24">
        <f t="shared" si="564"/>
        <v>109.93333333333334</v>
      </c>
      <c r="L4278" s="24">
        <v>838</v>
      </c>
      <c r="R4278" s="42" t="s">
        <v>1977</v>
      </c>
      <c r="S4278" s="42" t="s">
        <v>1858</v>
      </c>
      <c r="T4278" s="42"/>
      <c r="U4278" s="42" t="s">
        <v>3764</v>
      </c>
      <c r="V4278" s="42" t="s">
        <v>1438</v>
      </c>
      <c r="W4278" s="42" t="s">
        <v>3767</v>
      </c>
      <c r="X4278" s="42" t="s">
        <v>1438</v>
      </c>
      <c r="Y4278" s="42" t="s">
        <v>1438</v>
      </c>
      <c r="Z4278" s="24">
        <f t="shared" si="565"/>
        <v>1.2925</v>
      </c>
      <c r="AA4278" s="321">
        <v>8</v>
      </c>
      <c r="AB4278" s="321">
        <v>67</v>
      </c>
      <c r="AC4278" s="24" t="s">
        <v>450</v>
      </c>
      <c r="AD4278" s="24">
        <v>8.3000000000000007</v>
      </c>
      <c r="AE4278" s="24">
        <v>1.302</v>
      </c>
      <c r="AG4278" s="24" t="s">
        <v>3193</v>
      </c>
      <c r="AH4278" s="24" t="s">
        <v>3769</v>
      </c>
      <c r="AI4278" s="24" t="s">
        <v>577</v>
      </c>
      <c r="AJ4278" s="24" t="s">
        <v>3768</v>
      </c>
      <c r="AK4278" s="24" t="s">
        <v>3555</v>
      </c>
      <c r="AT4278" s="24" t="s">
        <v>3774</v>
      </c>
      <c r="AU4278" s="24" t="s">
        <v>3774</v>
      </c>
      <c r="AV4278" s="24" t="s">
        <v>177</v>
      </c>
      <c r="AW4278" s="24" t="s">
        <v>160</v>
      </c>
      <c r="AX4278" s="24">
        <v>3</v>
      </c>
      <c r="AY4278" s="24">
        <v>9</v>
      </c>
      <c r="AZ4278" s="24" t="s">
        <v>2121</v>
      </c>
      <c r="BE4278" s="24" t="s">
        <v>3772</v>
      </c>
      <c r="BP4278" s="395"/>
      <c r="BQ4278" s="395"/>
      <c r="BU4278" s="395"/>
      <c r="BV4278" s="395"/>
      <c r="BZ4278" s="395"/>
      <c r="CA4278" s="395"/>
      <c r="CE4278" s="548"/>
      <c r="CF4278" s="548"/>
      <c r="CG4278" s="548"/>
      <c r="CH4278" s="548"/>
      <c r="FL4278" s="24">
        <f>1/2000*100*582</f>
        <v>29.1</v>
      </c>
      <c r="FM4278" s="24">
        <f>1/2000*100*589.9</f>
        <v>29.495000000000001</v>
      </c>
      <c r="FP4278" s="24" t="s">
        <v>3782</v>
      </c>
      <c r="JD4278" s="249"/>
    </row>
    <row r="4279" spans="1:264" s="24" customFormat="1" x14ac:dyDescent="0.25">
      <c r="A4279" s="24">
        <v>188</v>
      </c>
      <c r="B4279" s="42" t="s">
        <v>3780</v>
      </c>
      <c r="C4279" s="24" t="s">
        <v>3762</v>
      </c>
      <c r="D4279" s="24" t="s">
        <v>3763</v>
      </c>
      <c r="E4279" s="24">
        <v>2016</v>
      </c>
      <c r="F4279" s="24">
        <v>2011</v>
      </c>
      <c r="G4279" s="24" t="s">
        <v>3766</v>
      </c>
      <c r="H4279" s="24" t="s">
        <v>3765</v>
      </c>
      <c r="I4279" s="24" t="s">
        <v>3461</v>
      </c>
      <c r="J4279" s="24">
        <f t="shared" si="563"/>
        <v>35.35</v>
      </c>
      <c r="K4279" s="24">
        <f t="shared" si="564"/>
        <v>109.93333333333334</v>
      </c>
      <c r="L4279" s="24">
        <v>838</v>
      </c>
      <c r="R4279" s="42" t="s">
        <v>1977</v>
      </c>
      <c r="S4279" s="42" t="s">
        <v>1858</v>
      </c>
      <c r="T4279" s="42"/>
      <c r="U4279" s="42" t="s">
        <v>3764</v>
      </c>
      <c r="V4279" s="42" t="s">
        <v>1438</v>
      </c>
      <c r="W4279" s="42" t="s">
        <v>3767</v>
      </c>
      <c r="X4279" s="42" t="s">
        <v>1438</v>
      </c>
      <c r="Y4279" s="42" t="s">
        <v>1438</v>
      </c>
      <c r="Z4279" s="24">
        <f t="shared" si="565"/>
        <v>1.2925</v>
      </c>
      <c r="AA4279" s="321">
        <v>8</v>
      </c>
      <c r="AB4279" s="321">
        <v>67</v>
      </c>
      <c r="AC4279" s="24" t="s">
        <v>450</v>
      </c>
      <c r="AD4279" s="24">
        <v>8.3000000000000007</v>
      </c>
      <c r="AE4279" s="24">
        <v>1.302</v>
      </c>
      <c r="AG4279" s="24" t="s">
        <v>3193</v>
      </c>
      <c r="AH4279" s="24" t="s">
        <v>3769</v>
      </c>
      <c r="AI4279" s="24" t="s">
        <v>577</v>
      </c>
      <c r="AJ4279" s="24" t="s">
        <v>3768</v>
      </c>
      <c r="AK4279" s="24" t="s">
        <v>3555</v>
      </c>
      <c r="AT4279" s="24" t="s">
        <v>3775</v>
      </c>
      <c r="AU4279" s="24" t="s">
        <v>3775</v>
      </c>
      <c r="AV4279" s="24" t="s">
        <v>177</v>
      </c>
      <c r="AW4279" s="24" t="s">
        <v>160</v>
      </c>
      <c r="AX4279" s="24">
        <v>3</v>
      </c>
      <c r="AY4279" s="24">
        <v>9</v>
      </c>
      <c r="AZ4279" s="24" t="s">
        <v>2121</v>
      </c>
      <c r="BE4279" s="24" t="s">
        <v>3772</v>
      </c>
      <c r="BP4279" s="395"/>
      <c r="BQ4279" s="395"/>
      <c r="BU4279" s="395"/>
      <c r="BV4279" s="395"/>
      <c r="BZ4279" s="395"/>
      <c r="CA4279" s="395"/>
      <c r="CE4279" s="548"/>
      <c r="CF4279" s="548"/>
      <c r="CG4279" s="548"/>
      <c r="CH4279" s="548"/>
      <c r="FL4279" s="24">
        <f>1/2000*100*555.8</f>
        <v>27.79</v>
      </c>
      <c r="FM4279" s="24">
        <f>1/2000*100*571.1</f>
        <v>28.555000000000003</v>
      </c>
      <c r="FP4279" s="24" t="s">
        <v>3782</v>
      </c>
      <c r="JD4279" s="249"/>
    </row>
    <row r="4280" spans="1:264" s="24" customFormat="1" x14ac:dyDescent="0.25">
      <c r="A4280" s="24">
        <v>188</v>
      </c>
      <c r="B4280" s="42" t="s">
        <v>3781</v>
      </c>
      <c r="C4280" s="24" t="s">
        <v>3762</v>
      </c>
      <c r="D4280" s="24" t="s">
        <v>3763</v>
      </c>
      <c r="E4280" s="24">
        <v>2016</v>
      </c>
      <c r="F4280" s="24">
        <v>2011</v>
      </c>
      <c r="G4280" s="24" t="s">
        <v>3766</v>
      </c>
      <c r="H4280" s="24" t="s">
        <v>3765</v>
      </c>
      <c r="I4280" s="24" t="s">
        <v>3461</v>
      </c>
      <c r="J4280" s="24">
        <f t="shared" si="563"/>
        <v>35.35</v>
      </c>
      <c r="K4280" s="24">
        <f t="shared" si="564"/>
        <v>109.93333333333334</v>
      </c>
      <c r="L4280" s="24">
        <v>838</v>
      </c>
      <c r="R4280" s="42" t="s">
        <v>1977</v>
      </c>
      <c r="S4280" s="42" t="s">
        <v>1858</v>
      </c>
      <c r="T4280" s="42"/>
      <c r="U4280" s="42" t="s">
        <v>3764</v>
      </c>
      <c r="V4280" s="42" t="s">
        <v>1438</v>
      </c>
      <c r="W4280" s="42" t="s">
        <v>3767</v>
      </c>
      <c r="X4280" s="42" t="s">
        <v>1438</v>
      </c>
      <c r="Y4280" s="42" t="s">
        <v>1438</v>
      </c>
      <c r="Z4280" s="24">
        <f t="shared" si="565"/>
        <v>1.2925</v>
      </c>
      <c r="AA4280" s="321">
        <v>8</v>
      </c>
      <c r="AB4280" s="321">
        <v>67</v>
      </c>
      <c r="AC4280" s="24" t="s">
        <v>450</v>
      </c>
      <c r="AD4280" s="24">
        <v>8.3000000000000007</v>
      </c>
      <c r="AE4280" s="24">
        <v>1.302</v>
      </c>
      <c r="AG4280" s="24" t="s">
        <v>3193</v>
      </c>
      <c r="AH4280" s="24" t="s">
        <v>3769</v>
      </c>
      <c r="AI4280" s="24" t="s">
        <v>577</v>
      </c>
      <c r="AJ4280" s="24" t="s">
        <v>3768</v>
      </c>
      <c r="AK4280" s="24" t="s">
        <v>3555</v>
      </c>
      <c r="AT4280" s="24" t="s">
        <v>3776</v>
      </c>
      <c r="AU4280" s="24" t="s">
        <v>3776</v>
      </c>
      <c r="AV4280" s="24" t="s">
        <v>177</v>
      </c>
      <c r="AW4280" s="24" t="s">
        <v>160</v>
      </c>
      <c r="AX4280" s="24">
        <v>3</v>
      </c>
      <c r="AY4280" s="24">
        <v>9</v>
      </c>
      <c r="AZ4280" s="24" t="s">
        <v>2121</v>
      </c>
      <c r="BE4280" s="24" t="s">
        <v>3772</v>
      </c>
      <c r="BP4280" s="395"/>
      <c r="BQ4280" s="395"/>
      <c r="BU4280" s="395"/>
      <c r="BV4280" s="395"/>
      <c r="BZ4280" s="395"/>
      <c r="CA4280" s="395"/>
      <c r="CE4280" s="548"/>
      <c r="CF4280" s="548"/>
      <c r="CG4280" s="548"/>
      <c r="CH4280" s="548"/>
      <c r="FL4280" s="24">
        <f>1/2000*100*583.9</f>
        <v>29.195</v>
      </c>
      <c r="FM4280" s="24">
        <f>1/2000*100*590.9</f>
        <v>29.545000000000002</v>
      </c>
      <c r="FP4280" s="24" t="s">
        <v>3782</v>
      </c>
      <c r="JD4280" s="249"/>
    </row>
    <row r="4281" spans="1:264" s="32" customFormat="1" x14ac:dyDescent="0.25">
      <c r="A4281" s="32">
        <v>188</v>
      </c>
      <c r="B4281" s="44" t="s">
        <v>3777</v>
      </c>
      <c r="C4281" s="32" t="s">
        <v>3762</v>
      </c>
      <c r="D4281" s="32" t="s">
        <v>3763</v>
      </c>
      <c r="E4281" s="32">
        <v>2016</v>
      </c>
      <c r="F4281" s="32">
        <v>2013</v>
      </c>
      <c r="G4281" s="32" t="s">
        <v>3766</v>
      </c>
      <c r="H4281" s="32" t="s">
        <v>3765</v>
      </c>
      <c r="I4281" s="32" t="s">
        <v>3461</v>
      </c>
      <c r="J4281" s="32">
        <f t="shared" si="563"/>
        <v>35.35</v>
      </c>
      <c r="K4281" s="32">
        <f t="shared" si="564"/>
        <v>109.93333333333334</v>
      </c>
      <c r="L4281" s="32">
        <v>838</v>
      </c>
      <c r="R4281" s="44" t="s">
        <v>1728</v>
      </c>
      <c r="S4281" s="44" t="s">
        <v>1858</v>
      </c>
      <c r="T4281" s="44"/>
      <c r="U4281" s="44" t="s">
        <v>3764</v>
      </c>
      <c r="V4281" s="44" t="s">
        <v>1379</v>
      </c>
      <c r="W4281" s="44" t="s">
        <v>1715</v>
      </c>
      <c r="X4281" s="44" t="s">
        <v>1379</v>
      </c>
      <c r="Y4281" s="44" t="s">
        <v>1379</v>
      </c>
      <c r="Z4281" s="32">
        <v>1.2</v>
      </c>
      <c r="AA4281" s="323">
        <v>8</v>
      </c>
      <c r="AB4281" s="323">
        <v>67</v>
      </c>
      <c r="AC4281" s="32" t="s">
        <v>450</v>
      </c>
      <c r="AD4281" s="32">
        <v>8.3000000000000007</v>
      </c>
      <c r="AE4281" s="32">
        <v>1.302</v>
      </c>
      <c r="AG4281" s="32" t="s">
        <v>3193</v>
      </c>
      <c r="AH4281" s="32" t="s">
        <v>3769</v>
      </c>
      <c r="AI4281" s="32" t="s">
        <v>577</v>
      </c>
      <c r="AJ4281" s="32" t="s">
        <v>3768</v>
      </c>
      <c r="AK4281" s="32" t="s">
        <v>3555</v>
      </c>
      <c r="AT4281" s="32" t="s">
        <v>3149</v>
      </c>
      <c r="AU4281" s="32" t="s">
        <v>3149</v>
      </c>
      <c r="AV4281" s="32" t="s">
        <v>177</v>
      </c>
      <c r="AW4281" s="32" t="s">
        <v>160</v>
      </c>
      <c r="AX4281" s="32">
        <v>3</v>
      </c>
      <c r="AY4281" s="32">
        <v>9</v>
      </c>
      <c r="AZ4281" s="32" t="s">
        <v>2121</v>
      </c>
      <c r="BE4281" s="32" t="s">
        <v>3770</v>
      </c>
      <c r="BK4281" s="32">
        <v>5200</v>
      </c>
      <c r="BL4281" s="32">
        <v>13000</v>
      </c>
      <c r="BP4281" s="397"/>
      <c r="BQ4281" s="397"/>
      <c r="BU4281" s="397">
        <v>1.36</v>
      </c>
      <c r="BV4281" s="397">
        <v>1.52</v>
      </c>
      <c r="BZ4281" s="397"/>
      <c r="CA4281" s="397"/>
      <c r="CE4281" s="550">
        <v>1.36</v>
      </c>
      <c r="CF4281" s="550">
        <v>1.52</v>
      </c>
      <c r="CG4281" s="550"/>
      <c r="CH4281" s="550"/>
      <c r="CI4281" s="32" t="s">
        <v>4546</v>
      </c>
      <c r="FL4281" s="32">
        <f>1/2000*100*341.7</f>
        <v>17.085000000000001</v>
      </c>
      <c r="FM4281" s="32">
        <f>1/2000*100*338.2</f>
        <v>16.91</v>
      </c>
      <c r="FP4281" s="32" t="s">
        <v>3782</v>
      </c>
      <c r="JD4281" s="243"/>
    </row>
    <row r="4282" spans="1:264" s="32" customFormat="1" x14ac:dyDescent="0.25">
      <c r="A4282" s="32">
        <v>188</v>
      </c>
      <c r="B4282" s="44" t="s">
        <v>3778</v>
      </c>
      <c r="C4282" s="32" t="s">
        <v>3762</v>
      </c>
      <c r="D4282" s="32" t="s">
        <v>3763</v>
      </c>
      <c r="E4282" s="32">
        <v>2016</v>
      </c>
      <c r="F4282" s="32">
        <v>2013</v>
      </c>
      <c r="G4282" s="32" t="s">
        <v>3766</v>
      </c>
      <c r="H4282" s="32" t="s">
        <v>3765</v>
      </c>
      <c r="I4282" s="32" t="s">
        <v>3461</v>
      </c>
      <c r="J4282" s="32">
        <f t="shared" si="563"/>
        <v>35.35</v>
      </c>
      <c r="K4282" s="32">
        <f t="shared" si="564"/>
        <v>109.93333333333334</v>
      </c>
      <c r="L4282" s="32">
        <v>838</v>
      </c>
      <c r="R4282" s="44" t="s">
        <v>1728</v>
      </c>
      <c r="S4282" s="44" t="s">
        <v>1858</v>
      </c>
      <c r="T4282" s="44"/>
      <c r="U4282" s="44" t="s">
        <v>3764</v>
      </c>
      <c r="V4282" s="44" t="s">
        <v>1379</v>
      </c>
      <c r="W4282" s="44" t="s">
        <v>1715</v>
      </c>
      <c r="X4282" s="44" t="s">
        <v>1379</v>
      </c>
      <c r="Y4282" s="44" t="s">
        <v>1379</v>
      </c>
      <c r="Z4282" s="32">
        <v>1.2</v>
      </c>
      <c r="AA4282" s="323">
        <v>8</v>
      </c>
      <c r="AB4282" s="323">
        <v>67</v>
      </c>
      <c r="AC4282" s="32" t="s">
        <v>450</v>
      </c>
      <c r="AD4282" s="32">
        <v>8.3000000000000007</v>
      </c>
      <c r="AE4282" s="32">
        <v>1.302</v>
      </c>
      <c r="AG4282" s="32" t="s">
        <v>3193</v>
      </c>
      <c r="AH4282" s="32" t="s">
        <v>3769</v>
      </c>
      <c r="AI4282" s="32" t="s">
        <v>577</v>
      </c>
      <c r="AJ4282" s="32" t="s">
        <v>3768</v>
      </c>
      <c r="AK4282" s="32" t="s">
        <v>3555</v>
      </c>
      <c r="AT4282" s="32" t="s">
        <v>3773</v>
      </c>
      <c r="AU4282" s="32" t="s">
        <v>3773</v>
      </c>
      <c r="AV4282" s="32" t="s">
        <v>177</v>
      </c>
      <c r="AW4282" s="32" t="s">
        <v>160</v>
      </c>
      <c r="AX4282" s="32">
        <v>3</v>
      </c>
      <c r="AY4282" s="32">
        <v>9</v>
      </c>
      <c r="AZ4282" s="32" t="s">
        <v>2121</v>
      </c>
      <c r="BE4282" s="32" t="s">
        <v>3770</v>
      </c>
      <c r="BK4282" s="32">
        <v>7800</v>
      </c>
      <c r="BL4282" s="32">
        <v>14600</v>
      </c>
      <c r="BP4282" s="397"/>
      <c r="BQ4282" s="397"/>
      <c r="BU4282" s="397">
        <v>1.35</v>
      </c>
      <c r="BV4282" s="397">
        <v>1.65</v>
      </c>
      <c r="BZ4282" s="397"/>
      <c r="CA4282" s="397"/>
      <c r="CE4282" s="550">
        <v>1.35</v>
      </c>
      <c r="CF4282" s="550">
        <v>1.65</v>
      </c>
      <c r="CG4282" s="550"/>
      <c r="CH4282" s="550"/>
      <c r="CI4282" s="32" t="s">
        <v>4546</v>
      </c>
      <c r="FL4282" s="32">
        <f>1/2000*100*361.7</f>
        <v>18.085000000000001</v>
      </c>
      <c r="FM4282" s="32">
        <f>1/2000*100*353.9</f>
        <v>17.695</v>
      </c>
      <c r="FP4282" s="32" t="s">
        <v>3782</v>
      </c>
      <c r="JD4282" s="243"/>
    </row>
    <row r="4283" spans="1:264" s="32" customFormat="1" x14ac:dyDescent="0.25">
      <c r="A4283" s="32">
        <v>188</v>
      </c>
      <c r="B4283" s="44" t="s">
        <v>3779</v>
      </c>
      <c r="C4283" s="32" t="s">
        <v>3762</v>
      </c>
      <c r="D4283" s="32" t="s">
        <v>3763</v>
      </c>
      <c r="E4283" s="32">
        <v>2016</v>
      </c>
      <c r="F4283" s="32">
        <v>2013</v>
      </c>
      <c r="G4283" s="32" t="s">
        <v>3766</v>
      </c>
      <c r="H4283" s="32" t="s">
        <v>3765</v>
      </c>
      <c r="I4283" s="32" t="s">
        <v>3461</v>
      </c>
      <c r="J4283" s="32">
        <f t="shared" si="563"/>
        <v>35.35</v>
      </c>
      <c r="K4283" s="32">
        <f t="shared" si="564"/>
        <v>109.93333333333334</v>
      </c>
      <c r="L4283" s="32">
        <v>838</v>
      </c>
      <c r="R4283" s="44" t="s">
        <v>1728</v>
      </c>
      <c r="S4283" s="44" t="s">
        <v>1858</v>
      </c>
      <c r="T4283" s="44"/>
      <c r="U4283" s="44" t="s">
        <v>3764</v>
      </c>
      <c r="V4283" s="44" t="s">
        <v>1379</v>
      </c>
      <c r="W4283" s="44" t="s">
        <v>1715</v>
      </c>
      <c r="X4283" s="44" t="s">
        <v>1379</v>
      </c>
      <c r="Y4283" s="44" t="s">
        <v>1379</v>
      </c>
      <c r="Z4283" s="32">
        <v>1.2</v>
      </c>
      <c r="AA4283" s="323">
        <v>8</v>
      </c>
      <c r="AB4283" s="323">
        <v>67</v>
      </c>
      <c r="AC4283" s="32" t="s">
        <v>450</v>
      </c>
      <c r="AD4283" s="32">
        <v>8.3000000000000007</v>
      </c>
      <c r="AE4283" s="32">
        <v>1.302</v>
      </c>
      <c r="AG4283" s="32" t="s">
        <v>3193</v>
      </c>
      <c r="AH4283" s="32" t="s">
        <v>3769</v>
      </c>
      <c r="AI4283" s="32" t="s">
        <v>577</v>
      </c>
      <c r="AJ4283" s="32" t="s">
        <v>3768</v>
      </c>
      <c r="AK4283" s="32" t="s">
        <v>3555</v>
      </c>
      <c r="AT4283" s="32" t="s">
        <v>3774</v>
      </c>
      <c r="AU4283" s="32" t="s">
        <v>3774</v>
      </c>
      <c r="AV4283" s="32" t="s">
        <v>177</v>
      </c>
      <c r="AW4283" s="32" t="s">
        <v>160</v>
      </c>
      <c r="AX4283" s="32">
        <v>3</v>
      </c>
      <c r="AY4283" s="32">
        <v>9</v>
      </c>
      <c r="AZ4283" s="32" t="s">
        <v>2121</v>
      </c>
      <c r="BE4283" s="32" t="s">
        <v>3770</v>
      </c>
      <c r="BK4283" s="32">
        <v>9400</v>
      </c>
      <c r="BL4283" s="32">
        <v>18900</v>
      </c>
      <c r="BP4283" s="397"/>
      <c r="BQ4283" s="397"/>
      <c r="BU4283" s="397">
        <v>1.67</v>
      </c>
      <c r="BV4283" s="397">
        <v>1.81</v>
      </c>
      <c r="BZ4283" s="397"/>
      <c r="CA4283" s="397"/>
      <c r="CE4283" s="550">
        <v>1.67</v>
      </c>
      <c r="CF4283" s="550">
        <v>1.81</v>
      </c>
      <c r="CG4283" s="550"/>
      <c r="CH4283" s="550"/>
      <c r="CI4283" s="32" t="s">
        <v>4546</v>
      </c>
      <c r="FL4283" s="32">
        <f>1/2000*100*425.9</f>
        <v>21.295000000000002</v>
      </c>
      <c r="FM4283" s="32">
        <f>1/2000*100*428.6</f>
        <v>21.430000000000003</v>
      </c>
      <c r="FP4283" s="32" t="s">
        <v>3782</v>
      </c>
      <c r="JD4283" s="243"/>
    </row>
    <row r="4284" spans="1:264" s="32" customFormat="1" x14ac:dyDescent="0.25">
      <c r="A4284" s="32">
        <v>188</v>
      </c>
      <c r="B4284" s="44" t="s">
        <v>3780</v>
      </c>
      <c r="C4284" s="32" t="s">
        <v>3762</v>
      </c>
      <c r="D4284" s="32" t="s">
        <v>3763</v>
      </c>
      <c r="E4284" s="32">
        <v>2016</v>
      </c>
      <c r="F4284" s="32">
        <v>2013</v>
      </c>
      <c r="G4284" s="32" t="s">
        <v>3766</v>
      </c>
      <c r="H4284" s="32" t="s">
        <v>3765</v>
      </c>
      <c r="I4284" s="32" t="s">
        <v>3461</v>
      </c>
      <c r="J4284" s="32">
        <f t="shared" si="563"/>
        <v>35.35</v>
      </c>
      <c r="K4284" s="32">
        <f t="shared" si="564"/>
        <v>109.93333333333334</v>
      </c>
      <c r="L4284" s="32">
        <v>838</v>
      </c>
      <c r="R4284" s="44" t="s">
        <v>1728</v>
      </c>
      <c r="S4284" s="44" t="s">
        <v>1858</v>
      </c>
      <c r="T4284" s="44"/>
      <c r="U4284" s="44" t="s">
        <v>3764</v>
      </c>
      <c r="V4284" s="44" t="s">
        <v>1379</v>
      </c>
      <c r="W4284" s="44" t="s">
        <v>1715</v>
      </c>
      <c r="X4284" s="44" t="s">
        <v>1379</v>
      </c>
      <c r="Y4284" s="44" t="s">
        <v>1379</v>
      </c>
      <c r="Z4284" s="32">
        <v>1.2</v>
      </c>
      <c r="AA4284" s="323">
        <v>8</v>
      </c>
      <c r="AB4284" s="323">
        <v>67</v>
      </c>
      <c r="AC4284" s="32" t="s">
        <v>450</v>
      </c>
      <c r="AD4284" s="32">
        <v>8.3000000000000007</v>
      </c>
      <c r="AE4284" s="32">
        <v>1.302</v>
      </c>
      <c r="AG4284" s="32" t="s">
        <v>3193</v>
      </c>
      <c r="AH4284" s="32" t="s">
        <v>3769</v>
      </c>
      <c r="AI4284" s="32" t="s">
        <v>577</v>
      </c>
      <c r="AJ4284" s="32" t="s">
        <v>3768</v>
      </c>
      <c r="AK4284" s="32" t="s">
        <v>3555</v>
      </c>
      <c r="AT4284" s="32" t="s">
        <v>3775</v>
      </c>
      <c r="AU4284" s="32" t="s">
        <v>3775</v>
      </c>
      <c r="AV4284" s="32" t="s">
        <v>177</v>
      </c>
      <c r="AW4284" s="32" t="s">
        <v>160</v>
      </c>
      <c r="AX4284" s="32">
        <v>3</v>
      </c>
      <c r="AY4284" s="32">
        <v>9</v>
      </c>
      <c r="AZ4284" s="32" t="s">
        <v>2121</v>
      </c>
      <c r="BE4284" s="32" t="s">
        <v>3770</v>
      </c>
      <c r="BK4284" s="32">
        <v>12900</v>
      </c>
      <c r="BL4284" s="32">
        <v>20800</v>
      </c>
      <c r="BP4284" s="397"/>
      <c r="BQ4284" s="397"/>
      <c r="BU4284" s="397">
        <v>1.39</v>
      </c>
      <c r="BV4284" s="397">
        <v>1.57</v>
      </c>
      <c r="BZ4284" s="397"/>
      <c r="CA4284" s="397"/>
      <c r="CE4284" s="550">
        <v>1.39</v>
      </c>
      <c r="CF4284" s="550">
        <v>1.57</v>
      </c>
      <c r="CG4284" s="550"/>
      <c r="CH4284" s="550"/>
      <c r="CI4284" s="32" t="s">
        <v>4546</v>
      </c>
      <c r="FL4284" s="32">
        <f>1/2000*100*358</f>
        <v>17.900000000000002</v>
      </c>
      <c r="FM4284" s="32">
        <f>1/2000*100*400.6</f>
        <v>20.03</v>
      </c>
      <c r="FP4284" s="32" t="s">
        <v>3782</v>
      </c>
      <c r="JD4284" s="243"/>
    </row>
    <row r="4285" spans="1:264" s="32" customFormat="1" x14ac:dyDescent="0.25">
      <c r="A4285" s="32">
        <v>188</v>
      </c>
      <c r="B4285" s="44" t="s">
        <v>3781</v>
      </c>
      <c r="C4285" s="32" t="s">
        <v>3762</v>
      </c>
      <c r="D4285" s="32" t="s">
        <v>3763</v>
      </c>
      <c r="E4285" s="32">
        <v>2016</v>
      </c>
      <c r="F4285" s="32">
        <v>2013</v>
      </c>
      <c r="G4285" s="32" t="s">
        <v>3766</v>
      </c>
      <c r="H4285" s="32" t="s">
        <v>3765</v>
      </c>
      <c r="I4285" s="32" t="s">
        <v>3461</v>
      </c>
      <c r="J4285" s="32">
        <f t="shared" si="563"/>
        <v>35.35</v>
      </c>
      <c r="K4285" s="32">
        <f t="shared" si="564"/>
        <v>109.93333333333334</v>
      </c>
      <c r="L4285" s="32">
        <v>838</v>
      </c>
      <c r="R4285" s="44" t="s">
        <v>1728</v>
      </c>
      <c r="S4285" s="44" t="s">
        <v>1858</v>
      </c>
      <c r="T4285" s="44"/>
      <c r="U4285" s="44" t="s">
        <v>3764</v>
      </c>
      <c r="V4285" s="44" t="s">
        <v>1379</v>
      </c>
      <c r="W4285" s="44" t="s">
        <v>1715</v>
      </c>
      <c r="X4285" s="44" t="s">
        <v>1379</v>
      </c>
      <c r="Y4285" s="44" t="s">
        <v>1379</v>
      </c>
      <c r="Z4285" s="32">
        <v>1.2</v>
      </c>
      <c r="AA4285" s="323">
        <v>8</v>
      </c>
      <c r="AB4285" s="323">
        <v>67</v>
      </c>
      <c r="AC4285" s="32" t="s">
        <v>450</v>
      </c>
      <c r="AD4285" s="32">
        <v>8.3000000000000007</v>
      </c>
      <c r="AE4285" s="32">
        <v>1.302</v>
      </c>
      <c r="AG4285" s="32" t="s">
        <v>3193</v>
      </c>
      <c r="AH4285" s="32" t="s">
        <v>3769</v>
      </c>
      <c r="AI4285" s="32" t="s">
        <v>577</v>
      </c>
      <c r="AJ4285" s="32" t="s">
        <v>3768</v>
      </c>
      <c r="AK4285" s="32" t="s">
        <v>3555</v>
      </c>
      <c r="AT4285" s="32" t="s">
        <v>3776</v>
      </c>
      <c r="AU4285" s="32" t="s">
        <v>3776</v>
      </c>
      <c r="AV4285" s="32" t="s">
        <v>177</v>
      </c>
      <c r="AW4285" s="32" t="s">
        <v>160</v>
      </c>
      <c r="AX4285" s="32">
        <v>3</v>
      </c>
      <c r="AY4285" s="32">
        <v>9</v>
      </c>
      <c r="AZ4285" s="32" t="s">
        <v>2121</v>
      </c>
      <c r="BE4285" s="32" t="s">
        <v>3770</v>
      </c>
      <c r="BK4285" s="32">
        <v>17200</v>
      </c>
      <c r="BL4285" s="32">
        <v>21700</v>
      </c>
      <c r="BP4285" s="397"/>
      <c r="BQ4285" s="397"/>
      <c r="BU4285" s="397">
        <v>1.58</v>
      </c>
      <c r="BV4285" s="397">
        <v>1.76</v>
      </c>
      <c r="BZ4285" s="397"/>
      <c r="CA4285" s="397"/>
      <c r="CE4285" s="550">
        <v>1.58</v>
      </c>
      <c r="CF4285" s="550">
        <v>1.76</v>
      </c>
      <c r="CG4285" s="550"/>
      <c r="CH4285" s="550"/>
      <c r="CI4285" s="32" t="s">
        <v>4546</v>
      </c>
      <c r="FL4285" s="32">
        <f>1/2000*100*482</f>
        <v>24.1</v>
      </c>
      <c r="FM4285" s="32">
        <f>1/2000*100*462</f>
        <v>23.1</v>
      </c>
      <c r="FP4285" s="32" t="s">
        <v>3782</v>
      </c>
      <c r="JD4285" s="243"/>
    </row>
    <row r="4286" spans="1:264" s="105" customFormat="1" x14ac:dyDescent="0.25">
      <c r="A4286" s="105">
        <v>188</v>
      </c>
      <c r="B4286" s="106" t="s">
        <v>3777</v>
      </c>
      <c r="C4286" s="105" t="s">
        <v>3762</v>
      </c>
      <c r="D4286" s="105" t="s">
        <v>3763</v>
      </c>
      <c r="E4286" s="105">
        <v>2016</v>
      </c>
      <c r="F4286" s="32">
        <v>2013</v>
      </c>
      <c r="G4286" s="105" t="s">
        <v>3766</v>
      </c>
      <c r="H4286" s="105" t="s">
        <v>3765</v>
      </c>
      <c r="I4286" s="105" t="s">
        <v>3461</v>
      </c>
      <c r="J4286" s="105">
        <f t="shared" si="563"/>
        <v>35.35</v>
      </c>
      <c r="K4286" s="105">
        <f t="shared" si="564"/>
        <v>109.93333333333334</v>
      </c>
      <c r="L4286" s="105">
        <v>838</v>
      </c>
      <c r="R4286" s="106" t="s">
        <v>1728</v>
      </c>
      <c r="S4286" s="106" t="s">
        <v>1858</v>
      </c>
      <c r="T4286" s="106"/>
      <c r="U4286" s="106" t="s">
        <v>3764</v>
      </c>
      <c r="V4286" s="106" t="s">
        <v>1383</v>
      </c>
      <c r="W4286" s="106" t="s">
        <v>1715</v>
      </c>
      <c r="X4286" s="106" t="s">
        <v>1383</v>
      </c>
      <c r="Y4286" s="106" t="s">
        <v>1383</v>
      </c>
      <c r="Z4286" s="105">
        <v>1.385</v>
      </c>
      <c r="AA4286" s="354">
        <v>8</v>
      </c>
      <c r="AB4286" s="354">
        <v>67</v>
      </c>
      <c r="AC4286" s="105" t="s">
        <v>450</v>
      </c>
      <c r="AD4286" s="105">
        <v>8.3000000000000007</v>
      </c>
      <c r="AE4286" s="105">
        <v>1.302</v>
      </c>
      <c r="AG4286" s="105" t="s">
        <v>3193</v>
      </c>
      <c r="AH4286" s="105" t="s">
        <v>3769</v>
      </c>
      <c r="AI4286" s="105" t="s">
        <v>577</v>
      </c>
      <c r="AJ4286" s="105" t="s">
        <v>3768</v>
      </c>
      <c r="AK4286" s="105" t="s">
        <v>3555</v>
      </c>
      <c r="AT4286" s="105" t="s">
        <v>3149</v>
      </c>
      <c r="AU4286" s="105" t="s">
        <v>3149</v>
      </c>
      <c r="AV4286" s="105" t="s">
        <v>177</v>
      </c>
      <c r="AW4286" s="105" t="s">
        <v>160</v>
      </c>
      <c r="AX4286" s="105">
        <v>3</v>
      </c>
      <c r="AY4286" s="105">
        <v>9</v>
      </c>
      <c r="AZ4286" s="105" t="s">
        <v>2121</v>
      </c>
      <c r="BE4286" s="105" t="s">
        <v>3771</v>
      </c>
      <c r="BP4286" s="429"/>
      <c r="BQ4286" s="429"/>
      <c r="BU4286" s="429">
        <v>1.31</v>
      </c>
      <c r="BV4286" s="429">
        <v>1.33</v>
      </c>
      <c r="BZ4286" s="429"/>
      <c r="CA4286" s="429"/>
      <c r="CE4286" s="582">
        <v>1.31</v>
      </c>
      <c r="CF4286" s="582">
        <v>1.33</v>
      </c>
      <c r="CG4286" s="582"/>
      <c r="CH4286" s="582"/>
      <c r="CI4286" s="32" t="s">
        <v>4546</v>
      </c>
      <c r="FL4286" s="105">
        <f>1/2000*100*354.5</f>
        <v>17.725000000000001</v>
      </c>
      <c r="FM4286" s="105">
        <f>1/2000*100*319.8</f>
        <v>15.990000000000002</v>
      </c>
      <c r="FP4286" s="105" t="s">
        <v>3782</v>
      </c>
      <c r="JD4286" s="499"/>
    </row>
    <row r="4287" spans="1:264" s="105" customFormat="1" x14ac:dyDescent="0.25">
      <c r="A4287" s="105">
        <v>188</v>
      </c>
      <c r="B4287" s="106" t="s">
        <v>3778</v>
      </c>
      <c r="C4287" s="105" t="s">
        <v>3762</v>
      </c>
      <c r="D4287" s="105" t="s">
        <v>3763</v>
      </c>
      <c r="E4287" s="105">
        <v>2016</v>
      </c>
      <c r="F4287" s="32">
        <v>2013</v>
      </c>
      <c r="G4287" s="105" t="s">
        <v>3766</v>
      </c>
      <c r="H4287" s="105" t="s">
        <v>3765</v>
      </c>
      <c r="I4287" s="105" t="s">
        <v>3461</v>
      </c>
      <c r="J4287" s="105">
        <f t="shared" si="563"/>
        <v>35.35</v>
      </c>
      <c r="K4287" s="105">
        <f t="shared" si="564"/>
        <v>109.93333333333334</v>
      </c>
      <c r="L4287" s="105">
        <v>838</v>
      </c>
      <c r="R4287" s="106" t="s">
        <v>1728</v>
      </c>
      <c r="S4287" s="106" t="s">
        <v>1858</v>
      </c>
      <c r="T4287" s="106"/>
      <c r="U4287" s="106" t="s">
        <v>3764</v>
      </c>
      <c r="V4287" s="106" t="s">
        <v>1383</v>
      </c>
      <c r="W4287" s="106" t="s">
        <v>1715</v>
      </c>
      <c r="X4287" s="106" t="s">
        <v>1383</v>
      </c>
      <c r="Y4287" s="106" t="s">
        <v>1383</v>
      </c>
      <c r="Z4287" s="105">
        <v>1.385</v>
      </c>
      <c r="AA4287" s="354">
        <v>8</v>
      </c>
      <c r="AB4287" s="354">
        <v>67</v>
      </c>
      <c r="AC4287" s="105" t="s">
        <v>450</v>
      </c>
      <c r="AD4287" s="105">
        <v>8.3000000000000007</v>
      </c>
      <c r="AE4287" s="105">
        <v>1.302</v>
      </c>
      <c r="AG4287" s="105" t="s">
        <v>3193</v>
      </c>
      <c r="AH4287" s="105" t="s">
        <v>3769</v>
      </c>
      <c r="AI4287" s="105" t="s">
        <v>577</v>
      </c>
      <c r="AJ4287" s="105" t="s">
        <v>3768</v>
      </c>
      <c r="AK4287" s="105" t="s">
        <v>3555</v>
      </c>
      <c r="AT4287" s="105" t="s">
        <v>3773</v>
      </c>
      <c r="AU4287" s="105" t="s">
        <v>3773</v>
      </c>
      <c r="AV4287" s="105" t="s">
        <v>177</v>
      </c>
      <c r="AW4287" s="105" t="s">
        <v>160</v>
      </c>
      <c r="AX4287" s="105">
        <v>3</v>
      </c>
      <c r="AY4287" s="105">
        <v>9</v>
      </c>
      <c r="AZ4287" s="105" t="s">
        <v>2121</v>
      </c>
      <c r="BE4287" s="105" t="s">
        <v>3771</v>
      </c>
      <c r="BP4287" s="429"/>
      <c r="BQ4287" s="429"/>
      <c r="BU4287" s="429">
        <v>1.33</v>
      </c>
      <c r="BV4287" s="429">
        <v>1.46</v>
      </c>
      <c r="BZ4287" s="429"/>
      <c r="CA4287" s="429"/>
      <c r="CE4287" s="582">
        <v>1.33</v>
      </c>
      <c r="CF4287" s="582">
        <v>1.46</v>
      </c>
      <c r="CG4287" s="582"/>
      <c r="CH4287" s="582"/>
      <c r="CI4287" s="32" t="s">
        <v>4546</v>
      </c>
      <c r="FL4287" s="105">
        <f>1/2000*100*413.2</f>
        <v>20.66</v>
      </c>
      <c r="FM4287" s="105">
        <f>1/2000*100*321.8</f>
        <v>16.09</v>
      </c>
      <c r="FP4287" s="105" t="s">
        <v>3782</v>
      </c>
      <c r="JD4287" s="499"/>
    </row>
    <row r="4288" spans="1:264" s="105" customFormat="1" x14ac:dyDescent="0.25">
      <c r="A4288" s="105">
        <v>188</v>
      </c>
      <c r="B4288" s="106" t="s">
        <v>3779</v>
      </c>
      <c r="C4288" s="105" t="s">
        <v>3762</v>
      </c>
      <c r="D4288" s="105" t="s">
        <v>3763</v>
      </c>
      <c r="E4288" s="105">
        <v>2016</v>
      </c>
      <c r="F4288" s="32">
        <v>2013</v>
      </c>
      <c r="G4288" s="105" t="s">
        <v>3766</v>
      </c>
      <c r="H4288" s="105" t="s">
        <v>3765</v>
      </c>
      <c r="I4288" s="105" t="s">
        <v>3461</v>
      </c>
      <c r="J4288" s="105">
        <f t="shared" si="563"/>
        <v>35.35</v>
      </c>
      <c r="K4288" s="105">
        <f t="shared" si="564"/>
        <v>109.93333333333334</v>
      </c>
      <c r="L4288" s="105">
        <v>838</v>
      </c>
      <c r="R4288" s="106" t="s">
        <v>1728</v>
      </c>
      <c r="S4288" s="106" t="s">
        <v>1858</v>
      </c>
      <c r="T4288" s="106"/>
      <c r="U4288" s="106" t="s">
        <v>3764</v>
      </c>
      <c r="V4288" s="106" t="s">
        <v>1383</v>
      </c>
      <c r="W4288" s="106" t="s">
        <v>1715</v>
      </c>
      <c r="X4288" s="106" t="s">
        <v>1383</v>
      </c>
      <c r="Y4288" s="106" t="s">
        <v>1383</v>
      </c>
      <c r="Z4288" s="105">
        <v>1.385</v>
      </c>
      <c r="AA4288" s="354">
        <v>8</v>
      </c>
      <c r="AB4288" s="354">
        <v>67</v>
      </c>
      <c r="AC4288" s="105" t="s">
        <v>450</v>
      </c>
      <c r="AD4288" s="105">
        <v>8.3000000000000007</v>
      </c>
      <c r="AE4288" s="105">
        <v>1.302</v>
      </c>
      <c r="AG4288" s="105" t="s">
        <v>3193</v>
      </c>
      <c r="AH4288" s="105" t="s">
        <v>3769</v>
      </c>
      <c r="AI4288" s="105" t="s">
        <v>577</v>
      </c>
      <c r="AJ4288" s="105" t="s">
        <v>3768</v>
      </c>
      <c r="AK4288" s="105" t="s">
        <v>3555</v>
      </c>
      <c r="AT4288" s="105" t="s">
        <v>3774</v>
      </c>
      <c r="AU4288" s="105" t="s">
        <v>3774</v>
      </c>
      <c r="AV4288" s="105" t="s">
        <v>177</v>
      </c>
      <c r="AW4288" s="105" t="s">
        <v>160</v>
      </c>
      <c r="AX4288" s="105">
        <v>3</v>
      </c>
      <c r="AY4288" s="105">
        <v>9</v>
      </c>
      <c r="AZ4288" s="105" t="s">
        <v>2121</v>
      </c>
      <c r="BE4288" s="105" t="s">
        <v>3771</v>
      </c>
      <c r="BP4288" s="429"/>
      <c r="BQ4288" s="429"/>
      <c r="BU4288" s="429">
        <v>1.48</v>
      </c>
      <c r="BV4288" s="429">
        <v>1.59</v>
      </c>
      <c r="BZ4288" s="429"/>
      <c r="CA4288" s="429"/>
      <c r="CE4288" s="582">
        <v>1.48</v>
      </c>
      <c r="CF4288" s="582">
        <v>1.59</v>
      </c>
      <c r="CG4288" s="582"/>
      <c r="CH4288" s="582"/>
      <c r="CI4288" s="32" t="s">
        <v>4546</v>
      </c>
      <c r="FL4288" s="105">
        <f>1/2000*100*427.7</f>
        <v>21.385000000000002</v>
      </c>
      <c r="FM4288" s="105">
        <f>1/2000*100*402.3</f>
        <v>20.115000000000002</v>
      </c>
      <c r="FP4288" s="105" t="s">
        <v>3782</v>
      </c>
      <c r="JD4288" s="499"/>
    </row>
    <row r="4289" spans="1:264" s="105" customFormat="1" x14ac:dyDescent="0.25">
      <c r="A4289" s="105">
        <v>188</v>
      </c>
      <c r="B4289" s="106" t="s">
        <v>3780</v>
      </c>
      <c r="C4289" s="105" t="s">
        <v>3762</v>
      </c>
      <c r="D4289" s="105" t="s">
        <v>3763</v>
      </c>
      <c r="E4289" s="105">
        <v>2016</v>
      </c>
      <c r="F4289" s="32">
        <v>2013</v>
      </c>
      <c r="G4289" s="105" t="s">
        <v>3766</v>
      </c>
      <c r="H4289" s="105" t="s">
        <v>3765</v>
      </c>
      <c r="I4289" s="105" t="s">
        <v>3461</v>
      </c>
      <c r="J4289" s="105">
        <f t="shared" si="563"/>
        <v>35.35</v>
      </c>
      <c r="K4289" s="105">
        <f t="shared" si="564"/>
        <v>109.93333333333334</v>
      </c>
      <c r="L4289" s="105">
        <v>838</v>
      </c>
      <c r="R4289" s="106" t="s">
        <v>1728</v>
      </c>
      <c r="S4289" s="106" t="s">
        <v>1858</v>
      </c>
      <c r="T4289" s="106"/>
      <c r="U4289" s="106" t="s">
        <v>3764</v>
      </c>
      <c r="V4289" s="106" t="s">
        <v>1383</v>
      </c>
      <c r="W4289" s="106" t="s">
        <v>1715</v>
      </c>
      <c r="X4289" s="106" t="s">
        <v>1383</v>
      </c>
      <c r="Y4289" s="106" t="s">
        <v>1383</v>
      </c>
      <c r="Z4289" s="105">
        <v>1.385</v>
      </c>
      <c r="AA4289" s="354">
        <v>8</v>
      </c>
      <c r="AB4289" s="354">
        <v>67</v>
      </c>
      <c r="AC4289" s="105" t="s">
        <v>450</v>
      </c>
      <c r="AD4289" s="105">
        <v>8.3000000000000007</v>
      </c>
      <c r="AE4289" s="105">
        <v>1.302</v>
      </c>
      <c r="AG4289" s="105" t="s">
        <v>3193</v>
      </c>
      <c r="AH4289" s="105" t="s">
        <v>3769</v>
      </c>
      <c r="AI4289" s="105" t="s">
        <v>577</v>
      </c>
      <c r="AJ4289" s="105" t="s">
        <v>3768</v>
      </c>
      <c r="AK4289" s="105" t="s">
        <v>3555</v>
      </c>
      <c r="AT4289" s="105" t="s">
        <v>3775</v>
      </c>
      <c r="AU4289" s="105" t="s">
        <v>3775</v>
      </c>
      <c r="AV4289" s="105" t="s">
        <v>177</v>
      </c>
      <c r="AW4289" s="105" t="s">
        <v>160</v>
      </c>
      <c r="AX4289" s="105">
        <v>3</v>
      </c>
      <c r="AY4289" s="105">
        <v>9</v>
      </c>
      <c r="AZ4289" s="105" t="s">
        <v>2121</v>
      </c>
      <c r="BE4289" s="105" t="s">
        <v>3771</v>
      </c>
      <c r="BP4289" s="429"/>
      <c r="BQ4289" s="429"/>
      <c r="BU4289" s="429">
        <v>1.35</v>
      </c>
      <c r="BV4289" s="429">
        <v>1.42</v>
      </c>
      <c r="BZ4289" s="429"/>
      <c r="CA4289" s="429"/>
      <c r="CE4289" s="582">
        <v>1.35</v>
      </c>
      <c r="CF4289" s="582">
        <v>1.42</v>
      </c>
      <c r="CG4289" s="582"/>
      <c r="CH4289" s="582"/>
      <c r="CI4289" s="32" t="s">
        <v>4546</v>
      </c>
      <c r="FL4289" s="105">
        <f>1/2000*100*402</f>
        <v>20.100000000000001</v>
      </c>
      <c r="FM4289" s="105">
        <f>1/2000*100*375</f>
        <v>18.75</v>
      </c>
      <c r="FP4289" s="105" t="s">
        <v>3782</v>
      </c>
      <c r="JD4289" s="499"/>
    </row>
    <row r="4290" spans="1:264" s="105" customFormat="1" x14ac:dyDescent="0.25">
      <c r="A4290" s="105">
        <v>188</v>
      </c>
      <c r="B4290" s="106" t="s">
        <v>3781</v>
      </c>
      <c r="C4290" s="105" t="s">
        <v>3762</v>
      </c>
      <c r="D4290" s="105" t="s">
        <v>3763</v>
      </c>
      <c r="E4290" s="105">
        <v>2016</v>
      </c>
      <c r="F4290" s="32">
        <v>2013</v>
      </c>
      <c r="G4290" s="105" t="s">
        <v>3766</v>
      </c>
      <c r="H4290" s="105" t="s">
        <v>3765</v>
      </c>
      <c r="I4290" s="105" t="s">
        <v>3461</v>
      </c>
      <c r="J4290" s="105">
        <f t="shared" si="563"/>
        <v>35.35</v>
      </c>
      <c r="K4290" s="105">
        <f t="shared" si="564"/>
        <v>109.93333333333334</v>
      </c>
      <c r="L4290" s="105">
        <v>838</v>
      </c>
      <c r="R4290" s="106" t="s">
        <v>1728</v>
      </c>
      <c r="S4290" s="106" t="s">
        <v>1858</v>
      </c>
      <c r="T4290" s="106"/>
      <c r="U4290" s="106" t="s">
        <v>3764</v>
      </c>
      <c r="V4290" s="106" t="s">
        <v>1383</v>
      </c>
      <c r="W4290" s="106" t="s">
        <v>1715</v>
      </c>
      <c r="X4290" s="106" t="s">
        <v>1383</v>
      </c>
      <c r="Y4290" s="106" t="s">
        <v>1383</v>
      </c>
      <c r="Z4290" s="105">
        <v>1.385</v>
      </c>
      <c r="AA4290" s="354">
        <v>8</v>
      </c>
      <c r="AB4290" s="354">
        <v>67</v>
      </c>
      <c r="AC4290" s="105" t="s">
        <v>450</v>
      </c>
      <c r="AD4290" s="105">
        <v>8.3000000000000007</v>
      </c>
      <c r="AE4290" s="105">
        <v>1.302</v>
      </c>
      <c r="AG4290" s="105" t="s">
        <v>3193</v>
      </c>
      <c r="AH4290" s="105" t="s">
        <v>3769</v>
      </c>
      <c r="AI4290" s="105" t="s">
        <v>577</v>
      </c>
      <c r="AJ4290" s="105" t="s">
        <v>3768</v>
      </c>
      <c r="AK4290" s="105" t="s">
        <v>3555</v>
      </c>
      <c r="AT4290" s="105" t="s">
        <v>3776</v>
      </c>
      <c r="AU4290" s="105" t="s">
        <v>3776</v>
      </c>
      <c r="AV4290" s="105" t="s">
        <v>177</v>
      </c>
      <c r="AW4290" s="105" t="s">
        <v>160</v>
      </c>
      <c r="AX4290" s="105">
        <v>3</v>
      </c>
      <c r="AY4290" s="105">
        <v>9</v>
      </c>
      <c r="AZ4290" s="105" t="s">
        <v>2121</v>
      </c>
      <c r="BE4290" s="105" t="s">
        <v>3771</v>
      </c>
      <c r="BP4290" s="429"/>
      <c r="BQ4290" s="429"/>
      <c r="BU4290" s="429">
        <v>1.43</v>
      </c>
      <c r="BV4290" s="429">
        <v>1.6</v>
      </c>
      <c r="BZ4290" s="429"/>
      <c r="CA4290" s="429"/>
      <c r="CE4290" s="582">
        <v>1.43</v>
      </c>
      <c r="CF4290" s="582">
        <v>1.6</v>
      </c>
      <c r="CG4290" s="582"/>
      <c r="CH4290" s="582"/>
      <c r="CI4290" s="32" t="s">
        <v>4546</v>
      </c>
      <c r="FL4290" s="105">
        <f>1/2000*100*475.2</f>
        <v>23.76</v>
      </c>
      <c r="FM4290" s="105">
        <f>1/2000*100*420.2</f>
        <v>21.01</v>
      </c>
      <c r="FP4290" s="105" t="s">
        <v>3782</v>
      </c>
      <c r="JD4290" s="499"/>
    </row>
    <row r="4291" spans="1:264" s="32" customFormat="1" x14ac:dyDescent="0.25">
      <c r="A4291" s="32">
        <v>188</v>
      </c>
      <c r="B4291" s="44" t="s">
        <v>3777</v>
      </c>
      <c r="C4291" s="32" t="s">
        <v>3762</v>
      </c>
      <c r="D4291" s="32" t="s">
        <v>3763</v>
      </c>
      <c r="E4291" s="32">
        <v>2016</v>
      </c>
      <c r="F4291" s="32">
        <v>2013</v>
      </c>
      <c r="G4291" s="32" t="s">
        <v>3766</v>
      </c>
      <c r="H4291" s="32" t="s">
        <v>3765</v>
      </c>
      <c r="I4291" s="32" t="s">
        <v>3461</v>
      </c>
      <c r="J4291" s="32">
        <f t="shared" si="563"/>
        <v>35.35</v>
      </c>
      <c r="K4291" s="32">
        <f t="shared" si="564"/>
        <v>109.93333333333334</v>
      </c>
      <c r="L4291" s="32">
        <v>838</v>
      </c>
      <c r="R4291" s="44" t="s">
        <v>1728</v>
      </c>
      <c r="S4291" s="44" t="s">
        <v>1858</v>
      </c>
      <c r="T4291" s="44"/>
      <c r="U4291" s="44" t="s">
        <v>3764</v>
      </c>
      <c r="V4291" s="44" t="s">
        <v>1438</v>
      </c>
      <c r="W4291" s="44" t="s">
        <v>3767</v>
      </c>
      <c r="X4291" s="44" t="s">
        <v>1438</v>
      </c>
      <c r="Y4291" s="44" t="s">
        <v>1438</v>
      </c>
      <c r="Z4291" s="32">
        <f t="shared" ref="Z4291:Z4310" si="566">(1.2+1.385)/2</f>
        <v>1.2925</v>
      </c>
      <c r="AA4291" s="323">
        <v>8</v>
      </c>
      <c r="AB4291" s="323">
        <v>67</v>
      </c>
      <c r="AC4291" s="32" t="s">
        <v>450</v>
      </c>
      <c r="AD4291" s="32">
        <v>8.3000000000000007</v>
      </c>
      <c r="AE4291" s="32">
        <v>1.302</v>
      </c>
      <c r="AG4291" s="32" t="s">
        <v>3193</v>
      </c>
      <c r="AH4291" s="32" t="s">
        <v>3769</v>
      </c>
      <c r="AI4291" s="32" t="s">
        <v>577</v>
      </c>
      <c r="AJ4291" s="32" t="s">
        <v>3768</v>
      </c>
      <c r="AK4291" s="32" t="s">
        <v>3555</v>
      </c>
      <c r="AT4291" s="32" t="s">
        <v>3149</v>
      </c>
      <c r="AU4291" s="32" t="s">
        <v>3149</v>
      </c>
      <c r="AV4291" s="32" t="s">
        <v>177</v>
      </c>
      <c r="AW4291" s="32" t="s">
        <v>160</v>
      </c>
      <c r="AX4291" s="32">
        <v>3</v>
      </c>
      <c r="AY4291" s="32">
        <v>9</v>
      </c>
      <c r="AZ4291" s="32" t="s">
        <v>2121</v>
      </c>
      <c r="BE4291" s="32" t="s">
        <v>3772</v>
      </c>
      <c r="BP4291" s="397"/>
      <c r="BQ4291" s="397"/>
      <c r="BU4291" s="397"/>
      <c r="BV4291" s="397"/>
      <c r="BZ4291" s="397"/>
      <c r="CA4291" s="397"/>
      <c r="CE4291" s="550"/>
      <c r="CF4291" s="550"/>
      <c r="CG4291" s="550"/>
      <c r="CH4291" s="550"/>
      <c r="FL4291" s="32">
        <f>1/2000*100*306.4</f>
        <v>15.32</v>
      </c>
      <c r="FM4291" s="32">
        <f>1/2000*100*320.7</f>
        <v>16.035</v>
      </c>
      <c r="FP4291" s="32" t="s">
        <v>3782</v>
      </c>
      <c r="JD4291" s="243"/>
    </row>
    <row r="4292" spans="1:264" s="32" customFormat="1" x14ac:dyDescent="0.25">
      <c r="A4292" s="32">
        <v>188</v>
      </c>
      <c r="B4292" s="44" t="s">
        <v>3778</v>
      </c>
      <c r="C4292" s="32" t="s">
        <v>3762</v>
      </c>
      <c r="D4292" s="32" t="s">
        <v>3763</v>
      </c>
      <c r="E4292" s="32">
        <v>2016</v>
      </c>
      <c r="F4292" s="32">
        <v>2013</v>
      </c>
      <c r="G4292" s="32" t="s">
        <v>3766</v>
      </c>
      <c r="H4292" s="32" t="s">
        <v>3765</v>
      </c>
      <c r="I4292" s="32" t="s">
        <v>3461</v>
      </c>
      <c r="J4292" s="32">
        <f t="shared" si="563"/>
        <v>35.35</v>
      </c>
      <c r="K4292" s="32">
        <f t="shared" si="564"/>
        <v>109.93333333333334</v>
      </c>
      <c r="L4292" s="32">
        <v>838</v>
      </c>
      <c r="R4292" s="44" t="s">
        <v>1728</v>
      </c>
      <c r="S4292" s="44" t="s">
        <v>1858</v>
      </c>
      <c r="T4292" s="44"/>
      <c r="U4292" s="44" t="s">
        <v>3764</v>
      </c>
      <c r="V4292" s="44" t="s">
        <v>1438</v>
      </c>
      <c r="W4292" s="44" t="s">
        <v>3767</v>
      </c>
      <c r="X4292" s="44" t="s">
        <v>1438</v>
      </c>
      <c r="Y4292" s="44" t="s">
        <v>1438</v>
      </c>
      <c r="Z4292" s="32">
        <f t="shared" si="566"/>
        <v>1.2925</v>
      </c>
      <c r="AA4292" s="323">
        <v>8</v>
      </c>
      <c r="AB4292" s="323">
        <v>67</v>
      </c>
      <c r="AC4292" s="32" t="s">
        <v>450</v>
      </c>
      <c r="AD4292" s="32">
        <v>8.3000000000000007</v>
      </c>
      <c r="AE4292" s="32">
        <v>1.302</v>
      </c>
      <c r="AG4292" s="32" t="s">
        <v>3193</v>
      </c>
      <c r="AH4292" s="32" t="s">
        <v>3769</v>
      </c>
      <c r="AI4292" s="32" t="s">
        <v>577</v>
      </c>
      <c r="AJ4292" s="32" t="s">
        <v>3768</v>
      </c>
      <c r="AK4292" s="32" t="s">
        <v>3555</v>
      </c>
      <c r="AT4292" s="32" t="s">
        <v>3773</v>
      </c>
      <c r="AU4292" s="32" t="s">
        <v>3773</v>
      </c>
      <c r="AV4292" s="32" t="s">
        <v>177</v>
      </c>
      <c r="AW4292" s="32" t="s">
        <v>160</v>
      </c>
      <c r="AX4292" s="32">
        <v>3</v>
      </c>
      <c r="AY4292" s="32">
        <v>9</v>
      </c>
      <c r="AZ4292" s="32" t="s">
        <v>2121</v>
      </c>
      <c r="BE4292" s="32" t="s">
        <v>3772</v>
      </c>
      <c r="BP4292" s="397"/>
      <c r="BQ4292" s="397"/>
      <c r="BU4292" s="397"/>
      <c r="BV4292" s="397"/>
      <c r="BZ4292" s="397"/>
      <c r="CA4292" s="397"/>
      <c r="CE4292" s="550"/>
      <c r="CF4292" s="550"/>
      <c r="CG4292" s="550"/>
      <c r="CH4292" s="550"/>
      <c r="FL4292" s="32">
        <f>1/2000*100*356.9</f>
        <v>17.844999999999999</v>
      </c>
      <c r="FM4292" s="32">
        <f>1/2000*100*318.5</f>
        <v>15.925000000000001</v>
      </c>
      <c r="FP4292" s="32" t="s">
        <v>3782</v>
      </c>
      <c r="JD4292" s="243"/>
    </row>
    <row r="4293" spans="1:264" s="32" customFormat="1" x14ac:dyDescent="0.25">
      <c r="A4293" s="32">
        <v>188</v>
      </c>
      <c r="B4293" s="44" t="s">
        <v>3779</v>
      </c>
      <c r="C4293" s="32" t="s">
        <v>3762</v>
      </c>
      <c r="D4293" s="32" t="s">
        <v>3763</v>
      </c>
      <c r="E4293" s="32">
        <v>2016</v>
      </c>
      <c r="F4293" s="32">
        <v>2013</v>
      </c>
      <c r="G4293" s="32" t="s">
        <v>3766</v>
      </c>
      <c r="H4293" s="32" t="s">
        <v>3765</v>
      </c>
      <c r="I4293" s="32" t="s">
        <v>3461</v>
      </c>
      <c r="J4293" s="32">
        <f t="shared" si="563"/>
        <v>35.35</v>
      </c>
      <c r="K4293" s="32">
        <f t="shared" si="564"/>
        <v>109.93333333333334</v>
      </c>
      <c r="L4293" s="32">
        <v>838</v>
      </c>
      <c r="R4293" s="44" t="s">
        <v>1728</v>
      </c>
      <c r="S4293" s="44" t="s">
        <v>1858</v>
      </c>
      <c r="T4293" s="44"/>
      <c r="U4293" s="44" t="s">
        <v>3764</v>
      </c>
      <c r="V4293" s="44" t="s">
        <v>1438</v>
      </c>
      <c r="W4293" s="44" t="s">
        <v>3767</v>
      </c>
      <c r="X4293" s="44" t="s">
        <v>1438</v>
      </c>
      <c r="Y4293" s="44" t="s">
        <v>1438</v>
      </c>
      <c r="Z4293" s="32">
        <f t="shared" si="566"/>
        <v>1.2925</v>
      </c>
      <c r="AA4293" s="323">
        <v>8</v>
      </c>
      <c r="AB4293" s="323">
        <v>67</v>
      </c>
      <c r="AC4293" s="32" t="s">
        <v>450</v>
      </c>
      <c r="AD4293" s="32">
        <v>8.3000000000000007</v>
      </c>
      <c r="AE4293" s="32">
        <v>1.302</v>
      </c>
      <c r="AG4293" s="32" t="s">
        <v>3193</v>
      </c>
      <c r="AH4293" s="32" t="s">
        <v>3769</v>
      </c>
      <c r="AI4293" s="32" t="s">
        <v>577</v>
      </c>
      <c r="AJ4293" s="32" t="s">
        <v>3768</v>
      </c>
      <c r="AK4293" s="32" t="s">
        <v>3555</v>
      </c>
      <c r="AT4293" s="32" t="s">
        <v>3774</v>
      </c>
      <c r="AU4293" s="32" t="s">
        <v>3774</v>
      </c>
      <c r="AV4293" s="32" t="s">
        <v>177</v>
      </c>
      <c r="AW4293" s="32" t="s">
        <v>160</v>
      </c>
      <c r="AX4293" s="32">
        <v>3</v>
      </c>
      <c r="AY4293" s="32">
        <v>9</v>
      </c>
      <c r="AZ4293" s="32" t="s">
        <v>2121</v>
      </c>
      <c r="BE4293" s="32" t="s">
        <v>3772</v>
      </c>
      <c r="BP4293" s="397"/>
      <c r="BQ4293" s="397"/>
      <c r="BU4293" s="397"/>
      <c r="BV4293" s="397"/>
      <c r="BZ4293" s="397"/>
      <c r="CA4293" s="397"/>
      <c r="CE4293" s="550"/>
      <c r="CF4293" s="550"/>
      <c r="CG4293" s="550"/>
      <c r="CH4293" s="550"/>
      <c r="FL4293" s="32">
        <f>1/2000*100*371.2</f>
        <v>18.559999999999999</v>
      </c>
      <c r="FM4293" s="32">
        <f>1/2000*100*396.5</f>
        <v>19.825000000000003</v>
      </c>
      <c r="FP4293" s="32" t="s">
        <v>3782</v>
      </c>
      <c r="JD4293" s="243"/>
    </row>
    <row r="4294" spans="1:264" s="32" customFormat="1" x14ac:dyDescent="0.25">
      <c r="A4294" s="32">
        <v>188</v>
      </c>
      <c r="B4294" s="44" t="s">
        <v>3780</v>
      </c>
      <c r="C4294" s="32" t="s">
        <v>3762</v>
      </c>
      <c r="D4294" s="32" t="s">
        <v>3763</v>
      </c>
      <c r="E4294" s="32">
        <v>2016</v>
      </c>
      <c r="F4294" s="32">
        <v>2013</v>
      </c>
      <c r="G4294" s="32" t="s">
        <v>3766</v>
      </c>
      <c r="H4294" s="32" t="s">
        <v>3765</v>
      </c>
      <c r="I4294" s="32" t="s">
        <v>3461</v>
      </c>
      <c r="J4294" s="32">
        <f t="shared" si="563"/>
        <v>35.35</v>
      </c>
      <c r="K4294" s="32">
        <f t="shared" si="564"/>
        <v>109.93333333333334</v>
      </c>
      <c r="L4294" s="32">
        <v>838</v>
      </c>
      <c r="R4294" s="44" t="s">
        <v>1728</v>
      </c>
      <c r="S4294" s="44" t="s">
        <v>1858</v>
      </c>
      <c r="T4294" s="44"/>
      <c r="U4294" s="44" t="s">
        <v>3764</v>
      </c>
      <c r="V4294" s="44" t="s">
        <v>1438</v>
      </c>
      <c r="W4294" s="44" t="s">
        <v>3767</v>
      </c>
      <c r="X4294" s="44" t="s">
        <v>1438</v>
      </c>
      <c r="Y4294" s="44" t="s">
        <v>1438</v>
      </c>
      <c r="Z4294" s="32">
        <f t="shared" si="566"/>
        <v>1.2925</v>
      </c>
      <c r="AA4294" s="323">
        <v>8</v>
      </c>
      <c r="AB4294" s="323">
        <v>67</v>
      </c>
      <c r="AC4294" s="32" t="s">
        <v>450</v>
      </c>
      <c r="AD4294" s="32">
        <v>8.3000000000000007</v>
      </c>
      <c r="AE4294" s="32">
        <v>1.302</v>
      </c>
      <c r="AG4294" s="32" t="s">
        <v>3193</v>
      </c>
      <c r="AH4294" s="32" t="s">
        <v>3769</v>
      </c>
      <c r="AI4294" s="32" t="s">
        <v>577</v>
      </c>
      <c r="AJ4294" s="32" t="s">
        <v>3768</v>
      </c>
      <c r="AK4294" s="32" t="s">
        <v>3555</v>
      </c>
      <c r="AT4294" s="32" t="s">
        <v>3775</v>
      </c>
      <c r="AU4294" s="32" t="s">
        <v>3775</v>
      </c>
      <c r="AV4294" s="32" t="s">
        <v>177</v>
      </c>
      <c r="AW4294" s="32" t="s">
        <v>160</v>
      </c>
      <c r="AX4294" s="32">
        <v>3</v>
      </c>
      <c r="AY4294" s="32">
        <v>9</v>
      </c>
      <c r="AZ4294" s="32" t="s">
        <v>2121</v>
      </c>
      <c r="BE4294" s="32" t="s">
        <v>3772</v>
      </c>
      <c r="BP4294" s="397"/>
      <c r="BQ4294" s="397"/>
      <c r="BU4294" s="397"/>
      <c r="BV4294" s="397"/>
      <c r="BZ4294" s="397"/>
      <c r="CA4294" s="397"/>
      <c r="CE4294" s="550"/>
      <c r="CF4294" s="550"/>
      <c r="CG4294" s="550"/>
      <c r="CH4294" s="550"/>
      <c r="FL4294" s="32">
        <f>1/2000*100*321.2</f>
        <v>16.059999999999999</v>
      </c>
      <c r="FM4294" s="32">
        <f>1/2000*100*360.8</f>
        <v>18.040000000000003</v>
      </c>
      <c r="FP4294" s="32" t="s">
        <v>3782</v>
      </c>
      <c r="JD4294" s="243"/>
    </row>
    <row r="4295" spans="1:264" s="32" customFormat="1" x14ac:dyDescent="0.25">
      <c r="A4295" s="32">
        <v>188</v>
      </c>
      <c r="B4295" s="44" t="s">
        <v>3781</v>
      </c>
      <c r="C4295" s="32" t="s">
        <v>3762</v>
      </c>
      <c r="D4295" s="32" t="s">
        <v>3763</v>
      </c>
      <c r="E4295" s="32">
        <v>2016</v>
      </c>
      <c r="F4295" s="32">
        <v>2013</v>
      </c>
      <c r="G4295" s="32" t="s">
        <v>3766</v>
      </c>
      <c r="H4295" s="32" t="s">
        <v>3765</v>
      </c>
      <c r="I4295" s="32" t="s">
        <v>3461</v>
      </c>
      <c r="J4295" s="32">
        <f t="shared" si="563"/>
        <v>35.35</v>
      </c>
      <c r="K4295" s="32">
        <f t="shared" si="564"/>
        <v>109.93333333333334</v>
      </c>
      <c r="L4295" s="32">
        <v>838</v>
      </c>
      <c r="R4295" s="44" t="s">
        <v>1728</v>
      </c>
      <c r="S4295" s="44" t="s">
        <v>1858</v>
      </c>
      <c r="T4295" s="44"/>
      <c r="U4295" s="44" t="s">
        <v>3764</v>
      </c>
      <c r="V4295" s="44" t="s">
        <v>1438</v>
      </c>
      <c r="W4295" s="44" t="s">
        <v>3767</v>
      </c>
      <c r="X4295" s="44" t="s">
        <v>1438</v>
      </c>
      <c r="Y4295" s="44" t="s">
        <v>1438</v>
      </c>
      <c r="Z4295" s="32">
        <f t="shared" si="566"/>
        <v>1.2925</v>
      </c>
      <c r="AA4295" s="323">
        <v>8</v>
      </c>
      <c r="AB4295" s="323">
        <v>67</v>
      </c>
      <c r="AC4295" s="32" t="s">
        <v>450</v>
      </c>
      <c r="AD4295" s="32">
        <v>8.3000000000000007</v>
      </c>
      <c r="AE4295" s="32">
        <v>1.302</v>
      </c>
      <c r="AG4295" s="32" t="s">
        <v>3193</v>
      </c>
      <c r="AH4295" s="32" t="s">
        <v>3769</v>
      </c>
      <c r="AI4295" s="32" t="s">
        <v>577</v>
      </c>
      <c r="AJ4295" s="32" t="s">
        <v>3768</v>
      </c>
      <c r="AK4295" s="32" t="s">
        <v>3555</v>
      </c>
      <c r="AT4295" s="32" t="s">
        <v>3776</v>
      </c>
      <c r="AU4295" s="32" t="s">
        <v>3776</v>
      </c>
      <c r="AV4295" s="32" t="s">
        <v>177</v>
      </c>
      <c r="AW4295" s="32" t="s">
        <v>160</v>
      </c>
      <c r="AX4295" s="32">
        <v>3</v>
      </c>
      <c r="AY4295" s="32">
        <v>9</v>
      </c>
      <c r="AZ4295" s="32" t="s">
        <v>2121</v>
      </c>
      <c r="BE4295" s="32" t="s">
        <v>3772</v>
      </c>
      <c r="BP4295" s="397"/>
      <c r="BQ4295" s="397"/>
      <c r="BU4295" s="397"/>
      <c r="BV4295" s="397"/>
      <c r="BZ4295" s="397"/>
      <c r="CA4295" s="397"/>
      <c r="CE4295" s="550"/>
      <c r="CF4295" s="550"/>
      <c r="CG4295" s="550"/>
      <c r="CH4295" s="550"/>
      <c r="FL4295" s="32">
        <f>1/2000*100*376.1</f>
        <v>18.805000000000003</v>
      </c>
      <c r="FM4295" s="32">
        <f>1/2000*100*385.6</f>
        <v>19.28</v>
      </c>
      <c r="FP4295" s="32" t="s">
        <v>3782</v>
      </c>
      <c r="JD4295" s="243"/>
    </row>
    <row r="4296" spans="1:264" s="24" customFormat="1" x14ac:dyDescent="0.25">
      <c r="A4296" s="24">
        <v>188</v>
      </c>
      <c r="B4296" s="42" t="s">
        <v>3777</v>
      </c>
      <c r="C4296" s="24" t="s">
        <v>3762</v>
      </c>
      <c r="D4296" s="24" t="s">
        <v>3763</v>
      </c>
      <c r="E4296" s="24">
        <v>2016</v>
      </c>
      <c r="F4296" s="24">
        <v>2014</v>
      </c>
      <c r="G4296" s="24" t="s">
        <v>3766</v>
      </c>
      <c r="H4296" s="24" t="s">
        <v>3765</v>
      </c>
      <c r="I4296" s="24" t="s">
        <v>3461</v>
      </c>
      <c r="J4296" s="24">
        <f t="shared" si="563"/>
        <v>35.35</v>
      </c>
      <c r="K4296" s="24">
        <f t="shared" si="564"/>
        <v>109.93333333333334</v>
      </c>
      <c r="L4296" s="24">
        <v>838</v>
      </c>
      <c r="R4296" s="42" t="s">
        <v>1858</v>
      </c>
      <c r="S4296" s="42" t="s">
        <v>1858</v>
      </c>
      <c r="T4296" s="42"/>
      <c r="U4296" s="42" t="s">
        <v>3764</v>
      </c>
      <c r="V4296" s="42" t="s">
        <v>1438</v>
      </c>
      <c r="W4296" s="42" t="s">
        <v>3767</v>
      </c>
      <c r="X4296" s="42" t="s">
        <v>1438</v>
      </c>
      <c r="Y4296" s="42" t="s">
        <v>1438</v>
      </c>
      <c r="Z4296" s="24">
        <f t="shared" si="566"/>
        <v>1.2925</v>
      </c>
      <c r="AA4296" s="321">
        <v>8</v>
      </c>
      <c r="AB4296" s="321">
        <v>67</v>
      </c>
      <c r="AC4296" s="24" t="s">
        <v>450</v>
      </c>
      <c r="AD4296" s="24">
        <v>8.3000000000000007</v>
      </c>
      <c r="AE4296" s="24">
        <v>1.302</v>
      </c>
      <c r="AG4296" s="24" t="s">
        <v>3193</v>
      </c>
      <c r="AH4296" s="24" t="s">
        <v>3769</v>
      </c>
      <c r="AI4296" s="24" t="s">
        <v>577</v>
      </c>
      <c r="AJ4296" s="24" t="s">
        <v>3768</v>
      </c>
      <c r="AK4296" s="24" t="s">
        <v>3555</v>
      </c>
      <c r="AT4296" s="24" t="s">
        <v>3149</v>
      </c>
      <c r="AU4296" s="24" t="s">
        <v>3149</v>
      </c>
      <c r="AV4296" s="24" t="s">
        <v>177</v>
      </c>
      <c r="AW4296" s="24" t="s">
        <v>160</v>
      </c>
      <c r="AX4296" s="24">
        <v>3</v>
      </c>
      <c r="AY4296" s="24">
        <v>9</v>
      </c>
      <c r="AZ4296" s="24" t="s">
        <v>2121</v>
      </c>
      <c r="BE4296" s="24" t="s">
        <v>3770</v>
      </c>
      <c r="BK4296" s="24">
        <v>10300</v>
      </c>
      <c r="BL4296" s="24">
        <v>14400</v>
      </c>
      <c r="BP4296" s="395"/>
      <c r="BQ4296" s="395"/>
      <c r="BU4296" s="395"/>
      <c r="BV4296" s="395"/>
      <c r="BZ4296" s="395"/>
      <c r="CA4296" s="395"/>
      <c r="CE4296" s="548"/>
      <c r="CF4296" s="548"/>
      <c r="CG4296" s="548"/>
      <c r="CH4296" s="548"/>
      <c r="FL4296" s="24">
        <f>1/2000*100*313.1</f>
        <v>15.655000000000001</v>
      </c>
      <c r="FM4296" s="24">
        <f>1/2000*100*372.1</f>
        <v>18.605</v>
      </c>
      <c r="FP4296" s="24" t="s">
        <v>3782</v>
      </c>
      <c r="JD4296" s="249"/>
    </row>
    <row r="4297" spans="1:264" s="24" customFormat="1" x14ac:dyDescent="0.25">
      <c r="A4297" s="24">
        <v>188</v>
      </c>
      <c r="B4297" s="42" t="s">
        <v>3778</v>
      </c>
      <c r="C4297" s="24" t="s">
        <v>3762</v>
      </c>
      <c r="D4297" s="24" t="s">
        <v>3763</v>
      </c>
      <c r="E4297" s="24">
        <v>2016</v>
      </c>
      <c r="F4297" s="24">
        <v>2014</v>
      </c>
      <c r="G4297" s="24" t="s">
        <v>3766</v>
      </c>
      <c r="H4297" s="24" t="s">
        <v>3765</v>
      </c>
      <c r="I4297" s="24" t="s">
        <v>3461</v>
      </c>
      <c r="J4297" s="24">
        <f t="shared" si="563"/>
        <v>35.35</v>
      </c>
      <c r="K4297" s="24">
        <f t="shared" si="564"/>
        <v>109.93333333333334</v>
      </c>
      <c r="L4297" s="24">
        <v>838</v>
      </c>
      <c r="R4297" s="42" t="s">
        <v>1858</v>
      </c>
      <c r="S4297" s="42" t="s">
        <v>1858</v>
      </c>
      <c r="T4297" s="42"/>
      <c r="U4297" s="42" t="s">
        <v>3764</v>
      </c>
      <c r="V4297" s="42" t="s">
        <v>1438</v>
      </c>
      <c r="W4297" s="42" t="s">
        <v>3767</v>
      </c>
      <c r="X4297" s="42" t="s">
        <v>1438</v>
      </c>
      <c r="Y4297" s="42" t="s">
        <v>1438</v>
      </c>
      <c r="Z4297" s="24">
        <f t="shared" si="566"/>
        <v>1.2925</v>
      </c>
      <c r="AA4297" s="321">
        <v>8</v>
      </c>
      <c r="AB4297" s="321">
        <v>67</v>
      </c>
      <c r="AC4297" s="24" t="s">
        <v>450</v>
      </c>
      <c r="AD4297" s="24">
        <v>8.3000000000000007</v>
      </c>
      <c r="AE4297" s="24">
        <v>1.302</v>
      </c>
      <c r="AG4297" s="24" t="s">
        <v>3193</v>
      </c>
      <c r="AH4297" s="24" t="s">
        <v>3769</v>
      </c>
      <c r="AI4297" s="24" t="s">
        <v>577</v>
      </c>
      <c r="AJ4297" s="24" t="s">
        <v>3768</v>
      </c>
      <c r="AK4297" s="24" t="s">
        <v>3555</v>
      </c>
      <c r="AT4297" s="24" t="s">
        <v>3773</v>
      </c>
      <c r="AU4297" s="24" t="s">
        <v>3773</v>
      </c>
      <c r="AV4297" s="24" t="s">
        <v>177</v>
      </c>
      <c r="AW4297" s="24" t="s">
        <v>160</v>
      </c>
      <c r="AX4297" s="24">
        <v>3</v>
      </c>
      <c r="AY4297" s="24">
        <v>9</v>
      </c>
      <c r="AZ4297" s="24" t="s">
        <v>2121</v>
      </c>
      <c r="BE4297" s="24" t="s">
        <v>3770</v>
      </c>
      <c r="BK4297" s="24">
        <v>14400</v>
      </c>
      <c r="BL4297" s="24">
        <v>19000</v>
      </c>
      <c r="BP4297" s="395"/>
      <c r="BQ4297" s="395"/>
      <c r="BU4297" s="395"/>
      <c r="BV4297" s="395"/>
      <c r="BZ4297" s="395"/>
      <c r="CA4297" s="395"/>
      <c r="CE4297" s="548"/>
      <c r="CF4297" s="548"/>
      <c r="CG4297" s="548"/>
      <c r="CH4297" s="548"/>
      <c r="FL4297" s="24">
        <f>1/2000*100*329.1</f>
        <v>16.455000000000002</v>
      </c>
      <c r="FM4297" s="24">
        <f>1/2000*100*471.4</f>
        <v>23.57</v>
      </c>
      <c r="FP4297" s="24" t="s">
        <v>3782</v>
      </c>
      <c r="JD4297" s="249"/>
    </row>
    <row r="4298" spans="1:264" s="24" customFormat="1" x14ac:dyDescent="0.25">
      <c r="A4298" s="24">
        <v>188</v>
      </c>
      <c r="B4298" s="42" t="s">
        <v>3779</v>
      </c>
      <c r="C4298" s="24" t="s">
        <v>3762</v>
      </c>
      <c r="D4298" s="24" t="s">
        <v>3763</v>
      </c>
      <c r="E4298" s="24">
        <v>2016</v>
      </c>
      <c r="F4298" s="24">
        <v>2014</v>
      </c>
      <c r="G4298" s="24" t="s">
        <v>3766</v>
      </c>
      <c r="H4298" s="24" t="s">
        <v>3765</v>
      </c>
      <c r="I4298" s="24" t="s">
        <v>3461</v>
      </c>
      <c r="J4298" s="24">
        <f t="shared" si="563"/>
        <v>35.35</v>
      </c>
      <c r="K4298" s="24">
        <f t="shared" si="564"/>
        <v>109.93333333333334</v>
      </c>
      <c r="L4298" s="24">
        <v>838</v>
      </c>
      <c r="R4298" s="42" t="s">
        <v>1858</v>
      </c>
      <c r="S4298" s="42" t="s">
        <v>1858</v>
      </c>
      <c r="T4298" s="42"/>
      <c r="U4298" s="42" t="s">
        <v>3764</v>
      </c>
      <c r="V4298" s="42" t="s">
        <v>1438</v>
      </c>
      <c r="W4298" s="42" t="s">
        <v>3767</v>
      </c>
      <c r="X4298" s="42" t="s">
        <v>1438</v>
      </c>
      <c r="Y4298" s="42" t="s">
        <v>1438</v>
      </c>
      <c r="Z4298" s="24">
        <f t="shared" si="566"/>
        <v>1.2925</v>
      </c>
      <c r="AA4298" s="321">
        <v>8</v>
      </c>
      <c r="AB4298" s="321">
        <v>67</v>
      </c>
      <c r="AC4298" s="24" t="s">
        <v>450</v>
      </c>
      <c r="AD4298" s="24">
        <v>8.3000000000000007</v>
      </c>
      <c r="AE4298" s="24">
        <v>1.302</v>
      </c>
      <c r="AG4298" s="24" t="s">
        <v>3193</v>
      </c>
      <c r="AH4298" s="24" t="s">
        <v>3769</v>
      </c>
      <c r="AI4298" s="24" t="s">
        <v>577</v>
      </c>
      <c r="AJ4298" s="24" t="s">
        <v>3768</v>
      </c>
      <c r="AK4298" s="24" t="s">
        <v>3555</v>
      </c>
      <c r="AT4298" s="24" t="s">
        <v>3774</v>
      </c>
      <c r="AU4298" s="24" t="s">
        <v>3774</v>
      </c>
      <c r="AV4298" s="24" t="s">
        <v>177</v>
      </c>
      <c r="AW4298" s="24" t="s">
        <v>160</v>
      </c>
      <c r="AX4298" s="24">
        <v>3</v>
      </c>
      <c r="AY4298" s="24">
        <v>9</v>
      </c>
      <c r="AZ4298" s="24" t="s">
        <v>2121</v>
      </c>
      <c r="BE4298" s="24" t="s">
        <v>3770</v>
      </c>
      <c r="BK4298" s="24">
        <v>11200</v>
      </c>
      <c r="BL4298" s="24">
        <v>17200</v>
      </c>
      <c r="BP4298" s="395"/>
      <c r="BQ4298" s="395"/>
      <c r="BU4298" s="395"/>
      <c r="BV4298" s="395"/>
      <c r="BZ4298" s="395"/>
      <c r="CA4298" s="395"/>
      <c r="CE4298" s="548"/>
      <c r="CF4298" s="548"/>
      <c r="CG4298" s="548"/>
      <c r="CH4298" s="548"/>
      <c r="FL4298" s="24">
        <f>1/2000*100*380.6</f>
        <v>19.03</v>
      </c>
      <c r="FM4298" s="24">
        <f>1/2000*100*513.3</f>
        <v>25.664999999999999</v>
      </c>
      <c r="FP4298" s="24" t="s">
        <v>3782</v>
      </c>
      <c r="JD4298" s="249"/>
    </row>
    <row r="4299" spans="1:264" s="24" customFormat="1" x14ac:dyDescent="0.25">
      <c r="A4299" s="24">
        <v>188</v>
      </c>
      <c r="B4299" s="42" t="s">
        <v>3780</v>
      </c>
      <c r="C4299" s="24" t="s">
        <v>3762</v>
      </c>
      <c r="D4299" s="24" t="s">
        <v>3763</v>
      </c>
      <c r="E4299" s="24">
        <v>2016</v>
      </c>
      <c r="F4299" s="24">
        <v>2014</v>
      </c>
      <c r="G4299" s="24" t="s">
        <v>3766</v>
      </c>
      <c r="H4299" s="24" t="s">
        <v>3765</v>
      </c>
      <c r="I4299" s="24" t="s">
        <v>3461</v>
      </c>
      <c r="J4299" s="24">
        <f t="shared" si="563"/>
        <v>35.35</v>
      </c>
      <c r="K4299" s="24">
        <f t="shared" si="564"/>
        <v>109.93333333333334</v>
      </c>
      <c r="L4299" s="24">
        <v>838</v>
      </c>
      <c r="R4299" s="42" t="s">
        <v>1858</v>
      </c>
      <c r="S4299" s="42" t="s">
        <v>1858</v>
      </c>
      <c r="T4299" s="42"/>
      <c r="U4299" s="42" t="s">
        <v>3764</v>
      </c>
      <c r="V4299" s="42" t="s">
        <v>1438</v>
      </c>
      <c r="W4299" s="42" t="s">
        <v>3767</v>
      </c>
      <c r="X4299" s="42" t="s">
        <v>1438</v>
      </c>
      <c r="Y4299" s="42" t="s">
        <v>1438</v>
      </c>
      <c r="Z4299" s="24">
        <f t="shared" si="566"/>
        <v>1.2925</v>
      </c>
      <c r="AA4299" s="321">
        <v>8</v>
      </c>
      <c r="AB4299" s="321">
        <v>67</v>
      </c>
      <c r="AC4299" s="24" t="s">
        <v>450</v>
      </c>
      <c r="AD4299" s="24">
        <v>8.3000000000000007</v>
      </c>
      <c r="AE4299" s="24">
        <v>1.302</v>
      </c>
      <c r="AG4299" s="24" t="s">
        <v>3193</v>
      </c>
      <c r="AH4299" s="24" t="s">
        <v>3769</v>
      </c>
      <c r="AI4299" s="24" t="s">
        <v>577</v>
      </c>
      <c r="AJ4299" s="24" t="s">
        <v>3768</v>
      </c>
      <c r="AK4299" s="24" t="s">
        <v>3555</v>
      </c>
      <c r="AT4299" s="24" t="s">
        <v>3775</v>
      </c>
      <c r="AU4299" s="24" t="s">
        <v>3775</v>
      </c>
      <c r="AV4299" s="24" t="s">
        <v>177</v>
      </c>
      <c r="AW4299" s="24" t="s">
        <v>160</v>
      </c>
      <c r="AX4299" s="24">
        <v>3</v>
      </c>
      <c r="AY4299" s="24">
        <v>9</v>
      </c>
      <c r="AZ4299" s="24" t="s">
        <v>2121</v>
      </c>
      <c r="BE4299" s="24" t="s">
        <v>3770</v>
      </c>
      <c r="BK4299" s="24">
        <v>16000</v>
      </c>
      <c r="BL4299" s="24">
        <v>18400</v>
      </c>
      <c r="BP4299" s="395"/>
      <c r="BQ4299" s="395"/>
      <c r="BU4299" s="395"/>
      <c r="BV4299" s="395"/>
      <c r="BZ4299" s="395"/>
      <c r="CA4299" s="395"/>
      <c r="CE4299" s="548"/>
      <c r="CF4299" s="548"/>
      <c r="CG4299" s="548"/>
      <c r="CH4299" s="548"/>
      <c r="FL4299" s="24">
        <f>1/2000*100*348.3</f>
        <v>17.415000000000003</v>
      </c>
      <c r="FM4299" s="24">
        <f>1/2000*100*482.9</f>
        <v>24.145</v>
      </c>
      <c r="FP4299" s="24" t="s">
        <v>3782</v>
      </c>
      <c r="JD4299" s="249"/>
    </row>
    <row r="4300" spans="1:264" s="24" customFormat="1" x14ac:dyDescent="0.25">
      <c r="A4300" s="24">
        <v>188</v>
      </c>
      <c r="B4300" s="42" t="s">
        <v>3781</v>
      </c>
      <c r="C4300" s="24" t="s">
        <v>3762</v>
      </c>
      <c r="D4300" s="24" t="s">
        <v>3763</v>
      </c>
      <c r="E4300" s="24">
        <v>2016</v>
      </c>
      <c r="F4300" s="24">
        <v>2014</v>
      </c>
      <c r="G4300" s="24" t="s">
        <v>3766</v>
      </c>
      <c r="H4300" s="24" t="s">
        <v>3765</v>
      </c>
      <c r="I4300" s="24" t="s">
        <v>3461</v>
      </c>
      <c r="J4300" s="24">
        <f t="shared" si="563"/>
        <v>35.35</v>
      </c>
      <c r="K4300" s="24">
        <f t="shared" si="564"/>
        <v>109.93333333333334</v>
      </c>
      <c r="L4300" s="24">
        <v>838</v>
      </c>
      <c r="R4300" s="42" t="s">
        <v>1858</v>
      </c>
      <c r="S4300" s="42" t="s">
        <v>1858</v>
      </c>
      <c r="T4300" s="42"/>
      <c r="U4300" s="42" t="s">
        <v>3764</v>
      </c>
      <c r="V4300" s="42" t="s">
        <v>1438</v>
      </c>
      <c r="W4300" s="42" t="s">
        <v>3767</v>
      </c>
      <c r="X4300" s="42" t="s">
        <v>1438</v>
      </c>
      <c r="Y4300" s="42" t="s">
        <v>1438</v>
      </c>
      <c r="Z4300" s="24">
        <f t="shared" si="566"/>
        <v>1.2925</v>
      </c>
      <c r="AA4300" s="321">
        <v>8</v>
      </c>
      <c r="AB4300" s="321">
        <v>67</v>
      </c>
      <c r="AC4300" s="24" t="s">
        <v>450</v>
      </c>
      <c r="AD4300" s="24">
        <v>8.3000000000000007</v>
      </c>
      <c r="AE4300" s="24">
        <v>1.302</v>
      </c>
      <c r="AG4300" s="24" t="s">
        <v>3193</v>
      </c>
      <c r="AH4300" s="24" t="s">
        <v>3769</v>
      </c>
      <c r="AI4300" s="24" t="s">
        <v>577</v>
      </c>
      <c r="AJ4300" s="24" t="s">
        <v>3768</v>
      </c>
      <c r="AK4300" s="24" t="s">
        <v>3555</v>
      </c>
      <c r="AT4300" s="24" t="s">
        <v>3776</v>
      </c>
      <c r="AU4300" s="24" t="s">
        <v>3776</v>
      </c>
      <c r="AV4300" s="24" t="s">
        <v>177</v>
      </c>
      <c r="AW4300" s="24" t="s">
        <v>160</v>
      </c>
      <c r="AX4300" s="24">
        <v>3</v>
      </c>
      <c r="AY4300" s="24">
        <v>9</v>
      </c>
      <c r="AZ4300" s="24" t="s">
        <v>2121</v>
      </c>
      <c r="BE4300" s="24" t="s">
        <v>3770</v>
      </c>
      <c r="BK4300" s="24">
        <v>24000</v>
      </c>
      <c r="BL4300" s="24">
        <v>29900</v>
      </c>
      <c r="BP4300" s="395"/>
      <c r="BQ4300" s="395"/>
      <c r="BU4300" s="395"/>
      <c r="BV4300" s="395"/>
      <c r="BZ4300" s="395"/>
      <c r="CA4300" s="395"/>
      <c r="CE4300" s="548"/>
      <c r="CF4300" s="548"/>
      <c r="CG4300" s="548"/>
      <c r="CH4300" s="548"/>
      <c r="FL4300" s="24">
        <f>1/2000*100*423</f>
        <v>21.150000000000002</v>
      </c>
      <c r="FM4300" s="24">
        <f>1/2000*100*516.5</f>
        <v>25.825000000000003</v>
      </c>
      <c r="FP4300" s="24" t="s">
        <v>3782</v>
      </c>
      <c r="JD4300" s="249"/>
    </row>
    <row r="4301" spans="1:264" s="101" customFormat="1" x14ac:dyDescent="0.25">
      <c r="A4301" s="101">
        <v>188</v>
      </c>
      <c r="B4301" s="102" t="s">
        <v>3777</v>
      </c>
      <c r="C4301" s="101" t="s">
        <v>3762</v>
      </c>
      <c r="D4301" s="101" t="s">
        <v>3763</v>
      </c>
      <c r="E4301" s="101">
        <v>2016</v>
      </c>
      <c r="F4301" s="24">
        <v>2014</v>
      </c>
      <c r="G4301" s="101" t="s">
        <v>3766</v>
      </c>
      <c r="H4301" s="101" t="s">
        <v>3765</v>
      </c>
      <c r="I4301" s="101" t="s">
        <v>3461</v>
      </c>
      <c r="J4301" s="101">
        <f t="shared" si="563"/>
        <v>35.35</v>
      </c>
      <c r="K4301" s="101">
        <f t="shared" si="564"/>
        <v>109.93333333333334</v>
      </c>
      <c r="L4301" s="101">
        <v>838</v>
      </c>
      <c r="R4301" s="102" t="s">
        <v>1858</v>
      </c>
      <c r="S4301" s="102" t="s">
        <v>1858</v>
      </c>
      <c r="T4301" s="102"/>
      <c r="U4301" s="102" t="s">
        <v>3764</v>
      </c>
      <c r="V4301" s="102" t="s">
        <v>1438</v>
      </c>
      <c r="W4301" s="102" t="s">
        <v>3767</v>
      </c>
      <c r="X4301" s="102" t="s">
        <v>1438</v>
      </c>
      <c r="Y4301" s="102" t="s">
        <v>1438</v>
      </c>
      <c r="Z4301" s="101">
        <f t="shared" si="566"/>
        <v>1.2925</v>
      </c>
      <c r="AA4301" s="352">
        <v>8</v>
      </c>
      <c r="AB4301" s="352">
        <v>67</v>
      </c>
      <c r="AC4301" s="101" t="s">
        <v>450</v>
      </c>
      <c r="AD4301" s="101">
        <v>8.3000000000000007</v>
      </c>
      <c r="AE4301" s="101">
        <v>1.302</v>
      </c>
      <c r="AG4301" s="101" t="s">
        <v>3193</v>
      </c>
      <c r="AH4301" s="101" t="s">
        <v>3769</v>
      </c>
      <c r="AI4301" s="101" t="s">
        <v>577</v>
      </c>
      <c r="AJ4301" s="101" t="s">
        <v>3768</v>
      </c>
      <c r="AK4301" s="101" t="s">
        <v>3555</v>
      </c>
      <c r="AT4301" s="101" t="s">
        <v>3149</v>
      </c>
      <c r="AU4301" s="101" t="s">
        <v>3149</v>
      </c>
      <c r="AV4301" s="101" t="s">
        <v>177</v>
      </c>
      <c r="AW4301" s="101" t="s">
        <v>160</v>
      </c>
      <c r="AX4301" s="101">
        <v>3</v>
      </c>
      <c r="AY4301" s="101">
        <v>9</v>
      </c>
      <c r="AZ4301" s="101" t="s">
        <v>2121</v>
      </c>
      <c r="BE4301" s="101" t="s">
        <v>3771</v>
      </c>
      <c r="BP4301" s="427"/>
      <c r="BQ4301" s="427"/>
      <c r="BU4301" s="427"/>
      <c r="BV4301" s="427"/>
      <c r="BZ4301" s="427"/>
      <c r="CA4301" s="427"/>
      <c r="CE4301" s="580"/>
      <c r="CF4301" s="580"/>
      <c r="CG4301" s="580"/>
      <c r="CH4301" s="580"/>
      <c r="FL4301" s="101">
        <f>1/2000*100*282</f>
        <v>14.100000000000001</v>
      </c>
      <c r="FM4301" s="101">
        <f>1/2000*100*312.4</f>
        <v>15.62</v>
      </c>
      <c r="FP4301" s="101" t="s">
        <v>3782</v>
      </c>
      <c r="JD4301" s="177"/>
    </row>
    <row r="4302" spans="1:264" s="101" customFormat="1" x14ac:dyDescent="0.25">
      <c r="A4302" s="101">
        <v>188</v>
      </c>
      <c r="B4302" s="102" t="s">
        <v>3778</v>
      </c>
      <c r="C4302" s="101" t="s">
        <v>3762</v>
      </c>
      <c r="D4302" s="101" t="s">
        <v>3763</v>
      </c>
      <c r="E4302" s="101">
        <v>2016</v>
      </c>
      <c r="F4302" s="24">
        <v>2014</v>
      </c>
      <c r="G4302" s="101" t="s">
        <v>3766</v>
      </c>
      <c r="H4302" s="101" t="s">
        <v>3765</v>
      </c>
      <c r="I4302" s="101" t="s">
        <v>3461</v>
      </c>
      <c r="J4302" s="101">
        <f t="shared" si="563"/>
        <v>35.35</v>
      </c>
      <c r="K4302" s="101">
        <f t="shared" si="564"/>
        <v>109.93333333333334</v>
      </c>
      <c r="L4302" s="101">
        <v>838</v>
      </c>
      <c r="R4302" s="102" t="s">
        <v>1858</v>
      </c>
      <c r="S4302" s="102" t="s">
        <v>1858</v>
      </c>
      <c r="T4302" s="102"/>
      <c r="U4302" s="102" t="s">
        <v>3764</v>
      </c>
      <c r="V4302" s="102" t="s">
        <v>1438</v>
      </c>
      <c r="W4302" s="102" t="s">
        <v>3767</v>
      </c>
      <c r="X4302" s="102" t="s">
        <v>1438</v>
      </c>
      <c r="Y4302" s="102" t="s">
        <v>1438</v>
      </c>
      <c r="Z4302" s="101">
        <f t="shared" si="566"/>
        <v>1.2925</v>
      </c>
      <c r="AA4302" s="352">
        <v>8</v>
      </c>
      <c r="AB4302" s="352">
        <v>67</v>
      </c>
      <c r="AC4302" s="101" t="s">
        <v>450</v>
      </c>
      <c r="AD4302" s="101">
        <v>8.3000000000000007</v>
      </c>
      <c r="AE4302" s="101">
        <v>1.302</v>
      </c>
      <c r="AG4302" s="101" t="s">
        <v>3193</v>
      </c>
      <c r="AH4302" s="101" t="s">
        <v>3769</v>
      </c>
      <c r="AI4302" s="101" t="s">
        <v>577</v>
      </c>
      <c r="AJ4302" s="101" t="s">
        <v>3768</v>
      </c>
      <c r="AK4302" s="101" t="s">
        <v>3555</v>
      </c>
      <c r="AT4302" s="101" t="s">
        <v>3773</v>
      </c>
      <c r="AU4302" s="101" t="s">
        <v>3773</v>
      </c>
      <c r="AV4302" s="101" t="s">
        <v>177</v>
      </c>
      <c r="AW4302" s="101" t="s">
        <v>160</v>
      </c>
      <c r="AX4302" s="101">
        <v>3</v>
      </c>
      <c r="AY4302" s="101">
        <v>9</v>
      </c>
      <c r="AZ4302" s="101" t="s">
        <v>2121</v>
      </c>
      <c r="BE4302" s="101" t="s">
        <v>3771</v>
      </c>
      <c r="BP4302" s="427"/>
      <c r="BQ4302" s="427"/>
      <c r="BU4302" s="427"/>
      <c r="BV4302" s="427"/>
      <c r="BZ4302" s="427"/>
      <c r="CA4302" s="427"/>
      <c r="CE4302" s="580"/>
      <c r="CF4302" s="580"/>
      <c r="CG4302" s="580"/>
      <c r="CH4302" s="580"/>
      <c r="FL4302" s="101">
        <f>1/2000*100*311.7</f>
        <v>15.585000000000001</v>
      </c>
      <c r="FM4302" s="101">
        <f>1/2000*100*359.8</f>
        <v>17.990000000000002</v>
      </c>
      <c r="FP4302" s="101" t="s">
        <v>3782</v>
      </c>
      <c r="JD4302" s="177"/>
    </row>
    <row r="4303" spans="1:264" s="101" customFormat="1" x14ac:dyDescent="0.25">
      <c r="A4303" s="101">
        <v>188</v>
      </c>
      <c r="B4303" s="102" t="s">
        <v>3779</v>
      </c>
      <c r="C4303" s="101" t="s">
        <v>3762</v>
      </c>
      <c r="D4303" s="101" t="s">
        <v>3763</v>
      </c>
      <c r="E4303" s="101">
        <v>2016</v>
      </c>
      <c r="F4303" s="24">
        <v>2014</v>
      </c>
      <c r="G4303" s="101" t="s">
        <v>3766</v>
      </c>
      <c r="H4303" s="101" t="s">
        <v>3765</v>
      </c>
      <c r="I4303" s="101" t="s">
        <v>3461</v>
      </c>
      <c r="J4303" s="101">
        <f t="shared" si="563"/>
        <v>35.35</v>
      </c>
      <c r="K4303" s="101">
        <f t="shared" si="564"/>
        <v>109.93333333333334</v>
      </c>
      <c r="L4303" s="101">
        <v>838</v>
      </c>
      <c r="R4303" s="102" t="s">
        <v>1858</v>
      </c>
      <c r="S4303" s="102" t="s">
        <v>1858</v>
      </c>
      <c r="T4303" s="102"/>
      <c r="U4303" s="102" t="s">
        <v>3764</v>
      </c>
      <c r="V4303" s="102" t="s">
        <v>1438</v>
      </c>
      <c r="W4303" s="102" t="s">
        <v>3767</v>
      </c>
      <c r="X4303" s="102" t="s">
        <v>1438</v>
      </c>
      <c r="Y4303" s="102" t="s">
        <v>1438</v>
      </c>
      <c r="Z4303" s="101">
        <f t="shared" si="566"/>
        <v>1.2925</v>
      </c>
      <c r="AA4303" s="352">
        <v>8</v>
      </c>
      <c r="AB4303" s="352">
        <v>67</v>
      </c>
      <c r="AC4303" s="101" t="s">
        <v>450</v>
      </c>
      <c r="AD4303" s="101">
        <v>8.3000000000000007</v>
      </c>
      <c r="AE4303" s="101">
        <v>1.302</v>
      </c>
      <c r="AG4303" s="101" t="s">
        <v>3193</v>
      </c>
      <c r="AH4303" s="101" t="s">
        <v>3769</v>
      </c>
      <c r="AI4303" s="101" t="s">
        <v>577</v>
      </c>
      <c r="AJ4303" s="101" t="s">
        <v>3768</v>
      </c>
      <c r="AK4303" s="101" t="s">
        <v>3555</v>
      </c>
      <c r="AT4303" s="101" t="s">
        <v>3774</v>
      </c>
      <c r="AU4303" s="101" t="s">
        <v>3774</v>
      </c>
      <c r="AV4303" s="101" t="s">
        <v>177</v>
      </c>
      <c r="AW4303" s="101" t="s">
        <v>160</v>
      </c>
      <c r="AX4303" s="101">
        <v>3</v>
      </c>
      <c r="AY4303" s="101">
        <v>9</v>
      </c>
      <c r="AZ4303" s="101" t="s">
        <v>2121</v>
      </c>
      <c r="BE4303" s="101" t="s">
        <v>3771</v>
      </c>
      <c r="BP4303" s="427"/>
      <c r="BQ4303" s="427"/>
      <c r="BU4303" s="427"/>
      <c r="BV4303" s="427"/>
      <c r="BZ4303" s="427"/>
      <c r="CA4303" s="427"/>
      <c r="CE4303" s="580"/>
      <c r="CF4303" s="580"/>
      <c r="CG4303" s="580"/>
      <c r="CH4303" s="580"/>
      <c r="FL4303" s="101">
        <f>1/2000*100*356.2</f>
        <v>17.809999999999999</v>
      </c>
      <c r="FM4303" s="101">
        <f>1/2000*100*399.2</f>
        <v>19.96</v>
      </c>
      <c r="FP4303" s="101" t="s">
        <v>3782</v>
      </c>
      <c r="JD4303" s="177"/>
    </row>
    <row r="4304" spans="1:264" s="101" customFormat="1" x14ac:dyDescent="0.25">
      <c r="A4304" s="101">
        <v>188</v>
      </c>
      <c r="B4304" s="102" t="s">
        <v>3780</v>
      </c>
      <c r="C4304" s="101" t="s">
        <v>3762</v>
      </c>
      <c r="D4304" s="101" t="s">
        <v>3763</v>
      </c>
      <c r="E4304" s="101">
        <v>2016</v>
      </c>
      <c r="F4304" s="24">
        <v>2014</v>
      </c>
      <c r="G4304" s="101" t="s">
        <v>3766</v>
      </c>
      <c r="H4304" s="101" t="s">
        <v>3765</v>
      </c>
      <c r="I4304" s="101" t="s">
        <v>3461</v>
      </c>
      <c r="J4304" s="101">
        <f t="shared" si="563"/>
        <v>35.35</v>
      </c>
      <c r="K4304" s="101">
        <f t="shared" si="564"/>
        <v>109.93333333333334</v>
      </c>
      <c r="L4304" s="101">
        <v>838</v>
      </c>
      <c r="R4304" s="102" t="s">
        <v>1858</v>
      </c>
      <c r="S4304" s="102" t="s">
        <v>1858</v>
      </c>
      <c r="T4304" s="102"/>
      <c r="U4304" s="102" t="s">
        <v>3764</v>
      </c>
      <c r="V4304" s="102" t="s">
        <v>1438</v>
      </c>
      <c r="W4304" s="102" t="s">
        <v>3767</v>
      </c>
      <c r="X4304" s="102" t="s">
        <v>1438</v>
      </c>
      <c r="Y4304" s="102" t="s">
        <v>1438</v>
      </c>
      <c r="Z4304" s="101">
        <f t="shared" si="566"/>
        <v>1.2925</v>
      </c>
      <c r="AA4304" s="352">
        <v>8</v>
      </c>
      <c r="AB4304" s="352">
        <v>67</v>
      </c>
      <c r="AC4304" s="101" t="s">
        <v>450</v>
      </c>
      <c r="AD4304" s="101">
        <v>8.3000000000000007</v>
      </c>
      <c r="AE4304" s="101">
        <v>1.302</v>
      </c>
      <c r="AG4304" s="101" t="s">
        <v>3193</v>
      </c>
      <c r="AH4304" s="101" t="s">
        <v>3769</v>
      </c>
      <c r="AI4304" s="101" t="s">
        <v>577</v>
      </c>
      <c r="AJ4304" s="101" t="s">
        <v>3768</v>
      </c>
      <c r="AK4304" s="101" t="s">
        <v>3555</v>
      </c>
      <c r="AT4304" s="101" t="s">
        <v>3775</v>
      </c>
      <c r="AU4304" s="101" t="s">
        <v>3775</v>
      </c>
      <c r="AV4304" s="101" t="s">
        <v>177</v>
      </c>
      <c r="AW4304" s="101" t="s">
        <v>160</v>
      </c>
      <c r="AX4304" s="101">
        <v>3</v>
      </c>
      <c r="AY4304" s="101">
        <v>9</v>
      </c>
      <c r="AZ4304" s="101" t="s">
        <v>2121</v>
      </c>
      <c r="BE4304" s="101" t="s">
        <v>3771</v>
      </c>
      <c r="BP4304" s="427"/>
      <c r="BQ4304" s="427"/>
      <c r="BU4304" s="427"/>
      <c r="BV4304" s="427"/>
      <c r="BZ4304" s="427"/>
      <c r="CA4304" s="427"/>
      <c r="CE4304" s="580"/>
      <c r="CF4304" s="580"/>
      <c r="CG4304" s="580"/>
      <c r="CH4304" s="580"/>
      <c r="FL4304" s="101">
        <f>1/2000*100*340.6</f>
        <v>17.03</v>
      </c>
      <c r="FM4304" s="101">
        <f>1/2000*100*373.5</f>
        <v>18.675000000000001</v>
      </c>
      <c r="FP4304" s="101" t="s">
        <v>3782</v>
      </c>
      <c r="JD4304" s="177"/>
    </row>
    <row r="4305" spans="1:264" s="101" customFormat="1" x14ac:dyDescent="0.25">
      <c r="A4305" s="101">
        <v>188</v>
      </c>
      <c r="B4305" s="102" t="s">
        <v>3781</v>
      </c>
      <c r="C4305" s="101" t="s">
        <v>3762</v>
      </c>
      <c r="D4305" s="101" t="s">
        <v>3763</v>
      </c>
      <c r="E4305" s="101">
        <v>2016</v>
      </c>
      <c r="F4305" s="24">
        <v>2014</v>
      </c>
      <c r="G4305" s="101" t="s">
        <v>3766</v>
      </c>
      <c r="H4305" s="101" t="s">
        <v>3765</v>
      </c>
      <c r="I4305" s="101" t="s">
        <v>3461</v>
      </c>
      <c r="J4305" s="101">
        <f t="shared" si="563"/>
        <v>35.35</v>
      </c>
      <c r="K4305" s="101">
        <f t="shared" si="564"/>
        <v>109.93333333333334</v>
      </c>
      <c r="L4305" s="101">
        <v>838</v>
      </c>
      <c r="R4305" s="102" t="s">
        <v>1858</v>
      </c>
      <c r="S4305" s="102" t="s">
        <v>1858</v>
      </c>
      <c r="T4305" s="102"/>
      <c r="U4305" s="102" t="s">
        <v>3764</v>
      </c>
      <c r="V4305" s="102" t="s">
        <v>1438</v>
      </c>
      <c r="W4305" s="102" t="s">
        <v>3767</v>
      </c>
      <c r="X4305" s="102" t="s">
        <v>1438</v>
      </c>
      <c r="Y4305" s="102" t="s">
        <v>1438</v>
      </c>
      <c r="Z4305" s="101">
        <f t="shared" si="566"/>
        <v>1.2925</v>
      </c>
      <c r="AA4305" s="352">
        <v>8</v>
      </c>
      <c r="AB4305" s="352">
        <v>67</v>
      </c>
      <c r="AC4305" s="101" t="s">
        <v>450</v>
      </c>
      <c r="AD4305" s="101">
        <v>8.3000000000000007</v>
      </c>
      <c r="AE4305" s="101">
        <v>1.302</v>
      </c>
      <c r="AG4305" s="101" t="s">
        <v>3193</v>
      </c>
      <c r="AH4305" s="101" t="s">
        <v>3769</v>
      </c>
      <c r="AI4305" s="101" t="s">
        <v>577</v>
      </c>
      <c r="AJ4305" s="101" t="s">
        <v>3768</v>
      </c>
      <c r="AK4305" s="101" t="s">
        <v>3555</v>
      </c>
      <c r="AT4305" s="101" t="s">
        <v>3776</v>
      </c>
      <c r="AU4305" s="101" t="s">
        <v>3776</v>
      </c>
      <c r="AV4305" s="101" t="s">
        <v>177</v>
      </c>
      <c r="AW4305" s="101" t="s">
        <v>160</v>
      </c>
      <c r="AX4305" s="101">
        <v>3</v>
      </c>
      <c r="AY4305" s="101">
        <v>9</v>
      </c>
      <c r="AZ4305" s="101" t="s">
        <v>2121</v>
      </c>
      <c r="BE4305" s="101" t="s">
        <v>3771</v>
      </c>
      <c r="BP4305" s="427"/>
      <c r="BQ4305" s="427"/>
      <c r="BU4305" s="427"/>
      <c r="BV4305" s="427"/>
      <c r="BZ4305" s="427"/>
      <c r="CA4305" s="427"/>
      <c r="CE4305" s="580"/>
      <c r="CF4305" s="580"/>
      <c r="CG4305" s="580"/>
      <c r="CH4305" s="580"/>
      <c r="FL4305" s="101">
        <f>1/2000*100*386.6</f>
        <v>19.330000000000002</v>
      </c>
      <c r="FM4305" s="101">
        <f>1/2000*100*392.2</f>
        <v>19.61</v>
      </c>
      <c r="FP4305" s="101" t="s">
        <v>3782</v>
      </c>
      <c r="JD4305" s="177"/>
    </row>
    <row r="4306" spans="1:264" s="24" customFormat="1" x14ac:dyDescent="0.25">
      <c r="A4306" s="24">
        <v>188</v>
      </c>
      <c r="B4306" s="42" t="s">
        <v>3777</v>
      </c>
      <c r="C4306" s="24" t="s">
        <v>3762</v>
      </c>
      <c r="D4306" s="24" t="s">
        <v>3763</v>
      </c>
      <c r="E4306" s="24">
        <v>2016</v>
      </c>
      <c r="F4306" s="24">
        <v>2014</v>
      </c>
      <c r="G4306" s="24" t="s">
        <v>3766</v>
      </c>
      <c r="H4306" s="24" t="s">
        <v>3765</v>
      </c>
      <c r="I4306" s="24" t="s">
        <v>3461</v>
      </c>
      <c r="J4306" s="24">
        <f t="shared" si="563"/>
        <v>35.35</v>
      </c>
      <c r="K4306" s="24">
        <f t="shared" si="564"/>
        <v>109.93333333333334</v>
      </c>
      <c r="L4306" s="24">
        <v>838</v>
      </c>
      <c r="R4306" s="42" t="s">
        <v>1858</v>
      </c>
      <c r="S4306" s="42" t="s">
        <v>1858</v>
      </c>
      <c r="T4306" s="42"/>
      <c r="U4306" s="42" t="s">
        <v>3764</v>
      </c>
      <c r="V4306" s="42" t="s">
        <v>1438</v>
      </c>
      <c r="W4306" s="42" t="s">
        <v>3767</v>
      </c>
      <c r="X4306" s="42" t="s">
        <v>1438</v>
      </c>
      <c r="Y4306" s="42" t="s">
        <v>1438</v>
      </c>
      <c r="Z4306" s="24">
        <f t="shared" si="566"/>
        <v>1.2925</v>
      </c>
      <c r="AA4306" s="321">
        <v>8</v>
      </c>
      <c r="AB4306" s="321">
        <v>67</v>
      </c>
      <c r="AC4306" s="24" t="s">
        <v>450</v>
      </c>
      <c r="AD4306" s="24">
        <v>8.3000000000000007</v>
      </c>
      <c r="AE4306" s="24">
        <v>1.302</v>
      </c>
      <c r="AG4306" s="24" t="s">
        <v>3193</v>
      </c>
      <c r="AH4306" s="24" t="s">
        <v>3769</v>
      </c>
      <c r="AI4306" s="24" t="s">
        <v>577</v>
      </c>
      <c r="AJ4306" s="24" t="s">
        <v>3768</v>
      </c>
      <c r="AK4306" s="24" t="s">
        <v>3555</v>
      </c>
      <c r="AT4306" s="24" t="s">
        <v>3149</v>
      </c>
      <c r="AU4306" s="24" t="s">
        <v>3149</v>
      </c>
      <c r="AV4306" s="24" t="s">
        <v>177</v>
      </c>
      <c r="AW4306" s="24" t="s">
        <v>160</v>
      </c>
      <c r="AX4306" s="24">
        <v>3</v>
      </c>
      <c r="AY4306" s="24">
        <v>9</v>
      </c>
      <c r="AZ4306" s="24" t="s">
        <v>2121</v>
      </c>
      <c r="BE4306" s="24" t="s">
        <v>3772</v>
      </c>
      <c r="BP4306" s="395"/>
      <c r="BQ4306" s="395"/>
      <c r="BU4306" s="395"/>
      <c r="BV4306" s="395"/>
      <c r="BZ4306" s="395"/>
      <c r="CA4306" s="395"/>
      <c r="CE4306" s="548"/>
      <c r="CF4306" s="548"/>
      <c r="CG4306" s="548"/>
      <c r="CH4306" s="548"/>
      <c r="FL4306" s="24">
        <f>1/2000*100*438.8</f>
        <v>21.94</v>
      </c>
      <c r="FM4306" s="24">
        <f>1/2000*100*461.3</f>
        <v>23.065000000000001</v>
      </c>
      <c r="FP4306" s="24" t="s">
        <v>3782</v>
      </c>
      <c r="JD4306" s="249"/>
    </row>
    <row r="4307" spans="1:264" s="24" customFormat="1" x14ac:dyDescent="0.25">
      <c r="A4307" s="24">
        <v>188</v>
      </c>
      <c r="B4307" s="42" t="s">
        <v>3778</v>
      </c>
      <c r="C4307" s="24" t="s">
        <v>3762</v>
      </c>
      <c r="D4307" s="24" t="s">
        <v>3763</v>
      </c>
      <c r="E4307" s="24">
        <v>2016</v>
      </c>
      <c r="F4307" s="24">
        <v>2014</v>
      </c>
      <c r="G4307" s="24" t="s">
        <v>3766</v>
      </c>
      <c r="H4307" s="24" t="s">
        <v>3765</v>
      </c>
      <c r="I4307" s="24" t="s">
        <v>3461</v>
      </c>
      <c r="J4307" s="24">
        <f t="shared" si="563"/>
        <v>35.35</v>
      </c>
      <c r="K4307" s="24">
        <f t="shared" si="564"/>
        <v>109.93333333333334</v>
      </c>
      <c r="L4307" s="24">
        <v>838</v>
      </c>
      <c r="R4307" s="42" t="s">
        <v>1858</v>
      </c>
      <c r="S4307" s="42" t="s">
        <v>1858</v>
      </c>
      <c r="T4307" s="42"/>
      <c r="U4307" s="42" t="s">
        <v>3764</v>
      </c>
      <c r="V4307" s="42" t="s">
        <v>1438</v>
      </c>
      <c r="W4307" s="42" t="s">
        <v>3767</v>
      </c>
      <c r="X4307" s="42" t="s">
        <v>1438</v>
      </c>
      <c r="Y4307" s="42" t="s">
        <v>1438</v>
      </c>
      <c r="Z4307" s="24">
        <f t="shared" si="566"/>
        <v>1.2925</v>
      </c>
      <c r="AA4307" s="321">
        <v>8</v>
      </c>
      <c r="AB4307" s="321">
        <v>67</v>
      </c>
      <c r="AC4307" s="24" t="s">
        <v>450</v>
      </c>
      <c r="AD4307" s="24">
        <v>8.3000000000000007</v>
      </c>
      <c r="AE4307" s="24">
        <v>1.302</v>
      </c>
      <c r="AG4307" s="24" t="s">
        <v>3193</v>
      </c>
      <c r="AH4307" s="24" t="s">
        <v>3769</v>
      </c>
      <c r="AI4307" s="24" t="s">
        <v>577</v>
      </c>
      <c r="AJ4307" s="24" t="s">
        <v>3768</v>
      </c>
      <c r="AK4307" s="24" t="s">
        <v>3555</v>
      </c>
      <c r="AT4307" s="24" t="s">
        <v>3773</v>
      </c>
      <c r="AU4307" s="24" t="s">
        <v>3773</v>
      </c>
      <c r="AV4307" s="24" t="s">
        <v>177</v>
      </c>
      <c r="AW4307" s="24" t="s">
        <v>160</v>
      </c>
      <c r="AX4307" s="24">
        <v>3</v>
      </c>
      <c r="AY4307" s="24">
        <v>9</v>
      </c>
      <c r="AZ4307" s="24" t="s">
        <v>2121</v>
      </c>
      <c r="BE4307" s="24" t="s">
        <v>3772</v>
      </c>
      <c r="BP4307" s="395"/>
      <c r="BQ4307" s="395"/>
      <c r="BU4307" s="395"/>
      <c r="BV4307" s="395"/>
      <c r="BZ4307" s="395"/>
      <c r="CA4307" s="395"/>
      <c r="CE4307" s="548"/>
      <c r="CF4307" s="548"/>
      <c r="CG4307" s="548"/>
      <c r="CH4307" s="548"/>
      <c r="FL4307" s="24">
        <f>1/2000*100*472</f>
        <v>23.6</v>
      </c>
      <c r="FM4307" s="24">
        <f>1/2000*100*495.1</f>
        <v>24.755000000000003</v>
      </c>
      <c r="FP4307" s="24" t="s">
        <v>3782</v>
      </c>
      <c r="JD4307" s="249"/>
    </row>
    <row r="4308" spans="1:264" s="24" customFormat="1" x14ac:dyDescent="0.25">
      <c r="A4308" s="24">
        <v>188</v>
      </c>
      <c r="B4308" s="42" t="s">
        <v>3779</v>
      </c>
      <c r="C4308" s="24" t="s">
        <v>3762</v>
      </c>
      <c r="D4308" s="24" t="s">
        <v>3763</v>
      </c>
      <c r="E4308" s="24">
        <v>2016</v>
      </c>
      <c r="F4308" s="24">
        <v>2014</v>
      </c>
      <c r="G4308" s="24" t="s">
        <v>3766</v>
      </c>
      <c r="H4308" s="24" t="s">
        <v>3765</v>
      </c>
      <c r="I4308" s="24" t="s">
        <v>3461</v>
      </c>
      <c r="J4308" s="24">
        <f t="shared" si="563"/>
        <v>35.35</v>
      </c>
      <c r="K4308" s="24">
        <f t="shared" si="564"/>
        <v>109.93333333333334</v>
      </c>
      <c r="L4308" s="24">
        <v>838</v>
      </c>
      <c r="R4308" s="42" t="s">
        <v>1858</v>
      </c>
      <c r="S4308" s="42" t="s">
        <v>1858</v>
      </c>
      <c r="T4308" s="42"/>
      <c r="U4308" s="42" t="s">
        <v>3764</v>
      </c>
      <c r="V4308" s="42" t="s">
        <v>1438</v>
      </c>
      <c r="W4308" s="42" t="s">
        <v>3767</v>
      </c>
      <c r="X4308" s="42" t="s">
        <v>1438</v>
      </c>
      <c r="Y4308" s="42" t="s">
        <v>1438</v>
      </c>
      <c r="Z4308" s="24">
        <f t="shared" si="566"/>
        <v>1.2925</v>
      </c>
      <c r="AA4308" s="321">
        <v>8</v>
      </c>
      <c r="AB4308" s="321">
        <v>67</v>
      </c>
      <c r="AC4308" s="24" t="s">
        <v>450</v>
      </c>
      <c r="AD4308" s="24">
        <v>8.3000000000000007</v>
      </c>
      <c r="AE4308" s="24">
        <v>1.302</v>
      </c>
      <c r="AG4308" s="24" t="s">
        <v>3193</v>
      </c>
      <c r="AH4308" s="24" t="s">
        <v>3769</v>
      </c>
      <c r="AI4308" s="24" t="s">
        <v>577</v>
      </c>
      <c r="AJ4308" s="24" t="s">
        <v>3768</v>
      </c>
      <c r="AK4308" s="24" t="s">
        <v>3555</v>
      </c>
      <c r="AT4308" s="24" t="s">
        <v>3774</v>
      </c>
      <c r="AU4308" s="24" t="s">
        <v>3774</v>
      </c>
      <c r="AV4308" s="24" t="s">
        <v>177</v>
      </c>
      <c r="AW4308" s="24" t="s">
        <v>160</v>
      </c>
      <c r="AX4308" s="24">
        <v>3</v>
      </c>
      <c r="AY4308" s="24">
        <v>9</v>
      </c>
      <c r="AZ4308" s="24" t="s">
        <v>2121</v>
      </c>
      <c r="BE4308" s="24" t="s">
        <v>3772</v>
      </c>
      <c r="BP4308" s="395"/>
      <c r="BQ4308" s="395"/>
      <c r="BU4308" s="395"/>
      <c r="BV4308" s="395"/>
      <c r="BZ4308" s="395"/>
      <c r="CA4308" s="395"/>
      <c r="CE4308" s="548"/>
      <c r="CF4308" s="548"/>
      <c r="CG4308" s="548"/>
      <c r="CH4308" s="548"/>
      <c r="FL4308" s="24">
        <f>1/2000*100*483.2</f>
        <v>24.16</v>
      </c>
      <c r="FM4308" s="24">
        <f>1/2000*100*530.1</f>
        <v>26.505000000000003</v>
      </c>
      <c r="FP4308" s="24" t="s">
        <v>3782</v>
      </c>
      <c r="JD4308" s="249"/>
    </row>
    <row r="4309" spans="1:264" s="24" customFormat="1" x14ac:dyDescent="0.25">
      <c r="A4309" s="24">
        <v>188</v>
      </c>
      <c r="B4309" s="42" t="s">
        <v>3780</v>
      </c>
      <c r="C4309" s="24" t="s">
        <v>3762</v>
      </c>
      <c r="D4309" s="24" t="s">
        <v>3763</v>
      </c>
      <c r="E4309" s="24">
        <v>2016</v>
      </c>
      <c r="F4309" s="24">
        <v>2014</v>
      </c>
      <c r="G4309" s="24" t="s">
        <v>3766</v>
      </c>
      <c r="H4309" s="24" t="s">
        <v>3765</v>
      </c>
      <c r="I4309" s="24" t="s">
        <v>3461</v>
      </c>
      <c r="J4309" s="24">
        <f t="shared" si="563"/>
        <v>35.35</v>
      </c>
      <c r="K4309" s="24">
        <f t="shared" si="564"/>
        <v>109.93333333333334</v>
      </c>
      <c r="L4309" s="24">
        <v>838</v>
      </c>
      <c r="R4309" s="42" t="s">
        <v>1858</v>
      </c>
      <c r="S4309" s="42" t="s">
        <v>1858</v>
      </c>
      <c r="T4309" s="42"/>
      <c r="U4309" s="42" t="s">
        <v>3764</v>
      </c>
      <c r="V4309" s="42" t="s">
        <v>1438</v>
      </c>
      <c r="W4309" s="42" t="s">
        <v>3767</v>
      </c>
      <c r="X4309" s="42" t="s">
        <v>1438</v>
      </c>
      <c r="Y4309" s="42" t="s">
        <v>1438</v>
      </c>
      <c r="Z4309" s="24">
        <f t="shared" si="566"/>
        <v>1.2925</v>
      </c>
      <c r="AA4309" s="321">
        <v>8</v>
      </c>
      <c r="AB4309" s="321">
        <v>67</v>
      </c>
      <c r="AC4309" s="24" t="s">
        <v>450</v>
      </c>
      <c r="AD4309" s="24">
        <v>8.3000000000000007</v>
      </c>
      <c r="AE4309" s="24">
        <v>1.302</v>
      </c>
      <c r="AG4309" s="24" t="s">
        <v>3193</v>
      </c>
      <c r="AH4309" s="24" t="s">
        <v>3769</v>
      </c>
      <c r="AI4309" s="24" t="s">
        <v>577</v>
      </c>
      <c r="AJ4309" s="24" t="s">
        <v>3768</v>
      </c>
      <c r="AK4309" s="24" t="s">
        <v>3555</v>
      </c>
      <c r="AT4309" s="24" t="s">
        <v>3775</v>
      </c>
      <c r="AU4309" s="24" t="s">
        <v>3775</v>
      </c>
      <c r="AV4309" s="24" t="s">
        <v>177</v>
      </c>
      <c r="AW4309" s="24" t="s">
        <v>160</v>
      </c>
      <c r="AX4309" s="24">
        <v>3</v>
      </c>
      <c r="AY4309" s="24">
        <v>9</v>
      </c>
      <c r="AZ4309" s="24" t="s">
        <v>2121</v>
      </c>
      <c r="BE4309" s="24" t="s">
        <v>3772</v>
      </c>
      <c r="BP4309" s="395"/>
      <c r="BQ4309" s="395"/>
      <c r="BU4309" s="395"/>
      <c r="BV4309" s="395"/>
      <c r="BZ4309" s="395"/>
      <c r="CA4309" s="395"/>
      <c r="CE4309" s="548"/>
      <c r="CF4309" s="548"/>
      <c r="CG4309" s="548"/>
      <c r="CH4309" s="548"/>
      <c r="FL4309" s="24">
        <f>1/2000*100*485.6</f>
        <v>24.28</v>
      </c>
      <c r="FM4309" s="24">
        <f>1/2000*100*513.9</f>
        <v>25.695</v>
      </c>
      <c r="FP4309" s="24" t="s">
        <v>3782</v>
      </c>
      <c r="JD4309" s="249"/>
    </row>
    <row r="4310" spans="1:264" s="24" customFormat="1" x14ac:dyDescent="0.25">
      <c r="A4310" s="24">
        <v>188</v>
      </c>
      <c r="B4310" s="42" t="s">
        <v>3781</v>
      </c>
      <c r="C4310" s="24" t="s">
        <v>3762</v>
      </c>
      <c r="D4310" s="24" t="s">
        <v>3763</v>
      </c>
      <c r="E4310" s="24">
        <v>2016</v>
      </c>
      <c r="F4310" s="24">
        <v>2014</v>
      </c>
      <c r="G4310" s="24" t="s">
        <v>3766</v>
      </c>
      <c r="H4310" s="24" t="s">
        <v>3765</v>
      </c>
      <c r="I4310" s="24" t="s">
        <v>3461</v>
      </c>
      <c r="J4310" s="24">
        <f t="shared" si="563"/>
        <v>35.35</v>
      </c>
      <c r="K4310" s="24">
        <f t="shared" si="564"/>
        <v>109.93333333333334</v>
      </c>
      <c r="L4310" s="24">
        <v>838</v>
      </c>
      <c r="R4310" s="42" t="s">
        <v>1858</v>
      </c>
      <c r="S4310" s="42" t="s">
        <v>1858</v>
      </c>
      <c r="T4310" s="42"/>
      <c r="U4310" s="42" t="s">
        <v>3764</v>
      </c>
      <c r="V4310" s="42" t="s">
        <v>1438</v>
      </c>
      <c r="W4310" s="42" t="s">
        <v>3767</v>
      </c>
      <c r="X4310" s="42" t="s">
        <v>1438</v>
      </c>
      <c r="Y4310" s="42" t="s">
        <v>1438</v>
      </c>
      <c r="Z4310" s="24">
        <f t="shared" si="566"/>
        <v>1.2925</v>
      </c>
      <c r="AA4310" s="321">
        <v>8</v>
      </c>
      <c r="AB4310" s="321">
        <v>67</v>
      </c>
      <c r="AC4310" s="24" t="s">
        <v>450</v>
      </c>
      <c r="AD4310" s="24">
        <v>8.3000000000000007</v>
      </c>
      <c r="AE4310" s="24">
        <v>1.302</v>
      </c>
      <c r="AG4310" s="24" t="s">
        <v>3193</v>
      </c>
      <c r="AH4310" s="24" t="s">
        <v>3769</v>
      </c>
      <c r="AI4310" s="24" t="s">
        <v>577</v>
      </c>
      <c r="AJ4310" s="24" t="s">
        <v>3768</v>
      </c>
      <c r="AK4310" s="24" t="s">
        <v>3555</v>
      </c>
      <c r="AT4310" s="24" t="s">
        <v>3776</v>
      </c>
      <c r="AU4310" s="24" t="s">
        <v>3776</v>
      </c>
      <c r="AV4310" s="24" t="s">
        <v>177</v>
      </c>
      <c r="AW4310" s="24" t="s">
        <v>160</v>
      </c>
      <c r="AX4310" s="24">
        <v>3</v>
      </c>
      <c r="AY4310" s="24">
        <v>9</v>
      </c>
      <c r="AZ4310" s="24" t="s">
        <v>2121</v>
      </c>
      <c r="BE4310" s="24" t="s">
        <v>3772</v>
      </c>
      <c r="BP4310" s="395"/>
      <c r="BQ4310" s="395"/>
      <c r="BU4310" s="395"/>
      <c r="BV4310" s="395"/>
      <c r="BZ4310" s="395"/>
      <c r="CA4310" s="395"/>
      <c r="CE4310" s="548"/>
      <c r="CF4310" s="548"/>
      <c r="CG4310" s="548"/>
      <c r="CH4310" s="548"/>
      <c r="FL4310" s="24">
        <f>1/2000*100*503.6</f>
        <v>25.180000000000003</v>
      </c>
      <c r="FM4310" s="24">
        <f>1/2000*100*523.3</f>
        <v>26.164999999999999</v>
      </c>
      <c r="FP4310" s="24" t="s">
        <v>3782</v>
      </c>
      <c r="JD4310" s="249"/>
    </row>
    <row r="4311" spans="1:264" s="126" customFormat="1" x14ac:dyDescent="0.25">
      <c r="A4311" s="126">
        <v>189</v>
      </c>
      <c r="B4311" s="478" t="s">
        <v>4439</v>
      </c>
      <c r="C4311" s="126" t="s">
        <v>4429</v>
      </c>
      <c r="D4311" s="126" t="s">
        <v>4430</v>
      </c>
      <c r="E4311" s="126">
        <v>2016</v>
      </c>
      <c r="F4311" s="126">
        <v>2014</v>
      </c>
      <c r="G4311" s="126" t="s">
        <v>3711</v>
      </c>
      <c r="H4311" s="126" t="s">
        <v>4431</v>
      </c>
      <c r="I4311" s="126" t="s">
        <v>3461</v>
      </c>
      <c r="J4311" s="126">
        <f>28+7/60</f>
        <v>28.116666666666667</v>
      </c>
      <c r="K4311" s="126">
        <f>115+56/60</f>
        <v>115.93333333333334</v>
      </c>
      <c r="L4311" s="126">
        <v>25.4</v>
      </c>
      <c r="M4311" s="126">
        <f>AVERAGE(5.55,8.3,14.15,17.61,24.3,27.4,31.5,32.05,25.72,20.7,14.37,7.68)</f>
        <v>19.110833333333336</v>
      </c>
      <c r="O4311" s="126">
        <f>SUM(29.53,100,216.8,180,166,411.8,117,63,29,17,100,57)</f>
        <v>1487.13</v>
      </c>
      <c r="R4311" s="478" t="s">
        <v>1977</v>
      </c>
      <c r="S4311" s="478" t="s">
        <v>1977</v>
      </c>
      <c r="T4311" s="478"/>
      <c r="U4311" s="478" t="s">
        <v>4441</v>
      </c>
      <c r="V4311" s="478" t="s">
        <v>1379</v>
      </c>
      <c r="W4311" s="478" t="s">
        <v>1715</v>
      </c>
      <c r="X4311" s="478" t="s">
        <v>1379</v>
      </c>
      <c r="Y4311" s="478" t="s">
        <v>1379</v>
      </c>
      <c r="Z4311" s="126">
        <v>1.47</v>
      </c>
      <c r="AA4311" s="479"/>
      <c r="AB4311" s="479"/>
      <c r="AD4311" s="126">
        <v>5.41</v>
      </c>
      <c r="AE4311" s="126">
        <v>1.6</v>
      </c>
      <c r="AH4311" s="126" t="s">
        <v>3657</v>
      </c>
      <c r="AI4311" s="126" t="s">
        <v>577</v>
      </c>
      <c r="AJ4311" s="126" t="s">
        <v>1128</v>
      </c>
      <c r="AK4311" s="126" t="s">
        <v>1646</v>
      </c>
      <c r="AT4311" s="126" t="s">
        <v>177</v>
      </c>
      <c r="AU4311" s="126" t="s">
        <v>177</v>
      </c>
      <c r="AV4311" s="126" t="s">
        <v>177</v>
      </c>
      <c r="AW4311" s="126" t="s">
        <v>160</v>
      </c>
      <c r="AX4311" s="126">
        <v>3</v>
      </c>
      <c r="AZ4311" s="126" t="s">
        <v>141</v>
      </c>
      <c r="BK4311" s="126">
        <f>1000*3.44</f>
        <v>3440</v>
      </c>
      <c r="BL4311" s="126">
        <f>1000*5.61</f>
        <v>5610</v>
      </c>
      <c r="BM4311" s="126">
        <f>1000*SQRT(3)*0.22</f>
        <v>381.05117766515298</v>
      </c>
      <c r="BN4311" s="126">
        <f>1000*SQRT(3)*0.21</f>
        <v>363.73066958946418</v>
      </c>
      <c r="BO4311" s="126" t="s">
        <v>4433</v>
      </c>
      <c r="BP4311" s="481"/>
      <c r="BQ4311" s="481"/>
      <c r="BU4311" s="481"/>
      <c r="BV4311" s="481"/>
      <c r="BZ4311" s="481"/>
      <c r="CA4311" s="481"/>
      <c r="CE4311" s="605"/>
      <c r="CF4311" s="605"/>
      <c r="CG4311" s="605"/>
      <c r="CH4311" s="605"/>
      <c r="CJ4311" s="126">
        <v>6.1379999999999999</v>
      </c>
      <c r="CK4311" s="126">
        <v>10.189</v>
      </c>
      <c r="CL4311" s="126">
        <f>(6.73-CJ4311)*SQRT(3)</f>
        <v>1.0253740780807763</v>
      </c>
      <c r="CM4311" s="126">
        <f>(10.63-CK4311)*SQRT(3)</f>
        <v>0.76383440613787612</v>
      </c>
      <c r="CN4311" s="126" t="s">
        <v>4435</v>
      </c>
      <c r="GU4311" s="126">
        <v>19.170000000000002</v>
      </c>
      <c r="GV4311" s="126">
        <v>20.2</v>
      </c>
      <c r="GW4311" s="126">
        <f>(19.43-GU4311)*SQRT(3)</f>
        <v>0.4503332099679046</v>
      </c>
      <c r="GX4311" s="126">
        <f>SQRT(3)*0.45</f>
        <v>0.77942286340599476</v>
      </c>
      <c r="GY4311" s="126" t="s">
        <v>4437</v>
      </c>
      <c r="HO4311" s="126">
        <v>0.62</v>
      </c>
      <c r="HP4311" s="126">
        <v>1.32</v>
      </c>
      <c r="HQ4311" s="126">
        <f>SQRT(3)*0.04</f>
        <v>6.9282032302755092E-2</v>
      </c>
      <c r="HR4311" s="126">
        <f>SQRT(3)*0.33</f>
        <v>0.57157676649772948</v>
      </c>
      <c r="HS4311" s="126" t="s">
        <v>4432</v>
      </c>
      <c r="ID4311" s="126">
        <v>184.9</v>
      </c>
      <c r="IE4311" s="126">
        <v>392.1</v>
      </c>
      <c r="IF4311" s="126">
        <v>72.599999999999994</v>
      </c>
      <c r="IG4311" s="126">
        <v>53.3</v>
      </c>
      <c r="IH4311" s="126" t="s">
        <v>4434</v>
      </c>
      <c r="JD4311" s="480"/>
    </row>
    <row r="4312" spans="1:264" s="126" customFormat="1" x14ac:dyDescent="0.25">
      <c r="A4312" s="126">
        <v>189</v>
      </c>
      <c r="B4312" s="478" t="s">
        <v>4440</v>
      </c>
      <c r="C4312" s="126" t="s">
        <v>4429</v>
      </c>
      <c r="D4312" s="126" t="s">
        <v>4430</v>
      </c>
      <c r="E4312" s="126">
        <v>2016</v>
      </c>
      <c r="F4312" s="126">
        <v>2014</v>
      </c>
      <c r="G4312" s="126" t="s">
        <v>3711</v>
      </c>
      <c r="H4312" s="126" t="s">
        <v>4431</v>
      </c>
      <c r="I4312" s="126" t="s">
        <v>3461</v>
      </c>
      <c r="J4312" s="126">
        <f>28+7/60</f>
        <v>28.116666666666667</v>
      </c>
      <c r="K4312" s="126">
        <f>115+56/60</f>
        <v>115.93333333333334</v>
      </c>
      <c r="L4312" s="126">
        <v>25.4</v>
      </c>
      <c r="M4312" s="126">
        <f>AVERAGE(5.55,8.3,14.15,17.61,24.3,27.4,31.5,32.05,25.72,20.7,14.37,7.68)</f>
        <v>19.110833333333336</v>
      </c>
      <c r="O4312" s="126">
        <f>SUM(29.53,100,216.8,180,166,411.8,117,63,29,17,100,57)</f>
        <v>1487.13</v>
      </c>
      <c r="R4312" s="478" t="s">
        <v>1977</v>
      </c>
      <c r="S4312" s="478" t="s">
        <v>1977</v>
      </c>
      <c r="T4312" s="478"/>
      <c r="U4312" s="478" t="s">
        <v>4441</v>
      </c>
      <c r="V4312" s="478" t="s">
        <v>1379</v>
      </c>
      <c r="W4312" s="478" t="s">
        <v>1715</v>
      </c>
      <c r="X4312" s="478" t="s">
        <v>1379</v>
      </c>
      <c r="Y4312" s="478" t="s">
        <v>1379</v>
      </c>
      <c r="Z4312" s="126">
        <v>1.47</v>
      </c>
      <c r="AA4312" s="479"/>
      <c r="AB4312" s="479"/>
      <c r="AD4312" s="126">
        <v>5.41</v>
      </c>
      <c r="AE4312" s="126">
        <v>1.6</v>
      </c>
      <c r="AH4312" s="126" t="s">
        <v>3657</v>
      </c>
      <c r="AI4312" s="126" t="s">
        <v>577</v>
      </c>
      <c r="AJ4312" s="126" t="s">
        <v>1128</v>
      </c>
      <c r="AK4312" s="126" t="s">
        <v>1646</v>
      </c>
      <c r="AT4312" s="126" t="s">
        <v>177</v>
      </c>
      <c r="AU4312" s="126" t="s">
        <v>177</v>
      </c>
      <c r="AV4312" s="126" t="s">
        <v>177</v>
      </c>
      <c r="AW4312" s="126" t="s">
        <v>160</v>
      </c>
      <c r="AX4312" s="126">
        <v>3</v>
      </c>
      <c r="AZ4312" s="126" t="s">
        <v>141</v>
      </c>
      <c r="BP4312" s="481"/>
      <c r="BQ4312" s="481"/>
      <c r="BU4312" s="481"/>
      <c r="BV4312" s="481"/>
      <c r="BZ4312" s="481"/>
      <c r="CA4312" s="481"/>
      <c r="CE4312" s="605"/>
      <c r="CF4312" s="605"/>
      <c r="CG4312" s="605"/>
      <c r="CH4312" s="605"/>
      <c r="CJ4312" s="126">
        <v>0.2</v>
      </c>
      <c r="CK4312" s="126">
        <v>0.31</v>
      </c>
      <c r="CL4312" s="126">
        <f>SQRT(3)*0.03</f>
        <v>5.1961524227066312E-2</v>
      </c>
      <c r="CM4312" s="126">
        <f>SQRT(3)*0.02</f>
        <v>3.4641016151377546E-2</v>
      </c>
      <c r="CN4312" s="126" t="s">
        <v>4436</v>
      </c>
      <c r="GU4312" s="126">
        <v>2.52</v>
      </c>
      <c r="GV4312" s="126">
        <v>5.79</v>
      </c>
      <c r="GW4312" s="126">
        <f>(3.21-GU4312)*SQRT(3)</f>
        <v>1.1951150572225251</v>
      </c>
      <c r="GX4312" s="126">
        <f>(6.14-GV4312)*SQRT(3)</f>
        <v>0.60621778264910642</v>
      </c>
      <c r="GY4312" s="126" t="s">
        <v>4438</v>
      </c>
      <c r="JD4312" s="480"/>
    </row>
    <row r="4313" spans="1:264" s="32" customFormat="1" x14ac:dyDescent="0.25">
      <c r="A4313" s="32">
        <v>190</v>
      </c>
      <c r="B4313" s="44" t="s">
        <v>4447</v>
      </c>
      <c r="C4313" s="32" t="s">
        <v>4442</v>
      </c>
      <c r="D4313" s="32" t="s">
        <v>4443</v>
      </c>
      <c r="E4313" s="32">
        <v>2014</v>
      </c>
      <c r="F4313" s="32">
        <v>2010</v>
      </c>
      <c r="G4313" s="32" t="s">
        <v>4444</v>
      </c>
      <c r="H4313" s="32" t="s">
        <v>4446</v>
      </c>
      <c r="I4313" s="32" t="s">
        <v>3461</v>
      </c>
      <c r="J4313" s="32">
        <f t="shared" ref="J4313:J4328" si="567">31+31/60</f>
        <v>31.516666666666666</v>
      </c>
      <c r="K4313" s="32">
        <f t="shared" ref="K4313:K4328" si="568">120.1</f>
        <v>120.1</v>
      </c>
      <c r="L4313" s="32">
        <v>3</v>
      </c>
      <c r="N4313" s="32">
        <v>15.5</v>
      </c>
      <c r="P4313" s="32">
        <v>1038.4000000000001</v>
      </c>
      <c r="R4313" s="44" t="s">
        <v>1847</v>
      </c>
      <c r="S4313" s="44" t="s">
        <v>1858</v>
      </c>
      <c r="T4313" s="44"/>
      <c r="U4313" s="44" t="s">
        <v>4445</v>
      </c>
      <c r="V4313" s="44" t="s">
        <v>1379</v>
      </c>
      <c r="W4313" s="44" t="s">
        <v>1715</v>
      </c>
      <c r="X4313" s="44" t="s">
        <v>1379</v>
      </c>
      <c r="Y4313" s="44" t="s">
        <v>1379</v>
      </c>
      <c r="AA4313" s="323"/>
      <c r="AB4313" s="323"/>
      <c r="AD4313" s="32">
        <v>3.99</v>
      </c>
      <c r="AE4313" s="32">
        <v>3.2</v>
      </c>
      <c r="AH4313" s="32" t="s">
        <v>243</v>
      </c>
      <c r="AI4313" s="32" t="s">
        <v>577</v>
      </c>
      <c r="AJ4313" s="32" t="s">
        <v>1128</v>
      </c>
      <c r="AK4313" s="32" t="s">
        <v>1646</v>
      </c>
      <c r="AW4313" s="32" t="s">
        <v>119</v>
      </c>
      <c r="AX4313" s="32">
        <v>3</v>
      </c>
      <c r="AZ4313" s="32" t="s">
        <v>141</v>
      </c>
      <c r="BK4313" s="32">
        <v>8138.5</v>
      </c>
      <c r="BL4313" s="32">
        <v>8158.77</v>
      </c>
      <c r="BM4313" s="32">
        <f>BK4313-7845</f>
        <v>293.5</v>
      </c>
      <c r="BN4313" s="32">
        <f>8635-BL4313</f>
        <v>476.22999999999956</v>
      </c>
      <c r="BP4313" s="397"/>
      <c r="BQ4313" s="397"/>
      <c r="BU4313" s="397">
        <v>2.0699999999999998</v>
      </c>
      <c r="BV4313" s="397">
        <v>3.07</v>
      </c>
      <c r="BY4313" s="32" t="s">
        <v>4452</v>
      </c>
      <c r="CE4313" s="550">
        <v>2.0699999999999998</v>
      </c>
      <c r="CF4313" s="550">
        <v>3.07</v>
      </c>
      <c r="CG4313" s="550"/>
      <c r="CH4313" s="550"/>
      <c r="CI4313" s="32" t="s">
        <v>4545</v>
      </c>
      <c r="CJ4313" s="32">
        <v>1.75</v>
      </c>
      <c r="CK4313" s="32">
        <v>1.86</v>
      </c>
      <c r="CN4313" s="32" t="s">
        <v>3288</v>
      </c>
      <c r="FB4313" s="32">
        <v>3.86</v>
      </c>
      <c r="FC4313" s="32">
        <v>8.41</v>
      </c>
      <c r="FD4313" s="32">
        <f>7.51-FB4313</f>
        <v>3.65</v>
      </c>
      <c r="FE4313" s="32">
        <v>4.26</v>
      </c>
      <c r="FF4313" s="32" t="s">
        <v>4451</v>
      </c>
      <c r="HJ4313" s="32">
        <v>8.65</v>
      </c>
      <c r="HK4313" s="32">
        <v>10.25</v>
      </c>
      <c r="HN4313" s="32" t="s">
        <v>4453</v>
      </c>
      <c r="JD4313" s="243"/>
    </row>
    <row r="4314" spans="1:264" s="32" customFormat="1" x14ac:dyDescent="0.25">
      <c r="A4314" s="32">
        <v>190</v>
      </c>
      <c r="B4314" s="44" t="s">
        <v>4448</v>
      </c>
      <c r="C4314" s="32" t="s">
        <v>4442</v>
      </c>
      <c r="D4314" s="32" t="s">
        <v>4443</v>
      </c>
      <c r="E4314" s="32">
        <v>2014</v>
      </c>
      <c r="F4314" s="32">
        <v>2010</v>
      </c>
      <c r="G4314" s="32" t="s">
        <v>4444</v>
      </c>
      <c r="H4314" s="32" t="s">
        <v>4446</v>
      </c>
      <c r="I4314" s="32" t="s">
        <v>3461</v>
      </c>
      <c r="J4314" s="32">
        <f t="shared" si="567"/>
        <v>31.516666666666666</v>
      </c>
      <c r="K4314" s="32">
        <f t="shared" si="568"/>
        <v>120.1</v>
      </c>
      <c r="L4314" s="32">
        <v>3</v>
      </c>
      <c r="N4314" s="32">
        <v>15.5</v>
      </c>
      <c r="P4314" s="32">
        <v>1038.4000000000001</v>
      </c>
      <c r="R4314" s="44" t="s">
        <v>1847</v>
      </c>
      <c r="S4314" s="44" t="s">
        <v>1858</v>
      </c>
      <c r="T4314" s="44"/>
      <c r="U4314" s="44" t="s">
        <v>4445</v>
      </c>
      <c r="V4314" s="44" t="s">
        <v>1379</v>
      </c>
      <c r="W4314" s="44" t="s">
        <v>1715</v>
      </c>
      <c r="X4314" s="44" t="s">
        <v>1379</v>
      </c>
      <c r="Y4314" s="44" t="s">
        <v>1379</v>
      </c>
      <c r="AA4314" s="323"/>
      <c r="AB4314" s="323"/>
      <c r="AD4314" s="32">
        <v>3.99</v>
      </c>
      <c r="AE4314" s="32">
        <v>3.2</v>
      </c>
      <c r="AH4314" s="32" t="s">
        <v>2868</v>
      </c>
      <c r="AI4314" s="32" t="s">
        <v>577</v>
      </c>
      <c r="AJ4314" s="32" t="s">
        <v>1128</v>
      </c>
      <c r="AK4314" s="32" t="s">
        <v>1646</v>
      </c>
      <c r="AW4314" s="32" t="s">
        <v>119</v>
      </c>
      <c r="AX4314" s="32">
        <v>3</v>
      </c>
      <c r="AZ4314" s="32" t="s">
        <v>141</v>
      </c>
      <c r="BK4314" s="32">
        <v>8138.5</v>
      </c>
      <c r="BL4314" s="32">
        <v>8160.58</v>
      </c>
      <c r="BM4314" s="32">
        <f t="shared" ref="BM4314:BM4316" si="569">BK4314-7845</f>
        <v>293.5</v>
      </c>
      <c r="BN4314" s="32">
        <f>8509-BL4314</f>
        <v>348.42000000000007</v>
      </c>
      <c r="BP4314" s="397"/>
      <c r="BQ4314" s="397"/>
      <c r="BU4314" s="397">
        <v>2.0699999999999998</v>
      </c>
      <c r="BV4314" s="397">
        <v>2.35</v>
      </c>
      <c r="BY4314" s="32" t="s">
        <v>4452</v>
      </c>
      <c r="CE4314" s="550">
        <v>2.0699999999999998</v>
      </c>
      <c r="CF4314" s="550">
        <v>2.35</v>
      </c>
      <c r="CG4314" s="550"/>
      <c r="CH4314" s="550"/>
      <c r="CI4314" s="32" t="s">
        <v>4545</v>
      </c>
      <c r="CJ4314" s="32">
        <v>1.75</v>
      </c>
      <c r="CK4314" s="32">
        <v>1.89</v>
      </c>
      <c r="CN4314" s="32" t="s">
        <v>3288</v>
      </c>
      <c r="FB4314" s="32">
        <v>3.86</v>
      </c>
      <c r="FC4314" s="32">
        <v>7.24</v>
      </c>
      <c r="FD4314" s="32">
        <f t="shared" ref="FD4314:FD4316" si="570">7.51-FB4314</f>
        <v>3.65</v>
      </c>
      <c r="FE4314" s="32">
        <f>11.5-FC4314</f>
        <v>4.26</v>
      </c>
      <c r="FF4314" s="32" t="s">
        <v>4451</v>
      </c>
      <c r="HJ4314" s="32">
        <v>8.65</v>
      </c>
      <c r="HK4314" s="32">
        <v>10.63</v>
      </c>
      <c r="HN4314" s="32" t="s">
        <v>4453</v>
      </c>
      <c r="JD4314" s="243"/>
    </row>
    <row r="4315" spans="1:264" s="32" customFormat="1" x14ac:dyDescent="0.25">
      <c r="A4315" s="32">
        <v>190</v>
      </c>
      <c r="B4315" s="44" t="s">
        <v>4449</v>
      </c>
      <c r="C4315" s="32" t="s">
        <v>4442</v>
      </c>
      <c r="D4315" s="32" t="s">
        <v>4443</v>
      </c>
      <c r="E4315" s="32">
        <v>2014</v>
      </c>
      <c r="F4315" s="32">
        <v>2010</v>
      </c>
      <c r="G4315" s="32" t="s">
        <v>4444</v>
      </c>
      <c r="H4315" s="32" t="s">
        <v>4446</v>
      </c>
      <c r="I4315" s="32" t="s">
        <v>3461</v>
      </c>
      <c r="J4315" s="32">
        <f t="shared" si="567"/>
        <v>31.516666666666666</v>
      </c>
      <c r="K4315" s="32">
        <f t="shared" si="568"/>
        <v>120.1</v>
      </c>
      <c r="L4315" s="32">
        <v>3</v>
      </c>
      <c r="N4315" s="32">
        <v>15.5</v>
      </c>
      <c r="P4315" s="32">
        <v>1038.4000000000001</v>
      </c>
      <c r="R4315" s="44" t="s">
        <v>1847</v>
      </c>
      <c r="S4315" s="44" t="s">
        <v>1858</v>
      </c>
      <c r="T4315" s="44"/>
      <c r="U4315" s="44" t="s">
        <v>4445</v>
      </c>
      <c r="V4315" s="44" t="s">
        <v>1379</v>
      </c>
      <c r="W4315" s="44" t="s">
        <v>1715</v>
      </c>
      <c r="X4315" s="44" t="s">
        <v>1379</v>
      </c>
      <c r="Y4315" s="44" t="s">
        <v>1379</v>
      </c>
      <c r="AA4315" s="323"/>
      <c r="AB4315" s="323"/>
      <c r="AD4315" s="32">
        <v>3.99</v>
      </c>
      <c r="AE4315" s="32">
        <v>3.2</v>
      </c>
      <c r="AH4315" s="32" t="s">
        <v>3729</v>
      </c>
      <c r="AI4315" s="32" t="s">
        <v>1129</v>
      </c>
      <c r="AJ4315" s="32" t="s">
        <v>1128</v>
      </c>
      <c r="AK4315" s="32" t="s">
        <v>1646</v>
      </c>
      <c r="AW4315" s="32" t="s">
        <v>119</v>
      </c>
      <c r="AX4315" s="32">
        <v>3</v>
      </c>
      <c r="AZ4315" s="32" t="s">
        <v>141</v>
      </c>
      <c r="BK4315" s="32">
        <v>8138.5</v>
      </c>
      <c r="BL4315" s="32">
        <v>7666.97</v>
      </c>
      <c r="BM4315" s="32">
        <f t="shared" si="569"/>
        <v>293.5</v>
      </c>
      <c r="BN4315" s="32">
        <f>8346-BL4315</f>
        <v>679.02999999999975</v>
      </c>
      <c r="BP4315" s="397"/>
      <c r="BQ4315" s="397"/>
      <c r="BU4315" s="397">
        <v>2.0699999999999998</v>
      </c>
      <c r="BV4315" s="397">
        <v>2.79</v>
      </c>
      <c r="BY4315" s="32" t="s">
        <v>4452</v>
      </c>
      <c r="CE4315" s="550">
        <v>2.0699999999999998</v>
      </c>
      <c r="CF4315" s="550">
        <v>2.79</v>
      </c>
      <c r="CG4315" s="550"/>
      <c r="CH4315" s="550"/>
      <c r="CI4315" s="32" t="s">
        <v>4545</v>
      </c>
      <c r="CJ4315" s="32">
        <v>1.75</v>
      </c>
      <c r="CK4315" s="32">
        <v>1.84</v>
      </c>
      <c r="CN4315" s="32" t="s">
        <v>3288</v>
      </c>
      <c r="FB4315" s="32">
        <v>3.86</v>
      </c>
      <c r="FC4315" s="32">
        <v>5.69</v>
      </c>
      <c r="FD4315" s="32">
        <f t="shared" si="570"/>
        <v>3.65</v>
      </c>
      <c r="FE4315" s="32">
        <v>4.26</v>
      </c>
      <c r="FF4315" s="32" t="s">
        <v>4451</v>
      </c>
      <c r="HJ4315" s="32">
        <v>8.65</v>
      </c>
      <c r="HK4315" s="32">
        <v>7.52</v>
      </c>
      <c r="HN4315" s="32" t="s">
        <v>4453</v>
      </c>
      <c r="JD4315" s="243"/>
    </row>
    <row r="4316" spans="1:264" s="32" customFormat="1" x14ac:dyDescent="0.25">
      <c r="A4316" s="32">
        <v>190</v>
      </c>
      <c r="B4316" s="44" t="s">
        <v>4450</v>
      </c>
      <c r="C4316" s="32" t="s">
        <v>4442</v>
      </c>
      <c r="D4316" s="32" t="s">
        <v>4443</v>
      </c>
      <c r="E4316" s="32">
        <v>2014</v>
      </c>
      <c r="F4316" s="32">
        <v>2010</v>
      </c>
      <c r="G4316" s="32" t="s">
        <v>4444</v>
      </c>
      <c r="H4316" s="32" t="s">
        <v>4446</v>
      </c>
      <c r="I4316" s="32" t="s">
        <v>3461</v>
      </c>
      <c r="J4316" s="32">
        <f t="shared" si="567"/>
        <v>31.516666666666666</v>
      </c>
      <c r="K4316" s="32">
        <f t="shared" si="568"/>
        <v>120.1</v>
      </c>
      <c r="L4316" s="32">
        <v>3</v>
      </c>
      <c r="N4316" s="32">
        <v>15.5</v>
      </c>
      <c r="P4316" s="32">
        <v>1038.4000000000001</v>
      </c>
      <c r="R4316" s="44" t="s">
        <v>1847</v>
      </c>
      <c r="S4316" s="44" t="s">
        <v>1858</v>
      </c>
      <c r="T4316" s="44"/>
      <c r="U4316" s="44" t="s">
        <v>4445</v>
      </c>
      <c r="V4316" s="44" t="s">
        <v>1379</v>
      </c>
      <c r="W4316" s="44" t="s">
        <v>1715</v>
      </c>
      <c r="X4316" s="44" t="s">
        <v>1379</v>
      </c>
      <c r="Y4316" s="44" t="s">
        <v>1379</v>
      </c>
      <c r="AA4316" s="323"/>
      <c r="AB4316" s="323"/>
      <c r="AD4316" s="32">
        <v>3.99</v>
      </c>
      <c r="AE4316" s="32">
        <v>3.2</v>
      </c>
      <c r="AH4316" s="32" t="s">
        <v>116</v>
      </c>
      <c r="AI4316" s="32" t="s">
        <v>1581</v>
      </c>
      <c r="AJ4316" s="32" t="s">
        <v>1128</v>
      </c>
      <c r="AK4316" s="32" t="s">
        <v>1646</v>
      </c>
      <c r="AW4316" s="32" t="s">
        <v>119</v>
      </c>
      <c r="AX4316" s="32">
        <v>3</v>
      </c>
      <c r="AZ4316" s="32" t="s">
        <v>141</v>
      </c>
      <c r="BK4316" s="32">
        <v>8138.5</v>
      </c>
      <c r="BL4316" s="32">
        <v>7797.29</v>
      </c>
      <c r="BM4316" s="32">
        <f t="shared" si="569"/>
        <v>293.5</v>
      </c>
      <c r="BN4316" s="32">
        <f>8036-BL4316</f>
        <v>238.71000000000004</v>
      </c>
      <c r="BP4316" s="397"/>
      <c r="BQ4316" s="397"/>
      <c r="BU4316" s="397">
        <v>2.0699999999999998</v>
      </c>
      <c r="BV4316" s="397">
        <v>2.2400000000000002</v>
      </c>
      <c r="BY4316" s="32" t="s">
        <v>4452</v>
      </c>
      <c r="CE4316" s="550">
        <v>2.0699999999999998</v>
      </c>
      <c r="CF4316" s="550">
        <v>2.2400000000000002</v>
      </c>
      <c r="CG4316" s="550"/>
      <c r="CH4316" s="550"/>
      <c r="CI4316" s="32" t="s">
        <v>4545</v>
      </c>
      <c r="CJ4316" s="32">
        <v>1.75</v>
      </c>
      <c r="CK4316" s="32">
        <v>1.77</v>
      </c>
      <c r="CN4316" s="32" t="s">
        <v>3288</v>
      </c>
      <c r="FB4316" s="32">
        <v>3.86</v>
      </c>
      <c r="FC4316" s="32">
        <v>4.3499999999999996</v>
      </c>
      <c r="FD4316" s="32">
        <f t="shared" si="570"/>
        <v>3.65</v>
      </c>
      <c r="FE4316" s="32">
        <v>4.26</v>
      </c>
      <c r="FF4316" s="32" t="s">
        <v>4451</v>
      </c>
      <c r="HJ4316" s="32">
        <v>8.65</v>
      </c>
      <c r="HK4316" s="32">
        <v>9.11</v>
      </c>
      <c r="HN4316" s="32" t="s">
        <v>4453</v>
      </c>
      <c r="JD4316" s="243"/>
    </row>
    <row r="4317" spans="1:264" s="24" customFormat="1" x14ac:dyDescent="0.25">
      <c r="A4317" s="24">
        <v>190</v>
      </c>
      <c r="B4317" s="42" t="s">
        <v>4447</v>
      </c>
      <c r="C4317" s="24" t="s">
        <v>4442</v>
      </c>
      <c r="D4317" s="24" t="s">
        <v>4443</v>
      </c>
      <c r="E4317" s="24">
        <v>2014</v>
      </c>
      <c r="F4317" s="24">
        <v>2011</v>
      </c>
      <c r="G4317" s="24" t="s">
        <v>4444</v>
      </c>
      <c r="H4317" s="24" t="s">
        <v>4446</v>
      </c>
      <c r="I4317" s="24" t="s">
        <v>3461</v>
      </c>
      <c r="J4317" s="24">
        <f t="shared" si="567"/>
        <v>31.516666666666666</v>
      </c>
      <c r="K4317" s="24">
        <f t="shared" si="568"/>
        <v>120.1</v>
      </c>
      <c r="L4317" s="24">
        <v>3</v>
      </c>
      <c r="N4317" s="24">
        <v>15.5</v>
      </c>
      <c r="P4317" s="24">
        <v>1038.4000000000001</v>
      </c>
      <c r="R4317" s="42" t="s">
        <v>1728</v>
      </c>
      <c r="S4317" s="42" t="s">
        <v>1858</v>
      </c>
      <c r="T4317" s="42"/>
      <c r="U4317" s="42" t="s">
        <v>4445</v>
      </c>
      <c r="V4317" s="42" t="s">
        <v>1379</v>
      </c>
      <c r="W4317" s="42" t="s">
        <v>1715</v>
      </c>
      <c r="X4317" s="42" t="s">
        <v>1379</v>
      </c>
      <c r="Y4317" s="42" t="s">
        <v>1379</v>
      </c>
      <c r="AA4317" s="321"/>
      <c r="AB4317" s="321"/>
      <c r="AD4317" s="24">
        <v>3.99</v>
      </c>
      <c r="AE4317" s="24">
        <v>3.2</v>
      </c>
      <c r="AH4317" s="24" t="s">
        <v>243</v>
      </c>
      <c r="AI4317" s="24" t="s">
        <v>577</v>
      </c>
      <c r="AJ4317" s="24" t="s">
        <v>1128</v>
      </c>
      <c r="AK4317" s="24" t="s">
        <v>1646</v>
      </c>
      <c r="AW4317" s="24" t="s">
        <v>119</v>
      </c>
      <c r="AX4317" s="24">
        <v>3</v>
      </c>
      <c r="AZ4317" s="24" t="s">
        <v>141</v>
      </c>
      <c r="BK4317" s="24">
        <v>7001</v>
      </c>
      <c r="BL4317" s="24">
        <v>7424.72</v>
      </c>
      <c r="BM4317" s="24">
        <f>BK4317-6524</f>
        <v>477</v>
      </c>
      <c r="BN4317" s="24">
        <f>BL4317-7149.6</f>
        <v>275.11999999999989</v>
      </c>
      <c r="BP4317" s="395"/>
      <c r="BQ4317" s="395"/>
      <c r="BU4317" s="395">
        <v>2.95</v>
      </c>
      <c r="BV4317" s="395">
        <v>3.28</v>
      </c>
      <c r="BY4317" s="24" t="s">
        <v>4452</v>
      </c>
      <c r="CE4317" s="548">
        <v>2.95</v>
      </c>
      <c r="CF4317" s="548">
        <v>3.28</v>
      </c>
      <c r="CG4317" s="548"/>
      <c r="CH4317" s="548"/>
      <c r="CI4317" s="24" t="s">
        <v>4545</v>
      </c>
      <c r="CJ4317" s="24">
        <v>1.74</v>
      </c>
      <c r="CK4317" s="24">
        <v>1.87</v>
      </c>
      <c r="CN4317" s="24" t="s">
        <v>3288</v>
      </c>
      <c r="FB4317" s="24">
        <v>4.18</v>
      </c>
      <c r="FC4317" s="24">
        <v>4.72</v>
      </c>
      <c r="FD4317" s="24">
        <f>6.03-FB4317</f>
        <v>1.8500000000000005</v>
      </c>
      <c r="FE4317" s="24">
        <f>6.62-FC4317</f>
        <v>1.9000000000000004</v>
      </c>
      <c r="FF4317" s="24" t="s">
        <v>4451</v>
      </c>
      <c r="HJ4317" s="24">
        <v>5.64</v>
      </c>
      <c r="HK4317" s="24">
        <v>5.93</v>
      </c>
      <c r="HN4317" s="24" t="s">
        <v>4453</v>
      </c>
      <c r="IN4317" s="24">
        <v>771.1</v>
      </c>
      <c r="IO4317" s="24">
        <v>823.8</v>
      </c>
      <c r="IR4317" s="24" t="s">
        <v>994</v>
      </c>
      <c r="IS4317" s="24">
        <v>76.849999999999994</v>
      </c>
      <c r="IT4317" s="24">
        <v>100.91</v>
      </c>
      <c r="IW4317" s="24" t="s">
        <v>994</v>
      </c>
      <c r="JD4317" s="249"/>
    </row>
    <row r="4318" spans="1:264" s="24" customFormat="1" x14ac:dyDescent="0.25">
      <c r="A4318" s="24">
        <v>190</v>
      </c>
      <c r="B4318" s="42" t="s">
        <v>4448</v>
      </c>
      <c r="C4318" s="24" t="s">
        <v>4442</v>
      </c>
      <c r="D4318" s="24" t="s">
        <v>4443</v>
      </c>
      <c r="E4318" s="24">
        <v>2014</v>
      </c>
      <c r="F4318" s="24">
        <v>2011</v>
      </c>
      <c r="G4318" s="24" t="s">
        <v>4444</v>
      </c>
      <c r="H4318" s="24" t="s">
        <v>4446</v>
      </c>
      <c r="I4318" s="24" t="s">
        <v>3461</v>
      </c>
      <c r="J4318" s="24">
        <f t="shared" si="567"/>
        <v>31.516666666666666</v>
      </c>
      <c r="K4318" s="24">
        <f t="shared" si="568"/>
        <v>120.1</v>
      </c>
      <c r="L4318" s="24">
        <v>3</v>
      </c>
      <c r="N4318" s="24">
        <v>15.5</v>
      </c>
      <c r="P4318" s="24">
        <v>1038.4000000000001</v>
      </c>
      <c r="R4318" s="42" t="s">
        <v>1728</v>
      </c>
      <c r="S4318" s="42" t="s">
        <v>1858</v>
      </c>
      <c r="T4318" s="42"/>
      <c r="U4318" s="42" t="s">
        <v>4445</v>
      </c>
      <c r="V4318" s="42" t="s">
        <v>1379</v>
      </c>
      <c r="W4318" s="42" t="s">
        <v>1715</v>
      </c>
      <c r="X4318" s="42" t="s">
        <v>1379</v>
      </c>
      <c r="Y4318" s="42" t="s">
        <v>1379</v>
      </c>
      <c r="AA4318" s="321"/>
      <c r="AB4318" s="321"/>
      <c r="AD4318" s="24">
        <v>3.99</v>
      </c>
      <c r="AE4318" s="24">
        <v>3.2</v>
      </c>
      <c r="AH4318" s="24" t="s">
        <v>2868</v>
      </c>
      <c r="AI4318" s="24" t="s">
        <v>577</v>
      </c>
      <c r="AJ4318" s="24" t="s">
        <v>1128</v>
      </c>
      <c r="AK4318" s="24" t="s">
        <v>1646</v>
      </c>
      <c r="AW4318" s="24" t="s">
        <v>119</v>
      </c>
      <c r="AX4318" s="24">
        <v>3</v>
      </c>
      <c r="AZ4318" s="24" t="s">
        <v>141</v>
      </c>
      <c r="BK4318" s="24">
        <v>7001</v>
      </c>
      <c r="BL4318" s="24">
        <v>7371.55</v>
      </c>
      <c r="BM4318" s="24">
        <f t="shared" ref="BM4318:BM4320" si="571">BK4318-6524</f>
        <v>477</v>
      </c>
      <c r="BN4318" s="24">
        <f>BL4318-7133</f>
        <v>238.55000000000018</v>
      </c>
      <c r="BP4318" s="395"/>
      <c r="BQ4318" s="395"/>
      <c r="BU4318" s="395">
        <v>2.95</v>
      </c>
      <c r="BV4318" s="395">
        <v>3.22</v>
      </c>
      <c r="BY4318" s="24" t="s">
        <v>4452</v>
      </c>
      <c r="CE4318" s="548">
        <v>2.95</v>
      </c>
      <c r="CF4318" s="548">
        <v>3.22</v>
      </c>
      <c r="CG4318" s="548"/>
      <c r="CH4318" s="548"/>
      <c r="CI4318" s="24" t="s">
        <v>4545</v>
      </c>
      <c r="CJ4318" s="24">
        <v>1.74</v>
      </c>
      <c r="CK4318" s="24">
        <v>1.75</v>
      </c>
      <c r="CN4318" s="24" t="s">
        <v>3288</v>
      </c>
      <c r="FB4318" s="24">
        <v>4.18</v>
      </c>
      <c r="FC4318" s="24">
        <v>4.28</v>
      </c>
      <c r="FD4318" s="24">
        <f t="shared" ref="FD4318:FD4320" si="572">6.03-FB4318</f>
        <v>1.8500000000000005</v>
      </c>
      <c r="FE4318" s="24">
        <v>1.9</v>
      </c>
      <c r="FF4318" s="24" t="s">
        <v>4451</v>
      </c>
      <c r="HJ4318" s="24">
        <v>5.64</v>
      </c>
      <c r="HK4318" s="24">
        <v>10.95</v>
      </c>
      <c r="HN4318" s="24" t="s">
        <v>4453</v>
      </c>
      <c r="IN4318" s="24">
        <v>771.1</v>
      </c>
      <c r="IO4318" s="24">
        <v>815.9</v>
      </c>
      <c r="IR4318" s="24" t="s">
        <v>994</v>
      </c>
      <c r="IS4318" s="24">
        <v>76.849999999999994</v>
      </c>
      <c r="IT4318" s="24">
        <v>115.06</v>
      </c>
      <c r="IW4318" s="24" t="s">
        <v>994</v>
      </c>
      <c r="JD4318" s="249"/>
    </row>
    <row r="4319" spans="1:264" s="24" customFormat="1" x14ac:dyDescent="0.25">
      <c r="A4319" s="24">
        <v>190</v>
      </c>
      <c r="B4319" s="42" t="s">
        <v>4449</v>
      </c>
      <c r="C4319" s="24" t="s">
        <v>4442</v>
      </c>
      <c r="D4319" s="24" t="s">
        <v>4443</v>
      </c>
      <c r="E4319" s="24">
        <v>2014</v>
      </c>
      <c r="F4319" s="24">
        <v>2011</v>
      </c>
      <c r="G4319" s="24" t="s">
        <v>4444</v>
      </c>
      <c r="H4319" s="24" t="s">
        <v>4446</v>
      </c>
      <c r="I4319" s="24" t="s">
        <v>3461</v>
      </c>
      <c r="J4319" s="24">
        <f t="shared" si="567"/>
        <v>31.516666666666666</v>
      </c>
      <c r="K4319" s="24">
        <f t="shared" si="568"/>
        <v>120.1</v>
      </c>
      <c r="L4319" s="24">
        <v>3</v>
      </c>
      <c r="N4319" s="24">
        <v>15.5</v>
      </c>
      <c r="P4319" s="24">
        <v>1038.4000000000001</v>
      </c>
      <c r="R4319" s="42" t="s">
        <v>1728</v>
      </c>
      <c r="S4319" s="42" t="s">
        <v>1858</v>
      </c>
      <c r="T4319" s="42"/>
      <c r="U4319" s="42" t="s">
        <v>4445</v>
      </c>
      <c r="V4319" s="42" t="s">
        <v>1379</v>
      </c>
      <c r="W4319" s="42" t="s">
        <v>1715</v>
      </c>
      <c r="X4319" s="42" t="s">
        <v>1379</v>
      </c>
      <c r="Y4319" s="42" t="s">
        <v>1379</v>
      </c>
      <c r="AA4319" s="321"/>
      <c r="AB4319" s="321"/>
      <c r="AD4319" s="24">
        <v>3.99</v>
      </c>
      <c r="AE4319" s="24">
        <v>3.2</v>
      </c>
      <c r="AH4319" s="24" t="s">
        <v>3729</v>
      </c>
      <c r="AI4319" s="24" t="s">
        <v>1129</v>
      </c>
      <c r="AJ4319" s="24" t="s">
        <v>1128</v>
      </c>
      <c r="AK4319" s="24" t="s">
        <v>1646</v>
      </c>
      <c r="AW4319" s="24" t="s">
        <v>119</v>
      </c>
      <c r="AX4319" s="24">
        <v>3</v>
      </c>
      <c r="AZ4319" s="24" t="s">
        <v>141</v>
      </c>
      <c r="BK4319" s="24">
        <v>7001</v>
      </c>
      <c r="BL4319" s="24">
        <v>6712.84</v>
      </c>
      <c r="BM4319" s="24">
        <f t="shared" si="571"/>
        <v>477</v>
      </c>
      <c r="BN4319" s="24">
        <f>BL4319-6419</f>
        <v>293.84000000000015</v>
      </c>
      <c r="BP4319" s="395"/>
      <c r="BQ4319" s="395"/>
      <c r="BU4319" s="395">
        <v>2.95</v>
      </c>
      <c r="BV4319" s="395">
        <v>3.59</v>
      </c>
      <c r="BY4319" s="24" t="s">
        <v>4452</v>
      </c>
      <c r="CE4319" s="548">
        <v>2.95</v>
      </c>
      <c r="CF4319" s="548">
        <v>3.59</v>
      </c>
      <c r="CG4319" s="548"/>
      <c r="CH4319" s="548"/>
      <c r="CI4319" s="24" t="s">
        <v>4545</v>
      </c>
      <c r="CJ4319" s="24">
        <v>1.74</v>
      </c>
      <c r="CK4319" s="24">
        <v>1.83</v>
      </c>
      <c r="CN4319" s="24" t="s">
        <v>3288</v>
      </c>
      <c r="FB4319" s="24">
        <v>4.18</v>
      </c>
      <c r="FC4319" s="24">
        <v>3.9</v>
      </c>
      <c r="FD4319" s="24">
        <f t="shared" si="572"/>
        <v>1.8500000000000005</v>
      </c>
      <c r="FE4319" s="24">
        <v>1.9</v>
      </c>
      <c r="FF4319" s="24" t="s">
        <v>4451</v>
      </c>
      <c r="HJ4319" s="24">
        <v>5.64</v>
      </c>
      <c r="HK4319" s="24">
        <v>9.6300000000000008</v>
      </c>
      <c r="HN4319" s="24" t="s">
        <v>4453</v>
      </c>
      <c r="IN4319" s="24">
        <v>771.1</v>
      </c>
      <c r="IO4319" s="24">
        <v>657.1</v>
      </c>
      <c r="IR4319" s="24" t="s">
        <v>994</v>
      </c>
      <c r="IS4319" s="24">
        <v>76.849999999999994</v>
      </c>
      <c r="IT4319" s="24">
        <v>75.42</v>
      </c>
      <c r="IW4319" s="24" t="s">
        <v>994</v>
      </c>
      <c r="JD4319" s="249"/>
    </row>
    <row r="4320" spans="1:264" s="24" customFormat="1" x14ac:dyDescent="0.25">
      <c r="A4320" s="24">
        <v>190</v>
      </c>
      <c r="B4320" s="42" t="s">
        <v>4450</v>
      </c>
      <c r="C4320" s="24" t="s">
        <v>4442</v>
      </c>
      <c r="D4320" s="24" t="s">
        <v>4443</v>
      </c>
      <c r="E4320" s="24">
        <v>2014</v>
      </c>
      <c r="F4320" s="24">
        <v>2011</v>
      </c>
      <c r="G4320" s="24" t="s">
        <v>4444</v>
      </c>
      <c r="H4320" s="24" t="s">
        <v>4446</v>
      </c>
      <c r="I4320" s="24" t="s">
        <v>3461</v>
      </c>
      <c r="J4320" s="24">
        <f t="shared" si="567"/>
        <v>31.516666666666666</v>
      </c>
      <c r="K4320" s="24">
        <f t="shared" si="568"/>
        <v>120.1</v>
      </c>
      <c r="L4320" s="24">
        <v>3</v>
      </c>
      <c r="N4320" s="24">
        <v>15.5</v>
      </c>
      <c r="P4320" s="24">
        <v>1038.4000000000001</v>
      </c>
      <c r="R4320" s="42" t="s">
        <v>1728</v>
      </c>
      <c r="S4320" s="42" t="s">
        <v>1858</v>
      </c>
      <c r="T4320" s="42"/>
      <c r="U4320" s="42" t="s">
        <v>4445</v>
      </c>
      <c r="V4320" s="42" t="s">
        <v>1379</v>
      </c>
      <c r="W4320" s="42" t="s">
        <v>1715</v>
      </c>
      <c r="X4320" s="42" t="s">
        <v>1379</v>
      </c>
      <c r="Y4320" s="42" t="s">
        <v>1379</v>
      </c>
      <c r="AA4320" s="321"/>
      <c r="AB4320" s="321"/>
      <c r="AD4320" s="24">
        <v>3.99</v>
      </c>
      <c r="AE4320" s="24">
        <v>3.2</v>
      </c>
      <c r="AH4320" s="24" t="s">
        <v>116</v>
      </c>
      <c r="AI4320" s="24" t="s">
        <v>1581</v>
      </c>
      <c r="AJ4320" s="24" t="s">
        <v>1128</v>
      </c>
      <c r="AK4320" s="24" t="s">
        <v>1646</v>
      </c>
      <c r="AW4320" s="24" t="s">
        <v>119</v>
      </c>
      <c r="AX4320" s="24">
        <v>3</v>
      </c>
      <c r="AZ4320" s="24" t="s">
        <v>141</v>
      </c>
      <c r="BK4320" s="24">
        <v>7001</v>
      </c>
      <c r="BL4320" s="24">
        <v>6788</v>
      </c>
      <c r="BM4320" s="24">
        <f t="shared" si="571"/>
        <v>477</v>
      </c>
      <c r="BN4320" s="24">
        <f>BL4320-6641</f>
        <v>147</v>
      </c>
      <c r="BP4320" s="395"/>
      <c r="BQ4320" s="395"/>
      <c r="BU4320" s="395">
        <v>2.95</v>
      </c>
      <c r="BV4320" s="395">
        <v>2.93</v>
      </c>
      <c r="BY4320" s="24" t="s">
        <v>4452</v>
      </c>
      <c r="CE4320" s="548">
        <v>2.95</v>
      </c>
      <c r="CF4320" s="548">
        <v>2.93</v>
      </c>
      <c r="CG4320" s="548"/>
      <c r="CH4320" s="548"/>
      <c r="CI4320" s="24" t="s">
        <v>4545</v>
      </c>
      <c r="CJ4320" s="24">
        <v>1.74</v>
      </c>
      <c r="CK4320" s="24">
        <v>1.71</v>
      </c>
      <c r="CN4320" s="24" t="s">
        <v>3288</v>
      </c>
      <c r="FB4320" s="24">
        <v>4.18</v>
      </c>
      <c r="FC4320" s="24">
        <v>4.04</v>
      </c>
      <c r="FD4320" s="24">
        <f t="shared" si="572"/>
        <v>1.8500000000000005</v>
      </c>
      <c r="FE4320" s="24">
        <v>1.9</v>
      </c>
      <c r="FF4320" s="24" t="s">
        <v>4451</v>
      </c>
      <c r="HJ4320" s="24">
        <v>5.64</v>
      </c>
      <c r="HK4320" s="24">
        <v>9.82</v>
      </c>
      <c r="HN4320" s="24" t="s">
        <v>4453</v>
      </c>
      <c r="IN4320" s="24">
        <v>771.1</v>
      </c>
      <c r="IO4320" s="24">
        <v>711.3</v>
      </c>
      <c r="IR4320" s="24" t="s">
        <v>994</v>
      </c>
      <c r="IS4320" s="24">
        <v>76.849999999999994</v>
      </c>
      <c r="IT4320" s="24">
        <v>81.99</v>
      </c>
      <c r="IW4320" s="24" t="s">
        <v>994</v>
      </c>
      <c r="JD4320" s="249"/>
    </row>
    <row r="4321" spans="1:264" s="32" customFormat="1" x14ac:dyDescent="0.25">
      <c r="A4321" s="32">
        <v>190</v>
      </c>
      <c r="B4321" s="44" t="s">
        <v>4447</v>
      </c>
      <c r="C4321" s="32" t="s">
        <v>4442</v>
      </c>
      <c r="D4321" s="32" t="s">
        <v>4443</v>
      </c>
      <c r="E4321" s="32">
        <v>2014</v>
      </c>
      <c r="F4321" s="32">
        <v>2012</v>
      </c>
      <c r="G4321" s="32" t="s">
        <v>4444</v>
      </c>
      <c r="H4321" s="32" t="s">
        <v>4446</v>
      </c>
      <c r="I4321" s="32" t="s">
        <v>3461</v>
      </c>
      <c r="J4321" s="32">
        <f t="shared" si="567"/>
        <v>31.516666666666666</v>
      </c>
      <c r="K4321" s="32">
        <f t="shared" si="568"/>
        <v>120.1</v>
      </c>
      <c r="L4321" s="32">
        <v>3</v>
      </c>
      <c r="N4321" s="32">
        <v>15.5</v>
      </c>
      <c r="P4321" s="32">
        <v>1038.4000000000001</v>
      </c>
      <c r="R4321" s="44" t="s">
        <v>1858</v>
      </c>
      <c r="S4321" s="44" t="s">
        <v>1858</v>
      </c>
      <c r="T4321" s="44"/>
      <c r="U4321" s="44" t="s">
        <v>4445</v>
      </c>
      <c r="V4321" s="44" t="s">
        <v>1379</v>
      </c>
      <c r="W4321" s="44" t="s">
        <v>1715</v>
      </c>
      <c r="X4321" s="44" t="s">
        <v>1379</v>
      </c>
      <c r="Y4321" s="44" t="s">
        <v>1379</v>
      </c>
      <c r="AA4321" s="323"/>
      <c r="AB4321" s="323"/>
      <c r="AD4321" s="32">
        <v>3.99</v>
      </c>
      <c r="AE4321" s="32">
        <v>3.2</v>
      </c>
      <c r="AH4321" s="32" t="s">
        <v>243</v>
      </c>
      <c r="AI4321" s="32" t="s">
        <v>577</v>
      </c>
      <c r="AJ4321" s="32" t="s">
        <v>1128</v>
      </c>
      <c r="AK4321" s="32" t="s">
        <v>1646</v>
      </c>
      <c r="AW4321" s="32" t="s">
        <v>119</v>
      </c>
      <c r="AX4321" s="32">
        <v>3</v>
      </c>
      <c r="AZ4321" s="32" t="s">
        <v>141</v>
      </c>
      <c r="BP4321" s="397"/>
      <c r="BQ4321" s="397"/>
      <c r="BU4321" s="397">
        <v>2.4700000000000002</v>
      </c>
      <c r="BV4321" s="397">
        <v>3.15</v>
      </c>
      <c r="BY4321" s="32" t="s">
        <v>4452</v>
      </c>
      <c r="CE4321" s="550">
        <v>2.4700000000000002</v>
      </c>
      <c r="CF4321" s="550">
        <v>3.15</v>
      </c>
      <c r="CG4321" s="550"/>
      <c r="CH4321" s="550"/>
      <c r="CI4321" s="32" t="s">
        <v>4545</v>
      </c>
      <c r="CJ4321" s="32">
        <v>1.78</v>
      </c>
      <c r="CK4321" s="32">
        <v>1.93</v>
      </c>
      <c r="CN4321" s="32" t="s">
        <v>3288</v>
      </c>
      <c r="HJ4321" s="32">
        <v>10.51</v>
      </c>
      <c r="HK4321" s="32">
        <v>13.12</v>
      </c>
      <c r="HN4321" s="32" t="s">
        <v>4453</v>
      </c>
      <c r="JD4321" s="243"/>
    </row>
    <row r="4322" spans="1:264" s="32" customFormat="1" x14ac:dyDescent="0.25">
      <c r="A4322" s="32">
        <v>190</v>
      </c>
      <c r="B4322" s="44" t="s">
        <v>4448</v>
      </c>
      <c r="C4322" s="32" t="s">
        <v>4442</v>
      </c>
      <c r="D4322" s="32" t="s">
        <v>4443</v>
      </c>
      <c r="E4322" s="32">
        <v>2014</v>
      </c>
      <c r="F4322" s="32">
        <v>2012</v>
      </c>
      <c r="G4322" s="32" t="s">
        <v>4444</v>
      </c>
      <c r="H4322" s="32" t="s">
        <v>4446</v>
      </c>
      <c r="I4322" s="32" t="s">
        <v>3461</v>
      </c>
      <c r="J4322" s="32">
        <f t="shared" si="567"/>
        <v>31.516666666666666</v>
      </c>
      <c r="K4322" s="32">
        <f t="shared" si="568"/>
        <v>120.1</v>
      </c>
      <c r="L4322" s="32">
        <v>3</v>
      </c>
      <c r="N4322" s="32">
        <v>15.5</v>
      </c>
      <c r="P4322" s="32">
        <v>1038.4000000000001</v>
      </c>
      <c r="R4322" s="44" t="s">
        <v>1858</v>
      </c>
      <c r="S4322" s="44" t="s">
        <v>1858</v>
      </c>
      <c r="T4322" s="44"/>
      <c r="U4322" s="44" t="s">
        <v>4445</v>
      </c>
      <c r="V4322" s="44" t="s">
        <v>1379</v>
      </c>
      <c r="W4322" s="44" t="s">
        <v>1715</v>
      </c>
      <c r="X4322" s="44" t="s">
        <v>1379</v>
      </c>
      <c r="Y4322" s="44" t="s">
        <v>1379</v>
      </c>
      <c r="AA4322" s="323"/>
      <c r="AB4322" s="323"/>
      <c r="AD4322" s="32">
        <v>3.99</v>
      </c>
      <c r="AE4322" s="32">
        <v>3.2</v>
      </c>
      <c r="AH4322" s="32" t="s">
        <v>2868</v>
      </c>
      <c r="AI4322" s="32" t="s">
        <v>577</v>
      </c>
      <c r="AJ4322" s="32" t="s">
        <v>1128</v>
      </c>
      <c r="AK4322" s="32" t="s">
        <v>1646</v>
      </c>
      <c r="AW4322" s="32" t="s">
        <v>119</v>
      </c>
      <c r="AX4322" s="32">
        <v>3</v>
      </c>
      <c r="AZ4322" s="32" t="s">
        <v>141</v>
      </c>
      <c r="BP4322" s="397"/>
      <c r="BQ4322" s="397"/>
      <c r="BU4322" s="397">
        <v>2.4700000000000002</v>
      </c>
      <c r="BV4322" s="397">
        <v>3.28</v>
      </c>
      <c r="BY4322" s="32" t="s">
        <v>4452</v>
      </c>
      <c r="CE4322" s="550">
        <v>2.4700000000000002</v>
      </c>
      <c r="CF4322" s="550">
        <v>3.28</v>
      </c>
      <c r="CG4322" s="550"/>
      <c r="CH4322" s="550"/>
      <c r="CI4322" s="32" t="s">
        <v>4545</v>
      </c>
      <c r="CJ4322" s="32">
        <v>1.78</v>
      </c>
      <c r="CK4322" s="32">
        <v>1.87</v>
      </c>
      <c r="CN4322" s="32" t="s">
        <v>3288</v>
      </c>
      <c r="HJ4322" s="32">
        <v>10.51</v>
      </c>
      <c r="HK4322" s="32">
        <v>14.81</v>
      </c>
      <c r="HN4322" s="32" t="s">
        <v>4453</v>
      </c>
      <c r="JD4322" s="243"/>
    </row>
    <row r="4323" spans="1:264" s="32" customFormat="1" x14ac:dyDescent="0.25">
      <c r="A4323" s="32">
        <v>190</v>
      </c>
      <c r="B4323" s="44" t="s">
        <v>4449</v>
      </c>
      <c r="C4323" s="32" t="s">
        <v>4442</v>
      </c>
      <c r="D4323" s="32" t="s">
        <v>4443</v>
      </c>
      <c r="E4323" s="32">
        <v>2014</v>
      </c>
      <c r="F4323" s="32">
        <v>2012</v>
      </c>
      <c r="G4323" s="32" t="s">
        <v>4444</v>
      </c>
      <c r="H4323" s="32" t="s">
        <v>4446</v>
      </c>
      <c r="I4323" s="32" t="s">
        <v>3461</v>
      </c>
      <c r="J4323" s="32">
        <f t="shared" si="567"/>
        <v>31.516666666666666</v>
      </c>
      <c r="K4323" s="32">
        <f t="shared" si="568"/>
        <v>120.1</v>
      </c>
      <c r="L4323" s="32">
        <v>3</v>
      </c>
      <c r="N4323" s="32">
        <v>15.5</v>
      </c>
      <c r="P4323" s="32">
        <v>1038.4000000000001</v>
      </c>
      <c r="R4323" s="44" t="s">
        <v>1858</v>
      </c>
      <c r="S4323" s="44" t="s">
        <v>1858</v>
      </c>
      <c r="T4323" s="44"/>
      <c r="U4323" s="44" t="s">
        <v>4445</v>
      </c>
      <c r="V4323" s="44" t="s">
        <v>1379</v>
      </c>
      <c r="W4323" s="44" t="s">
        <v>1715</v>
      </c>
      <c r="X4323" s="44" t="s">
        <v>1379</v>
      </c>
      <c r="Y4323" s="44" t="s">
        <v>1379</v>
      </c>
      <c r="AA4323" s="323"/>
      <c r="AB4323" s="323"/>
      <c r="AD4323" s="32">
        <v>3.99</v>
      </c>
      <c r="AE4323" s="32">
        <v>3.2</v>
      </c>
      <c r="AH4323" s="32" t="s">
        <v>3729</v>
      </c>
      <c r="AI4323" s="32" t="s">
        <v>1129</v>
      </c>
      <c r="AJ4323" s="32" t="s">
        <v>1128</v>
      </c>
      <c r="AK4323" s="32" t="s">
        <v>1646</v>
      </c>
      <c r="AW4323" s="32" t="s">
        <v>119</v>
      </c>
      <c r="AX4323" s="32">
        <v>3</v>
      </c>
      <c r="AZ4323" s="32" t="s">
        <v>141</v>
      </c>
      <c r="BP4323" s="397"/>
      <c r="BQ4323" s="397"/>
      <c r="BU4323" s="397">
        <v>2.4700000000000002</v>
      </c>
      <c r="BV4323" s="397">
        <v>3.37</v>
      </c>
      <c r="BY4323" s="32" t="s">
        <v>4452</v>
      </c>
      <c r="CE4323" s="550">
        <v>2.4700000000000002</v>
      </c>
      <c r="CF4323" s="550">
        <v>3.37</v>
      </c>
      <c r="CG4323" s="550"/>
      <c r="CH4323" s="550"/>
      <c r="CI4323" s="32" t="s">
        <v>4545</v>
      </c>
      <c r="CJ4323" s="32">
        <v>1.78</v>
      </c>
      <c r="CK4323" s="32">
        <v>1.99</v>
      </c>
      <c r="CN4323" s="32" t="s">
        <v>3288</v>
      </c>
      <c r="HJ4323" s="32">
        <v>10.51</v>
      </c>
      <c r="HK4323" s="32">
        <v>8.18</v>
      </c>
      <c r="HN4323" s="32" t="s">
        <v>4453</v>
      </c>
      <c r="JD4323" s="243"/>
    </row>
    <row r="4324" spans="1:264" s="32" customFormat="1" x14ac:dyDescent="0.25">
      <c r="A4324" s="32">
        <v>190</v>
      </c>
      <c r="B4324" s="44" t="s">
        <v>4450</v>
      </c>
      <c r="C4324" s="32" t="s">
        <v>4442</v>
      </c>
      <c r="D4324" s="32" t="s">
        <v>4443</v>
      </c>
      <c r="E4324" s="32">
        <v>2014</v>
      </c>
      <c r="F4324" s="32">
        <v>2012</v>
      </c>
      <c r="G4324" s="32" t="s">
        <v>4444</v>
      </c>
      <c r="H4324" s="32" t="s">
        <v>4446</v>
      </c>
      <c r="I4324" s="32" t="s">
        <v>3461</v>
      </c>
      <c r="J4324" s="32">
        <f t="shared" si="567"/>
        <v>31.516666666666666</v>
      </c>
      <c r="K4324" s="32">
        <f t="shared" si="568"/>
        <v>120.1</v>
      </c>
      <c r="L4324" s="32">
        <v>3</v>
      </c>
      <c r="N4324" s="32">
        <v>15.5</v>
      </c>
      <c r="P4324" s="32">
        <v>1038.4000000000001</v>
      </c>
      <c r="R4324" s="44" t="s">
        <v>1858</v>
      </c>
      <c r="S4324" s="44" t="s">
        <v>1858</v>
      </c>
      <c r="T4324" s="44"/>
      <c r="U4324" s="44" t="s">
        <v>4445</v>
      </c>
      <c r="V4324" s="44" t="s">
        <v>1379</v>
      </c>
      <c r="W4324" s="44" t="s">
        <v>1715</v>
      </c>
      <c r="X4324" s="44" t="s">
        <v>1379</v>
      </c>
      <c r="Y4324" s="44" t="s">
        <v>1379</v>
      </c>
      <c r="AA4324" s="323"/>
      <c r="AB4324" s="323"/>
      <c r="AD4324" s="32">
        <v>3.99</v>
      </c>
      <c r="AE4324" s="32">
        <v>3.2</v>
      </c>
      <c r="AH4324" s="32" t="s">
        <v>116</v>
      </c>
      <c r="AI4324" s="32" t="s">
        <v>1581</v>
      </c>
      <c r="AJ4324" s="32" t="s">
        <v>1128</v>
      </c>
      <c r="AK4324" s="32" t="s">
        <v>1646</v>
      </c>
      <c r="AW4324" s="32" t="s">
        <v>119</v>
      </c>
      <c r="AX4324" s="32">
        <v>3</v>
      </c>
      <c r="AZ4324" s="32" t="s">
        <v>141</v>
      </c>
      <c r="BP4324" s="397"/>
      <c r="BQ4324" s="397"/>
      <c r="BU4324" s="397">
        <v>2.4700000000000002</v>
      </c>
      <c r="BV4324" s="397">
        <v>2.68</v>
      </c>
      <c r="BY4324" s="32" t="s">
        <v>4452</v>
      </c>
      <c r="CE4324" s="550">
        <v>2.4700000000000002</v>
      </c>
      <c r="CF4324" s="550">
        <v>2.68</v>
      </c>
      <c r="CG4324" s="550"/>
      <c r="CH4324" s="550"/>
      <c r="CI4324" s="32" t="s">
        <v>4545</v>
      </c>
      <c r="CJ4324" s="32">
        <v>1.78</v>
      </c>
      <c r="CK4324" s="32">
        <v>1.74</v>
      </c>
      <c r="CN4324" s="32" t="s">
        <v>3288</v>
      </c>
      <c r="HJ4324" s="32">
        <v>10.51</v>
      </c>
      <c r="HK4324" s="32">
        <v>8.5299999999999994</v>
      </c>
      <c r="HN4324" s="32" t="s">
        <v>4453</v>
      </c>
      <c r="JD4324" s="243"/>
    </row>
    <row r="4325" spans="1:264" s="32" customFormat="1" x14ac:dyDescent="0.25">
      <c r="A4325" s="32">
        <v>190</v>
      </c>
      <c r="B4325" s="44" t="s">
        <v>4447</v>
      </c>
      <c r="C4325" s="32" t="s">
        <v>4442</v>
      </c>
      <c r="D4325" s="32" t="s">
        <v>4443</v>
      </c>
      <c r="E4325" s="32">
        <v>2014</v>
      </c>
      <c r="F4325" s="32">
        <v>2012</v>
      </c>
      <c r="G4325" s="32" t="s">
        <v>4444</v>
      </c>
      <c r="H4325" s="32" t="s">
        <v>4446</v>
      </c>
      <c r="I4325" s="32" t="s">
        <v>3461</v>
      </c>
      <c r="J4325" s="32">
        <f t="shared" si="567"/>
        <v>31.516666666666666</v>
      </c>
      <c r="K4325" s="32">
        <f t="shared" si="568"/>
        <v>120.1</v>
      </c>
      <c r="L4325" s="32">
        <v>3</v>
      </c>
      <c r="N4325" s="32">
        <v>15.5</v>
      </c>
      <c r="P4325" s="32">
        <v>1038.4000000000001</v>
      </c>
      <c r="R4325" s="44" t="s">
        <v>1858</v>
      </c>
      <c r="S4325" s="44" t="s">
        <v>1858</v>
      </c>
      <c r="T4325" s="44"/>
      <c r="U4325" s="44" t="s">
        <v>4445</v>
      </c>
      <c r="V4325" s="44" t="s">
        <v>1379</v>
      </c>
      <c r="W4325" s="44" t="s">
        <v>1715</v>
      </c>
      <c r="X4325" s="44" t="s">
        <v>1379</v>
      </c>
      <c r="Y4325" s="44" t="s">
        <v>1379</v>
      </c>
      <c r="AA4325" s="323"/>
      <c r="AB4325" s="323"/>
      <c r="AD4325" s="32">
        <v>3.99</v>
      </c>
      <c r="AE4325" s="32">
        <v>3.2</v>
      </c>
      <c r="AH4325" s="32" t="s">
        <v>243</v>
      </c>
      <c r="AI4325" s="32" t="s">
        <v>577</v>
      </c>
      <c r="AJ4325" s="32" t="s">
        <v>1128</v>
      </c>
      <c r="AK4325" s="32" t="s">
        <v>1646</v>
      </c>
      <c r="AW4325" s="32" t="s">
        <v>119</v>
      </c>
      <c r="AX4325" s="32">
        <v>3</v>
      </c>
      <c r="AZ4325" s="32" t="s">
        <v>141</v>
      </c>
      <c r="BP4325" s="397"/>
      <c r="BQ4325" s="397"/>
      <c r="BU4325" s="397">
        <v>1.7430000000000001</v>
      </c>
      <c r="BV4325" s="397">
        <v>1.83</v>
      </c>
      <c r="BY4325" s="32" t="s">
        <v>3611</v>
      </c>
      <c r="CE4325" s="550">
        <v>1.7430000000000001</v>
      </c>
      <c r="CF4325" s="550">
        <v>1.83</v>
      </c>
      <c r="CG4325" s="550"/>
      <c r="CH4325" s="550"/>
      <c r="CI4325" s="32" t="s">
        <v>4544</v>
      </c>
      <c r="HN4325" s="32" t="s">
        <v>4453</v>
      </c>
      <c r="JD4325" s="243"/>
    </row>
    <row r="4326" spans="1:264" s="32" customFormat="1" x14ac:dyDescent="0.25">
      <c r="A4326" s="32">
        <v>190</v>
      </c>
      <c r="B4326" s="44" t="s">
        <v>4448</v>
      </c>
      <c r="C4326" s="32" t="s">
        <v>4442</v>
      </c>
      <c r="D4326" s="32" t="s">
        <v>4443</v>
      </c>
      <c r="E4326" s="32">
        <v>2014</v>
      </c>
      <c r="F4326" s="32">
        <v>2012</v>
      </c>
      <c r="G4326" s="32" t="s">
        <v>4444</v>
      </c>
      <c r="H4326" s="32" t="s">
        <v>4446</v>
      </c>
      <c r="I4326" s="32" t="s">
        <v>3461</v>
      </c>
      <c r="J4326" s="32">
        <f t="shared" si="567"/>
        <v>31.516666666666666</v>
      </c>
      <c r="K4326" s="32">
        <f t="shared" si="568"/>
        <v>120.1</v>
      </c>
      <c r="L4326" s="32">
        <v>3</v>
      </c>
      <c r="N4326" s="32">
        <v>15.5</v>
      </c>
      <c r="P4326" s="32">
        <v>1038.4000000000001</v>
      </c>
      <c r="R4326" s="44" t="s">
        <v>1858</v>
      </c>
      <c r="S4326" s="44" t="s">
        <v>1858</v>
      </c>
      <c r="T4326" s="44"/>
      <c r="U4326" s="44" t="s">
        <v>4445</v>
      </c>
      <c r="V4326" s="44" t="s">
        <v>1379</v>
      </c>
      <c r="W4326" s="44" t="s">
        <v>1715</v>
      </c>
      <c r="X4326" s="44" t="s">
        <v>1379</v>
      </c>
      <c r="Y4326" s="44" t="s">
        <v>1379</v>
      </c>
      <c r="AA4326" s="323"/>
      <c r="AB4326" s="323"/>
      <c r="AD4326" s="32">
        <v>3.99</v>
      </c>
      <c r="AE4326" s="32">
        <v>3.2</v>
      </c>
      <c r="AH4326" s="32" t="s">
        <v>2868</v>
      </c>
      <c r="AI4326" s="32" t="s">
        <v>577</v>
      </c>
      <c r="AJ4326" s="32" t="s">
        <v>1128</v>
      </c>
      <c r="AK4326" s="32" t="s">
        <v>1646</v>
      </c>
      <c r="AW4326" s="32" t="s">
        <v>119</v>
      </c>
      <c r="AX4326" s="32">
        <v>3</v>
      </c>
      <c r="AZ4326" s="32" t="s">
        <v>141</v>
      </c>
      <c r="BP4326" s="397"/>
      <c r="BQ4326" s="397"/>
      <c r="BU4326" s="397">
        <v>1.7430000000000001</v>
      </c>
      <c r="BV4326" s="397">
        <v>1.66</v>
      </c>
      <c r="BY4326" s="32" t="s">
        <v>3611</v>
      </c>
      <c r="CE4326" s="550">
        <v>1.7430000000000001</v>
      </c>
      <c r="CF4326" s="550">
        <v>1.66</v>
      </c>
      <c r="CG4326" s="550"/>
      <c r="CH4326" s="550"/>
      <c r="CI4326" s="32" t="s">
        <v>4544</v>
      </c>
      <c r="HN4326" s="32" t="s">
        <v>4453</v>
      </c>
      <c r="JD4326" s="243"/>
    </row>
    <row r="4327" spans="1:264" s="32" customFormat="1" x14ac:dyDescent="0.25">
      <c r="A4327" s="32">
        <v>190</v>
      </c>
      <c r="B4327" s="44" t="s">
        <v>4449</v>
      </c>
      <c r="C4327" s="32" t="s">
        <v>4442</v>
      </c>
      <c r="D4327" s="32" t="s">
        <v>4443</v>
      </c>
      <c r="E4327" s="32">
        <v>2014</v>
      </c>
      <c r="F4327" s="32">
        <v>2012</v>
      </c>
      <c r="G4327" s="32" t="s">
        <v>4444</v>
      </c>
      <c r="H4327" s="32" t="s">
        <v>4446</v>
      </c>
      <c r="I4327" s="32" t="s">
        <v>3461</v>
      </c>
      <c r="J4327" s="32">
        <f t="shared" si="567"/>
        <v>31.516666666666666</v>
      </c>
      <c r="K4327" s="32">
        <f t="shared" si="568"/>
        <v>120.1</v>
      </c>
      <c r="L4327" s="32">
        <v>3</v>
      </c>
      <c r="N4327" s="32">
        <v>15.5</v>
      </c>
      <c r="P4327" s="32">
        <v>1038.4000000000001</v>
      </c>
      <c r="R4327" s="44" t="s">
        <v>1858</v>
      </c>
      <c r="S4327" s="44" t="s">
        <v>1858</v>
      </c>
      <c r="T4327" s="44"/>
      <c r="U4327" s="44" t="s">
        <v>4445</v>
      </c>
      <c r="V4327" s="44" t="s">
        <v>1379</v>
      </c>
      <c r="W4327" s="44" t="s">
        <v>1715</v>
      </c>
      <c r="X4327" s="44" t="s">
        <v>1379</v>
      </c>
      <c r="Y4327" s="44" t="s">
        <v>1379</v>
      </c>
      <c r="AA4327" s="323"/>
      <c r="AB4327" s="323"/>
      <c r="AD4327" s="32">
        <v>3.99</v>
      </c>
      <c r="AE4327" s="32">
        <v>3.2</v>
      </c>
      <c r="AH4327" s="32" t="s">
        <v>3729</v>
      </c>
      <c r="AI4327" s="32" t="s">
        <v>1129</v>
      </c>
      <c r="AJ4327" s="32" t="s">
        <v>1128</v>
      </c>
      <c r="AK4327" s="32" t="s">
        <v>1646</v>
      </c>
      <c r="AW4327" s="32" t="s">
        <v>119</v>
      </c>
      <c r="AX4327" s="32">
        <v>3</v>
      </c>
      <c r="AZ4327" s="32" t="s">
        <v>141</v>
      </c>
      <c r="BP4327" s="397"/>
      <c r="BQ4327" s="397"/>
      <c r="BU4327" s="397">
        <v>1.7430000000000001</v>
      </c>
      <c r="BV4327" s="397">
        <v>1.94</v>
      </c>
      <c r="BY4327" s="32" t="s">
        <v>3611</v>
      </c>
      <c r="CE4327" s="550">
        <v>1.7430000000000001</v>
      </c>
      <c r="CF4327" s="550">
        <v>1.94</v>
      </c>
      <c r="CG4327" s="550"/>
      <c r="CH4327" s="550"/>
      <c r="CI4327" s="32" t="s">
        <v>4544</v>
      </c>
      <c r="HN4327" s="32" t="s">
        <v>4453</v>
      </c>
      <c r="JD4327" s="243"/>
    </row>
    <row r="4328" spans="1:264" s="32" customFormat="1" x14ac:dyDescent="0.25">
      <c r="A4328" s="32">
        <v>190</v>
      </c>
      <c r="B4328" s="44" t="s">
        <v>4450</v>
      </c>
      <c r="C4328" s="32" t="s">
        <v>4442</v>
      </c>
      <c r="D4328" s="32" t="s">
        <v>4443</v>
      </c>
      <c r="E4328" s="32">
        <v>2014</v>
      </c>
      <c r="F4328" s="32">
        <v>2012</v>
      </c>
      <c r="G4328" s="32" t="s">
        <v>4444</v>
      </c>
      <c r="H4328" s="32" t="s">
        <v>4446</v>
      </c>
      <c r="I4328" s="32" t="s">
        <v>3461</v>
      </c>
      <c r="J4328" s="32">
        <f t="shared" si="567"/>
        <v>31.516666666666666</v>
      </c>
      <c r="K4328" s="32">
        <f t="shared" si="568"/>
        <v>120.1</v>
      </c>
      <c r="L4328" s="32">
        <v>3</v>
      </c>
      <c r="N4328" s="32">
        <v>15.5</v>
      </c>
      <c r="P4328" s="32">
        <v>1038.4000000000001</v>
      </c>
      <c r="R4328" s="44" t="s">
        <v>1858</v>
      </c>
      <c r="S4328" s="44" t="s">
        <v>1858</v>
      </c>
      <c r="T4328" s="44"/>
      <c r="U4328" s="44" t="s">
        <v>4445</v>
      </c>
      <c r="V4328" s="44" t="s">
        <v>1379</v>
      </c>
      <c r="W4328" s="44" t="s">
        <v>1715</v>
      </c>
      <c r="X4328" s="44" t="s">
        <v>1379</v>
      </c>
      <c r="Y4328" s="44" t="s">
        <v>1379</v>
      </c>
      <c r="AA4328" s="323"/>
      <c r="AB4328" s="323"/>
      <c r="AD4328" s="32">
        <v>3.99</v>
      </c>
      <c r="AE4328" s="32">
        <v>3.2</v>
      </c>
      <c r="AH4328" s="32" t="s">
        <v>116</v>
      </c>
      <c r="AI4328" s="32" t="s">
        <v>1581</v>
      </c>
      <c r="AJ4328" s="32" t="s">
        <v>1128</v>
      </c>
      <c r="AK4328" s="32" t="s">
        <v>1646</v>
      </c>
      <c r="AW4328" s="32" t="s">
        <v>119</v>
      </c>
      <c r="AX4328" s="32">
        <v>3</v>
      </c>
      <c r="AZ4328" s="32" t="s">
        <v>141</v>
      </c>
      <c r="BP4328" s="397"/>
      <c r="BQ4328" s="397"/>
      <c r="BU4328" s="397">
        <v>1.7430000000000001</v>
      </c>
      <c r="BV4328" s="397">
        <v>1.5569999999999999</v>
      </c>
      <c r="BY4328" s="32" t="s">
        <v>3611</v>
      </c>
      <c r="CE4328" s="550">
        <v>1.7430000000000001</v>
      </c>
      <c r="CF4328" s="550">
        <v>1.5569999999999999</v>
      </c>
      <c r="CG4328" s="550"/>
      <c r="CH4328" s="550"/>
      <c r="CI4328" s="32" t="s">
        <v>4544</v>
      </c>
      <c r="HN4328" s="32" t="s">
        <v>4453</v>
      </c>
      <c r="JD4328" s="243"/>
    </row>
    <row r="4329" spans="1:264" x14ac:dyDescent="0.25">
      <c r="A4329" s="37">
        <v>191</v>
      </c>
      <c r="B4329" s="50" t="s">
        <v>4459</v>
      </c>
      <c r="C4329" s="37" t="s">
        <v>4454</v>
      </c>
      <c r="D4329" s="37" t="s">
        <v>4455</v>
      </c>
      <c r="E4329" s="37">
        <v>2015</v>
      </c>
      <c r="F4329" s="37">
        <v>2008</v>
      </c>
      <c r="G4329" s="37" t="s">
        <v>4456</v>
      </c>
      <c r="H4329" s="37" t="s">
        <v>3741</v>
      </c>
      <c r="I4329" s="37" t="s">
        <v>3461</v>
      </c>
      <c r="J4329" s="37">
        <f t="shared" ref="J4329:J4368" si="573">40+11/60</f>
        <v>40.18333333333333</v>
      </c>
      <c r="K4329" s="37">
        <f t="shared" ref="K4329:K4368" si="574">116+16/60</f>
        <v>116.26666666666667</v>
      </c>
      <c r="L4329" s="37">
        <v>69</v>
      </c>
      <c r="R4329" s="50" t="s">
        <v>1977</v>
      </c>
      <c r="S4329" s="50" t="s">
        <v>1728</v>
      </c>
      <c r="U4329" s="50" t="s">
        <v>4464</v>
      </c>
      <c r="AD4329" s="37">
        <v>7.2</v>
      </c>
      <c r="AE4329" s="37">
        <v>2.12</v>
      </c>
      <c r="AH4329" s="37" t="s">
        <v>132</v>
      </c>
      <c r="AI4329" s="37" t="s">
        <v>1581</v>
      </c>
      <c r="AJ4329" s="37" t="s">
        <v>242</v>
      </c>
      <c r="AK4329" s="37" t="s">
        <v>229</v>
      </c>
      <c r="AW4329" s="37" t="s">
        <v>160</v>
      </c>
      <c r="AX4329" s="37">
        <v>3</v>
      </c>
      <c r="AZ4329" s="37" t="s">
        <v>141</v>
      </c>
      <c r="BE4329" s="37" t="s">
        <v>4457</v>
      </c>
      <c r="BK4329" s="37">
        <v>12454</v>
      </c>
      <c r="BL4329" s="37">
        <v>11344</v>
      </c>
      <c r="BM4329" s="37">
        <f>12791-BK4329</f>
        <v>337</v>
      </c>
      <c r="BN4329" s="37">
        <f>12716-BL4329</f>
        <v>1372</v>
      </c>
      <c r="CE4329" s="559"/>
      <c r="CF4329" s="559"/>
      <c r="CG4329" s="556"/>
      <c r="CH4329" s="556"/>
    </row>
    <row r="4330" spans="1:264" x14ac:dyDescent="0.25">
      <c r="A4330" s="37">
        <v>191</v>
      </c>
      <c r="B4330" s="50" t="s">
        <v>4460</v>
      </c>
      <c r="C4330" s="37" t="s">
        <v>4454</v>
      </c>
      <c r="D4330" s="37" t="s">
        <v>4455</v>
      </c>
      <c r="E4330" s="37">
        <v>2015</v>
      </c>
      <c r="F4330" s="37">
        <v>2008</v>
      </c>
      <c r="G4330" s="37" t="s">
        <v>4456</v>
      </c>
      <c r="H4330" s="37" t="s">
        <v>3741</v>
      </c>
      <c r="I4330" s="37" t="s">
        <v>3461</v>
      </c>
      <c r="J4330" s="37">
        <f t="shared" si="573"/>
        <v>40.18333333333333</v>
      </c>
      <c r="K4330" s="37">
        <f t="shared" si="574"/>
        <v>116.26666666666667</v>
      </c>
      <c r="L4330" s="37">
        <v>69</v>
      </c>
      <c r="R4330" s="50" t="s">
        <v>1977</v>
      </c>
      <c r="S4330" s="50" t="s">
        <v>1728</v>
      </c>
      <c r="U4330" s="50" t="s">
        <v>4464</v>
      </c>
      <c r="AD4330" s="37">
        <v>7.2</v>
      </c>
      <c r="AE4330" s="37">
        <v>2.12</v>
      </c>
      <c r="AH4330" s="37" t="s">
        <v>132</v>
      </c>
      <c r="AI4330" s="37" t="s">
        <v>1581</v>
      </c>
      <c r="AJ4330" s="37" t="s">
        <v>242</v>
      </c>
      <c r="AK4330" s="37" t="s">
        <v>229</v>
      </c>
      <c r="AW4330" s="37" t="s">
        <v>160</v>
      </c>
      <c r="AX4330" s="37">
        <v>3</v>
      </c>
      <c r="AZ4330" s="37" t="s">
        <v>141</v>
      </c>
      <c r="BE4330" s="37" t="s">
        <v>4458</v>
      </c>
      <c r="BK4330" s="37">
        <v>6636.2</v>
      </c>
      <c r="BL4330" s="37">
        <v>6040</v>
      </c>
      <c r="BM4330" s="37">
        <f>7578-BK4330</f>
        <v>941.80000000000018</v>
      </c>
      <c r="BN4330" s="37">
        <f>7326-BL4330</f>
        <v>1286</v>
      </c>
      <c r="CE4330" s="559"/>
      <c r="CF4330" s="559"/>
      <c r="CG4330" s="556"/>
      <c r="CH4330" s="556"/>
    </row>
    <row r="4331" spans="1:264" x14ac:dyDescent="0.25">
      <c r="A4331" s="37">
        <v>191</v>
      </c>
      <c r="B4331" s="50" t="s">
        <v>4459</v>
      </c>
      <c r="C4331" s="37" t="s">
        <v>4454</v>
      </c>
      <c r="D4331" s="37" t="s">
        <v>4455</v>
      </c>
      <c r="E4331" s="37">
        <v>2015</v>
      </c>
      <c r="F4331" s="37">
        <v>2009</v>
      </c>
      <c r="G4331" s="37" t="s">
        <v>4456</v>
      </c>
      <c r="H4331" s="37" t="s">
        <v>3741</v>
      </c>
      <c r="I4331" s="37" t="s">
        <v>3461</v>
      </c>
      <c r="J4331" s="37">
        <f t="shared" si="573"/>
        <v>40.18333333333333</v>
      </c>
      <c r="K4331" s="37">
        <f t="shared" si="574"/>
        <v>116.26666666666667</v>
      </c>
      <c r="L4331" s="37">
        <v>69</v>
      </c>
      <c r="R4331" s="50" t="s">
        <v>1847</v>
      </c>
      <c r="S4331" s="50" t="s">
        <v>1728</v>
      </c>
      <c r="U4331" s="50" t="s">
        <v>4464</v>
      </c>
      <c r="AD4331" s="37">
        <v>7.2</v>
      </c>
      <c r="AE4331" s="37">
        <v>2.12</v>
      </c>
      <c r="AH4331" s="37" t="s">
        <v>132</v>
      </c>
      <c r="AI4331" s="37" t="s">
        <v>1581</v>
      </c>
      <c r="AJ4331" s="37" t="s">
        <v>242</v>
      </c>
      <c r="AK4331" s="37" t="s">
        <v>229</v>
      </c>
      <c r="AW4331" s="37" t="s">
        <v>160</v>
      </c>
      <c r="AX4331" s="37">
        <v>3</v>
      </c>
      <c r="AZ4331" s="37" t="s">
        <v>141</v>
      </c>
      <c r="BE4331" s="37" t="s">
        <v>4457</v>
      </c>
      <c r="BK4331" s="37">
        <v>11374</v>
      </c>
      <c r="BL4331" s="37">
        <v>11551</v>
      </c>
      <c r="BM4331" s="37">
        <f>12574-BK4331</f>
        <v>1200</v>
      </c>
      <c r="BN4331" s="37">
        <f>12836-BL4331</f>
        <v>1285</v>
      </c>
      <c r="CE4331" s="559"/>
      <c r="CF4331" s="559"/>
      <c r="CG4331" s="556"/>
      <c r="CH4331" s="556"/>
    </row>
    <row r="4332" spans="1:264" x14ac:dyDescent="0.25">
      <c r="A4332" s="37">
        <v>191</v>
      </c>
      <c r="B4332" s="50" t="s">
        <v>4460</v>
      </c>
      <c r="C4332" s="37" t="s">
        <v>4454</v>
      </c>
      <c r="D4332" s="37" t="s">
        <v>4455</v>
      </c>
      <c r="E4332" s="37">
        <v>2015</v>
      </c>
      <c r="F4332" s="37">
        <v>2009</v>
      </c>
      <c r="G4332" s="37" t="s">
        <v>4456</v>
      </c>
      <c r="H4332" s="37" t="s">
        <v>3741</v>
      </c>
      <c r="I4332" s="37" t="s">
        <v>3461</v>
      </c>
      <c r="J4332" s="37">
        <f t="shared" si="573"/>
        <v>40.18333333333333</v>
      </c>
      <c r="K4332" s="37">
        <f t="shared" si="574"/>
        <v>116.26666666666667</v>
      </c>
      <c r="L4332" s="37">
        <v>69</v>
      </c>
      <c r="R4332" s="50" t="s">
        <v>1847</v>
      </c>
      <c r="S4332" s="50" t="s">
        <v>1728</v>
      </c>
      <c r="U4332" s="50" t="s">
        <v>4464</v>
      </c>
      <c r="AD4332" s="37">
        <v>7.2</v>
      </c>
      <c r="AE4332" s="37">
        <v>2.12</v>
      </c>
      <c r="AH4332" s="37" t="s">
        <v>132</v>
      </c>
      <c r="AI4332" s="37" t="s">
        <v>1581</v>
      </c>
      <c r="AJ4332" s="37" t="s">
        <v>242</v>
      </c>
      <c r="AK4332" s="37" t="s">
        <v>229</v>
      </c>
      <c r="AW4332" s="37" t="s">
        <v>160</v>
      </c>
      <c r="AX4332" s="37">
        <v>3</v>
      </c>
      <c r="AZ4332" s="37" t="s">
        <v>141</v>
      </c>
      <c r="BE4332" s="37" t="s">
        <v>4458</v>
      </c>
      <c r="BK4332" s="37">
        <v>3665.7</v>
      </c>
      <c r="BL4332" s="37">
        <v>6074</v>
      </c>
      <c r="BM4332" s="37">
        <f>5295-BK4332</f>
        <v>1629.3000000000002</v>
      </c>
      <c r="BN4332" s="37">
        <f>6500-BL4332</f>
        <v>426</v>
      </c>
      <c r="CE4332" s="559"/>
      <c r="CF4332" s="559"/>
      <c r="CG4332" s="556"/>
      <c r="CH4332" s="556"/>
    </row>
    <row r="4333" spans="1:264" s="36" customFormat="1" x14ac:dyDescent="0.25">
      <c r="A4333" s="36">
        <v>191</v>
      </c>
      <c r="B4333" s="51" t="s">
        <v>4459</v>
      </c>
      <c r="C4333" s="36" t="s">
        <v>4454</v>
      </c>
      <c r="D4333" s="36" t="s">
        <v>4455</v>
      </c>
      <c r="E4333" s="36">
        <v>2015</v>
      </c>
      <c r="F4333" s="36">
        <v>2008</v>
      </c>
      <c r="G4333" s="36" t="s">
        <v>4456</v>
      </c>
      <c r="H4333" s="36" t="s">
        <v>3741</v>
      </c>
      <c r="I4333" s="36" t="s">
        <v>3461</v>
      </c>
      <c r="J4333" s="36">
        <f t="shared" si="573"/>
        <v>40.18333333333333</v>
      </c>
      <c r="K4333" s="36">
        <f t="shared" si="574"/>
        <v>116.26666666666667</v>
      </c>
      <c r="L4333" s="36">
        <v>69</v>
      </c>
      <c r="R4333" s="51" t="s">
        <v>1977</v>
      </c>
      <c r="S4333" s="51" t="s">
        <v>1728</v>
      </c>
      <c r="T4333" s="51"/>
      <c r="U4333" s="51" t="s">
        <v>4464</v>
      </c>
      <c r="V4333" s="51" t="s">
        <v>1389</v>
      </c>
      <c r="W4333" s="51" t="s">
        <v>1720</v>
      </c>
      <c r="X4333" s="51" t="s">
        <v>1389</v>
      </c>
      <c r="Y4333" s="51" t="s">
        <v>1389</v>
      </c>
      <c r="AA4333" s="331">
        <v>76</v>
      </c>
      <c r="AB4333" s="331">
        <v>23</v>
      </c>
      <c r="AC4333" s="36" t="s">
        <v>175</v>
      </c>
      <c r="AD4333" s="36">
        <v>7.2</v>
      </c>
      <c r="AE4333" s="36">
        <v>2.12</v>
      </c>
      <c r="AG4333" s="36" t="s">
        <v>4474</v>
      </c>
      <c r="AH4333" s="36" t="s">
        <v>132</v>
      </c>
      <c r="AI4333" s="36" t="s">
        <v>1581</v>
      </c>
      <c r="AJ4333" s="36" t="s">
        <v>242</v>
      </c>
      <c r="AK4333" s="36" t="s">
        <v>229</v>
      </c>
      <c r="AW4333" s="36" t="s">
        <v>160</v>
      </c>
      <c r="AX4333" s="36">
        <v>3</v>
      </c>
      <c r="AZ4333" s="36" t="s">
        <v>141</v>
      </c>
      <c r="BE4333" s="36" t="s">
        <v>4461</v>
      </c>
      <c r="BP4333" s="407"/>
      <c r="BQ4333" s="407"/>
      <c r="BU4333" s="407"/>
      <c r="BV4333" s="407"/>
      <c r="BZ4333" s="407"/>
      <c r="CA4333" s="407"/>
      <c r="CE4333" s="560"/>
      <c r="CF4333" s="560"/>
      <c r="CG4333" s="560"/>
      <c r="CH4333" s="560"/>
      <c r="HJ4333" s="36">
        <v>128.5</v>
      </c>
      <c r="HK4333" s="36">
        <v>111.07</v>
      </c>
      <c r="HL4333" s="36">
        <v>24</v>
      </c>
      <c r="HM4333" s="36">
        <f>153.47-HK4333</f>
        <v>42.400000000000006</v>
      </c>
      <c r="HN4333" s="36" t="s">
        <v>569</v>
      </c>
      <c r="JD4333" s="230"/>
    </row>
    <row r="4334" spans="1:264" s="36" customFormat="1" x14ac:dyDescent="0.25">
      <c r="A4334" s="36">
        <v>191</v>
      </c>
      <c r="B4334" s="51" t="s">
        <v>4460</v>
      </c>
      <c r="C4334" s="36" t="s">
        <v>4454</v>
      </c>
      <c r="D4334" s="36" t="s">
        <v>4455</v>
      </c>
      <c r="E4334" s="36">
        <v>2015</v>
      </c>
      <c r="F4334" s="36">
        <v>2008</v>
      </c>
      <c r="G4334" s="36" t="s">
        <v>4456</v>
      </c>
      <c r="H4334" s="36" t="s">
        <v>3741</v>
      </c>
      <c r="I4334" s="36" t="s">
        <v>3461</v>
      </c>
      <c r="J4334" s="36">
        <f t="shared" si="573"/>
        <v>40.18333333333333</v>
      </c>
      <c r="K4334" s="36">
        <f t="shared" si="574"/>
        <v>116.26666666666667</v>
      </c>
      <c r="L4334" s="36">
        <v>69</v>
      </c>
      <c r="R4334" s="51" t="s">
        <v>1977</v>
      </c>
      <c r="S4334" s="51" t="s">
        <v>1728</v>
      </c>
      <c r="T4334" s="51"/>
      <c r="U4334" s="51" t="s">
        <v>4464</v>
      </c>
      <c r="V4334" s="51" t="s">
        <v>1402</v>
      </c>
      <c r="W4334" s="51" t="s">
        <v>1720</v>
      </c>
      <c r="X4334" s="51" t="s">
        <v>1402</v>
      </c>
      <c r="Y4334" s="51" t="s">
        <v>1402</v>
      </c>
      <c r="AA4334" s="331">
        <v>76</v>
      </c>
      <c r="AB4334" s="331">
        <v>23</v>
      </c>
      <c r="AC4334" s="36" t="s">
        <v>175</v>
      </c>
      <c r="AD4334" s="36">
        <v>7.2</v>
      </c>
      <c r="AE4334" s="36">
        <v>2.12</v>
      </c>
      <c r="AG4334" s="36" t="s">
        <v>4474</v>
      </c>
      <c r="AH4334" s="36" t="s">
        <v>132</v>
      </c>
      <c r="AI4334" s="36" t="s">
        <v>1581</v>
      </c>
      <c r="AJ4334" s="36" t="s">
        <v>242</v>
      </c>
      <c r="AK4334" s="36" t="s">
        <v>229</v>
      </c>
      <c r="AW4334" s="36" t="s">
        <v>160</v>
      </c>
      <c r="AX4334" s="36">
        <v>3</v>
      </c>
      <c r="AZ4334" s="36" t="s">
        <v>141</v>
      </c>
      <c r="BE4334" s="36" t="s">
        <v>4461</v>
      </c>
      <c r="BP4334" s="407"/>
      <c r="BQ4334" s="407"/>
      <c r="BU4334" s="407"/>
      <c r="BV4334" s="407"/>
      <c r="BZ4334" s="407"/>
      <c r="CA4334" s="407"/>
      <c r="CE4334" s="560"/>
      <c r="CF4334" s="560"/>
      <c r="CG4334" s="560"/>
      <c r="CH4334" s="560"/>
      <c r="HJ4334" s="36">
        <v>15.29</v>
      </c>
      <c r="HK4334" s="36">
        <v>39</v>
      </c>
      <c r="HL4334" s="36">
        <v>24</v>
      </c>
      <c r="HM4334" s="36">
        <f>67.65-HK4334</f>
        <v>28.650000000000006</v>
      </c>
      <c r="HN4334" s="36" t="s">
        <v>569</v>
      </c>
      <c r="JD4334" s="230"/>
    </row>
    <row r="4335" spans="1:264" s="36" customFormat="1" x14ac:dyDescent="0.25">
      <c r="A4335" s="36">
        <v>191</v>
      </c>
      <c r="B4335" s="51" t="s">
        <v>4465</v>
      </c>
      <c r="C4335" s="36" t="s">
        <v>4454</v>
      </c>
      <c r="D4335" s="36" t="s">
        <v>4455</v>
      </c>
      <c r="E4335" s="36">
        <v>2015</v>
      </c>
      <c r="F4335" s="36">
        <v>2008</v>
      </c>
      <c r="G4335" s="36" t="s">
        <v>4456</v>
      </c>
      <c r="H4335" s="36" t="s">
        <v>3741</v>
      </c>
      <c r="I4335" s="36" t="s">
        <v>3461</v>
      </c>
      <c r="J4335" s="36">
        <f t="shared" si="573"/>
        <v>40.18333333333333</v>
      </c>
      <c r="K4335" s="36">
        <f t="shared" si="574"/>
        <v>116.26666666666667</v>
      </c>
      <c r="L4335" s="36">
        <v>69</v>
      </c>
      <c r="R4335" s="51" t="s">
        <v>1977</v>
      </c>
      <c r="S4335" s="51" t="s">
        <v>1728</v>
      </c>
      <c r="T4335" s="51"/>
      <c r="U4335" s="51" t="s">
        <v>4464</v>
      </c>
      <c r="V4335" s="51" t="s">
        <v>1403</v>
      </c>
      <c r="W4335" s="51" t="s">
        <v>1720</v>
      </c>
      <c r="X4335" s="51" t="s">
        <v>1403</v>
      </c>
      <c r="Y4335" s="51" t="s">
        <v>1403</v>
      </c>
      <c r="AA4335" s="331">
        <v>76</v>
      </c>
      <c r="AB4335" s="331">
        <v>23</v>
      </c>
      <c r="AC4335" s="36" t="s">
        <v>175</v>
      </c>
      <c r="AD4335" s="36">
        <v>7.2</v>
      </c>
      <c r="AE4335" s="36">
        <v>2.12</v>
      </c>
      <c r="AG4335" s="36" t="s">
        <v>4474</v>
      </c>
      <c r="AH4335" s="36" t="s">
        <v>132</v>
      </c>
      <c r="AI4335" s="36" t="s">
        <v>1581</v>
      </c>
      <c r="AJ4335" s="36" t="s">
        <v>242</v>
      </c>
      <c r="AK4335" s="36" t="s">
        <v>229</v>
      </c>
      <c r="AW4335" s="36" t="s">
        <v>160</v>
      </c>
      <c r="AX4335" s="36">
        <v>3</v>
      </c>
      <c r="AZ4335" s="36" t="s">
        <v>141</v>
      </c>
      <c r="BE4335" s="36" t="s">
        <v>4461</v>
      </c>
      <c r="BP4335" s="407"/>
      <c r="BQ4335" s="407"/>
      <c r="BU4335" s="407"/>
      <c r="BV4335" s="407"/>
      <c r="BZ4335" s="407"/>
      <c r="CA4335" s="407"/>
      <c r="CE4335" s="560"/>
      <c r="CF4335" s="560"/>
      <c r="CG4335" s="560"/>
      <c r="CH4335" s="560"/>
      <c r="HJ4335" s="36">
        <v>46.66</v>
      </c>
      <c r="HK4335" s="36">
        <v>91.5</v>
      </c>
      <c r="HL4335" s="36">
        <v>24</v>
      </c>
      <c r="HM4335" s="36">
        <f>121.47-HK4335</f>
        <v>29.97</v>
      </c>
      <c r="HN4335" s="36" t="s">
        <v>569</v>
      </c>
      <c r="JD4335" s="230"/>
    </row>
    <row r="4336" spans="1:264" s="36" customFormat="1" x14ac:dyDescent="0.25">
      <c r="A4336" s="36">
        <v>191</v>
      </c>
      <c r="B4336" s="51" t="s">
        <v>4466</v>
      </c>
      <c r="C4336" s="36" t="s">
        <v>4454</v>
      </c>
      <c r="D4336" s="36" t="s">
        <v>4455</v>
      </c>
      <c r="E4336" s="36">
        <v>2015</v>
      </c>
      <c r="F4336" s="36">
        <v>2008</v>
      </c>
      <c r="G4336" s="36" t="s">
        <v>4456</v>
      </c>
      <c r="H4336" s="36" t="s">
        <v>3741</v>
      </c>
      <c r="I4336" s="36" t="s">
        <v>3461</v>
      </c>
      <c r="J4336" s="36">
        <f t="shared" si="573"/>
        <v>40.18333333333333</v>
      </c>
      <c r="K4336" s="36">
        <f t="shared" si="574"/>
        <v>116.26666666666667</v>
      </c>
      <c r="L4336" s="36">
        <v>69</v>
      </c>
      <c r="R4336" s="51" t="s">
        <v>1977</v>
      </c>
      <c r="S4336" s="51" t="s">
        <v>1728</v>
      </c>
      <c r="T4336" s="51"/>
      <c r="U4336" s="51" t="s">
        <v>4464</v>
      </c>
      <c r="V4336" s="51" t="s">
        <v>1415</v>
      </c>
      <c r="W4336" s="51" t="s">
        <v>1720</v>
      </c>
      <c r="X4336" s="51" t="s">
        <v>1415</v>
      </c>
      <c r="Y4336" s="51" t="s">
        <v>1415</v>
      </c>
      <c r="AA4336" s="331">
        <v>76</v>
      </c>
      <c r="AB4336" s="331">
        <v>23</v>
      </c>
      <c r="AC4336" s="36" t="s">
        <v>175</v>
      </c>
      <c r="AD4336" s="36">
        <v>7.2</v>
      </c>
      <c r="AE4336" s="36">
        <v>2.12</v>
      </c>
      <c r="AG4336" s="36" t="s">
        <v>4474</v>
      </c>
      <c r="AH4336" s="36" t="s">
        <v>132</v>
      </c>
      <c r="AI4336" s="36" t="s">
        <v>1581</v>
      </c>
      <c r="AJ4336" s="36" t="s">
        <v>242</v>
      </c>
      <c r="AK4336" s="36" t="s">
        <v>229</v>
      </c>
      <c r="AW4336" s="36" t="s">
        <v>160</v>
      </c>
      <c r="AX4336" s="36">
        <v>3</v>
      </c>
      <c r="AZ4336" s="36" t="s">
        <v>141</v>
      </c>
      <c r="BE4336" s="36" t="s">
        <v>4461</v>
      </c>
      <c r="BP4336" s="407"/>
      <c r="BQ4336" s="407"/>
      <c r="BU4336" s="407"/>
      <c r="BV4336" s="407"/>
      <c r="BZ4336" s="407"/>
      <c r="CA4336" s="407"/>
      <c r="CE4336" s="560"/>
      <c r="CF4336" s="560"/>
      <c r="CG4336" s="560"/>
      <c r="CH4336" s="560"/>
      <c r="HJ4336" s="36">
        <v>78</v>
      </c>
      <c r="HK4336" s="36">
        <v>111.69</v>
      </c>
      <c r="HL4336" s="36">
        <v>24</v>
      </c>
      <c r="HM4336" s="36">
        <f>123-HK4336</f>
        <v>11.310000000000002</v>
      </c>
      <c r="HN4336" s="36" t="s">
        <v>569</v>
      </c>
      <c r="JD4336" s="230"/>
    </row>
    <row r="4337" spans="1:264" s="36" customFormat="1" x14ac:dyDescent="0.25">
      <c r="A4337" s="36">
        <v>191</v>
      </c>
      <c r="B4337" s="51" t="s">
        <v>4467</v>
      </c>
      <c r="C4337" s="36" t="s">
        <v>4454</v>
      </c>
      <c r="D4337" s="36" t="s">
        <v>4455</v>
      </c>
      <c r="E4337" s="36">
        <v>2015</v>
      </c>
      <c r="F4337" s="36">
        <v>2008</v>
      </c>
      <c r="G4337" s="36" t="s">
        <v>4456</v>
      </c>
      <c r="H4337" s="36" t="s">
        <v>3741</v>
      </c>
      <c r="I4337" s="36" t="s">
        <v>3461</v>
      </c>
      <c r="J4337" s="36">
        <f t="shared" si="573"/>
        <v>40.18333333333333</v>
      </c>
      <c r="K4337" s="36">
        <f t="shared" si="574"/>
        <v>116.26666666666667</v>
      </c>
      <c r="L4337" s="36">
        <v>69</v>
      </c>
      <c r="R4337" s="51" t="s">
        <v>1977</v>
      </c>
      <c r="S4337" s="51" t="s">
        <v>1728</v>
      </c>
      <c r="T4337" s="51"/>
      <c r="U4337" s="51" t="s">
        <v>4464</v>
      </c>
      <c r="V4337" s="51" t="s">
        <v>4462</v>
      </c>
      <c r="W4337" s="51" t="s">
        <v>1720</v>
      </c>
      <c r="X4337" s="51" t="s">
        <v>4462</v>
      </c>
      <c r="Y4337" s="51" t="s">
        <v>4462</v>
      </c>
      <c r="AA4337" s="331">
        <v>76</v>
      </c>
      <c r="AB4337" s="331">
        <v>23</v>
      </c>
      <c r="AC4337" s="36" t="s">
        <v>175</v>
      </c>
      <c r="AD4337" s="36">
        <v>7.2</v>
      </c>
      <c r="AE4337" s="36">
        <v>2.12</v>
      </c>
      <c r="AG4337" s="36" t="s">
        <v>4474</v>
      </c>
      <c r="AH4337" s="36" t="s">
        <v>132</v>
      </c>
      <c r="AI4337" s="36" t="s">
        <v>1581</v>
      </c>
      <c r="AJ4337" s="36" t="s">
        <v>242</v>
      </c>
      <c r="AK4337" s="36" t="s">
        <v>229</v>
      </c>
      <c r="AW4337" s="36" t="s">
        <v>160</v>
      </c>
      <c r="AX4337" s="36">
        <v>3</v>
      </c>
      <c r="AZ4337" s="36" t="s">
        <v>141</v>
      </c>
      <c r="BE4337" s="36" t="s">
        <v>4461</v>
      </c>
      <c r="BP4337" s="407"/>
      <c r="BQ4337" s="407"/>
      <c r="BU4337" s="407"/>
      <c r="BV4337" s="407"/>
      <c r="BZ4337" s="407"/>
      <c r="CA4337" s="407"/>
      <c r="CE4337" s="560"/>
      <c r="CF4337" s="560"/>
      <c r="CG4337" s="560"/>
      <c r="CH4337" s="560"/>
      <c r="HJ4337" s="36">
        <v>30.86</v>
      </c>
      <c r="HK4337" s="36">
        <v>45.82</v>
      </c>
      <c r="HL4337" s="36">
        <v>24</v>
      </c>
      <c r="HM4337" s="36">
        <f>68-HK4337</f>
        <v>22.18</v>
      </c>
      <c r="HN4337" s="36" t="s">
        <v>569</v>
      </c>
      <c r="JD4337" s="230"/>
    </row>
    <row r="4338" spans="1:264" s="36" customFormat="1" x14ac:dyDescent="0.25">
      <c r="A4338" s="36">
        <v>191</v>
      </c>
      <c r="B4338" s="51" t="s">
        <v>4468</v>
      </c>
      <c r="C4338" s="36" t="s">
        <v>4454</v>
      </c>
      <c r="D4338" s="36" t="s">
        <v>4455</v>
      </c>
      <c r="E4338" s="36">
        <v>2015</v>
      </c>
      <c r="F4338" s="36">
        <v>2008</v>
      </c>
      <c r="G4338" s="36" t="s">
        <v>4456</v>
      </c>
      <c r="H4338" s="36" t="s">
        <v>3741</v>
      </c>
      <c r="I4338" s="36" t="s">
        <v>3461</v>
      </c>
      <c r="J4338" s="36">
        <f t="shared" si="573"/>
        <v>40.18333333333333</v>
      </c>
      <c r="K4338" s="36">
        <f t="shared" si="574"/>
        <v>116.26666666666667</v>
      </c>
      <c r="L4338" s="36">
        <v>69</v>
      </c>
      <c r="R4338" s="51" t="s">
        <v>1977</v>
      </c>
      <c r="S4338" s="51" t="s">
        <v>1728</v>
      </c>
      <c r="T4338" s="51"/>
      <c r="U4338" s="51" t="s">
        <v>4464</v>
      </c>
      <c r="V4338" s="51" t="s">
        <v>4463</v>
      </c>
      <c r="W4338" s="51" t="s">
        <v>1720</v>
      </c>
      <c r="X4338" s="51" t="s">
        <v>4463</v>
      </c>
      <c r="Y4338" s="51" t="s">
        <v>4463</v>
      </c>
      <c r="AA4338" s="331">
        <v>76</v>
      </c>
      <c r="AB4338" s="331">
        <v>23</v>
      </c>
      <c r="AC4338" s="36" t="s">
        <v>175</v>
      </c>
      <c r="AD4338" s="36">
        <v>7.2</v>
      </c>
      <c r="AE4338" s="36">
        <v>2.12</v>
      </c>
      <c r="AG4338" s="36" t="s">
        <v>4474</v>
      </c>
      <c r="AH4338" s="36" t="s">
        <v>132</v>
      </c>
      <c r="AI4338" s="36" t="s">
        <v>1581</v>
      </c>
      <c r="AJ4338" s="36" t="s">
        <v>242</v>
      </c>
      <c r="AK4338" s="36" t="s">
        <v>229</v>
      </c>
      <c r="AW4338" s="36" t="s">
        <v>160</v>
      </c>
      <c r="AX4338" s="36">
        <v>3</v>
      </c>
      <c r="AZ4338" s="36" t="s">
        <v>141</v>
      </c>
      <c r="BE4338" s="36" t="s">
        <v>4461</v>
      </c>
      <c r="BP4338" s="407"/>
      <c r="BQ4338" s="407"/>
      <c r="BU4338" s="407"/>
      <c r="BV4338" s="407"/>
      <c r="BZ4338" s="407"/>
      <c r="CA4338" s="407"/>
      <c r="CE4338" s="560"/>
      <c r="CF4338" s="560"/>
      <c r="CG4338" s="560"/>
      <c r="CH4338" s="560"/>
      <c r="HJ4338" s="36">
        <v>27.32</v>
      </c>
      <c r="HK4338" s="36">
        <v>55.99</v>
      </c>
      <c r="HL4338" s="36">
        <v>24</v>
      </c>
      <c r="HM4338" s="36">
        <f>64.7-HK4338</f>
        <v>8.7100000000000009</v>
      </c>
      <c r="HN4338" s="36" t="s">
        <v>569</v>
      </c>
      <c r="JD4338" s="230"/>
    </row>
    <row r="4339" spans="1:264" s="126" customFormat="1" x14ac:dyDescent="0.25">
      <c r="A4339" s="126">
        <v>191</v>
      </c>
      <c r="B4339" s="478" t="s">
        <v>4459</v>
      </c>
      <c r="C4339" s="126" t="s">
        <v>4454</v>
      </c>
      <c r="D4339" s="126" t="s">
        <v>4455</v>
      </c>
      <c r="E4339" s="126">
        <v>2015</v>
      </c>
      <c r="F4339" s="126">
        <v>2008</v>
      </c>
      <c r="G4339" s="126" t="s">
        <v>4456</v>
      </c>
      <c r="H4339" s="126" t="s">
        <v>3741</v>
      </c>
      <c r="I4339" s="126" t="s">
        <v>3461</v>
      </c>
      <c r="J4339" s="126">
        <f t="shared" si="573"/>
        <v>40.18333333333333</v>
      </c>
      <c r="K4339" s="126">
        <f t="shared" si="574"/>
        <v>116.26666666666667</v>
      </c>
      <c r="L4339" s="126">
        <v>69</v>
      </c>
      <c r="R4339" s="478" t="s">
        <v>1977</v>
      </c>
      <c r="S4339" s="478" t="s">
        <v>1728</v>
      </c>
      <c r="T4339" s="478"/>
      <c r="U4339" s="478" t="s">
        <v>4464</v>
      </c>
      <c r="V4339" s="478" t="s">
        <v>1389</v>
      </c>
      <c r="W4339" s="478" t="s">
        <v>1720</v>
      </c>
      <c r="X4339" s="478" t="s">
        <v>1389</v>
      </c>
      <c r="Y4339" s="478" t="s">
        <v>1389</v>
      </c>
      <c r="AA4339" s="479">
        <v>76</v>
      </c>
      <c r="AB4339" s="479">
        <v>23</v>
      </c>
      <c r="AC4339" s="126" t="s">
        <v>175</v>
      </c>
      <c r="AD4339" s="126">
        <v>7.2</v>
      </c>
      <c r="AE4339" s="126">
        <v>2.12</v>
      </c>
      <c r="AG4339" s="126" t="s">
        <v>4474</v>
      </c>
      <c r="AH4339" s="126" t="s">
        <v>132</v>
      </c>
      <c r="AI4339" s="126" t="s">
        <v>1581</v>
      </c>
      <c r="AJ4339" s="126" t="s">
        <v>242</v>
      </c>
      <c r="AK4339" s="126" t="s">
        <v>229</v>
      </c>
      <c r="AW4339" s="126" t="s">
        <v>160</v>
      </c>
      <c r="AX4339" s="126">
        <v>3</v>
      </c>
      <c r="AZ4339" s="126" t="s">
        <v>141</v>
      </c>
      <c r="BE4339" s="126" t="s">
        <v>4469</v>
      </c>
      <c r="BP4339" s="481"/>
      <c r="BQ4339" s="481"/>
      <c r="BU4339" s="481"/>
      <c r="BV4339" s="481"/>
      <c r="BZ4339" s="481"/>
      <c r="CA4339" s="481"/>
      <c r="CE4339" s="605"/>
      <c r="CF4339" s="605"/>
      <c r="CG4339" s="605"/>
      <c r="CH4339" s="605"/>
      <c r="HJ4339" s="126">
        <v>198.5</v>
      </c>
      <c r="HK4339" s="126">
        <v>58.31</v>
      </c>
      <c r="HL4339" s="126">
        <f>215.88-HJ4339</f>
        <v>17.379999999999995</v>
      </c>
      <c r="HM4339" s="126">
        <f>93-HK4339</f>
        <v>34.69</v>
      </c>
      <c r="HN4339" s="126" t="s">
        <v>569</v>
      </c>
      <c r="JD4339" s="480"/>
    </row>
    <row r="4340" spans="1:264" s="126" customFormat="1" x14ac:dyDescent="0.25">
      <c r="A4340" s="126">
        <v>191</v>
      </c>
      <c r="B4340" s="478" t="s">
        <v>4460</v>
      </c>
      <c r="C4340" s="126" t="s">
        <v>4454</v>
      </c>
      <c r="D4340" s="126" t="s">
        <v>4455</v>
      </c>
      <c r="E4340" s="126">
        <v>2015</v>
      </c>
      <c r="F4340" s="126">
        <v>2008</v>
      </c>
      <c r="G4340" s="126" t="s">
        <v>4456</v>
      </c>
      <c r="H4340" s="126" t="s">
        <v>3741</v>
      </c>
      <c r="I4340" s="126" t="s">
        <v>3461</v>
      </c>
      <c r="J4340" s="126">
        <f t="shared" si="573"/>
        <v>40.18333333333333</v>
      </c>
      <c r="K4340" s="126">
        <f t="shared" si="574"/>
        <v>116.26666666666667</v>
      </c>
      <c r="L4340" s="126">
        <v>69</v>
      </c>
      <c r="R4340" s="478" t="s">
        <v>1977</v>
      </c>
      <c r="S4340" s="478" t="s">
        <v>1728</v>
      </c>
      <c r="T4340" s="478"/>
      <c r="U4340" s="478" t="s">
        <v>4464</v>
      </c>
      <c r="V4340" s="478" t="s">
        <v>1402</v>
      </c>
      <c r="W4340" s="478" t="s">
        <v>1720</v>
      </c>
      <c r="X4340" s="478" t="s">
        <v>1402</v>
      </c>
      <c r="Y4340" s="478" t="s">
        <v>1402</v>
      </c>
      <c r="AA4340" s="479">
        <v>76</v>
      </c>
      <c r="AB4340" s="479">
        <v>23</v>
      </c>
      <c r="AC4340" s="126" t="s">
        <v>175</v>
      </c>
      <c r="AD4340" s="126">
        <v>7.2</v>
      </c>
      <c r="AE4340" s="126">
        <v>2.12</v>
      </c>
      <c r="AG4340" s="126" t="s">
        <v>4474</v>
      </c>
      <c r="AH4340" s="126" t="s">
        <v>132</v>
      </c>
      <c r="AI4340" s="126" t="s">
        <v>1581</v>
      </c>
      <c r="AJ4340" s="126" t="s">
        <v>242</v>
      </c>
      <c r="AK4340" s="126" t="s">
        <v>229</v>
      </c>
      <c r="AW4340" s="126" t="s">
        <v>160</v>
      </c>
      <c r="AX4340" s="126">
        <v>3</v>
      </c>
      <c r="AZ4340" s="126" t="s">
        <v>141</v>
      </c>
      <c r="BE4340" s="126" t="s">
        <v>4469</v>
      </c>
      <c r="BP4340" s="481"/>
      <c r="BQ4340" s="481"/>
      <c r="BU4340" s="481"/>
      <c r="BV4340" s="481"/>
      <c r="BZ4340" s="481"/>
      <c r="CA4340" s="481"/>
      <c r="CE4340" s="605"/>
      <c r="CF4340" s="605"/>
      <c r="CG4340" s="605"/>
      <c r="CH4340" s="605"/>
      <c r="HJ4340" s="126">
        <v>52.11</v>
      </c>
      <c r="HK4340" s="126">
        <v>24.81</v>
      </c>
      <c r="HL4340" s="126">
        <f>65-HJ4340</f>
        <v>12.89</v>
      </c>
      <c r="HM4340" s="126">
        <f>43-HK4340</f>
        <v>18.190000000000001</v>
      </c>
      <c r="HN4340" s="126" t="s">
        <v>569</v>
      </c>
      <c r="JD4340" s="480"/>
    </row>
    <row r="4341" spans="1:264" s="126" customFormat="1" x14ac:dyDescent="0.25">
      <c r="A4341" s="126">
        <v>191</v>
      </c>
      <c r="B4341" s="478" t="s">
        <v>4465</v>
      </c>
      <c r="C4341" s="126" t="s">
        <v>4454</v>
      </c>
      <c r="D4341" s="126" t="s">
        <v>4455</v>
      </c>
      <c r="E4341" s="126">
        <v>2015</v>
      </c>
      <c r="F4341" s="126">
        <v>2008</v>
      </c>
      <c r="G4341" s="126" t="s">
        <v>4456</v>
      </c>
      <c r="H4341" s="126" t="s">
        <v>3741</v>
      </c>
      <c r="I4341" s="126" t="s">
        <v>3461</v>
      </c>
      <c r="J4341" s="126">
        <f t="shared" si="573"/>
        <v>40.18333333333333</v>
      </c>
      <c r="K4341" s="126">
        <f t="shared" si="574"/>
        <v>116.26666666666667</v>
      </c>
      <c r="L4341" s="126">
        <v>69</v>
      </c>
      <c r="R4341" s="478" t="s">
        <v>1977</v>
      </c>
      <c r="S4341" s="478" t="s">
        <v>1728</v>
      </c>
      <c r="T4341" s="478"/>
      <c r="U4341" s="478" t="s">
        <v>4464</v>
      </c>
      <c r="V4341" s="478" t="s">
        <v>1403</v>
      </c>
      <c r="W4341" s="478" t="s">
        <v>1720</v>
      </c>
      <c r="X4341" s="478" t="s">
        <v>1403</v>
      </c>
      <c r="Y4341" s="478" t="s">
        <v>1403</v>
      </c>
      <c r="AA4341" s="479">
        <v>76</v>
      </c>
      <c r="AB4341" s="479">
        <v>23</v>
      </c>
      <c r="AC4341" s="126" t="s">
        <v>175</v>
      </c>
      <c r="AD4341" s="126">
        <v>7.2</v>
      </c>
      <c r="AE4341" s="126">
        <v>2.12</v>
      </c>
      <c r="AG4341" s="126" t="s">
        <v>4474</v>
      </c>
      <c r="AH4341" s="126" t="s">
        <v>132</v>
      </c>
      <c r="AI4341" s="126" t="s">
        <v>1581</v>
      </c>
      <c r="AJ4341" s="126" t="s">
        <v>242</v>
      </c>
      <c r="AK4341" s="126" t="s">
        <v>229</v>
      </c>
      <c r="AW4341" s="126" t="s">
        <v>160</v>
      </c>
      <c r="AX4341" s="126">
        <v>3</v>
      </c>
      <c r="AZ4341" s="126" t="s">
        <v>141</v>
      </c>
      <c r="BE4341" s="126" t="s">
        <v>4469</v>
      </c>
      <c r="BP4341" s="481"/>
      <c r="BQ4341" s="481"/>
      <c r="BU4341" s="481"/>
      <c r="BV4341" s="481"/>
      <c r="BZ4341" s="481"/>
      <c r="CA4341" s="481"/>
      <c r="CE4341" s="605"/>
      <c r="CF4341" s="605"/>
      <c r="CG4341" s="605"/>
      <c r="CH4341" s="605"/>
      <c r="HJ4341" s="126">
        <v>65.75</v>
      </c>
      <c r="HK4341" s="126">
        <v>40.9</v>
      </c>
      <c r="HL4341" s="126">
        <f>76-HJ4341</f>
        <v>10.25</v>
      </c>
      <c r="HM4341" s="126">
        <f>75-HK4341</f>
        <v>34.1</v>
      </c>
      <c r="HN4341" s="126" t="s">
        <v>569</v>
      </c>
      <c r="JD4341" s="480"/>
    </row>
    <row r="4342" spans="1:264" s="126" customFormat="1" x14ac:dyDescent="0.25">
      <c r="A4342" s="126">
        <v>191</v>
      </c>
      <c r="B4342" s="478" t="s">
        <v>4466</v>
      </c>
      <c r="C4342" s="126" t="s">
        <v>4454</v>
      </c>
      <c r="D4342" s="126" t="s">
        <v>4455</v>
      </c>
      <c r="E4342" s="126">
        <v>2015</v>
      </c>
      <c r="F4342" s="126">
        <v>2008</v>
      </c>
      <c r="G4342" s="126" t="s">
        <v>4456</v>
      </c>
      <c r="H4342" s="126" t="s">
        <v>3741</v>
      </c>
      <c r="I4342" s="126" t="s">
        <v>3461</v>
      </c>
      <c r="J4342" s="126">
        <f t="shared" si="573"/>
        <v>40.18333333333333</v>
      </c>
      <c r="K4342" s="126">
        <f t="shared" si="574"/>
        <v>116.26666666666667</v>
      </c>
      <c r="L4342" s="126">
        <v>69</v>
      </c>
      <c r="R4342" s="478" t="s">
        <v>1977</v>
      </c>
      <c r="S4342" s="478" t="s">
        <v>1728</v>
      </c>
      <c r="T4342" s="478"/>
      <c r="U4342" s="478" t="s">
        <v>4464</v>
      </c>
      <c r="V4342" s="478" t="s">
        <v>1415</v>
      </c>
      <c r="W4342" s="478" t="s">
        <v>1720</v>
      </c>
      <c r="X4342" s="478" t="s">
        <v>1415</v>
      </c>
      <c r="Y4342" s="478" t="s">
        <v>1415</v>
      </c>
      <c r="AA4342" s="479">
        <v>76</v>
      </c>
      <c r="AB4342" s="479">
        <v>23</v>
      </c>
      <c r="AC4342" s="126" t="s">
        <v>175</v>
      </c>
      <c r="AD4342" s="126">
        <v>7.2</v>
      </c>
      <c r="AE4342" s="126">
        <v>2.12</v>
      </c>
      <c r="AG4342" s="126" t="s">
        <v>4474</v>
      </c>
      <c r="AH4342" s="126" t="s">
        <v>132</v>
      </c>
      <c r="AI4342" s="126" t="s">
        <v>1581</v>
      </c>
      <c r="AJ4342" s="126" t="s">
        <v>242</v>
      </c>
      <c r="AK4342" s="126" t="s">
        <v>229</v>
      </c>
      <c r="AW4342" s="126" t="s">
        <v>160</v>
      </c>
      <c r="AX4342" s="126">
        <v>3</v>
      </c>
      <c r="AZ4342" s="126" t="s">
        <v>141</v>
      </c>
      <c r="BE4342" s="126" t="s">
        <v>4469</v>
      </c>
      <c r="BP4342" s="481"/>
      <c r="BQ4342" s="481"/>
      <c r="BU4342" s="481"/>
      <c r="BV4342" s="481"/>
      <c r="BZ4342" s="481"/>
      <c r="CA4342" s="481"/>
      <c r="CE4342" s="605"/>
      <c r="CF4342" s="605"/>
      <c r="CG4342" s="605"/>
      <c r="CH4342" s="605"/>
      <c r="HJ4342" s="126">
        <v>129</v>
      </c>
      <c r="HK4342" s="126">
        <v>55.8</v>
      </c>
      <c r="HL4342" s="126">
        <f>145-HJ4342</f>
        <v>16</v>
      </c>
      <c r="HM4342" s="126">
        <v>16</v>
      </c>
      <c r="HN4342" s="126" t="s">
        <v>569</v>
      </c>
      <c r="JD4342" s="480"/>
    </row>
    <row r="4343" spans="1:264" s="126" customFormat="1" x14ac:dyDescent="0.25">
      <c r="A4343" s="126">
        <v>191</v>
      </c>
      <c r="B4343" s="478" t="s">
        <v>4467</v>
      </c>
      <c r="C4343" s="126" t="s">
        <v>4454</v>
      </c>
      <c r="D4343" s="126" t="s">
        <v>4455</v>
      </c>
      <c r="E4343" s="126">
        <v>2015</v>
      </c>
      <c r="F4343" s="126">
        <v>2008</v>
      </c>
      <c r="G4343" s="126" t="s">
        <v>4456</v>
      </c>
      <c r="H4343" s="126" t="s">
        <v>3741</v>
      </c>
      <c r="I4343" s="126" t="s">
        <v>3461</v>
      </c>
      <c r="J4343" s="126">
        <f t="shared" si="573"/>
        <v>40.18333333333333</v>
      </c>
      <c r="K4343" s="126">
        <f t="shared" si="574"/>
        <v>116.26666666666667</v>
      </c>
      <c r="L4343" s="126">
        <v>69</v>
      </c>
      <c r="R4343" s="478" t="s">
        <v>1977</v>
      </c>
      <c r="S4343" s="478" t="s">
        <v>1728</v>
      </c>
      <c r="T4343" s="478"/>
      <c r="U4343" s="478" t="s">
        <v>4464</v>
      </c>
      <c r="V4343" s="478" t="s">
        <v>4462</v>
      </c>
      <c r="W4343" s="478" t="s">
        <v>1720</v>
      </c>
      <c r="X4343" s="478" t="s">
        <v>4462</v>
      </c>
      <c r="Y4343" s="478" t="s">
        <v>4462</v>
      </c>
      <c r="AA4343" s="479">
        <v>76</v>
      </c>
      <c r="AB4343" s="479">
        <v>23</v>
      </c>
      <c r="AC4343" s="126" t="s">
        <v>175</v>
      </c>
      <c r="AD4343" s="126">
        <v>7.2</v>
      </c>
      <c r="AE4343" s="126">
        <v>2.12</v>
      </c>
      <c r="AG4343" s="126" t="s">
        <v>4474</v>
      </c>
      <c r="AH4343" s="126" t="s">
        <v>132</v>
      </c>
      <c r="AI4343" s="126" t="s">
        <v>1581</v>
      </c>
      <c r="AJ4343" s="126" t="s">
        <v>242</v>
      </c>
      <c r="AK4343" s="126" t="s">
        <v>229</v>
      </c>
      <c r="AW4343" s="126" t="s">
        <v>160</v>
      </c>
      <c r="AX4343" s="126">
        <v>3</v>
      </c>
      <c r="AZ4343" s="126" t="s">
        <v>141</v>
      </c>
      <c r="BE4343" s="126" t="s">
        <v>4469</v>
      </c>
      <c r="BP4343" s="481"/>
      <c r="BQ4343" s="481"/>
      <c r="BU4343" s="481"/>
      <c r="BV4343" s="481"/>
      <c r="BZ4343" s="481"/>
      <c r="CA4343" s="481"/>
      <c r="CE4343" s="605"/>
      <c r="CF4343" s="605"/>
      <c r="CG4343" s="605"/>
      <c r="CH4343" s="605"/>
      <c r="HJ4343" s="126">
        <v>45.9</v>
      </c>
      <c r="HK4343" s="126">
        <v>62</v>
      </c>
      <c r="HL4343" s="126">
        <f>70-HJ4343</f>
        <v>24.1</v>
      </c>
      <c r="HM4343" s="126">
        <v>16</v>
      </c>
      <c r="HN4343" s="126" t="s">
        <v>569</v>
      </c>
      <c r="JD4343" s="480"/>
    </row>
    <row r="4344" spans="1:264" s="126" customFormat="1" x14ac:dyDescent="0.25">
      <c r="A4344" s="126">
        <v>191</v>
      </c>
      <c r="B4344" s="478" t="s">
        <v>4468</v>
      </c>
      <c r="C4344" s="126" t="s">
        <v>4454</v>
      </c>
      <c r="D4344" s="126" t="s">
        <v>4455</v>
      </c>
      <c r="E4344" s="126">
        <v>2015</v>
      </c>
      <c r="F4344" s="126">
        <v>2008</v>
      </c>
      <c r="G4344" s="126" t="s">
        <v>4456</v>
      </c>
      <c r="H4344" s="126" t="s">
        <v>3741</v>
      </c>
      <c r="I4344" s="126" t="s">
        <v>3461</v>
      </c>
      <c r="J4344" s="126">
        <f t="shared" si="573"/>
        <v>40.18333333333333</v>
      </c>
      <c r="K4344" s="126">
        <f t="shared" si="574"/>
        <v>116.26666666666667</v>
      </c>
      <c r="L4344" s="126">
        <v>69</v>
      </c>
      <c r="R4344" s="478" t="s">
        <v>1977</v>
      </c>
      <c r="S4344" s="478" t="s">
        <v>1728</v>
      </c>
      <c r="T4344" s="478"/>
      <c r="U4344" s="478" t="s">
        <v>4464</v>
      </c>
      <c r="V4344" s="478" t="s">
        <v>4463</v>
      </c>
      <c r="W4344" s="478" t="s">
        <v>1720</v>
      </c>
      <c r="X4344" s="478" t="s">
        <v>4463</v>
      </c>
      <c r="Y4344" s="478" t="s">
        <v>4463</v>
      </c>
      <c r="AA4344" s="479">
        <v>76</v>
      </c>
      <c r="AB4344" s="479">
        <v>23</v>
      </c>
      <c r="AC4344" s="126" t="s">
        <v>175</v>
      </c>
      <c r="AD4344" s="126">
        <v>7.2</v>
      </c>
      <c r="AE4344" s="126">
        <v>2.12</v>
      </c>
      <c r="AG4344" s="126" t="s">
        <v>4474</v>
      </c>
      <c r="AH4344" s="126" t="s">
        <v>132</v>
      </c>
      <c r="AI4344" s="126" t="s">
        <v>1581</v>
      </c>
      <c r="AJ4344" s="126" t="s">
        <v>242</v>
      </c>
      <c r="AK4344" s="126" t="s">
        <v>229</v>
      </c>
      <c r="AW4344" s="126" t="s">
        <v>160</v>
      </c>
      <c r="AX4344" s="126">
        <v>3</v>
      </c>
      <c r="AZ4344" s="126" t="s">
        <v>141</v>
      </c>
      <c r="BE4344" s="126" t="s">
        <v>4469</v>
      </c>
      <c r="BP4344" s="481"/>
      <c r="BQ4344" s="481"/>
      <c r="BU4344" s="481"/>
      <c r="BV4344" s="481"/>
      <c r="BZ4344" s="481"/>
      <c r="CA4344" s="481"/>
      <c r="CE4344" s="605"/>
      <c r="CF4344" s="605"/>
      <c r="CG4344" s="605"/>
      <c r="CH4344" s="605"/>
      <c r="HJ4344" s="126">
        <v>68.239999999999995</v>
      </c>
      <c r="HK4344" s="126">
        <v>58</v>
      </c>
      <c r="HL4344" s="126">
        <f>85-HJ4344</f>
        <v>16.760000000000005</v>
      </c>
      <c r="HM4344" s="126">
        <v>16</v>
      </c>
      <c r="HN4344" s="126" t="s">
        <v>569</v>
      </c>
      <c r="JD4344" s="480"/>
    </row>
    <row r="4345" spans="1:264" s="36" customFormat="1" x14ac:dyDescent="0.25">
      <c r="A4345" s="36">
        <v>191</v>
      </c>
      <c r="B4345" s="51" t="s">
        <v>4459</v>
      </c>
      <c r="C4345" s="36" t="s">
        <v>4454</v>
      </c>
      <c r="D4345" s="36" t="s">
        <v>4455</v>
      </c>
      <c r="E4345" s="36">
        <v>2015</v>
      </c>
      <c r="F4345" s="36">
        <v>2009</v>
      </c>
      <c r="G4345" s="36" t="s">
        <v>4456</v>
      </c>
      <c r="H4345" s="36" t="s">
        <v>3741</v>
      </c>
      <c r="I4345" s="36" t="s">
        <v>3461</v>
      </c>
      <c r="J4345" s="36">
        <f t="shared" si="573"/>
        <v>40.18333333333333</v>
      </c>
      <c r="K4345" s="36">
        <f t="shared" si="574"/>
        <v>116.26666666666667</v>
      </c>
      <c r="L4345" s="36">
        <v>69</v>
      </c>
      <c r="R4345" s="51" t="s">
        <v>1847</v>
      </c>
      <c r="S4345" s="51" t="s">
        <v>1728</v>
      </c>
      <c r="T4345" s="51"/>
      <c r="U4345" s="51" t="s">
        <v>4464</v>
      </c>
      <c r="V4345" s="51" t="s">
        <v>1389</v>
      </c>
      <c r="W4345" s="51" t="s">
        <v>1720</v>
      </c>
      <c r="X4345" s="51" t="s">
        <v>1389</v>
      </c>
      <c r="Y4345" s="51" t="s">
        <v>1389</v>
      </c>
      <c r="AA4345" s="331">
        <v>76</v>
      </c>
      <c r="AB4345" s="331">
        <v>23</v>
      </c>
      <c r="AC4345" s="36" t="s">
        <v>175</v>
      </c>
      <c r="AD4345" s="36">
        <v>7.2</v>
      </c>
      <c r="AE4345" s="36">
        <v>2.12</v>
      </c>
      <c r="AG4345" s="36" t="s">
        <v>4474</v>
      </c>
      <c r="AH4345" s="36" t="s">
        <v>132</v>
      </c>
      <c r="AI4345" s="36" t="s">
        <v>1581</v>
      </c>
      <c r="AJ4345" s="36" t="s">
        <v>242</v>
      </c>
      <c r="AK4345" s="36" t="s">
        <v>229</v>
      </c>
      <c r="AW4345" s="36" t="s">
        <v>160</v>
      </c>
      <c r="AX4345" s="36">
        <v>3</v>
      </c>
      <c r="AZ4345" s="36" t="s">
        <v>141</v>
      </c>
      <c r="BE4345" s="36" t="s">
        <v>4470</v>
      </c>
      <c r="BP4345" s="407"/>
      <c r="BQ4345" s="407"/>
      <c r="BU4345" s="407"/>
      <c r="BV4345" s="407"/>
      <c r="BZ4345" s="407"/>
      <c r="CA4345" s="407"/>
      <c r="CE4345" s="560"/>
      <c r="CF4345" s="560"/>
      <c r="CG4345" s="560"/>
      <c r="CH4345" s="560"/>
      <c r="HJ4345" s="36">
        <v>104.8</v>
      </c>
      <c r="HK4345" s="36">
        <v>119</v>
      </c>
      <c r="HL4345" s="36">
        <v>7</v>
      </c>
      <c r="HM4345" s="36">
        <v>7</v>
      </c>
      <c r="HN4345" s="36" t="s">
        <v>569</v>
      </c>
      <c r="JD4345" s="230"/>
    </row>
    <row r="4346" spans="1:264" s="36" customFormat="1" x14ac:dyDescent="0.25">
      <c r="A4346" s="36">
        <v>191</v>
      </c>
      <c r="B4346" s="51" t="s">
        <v>4460</v>
      </c>
      <c r="C4346" s="36" t="s">
        <v>4454</v>
      </c>
      <c r="D4346" s="36" t="s">
        <v>4455</v>
      </c>
      <c r="E4346" s="36">
        <v>2015</v>
      </c>
      <c r="F4346" s="36">
        <v>2009</v>
      </c>
      <c r="G4346" s="36" t="s">
        <v>4456</v>
      </c>
      <c r="H4346" s="36" t="s">
        <v>3741</v>
      </c>
      <c r="I4346" s="36" t="s">
        <v>3461</v>
      </c>
      <c r="J4346" s="36">
        <f t="shared" si="573"/>
        <v>40.18333333333333</v>
      </c>
      <c r="K4346" s="36">
        <f t="shared" si="574"/>
        <v>116.26666666666667</v>
      </c>
      <c r="L4346" s="36">
        <v>69</v>
      </c>
      <c r="R4346" s="51" t="s">
        <v>1847</v>
      </c>
      <c r="S4346" s="51" t="s">
        <v>1728</v>
      </c>
      <c r="T4346" s="51"/>
      <c r="U4346" s="51" t="s">
        <v>4464</v>
      </c>
      <c r="V4346" s="51" t="s">
        <v>1402</v>
      </c>
      <c r="W4346" s="51" t="s">
        <v>1720</v>
      </c>
      <c r="X4346" s="51" t="s">
        <v>1402</v>
      </c>
      <c r="Y4346" s="51" t="s">
        <v>1402</v>
      </c>
      <c r="AA4346" s="331">
        <v>76</v>
      </c>
      <c r="AB4346" s="331">
        <v>23</v>
      </c>
      <c r="AC4346" s="36" t="s">
        <v>175</v>
      </c>
      <c r="AD4346" s="36">
        <v>7.2</v>
      </c>
      <c r="AE4346" s="36">
        <v>2.12</v>
      </c>
      <c r="AG4346" s="36" t="s">
        <v>4474</v>
      </c>
      <c r="AH4346" s="36" t="s">
        <v>132</v>
      </c>
      <c r="AI4346" s="36" t="s">
        <v>1581</v>
      </c>
      <c r="AJ4346" s="36" t="s">
        <v>242</v>
      </c>
      <c r="AK4346" s="36" t="s">
        <v>229</v>
      </c>
      <c r="AW4346" s="36" t="s">
        <v>160</v>
      </c>
      <c r="AX4346" s="36">
        <v>3</v>
      </c>
      <c r="AZ4346" s="36" t="s">
        <v>141</v>
      </c>
      <c r="BE4346" s="36" t="s">
        <v>4470</v>
      </c>
      <c r="BP4346" s="407"/>
      <c r="BQ4346" s="407"/>
      <c r="BU4346" s="407"/>
      <c r="BV4346" s="407"/>
      <c r="BZ4346" s="407"/>
      <c r="CA4346" s="407"/>
      <c r="CE4346" s="560"/>
      <c r="CF4346" s="560"/>
      <c r="CG4346" s="560"/>
      <c r="CH4346" s="560"/>
      <c r="HJ4346" s="36">
        <v>75</v>
      </c>
      <c r="HK4346" s="36">
        <v>57.67</v>
      </c>
      <c r="HL4346" s="36">
        <v>7</v>
      </c>
      <c r="HM4346" s="36">
        <v>7</v>
      </c>
      <c r="HN4346" s="36" t="s">
        <v>569</v>
      </c>
      <c r="JD4346" s="230"/>
    </row>
    <row r="4347" spans="1:264" s="36" customFormat="1" x14ac:dyDescent="0.25">
      <c r="A4347" s="36">
        <v>191</v>
      </c>
      <c r="B4347" s="51" t="s">
        <v>4465</v>
      </c>
      <c r="C4347" s="36" t="s">
        <v>4454</v>
      </c>
      <c r="D4347" s="36" t="s">
        <v>4455</v>
      </c>
      <c r="E4347" s="36">
        <v>2015</v>
      </c>
      <c r="F4347" s="36">
        <v>2009</v>
      </c>
      <c r="G4347" s="36" t="s">
        <v>4456</v>
      </c>
      <c r="H4347" s="36" t="s">
        <v>3741</v>
      </c>
      <c r="I4347" s="36" t="s">
        <v>3461</v>
      </c>
      <c r="J4347" s="36">
        <f t="shared" si="573"/>
        <v>40.18333333333333</v>
      </c>
      <c r="K4347" s="36">
        <f t="shared" si="574"/>
        <v>116.26666666666667</v>
      </c>
      <c r="L4347" s="36">
        <v>69</v>
      </c>
      <c r="R4347" s="51" t="s">
        <v>1847</v>
      </c>
      <c r="S4347" s="51" t="s">
        <v>1728</v>
      </c>
      <c r="T4347" s="51"/>
      <c r="U4347" s="51" t="s">
        <v>4464</v>
      </c>
      <c r="V4347" s="51" t="s">
        <v>1403</v>
      </c>
      <c r="W4347" s="51" t="s">
        <v>1720</v>
      </c>
      <c r="X4347" s="51" t="s">
        <v>1403</v>
      </c>
      <c r="Y4347" s="51" t="s">
        <v>1403</v>
      </c>
      <c r="AA4347" s="331">
        <v>76</v>
      </c>
      <c r="AB4347" s="331">
        <v>23</v>
      </c>
      <c r="AC4347" s="36" t="s">
        <v>175</v>
      </c>
      <c r="AD4347" s="36">
        <v>7.2</v>
      </c>
      <c r="AE4347" s="36">
        <v>2.12</v>
      </c>
      <c r="AG4347" s="36" t="s">
        <v>4474</v>
      </c>
      <c r="AH4347" s="36" t="s">
        <v>132</v>
      </c>
      <c r="AI4347" s="36" t="s">
        <v>1581</v>
      </c>
      <c r="AJ4347" s="36" t="s">
        <v>242</v>
      </c>
      <c r="AK4347" s="36" t="s">
        <v>229</v>
      </c>
      <c r="AW4347" s="36" t="s">
        <v>160</v>
      </c>
      <c r="AX4347" s="36">
        <v>3</v>
      </c>
      <c r="AZ4347" s="36" t="s">
        <v>141</v>
      </c>
      <c r="BE4347" s="36" t="s">
        <v>4470</v>
      </c>
      <c r="BP4347" s="407"/>
      <c r="BQ4347" s="407"/>
      <c r="BU4347" s="407"/>
      <c r="BV4347" s="407"/>
      <c r="BZ4347" s="407"/>
      <c r="CA4347" s="407"/>
      <c r="CE4347" s="560"/>
      <c r="CF4347" s="560"/>
      <c r="CG4347" s="560"/>
      <c r="CH4347" s="560"/>
      <c r="HJ4347" s="36">
        <v>44</v>
      </c>
      <c r="HK4347" s="36">
        <v>39.17</v>
      </c>
      <c r="HL4347" s="36">
        <v>7</v>
      </c>
      <c r="HM4347" s="36">
        <v>7</v>
      </c>
      <c r="HN4347" s="36" t="s">
        <v>569</v>
      </c>
      <c r="JD4347" s="230"/>
    </row>
    <row r="4348" spans="1:264" s="36" customFormat="1" x14ac:dyDescent="0.25">
      <c r="A4348" s="36">
        <v>191</v>
      </c>
      <c r="B4348" s="51" t="s">
        <v>4466</v>
      </c>
      <c r="C4348" s="36" t="s">
        <v>4454</v>
      </c>
      <c r="D4348" s="36" t="s">
        <v>4455</v>
      </c>
      <c r="E4348" s="36">
        <v>2015</v>
      </c>
      <c r="F4348" s="36">
        <v>2009</v>
      </c>
      <c r="G4348" s="36" t="s">
        <v>4456</v>
      </c>
      <c r="H4348" s="36" t="s">
        <v>3741</v>
      </c>
      <c r="I4348" s="36" t="s">
        <v>3461</v>
      </c>
      <c r="J4348" s="36">
        <f t="shared" si="573"/>
        <v>40.18333333333333</v>
      </c>
      <c r="K4348" s="36">
        <f t="shared" si="574"/>
        <v>116.26666666666667</v>
      </c>
      <c r="L4348" s="36">
        <v>69</v>
      </c>
      <c r="R4348" s="51" t="s">
        <v>1847</v>
      </c>
      <c r="S4348" s="51" t="s">
        <v>1728</v>
      </c>
      <c r="T4348" s="51"/>
      <c r="U4348" s="51" t="s">
        <v>4464</v>
      </c>
      <c r="V4348" s="51" t="s">
        <v>1415</v>
      </c>
      <c r="W4348" s="51" t="s">
        <v>1720</v>
      </c>
      <c r="X4348" s="51" t="s">
        <v>1415</v>
      </c>
      <c r="Y4348" s="51" t="s">
        <v>1415</v>
      </c>
      <c r="AA4348" s="331">
        <v>76</v>
      </c>
      <c r="AB4348" s="331">
        <v>23</v>
      </c>
      <c r="AC4348" s="36" t="s">
        <v>175</v>
      </c>
      <c r="AD4348" s="36">
        <v>7.2</v>
      </c>
      <c r="AE4348" s="36">
        <v>2.12</v>
      </c>
      <c r="AG4348" s="36" t="s">
        <v>4474</v>
      </c>
      <c r="AH4348" s="36" t="s">
        <v>132</v>
      </c>
      <c r="AI4348" s="36" t="s">
        <v>1581</v>
      </c>
      <c r="AJ4348" s="36" t="s">
        <v>242</v>
      </c>
      <c r="AK4348" s="36" t="s">
        <v>229</v>
      </c>
      <c r="AW4348" s="36" t="s">
        <v>160</v>
      </c>
      <c r="AX4348" s="36">
        <v>3</v>
      </c>
      <c r="AZ4348" s="36" t="s">
        <v>141</v>
      </c>
      <c r="BE4348" s="36" t="s">
        <v>4470</v>
      </c>
      <c r="BP4348" s="407"/>
      <c r="BQ4348" s="407"/>
      <c r="BU4348" s="407"/>
      <c r="BV4348" s="407"/>
      <c r="BZ4348" s="407"/>
      <c r="CA4348" s="407"/>
      <c r="CE4348" s="560"/>
      <c r="CF4348" s="560"/>
      <c r="CG4348" s="560"/>
      <c r="CH4348" s="560"/>
      <c r="HJ4348" s="36">
        <v>40.6</v>
      </c>
      <c r="HK4348" s="36">
        <v>59</v>
      </c>
      <c r="HL4348" s="36">
        <v>7</v>
      </c>
      <c r="HM4348" s="36">
        <v>7</v>
      </c>
      <c r="HN4348" s="36" t="s">
        <v>569</v>
      </c>
      <c r="JD4348" s="230"/>
    </row>
    <row r="4349" spans="1:264" s="36" customFormat="1" x14ac:dyDescent="0.25">
      <c r="A4349" s="36">
        <v>191</v>
      </c>
      <c r="B4349" s="51" t="s">
        <v>4467</v>
      </c>
      <c r="C4349" s="36" t="s">
        <v>4454</v>
      </c>
      <c r="D4349" s="36" t="s">
        <v>4455</v>
      </c>
      <c r="E4349" s="36">
        <v>2015</v>
      </c>
      <c r="F4349" s="36">
        <v>2009</v>
      </c>
      <c r="G4349" s="36" t="s">
        <v>4456</v>
      </c>
      <c r="H4349" s="36" t="s">
        <v>3741</v>
      </c>
      <c r="I4349" s="36" t="s">
        <v>3461</v>
      </c>
      <c r="J4349" s="36">
        <f t="shared" si="573"/>
        <v>40.18333333333333</v>
      </c>
      <c r="K4349" s="36">
        <f t="shared" si="574"/>
        <v>116.26666666666667</v>
      </c>
      <c r="L4349" s="36">
        <v>69</v>
      </c>
      <c r="R4349" s="51" t="s">
        <v>1847</v>
      </c>
      <c r="S4349" s="51" t="s">
        <v>1728</v>
      </c>
      <c r="T4349" s="51"/>
      <c r="U4349" s="51" t="s">
        <v>4464</v>
      </c>
      <c r="V4349" s="51" t="s">
        <v>4462</v>
      </c>
      <c r="W4349" s="51" t="s">
        <v>1720</v>
      </c>
      <c r="X4349" s="51" t="s">
        <v>4462</v>
      </c>
      <c r="Y4349" s="51" t="s">
        <v>4462</v>
      </c>
      <c r="AA4349" s="331">
        <v>76</v>
      </c>
      <c r="AB4349" s="331">
        <v>23</v>
      </c>
      <c r="AC4349" s="36" t="s">
        <v>175</v>
      </c>
      <c r="AD4349" s="36">
        <v>7.2</v>
      </c>
      <c r="AE4349" s="36">
        <v>2.12</v>
      </c>
      <c r="AG4349" s="36" t="s">
        <v>4474</v>
      </c>
      <c r="AH4349" s="36" t="s">
        <v>132</v>
      </c>
      <c r="AI4349" s="36" t="s">
        <v>1581</v>
      </c>
      <c r="AJ4349" s="36" t="s">
        <v>242</v>
      </c>
      <c r="AK4349" s="36" t="s">
        <v>229</v>
      </c>
      <c r="AW4349" s="36" t="s">
        <v>160</v>
      </c>
      <c r="AX4349" s="36">
        <v>3</v>
      </c>
      <c r="AZ4349" s="36" t="s">
        <v>141</v>
      </c>
      <c r="BE4349" s="36" t="s">
        <v>4470</v>
      </c>
      <c r="BP4349" s="407"/>
      <c r="BQ4349" s="407"/>
      <c r="BU4349" s="407"/>
      <c r="BV4349" s="407"/>
      <c r="BZ4349" s="407"/>
      <c r="CA4349" s="407"/>
      <c r="CE4349" s="560"/>
      <c r="CF4349" s="560"/>
      <c r="CG4349" s="560"/>
      <c r="CH4349" s="560"/>
      <c r="HJ4349" s="36">
        <v>15.9</v>
      </c>
      <c r="HK4349" s="36">
        <v>30.86</v>
      </c>
      <c r="HL4349" s="36">
        <v>7</v>
      </c>
      <c r="HM4349" s="36">
        <v>7</v>
      </c>
      <c r="HN4349" s="36" t="s">
        <v>569</v>
      </c>
      <c r="JD4349" s="230"/>
    </row>
    <row r="4350" spans="1:264" s="36" customFormat="1" x14ac:dyDescent="0.25">
      <c r="A4350" s="36">
        <v>191</v>
      </c>
      <c r="B4350" s="51" t="s">
        <v>4468</v>
      </c>
      <c r="C4350" s="36" t="s">
        <v>4454</v>
      </c>
      <c r="D4350" s="36" t="s">
        <v>4455</v>
      </c>
      <c r="E4350" s="36">
        <v>2015</v>
      </c>
      <c r="F4350" s="36">
        <v>2009</v>
      </c>
      <c r="G4350" s="36" t="s">
        <v>4456</v>
      </c>
      <c r="H4350" s="36" t="s">
        <v>3741</v>
      </c>
      <c r="I4350" s="36" t="s">
        <v>3461</v>
      </c>
      <c r="J4350" s="36">
        <f t="shared" si="573"/>
        <v>40.18333333333333</v>
      </c>
      <c r="K4350" s="36">
        <f t="shared" si="574"/>
        <v>116.26666666666667</v>
      </c>
      <c r="L4350" s="36">
        <v>69</v>
      </c>
      <c r="R4350" s="51" t="s">
        <v>1847</v>
      </c>
      <c r="S4350" s="51" t="s">
        <v>1728</v>
      </c>
      <c r="T4350" s="51"/>
      <c r="U4350" s="51" t="s">
        <v>4464</v>
      </c>
      <c r="V4350" s="51" t="s">
        <v>4463</v>
      </c>
      <c r="W4350" s="51" t="s">
        <v>1720</v>
      </c>
      <c r="X4350" s="51" t="s">
        <v>4463</v>
      </c>
      <c r="Y4350" s="51" t="s">
        <v>4463</v>
      </c>
      <c r="AA4350" s="331">
        <v>76</v>
      </c>
      <c r="AB4350" s="331">
        <v>23</v>
      </c>
      <c r="AC4350" s="36" t="s">
        <v>175</v>
      </c>
      <c r="AD4350" s="36">
        <v>7.2</v>
      </c>
      <c r="AE4350" s="36">
        <v>2.12</v>
      </c>
      <c r="AG4350" s="36" t="s">
        <v>4474</v>
      </c>
      <c r="AH4350" s="36" t="s">
        <v>132</v>
      </c>
      <c r="AI4350" s="36" t="s">
        <v>1581</v>
      </c>
      <c r="AJ4350" s="36" t="s">
        <v>242</v>
      </c>
      <c r="AK4350" s="36" t="s">
        <v>229</v>
      </c>
      <c r="AW4350" s="36" t="s">
        <v>160</v>
      </c>
      <c r="AX4350" s="36">
        <v>3</v>
      </c>
      <c r="AZ4350" s="36" t="s">
        <v>141</v>
      </c>
      <c r="BE4350" s="36" t="s">
        <v>4470</v>
      </c>
      <c r="BP4350" s="407"/>
      <c r="BQ4350" s="407"/>
      <c r="BU4350" s="407"/>
      <c r="BV4350" s="407"/>
      <c r="BZ4350" s="407"/>
      <c r="CA4350" s="407"/>
      <c r="CE4350" s="560"/>
      <c r="CF4350" s="560"/>
      <c r="CG4350" s="560"/>
      <c r="CH4350" s="560"/>
      <c r="HJ4350" s="36">
        <v>77</v>
      </c>
      <c r="HK4350" s="36">
        <v>92.17</v>
      </c>
      <c r="HL4350" s="36">
        <v>7</v>
      </c>
      <c r="HM4350" s="36">
        <v>7</v>
      </c>
      <c r="HN4350" s="36" t="s">
        <v>569</v>
      </c>
      <c r="JD4350" s="230"/>
    </row>
    <row r="4351" spans="1:264" s="126" customFormat="1" x14ac:dyDescent="0.25">
      <c r="A4351" s="126">
        <v>191</v>
      </c>
      <c r="B4351" s="478" t="s">
        <v>4459</v>
      </c>
      <c r="C4351" s="126" t="s">
        <v>4454</v>
      </c>
      <c r="D4351" s="126" t="s">
        <v>4455</v>
      </c>
      <c r="E4351" s="126">
        <v>2015</v>
      </c>
      <c r="F4351" s="126">
        <v>2009</v>
      </c>
      <c r="G4351" s="126" t="s">
        <v>4456</v>
      </c>
      <c r="H4351" s="126" t="s">
        <v>3741</v>
      </c>
      <c r="I4351" s="126" t="s">
        <v>3461</v>
      </c>
      <c r="J4351" s="126">
        <f t="shared" si="573"/>
        <v>40.18333333333333</v>
      </c>
      <c r="K4351" s="126">
        <f t="shared" si="574"/>
        <v>116.26666666666667</v>
      </c>
      <c r="L4351" s="126">
        <v>69</v>
      </c>
      <c r="R4351" s="478" t="s">
        <v>1847</v>
      </c>
      <c r="S4351" s="478" t="s">
        <v>1728</v>
      </c>
      <c r="T4351" s="478"/>
      <c r="U4351" s="478" t="s">
        <v>4464</v>
      </c>
      <c r="V4351" s="478" t="s">
        <v>1389</v>
      </c>
      <c r="W4351" s="478" t="s">
        <v>1720</v>
      </c>
      <c r="X4351" s="478" t="s">
        <v>1389</v>
      </c>
      <c r="Y4351" s="478" t="s">
        <v>1389</v>
      </c>
      <c r="AA4351" s="479">
        <v>76</v>
      </c>
      <c r="AB4351" s="479">
        <v>23</v>
      </c>
      <c r="AC4351" s="126" t="s">
        <v>175</v>
      </c>
      <c r="AD4351" s="126">
        <v>7.2</v>
      </c>
      <c r="AE4351" s="126">
        <v>2.12</v>
      </c>
      <c r="AG4351" s="126" t="s">
        <v>4474</v>
      </c>
      <c r="AH4351" s="126" t="s">
        <v>132</v>
      </c>
      <c r="AI4351" s="126" t="s">
        <v>1581</v>
      </c>
      <c r="AJ4351" s="126" t="s">
        <v>242</v>
      </c>
      <c r="AK4351" s="126" t="s">
        <v>229</v>
      </c>
      <c r="AW4351" s="126" t="s">
        <v>160</v>
      </c>
      <c r="AX4351" s="126">
        <v>3</v>
      </c>
      <c r="AZ4351" s="126" t="s">
        <v>141</v>
      </c>
      <c r="BE4351" s="126" t="s">
        <v>4471</v>
      </c>
      <c r="BP4351" s="481"/>
      <c r="BQ4351" s="481"/>
      <c r="BU4351" s="481"/>
      <c r="BV4351" s="481"/>
      <c r="BZ4351" s="481"/>
      <c r="CA4351" s="481"/>
      <c r="CE4351" s="605"/>
      <c r="CF4351" s="605"/>
      <c r="CG4351" s="605"/>
      <c r="CH4351" s="605"/>
      <c r="HJ4351" s="126">
        <v>88.77</v>
      </c>
      <c r="HK4351" s="126">
        <v>83.77</v>
      </c>
      <c r="HL4351" s="126">
        <v>11</v>
      </c>
      <c r="HM4351" s="126">
        <v>10</v>
      </c>
      <c r="HN4351" s="126" t="s">
        <v>569</v>
      </c>
      <c r="JD4351" s="480"/>
    </row>
    <row r="4352" spans="1:264" s="126" customFormat="1" x14ac:dyDescent="0.25">
      <c r="A4352" s="126">
        <v>191</v>
      </c>
      <c r="B4352" s="478" t="s">
        <v>4460</v>
      </c>
      <c r="C4352" s="126" t="s">
        <v>4454</v>
      </c>
      <c r="D4352" s="126" t="s">
        <v>4455</v>
      </c>
      <c r="E4352" s="126">
        <v>2015</v>
      </c>
      <c r="F4352" s="126">
        <v>2009</v>
      </c>
      <c r="G4352" s="126" t="s">
        <v>4456</v>
      </c>
      <c r="H4352" s="126" t="s">
        <v>3741</v>
      </c>
      <c r="I4352" s="126" t="s">
        <v>3461</v>
      </c>
      <c r="J4352" s="126">
        <f t="shared" si="573"/>
        <v>40.18333333333333</v>
      </c>
      <c r="K4352" s="126">
        <f t="shared" si="574"/>
        <v>116.26666666666667</v>
      </c>
      <c r="L4352" s="126">
        <v>69</v>
      </c>
      <c r="R4352" s="478" t="s">
        <v>1847</v>
      </c>
      <c r="S4352" s="478" t="s">
        <v>1728</v>
      </c>
      <c r="T4352" s="478"/>
      <c r="U4352" s="478" t="s">
        <v>4464</v>
      </c>
      <c r="V4352" s="478" t="s">
        <v>1402</v>
      </c>
      <c r="W4352" s="478" t="s">
        <v>1720</v>
      </c>
      <c r="X4352" s="478" t="s">
        <v>1402</v>
      </c>
      <c r="Y4352" s="478" t="s">
        <v>1402</v>
      </c>
      <c r="AA4352" s="479">
        <v>76</v>
      </c>
      <c r="AB4352" s="479">
        <v>23</v>
      </c>
      <c r="AC4352" s="126" t="s">
        <v>175</v>
      </c>
      <c r="AD4352" s="126">
        <v>7.2</v>
      </c>
      <c r="AE4352" s="126">
        <v>2.12</v>
      </c>
      <c r="AG4352" s="126" t="s">
        <v>4474</v>
      </c>
      <c r="AH4352" s="126" t="s">
        <v>132</v>
      </c>
      <c r="AI4352" s="126" t="s">
        <v>1581</v>
      </c>
      <c r="AJ4352" s="126" t="s">
        <v>242</v>
      </c>
      <c r="AK4352" s="126" t="s">
        <v>229</v>
      </c>
      <c r="AW4352" s="126" t="s">
        <v>160</v>
      </c>
      <c r="AX4352" s="126">
        <v>3</v>
      </c>
      <c r="AZ4352" s="126" t="s">
        <v>141</v>
      </c>
      <c r="BE4352" s="126" t="s">
        <v>4471</v>
      </c>
      <c r="BP4352" s="481"/>
      <c r="BQ4352" s="481"/>
      <c r="BU4352" s="481"/>
      <c r="BV4352" s="481"/>
      <c r="BZ4352" s="481"/>
      <c r="CA4352" s="481"/>
      <c r="CE4352" s="605"/>
      <c r="CF4352" s="605"/>
      <c r="CG4352" s="605"/>
      <c r="CH4352" s="605"/>
      <c r="HJ4352" s="126">
        <v>42.84</v>
      </c>
      <c r="HK4352" s="126">
        <v>35.36</v>
      </c>
      <c r="HL4352" s="126">
        <v>11</v>
      </c>
      <c r="HM4352" s="126">
        <f>46.57-HK4352</f>
        <v>11.21</v>
      </c>
      <c r="HN4352" s="126" t="s">
        <v>569</v>
      </c>
      <c r="JD4352" s="480"/>
    </row>
    <row r="4353" spans="1:264" s="126" customFormat="1" x14ac:dyDescent="0.25">
      <c r="A4353" s="126">
        <v>191</v>
      </c>
      <c r="B4353" s="478" t="s">
        <v>4465</v>
      </c>
      <c r="C4353" s="126" t="s">
        <v>4454</v>
      </c>
      <c r="D4353" s="126" t="s">
        <v>4455</v>
      </c>
      <c r="E4353" s="126">
        <v>2015</v>
      </c>
      <c r="F4353" s="126">
        <v>2009</v>
      </c>
      <c r="G4353" s="126" t="s">
        <v>4456</v>
      </c>
      <c r="H4353" s="126" t="s">
        <v>3741</v>
      </c>
      <c r="I4353" s="126" t="s">
        <v>3461</v>
      </c>
      <c r="J4353" s="126">
        <f t="shared" si="573"/>
        <v>40.18333333333333</v>
      </c>
      <c r="K4353" s="126">
        <f t="shared" si="574"/>
        <v>116.26666666666667</v>
      </c>
      <c r="L4353" s="126">
        <v>69</v>
      </c>
      <c r="R4353" s="478" t="s">
        <v>1847</v>
      </c>
      <c r="S4353" s="478" t="s">
        <v>1728</v>
      </c>
      <c r="T4353" s="478"/>
      <c r="U4353" s="478" t="s">
        <v>4464</v>
      </c>
      <c r="V4353" s="478" t="s">
        <v>1403</v>
      </c>
      <c r="W4353" s="478" t="s">
        <v>1720</v>
      </c>
      <c r="X4353" s="478" t="s">
        <v>1403</v>
      </c>
      <c r="Y4353" s="478" t="s">
        <v>1403</v>
      </c>
      <c r="AA4353" s="479">
        <v>76</v>
      </c>
      <c r="AB4353" s="479">
        <v>23</v>
      </c>
      <c r="AC4353" s="126" t="s">
        <v>175</v>
      </c>
      <c r="AD4353" s="126">
        <v>7.2</v>
      </c>
      <c r="AE4353" s="126">
        <v>2.12</v>
      </c>
      <c r="AG4353" s="126" t="s">
        <v>4474</v>
      </c>
      <c r="AH4353" s="126" t="s">
        <v>132</v>
      </c>
      <c r="AI4353" s="126" t="s">
        <v>1581</v>
      </c>
      <c r="AJ4353" s="126" t="s">
        <v>242</v>
      </c>
      <c r="AK4353" s="126" t="s">
        <v>229</v>
      </c>
      <c r="AW4353" s="126" t="s">
        <v>160</v>
      </c>
      <c r="AX4353" s="126">
        <v>3</v>
      </c>
      <c r="AZ4353" s="126" t="s">
        <v>141</v>
      </c>
      <c r="BE4353" s="126" t="s">
        <v>4471</v>
      </c>
      <c r="BP4353" s="481"/>
      <c r="BQ4353" s="481"/>
      <c r="BU4353" s="481"/>
      <c r="BV4353" s="481"/>
      <c r="BZ4353" s="481"/>
      <c r="CA4353" s="481"/>
      <c r="CE4353" s="605"/>
      <c r="CF4353" s="605"/>
      <c r="CG4353" s="605"/>
      <c r="CH4353" s="605"/>
      <c r="HJ4353" s="126">
        <v>56.77</v>
      </c>
      <c r="HK4353" s="126">
        <v>95.4</v>
      </c>
      <c r="HL4353" s="126">
        <v>11</v>
      </c>
      <c r="HM4353" s="126">
        <f>106.6-HK4353</f>
        <v>11.199999999999989</v>
      </c>
      <c r="HN4353" s="126" t="s">
        <v>569</v>
      </c>
      <c r="JD4353" s="480"/>
    </row>
    <row r="4354" spans="1:264" s="126" customFormat="1" x14ac:dyDescent="0.25">
      <c r="A4354" s="126">
        <v>191</v>
      </c>
      <c r="B4354" s="478" t="s">
        <v>4466</v>
      </c>
      <c r="C4354" s="126" t="s">
        <v>4454</v>
      </c>
      <c r="D4354" s="126" t="s">
        <v>4455</v>
      </c>
      <c r="E4354" s="126">
        <v>2015</v>
      </c>
      <c r="F4354" s="126">
        <v>2009</v>
      </c>
      <c r="G4354" s="126" t="s">
        <v>4456</v>
      </c>
      <c r="H4354" s="126" t="s">
        <v>3741</v>
      </c>
      <c r="I4354" s="126" t="s">
        <v>3461</v>
      </c>
      <c r="J4354" s="126">
        <f t="shared" si="573"/>
        <v>40.18333333333333</v>
      </c>
      <c r="K4354" s="126">
        <f t="shared" si="574"/>
        <v>116.26666666666667</v>
      </c>
      <c r="L4354" s="126">
        <v>69</v>
      </c>
      <c r="R4354" s="478" t="s">
        <v>1847</v>
      </c>
      <c r="S4354" s="478" t="s">
        <v>1728</v>
      </c>
      <c r="T4354" s="478"/>
      <c r="U4354" s="478" t="s">
        <v>4464</v>
      </c>
      <c r="V4354" s="478" t="s">
        <v>1415</v>
      </c>
      <c r="W4354" s="478" t="s">
        <v>1720</v>
      </c>
      <c r="X4354" s="478" t="s">
        <v>1415</v>
      </c>
      <c r="Y4354" s="478" t="s">
        <v>1415</v>
      </c>
      <c r="AA4354" s="479">
        <v>76</v>
      </c>
      <c r="AB4354" s="479">
        <v>23</v>
      </c>
      <c r="AC4354" s="126" t="s">
        <v>175</v>
      </c>
      <c r="AD4354" s="126">
        <v>7.2</v>
      </c>
      <c r="AE4354" s="126">
        <v>2.12</v>
      </c>
      <c r="AG4354" s="126" t="s">
        <v>4474</v>
      </c>
      <c r="AH4354" s="126" t="s">
        <v>132</v>
      </c>
      <c r="AI4354" s="126" t="s">
        <v>1581</v>
      </c>
      <c r="AJ4354" s="126" t="s">
        <v>242</v>
      </c>
      <c r="AK4354" s="126" t="s">
        <v>229</v>
      </c>
      <c r="AW4354" s="126" t="s">
        <v>160</v>
      </c>
      <c r="AX4354" s="126">
        <v>3</v>
      </c>
      <c r="AZ4354" s="126" t="s">
        <v>141</v>
      </c>
      <c r="BE4354" s="126" t="s">
        <v>4471</v>
      </c>
      <c r="BP4354" s="481"/>
      <c r="BQ4354" s="481"/>
      <c r="BU4354" s="481"/>
      <c r="BV4354" s="481"/>
      <c r="BZ4354" s="481"/>
      <c r="CA4354" s="481"/>
      <c r="CE4354" s="605"/>
      <c r="CF4354" s="605"/>
      <c r="CG4354" s="605"/>
      <c r="CH4354" s="605"/>
      <c r="HJ4354" s="126">
        <v>66.95</v>
      </c>
      <c r="HK4354" s="126">
        <v>91.89</v>
      </c>
      <c r="HL4354" s="126">
        <v>11</v>
      </c>
      <c r="HM4354" s="126">
        <v>11.2</v>
      </c>
      <c r="HN4354" s="126" t="s">
        <v>569</v>
      </c>
      <c r="JD4354" s="480"/>
    </row>
    <row r="4355" spans="1:264" s="126" customFormat="1" x14ac:dyDescent="0.25">
      <c r="A4355" s="126">
        <v>191</v>
      </c>
      <c r="B4355" s="478" t="s">
        <v>4467</v>
      </c>
      <c r="C4355" s="126" t="s">
        <v>4454</v>
      </c>
      <c r="D4355" s="126" t="s">
        <v>4455</v>
      </c>
      <c r="E4355" s="126">
        <v>2015</v>
      </c>
      <c r="F4355" s="126">
        <v>2009</v>
      </c>
      <c r="G4355" s="126" t="s">
        <v>4456</v>
      </c>
      <c r="H4355" s="126" t="s">
        <v>3741</v>
      </c>
      <c r="I4355" s="126" t="s">
        <v>3461</v>
      </c>
      <c r="J4355" s="126">
        <f t="shared" si="573"/>
        <v>40.18333333333333</v>
      </c>
      <c r="K4355" s="126">
        <f t="shared" si="574"/>
        <v>116.26666666666667</v>
      </c>
      <c r="L4355" s="126">
        <v>69</v>
      </c>
      <c r="R4355" s="478" t="s">
        <v>1847</v>
      </c>
      <c r="S4355" s="478" t="s">
        <v>1728</v>
      </c>
      <c r="T4355" s="478"/>
      <c r="U4355" s="478" t="s">
        <v>4464</v>
      </c>
      <c r="V4355" s="478" t="s">
        <v>4462</v>
      </c>
      <c r="W4355" s="478" t="s">
        <v>1720</v>
      </c>
      <c r="X4355" s="478" t="s">
        <v>4462</v>
      </c>
      <c r="Y4355" s="478" t="s">
        <v>4462</v>
      </c>
      <c r="AA4355" s="479">
        <v>76</v>
      </c>
      <c r="AB4355" s="479">
        <v>23</v>
      </c>
      <c r="AC4355" s="126" t="s">
        <v>175</v>
      </c>
      <c r="AD4355" s="126">
        <v>7.2</v>
      </c>
      <c r="AE4355" s="126">
        <v>2.12</v>
      </c>
      <c r="AG4355" s="126" t="s">
        <v>4474</v>
      </c>
      <c r="AH4355" s="126" t="s">
        <v>132</v>
      </c>
      <c r="AI4355" s="126" t="s">
        <v>1581</v>
      </c>
      <c r="AJ4355" s="126" t="s">
        <v>242</v>
      </c>
      <c r="AK4355" s="126" t="s">
        <v>229</v>
      </c>
      <c r="AW4355" s="126" t="s">
        <v>160</v>
      </c>
      <c r="AX4355" s="126">
        <v>3</v>
      </c>
      <c r="AZ4355" s="126" t="s">
        <v>141</v>
      </c>
      <c r="BE4355" s="126" t="s">
        <v>4471</v>
      </c>
      <c r="BP4355" s="481"/>
      <c r="BQ4355" s="481"/>
      <c r="BU4355" s="481"/>
      <c r="BV4355" s="481"/>
      <c r="BZ4355" s="481"/>
      <c r="CA4355" s="481"/>
      <c r="CE4355" s="605"/>
      <c r="CF4355" s="605"/>
      <c r="CG4355" s="605"/>
      <c r="CH4355" s="605"/>
      <c r="HJ4355" s="126">
        <v>39.72</v>
      </c>
      <c r="HK4355" s="126">
        <v>59.66</v>
      </c>
      <c r="HL4355" s="126">
        <v>11</v>
      </c>
      <c r="HM4355" s="126">
        <v>11</v>
      </c>
      <c r="HN4355" s="126" t="s">
        <v>569</v>
      </c>
      <c r="JD4355" s="480"/>
    </row>
    <row r="4356" spans="1:264" s="126" customFormat="1" x14ac:dyDescent="0.25">
      <c r="A4356" s="126">
        <v>191</v>
      </c>
      <c r="B4356" s="478" t="s">
        <v>4468</v>
      </c>
      <c r="C4356" s="126" t="s">
        <v>4454</v>
      </c>
      <c r="D4356" s="126" t="s">
        <v>4455</v>
      </c>
      <c r="E4356" s="126">
        <v>2015</v>
      </c>
      <c r="F4356" s="126">
        <v>2009</v>
      </c>
      <c r="G4356" s="126" t="s">
        <v>4456</v>
      </c>
      <c r="H4356" s="126" t="s">
        <v>3741</v>
      </c>
      <c r="I4356" s="126" t="s">
        <v>3461</v>
      </c>
      <c r="J4356" s="126">
        <f t="shared" si="573"/>
        <v>40.18333333333333</v>
      </c>
      <c r="K4356" s="126">
        <f t="shared" si="574"/>
        <v>116.26666666666667</v>
      </c>
      <c r="L4356" s="126">
        <v>69</v>
      </c>
      <c r="R4356" s="478" t="s">
        <v>1847</v>
      </c>
      <c r="S4356" s="478" t="s">
        <v>1728</v>
      </c>
      <c r="T4356" s="478"/>
      <c r="U4356" s="478" t="s">
        <v>4464</v>
      </c>
      <c r="V4356" s="478" t="s">
        <v>4463</v>
      </c>
      <c r="W4356" s="478" t="s">
        <v>1720</v>
      </c>
      <c r="X4356" s="478" t="s">
        <v>4463</v>
      </c>
      <c r="Y4356" s="478" t="s">
        <v>4463</v>
      </c>
      <c r="AA4356" s="479">
        <v>76</v>
      </c>
      <c r="AB4356" s="479">
        <v>23</v>
      </c>
      <c r="AC4356" s="126" t="s">
        <v>175</v>
      </c>
      <c r="AD4356" s="126">
        <v>7.2</v>
      </c>
      <c r="AE4356" s="126">
        <v>2.12</v>
      </c>
      <c r="AG4356" s="126" t="s">
        <v>4474</v>
      </c>
      <c r="AH4356" s="126" t="s">
        <v>132</v>
      </c>
      <c r="AI4356" s="126" t="s">
        <v>1581</v>
      </c>
      <c r="AJ4356" s="126" t="s">
        <v>242</v>
      </c>
      <c r="AK4356" s="126" t="s">
        <v>229</v>
      </c>
      <c r="AW4356" s="126" t="s">
        <v>160</v>
      </c>
      <c r="AX4356" s="126">
        <v>3</v>
      </c>
      <c r="AZ4356" s="126" t="s">
        <v>141</v>
      </c>
      <c r="BE4356" s="126" t="s">
        <v>4471</v>
      </c>
      <c r="BP4356" s="481"/>
      <c r="BQ4356" s="481"/>
      <c r="BU4356" s="481"/>
      <c r="BV4356" s="481"/>
      <c r="BZ4356" s="481"/>
      <c r="CA4356" s="481"/>
      <c r="CE4356" s="605"/>
      <c r="CF4356" s="605"/>
      <c r="CG4356" s="605"/>
      <c r="CH4356" s="605"/>
      <c r="HJ4356" s="126">
        <v>36.19</v>
      </c>
      <c r="HK4356" s="126">
        <v>54.89</v>
      </c>
      <c r="HL4356" s="126">
        <v>11</v>
      </c>
      <c r="HM4356" s="126">
        <v>11</v>
      </c>
      <c r="HN4356" s="126" t="s">
        <v>569</v>
      </c>
      <c r="JD4356" s="480"/>
    </row>
    <row r="4357" spans="1:264" s="36" customFormat="1" x14ac:dyDescent="0.25">
      <c r="A4357" s="36">
        <v>191</v>
      </c>
      <c r="B4357" s="51" t="s">
        <v>4459</v>
      </c>
      <c r="C4357" s="36" t="s">
        <v>4454</v>
      </c>
      <c r="D4357" s="36" t="s">
        <v>4455</v>
      </c>
      <c r="E4357" s="36">
        <v>2015</v>
      </c>
      <c r="F4357" s="36">
        <v>2009</v>
      </c>
      <c r="G4357" s="36" t="s">
        <v>4456</v>
      </c>
      <c r="H4357" s="36" t="s">
        <v>3741</v>
      </c>
      <c r="I4357" s="36" t="s">
        <v>3461</v>
      </c>
      <c r="J4357" s="36">
        <f t="shared" si="573"/>
        <v>40.18333333333333</v>
      </c>
      <c r="K4357" s="36">
        <f t="shared" si="574"/>
        <v>116.26666666666667</v>
      </c>
      <c r="L4357" s="36">
        <v>69</v>
      </c>
      <c r="R4357" s="51" t="s">
        <v>1847</v>
      </c>
      <c r="S4357" s="51" t="s">
        <v>1728</v>
      </c>
      <c r="T4357" s="51"/>
      <c r="U4357" s="51" t="s">
        <v>4464</v>
      </c>
      <c r="V4357" s="51" t="s">
        <v>1389</v>
      </c>
      <c r="W4357" s="51" t="s">
        <v>1720</v>
      </c>
      <c r="X4357" s="51" t="s">
        <v>1389</v>
      </c>
      <c r="Y4357" s="51" t="s">
        <v>1389</v>
      </c>
      <c r="AA4357" s="331">
        <v>76</v>
      </c>
      <c r="AB4357" s="331">
        <v>23</v>
      </c>
      <c r="AC4357" s="36" t="s">
        <v>175</v>
      </c>
      <c r="AD4357" s="36">
        <v>7.2</v>
      </c>
      <c r="AE4357" s="36">
        <v>2.12</v>
      </c>
      <c r="AG4357" s="36" t="s">
        <v>4474</v>
      </c>
      <c r="AH4357" s="36" t="s">
        <v>132</v>
      </c>
      <c r="AI4357" s="36" t="s">
        <v>1581</v>
      </c>
      <c r="AJ4357" s="36" t="s">
        <v>242</v>
      </c>
      <c r="AK4357" s="36" t="s">
        <v>229</v>
      </c>
      <c r="AW4357" s="36" t="s">
        <v>160</v>
      </c>
      <c r="AX4357" s="36">
        <v>3</v>
      </c>
      <c r="AZ4357" s="36" t="s">
        <v>141</v>
      </c>
      <c r="BE4357" s="36" t="s">
        <v>4472</v>
      </c>
      <c r="BP4357" s="407"/>
      <c r="BQ4357" s="407"/>
      <c r="BU4357" s="407"/>
      <c r="BV4357" s="407"/>
      <c r="BZ4357" s="407"/>
      <c r="CA4357" s="407"/>
      <c r="CE4357" s="560"/>
      <c r="CF4357" s="560"/>
      <c r="CG4357" s="560"/>
      <c r="CH4357" s="560"/>
      <c r="HJ4357" s="36">
        <v>229.5</v>
      </c>
      <c r="HK4357" s="36">
        <v>40.94</v>
      </c>
      <c r="HL4357" s="36">
        <f>248-HJ4357</f>
        <v>18.5</v>
      </c>
      <c r="HM4357" s="36">
        <f>62-HK4357</f>
        <v>21.060000000000002</v>
      </c>
      <c r="HN4357" s="36" t="s">
        <v>569</v>
      </c>
      <c r="JD4357" s="230"/>
    </row>
    <row r="4358" spans="1:264" s="36" customFormat="1" x14ac:dyDescent="0.25">
      <c r="A4358" s="36">
        <v>191</v>
      </c>
      <c r="B4358" s="51" t="s">
        <v>4460</v>
      </c>
      <c r="C4358" s="36" t="s">
        <v>4454</v>
      </c>
      <c r="D4358" s="36" t="s">
        <v>4455</v>
      </c>
      <c r="E4358" s="36">
        <v>2015</v>
      </c>
      <c r="F4358" s="36">
        <v>2009</v>
      </c>
      <c r="G4358" s="36" t="s">
        <v>4456</v>
      </c>
      <c r="H4358" s="36" t="s">
        <v>3741</v>
      </c>
      <c r="I4358" s="36" t="s">
        <v>3461</v>
      </c>
      <c r="J4358" s="36">
        <f t="shared" si="573"/>
        <v>40.18333333333333</v>
      </c>
      <c r="K4358" s="36">
        <f t="shared" si="574"/>
        <v>116.26666666666667</v>
      </c>
      <c r="L4358" s="36">
        <v>69</v>
      </c>
      <c r="R4358" s="51" t="s">
        <v>1847</v>
      </c>
      <c r="S4358" s="51" t="s">
        <v>1728</v>
      </c>
      <c r="T4358" s="51"/>
      <c r="U4358" s="51" t="s">
        <v>4464</v>
      </c>
      <c r="V4358" s="51" t="s">
        <v>1402</v>
      </c>
      <c r="W4358" s="51" t="s">
        <v>1720</v>
      </c>
      <c r="X4358" s="51" t="s">
        <v>1402</v>
      </c>
      <c r="Y4358" s="51" t="s">
        <v>1402</v>
      </c>
      <c r="AA4358" s="331">
        <v>76</v>
      </c>
      <c r="AB4358" s="331">
        <v>23</v>
      </c>
      <c r="AC4358" s="36" t="s">
        <v>175</v>
      </c>
      <c r="AD4358" s="36">
        <v>7.2</v>
      </c>
      <c r="AE4358" s="36">
        <v>2.12</v>
      </c>
      <c r="AG4358" s="36" t="s">
        <v>4474</v>
      </c>
      <c r="AH4358" s="36" t="s">
        <v>132</v>
      </c>
      <c r="AI4358" s="36" t="s">
        <v>1581</v>
      </c>
      <c r="AJ4358" s="36" t="s">
        <v>242</v>
      </c>
      <c r="AK4358" s="36" t="s">
        <v>229</v>
      </c>
      <c r="AW4358" s="36" t="s">
        <v>160</v>
      </c>
      <c r="AX4358" s="36">
        <v>3</v>
      </c>
      <c r="AZ4358" s="36" t="s">
        <v>141</v>
      </c>
      <c r="BE4358" s="36" t="s">
        <v>4472</v>
      </c>
      <c r="BP4358" s="407"/>
      <c r="BQ4358" s="407"/>
      <c r="BU4358" s="407"/>
      <c r="BV4358" s="407"/>
      <c r="BZ4358" s="407"/>
      <c r="CA4358" s="407"/>
      <c r="CE4358" s="560"/>
      <c r="CF4358" s="560"/>
      <c r="CG4358" s="560"/>
      <c r="CH4358" s="560"/>
      <c r="HJ4358" s="36">
        <v>107.9</v>
      </c>
      <c r="HK4358" s="36">
        <v>13.65</v>
      </c>
      <c r="HL4358" s="36">
        <f>134-HJ4358</f>
        <v>26.099999999999994</v>
      </c>
      <c r="HM4358" s="36">
        <f>21-HK4358</f>
        <v>7.35</v>
      </c>
      <c r="HN4358" s="36" t="s">
        <v>569</v>
      </c>
      <c r="JD4358" s="230"/>
    </row>
    <row r="4359" spans="1:264" s="36" customFormat="1" x14ac:dyDescent="0.25">
      <c r="A4359" s="36">
        <v>191</v>
      </c>
      <c r="B4359" s="51" t="s">
        <v>4465</v>
      </c>
      <c r="C4359" s="36" t="s">
        <v>4454</v>
      </c>
      <c r="D4359" s="36" t="s">
        <v>4455</v>
      </c>
      <c r="E4359" s="36">
        <v>2015</v>
      </c>
      <c r="F4359" s="36">
        <v>2009</v>
      </c>
      <c r="G4359" s="36" t="s">
        <v>4456</v>
      </c>
      <c r="H4359" s="36" t="s">
        <v>3741</v>
      </c>
      <c r="I4359" s="36" t="s">
        <v>3461</v>
      </c>
      <c r="J4359" s="36">
        <f t="shared" si="573"/>
        <v>40.18333333333333</v>
      </c>
      <c r="K4359" s="36">
        <f t="shared" si="574"/>
        <v>116.26666666666667</v>
      </c>
      <c r="L4359" s="36">
        <v>69</v>
      </c>
      <c r="R4359" s="51" t="s">
        <v>1847</v>
      </c>
      <c r="S4359" s="51" t="s">
        <v>1728</v>
      </c>
      <c r="T4359" s="51"/>
      <c r="U4359" s="51" t="s">
        <v>4464</v>
      </c>
      <c r="V4359" s="51" t="s">
        <v>1403</v>
      </c>
      <c r="W4359" s="51" t="s">
        <v>1720</v>
      </c>
      <c r="X4359" s="51" t="s">
        <v>1403</v>
      </c>
      <c r="Y4359" s="51" t="s">
        <v>1403</v>
      </c>
      <c r="AA4359" s="331">
        <v>76</v>
      </c>
      <c r="AB4359" s="331">
        <v>23</v>
      </c>
      <c r="AC4359" s="36" t="s">
        <v>175</v>
      </c>
      <c r="AD4359" s="36">
        <v>7.2</v>
      </c>
      <c r="AE4359" s="36">
        <v>2.12</v>
      </c>
      <c r="AG4359" s="36" t="s">
        <v>4474</v>
      </c>
      <c r="AH4359" s="36" t="s">
        <v>132</v>
      </c>
      <c r="AI4359" s="36" t="s">
        <v>1581</v>
      </c>
      <c r="AJ4359" s="36" t="s">
        <v>242</v>
      </c>
      <c r="AK4359" s="36" t="s">
        <v>229</v>
      </c>
      <c r="AW4359" s="36" t="s">
        <v>160</v>
      </c>
      <c r="AX4359" s="36">
        <v>3</v>
      </c>
      <c r="AZ4359" s="36" t="s">
        <v>141</v>
      </c>
      <c r="BE4359" s="36" t="s">
        <v>4472</v>
      </c>
      <c r="BP4359" s="407"/>
      <c r="BQ4359" s="407"/>
      <c r="BU4359" s="407"/>
      <c r="BV4359" s="407"/>
      <c r="BZ4359" s="407"/>
      <c r="CA4359" s="407"/>
      <c r="CE4359" s="560"/>
      <c r="CF4359" s="560"/>
      <c r="CG4359" s="560"/>
      <c r="CH4359" s="560"/>
      <c r="HJ4359" s="36">
        <v>138.96</v>
      </c>
      <c r="HK4359" s="36">
        <v>17.37</v>
      </c>
      <c r="HL4359" s="36">
        <f>163.77-HJ4359</f>
        <v>24.810000000000002</v>
      </c>
      <c r="HM4359" s="36">
        <v>5</v>
      </c>
      <c r="HN4359" s="36" t="s">
        <v>569</v>
      </c>
      <c r="JD4359" s="230"/>
    </row>
    <row r="4360" spans="1:264" s="36" customFormat="1" x14ac:dyDescent="0.25">
      <c r="A4360" s="36">
        <v>191</v>
      </c>
      <c r="B4360" s="51" t="s">
        <v>4466</v>
      </c>
      <c r="C4360" s="36" t="s">
        <v>4454</v>
      </c>
      <c r="D4360" s="36" t="s">
        <v>4455</v>
      </c>
      <c r="E4360" s="36">
        <v>2015</v>
      </c>
      <c r="F4360" s="36">
        <v>2009</v>
      </c>
      <c r="G4360" s="36" t="s">
        <v>4456</v>
      </c>
      <c r="H4360" s="36" t="s">
        <v>3741</v>
      </c>
      <c r="I4360" s="36" t="s">
        <v>3461</v>
      </c>
      <c r="J4360" s="36">
        <f t="shared" si="573"/>
        <v>40.18333333333333</v>
      </c>
      <c r="K4360" s="36">
        <f t="shared" si="574"/>
        <v>116.26666666666667</v>
      </c>
      <c r="L4360" s="36">
        <v>69</v>
      </c>
      <c r="R4360" s="51" t="s">
        <v>1847</v>
      </c>
      <c r="S4360" s="51" t="s">
        <v>1728</v>
      </c>
      <c r="T4360" s="51"/>
      <c r="U4360" s="51" t="s">
        <v>4464</v>
      </c>
      <c r="V4360" s="51" t="s">
        <v>1415</v>
      </c>
      <c r="W4360" s="51" t="s">
        <v>1720</v>
      </c>
      <c r="X4360" s="51" t="s">
        <v>1415</v>
      </c>
      <c r="Y4360" s="51" t="s">
        <v>1415</v>
      </c>
      <c r="AA4360" s="331">
        <v>76</v>
      </c>
      <c r="AB4360" s="331">
        <v>23</v>
      </c>
      <c r="AC4360" s="36" t="s">
        <v>175</v>
      </c>
      <c r="AD4360" s="36">
        <v>7.2</v>
      </c>
      <c r="AE4360" s="36">
        <v>2.12</v>
      </c>
      <c r="AG4360" s="36" t="s">
        <v>4474</v>
      </c>
      <c r="AH4360" s="36" t="s">
        <v>132</v>
      </c>
      <c r="AI4360" s="36" t="s">
        <v>1581</v>
      </c>
      <c r="AJ4360" s="36" t="s">
        <v>242</v>
      </c>
      <c r="AK4360" s="36" t="s">
        <v>229</v>
      </c>
      <c r="AW4360" s="36" t="s">
        <v>160</v>
      </c>
      <c r="AX4360" s="36">
        <v>3</v>
      </c>
      <c r="AZ4360" s="36" t="s">
        <v>141</v>
      </c>
      <c r="BE4360" s="36" t="s">
        <v>4472</v>
      </c>
      <c r="BP4360" s="407"/>
      <c r="BQ4360" s="407"/>
      <c r="BU4360" s="407"/>
      <c r="BV4360" s="407"/>
      <c r="BZ4360" s="407"/>
      <c r="CA4360" s="407"/>
      <c r="CE4360" s="560"/>
      <c r="CF4360" s="560"/>
      <c r="CG4360" s="560"/>
      <c r="CH4360" s="560"/>
      <c r="HJ4360" s="36">
        <v>107.94</v>
      </c>
      <c r="HK4360" s="36">
        <v>55.83</v>
      </c>
      <c r="HL4360" s="36">
        <f>131.51-HJ4360</f>
        <v>23.569999999999993</v>
      </c>
      <c r="HM4360" s="36">
        <f>78-HK4360</f>
        <v>22.17</v>
      </c>
      <c r="HN4360" s="36" t="s">
        <v>569</v>
      </c>
      <c r="JD4360" s="230"/>
    </row>
    <row r="4361" spans="1:264" s="36" customFormat="1" x14ac:dyDescent="0.25">
      <c r="A4361" s="36">
        <v>191</v>
      </c>
      <c r="B4361" s="51" t="s">
        <v>4467</v>
      </c>
      <c r="C4361" s="36" t="s">
        <v>4454</v>
      </c>
      <c r="D4361" s="36" t="s">
        <v>4455</v>
      </c>
      <c r="E4361" s="36">
        <v>2015</v>
      </c>
      <c r="F4361" s="36">
        <v>2009</v>
      </c>
      <c r="G4361" s="36" t="s">
        <v>4456</v>
      </c>
      <c r="H4361" s="36" t="s">
        <v>3741</v>
      </c>
      <c r="I4361" s="36" t="s">
        <v>3461</v>
      </c>
      <c r="J4361" s="36">
        <f t="shared" si="573"/>
        <v>40.18333333333333</v>
      </c>
      <c r="K4361" s="36">
        <f t="shared" si="574"/>
        <v>116.26666666666667</v>
      </c>
      <c r="L4361" s="36">
        <v>69</v>
      </c>
      <c r="R4361" s="51" t="s">
        <v>1847</v>
      </c>
      <c r="S4361" s="51" t="s">
        <v>1728</v>
      </c>
      <c r="T4361" s="51"/>
      <c r="U4361" s="51" t="s">
        <v>4464</v>
      </c>
      <c r="V4361" s="51" t="s">
        <v>4462</v>
      </c>
      <c r="W4361" s="51" t="s">
        <v>1720</v>
      </c>
      <c r="X4361" s="51" t="s">
        <v>4462</v>
      </c>
      <c r="Y4361" s="51" t="s">
        <v>4462</v>
      </c>
      <c r="AA4361" s="331">
        <v>76</v>
      </c>
      <c r="AB4361" s="331">
        <v>23</v>
      </c>
      <c r="AC4361" s="36" t="s">
        <v>175</v>
      </c>
      <c r="AD4361" s="36">
        <v>7.2</v>
      </c>
      <c r="AE4361" s="36">
        <v>2.12</v>
      </c>
      <c r="AG4361" s="36" t="s">
        <v>4474</v>
      </c>
      <c r="AH4361" s="36" t="s">
        <v>132</v>
      </c>
      <c r="AI4361" s="36" t="s">
        <v>1581</v>
      </c>
      <c r="AJ4361" s="36" t="s">
        <v>242</v>
      </c>
      <c r="AK4361" s="36" t="s">
        <v>229</v>
      </c>
      <c r="AW4361" s="36" t="s">
        <v>160</v>
      </c>
      <c r="AX4361" s="36">
        <v>3</v>
      </c>
      <c r="AZ4361" s="36" t="s">
        <v>141</v>
      </c>
      <c r="BE4361" s="36" t="s">
        <v>4472</v>
      </c>
      <c r="BP4361" s="407"/>
      <c r="BQ4361" s="407"/>
      <c r="BU4361" s="407"/>
      <c r="BV4361" s="407"/>
      <c r="BZ4361" s="407"/>
      <c r="CA4361" s="407"/>
      <c r="CE4361" s="560"/>
      <c r="CF4361" s="560"/>
      <c r="CG4361" s="560"/>
      <c r="CH4361" s="560"/>
      <c r="HJ4361" s="36">
        <v>23.57</v>
      </c>
      <c r="HK4361" s="36">
        <v>77</v>
      </c>
      <c r="HL4361" s="36">
        <v>5</v>
      </c>
      <c r="HM4361" s="36">
        <v>5</v>
      </c>
      <c r="HN4361" s="36" t="s">
        <v>569</v>
      </c>
      <c r="JD4361" s="230"/>
    </row>
    <row r="4362" spans="1:264" s="36" customFormat="1" x14ac:dyDescent="0.25">
      <c r="A4362" s="36">
        <v>191</v>
      </c>
      <c r="B4362" s="51" t="s">
        <v>4468</v>
      </c>
      <c r="C4362" s="36" t="s">
        <v>4454</v>
      </c>
      <c r="D4362" s="36" t="s">
        <v>4455</v>
      </c>
      <c r="E4362" s="36">
        <v>2015</v>
      </c>
      <c r="F4362" s="36">
        <v>2009</v>
      </c>
      <c r="G4362" s="36" t="s">
        <v>4456</v>
      </c>
      <c r="H4362" s="36" t="s">
        <v>3741</v>
      </c>
      <c r="I4362" s="36" t="s">
        <v>3461</v>
      </c>
      <c r="J4362" s="36">
        <f t="shared" si="573"/>
        <v>40.18333333333333</v>
      </c>
      <c r="K4362" s="36">
        <f t="shared" si="574"/>
        <v>116.26666666666667</v>
      </c>
      <c r="L4362" s="36">
        <v>69</v>
      </c>
      <c r="R4362" s="51" t="s">
        <v>1847</v>
      </c>
      <c r="S4362" s="51" t="s">
        <v>1728</v>
      </c>
      <c r="T4362" s="51"/>
      <c r="U4362" s="51" t="s">
        <v>4464</v>
      </c>
      <c r="V4362" s="51" t="s">
        <v>4463</v>
      </c>
      <c r="W4362" s="51" t="s">
        <v>1720</v>
      </c>
      <c r="X4362" s="51" t="s">
        <v>4463</v>
      </c>
      <c r="Y4362" s="51" t="s">
        <v>4463</v>
      </c>
      <c r="AA4362" s="331">
        <v>76</v>
      </c>
      <c r="AB4362" s="331">
        <v>23</v>
      </c>
      <c r="AC4362" s="36" t="s">
        <v>175</v>
      </c>
      <c r="AD4362" s="36">
        <v>7.2</v>
      </c>
      <c r="AE4362" s="36">
        <v>2.12</v>
      </c>
      <c r="AG4362" s="36" t="s">
        <v>4474</v>
      </c>
      <c r="AH4362" s="36" t="s">
        <v>132</v>
      </c>
      <c r="AI4362" s="36" t="s">
        <v>1581</v>
      </c>
      <c r="AJ4362" s="36" t="s">
        <v>242</v>
      </c>
      <c r="AK4362" s="36" t="s">
        <v>229</v>
      </c>
      <c r="AW4362" s="36" t="s">
        <v>160</v>
      </c>
      <c r="AX4362" s="36">
        <v>3</v>
      </c>
      <c r="AZ4362" s="36" t="s">
        <v>141</v>
      </c>
      <c r="BE4362" s="36" t="s">
        <v>4472</v>
      </c>
      <c r="BP4362" s="407"/>
      <c r="BQ4362" s="407"/>
      <c r="BU4362" s="407"/>
      <c r="BV4362" s="407"/>
      <c r="BZ4362" s="407"/>
      <c r="CA4362" s="407"/>
      <c r="CE4362" s="560"/>
      <c r="CF4362" s="560"/>
      <c r="CG4362" s="560"/>
      <c r="CH4362" s="560"/>
      <c r="HJ4362" s="36">
        <v>24.81</v>
      </c>
      <c r="HK4362" s="36">
        <v>25</v>
      </c>
      <c r="HL4362" s="36">
        <v>5</v>
      </c>
      <c r="HM4362" s="36">
        <v>5</v>
      </c>
      <c r="HN4362" s="36" t="s">
        <v>569</v>
      </c>
      <c r="JD4362" s="230"/>
    </row>
    <row r="4363" spans="1:264" s="126" customFormat="1" x14ac:dyDescent="0.25">
      <c r="A4363" s="126">
        <v>191</v>
      </c>
      <c r="B4363" s="478" t="s">
        <v>4459</v>
      </c>
      <c r="C4363" s="126" t="s">
        <v>4454</v>
      </c>
      <c r="D4363" s="126" t="s">
        <v>4455</v>
      </c>
      <c r="E4363" s="126">
        <v>2015</v>
      </c>
      <c r="F4363" s="126">
        <v>2009</v>
      </c>
      <c r="G4363" s="126" t="s">
        <v>4456</v>
      </c>
      <c r="H4363" s="126" t="s">
        <v>3741</v>
      </c>
      <c r="I4363" s="126" t="s">
        <v>3461</v>
      </c>
      <c r="J4363" s="126">
        <f t="shared" si="573"/>
        <v>40.18333333333333</v>
      </c>
      <c r="K4363" s="126">
        <f t="shared" si="574"/>
        <v>116.26666666666667</v>
      </c>
      <c r="L4363" s="126">
        <v>69</v>
      </c>
      <c r="R4363" s="478" t="s">
        <v>1847</v>
      </c>
      <c r="S4363" s="478" t="s">
        <v>1728</v>
      </c>
      <c r="T4363" s="478"/>
      <c r="U4363" s="478" t="s">
        <v>4464</v>
      </c>
      <c r="V4363" s="478" t="s">
        <v>1389</v>
      </c>
      <c r="W4363" s="478" t="s">
        <v>1720</v>
      </c>
      <c r="X4363" s="478" t="s">
        <v>1389</v>
      </c>
      <c r="Y4363" s="478" t="s">
        <v>1389</v>
      </c>
      <c r="AA4363" s="479">
        <v>76</v>
      </c>
      <c r="AB4363" s="479">
        <v>23</v>
      </c>
      <c r="AC4363" s="126" t="s">
        <v>175</v>
      </c>
      <c r="AD4363" s="126">
        <v>7.2</v>
      </c>
      <c r="AE4363" s="126">
        <v>2.12</v>
      </c>
      <c r="AG4363" s="126" t="s">
        <v>4474</v>
      </c>
      <c r="AH4363" s="126" t="s">
        <v>132</v>
      </c>
      <c r="AI4363" s="126" t="s">
        <v>1581</v>
      </c>
      <c r="AJ4363" s="126" t="s">
        <v>242</v>
      </c>
      <c r="AK4363" s="126" t="s">
        <v>229</v>
      </c>
      <c r="AW4363" s="126" t="s">
        <v>160</v>
      </c>
      <c r="AX4363" s="126">
        <v>3</v>
      </c>
      <c r="AZ4363" s="126" t="s">
        <v>141</v>
      </c>
      <c r="BE4363" s="126" t="s">
        <v>4473</v>
      </c>
      <c r="BP4363" s="481"/>
      <c r="BQ4363" s="481"/>
      <c r="BU4363" s="481"/>
      <c r="BV4363" s="481"/>
      <c r="BZ4363" s="481"/>
      <c r="CA4363" s="481"/>
      <c r="CE4363" s="605"/>
      <c r="CF4363" s="605"/>
      <c r="CG4363" s="605"/>
      <c r="CH4363" s="605"/>
      <c r="HJ4363" s="126">
        <v>325.68</v>
      </c>
      <c r="HK4363" s="126">
        <v>308</v>
      </c>
      <c r="HL4363" s="126">
        <f>364-HJ4363</f>
        <v>38.319999999999993</v>
      </c>
      <c r="HM4363" s="126">
        <f>364-HK4363</f>
        <v>56</v>
      </c>
      <c r="HN4363" s="126" t="s">
        <v>569</v>
      </c>
      <c r="JD4363" s="480"/>
    </row>
    <row r="4364" spans="1:264" s="126" customFormat="1" x14ac:dyDescent="0.25">
      <c r="A4364" s="126">
        <v>191</v>
      </c>
      <c r="B4364" s="478" t="s">
        <v>4460</v>
      </c>
      <c r="C4364" s="126" t="s">
        <v>4454</v>
      </c>
      <c r="D4364" s="126" t="s">
        <v>4455</v>
      </c>
      <c r="E4364" s="126">
        <v>2015</v>
      </c>
      <c r="F4364" s="126">
        <v>2009</v>
      </c>
      <c r="G4364" s="126" t="s">
        <v>4456</v>
      </c>
      <c r="H4364" s="126" t="s">
        <v>3741</v>
      </c>
      <c r="I4364" s="126" t="s">
        <v>3461</v>
      </c>
      <c r="J4364" s="126">
        <f t="shared" si="573"/>
        <v>40.18333333333333</v>
      </c>
      <c r="K4364" s="126">
        <f t="shared" si="574"/>
        <v>116.26666666666667</v>
      </c>
      <c r="L4364" s="126">
        <v>69</v>
      </c>
      <c r="R4364" s="478" t="s">
        <v>1847</v>
      </c>
      <c r="S4364" s="478" t="s">
        <v>1728</v>
      </c>
      <c r="T4364" s="478"/>
      <c r="U4364" s="478" t="s">
        <v>4464</v>
      </c>
      <c r="V4364" s="478" t="s">
        <v>1402</v>
      </c>
      <c r="W4364" s="478" t="s">
        <v>1720</v>
      </c>
      <c r="X4364" s="478" t="s">
        <v>1402</v>
      </c>
      <c r="Y4364" s="478" t="s">
        <v>1402</v>
      </c>
      <c r="AA4364" s="479">
        <v>76</v>
      </c>
      <c r="AB4364" s="479">
        <v>23</v>
      </c>
      <c r="AC4364" s="126" t="s">
        <v>175</v>
      </c>
      <c r="AD4364" s="126">
        <v>7.2</v>
      </c>
      <c r="AE4364" s="126">
        <v>2.12</v>
      </c>
      <c r="AG4364" s="126" t="s">
        <v>4474</v>
      </c>
      <c r="AH4364" s="126" t="s">
        <v>132</v>
      </c>
      <c r="AI4364" s="126" t="s">
        <v>1581</v>
      </c>
      <c r="AJ4364" s="126" t="s">
        <v>242</v>
      </c>
      <c r="AK4364" s="126" t="s">
        <v>229</v>
      </c>
      <c r="AW4364" s="126" t="s">
        <v>160</v>
      </c>
      <c r="AX4364" s="126">
        <v>3</v>
      </c>
      <c r="AZ4364" s="126" t="s">
        <v>141</v>
      </c>
      <c r="BE4364" s="126" t="s">
        <v>4473</v>
      </c>
      <c r="BP4364" s="481"/>
      <c r="BQ4364" s="481"/>
      <c r="BU4364" s="481"/>
      <c r="BV4364" s="481"/>
      <c r="BZ4364" s="481"/>
      <c r="CA4364" s="481"/>
      <c r="CE4364" s="605"/>
      <c r="CF4364" s="605"/>
      <c r="CG4364" s="605"/>
      <c r="CH4364" s="605"/>
      <c r="HJ4364" s="126">
        <v>103.94</v>
      </c>
      <c r="HK4364" s="126">
        <v>136</v>
      </c>
      <c r="HL4364" s="126">
        <f>175-HJ4364</f>
        <v>71.06</v>
      </c>
      <c r="HM4364" s="126">
        <f>175-HK4364</f>
        <v>39</v>
      </c>
      <c r="HN4364" s="126" t="s">
        <v>569</v>
      </c>
      <c r="JD4364" s="480"/>
    </row>
    <row r="4365" spans="1:264" s="126" customFormat="1" x14ac:dyDescent="0.25">
      <c r="A4365" s="126">
        <v>191</v>
      </c>
      <c r="B4365" s="478" t="s">
        <v>4465</v>
      </c>
      <c r="C4365" s="126" t="s">
        <v>4454</v>
      </c>
      <c r="D4365" s="126" t="s">
        <v>4455</v>
      </c>
      <c r="E4365" s="126">
        <v>2015</v>
      </c>
      <c r="F4365" s="126">
        <v>2009</v>
      </c>
      <c r="G4365" s="126" t="s">
        <v>4456</v>
      </c>
      <c r="H4365" s="126" t="s">
        <v>3741</v>
      </c>
      <c r="I4365" s="126" t="s">
        <v>3461</v>
      </c>
      <c r="J4365" s="126">
        <f t="shared" si="573"/>
        <v>40.18333333333333</v>
      </c>
      <c r="K4365" s="126">
        <f t="shared" si="574"/>
        <v>116.26666666666667</v>
      </c>
      <c r="L4365" s="126">
        <v>69</v>
      </c>
      <c r="R4365" s="478" t="s">
        <v>1847</v>
      </c>
      <c r="S4365" s="478" t="s">
        <v>1728</v>
      </c>
      <c r="T4365" s="478"/>
      <c r="U4365" s="478" t="s">
        <v>4464</v>
      </c>
      <c r="V4365" s="478" t="s">
        <v>1403</v>
      </c>
      <c r="W4365" s="478" t="s">
        <v>1720</v>
      </c>
      <c r="X4365" s="478" t="s">
        <v>1403</v>
      </c>
      <c r="Y4365" s="478" t="s">
        <v>1403</v>
      </c>
      <c r="AA4365" s="479">
        <v>76</v>
      </c>
      <c r="AB4365" s="479">
        <v>23</v>
      </c>
      <c r="AC4365" s="126" t="s">
        <v>175</v>
      </c>
      <c r="AD4365" s="126">
        <v>7.2</v>
      </c>
      <c r="AE4365" s="126">
        <v>2.12</v>
      </c>
      <c r="AG4365" s="126" t="s">
        <v>4474</v>
      </c>
      <c r="AH4365" s="126" t="s">
        <v>132</v>
      </c>
      <c r="AI4365" s="126" t="s">
        <v>1581</v>
      </c>
      <c r="AJ4365" s="126" t="s">
        <v>242</v>
      </c>
      <c r="AK4365" s="126" t="s">
        <v>229</v>
      </c>
      <c r="AW4365" s="126" t="s">
        <v>160</v>
      </c>
      <c r="AX4365" s="126">
        <v>3</v>
      </c>
      <c r="AZ4365" s="126" t="s">
        <v>141</v>
      </c>
      <c r="BE4365" s="126" t="s">
        <v>4473</v>
      </c>
      <c r="BP4365" s="481"/>
      <c r="BQ4365" s="481"/>
      <c r="BU4365" s="481"/>
      <c r="BV4365" s="481"/>
      <c r="BZ4365" s="481"/>
      <c r="CA4365" s="481"/>
      <c r="CE4365" s="605"/>
      <c r="CF4365" s="605"/>
      <c r="CG4365" s="605"/>
      <c r="CH4365" s="605"/>
      <c r="HJ4365" s="126">
        <v>104</v>
      </c>
      <c r="HK4365" s="126">
        <v>94</v>
      </c>
      <c r="HL4365" s="126">
        <f>124-HJ4365</f>
        <v>20</v>
      </c>
      <c r="HM4365" s="126">
        <f>124-HK4365</f>
        <v>30</v>
      </c>
      <c r="HN4365" s="126" t="s">
        <v>569</v>
      </c>
      <c r="JD4365" s="480"/>
    </row>
    <row r="4366" spans="1:264" s="126" customFormat="1" x14ac:dyDescent="0.25">
      <c r="A4366" s="126">
        <v>191</v>
      </c>
      <c r="B4366" s="478" t="s">
        <v>4466</v>
      </c>
      <c r="C4366" s="126" t="s">
        <v>4454</v>
      </c>
      <c r="D4366" s="126" t="s">
        <v>4455</v>
      </c>
      <c r="E4366" s="126">
        <v>2015</v>
      </c>
      <c r="F4366" s="126">
        <v>2009</v>
      </c>
      <c r="G4366" s="126" t="s">
        <v>4456</v>
      </c>
      <c r="H4366" s="126" t="s">
        <v>3741</v>
      </c>
      <c r="I4366" s="126" t="s">
        <v>3461</v>
      </c>
      <c r="J4366" s="126">
        <f t="shared" si="573"/>
        <v>40.18333333333333</v>
      </c>
      <c r="K4366" s="126">
        <f t="shared" si="574"/>
        <v>116.26666666666667</v>
      </c>
      <c r="L4366" s="126">
        <v>69</v>
      </c>
      <c r="R4366" s="478" t="s">
        <v>1847</v>
      </c>
      <c r="S4366" s="478" t="s">
        <v>1728</v>
      </c>
      <c r="T4366" s="478"/>
      <c r="U4366" s="478" t="s">
        <v>4464</v>
      </c>
      <c r="V4366" s="478" t="s">
        <v>1415</v>
      </c>
      <c r="W4366" s="478" t="s">
        <v>1720</v>
      </c>
      <c r="X4366" s="478" t="s">
        <v>1415</v>
      </c>
      <c r="Y4366" s="478" t="s">
        <v>1415</v>
      </c>
      <c r="AA4366" s="479">
        <v>76</v>
      </c>
      <c r="AB4366" s="479">
        <v>23</v>
      </c>
      <c r="AC4366" s="126" t="s">
        <v>175</v>
      </c>
      <c r="AD4366" s="126">
        <v>7.2</v>
      </c>
      <c r="AE4366" s="126">
        <v>2.12</v>
      </c>
      <c r="AG4366" s="126" t="s">
        <v>4474</v>
      </c>
      <c r="AH4366" s="126" t="s">
        <v>132</v>
      </c>
      <c r="AI4366" s="126" t="s">
        <v>1581</v>
      </c>
      <c r="AJ4366" s="126" t="s">
        <v>242</v>
      </c>
      <c r="AK4366" s="126" t="s">
        <v>229</v>
      </c>
      <c r="AW4366" s="126" t="s">
        <v>160</v>
      </c>
      <c r="AX4366" s="126">
        <v>3</v>
      </c>
      <c r="AZ4366" s="126" t="s">
        <v>141</v>
      </c>
      <c r="BE4366" s="126" t="s">
        <v>4473</v>
      </c>
      <c r="BP4366" s="481"/>
      <c r="BQ4366" s="481"/>
      <c r="BU4366" s="481"/>
      <c r="BV4366" s="481"/>
      <c r="BZ4366" s="481"/>
      <c r="CA4366" s="481"/>
      <c r="CE4366" s="605"/>
      <c r="CF4366" s="605"/>
      <c r="CG4366" s="605"/>
      <c r="CH4366" s="605"/>
      <c r="HJ4366" s="126">
        <v>76.900000000000006</v>
      </c>
      <c r="HK4366" s="126">
        <v>74.400000000000006</v>
      </c>
      <c r="HL4366" s="126">
        <f>89-HJ4366</f>
        <v>12.099999999999994</v>
      </c>
      <c r="HM4366" s="126">
        <f>89-HK4366</f>
        <v>14.599999999999994</v>
      </c>
      <c r="HN4366" s="126" t="s">
        <v>569</v>
      </c>
      <c r="JD4366" s="480"/>
    </row>
    <row r="4367" spans="1:264" s="126" customFormat="1" x14ac:dyDescent="0.25">
      <c r="A4367" s="126">
        <v>191</v>
      </c>
      <c r="B4367" s="478" t="s">
        <v>4467</v>
      </c>
      <c r="C4367" s="126" t="s">
        <v>4454</v>
      </c>
      <c r="D4367" s="126" t="s">
        <v>4455</v>
      </c>
      <c r="E4367" s="126">
        <v>2015</v>
      </c>
      <c r="F4367" s="126">
        <v>2009</v>
      </c>
      <c r="G4367" s="126" t="s">
        <v>4456</v>
      </c>
      <c r="H4367" s="126" t="s">
        <v>3741</v>
      </c>
      <c r="I4367" s="126" t="s">
        <v>3461</v>
      </c>
      <c r="J4367" s="126">
        <f t="shared" si="573"/>
        <v>40.18333333333333</v>
      </c>
      <c r="K4367" s="126">
        <f t="shared" si="574"/>
        <v>116.26666666666667</v>
      </c>
      <c r="L4367" s="126">
        <v>69</v>
      </c>
      <c r="R4367" s="478" t="s">
        <v>1847</v>
      </c>
      <c r="S4367" s="478" t="s">
        <v>1728</v>
      </c>
      <c r="T4367" s="478"/>
      <c r="U4367" s="478" t="s">
        <v>4464</v>
      </c>
      <c r="V4367" s="478" t="s">
        <v>4462</v>
      </c>
      <c r="W4367" s="478" t="s">
        <v>1720</v>
      </c>
      <c r="X4367" s="478" t="s">
        <v>4462</v>
      </c>
      <c r="Y4367" s="478" t="s">
        <v>4462</v>
      </c>
      <c r="AA4367" s="479">
        <v>76</v>
      </c>
      <c r="AB4367" s="479">
        <v>23</v>
      </c>
      <c r="AC4367" s="126" t="s">
        <v>175</v>
      </c>
      <c r="AD4367" s="126">
        <v>7.2</v>
      </c>
      <c r="AE4367" s="126">
        <v>2.12</v>
      </c>
      <c r="AG4367" s="126" t="s">
        <v>4474</v>
      </c>
      <c r="AH4367" s="126" t="s">
        <v>132</v>
      </c>
      <c r="AI4367" s="126" t="s">
        <v>1581</v>
      </c>
      <c r="AJ4367" s="126" t="s">
        <v>242</v>
      </c>
      <c r="AK4367" s="126" t="s">
        <v>229</v>
      </c>
      <c r="AW4367" s="126" t="s">
        <v>160</v>
      </c>
      <c r="AX4367" s="126">
        <v>3</v>
      </c>
      <c r="AZ4367" s="126" t="s">
        <v>141</v>
      </c>
      <c r="BE4367" s="126" t="s">
        <v>4473</v>
      </c>
      <c r="BP4367" s="481"/>
      <c r="BQ4367" s="481"/>
      <c r="BU4367" s="481"/>
      <c r="BV4367" s="481"/>
      <c r="BZ4367" s="481"/>
      <c r="CA4367" s="481"/>
      <c r="CE4367" s="605"/>
      <c r="CF4367" s="605"/>
      <c r="CG4367" s="605"/>
      <c r="CH4367" s="605"/>
      <c r="HJ4367" s="126">
        <v>44.73</v>
      </c>
      <c r="HK4367" s="126">
        <v>70.900000000000006</v>
      </c>
      <c r="HL4367" s="126">
        <f>92-HJ4367</f>
        <v>47.27</v>
      </c>
      <c r="HM4367" s="126">
        <f>92-HK4367</f>
        <v>21.099999999999994</v>
      </c>
      <c r="HN4367" s="126" t="s">
        <v>569</v>
      </c>
      <c r="JD4367" s="480"/>
    </row>
    <row r="4368" spans="1:264" s="126" customFormat="1" x14ac:dyDescent="0.25">
      <c r="A4368" s="126">
        <v>191</v>
      </c>
      <c r="B4368" s="478" t="s">
        <v>4468</v>
      </c>
      <c r="C4368" s="126" t="s">
        <v>4454</v>
      </c>
      <c r="D4368" s="126" t="s">
        <v>4455</v>
      </c>
      <c r="E4368" s="126">
        <v>2015</v>
      </c>
      <c r="F4368" s="126">
        <v>2009</v>
      </c>
      <c r="G4368" s="126" t="s">
        <v>4456</v>
      </c>
      <c r="H4368" s="126" t="s">
        <v>3741</v>
      </c>
      <c r="I4368" s="126" t="s">
        <v>3461</v>
      </c>
      <c r="J4368" s="126">
        <f t="shared" si="573"/>
        <v>40.18333333333333</v>
      </c>
      <c r="K4368" s="126">
        <f t="shared" si="574"/>
        <v>116.26666666666667</v>
      </c>
      <c r="L4368" s="126">
        <v>69</v>
      </c>
      <c r="R4368" s="478" t="s">
        <v>1847</v>
      </c>
      <c r="S4368" s="478" t="s">
        <v>1728</v>
      </c>
      <c r="T4368" s="478"/>
      <c r="U4368" s="478" t="s">
        <v>4464</v>
      </c>
      <c r="V4368" s="478" t="s">
        <v>4463</v>
      </c>
      <c r="W4368" s="478" t="s">
        <v>1720</v>
      </c>
      <c r="X4368" s="478" t="s">
        <v>4463</v>
      </c>
      <c r="Y4368" s="478" t="s">
        <v>4463</v>
      </c>
      <c r="AA4368" s="479">
        <v>76</v>
      </c>
      <c r="AB4368" s="479">
        <v>23</v>
      </c>
      <c r="AC4368" s="126" t="s">
        <v>175</v>
      </c>
      <c r="AD4368" s="126">
        <v>7.2</v>
      </c>
      <c r="AE4368" s="126">
        <v>2.12</v>
      </c>
      <c r="AG4368" s="126" t="s">
        <v>4474</v>
      </c>
      <c r="AH4368" s="126" t="s">
        <v>132</v>
      </c>
      <c r="AI4368" s="126" t="s">
        <v>1581</v>
      </c>
      <c r="AJ4368" s="126" t="s">
        <v>242</v>
      </c>
      <c r="AK4368" s="126" t="s">
        <v>229</v>
      </c>
      <c r="AW4368" s="126" t="s">
        <v>160</v>
      </c>
      <c r="AX4368" s="126">
        <v>3</v>
      </c>
      <c r="AZ4368" s="126" t="s">
        <v>141</v>
      </c>
      <c r="BE4368" s="126" t="s">
        <v>4473</v>
      </c>
      <c r="BP4368" s="481"/>
      <c r="BQ4368" s="481"/>
      <c r="BU4368" s="481"/>
      <c r="BV4368" s="481"/>
      <c r="BZ4368" s="481"/>
      <c r="CA4368" s="481"/>
      <c r="CE4368" s="605"/>
      <c r="CF4368" s="605"/>
      <c r="CG4368" s="605"/>
      <c r="CH4368" s="605"/>
      <c r="HJ4368" s="126">
        <v>87.32</v>
      </c>
      <c r="HK4368" s="126">
        <v>81</v>
      </c>
      <c r="HL4368" s="126">
        <f>96-HJ4368</f>
        <v>8.6800000000000068</v>
      </c>
      <c r="HM4368" s="126">
        <f>96-HK4368</f>
        <v>15</v>
      </c>
      <c r="HN4368" s="126" t="s">
        <v>569</v>
      </c>
      <c r="JD4368" s="480"/>
    </row>
    <row r="4369" spans="1:264" s="24" customFormat="1" x14ac:dyDescent="0.25">
      <c r="A4369" s="24">
        <v>192</v>
      </c>
      <c r="B4369" s="42" t="s">
        <v>4479</v>
      </c>
      <c r="C4369" s="24" t="s">
        <v>4475</v>
      </c>
      <c r="D4369" s="24" t="s">
        <v>4476</v>
      </c>
      <c r="E4369" s="24">
        <v>2015</v>
      </c>
      <c r="F4369" s="24">
        <v>2009</v>
      </c>
      <c r="G4369" s="24" t="s">
        <v>469</v>
      </c>
      <c r="H4369" s="24" t="s">
        <v>4477</v>
      </c>
      <c r="I4369" s="24" t="s">
        <v>3461</v>
      </c>
      <c r="J4369" s="24">
        <f t="shared" ref="J4369:J4400" si="575">35+12/60</f>
        <v>35.200000000000003</v>
      </c>
      <c r="K4369" s="24">
        <f t="shared" ref="K4369:K4400" si="576">107+44/60</f>
        <v>107.73333333333333</v>
      </c>
      <c r="L4369" s="24">
        <v>1220</v>
      </c>
      <c r="O4369" s="24">
        <v>487.3</v>
      </c>
      <c r="P4369" s="24">
        <v>589</v>
      </c>
      <c r="R4369" s="42" t="s">
        <v>1847</v>
      </c>
      <c r="S4369" s="42" t="s">
        <v>1722</v>
      </c>
      <c r="T4369" s="42" t="s">
        <v>1110</v>
      </c>
      <c r="U4369" s="42" t="s">
        <v>4478</v>
      </c>
      <c r="V4369" s="42" t="s">
        <v>1379</v>
      </c>
      <c r="W4369" s="42" t="s">
        <v>1715</v>
      </c>
      <c r="X4369" s="42" t="s">
        <v>1379</v>
      </c>
      <c r="Y4369" s="42" t="s">
        <v>1379</v>
      </c>
      <c r="AA4369" s="321"/>
      <c r="AB4369" s="321"/>
      <c r="AC4369" s="24" t="s">
        <v>450</v>
      </c>
      <c r="AD4369" s="24">
        <v>8.11</v>
      </c>
      <c r="AE4369" s="24">
        <v>1.2</v>
      </c>
      <c r="AH4369" s="24" t="s">
        <v>4480</v>
      </c>
      <c r="AI4369" s="24" t="s">
        <v>577</v>
      </c>
      <c r="AJ4369" s="24" t="s">
        <v>116</v>
      </c>
      <c r="AK4369" s="24" t="s">
        <v>116</v>
      </c>
      <c r="AW4369" s="24" t="s">
        <v>160</v>
      </c>
      <c r="AX4369" s="24">
        <v>3</v>
      </c>
      <c r="AZ4369" s="24" t="s">
        <v>2121</v>
      </c>
      <c r="BF4369" s="24">
        <v>8474</v>
      </c>
      <c r="BG4369" s="24">
        <v>6825</v>
      </c>
      <c r="BK4369" s="24">
        <v>3686</v>
      </c>
      <c r="BL4369" s="24">
        <v>3158</v>
      </c>
      <c r="BP4369" s="395"/>
      <c r="BQ4369" s="395"/>
      <c r="BU4369" s="395"/>
      <c r="BV4369" s="395"/>
      <c r="BZ4369" s="395"/>
      <c r="CA4369" s="395"/>
      <c r="CE4369" s="548"/>
      <c r="CF4369" s="548"/>
      <c r="CG4369" s="548"/>
      <c r="CH4369" s="548"/>
      <c r="JD4369" s="249"/>
    </row>
    <row r="4370" spans="1:264" s="24" customFormat="1" x14ac:dyDescent="0.25">
      <c r="A4370" s="24">
        <v>192</v>
      </c>
      <c r="B4370" s="42" t="s">
        <v>4479</v>
      </c>
      <c r="C4370" s="24" t="s">
        <v>4475</v>
      </c>
      <c r="D4370" s="24" t="s">
        <v>4476</v>
      </c>
      <c r="E4370" s="24">
        <v>2015</v>
      </c>
      <c r="F4370" s="24">
        <v>2009</v>
      </c>
      <c r="G4370" s="24" t="s">
        <v>469</v>
      </c>
      <c r="H4370" s="24" t="s">
        <v>4477</v>
      </c>
      <c r="I4370" s="24" t="s">
        <v>3461</v>
      </c>
      <c r="J4370" s="24">
        <f t="shared" si="575"/>
        <v>35.200000000000003</v>
      </c>
      <c r="K4370" s="24">
        <f t="shared" si="576"/>
        <v>107.73333333333333</v>
      </c>
      <c r="L4370" s="24">
        <v>1220</v>
      </c>
      <c r="O4370" s="24">
        <v>487.3</v>
      </c>
      <c r="P4370" s="24">
        <v>589</v>
      </c>
      <c r="R4370" s="42" t="s">
        <v>1847</v>
      </c>
      <c r="S4370" s="42" t="s">
        <v>1722</v>
      </c>
      <c r="T4370" s="42" t="s">
        <v>1110</v>
      </c>
      <c r="U4370" s="42" t="s">
        <v>4478</v>
      </c>
      <c r="V4370" s="42" t="s">
        <v>1379</v>
      </c>
      <c r="W4370" s="42" t="s">
        <v>1715</v>
      </c>
      <c r="X4370" s="42" t="s">
        <v>1379</v>
      </c>
      <c r="Y4370" s="42" t="s">
        <v>1379</v>
      </c>
      <c r="AA4370" s="321"/>
      <c r="AB4370" s="321"/>
      <c r="AC4370" s="24" t="s">
        <v>450</v>
      </c>
      <c r="AD4370" s="24">
        <v>8.11</v>
      </c>
      <c r="AE4370" s="24">
        <v>1.2</v>
      </c>
      <c r="AH4370" s="24" t="s">
        <v>158</v>
      </c>
      <c r="AI4370" s="24" t="s">
        <v>577</v>
      </c>
      <c r="AJ4370" s="24" t="s">
        <v>116</v>
      </c>
      <c r="AK4370" s="24" t="s">
        <v>116</v>
      </c>
      <c r="AW4370" s="24" t="s">
        <v>160</v>
      </c>
      <c r="AX4370" s="24">
        <v>3</v>
      </c>
      <c r="AZ4370" s="24" t="s">
        <v>2121</v>
      </c>
      <c r="BF4370" s="24">
        <v>8474</v>
      </c>
      <c r="BG4370" s="24">
        <v>6637</v>
      </c>
      <c r="BK4370" s="24">
        <v>3686</v>
      </c>
      <c r="BL4370" s="24">
        <v>2922</v>
      </c>
      <c r="BP4370" s="395"/>
      <c r="BQ4370" s="395"/>
      <c r="BU4370" s="395"/>
      <c r="BV4370" s="395"/>
      <c r="BZ4370" s="395"/>
      <c r="CA4370" s="395"/>
      <c r="CE4370" s="548"/>
      <c r="CF4370" s="548"/>
      <c r="CG4370" s="548"/>
      <c r="CH4370" s="548"/>
      <c r="JD4370" s="249"/>
    </row>
    <row r="4371" spans="1:264" s="24" customFormat="1" x14ac:dyDescent="0.25">
      <c r="A4371" s="24">
        <v>192</v>
      </c>
      <c r="B4371" s="42" t="s">
        <v>4479</v>
      </c>
      <c r="C4371" s="24" t="s">
        <v>4475</v>
      </c>
      <c r="D4371" s="24" t="s">
        <v>4476</v>
      </c>
      <c r="E4371" s="24">
        <v>2015</v>
      </c>
      <c r="F4371" s="24">
        <v>2009</v>
      </c>
      <c r="G4371" s="24" t="s">
        <v>469</v>
      </c>
      <c r="H4371" s="24" t="s">
        <v>4477</v>
      </c>
      <c r="I4371" s="24" t="s">
        <v>3461</v>
      </c>
      <c r="J4371" s="24">
        <f t="shared" si="575"/>
        <v>35.200000000000003</v>
      </c>
      <c r="K4371" s="24">
        <f t="shared" si="576"/>
        <v>107.73333333333333</v>
      </c>
      <c r="L4371" s="24">
        <v>1220</v>
      </c>
      <c r="O4371" s="24">
        <v>487.3</v>
      </c>
      <c r="P4371" s="24">
        <v>589</v>
      </c>
      <c r="R4371" s="42" t="s">
        <v>1847</v>
      </c>
      <c r="S4371" s="42" t="s">
        <v>1722</v>
      </c>
      <c r="T4371" s="42" t="s">
        <v>1110</v>
      </c>
      <c r="U4371" s="42" t="s">
        <v>4478</v>
      </c>
      <c r="V4371" s="42" t="s">
        <v>1379</v>
      </c>
      <c r="W4371" s="42" t="s">
        <v>1715</v>
      </c>
      <c r="X4371" s="42" t="s">
        <v>1379</v>
      </c>
      <c r="Y4371" s="42" t="s">
        <v>1379</v>
      </c>
      <c r="AA4371" s="321"/>
      <c r="AB4371" s="321"/>
      <c r="AC4371" s="24" t="s">
        <v>450</v>
      </c>
      <c r="AD4371" s="24">
        <v>8.11</v>
      </c>
      <c r="AE4371" s="24">
        <v>1.2</v>
      </c>
      <c r="AH4371" s="24" t="s">
        <v>4481</v>
      </c>
      <c r="AI4371" s="24" t="s">
        <v>577</v>
      </c>
      <c r="AJ4371" s="24" t="s">
        <v>116</v>
      </c>
      <c r="AK4371" s="24" t="s">
        <v>116</v>
      </c>
      <c r="AW4371" s="24" t="s">
        <v>160</v>
      </c>
      <c r="AX4371" s="24">
        <v>3</v>
      </c>
      <c r="AZ4371" s="24" t="s">
        <v>2121</v>
      </c>
      <c r="BF4371" s="24">
        <v>8474</v>
      </c>
      <c r="BG4371" s="24">
        <v>5853</v>
      </c>
      <c r="BK4371" s="24">
        <v>3686</v>
      </c>
      <c r="BL4371" s="24">
        <v>2651</v>
      </c>
      <c r="BP4371" s="395"/>
      <c r="BQ4371" s="395"/>
      <c r="BU4371" s="395"/>
      <c r="BV4371" s="395"/>
      <c r="BZ4371" s="395"/>
      <c r="CA4371" s="395"/>
      <c r="CE4371" s="548"/>
      <c r="CF4371" s="548"/>
      <c r="CG4371" s="548"/>
      <c r="CH4371" s="548"/>
      <c r="JD4371" s="249"/>
    </row>
    <row r="4372" spans="1:264" s="32" customFormat="1" x14ac:dyDescent="0.25">
      <c r="A4372" s="32">
        <v>192</v>
      </c>
      <c r="B4372" s="44" t="s">
        <v>4479</v>
      </c>
      <c r="C4372" s="32" t="s">
        <v>4475</v>
      </c>
      <c r="D4372" s="32" t="s">
        <v>4476</v>
      </c>
      <c r="E4372" s="32">
        <v>2015</v>
      </c>
      <c r="F4372" s="32">
        <v>2010</v>
      </c>
      <c r="G4372" s="32" t="s">
        <v>469</v>
      </c>
      <c r="H4372" s="32" t="s">
        <v>4477</v>
      </c>
      <c r="I4372" s="32" t="s">
        <v>3461</v>
      </c>
      <c r="J4372" s="32">
        <f t="shared" si="575"/>
        <v>35.200000000000003</v>
      </c>
      <c r="K4372" s="32">
        <f t="shared" si="576"/>
        <v>107.73333333333333</v>
      </c>
      <c r="L4372" s="32">
        <v>1220</v>
      </c>
      <c r="O4372" s="32">
        <v>475.5</v>
      </c>
      <c r="P4372" s="32">
        <v>589</v>
      </c>
      <c r="R4372" s="44" t="s">
        <v>1728</v>
      </c>
      <c r="S4372" s="44" t="s">
        <v>1722</v>
      </c>
      <c r="T4372" s="44" t="s">
        <v>1110</v>
      </c>
      <c r="U4372" s="44" t="s">
        <v>4478</v>
      </c>
      <c r="V4372" s="44" t="s">
        <v>1379</v>
      </c>
      <c r="W4372" s="44" t="s">
        <v>1715</v>
      </c>
      <c r="X4372" s="44" t="s">
        <v>1379</v>
      </c>
      <c r="Y4372" s="44" t="s">
        <v>1379</v>
      </c>
      <c r="AA4372" s="323"/>
      <c r="AB4372" s="323"/>
      <c r="AC4372" s="32" t="s">
        <v>450</v>
      </c>
      <c r="AD4372" s="32">
        <v>8.11</v>
      </c>
      <c r="AE4372" s="32">
        <v>1.2</v>
      </c>
      <c r="AH4372" s="32" t="s">
        <v>4480</v>
      </c>
      <c r="AI4372" s="32" t="s">
        <v>577</v>
      </c>
      <c r="AJ4372" s="32" t="s">
        <v>116</v>
      </c>
      <c r="AK4372" s="32" t="s">
        <v>116</v>
      </c>
      <c r="AW4372" s="32" t="s">
        <v>160</v>
      </c>
      <c r="AX4372" s="32">
        <v>3</v>
      </c>
      <c r="AZ4372" s="32" t="s">
        <v>2121</v>
      </c>
      <c r="BF4372" s="32">
        <v>6118</v>
      </c>
      <c r="BG4372" s="32">
        <v>6628</v>
      </c>
      <c r="BK4372" s="32">
        <v>2958</v>
      </c>
      <c r="BL4372" s="32">
        <v>3238</v>
      </c>
      <c r="BP4372" s="397"/>
      <c r="BQ4372" s="397"/>
      <c r="BU4372" s="397"/>
      <c r="BV4372" s="397"/>
      <c r="BZ4372" s="397"/>
      <c r="CA4372" s="397"/>
      <c r="CE4372" s="550"/>
      <c r="CF4372" s="550"/>
      <c r="CG4372" s="550"/>
      <c r="CH4372" s="550"/>
      <c r="JD4372" s="243"/>
    </row>
    <row r="4373" spans="1:264" s="32" customFormat="1" x14ac:dyDescent="0.25">
      <c r="A4373" s="32">
        <v>192</v>
      </c>
      <c r="B4373" s="44" t="s">
        <v>4479</v>
      </c>
      <c r="C4373" s="32" t="s">
        <v>4475</v>
      </c>
      <c r="D4373" s="32" t="s">
        <v>4476</v>
      </c>
      <c r="E4373" s="32">
        <v>2015</v>
      </c>
      <c r="F4373" s="32">
        <v>2010</v>
      </c>
      <c r="G4373" s="32" t="s">
        <v>469</v>
      </c>
      <c r="H4373" s="32" t="s">
        <v>4477</v>
      </c>
      <c r="I4373" s="32" t="s">
        <v>3461</v>
      </c>
      <c r="J4373" s="32">
        <f t="shared" si="575"/>
        <v>35.200000000000003</v>
      </c>
      <c r="K4373" s="32">
        <f t="shared" si="576"/>
        <v>107.73333333333333</v>
      </c>
      <c r="L4373" s="32">
        <v>1220</v>
      </c>
      <c r="O4373" s="32">
        <v>475.5</v>
      </c>
      <c r="P4373" s="32">
        <v>589</v>
      </c>
      <c r="R4373" s="44" t="s">
        <v>1728</v>
      </c>
      <c r="S4373" s="44" t="s">
        <v>1722</v>
      </c>
      <c r="T4373" s="44" t="s">
        <v>1110</v>
      </c>
      <c r="U4373" s="44" t="s">
        <v>4478</v>
      </c>
      <c r="V4373" s="44" t="s">
        <v>1379</v>
      </c>
      <c r="W4373" s="44" t="s">
        <v>1715</v>
      </c>
      <c r="X4373" s="44" t="s">
        <v>1379</v>
      </c>
      <c r="Y4373" s="44" t="s">
        <v>1379</v>
      </c>
      <c r="AA4373" s="323"/>
      <c r="AB4373" s="323"/>
      <c r="AC4373" s="32" t="s">
        <v>450</v>
      </c>
      <c r="AD4373" s="32">
        <v>8.11</v>
      </c>
      <c r="AE4373" s="32">
        <v>1.2</v>
      </c>
      <c r="AH4373" s="32" t="s">
        <v>158</v>
      </c>
      <c r="AI4373" s="32" t="s">
        <v>577</v>
      </c>
      <c r="AJ4373" s="32" t="s">
        <v>116</v>
      </c>
      <c r="AK4373" s="32" t="s">
        <v>116</v>
      </c>
      <c r="AW4373" s="32" t="s">
        <v>160</v>
      </c>
      <c r="AX4373" s="32">
        <v>3</v>
      </c>
      <c r="AZ4373" s="32" t="s">
        <v>2121</v>
      </c>
      <c r="BF4373" s="32">
        <v>6118</v>
      </c>
      <c r="BG4373" s="32">
        <v>6582</v>
      </c>
      <c r="BK4373" s="32">
        <v>2958</v>
      </c>
      <c r="BL4373" s="32">
        <v>3169</v>
      </c>
      <c r="BP4373" s="397"/>
      <c r="BQ4373" s="397"/>
      <c r="BU4373" s="397"/>
      <c r="BV4373" s="397"/>
      <c r="BZ4373" s="397"/>
      <c r="CA4373" s="397"/>
      <c r="CE4373" s="550"/>
      <c r="CF4373" s="550"/>
      <c r="CG4373" s="550"/>
      <c r="CH4373" s="550"/>
      <c r="JD4373" s="243"/>
    </row>
    <row r="4374" spans="1:264" s="32" customFormat="1" x14ac:dyDescent="0.25">
      <c r="A4374" s="32">
        <v>192</v>
      </c>
      <c r="B4374" s="44" t="s">
        <v>4479</v>
      </c>
      <c r="C4374" s="32" t="s">
        <v>4475</v>
      </c>
      <c r="D4374" s="32" t="s">
        <v>4476</v>
      </c>
      <c r="E4374" s="32">
        <v>2015</v>
      </c>
      <c r="F4374" s="32">
        <v>2010</v>
      </c>
      <c r="G4374" s="32" t="s">
        <v>469</v>
      </c>
      <c r="H4374" s="32" t="s">
        <v>4477</v>
      </c>
      <c r="I4374" s="32" t="s">
        <v>3461</v>
      </c>
      <c r="J4374" s="32">
        <f t="shared" si="575"/>
        <v>35.200000000000003</v>
      </c>
      <c r="K4374" s="32">
        <f t="shared" si="576"/>
        <v>107.73333333333333</v>
      </c>
      <c r="L4374" s="32">
        <v>1220</v>
      </c>
      <c r="O4374" s="32">
        <v>475.5</v>
      </c>
      <c r="P4374" s="32">
        <v>589</v>
      </c>
      <c r="R4374" s="44" t="s">
        <v>1728</v>
      </c>
      <c r="S4374" s="44" t="s">
        <v>1722</v>
      </c>
      <c r="T4374" s="44" t="s">
        <v>1110</v>
      </c>
      <c r="U4374" s="44" t="s">
        <v>4478</v>
      </c>
      <c r="V4374" s="44" t="s">
        <v>1379</v>
      </c>
      <c r="W4374" s="44" t="s">
        <v>1715</v>
      </c>
      <c r="X4374" s="44" t="s">
        <v>1379</v>
      </c>
      <c r="Y4374" s="44" t="s">
        <v>1379</v>
      </c>
      <c r="AA4374" s="323"/>
      <c r="AB4374" s="323"/>
      <c r="AC4374" s="32" t="s">
        <v>450</v>
      </c>
      <c r="AD4374" s="32">
        <v>8.11</v>
      </c>
      <c r="AE4374" s="32">
        <v>1.2</v>
      </c>
      <c r="AH4374" s="32" t="s">
        <v>4481</v>
      </c>
      <c r="AI4374" s="32" t="s">
        <v>577</v>
      </c>
      <c r="AJ4374" s="32" t="s">
        <v>116</v>
      </c>
      <c r="AK4374" s="32" t="s">
        <v>116</v>
      </c>
      <c r="AW4374" s="32" t="s">
        <v>160</v>
      </c>
      <c r="AX4374" s="32">
        <v>3</v>
      </c>
      <c r="AZ4374" s="32" t="s">
        <v>2121</v>
      </c>
      <c r="BF4374" s="32">
        <v>6118</v>
      </c>
      <c r="BG4374" s="32">
        <v>6246</v>
      </c>
      <c r="BK4374" s="32">
        <v>2958</v>
      </c>
      <c r="BL4374" s="32">
        <v>3144</v>
      </c>
      <c r="BP4374" s="397"/>
      <c r="BQ4374" s="397"/>
      <c r="BU4374" s="397"/>
      <c r="BV4374" s="397"/>
      <c r="BZ4374" s="397"/>
      <c r="CA4374" s="397"/>
      <c r="CE4374" s="550"/>
      <c r="CF4374" s="550"/>
      <c r="CG4374" s="550"/>
      <c r="CH4374" s="550"/>
      <c r="JD4374" s="243"/>
    </row>
    <row r="4375" spans="1:264" s="24" customFormat="1" x14ac:dyDescent="0.25">
      <c r="A4375" s="24">
        <v>192</v>
      </c>
      <c r="B4375" s="42" t="s">
        <v>4479</v>
      </c>
      <c r="C4375" s="24" t="s">
        <v>4475</v>
      </c>
      <c r="D4375" s="24" t="s">
        <v>4476</v>
      </c>
      <c r="E4375" s="24">
        <v>2015</v>
      </c>
      <c r="F4375" s="24">
        <v>2011</v>
      </c>
      <c r="G4375" s="24" t="s">
        <v>469</v>
      </c>
      <c r="H4375" s="24" t="s">
        <v>4477</v>
      </c>
      <c r="I4375" s="24" t="s">
        <v>3461</v>
      </c>
      <c r="J4375" s="24">
        <f t="shared" si="575"/>
        <v>35.200000000000003</v>
      </c>
      <c r="K4375" s="24">
        <f t="shared" si="576"/>
        <v>107.73333333333333</v>
      </c>
      <c r="L4375" s="24">
        <v>1220</v>
      </c>
      <c r="O4375" s="24">
        <v>664.5</v>
      </c>
      <c r="P4375" s="24">
        <v>589</v>
      </c>
      <c r="R4375" s="42" t="s">
        <v>1858</v>
      </c>
      <c r="S4375" s="42" t="s">
        <v>1722</v>
      </c>
      <c r="T4375" s="42" t="s">
        <v>1110</v>
      </c>
      <c r="U4375" s="42" t="s">
        <v>4478</v>
      </c>
      <c r="V4375" s="42" t="s">
        <v>1379</v>
      </c>
      <c r="W4375" s="42" t="s">
        <v>1715</v>
      </c>
      <c r="X4375" s="42" t="s">
        <v>1379</v>
      </c>
      <c r="Y4375" s="42" t="s">
        <v>1379</v>
      </c>
      <c r="AA4375" s="321"/>
      <c r="AB4375" s="321"/>
      <c r="AC4375" s="24" t="s">
        <v>450</v>
      </c>
      <c r="AD4375" s="24">
        <v>8.11</v>
      </c>
      <c r="AE4375" s="24">
        <v>1.2</v>
      </c>
      <c r="AH4375" s="24" t="s">
        <v>4480</v>
      </c>
      <c r="AI4375" s="24" t="s">
        <v>577</v>
      </c>
      <c r="AJ4375" s="24" t="s">
        <v>116</v>
      </c>
      <c r="AK4375" s="24" t="s">
        <v>116</v>
      </c>
      <c r="AW4375" s="24" t="s">
        <v>160</v>
      </c>
      <c r="AX4375" s="24">
        <v>3</v>
      </c>
      <c r="AZ4375" s="24" t="s">
        <v>2121</v>
      </c>
      <c r="BF4375" s="24">
        <v>5391</v>
      </c>
      <c r="BG4375" s="24">
        <v>7553</v>
      </c>
      <c r="BK4375" s="24">
        <v>3187</v>
      </c>
      <c r="BL4375" s="24">
        <v>4427</v>
      </c>
      <c r="BP4375" s="395"/>
      <c r="BQ4375" s="395"/>
      <c r="BU4375" s="395"/>
      <c r="BV4375" s="395"/>
      <c r="BZ4375" s="395"/>
      <c r="CA4375" s="395"/>
      <c r="CE4375" s="548"/>
      <c r="CF4375" s="548"/>
      <c r="CG4375" s="548"/>
      <c r="CH4375" s="548"/>
      <c r="JD4375" s="249"/>
    </row>
    <row r="4376" spans="1:264" s="24" customFormat="1" x14ac:dyDescent="0.25">
      <c r="A4376" s="24">
        <v>192</v>
      </c>
      <c r="B4376" s="42" t="s">
        <v>4479</v>
      </c>
      <c r="C4376" s="24" t="s">
        <v>4475</v>
      </c>
      <c r="D4376" s="24" t="s">
        <v>4476</v>
      </c>
      <c r="E4376" s="24">
        <v>2015</v>
      </c>
      <c r="F4376" s="24">
        <v>2011</v>
      </c>
      <c r="G4376" s="24" t="s">
        <v>469</v>
      </c>
      <c r="H4376" s="24" t="s">
        <v>4477</v>
      </c>
      <c r="I4376" s="24" t="s">
        <v>3461</v>
      </c>
      <c r="J4376" s="24">
        <f t="shared" si="575"/>
        <v>35.200000000000003</v>
      </c>
      <c r="K4376" s="24">
        <f t="shared" si="576"/>
        <v>107.73333333333333</v>
      </c>
      <c r="L4376" s="24">
        <v>1220</v>
      </c>
      <c r="O4376" s="24">
        <v>664.5</v>
      </c>
      <c r="P4376" s="24">
        <v>589</v>
      </c>
      <c r="R4376" s="42" t="s">
        <v>1858</v>
      </c>
      <c r="S4376" s="42" t="s">
        <v>1722</v>
      </c>
      <c r="T4376" s="42" t="s">
        <v>1110</v>
      </c>
      <c r="U4376" s="42" t="s">
        <v>4478</v>
      </c>
      <c r="V4376" s="42" t="s">
        <v>1379</v>
      </c>
      <c r="W4376" s="42" t="s">
        <v>1715</v>
      </c>
      <c r="X4376" s="42" t="s">
        <v>1379</v>
      </c>
      <c r="Y4376" s="42" t="s">
        <v>1379</v>
      </c>
      <c r="AA4376" s="321"/>
      <c r="AB4376" s="321"/>
      <c r="AC4376" s="24" t="s">
        <v>450</v>
      </c>
      <c r="AD4376" s="24">
        <v>8.11</v>
      </c>
      <c r="AE4376" s="24">
        <v>1.2</v>
      </c>
      <c r="AH4376" s="24" t="s">
        <v>158</v>
      </c>
      <c r="AI4376" s="24" t="s">
        <v>577</v>
      </c>
      <c r="AJ4376" s="24" t="s">
        <v>116</v>
      </c>
      <c r="AK4376" s="24" t="s">
        <v>116</v>
      </c>
      <c r="AW4376" s="24" t="s">
        <v>160</v>
      </c>
      <c r="AX4376" s="24">
        <v>3</v>
      </c>
      <c r="AZ4376" s="24" t="s">
        <v>2121</v>
      </c>
      <c r="BF4376" s="24">
        <v>5391</v>
      </c>
      <c r="BG4376" s="24">
        <v>6431</v>
      </c>
      <c r="BK4376" s="24">
        <v>3187</v>
      </c>
      <c r="BL4376" s="24">
        <v>3790</v>
      </c>
      <c r="BP4376" s="395"/>
      <c r="BQ4376" s="395"/>
      <c r="BU4376" s="395"/>
      <c r="BV4376" s="395"/>
      <c r="BZ4376" s="395"/>
      <c r="CA4376" s="395"/>
      <c r="CE4376" s="548"/>
      <c r="CF4376" s="548"/>
      <c r="CG4376" s="548"/>
      <c r="CH4376" s="548"/>
      <c r="JD4376" s="249"/>
    </row>
    <row r="4377" spans="1:264" s="24" customFormat="1" x14ac:dyDescent="0.25">
      <c r="A4377" s="24">
        <v>192</v>
      </c>
      <c r="B4377" s="42" t="s">
        <v>4479</v>
      </c>
      <c r="C4377" s="24" t="s">
        <v>4475</v>
      </c>
      <c r="D4377" s="24" t="s">
        <v>4476</v>
      </c>
      <c r="E4377" s="24">
        <v>2015</v>
      </c>
      <c r="F4377" s="24">
        <v>2011</v>
      </c>
      <c r="G4377" s="24" t="s">
        <v>469</v>
      </c>
      <c r="H4377" s="24" t="s">
        <v>4477</v>
      </c>
      <c r="I4377" s="24" t="s">
        <v>3461</v>
      </c>
      <c r="J4377" s="24">
        <f t="shared" si="575"/>
        <v>35.200000000000003</v>
      </c>
      <c r="K4377" s="24">
        <f t="shared" si="576"/>
        <v>107.73333333333333</v>
      </c>
      <c r="L4377" s="24">
        <v>1220</v>
      </c>
      <c r="O4377" s="24">
        <v>664.5</v>
      </c>
      <c r="P4377" s="24">
        <v>589</v>
      </c>
      <c r="R4377" s="42" t="s">
        <v>1858</v>
      </c>
      <c r="S4377" s="42" t="s">
        <v>1722</v>
      </c>
      <c r="T4377" s="42" t="s">
        <v>1110</v>
      </c>
      <c r="U4377" s="42" t="s">
        <v>4478</v>
      </c>
      <c r="V4377" s="42" t="s">
        <v>1379</v>
      </c>
      <c r="W4377" s="42" t="s">
        <v>1715</v>
      </c>
      <c r="X4377" s="42" t="s">
        <v>1379</v>
      </c>
      <c r="Y4377" s="42" t="s">
        <v>1379</v>
      </c>
      <c r="AA4377" s="321"/>
      <c r="AB4377" s="321"/>
      <c r="AC4377" s="24" t="s">
        <v>450</v>
      </c>
      <c r="AD4377" s="24">
        <v>8.11</v>
      </c>
      <c r="AE4377" s="24">
        <v>1.2</v>
      </c>
      <c r="AH4377" s="24" t="s">
        <v>4481</v>
      </c>
      <c r="AI4377" s="24" t="s">
        <v>577</v>
      </c>
      <c r="AJ4377" s="24" t="s">
        <v>116</v>
      </c>
      <c r="AK4377" s="24" t="s">
        <v>116</v>
      </c>
      <c r="AW4377" s="24" t="s">
        <v>160</v>
      </c>
      <c r="AX4377" s="24">
        <v>3</v>
      </c>
      <c r="AZ4377" s="24" t="s">
        <v>2121</v>
      </c>
      <c r="BF4377" s="24">
        <v>5391</v>
      </c>
      <c r="BG4377" s="24">
        <v>6486</v>
      </c>
      <c r="BK4377" s="24">
        <v>3187</v>
      </c>
      <c r="BL4377" s="24">
        <v>3832</v>
      </c>
      <c r="BP4377" s="395"/>
      <c r="BQ4377" s="395"/>
      <c r="BU4377" s="395"/>
      <c r="BV4377" s="395"/>
      <c r="BZ4377" s="395"/>
      <c r="CA4377" s="395"/>
      <c r="CE4377" s="548"/>
      <c r="CF4377" s="548"/>
      <c r="CG4377" s="548"/>
      <c r="CH4377" s="548"/>
      <c r="JD4377" s="249"/>
    </row>
    <row r="4378" spans="1:264" s="32" customFormat="1" x14ac:dyDescent="0.25">
      <c r="A4378" s="32">
        <v>192</v>
      </c>
      <c r="B4378" s="44" t="s">
        <v>4479</v>
      </c>
      <c r="C4378" s="32" t="s">
        <v>4475</v>
      </c>
      <c r="D4378" s="32" t="s">
        <v>4476</v>
      </c>
      <c r="E4378" s="32">
        <v>2015</v>
      </c>
      <c r="F4378" s="32">
        <v>2012</v>
      </c>
      <c r="G4378" s="32" t="s">
        <v>469</v>
      </c>
      <c r="H4378" s="32" t="s">
        <v>4477</v>
      </c>
      <c r="I4378" s="32" t="s">
        <v>3461</v>
      </c>
      <c r="J4378" s="32">
        <f t="shared" si="575"/>
        <v>35.200000000000003</v>
      </c>
      <c r="K4378" s="32">
        <f t="shared" si="576"/>
        <v>107.73333333333333</v>
      </c>
      <c r="L4378" s="32">
        <v>1220</v>
      </c>
      <c r="O4378" s="32">
        <v>722.2</v>
      </c>
      <c r="P4378" s="32">
        <v>589</v>
      </c>
      <c r="R4378" s="44" t="s">
        <v>1722</v>
      </c>
      <c r="S4378" s="44" t="s">
        <v>1722</v>
      </c>
      <c r="T4378" s="44" t="s">
        <v>1110</v>
      </c>
      <c r="U4378" s="44" t="s">
        <v>4478</v>
      </c>
      <c r="V4378" s="44" t="s">
        <v>1379</v>
      </c>
      <c r="W4378" s="44" t="s">
        <v>1715</v>
      </c>
      <c r="X4378" s="44" t="s">
        <v>1379</v>
      </c>
      <c r="Y4378" s="44" t="s">
        <v>1379</v>
      </c>
      <c r="AA4378" s="323"/>
      <c r="AB4378" s="323"/>
      <c r="AC4378" s="32" t="s">
        <v>450</v>
      </c>
      <c r="AD4378" s="32">
        <v>8.11</v>
      </c>
      <c r="AE4378" s="32">
        <v>1.2</v>
      </c>
      <c r="AH4378" s="32" t="s">
        <v>4480</v>
      </c>
      <c r="AI4378" s="32" t="s">
        <v>577</v>
      </c>
      <c r="AJ4378" s="32" t="s">
        <v>116</v>
      </c>
      <c r="AK4378" s="32" t="s">
        <v>116</v>
      </c>
      <c r="AW4378" s="32" t="s">
        <v>160</v>
      </c>
      <c r="AX4378" s="32">
        <v>3</v>
      </c>
      <c r="AZ4378" s="32" t="s">
        <v>2121</v>
      </c>
      <c r="BF4378" s="32">
        <v>9273</v>
      </c>
      <c r="BG4378" s="32">
        <v>12041</v>
      </c>
      <c r="BK4378" s="32">
        <v>4833</v>
      </c>
      <c r="BL4378" s="32">
        <v>6249</v>
      </c>
      <c r="BP4378" s="397"/>
      <c r="BQ4378" s="397"/>
      <c r="BU4378" s="397"/>
      <c r="BV4378" s="397"/>
      <c r="BZ4378" s="397"/>
      <c r="CA4378" s="397"/>
      <c r="CE4378" s="550"/>
      <c r="CF4378" s="550"/>
      <c r="CG4378" s="550"/>
      <c r="CH4378" s="550"/>
      <c r="JD4378" s="243"/>
    </row>
    <row r="4379" spans="1:264" s="32" customFormat="1" x14ac:dyDescent="0.25">
      <c r="A4379" s="32">
        <v>192</v>
      </c>
      <c r="B4379" s="44" t="s">
        <v>4479</v>
      </c>
      <c r="C4379" s="32" t="s">
        <v>4475</v>
      </c>
      <c r="D4379" s="32" t="s">
        <v>4476</v>
      </c>
      <c r="E4379" s="32">
        <v>2015</v>
      </c>
      <c r="F4379" s="32">
        <v>2012</v>
      </c>
      <c r="G4379" s="32" t="s">
        <v>469</v>
      </c>
      <c r="H4379" s="32" t="s">
        <v>4477</v>
      </c>
      <c r="I4379" s="32" t="s">
        <v>3461</v>
      </c>
      <c r="J4379" s="32">
        <f t="shared" si="575"/>
        <v>35.200000000000003</v>
      </c>
      <c r="K4379" s="32">
        <f t="shared" si="576"/>
        <v>107.73333333333333</v>
      </c>
      <c r="L4379" s="32">
        <v>1220</v>
      </c>
      <c r="O4379" s="32">
        <v>722.2</v>
      </c>
      <c r="P4379" s="32">
        <v>589</v>
      </c>
      <c r="R4379" s="44" t="s">
        <v>1722</v>
      </c>
      <c r="S4379" s="44" t="s">
        <v>1722</v>
      </c>
      <c r="T4379" s="44" t="s">
        <v>1110</v>
      </c>
      <c r="U4379" s="44" t="s">
        <v>4478</v>
      </c>
      <c r="V4379" s="44" t="s">
        <v>1379</v>
      </c>
      <c r="W4379" s="44" t="s">
        <v>1715</v>
      </c>
      <c r="X4379" s="44" t="s">
        <v>1379</v>
      </c>
      <c r="Y4379" s="44" t="s">
        <v>1379</v>
      </c>
      <c r="AA4379" s="323"/>
      <c r="AB4379" s="323"/>
      <c r="AC4379" s="32" t="s">
        <v>450</v>
      </c>
      <c r="AD4379" s="32">
        <v>8.11</v>
      </c>
      <c r="AE4379" s="32">
        <v>1.2</v>
      </c>
      <c r="AH4379" s="32" t="s">
        <v>158</v>
      </c>
      <c r="AI4379" s="32" t="s">
        <v>577</v>
      </c>
      <c r="AJ4379" s="32" t="s">
        <v>116</v>
      </c>
      <c r="AK4379" s="32" t="s">
        <v>116</v>
      </c>
      <c r="AW4379" s="32" t="s">
        <v>160</v>
      </c>
      <c r="AX4379" s="32">
        <v>3</v>
      </c>
      <c r="AZ4379" s="32" t="s">
        <v>2121</v>
      </c>
      <c r="BF4379" s="32">
        <v>9273</v>
      </c>
      <c r="BG4379" s="32">
        <v>11016</v>
      </c>
      <c r="BK4379" s="32">
        <v>4833</v>
      </c>
      <c r="BL4379" s="32">
        <v>5814</v>
      </c>
      <c r="BP4379" s="397"/>
      <c r="BQ4379" s="397"/>
      <c r="BU4379" s="397"/>
      <c r="BV4379" s="397"/>
      <c r="BZ4379" s="397"/>
      <c r="CA4379" s="397"/>
      <c r="CE4379" s="550"/>
      <c r="CF4379" s="550"/>
      <c r="CG4379" s="550"/>
      <c r="CH4379" s="550"/>
      <c r="JD4379" s="243"/>
    </row>
    <row r="4380" spans="1:264" s="32" customFormat="1" x14ac:dyDescent="0.25">
      <c r="A4380" s="32">
        <v>192</v>
      </c>
      <c r="B4380" s="44" t="s">
        <v>4479</v>
      </c>
      <c r="C4380" s="32" t="s">
        <v>4475</v>
      </c>
      <c r="D4380" s="32" t="s">
        <v>4476</v>
      </c>
      <c r="E4380" s="32">
        <v>2015</v>
      </c>
      <c r="F4380" s="32">
        <v>2012</v>
      </c>
      <c r="G4380" s="32" t="s">
        <v>469</v>
      </c>
      <c r="H4380" s="32" t="s">
        <v>4477</v>
      </c>
      <c r="I4380" s="32" t="s">
        <v>3461</v>
      </c>
      <c r="J4380" s="32">
        <f t="shared" si="575"/>
        <v>35.200000000000003</v>
      </c>
      <c r="K4380" s="32">
        <f t="shared" si="576"/>
        <v>107.73333333333333</v>
      </c>
      <c r="L4380" s="32">
        <v>1220</v>
      </c>
      <c r="O4380" s="32">
        <v>722.2</v>
      </c>
      <c r="P4380" s="32">
        <v>589</v>
      </c>
      <c r="R4380" s="44" t="s">
        <v>1722</v>
      </c>
      <c r="S4380" s="44" t="s">
        <v>1722</v>
      </c>
      <c r="T4380" s="44" t="s">
        <v>1110</v>
      </c>
      <c r="U4380" s="44" t="s">
        <v>4478</v>
      </c>
      <c r="V4380" s="44" t="s">
        <v>1379</v>
      </c>
      <c r="W4380" s="44" t="s">
        <v>1715</v>
      </c>
      <c r="X4380" s="44" t="s">
        <v>1379</v>
      </c>
      <c r="Y4380" s="44" t="s">
        <v>1379</v>
      </c>
      <c r="AA4380" s="323"/>
      <c r="AB4380" s="323"/>
      <c r="AC4380" s="32" t="s">
        <v>450</v>
      </c>
      <c r="AD4380" s="32">
        <v>8.11</v>
      </c>
      <c r="AE4380" s="32">
        <v>1.2</v>
      </c>
      <c r="AH4380" s="32" t="s">
        <v>4481</v>
      </c>
      <c r="AI4380" s="32" t="s">
        <v>577</v>
      </c>
      <c r="AJ4380" s="32" t="s">
        <v>116</v>
      </c>
      <c r="AK4380" s="32" t="s">
        <v>116</v>
      </c>
      <c r="AW4380" s="32" t="s">
        <v>160</v>
      </c>
      <c r="AX4380" s="32">
        <v>3</v>
      </c>
      <c r="AZ4380" s="32" t="s">
        <v>2121</v>
      </c>
      <c r="BF4380" s="32">
        <v>9273</v>
      </c>
      <c r="BG4380" s="32">
        <v>10433</v>
      </c>
      <c r="BK4380" s="32">
        <v>4833</v>
      </c>
      <c r="BL4380" s="32">
        <v>5353</v>
      </c>
      <c r="BP4380" s="397"/>
      <c r="BQ4380" s="397"/>
      <c r="BU4380" s="397"/>
      <c r="BV4380" s="397"/>
      <c r="BZ4380" s="397"/>
      <c r="CA4380" s="397"/>
      <c r="CE4380" s="550"/>
      <c r="CF4380" s="550"/>
      <c r="CG4380" s="550"/>
      <c r="CH4380" s="550"/>
      <c r="JD4380" s="243"/>
    </row>
    <row r="4381" spans="1:264" s="126" customFormat="1" x14ac:dyDescent="0.25">
      <c r="A4381" s="126">
        <v>193</v>
      </c>
      <c r="B4381" s="478" t="s">
        <v>4492</v>
      </c>
      <c r="C4381" s="126" t="s">
        <v>4475</v>
      </c>
      <c r="D4381" s="126" t="s">
        <v>4476</v>
      </c>
      <c r="E4381" s="126">
        <v>2016</v>
      </c>
      <c r="F4381" s="126">
        <v>2010</v>
      </c>
      <c r="G4381" s="126" t="s">
        <v>4482</v>
      </c>
      <c r="H4381" s="126" t="s">
        <v>4477</v>
      </c>
      <c r="I4381" s="126" t="s">
        <v>3461</v>
      </c>
      <c r="J4381" s="126">
        <f t="shared" si="575"/>
        <v>35.200000000000003</v>
      </c>
      <c r="K4381" s="126">
        <f t="shared" si="576"/>
        <v>107.73333333333333</v>
      </c>
      <c r="L4381" s="126">
        <v>1220</v>
      </c>
      <c r="O4381" s="126">
        <v>487.3</v>
      </c>
      <c r="P4381" s="126">
        <v>589</v>
      </c>
      <c r="R4381" s="478" t="s">
        <v>1847</v>
      </c>
      <c r="S4381" s="478" t="s">
        <v>1722</v>
      </c>
      <c r="T4381" s="478" t="s">
        <v>1110</v>
      </c>
      <c r="U4381" s="478" t="s">
        <v>4478</v>
      </c>
      <c r="V4381" s="478" t="s">
        <v>1379</v>
      </c>
      <c r="W4381" s="478" t="s">
        <v>1715</v>
      </c>
      <c r="X4381" s="478" t="s">
        <v>1379</v>
      </c>
      <c r="Y4381" s="478" t="s">
        <v>1379</v>
      </c>
      <c r="AA4381" s="479"/>
      <c r="AB4381" s="479"/>
      <c r="AC4381" s="126" t="s">
        <v>450</v>
      </c>
      <c r="AD4381" s="126">
        <v>8.11</v>
      </c>
      <c r="AE4381" s="126">
        <v>1.2</v>
      </c>
      <c r="AH4381" s="126" t="s">
        <v>4480</v>
      </c>
      <c r="AI4381" s="126" t="s">
        <v>577</v>
      </c>
      <c r="AJ4381" s="126" t="s">
        <v>116</v>
      </c>
      <c r="AK4381" s="126" t="s">
        <v>116</v>
      </c>
      <c r="AW4381" s="126" t="s">
        <v>160</v>
      </c>
      <c r="AX4381" s="126">
        <v>3</v>
      </c>
      <c r="AZ4381" s="126" t="s">
        <v>2121</v>
      </c>
      <c r="BE4381" s="126" t="s">
        <v>4489</v>
      </c>
      <c r="BP4381" s="481"/>
      <c r="BQ4381" s="481"/>
      <c r="BU4381" s="481"/>
      <c r="BV4381" s="481"/>
      <c r="BZ4381" s="481"/>
      <c r="CA4381" s="481"/>
      <c r="CE4381" s="605"/>
      <c r="CF4381" s="605"/>
      <c r="CG4381" s="605"/>
      <c r="CH4381" s="605"/>
      <c r="CJ4381" s="126">
        <v>19.72</v>
      </c>
      <c r="CK4381" s="126">
        <v>22.83</v>
      </c>
      <c r="CL4381" s="126">
        <f>CJ4381-17.27</f>
        <v>2.4499999999999993</v>
      </c>
      <c r="CM4381" s="126">
        <f>27.57-CK4381</f>
        <v>4.740000000000002</v>
      </c>
      <c r="CN4381" s="126" t="s">
        <v>4488</v>
      </c>
      <c r="JD4381" s="480"/>
    </row>
    <row r="4382" spans="1:264" s="126" customFormat="1" x14ac:dyDescent="0.25">
      <c r="A4382" s="126">
        <v>193</v>
      </c>
      <c r="B4382" s="478" t="s">
        <v>4493</v>
      </c>
      <c r="C4382" s="126" t="s">
        <v>4475</v>
      </c>
      <c r="D4382" s="126" t="s">
        <v>4476</v>
      </c>
      <c r="E4382" s="126">
        <v>2016</v>
      </c>
      <c r="F4382" s="126">
        <v>2010</v>
      </c>
      <c r="G4382" s="126" t="s">
        <v>4482</v>
      </c>
      <c r="H4382" s="126" t="s">
        <v>4477</v>
      </c>
      <c r="I4382" s="126" t="s">
        <v>3461</v>
      </c>
      <c r="J4382" s="126">
        <f t="shared" si="575"/>
        <v>35.200000000000003</v>
      </c>
      <c r="K4382" s="126">
        <f t="shared" si="576"/>
        <v>107.73333333333333</v>
      </c>
      <c r="L4382" s="126">
        <v>1220</v>
      </c>
      <c r="O4382" s="126">
        <v>487.3</v>
      </c>
      <c r="P4382" s="126">
        <v>589</v>
      </c>
      <c r="R4382" s="478" t="s">
        <v>1847</v>
      </c>
      <c r="S4382" s="478" t="s">
        <v>1722</v>
      </c>
      <c r="T4382" s="478" t="s">
        <v>1110</v>
      </c>
      <c r="U4382" s="478" t="s">
        <v>4478</v>
      </c>
      <c r="V4382" s="478" t="s">
        <v>1383</v>
      </c>
      <c r="W4382" s="478" t="s">
        <v>1715</v>
      </c>
      <c r="X4382" s="478" t="s">
        <v>1383</v>
      </c>
      <c r="Y4382" s="478" t="s">
        <v>1383</v>
      </c>
      <c r="AA4382" s="479"/>
      <c r="AB4382" s="479"/>
      <c r="AC4382" s="126" t="s">
        <v>450</v>
      </c>
      <c r="AD4382" s="126">
        <v>8.11</v>
      </c>
      <c r="AE4382" s="126">
        <v>1.2</v>
      </c>
      <c r="AH4382" s="126" t="s">
        <v>4480</v>
      </c>
      <c r="AI4382" s="126" t="s">
        <v>577</v>
      </c>
      <c r="AJ4382" s="126" t="s">
        <v>116</v>
      </c>
      <c r="AK4382" s="126" t="s">
        <v>116</v>
      </c>
      <c r="AW4382" s="126" t="s">
        <v>160</v>
      </c>
      <c r="AX4382" s="126">
        <v>3</v>
      </c>
      <c r="AZ4382" s="126" t="s">
        <v>2121</v>
      </c>
      <c r="BE4382" s="126" t="s">
        <v>4489</v>
      </c>
      <c r="BP4382" s="481"/>
      <c r="BQ4382" s="481"/>
      <c r="BU4382" s="481"/>
      <c r="BV4382" s="481"/>
      <c r="BZ4382" s="481"/>
      <c r="CA4382" s="481"/>
      <c r="CE4382" s="605"/>
      <c r="CF4382" s="605"/>
      <c r="CG4382" s="605"/>
      <c r="CH4382" s="605"/>
      <c r="CJ4382" s="126">
        <v>13.69</v>
      </c>
      <c r="CK4382" s="126">
        <v>13.37</v>
      </c>
      <c r="CL4382" s="126">
        <f>15.5-CJ4382</f>
        <v>1.8100000000000005</v>
      </c>
      <c r="CM4382" s="126">
        <f>15.82-CK4382</f>
        <v>2.4500000000000011</v>
      </c>
      <c r="CN4382" s="126" t="s">
        <v>4488</v>
      </c>
      <c r="JD4382" s="480"/>
    </row>
    <row r="4383" spans="1:264" s="126" customFormat="1" x14ac:dyDescent="0.25">
      <c r="A4383" s="126">
        <v>193</v>
      </c>
      <c r="B4383" s="478" t="s">
        <v>4494</v>
      </c>
      <c r="C4383" s="126" t="s">
        <v>4475</v>
      </c>
      <c r="D4383" s="126" t="s">
        <v>4476</v>
      </c>
      <c r="E4383" s="126">
        <v>2016</v>
      </c>
      <c r="F4383" s="126">
        <v>2010</v>
      </c>
      <c r="G4383" s="126" t="s">
        <v>4482</v>
      </c>
      <c r="H4383" s="126" t="s">
        <v>4477</v>
      </c>
      <c r="I4383" s="126" t="s">
        <v>3461</v>
      </c>
      <c r="J4383" s="126">
        <f t="shared" si="575"/>
        <v>35.200000000000003</v>
      </c>
      <c r="K4383" s="126">
        <f t="shared" si="576"/>
        <v>107.73333333333333</v>
      </c>
      <c r="L4383" s="126">
        <v>1220</v>
      </c>
      <c r="O4383" s="126">
        <v>487.3</v>
      </c>
      <c r="P4383" s="126">
        <v>589</v>
      </c>
      <c r="R4383" s="478" t="s">
        <v>1847</v>
      </c>
      <c r="S4383" s="478" t="s">
        <v>1722</v>
      </c>
      <c r="T4383" s="478" t="s">
        <v>1110</v>
      </c>
      <c r="U4383" s="478" t="s">
        <v>4478</v>
      </c>
      <c r="V4383" s="478" t="s">
        <v>1384</v>
      </c>
      <c r="W4383" s="478" t="s">
        <v>1715</v>
      </c>
      <c r="X4383" s="478" t="s">
        <v>1384</v>
      </c>
      <c r="Y4383" s="478" t="s">
        <v>1384</v>
      </c>
      <c r="AA4383" s="479"/>
      <c r="AB4383" s="479"/>
      <c r="AC4383" s="126" t="s">
        <v>450</v>
      </c>
      <c r="AD4383" s="126">
        <v>8.11</v>
      </c>
      <c r="AE4383" s="126">
        <v>1.2</v>
      </c>
      <c r="AH4383" s="126" t="s">
        <v>4480</v>
      </c>
      <c r="AI4383" s="126" t="s">
        <v>577</v>
      </c>
      <c r="AJ4383" s="126" t="s">
        <v>116</v>
      </c>
      <c r="AK4383" s="126" t="s">
        <v>116</v>
      </c>
      <c r="AW4383" s="126" t="s">
        <v>160</v>
      </c>
      <c r="AX4383" s="126">
        <v>3</v>
      </c>
      <c r="AZ4383" s="126" t="s">
        <v>2121</v>
      </c>
      <c r="BE4383" s="126" t="s">
        <v>4489</v>
      </c>
      <c r="BP4383" s="481"/>
      <c r="BQ4383" s="481"/>
      <c r="BU4383" s="481"/>
      <c r="BV4383" s="481"/>
      <c r="BZ4383" s="481"/>
      <c r="CA4383" s="481"/>
      <c r="CE4383" s="605"/>
      <c r="CF4383" s="605"/>
      <c r="CG4383" s="605"/>
      <c r="CH4383" s="605"/>
      <c r="CJ4383" s="126">
        <v>10.94</v>
      </c>
      <c r="CK4383" s="126">
        <v>11.59</v>
      </c>
      <c r="CL4383" s="126">
        <f>12.9-CJ4383</f>
        <v>1.9600000000000009</v>
      </c>
      <c r="CM4383" s="126">
        <f>13.4-CK4383</f>
        <v>1.8100000000000005</v>
      </c>
      <c r="CN4383" s="126" t="s">
        <v>4488</v>
      </c>
      <c r="JD4383" s="480"/>
    </row>
    <row r="4384" spans="1:264" s="126" customFormat="1" x14ac:dyDescent="0.25">
      <c r="A4384" s="126">
        <v>193</v>
      </c>
      <c r="B4384" s="478" t="s">
        <v>4495</v>
      </c>
      <c r="C4384" s="126" t="s">
        <v>4475</v>
      </c>
      <c r="D4384" s="126" t="s">
        <v>4476</v>
      </c>
      <c r="E4384" s="126">
        <v>2016</v>
      </c>
      <c r="F4384" s="126">
        <v>2010</v>
      </c>
      <c r="G4384" s="126" t="s">
        <v>4482</v>
      </c>
      <c r="H4384" s="126" t="s">
        <v>4477</v>
      </c>
      <c r="I4384" s="126" t="s">
        <v>3461</v>
      </c>
      <c r="J4384" s="126">
        <f t="shared" si="575"/>
        <v>35.200000000000003</v>
      </c>
      <c r="K4384" s="126">
        <f t="shared" si="576"/>
        <v>107.73333333333333</v>
      </c>
      <c r="L4384" s="126">
        <v>1220</v>
      </c>
      <c r="O4384" s="126">
        <v>487.3</v>
      </c>
      <c r="P4384" s="126">
        <v>589</v>
      </c>
      <c r="R4384" s="478" t="s">
        <v>1847</v>
      </c>
      <c r="S4384" s="478" t="s">
        <v>1722</v>
      </c>
      <c r="T4384" s="478" t="s">
        <v>1110</v>
      </c>
      <c r="U4384" s="478" t="s">
        <v>4478</v>
      </c>
      <c r="V4384" s="478" t="s">
        <v>1385</v>
      </c>
      <c r="W4384" s="478" t="s">
        <v>1715</v>
      </c>
      <c r="X4384" s="478" t="s">
        <v>1385</v>
      </c>
      <c r="Y4384" s="478" t="s">
        <v>1385</v>
      </c>
      <c r="AA4384" s="479"/>
      <c r="AB4384" s="479"/>
      <c r="AC4384" s="126" t="s">
        <v>450</v>
      </c>
      <c r="AD4384" s="126">
        <v>8.11</v>
      </c>
      <c r="AE4384" s="126">
        <v>1.2</v>
      </c>
      <c r="AH4384" s="126" t="s">
        <v>4480</v>
      </c>
      <c r="AI4384" s="126" t="s">
        <v>577</v>
      </c>
      <c r="AJ4384" s="126" t="s">
        <v>116</v>
      </c>
      <c r="AK4384" s="126" t="s">
        <v>116</v>
      </c>
      <c r="AW4384" s="126" t="s">
        <v>160</v>
      </c>
      <c r="AX4384" s="126">
        <v>3</v>
      </c>
      <c r="AZ4384" s="126" t="s">
        <v>2121</v>
      </c>
      <c r="BE4384" s="126" t="s">
        <v>4489</v>
      </c>
      <c r="BP4384" s="481"/>
      <c r="BQ4384" s="481"/>
      <c r="BU4384" s="481"/>
      <c r="BV4384" s="481"/>
      <c r="BZ4384" s="481"/>
      <c r="CA4384" s="481"/>
      <c r="CE4384" s="605"/>
      <c r="CF4384" s="605"/>
      <c r="CG4384" s="605"/>
      <c r="CH4384" s="605"/>
      <c r="CJ4384" s="126">
        <v>12.11</v>
      </c>
      <c r="CK4384" s="126">
        <v>12.11</v>
      </c>
      <c r="CL4384" s="126">
        <f>14.08-CJ4384</f>
        <v>1.9700000000000006</v>
      </c>
      <c r="CM4384" s="126">
        <f>13.92-CK4384</f>
        <v>1.8100000000000005</v>
      </c>
      <c r="CN4384" s="126" t="s">
        <v>4488</v>
      </c>
      <c r="JD4384" s="480"/>
    </row>
    <row r="4385" spans="1:264" s="126" customFormat="1" x14ac:dyDescent="0.25">
      <c r="A4385" s="126">
        <v>193</v>
      </c>
      <c r="B4385" s="478" t="s">
        <v>4496</v>
      </c>
      <c r="C4385" s="126" t="s">
        <v>4475</v>
      </c>
      <c r="D4385" s="126" t="s">
        <v>4476</v>
      </c>
      <c r="E4385" s="126">
        <v>2016</v>
      </c>
      <c r="F4385" s="126">
        <v>2010</v>
      </c>
      <c r="G4385" s="126" t="s">
        <v>4482</v>
      </c>
      <c r="H4385" s="126" t="s">
        <v>4477</v>
      </c>
      <c r="I4385" s="126" t="s">
        <v>3461</v>
      </c>
      <c r="J4385" s="126">
        <f t="shared" si="575"/>
        <v>35.200000000000003</v>
      </c>
      <c r="K4385" s="126">
        <f t="shared" si="576"/>
        <v>107.73333333333333</v>
      </c>
      <c r="L4385" s="126">
        <v>1220</v>
      </c>
      <c r="O4385" s="126">
        <v>487.3</v>
      </c>
      <c r="P4385" s="126">
        <v>589</v>
      </c>
      <c r="R4385" s="478" t="s">
        <v>1847</v>
      </c>
      <c r="S4385" s="478" t="s">
        <v>1722</v>
      </c>
      <c r="T4385" s="478" t="s">
        <v>1110</v>
      </c>
      <c r="U4385" s="478" t="s">
        <v>4478</v>
      </c>
      <c r="V4385" s="478" t="s">
        <v>1386</v>
      </c>
      <c r="W4385" s="478" t="s">
        <v>1715</v>
      </c>
      <c r="X4385" s="478" t="s">
        <v>1386</v>
      </c>
      <c r="Y4385" s="478" t="s">
        <v>1386</v>
      </c>
      <c r="AA4385" s="479"/>
      <c r="AB4385" s="479"/>
      <c r="AC4385" s="126" t="s">
        <v>450</v>
      </c>
      <c r="AD4385" s="126">
        <v>8.11</v>
      </c>
      <c r="AE4385" s="126">
        <v>1.2</v>
      </c>
      <c r="AH4385" s="126" t="s">
        <v>4480</v>
      </c>
      <c r="AI4385" s="126" t="s">
        <v>577</v>
      </c>
      <c r="AJ4385" s="126" t="s">
        <v>116</v>
      </c>
      <c r="AK4385" s="126" t="s">
        <v>116</v>
      </c>
      <c r="AW4385" s="126" t="s">
        <v>160</v>
      </c>
      <c r="AX4385" s="126">
        <v>3</v>
      </c>
      <c r="AZ4385" s="126" t="s">
        <v>2121</v>
      </c>
      <c r="BE4385" s="126" t="s">
        <v>4489</v>
      </c>
      <c r="BP4385" s="481"/>
      <c r="BQ4385" s="481"/>
      <c r="BU4385" s="481"/>
      <c r="BV4385" s="481"/>
      <c r="BZ4385" s="481"/>
      <c r="CA4385" s="481"/>
      <c r="CE4385" s="605"/>
      <c r="CF4385" s="605"/>
      <c r="CG4385" s="605"/>
      <c r="CH4385" s="605"/>
      <c r="CJ4385" s="126">
        <v>13.61</v>
      </c>
      <c r="CK4385" s="126">
        <v>16.39</v>
      </c>
      <c r="CL4385" s="126">
        <f>16.39-CJ4385</f>
        <v>2.7800000000000011</v>
      </c>
      <c r="CM4385" s="126">
        <f>18.02-CK4385</f>
        <v>1.629999999999999</v>
      </c>
      <c r="CN4385" s="126" t="s">
        <v>4488</v>
      </c>
      <c r="JD4385" s="480"/>
    </row>
    <row r="4386" spans="1:264" s="126" customFormat="1" x14ac:dyDescent="0.25">
      <c r="A4386" s="126">
        <v>193</v>
      </c>
      <c r="B4386" s="478" t="s">
        <v>4497</v>
      </c>
      <c r="C4386" s="126" t="s">
        <v>4475</v>
      </c>
      <c r="D4386" s="126" t="s">
        <v>4476</v>
      </c>
      <c r="E4386" s="126">
        <v>2016</v>
      </c>
      <c r="F4386" s="126">
        <v>2010</v>
      </c>
      <c r="G4386" s="126" t="s">
        <v>4482</v>
      </c>
      <c r="H4386" s="126" t="s">
        <v>4477</v>
      </c>
      <c r="I4386" s="126" t="s">
        <v>3461</v>
      </c>
      <c r="J4386" s="126">
        <f t="shared" si="575"/>
        <v>35.200000000000003</v>
      </c>
      <c r="K4386" s="126">
        <f t="shared" si="576"/>
        <v>107.73333333333333</v>
      </c>
      <c r="L4386" s="126">
        <v>1220</v>
      </c>
      <c r="O4386" s="126">
        <v>487.3</v>
      </c>
      <c r="P4386" s="126">
        <v>589</v>
      </c>
      <c r="R4386" s="478" t="s">
        <v>1847</v>
      </c>
      <c r="S4386" s="478" t="s">
        <v>1722</v>
      </c>
      <c r="T4386" s="478" t="s">
        <v>1110</v>
      </c>
      <c r="U4386" s="478" t="s">
        <v>4478</v>
      </c>
      <c r="V4386" s="126" t="s">
        <v>4487</v>
      </c>
      <c r="W4386" s="478" t="s">
        <v>1715</v>
      </c>
      <c r="X4386" s="126" t="s">
        <v>4487</v>
      </c>
      <c r="Y4386" s="126" t="s">
        <v>4487</v>
      </c>
      <c r="AA4386" s="479"/>
      <c r="AB4386" s="479"/>
      <c r="AC4386" s="126" t="s">
        <v>450</v>
      </c>
      <c r="AD4386" s="126">
        <v>8.11</v>
      </c>
      <c r="AE4386" s="126">
        <v>1.2</v>
      </c>
      <c r="AH4386" s="126" t="s">
        <v>4480</v>
      </c>
      <c r="AI4386" s="126" t="s">
        <v>577</v>
      </c>
      <c r="AJ4386" s="126" t="s">
        <v>116</v>
      </c>
      <c r="AK4386" s="126" t="s">
        <v>116</v>
      </c>
      <c r="AW4386" s="126" t="s">
        <v>160</v>
      </c>
      <c r="AX4386" s="126">
        <v>3</v>
      </c>
      <c r="AZ4386" s="126" t="s">
        <v>2121</v>
      </c>
      <c r="BE4386" s="126" t="s">
        <v>4489</v>
      </c>
      <c r="BP4386" s="481"/>
      <c r="BQ4386" s="481"/>
      <c r="BU4386" s="481"/>
      <c r="BV4386" s="481"/>
      <c r="BZ4386" s="481"/>
      <c r="CA4386" s="481"/>
      <c r="CE4386" s="605"/>
      <c r="CF4386" s="605"/>
      <c r="CG4386" s="605"/>
      <c r="CH4386" s="605"/>
      <c r="CJ4386" s="126">
        <v>15.1</v>
      </c>
      <c r="CK4386" s="126">
        <v>20.170000000000002</v>
      </c>
      <c r="CL4386" s="126">
        <f>16.42-CJ4386</f>
        <v>1.3200000000000021</v>
      </c>
      <c r="CM4386" s="126">
        <f>22.29-CK4386</f>
        <v>2.1199999999999974</v>
      </c>
      <c r="CN4386" s="126" t="s">
        <v>4488</v>
      </c>
      <c r="JD4386" s="480"/>
    </row>
    <row r="4387" spans="1:264" s="126" customFormat="1" x14ac:dyDescent="0.25">
      <c r="A4387" s="126">
        <v>193</v>
      </c>
      <c r="B4387" s="478" t="s">
        <v>4498</v>
      </c>
      <c r="C4387" s="126" t="s">
        <v>4475</v>
      </c>
      <c r="D4387" s="126" t="s">
        <v>4476</v>
      </c>
      <c r="E4387" s="126">
        <v>2016</v>
      </c>
      <c r="F4387" s="126">
        <v>2010</v>
      </c>
      <c r="G4387" s="126" t="s">
        <v>4482</v>
      </c>
      <c r="H4387" s="126" t="s">
        <v>4477</v>
      </c>
      <c r="I4387" s="126" t="s">
        <v>3461</v>
      </c>
      <c r="J4387" s="126">
        <f t="shared" si="575"/>
        <v>35.200000000000003</v>
      </c>
      <c r="K4387" s="126">
        <f t="shared" si="576"/>
        <v>107.73333333333333</v>
      </c>
      <c r="L4387" s="126">
        <v>1220</v>
      </c>
      <c r="O4387" s="126">
        <v>487.3</v>
      </c>
      <c r="P4387" s="126">
        <v>589</v>
      </c>
      <c r="R4387" s="478" t="s">
        <v>1847</v>
      </c>
      <c r="S4387" s="478" t="s">
        <v>1722</v>
      </c>
      <c r="T4387" s="478" t="s">
        <v>1110</v>
      </c>
      <c r="U4387" s="478" t="s">
        <v>4478</v>
      </c>
      <c r="V4387" s="478" t="s">
        <v>4483</v>
      </c>
      <c r="W4387" s="478" t="s">
        <v>1715</v>
      </c>
      <c r="X4387" s="478" t="s">
        <v>4483</v>
      </c>
      <c r="Y4387" s="478" t="s">
        <v>4483</v>
      </c>
      <c r="AA4387" s="479"/>
      <c r="AB4387" s="479"/>
      <c r="AC4387" s="126" t="s">
        <v>450</v>
      </c>
      <c r="AD4387" s="126">
        <v>8.11</v>
      </c>
      <c r="AE4387" s="126">
        <v>1.2</v>
      </c>
      <c r="AH4387" s="126" t="s">
        <v>4480</v>
      </c>
      <c r="AI4387" s="126" t="s">
        <v>577</v>
      </c>
      <c r="AJ4387" s="126" t="s">
        <v>116</v>
      </c>
      <c r="AK4387" s="126" t="s">
        <v>116</v>
      </c>
      <c r="AW4387" s="126" t="s">
        <v>160</v>
      </c>
      <c r="AX4387" s="126">
        <v>3</v>
      </c>
      <c r="AZ4387" s="126" t="s">
        <v>2121</v>
      </c>
      <c r="BE4387" s="126" t="s">
        <v>4489</v>
      </c>
      <c r="BP4387" s="481"/>
      <c r="BQ4387" s="481"/>
      <c r="BU4387" s="481"/>
      <c r="BV4387" s="481"/>
      <c r="BZ4387" s="481"/>
      <c r="CA4387" s="481"/>
      <c r="CE4387" s="605"/>
      <c r="CF4387" s="605"/>
      <c r="CG4387" s="605"/>
      <c r="CH4387" s="605"/>
      <c r="CJ4387" s="126">
        <v>14.64</v>
      </c>
      <c r="CK4387" s="126">
        <v>22</v>
      </c>
      <c r="CL4387" s="126">
        <f>16.93-CJ4387</f>
        <v>2.2899999999999991</v>
      </c>
      <c r="CM4387" s="126">
        <f>23.3-CK4387</f>
        <v>1.3000000000000007</v>
      </c>
      <c r="CN4387" s="126" t="s">
        <v>4488</v>
      </c>
      <c r="JD4387" s="480"/>
    </row>
    <row r="4388" spans="1:264" s="126" customFormat="1" x14ac:dyDescent="0.25">
      <c r="A4388" s="126">
        <v>193</v>
      </c>
      <c r="B4388" s="478" t="s">
        <v>4499</v>
      </c>
      <c r="C4388" s="126" t="s">
        <v>4475</v>
      </c>
      <c r="D4388" s="126" t="s">
        <v>4476</v>
      </c>
      <c r="E4388" s="126">
        <v>2016</v>
      </c>
      <c r="F4388" s="126">
        <v>2010</v>
      </c>
      <c r="G4388" s="126" t="s">
        <v>4482</v>
      </c>
      <c r="H4388" s="126" t="s">
        <v>4477</v>
      </c>
      <c r="I4388" s="126" t="s">
        <v>3461</v>
      </c>
      <c r="J4388" s="126">
        <f t="shared" si="575"/>
        <v>35.200000000000003</v>
      </c>
      <c r="K4388" s="126">
        <f t="shared" si="576"/>
        <v>107.73333333333333</v>
      </c>
      <c r="L4388" s="126">
        <v>1220</v>
      </c>
      <c r="O4388" s="126">
        <v>487.3</v>
      </c>
      <c r="P4388" s="126">
        <v>589</v>
      </c>
      <c r="R4388" s="478" t="s">
        <v>1847</v>
      </c>
      <c r="S4388" s="478" t="s">
        <v>1722</v>
      </c>
      <c r="T4388" s="478" t="s">
        <v>1110</v>
      </c>
      <c r="U4388" s="478" t="s">
        <v>4478</v>
      </c>
      <c r="V4388" s="478" t="s">
        <v>4484</v>
      </c>
      <c r="W4388" s="478" t="s">
        <v>1715</v>
      </c>
      <c r="X4388" s="478" t="s">
        <v>4484</v>
      </c>
      <c r="Y4388" s="478" t="s">
        <v>4484</v>
      </c>
      <c r="AA4388" s="479"/>
      <c r="AB4388" s="479"/>
      <c r="AC4388" s="126" t="s">
        <v>450</v>
      </c>
      <c r="AD4388" s="126">
        <v>8.11</v>
      </c>
      <c r="AE4388" s="126">
        <v>1.2</v>
      </c>
      <c r="AH4388" s="126" t="s">
        <v>4480</v>
      </c>
      <c r="AI4388" s="126" t="s">
        <v>577</v>
      </c>
      <c r="AJ4388" s="126" t="s">
        <v>116</v>
      </c>
      <c r="AK4388" s="126" t="s">
        <v>116</v>
      </c>
      <c r="AW4388" s="126" t="s">
        <v>160</v>
      </c>
      <c r="AX4388" s="126">
        <v>3</v>
      </c>
      <c r="AZ4388" s="126" t="s">
        <v>2121</v>
      </c>
      <c r="BE4388" s="126" t="s">
        <v>4489</v>
      </c>
      <c r="BP4388" s="481"/>
      <c r="BQ4388" s="481"/>
      <c r="BU4388" s="481"/>
      <c r="BV4388" s="481"/>
      <c r="BZ4388" s="481"/>
      <c r="CA4388" s="481"/>
      <c r="CE4388" s="605"/>
      <c r="CF4388" s="605"/>
      <c r="CG4388" s="605"/>
      <c r="CH4388" s="605"/>
      <c r="CJ4388" s="126">
        <v>19.57</v>
      </c>
      <c r="CK4388" s="126">
        <v>23.49</v>
      </c>
      <c r="CL4388" s="126">
        <f>22.68-CJ4388</f>
        <v>3.1099999999999994</v>
      </c>
      <c r="CM4388" s="126">
        <f>25.12-CK4388</f>
        <v>1.6300000000000026</v>
      </c>
      <c r="CN4388" s="126" t="s">
        <v>4488</v>
      </c>
      <c r="JD4388" s="480"/>
    </row>
    <row r="4389" spans="1:264" s="126" customFormat="1" x14ac:dyDescent="0.25">
      <c r="A4389" s="126">
        <v>193</v>
      </c>
      <c r="B4389" s="478" t="s">
        <v>4500</v>
      </c>
      <c r="C4389" s="126" t="s">
        <v>4475</v>
      </c>
      <c r="D4389" s="126" t="s">
        <v>4476</v>
      </c>
      <c r="E4389" s="126">
        <v>2016</v>
      </c>
      <c r="F4389" s="126">
        <v>2010</v>
      </c>
      <c r="G4389" s="126" t="s">
        <v>4482</v>
      </c>
      <c r="H4389" s="126" t="s">
        <v>4477</v>
      </c>
      <c r="I4389" s="126" t="s">
        <v>3461</v>
      </c>
      <c r="J4389" s="126">
        <f t="shared" si="575"/>
        <v>35.200000000000003</v>
      </c>
      <c r="K4389" s="126">
        <f t="shared" si="576"/>
        <v>107.73333333333333</v>
      </c>
      <c r="L4389" s="126">
        <v>1220</v>
      </c>
      <c r="O4389" s="126">
        <v>487.3</v>
      </c>
      <c r="P4389" s="126">
        <v>589</v>
      </c>
      <c r="R4389" s="478" t="s">
        <v>1847</v>
      </c>
      <c r="S4389" s="478" t="s">
        <v>1722</v>
      </c>
      <c r="T4389" s="478" t="s">
        <v>1110</v>
      </c>
      <c r="U4389" s="478" t="s">
        <v>4478</v>
      </c>
      <c r="V4389" s="478" t="s">
        <v>4485</v>
      </c>
      <c r="W4389" s="478" t="s">
        <v>1715</v>
      </c>
      <c r="X4389" s="478" t="s">
        <v>4485</v>
      </c>
      <c r="Y4389" s="478" t="s">
        <v>4485</v>
      </c>
      <c r="AA4389" s="479"/>
      <c r="AB4389" s="479"/>
      <c r="AC4389" s="126" t="s">
        <v>450</v>
      </c>
      <c r="AD4389" s="126">
        <v>8.11</v>
      </c>
      <c r="AE4389" s="126">
        <v>1.2</v>
      </c>
      <c r="AH4389" s="126" t="s">
        <v>4480</v>
      </c>
      <c r="AI4389" s="126" t="s">
        <v>577</v>
      </c>
      <c r="AJ4389" s="126" t="s">
        <v>116</v>
      </c>
      <c r="AK4389" s="126" t="s">
        <v>116</v>
      </c>
      <c r="AW4389" s="126" t="s">
        <v>160</v>
      </c>
      <c r="AX4389" s="126">
        <v>3</v>
      </c>
      <c r="AZ4389" s="126" t="s">
        <v>2121</v>
      </c>
      <c r="BE4389" s="126" t="s">
        <v>4489</v>
      </c>
      <c r="BP4389" s="481"/>
      <c r="BQ4389" s="481"/>
      <c r="BU4389" s="481"/>
      <c r="BV4389" s="481"/>
      <c r="BZ4389" s="481"/>
      <c r="CA4389" s="481"/>
      <c r="CE4389" s="605"/>
      <c r="CF4389" s="605"/>
      <c r="CG4389" s="605"/>
      <c r="CH4389" s="605"/>
      <c r="CJ4389" s="126">
        <v>23.19</v>
      </c>
      <c r="CK4389" s="126">
        <v>24.83</v>
      </c>
      <c r="CL4389" s="126">
        <f>27.28-CJ4389</f>
        <v>4.09</v>
      </c>
      <c r="CM4389" s="126">
        <f>27.6-CK4389</f>
        <v>2.7700000000000031</v>
      </c>
      <c r="CN4389" s="126" t="s">
        <v>4488</v>
      </c>
      <c r="JD4389" s="480"/>
    </row>
    <row r="4390" spans="1:264" s="126" customFormat="1" x14ac:dyDescent="0.25">
      <c r="A4390" s="126">
        <v>193</v>
      </c>
      <c r="B4390" s="478" t="s">
        <v>4501</v>
      </c>
      <c r="C4390" s="126" t="s">
        <v>4475</v>
      </c>
      <c r="D4390" s="126" t="s">
        <v>4476</v>
      </c>
      <c r="E4390" s="126">
        <v>2016</v>
      </c>
      <c r="F4390" s="126">
        <v>2010</v>
      </c>
      <c r="G4390" s="126" t="s">
        <v>4482</v>
      </c>
      <c r="H4390" s="126" t="s">
        <v>4477</v>
      </c>
      <c r="I4390" s="126" t="s">
        <v>3461</v>
      </c>
      <c r="J4390" s="126">
        <f t="shared" si="575"/>
        <v>35.200000000000003</v>
      </c>
      <c r="K4390" s="126">
        <f t="shared" si="576"/>
        <v>107.73333333333333</v>
      </c>
      <c r="L4390" s="126">
        <v>1220</v>
      </c>
      <c r="O4390" s="126">
        <v>487.3</v>
      </c>
      <c r="P4390" s="126">
        <v>589</v>
      </c>
      <c r="R4390" s="478" t="s">
        <v>1847</v>
      </c>
      <c r="S4390" s="478" t="s">
        <v>1722</v>
      </c>
      <c r="T4390" s="478" t="s">
        <v>1110</v>
      </c>
      <c r="U4390" s="478" t="s">
        <v>4478</v>
      </c>
      <c r="V4390" s="478" t="s">
        <v>4486</v>
      </c>
      <c r="W4390" s="478" t="s">
        <v>1715</v>
      </c>
      <c r="X4390" s="478" t="s">
        <v>4486</v>
      </c>
      <c r="Y4390" s="478" t="s">
        <v>4486</v>
      </c>
      <c r="AA4390" s="479"/>
      <c r="AB4390" s="479"/>
      <c r="AC4390" s="126" t="s">
        <v>450</v>
      </c>
      <c r="AD4390" s="126">
        <v>8.11</v>
      </c>
      <c r="AE4390" s="126">
        <v>1.2</v>
      </c>
      <c r="AH4390" s="126" t="s">
        <v>4480</v>
      </c>
      <c r="AI4390" s="126" t="s">
        <v>577</v>
      </c>
      <c r="AJ4390" s="126" t="s">
        <v>116</v>
      </c>
      <c r="AK4390" s="126" t="s">
        <v>116</v>
      </c>
      <c r="AW4390" s="126" t="s">
        <v>160</v>
      </c>
      <c r="AX4390" s="126">
        <v>3</v>
      </c>
      <c r="AZ4390" s="126" t="s">
        <v>2121</v>
      </c>
      <c r="BE4390" s="126" t="s">
        <v>4489</v>
      </c>
      <c r="BP4390" s="481"/>
      <c r="BQ4390" s="481"/>
      <c r="BU4390" s="481"/>
      <c r="BV4390" s="481"/>
      <c r="BZ4390" s="481"/>
      <c r="CA4390" s="481"/>
      <c r="CE4390" s="605"/>
      <c r="CF4390" s="605"/>
      <c r="CG4390" s="605"/>
      <c r="CH4390" s="605"/>
      <c r="CJ4390" s="126">
        <v>29.92</v>
      </c>
      <c r="CK4390" s="126">
        <v>27.79</v>
      </c>
      <c r="CL4390" s="126">
        <f>32-CJ4390</f>
        <v>2.0799999999999983</v>
      </c>
      <c r="CM4390" s="126">
        <f>31.55-CK4390</f>
        <v>3.7600000000000016</v>
      </c>
      <c r="CN4390" s="126" t="s">
        <v>4488</v>
      </c>
      <c r="JD4390" s="480"/>
    </row>
    <row r="4391" spans="1:264" s="36" customFormat="1" x14ac:dyDescent="0.25">
      <c r="A4391" s="36">
        <v>193</v>
      </c>
      <c r="B4391" s="51" t="s">
        <v>4492</v>
      </c>
      <c r="C4391" s="36" t="s">
        <v>4475</v>
      </c>
      <c r="D4391" s="36" t="s">
        <v>4476</v>
      </c>
      <c r="E4391" s="36">
        <v>2016</v>
      </c>
      <c r="F4391" s="36">
        <v>2010</v>
      </c>
      <c r="G4391" s="36" t="s">
        <v>4482</v>
      </c>
      <c r="H4391" s="36" t="s">
        <v>4477</v>
      </c>
      <c r="I4391" s="36" t="s">
        <v>3461</v>
      </c>
      <c r="J4391" s="36">
        <f t="shared" si="575"/>
        <v>35.200000000000003</v>
      </c>
      <c r="K4391" s="36">
        <f t="shared" si="576"/>
        <v>107.73333333333333</v>
      </c>
      <c r="L4391" s="36">
        <v>1220</v>
      </c>
      <c r="O4391" s="36">
        <v>487.3</v>
      </c>
      <c r="P4391" s="36">
        <v>589</v>
      </c>
      <c r="R4391" s="51" t="s">
        <v>1847</v>
      </c>
      <c r="S4391" s="51" t="s">
        <v>1722</v>
      </c>
      <c r="T4391" s="51" t="s">
        <v>1110</v>
      </c>
      <c r="U4391" s="51" t="s">
        <v>4478</v>
      </c>
      <c r="V4391" s="51" t="s">
        <v>1379</v>
      </c>
      <c r="W4391" s="51" t="s">
        <v>1715</v>
      </c>
      <c r="X4391" s="51" t="s">
        <v>1379</v>
      </c>
      <c r="Y4391" s="51" t="s">
        <v>1379</v>
      </c>
      <c r="AA4391" s="331"/>
      <c r="AB4391" s="331"/>
      <c r="AC4391" s="36" t="s">
        <v>450</v>
      </c>
      <c r="AD4391" s="36">
        <v>8.11</v>
      </c>
      <c r="AE4391" s="36">
        <v>1.2</v>
      </c>
      <c r="AH4391" s="36" t="s">
        <v>158</v>
      </c>
      <c r="AI4391" s="36" t="s">
        <v>577</v>
      </c>
      <c r="AJ4391" s="36" t="s">
        <v>116</v>
      </c>
      <c r="AK4391" s="36" t="s">
        <v>116</v>
      </c>
      <c r="AW4391" s="36" t="s">
        <v>160</v>
      </c>
      <c r="AX4391" s="36">
        <v>3</v>
      </c>
      <c r="AZ4391" s="36" t="s">
        <v>2121</v>
      </c>
      <c r="BE4391" s="36" t="s">
        <v>4489</v>
      </c>
      <c r="BP4391" s="407"/>
      <c r="BQ4391" s="407"/>
      <c r="BU4391" s="407"/>
      <c r="BV4391" s="407"/>
      <c r="BZ4391" s="407"/>
      <c r="CA4391" s="407"/>
      <c r="CE4391" s="560"/>
      <c r="CF4391" s="560"/>
      <c r="CG4391" s="560"/>
      <c r="CH4391" s="560"/>
      <c r="CJ4391" s="36">
        <v>19.72</v>
      </c>
      <c r="CK4391" s="36">
        <v>20.87</v>
      </c>
      <c r="CL4391" s="36">
        <v>2.4499999999999993</v>
      </c>
      <c r="CM4391" s="36">
        <f>23.8-CK4391</f>
        <v>2.9299999999999997</v>
      </c>
      <c r="CN4391" s="36" t="s">
        <v>4488</v>
      </c>
      <c r="JD4391" s="230"/>
    </row>
    <row r="4392" spans="1:264" s="36" customFormat="1" x14ac:dyDescent="0.25">
      <c r="A4392" s="36">
        <v>193</v>
      </c>
      <c r="B4392" s="51" t="s">
        <v>4493</v>
      </c>
      <c r="C4392" s="36" t="s">
        <v>4475</v>
      </c>
      <c r="D4392" s="36" t="s">
        <v>4476</v>
      </c>
      <c r="E4392" s="36">
        <v>2016</v>
      </c>
      <c r="F4392" s="36">
        <v>2010</v>
      </c>
      <c r="G4392" s="36" t="s">
        <v>4482</v>
      </c>
      <c r="H4392" s="36" t="s">
        <v>4477</v>
      </c>
      <c r="I4392" s="36" t="s">
        <v>3461</v>
      </c>
      <c r="J4392" s="36">
        <f t="shared" si="575"/>
        <v>35.200000000000003</v>
      </c>
      <c r="K4392" s="36">
        <f t="shared" si="576"/>
        <v>107.73333333333333</v>
      </c>
      <c r="L4392" s="36">
        <v>1220</v>
      </c>
      <c r="O4392" s="36">
        <v>487.3</v>
      </c>
      <c r="P4392" s="36">
        <v>589</v>
      </c>
      <c r="R4392" s="51" t="s">
        <v>1847</v>
      </c>
      <c r="S4392" s="51" t="s">
        <v>1722</v>
      </c>
      <c r="T4392" s="51" t="s">
        <v>1110</v>
      </c>
      <c r="U4392" s="51" t="s">
        <v>4478</v>
      </c>
      <c r="V4392" s="51" t="s">
        <v>1383</v>
      </c>
      <c r="W4392" s="51" t="s">
        <v>1715</v>
      </c>
      <c r="X4392" s="51" t="s">
        <v>1383</v>
      </c>
      <c r="Y4392" s="51" t="s">
        <v>1383</v>
      </c>
      <c r="AA4392" s="331"/>
      <c r="AB4392" s="331"/>
      <c r="AC4392" s="36" t="s">
        <v>450</v>
      </c>
      <c r="AD4392" s="36">
        <v>8.11</v>
      </c>
      <c r="AE4392" s="36">
        <v>1.2</v>
      </c>
      <c r="AH4392" s="36" t="s">
        <v>158</v>
      </c>
      <c r="AI4392" s="36" t="s">
        <v>577</v>
      </c>
      <c r="AJ4392" s="36" t="s">
        <v>116</v>
      </c>
      <c r="AK4392" s="36" t="s">
        <v>116</v>
      </c>
      <c r="AW4392" s="36" t="s">
        <v>160</v>
      </c>
      <c r="AX4392" s="36">
        <v>3</v>
      </c>
      <c r="AZ4392" s="36" t="s">
        <v>2121</v>
      </c>
      <c r="BE4392" s="36" t="s">
        <v>4489</v>
      </c>
      <c r="BP4392" s="407"/>
      <c r="BQ4392" s="407"/>
      <c r="BU4392" s="407"/>
      <c r="BV4392" s="407"/>
      <c r="BZ4392" s="407"/>
      <c r="CA4392" s="407"/>
      <c r="CE4392" s="560"/>
      <c r="CF4392" s="560"/>
      <c r="CG4392" s="560"/>
      <c r="CH4392" s="560"/>
      <c r="CJ4392" s="36">
        <v>13.69</v>
      </c>
      <c r="CK4392" s="36">
        <v>11.9</v>
      </c>
      <c r="CL4392" s="36">
        <v>1.8100000000000005</v>
      </c>
      <c r="CM4392" s="36">
        <f>13.86-CK4392</f>
        <v>1.9599999999999991</v>
      </c>
      <c r="CN4392" s="36" t="s">
        <v>4488</v>
      </c>
      <c r="JD4392" s="230"/>
    </row>
    <row r="4393" spans="1:264" s="36" customFormat="1" x14ac:dyDescent="0.25">
      <c r="A4393" s="36">
        <v>193</v>
      </c>
      <c r="B4393" s="51" t="s">
        <v>4494</v>
      </c>
      <c r="C4393" s="36" t="s">
        <v>4475</v>
      </c>
      <c r="D4393" s="36" t="s">
        <v>4476</v>
      </c>
      <c r="E4393" s="36">
        <v>2016</v>
      </c>
      <c r="F4393" s="36">
        <v>2010</v>
      </c>
      <c r="G4393" s="36" t="s">
        <v>4482</v>
      </c>
      <c r="H4393" s="36" t="s">
        <v>4477</v>
      </c>
      <c r="I4393" s="36" t="s">
        <v>3461</v>
      </c>
      <c r="J4393" s="36">
        <f t="shared" si="575"/>
        <v>35.200000000000003</v>
      </c>
      <c r="K4393" s="36">
        <f t="shared" si="576"/>
        <v>107.73333333333333</v>
      </c>
      <c r="L4393" s="36">
        <v>1220</v>
      </c>
      <c r="O4393" s="36">
        <v>487.3</v>
      </c>
      <c r="P4393" s="36">
        <v>589</v>
      </c>
      <c r="R4393" s="51" t="s">
        <v>1847</v>
      </c>
      <c r="S4393" s="51" t="s">
        <v>1722</v>
      </c>
      <c r="T4393" s="51" t="s">
        <v>1110</v>
      </c>
      <c r="U4393" s="51" t="s">
        <v>4478</v>
      </c>
      <c r="V4393" s="51" t="s">
        <v>1384</v>
      </c>
      <c r="W4393" s="51" t="s">
        <v>1715</v>
      </c>
      <c r="X4393" s="51" t="s">
        <v>1384</v>
      </c>
      <c r="Y4393" s="51" t="s">
        <v>1384</v>
      </c>
      <c r="AA4393" s="331"/>
      <c r="AB4393" s="331"/>
      <c r="AC4393" s="36" t="s">
        <v>450</v>
      </c>
      <c r="AD4393" s="36">
        <v>8.11</v>
      </c>
      <c r="AE4393" s="36">
        <v>1.2</v>
      </c>
      <c r="AH4393" s="36" t="s">
        <v>158</v>
      </c>
      <c r="AI4393" s="36" t="s">
        <v>577</v>
      </c>
      <c r="AJ4393" s="36" t="s">
        <v>116</v>
      </c>
      <c r="AK4393" s="36" t="s">
        <v>116</v>
      </c>
      <c r="AW4393" s="36" t="s">
        <v>160</v>
      </c>
      <c r="AX4393" s="36">
        <v>3</v>
      </c>
      <c r="AZ4393" s="36" t="s">
        <v>2121</v>
      </c>
      <c r="BE4393" s="36" t="s">
        <v>4489</v>
      </c>
      <c r="BP4393" s="407"/>
      <c r="BQ4393" s="407"/>
      <c r="BU4393" s="407"/>
      <c r="BV4393" s="407"/>
      <c r="BZ4393" s="407"/>
      <c r="CA4393" s="407"/>
      <c r="CE4393" s="560"/>
      <c r="CF4393" s="560"/>
      <c r="CG4393" s="560"/>
      <c r="CH4393" s="560"/>
      <c r="CJ4393" s="36">
        <v>10.94</v>
      </c>
      <c r="CK4393" s="36">
        <v>10.78</v>
      </c>
      <c r="CL4393" s="36">
        <v>1.9600000000000009</v>
      </c>
      <c r="CM4393" s="36">
        <v>2</v>
      </c>
      <c r="CN4393" s="36" t="s">
        <v>4488</v>
      </c>
      <c r="JD4393" s="230"/>
    </row>
    <row r="4394" spans="1:264" s="36" customFormat="1" x14ac:dyDescent="0.25">
      <c r="A4394" s="36">
        <v>193</v>
      </c>
      <c r="B4394" s="51" t="s">
        <v>4495</v>
      </c>
      <c r="C4394" s="36" t="s">
        <v>4475</v>
      </c>
      <c r="D4394" s="36" t="s">
        <v>4476</v>
      </c>
      <c r="E4394" s="36">
        <v>2016</v>
      </c>
      <c r="F4394" s="36">
        <v>2010</v>
      </c>
      <c r="G4394" s="36" t="s">
        <v>4482</v>
      </c>
      <c r="H4394" s="36" t="s">
        <v>4477</v>
      </c>
      <c r="I4394" s="36" t="s">
        <v>3461</v>
      </c>
      <c r="J4394" s="36">
        <f t="shared" si="575"/>
        <v>35.200000000000003</v>
      </c>
      <c r="K4394" s="36">
        <f t="shared" si="576"/>
        <v>107.73333333333333</v>
      </c>
      <c r="L4394" s="36">
        <v>1220</v>
      </c>
      <c r="O4394" s="36">
        <v>487.3</v>
      </c>
      <c r="P4394" s="36">
        <v>589</v>
      </c>
      <c r="R4394" s="51" t="s">
        <v>1847</v>
      </c>
      <c r="S4394" s="51" t="s">
        <v>1722</v>
      </c>
      <c r="T4394" s="51" t="s">
        <v>1110</v>
      </c>
      <c r="U4394" s="51" t="s">
        <v>4478</v>
      </c>
      <c r="V4394" s="51" t="s">
        <v>1385</v>
      </c>
      <c r="W4394" s="51" t="s">
        <v>1715</v>
      </c>
      <c r="X4394" s="51" t="s">
        <v>1385</v>
      </c>
      <c r="Y4394" s="51" t="s">
        <v>1385</v>
      </c>
      <c r="AA4394" s="331"/>
      <c r="AB4394" s="331"/>
      <c r="AC4394" s="36" t="s">
        <v>450</v>
      </c>
      <c r="AD4394" s="36">
        <v>8.11</v>
      </c>
      <c r="AE4394" s="36">
        <v>1.2</v>
      </c>
      <c r="AH4394" s="36" t="s">
        <v>158</v>
      </c>
      <c r="AI4394" s="36" t="s">
        <v>577</v>
      </c>
      <c r="AJ4394" s="36" t="s">
        <v>116</v>
      </c>
      <c r="AK4394" s="36" t="s">
        <v>116</v>
      </c>
      <c r="AW4394" s="36" t="s">
        <v>160</v>
      </c>
      <c r="AX4394" s="36">
        <v>3</v>
      </c>
      <c r="AZ4394" s="36" t="s">
        <v>2121</v>
      </c>
      <c r="BE4394" s="36" t="s">
        <v>4489</v>
      </c>
      <c r="BP4394" s="407"/>
      <c r="BQ4394" s="407"/>
      <c r="BU4394" s="407"/>
      <c r="BV4394" s="407"/>
      <c r="BZ4394" s="407"/>
      <c r="CA4394" s="407"/>
      <c r="CE4394" s="560"/>
      <c r="CF4394" s="560"/>
      <c r="CG4394" s="560"/>
      <c r="CH4394" s="560"/>
      <c r="CJ4394" s="36">
        <v>12.11</v>
      </c>
      <c r="CK4394" s="36">
        <v>8.68</v>
      </c>
      <c r="CL4394" s="36">
        <v>1.9700000000000006</v>
      </c>
      <c r="CM4394" s="36">
        <v>2</v>
      </c>
      <c r="CN4394" s="36" t="s">
        <v>4488</v>
      </c>
      <c r="JD4394" s="230"/>
    </row>
    <row r="4395" spans="1:264" s="36" customFormat="1" x14ac:dyDescent="0.25">
      <c r="A4395" s="36">
        <v>193</v>
      </c>
      <c r="B4395" s="51" t="s">
        <v>4496</v>
      </c>
      <c r="C4395" s="36" t="s">
        <v>4475</v>
      </c>
      <c r="D4395" s="36" t="s">
        <v>4476</v>
      </c>
      <c r="E4395" s="36">
        <v>2016</v>
      </c>
      <c r="F4395" s="36">
        <v>2010</v>
      </c>
      <c r="G4395" s="36" t="s">
        <v>4482</v>
      </c>
      <c r="H4395" s="36" t="s">
        <v>4477</v>
      </c>
      <c r="I4395" s="36" t="s">
        <v>3461</v>
      </c>
      <c r="J4395" s="36">
        <f t="shared" si="575"/>
        <v>35.200000000000003</v>
      </c>
      <c r="K4395" s="36">
        <f t="shared" si="576"/>
        <v>107.73333333333333</v>
      </c>
      <c r="L4395" s="36">
        <v>1220</v>
      </c>
      <c r="O4395" s="36">
        <v>487.3</v>
      </c>
      <c r="P4395" s="36">
        <v>589</v>
      </c>
      <c r="R4395" s="51" t="s">
        <v>1847</v>
      </c>
      <c r="S4395" s="51" t="s">
        <v>1722</v>
      </c>
      <c r="T4395" s="51" t="s">
        <v>1110</v>
      </c>
      <c r="U4395" s="51" t="s">
        <v>4478</v>
      </c>
      <c r="V4395" s="51" t="s">
        <v>1386</v>
      </c>
      <c r="W4395" s="51" t="s">
        <v>1715</v>
      </c>
      <c r="X4395" s="51" t="s">
        <v>1386</v>
      </c>
      <c r="Y4395" s="51" t="s">
        <v>1386</v>
      </c>
      <c r="AA4395" s="331"/>
      <c r="AB4395" s="331"/>
      <c r="AC4395" s="36" t="s">
        <v>450</v>
      </c>
      <c r="AD4395" s="36">
        <v>8.11</v>
      </c>
      <c r="AE4395" s="36">
        <v>1.2</v>
      </c>
      <c r="AH4395" s="36" t="s">
        <v>158</v>
      </c>
      <c r="AI4395" s="36" t="s">
        <v>577</v>
      </c>
      <c r="AJ4395" s="36" t="s">
        <v>116</v>
      </c>
      <c r="AK4395" s="36" t="s">
        <v>116</v>
      </c>
      <c r="AW4395" s="36" t="s">
        <v>160</v>
      </c>
      <c r="AX4395" s="36">
        <v>3</v>
      </c>
      <c r="AZ4395" s="36" t="s">
        <v>2121</v>
      </c>
      <c r="BE4395" s="36" t="s">
        <v>4489</v>
      </c>
      <c r="BP4395" s="407"/>
      <c r="BQ4395" s="407"/>
      <c r="BU4395" s="407"/>
      <c r="BV4395" s="407"/>
      <c r="BZ4395" s="407"/>
      <c r="CA4395" s="407"/>
      <c r="CE4395" s="560"/>
      <c r="CF4395" s="560"/>
      <c r="CG4395" s="560"/>
      <c r="CH4395" s="560"/>
      <c r="CJ4395" s="36">
        <v>13.61</v>
      </c>
      <c r="CK4395" s="36">
        <v>10.83</v>
      </c>
      <c r="CL4395" s="36">
        <v>2.7800000000000011</v>
      </c>
      <c r="CM4395" s="36">
        <v>2</v>
      </c>
      <c r="CN4395" s="36" t="s">
        <v>4488</v>
      </c>
      <c r="JD4395" s="230"/>
    </row>
    <row r="4396" spans="1:264" s="36" customFormat="1" x14ac:dyDescent="0.25">
      <c r="A4396" s="36">
        <v>193</v>
      </c>
      <c r="B4396" s="51" t="s">
        <v>4497</v>
      </c>
      <c r="C4396" s="36" t="s">
        <v>4475</v>
      </c>
      <c r="D4396" s="36" t="s">
        <v>4476</v>
      </c>
      <c r="E4396" s="36">
        <v>2016</v>
      </c>
      <c r="F4396" s="36">
        <v>2010</v>
      </c>
      <c r="G4396" s="36" t="s">
        <v>4482</v>
      </c>
      <c r="H4396" s="36" t="s">
        <v>4477</v>
      </c>
      <c r="I4396" s="36" t="s">
        <v>3461</v>
      </c>
      <c r="J4396" s="36">
        <f t="shared" si="575"/>
        <v>35.200000000000003</v>
      </c>
      <c r="K4396" s="36">
        <f t="shared" si="576"/>
        <v>107.73333333333333</v>
      </c>
      <c r="L4396" s="36">
        <v>1220</v>
      </c>
      <c r="O4396" s="36">
        <v>487.3</v>
      </c>
      <c r="P4396" s="36">
        <v>589</v>
      </c>
      <c r="R4396" s="51" t="s">
        <v>1847</v>
      </c>
      <c r="S4396" s="51" t="s">
        <v>1722</v>
      </c>
      <c r="T4396" s="51" t="s">
        <v>1110</v>
      </c>
      <c r="U4396" s="51" t="s">
        <v>4478</v>
      </c>
      <c r="V4396" s="36" t="s">
        <v>4487</v>
      </c>
      <c r="W4396" s="51" t="s">
        <v>1715</v>
      </c>
      <c r="X4396" s="36" t="s">
        <v>4487</v>
      </c>
      <c r="Y4396" s="36" t="s">
        <v>4487</v>
      </c>
      <c r="AA4396" s="331"/>
      <c r="AB4396" s="331"/>
      <c r="AC4396" s="36" t="s">
        <v>450</v>
      </c>
      <c r="AD4396" s="36">
        <v>8.11</v>
      </c>
      <c r="AE4396" s="36">
        <v>1.2</v>
      </c>
      <c r="AH4396" s="36" t="s">
        <v>158</v>
      </c>
      <c r="AI4396" s="36" t="s">
        <v>577</v>
      </c>
      <c r="AJ4396" s="36" t="s">
        <v>116</v>
      </c>
      <c r="AK4396" s="36" t="s">
        <v>116</v>
      </c>
      <c r="AW4396" s="36" t="s">
        <v>160</v>
      </c>
      <c r="AX4396" s="36">
        <v>3</v>
      </c>
      <c r="AZ4396" s="36" t="s">
        <v>2121</v>
      </c>
      <c r="BE4396" s="36" t="s">
        <v>4489</v>
      </c>
      <c r="BP4396" s="407"/>
      <c r="BQ4396" s="407"/>
      <c r="BU4396" s="407"/>
      <c r="BV4396" s="407"/>
      <c r="BZ4396" s="407"/>
      <c r="CA4396" s="407"/>
      <c r="CE4396" s="560"/>
      <c r="CF4396" s="560"/>
      <c r="CG4396" s="560"/>
      <c r="CH4396" s="560"/>
      <c r="CJ4396" s="36">
        <v>15.1</v>
      </c>
      <c r="CK4396" s="36">
        <v>11.84</v>
      </c>
      <c r="CL4396" s="36">
        <v>1.3200000000000021</v>
      </c>
      <c r="CM4396" s="36">
        <v>2</v>
      </c>
      <c r="CN4396" s="36" t="s">
        <v>4488</v>
      </c>
      <c r="JD4396" s="230"/>
    </row>
    <row r="4397" spans="1:264" s="36" customFormat="1" x14ac:dyDescent="0.25">
      <c r="A4397" s="36">
        <v>193</v>
      </c>
      <c r="B4397" s="51" t="s">
        <v>4498</v>
      </c>
      <c r="C4397" s="36" t="s">
        <v>4475</v>
      </c>
      <c r="D4397" s="36" t="s">
        <v>4476</v>
      </c>
      <c r="E4397" s="36">
        <v>2016</v>
      </c>
      <c r="F4397" s="36">
        <v>2010</v>
      </c>
      <c r="G4397" s="36" t="s">
        <v>4482</v>
      </c>
      <c r="H4397" s="36" t="s">
        <v>4477</v>
      </c>
      <c r="I4397" s="36" t="s">
        <v>3461</v>
      </c>
      <c r="J4397" s="36">
        <f t="shared" si="575"/>
        <v>35.200000000000003</v>
      </c>
      <c r="K4397" s="36">
        <f t="shared" si="576"/>
        <v>107.73333333333333</v>
      </c>
      <c r="L4397" s="36">
        <v>1220</v>
      </c>
      <c r="O4397" s="36">
        <v>487.3</v>
      </c>
      <c r="P4397" s="36">
        <v>589</v>
      </c>
      <c r="R4397" s="51" t="s">
        <v>1847</v>
      </c>
      <c r="S4397" s="51" t="s">
        <v>1722</v>
      </c>
      <c r="T4397" s="51" t="s">
        <v>1110</v>
      </c>
      <c r="U4397" s="51" t="s">
        <v>4478</v>
      </c>
      <c r="V4397" s="51" t="s">
        <v>4483</v>
      </c>
      <c r="W4397" s="51" t="s">
        <v>1715</v>
      </c>
      <c r="X4397" s="51" t="s">
        <v>4483</v>
      </c>
      <c r="Y4397" s="51" t="s">
        <v>4483</v>
      </c>
      <c r="AA4397" s="331"/>
      <c r="AB4397" s="331"/>
      <c r="AC4397" s="36" t="s">
        <v>450</v>
      </c>
      <c r="AD4397" s="36">
        <v>8.11</v>
      </c>
      <c r="AE4397" s="36">
        <v>1.2</v>
      </c>
      <c r="AH4397" s="36" t="s">
        <v>158</v>
      </c>
      <c r="AI4397" s="36" t="s">
        <v>577</v>
      </c>
      <c r="AJ4397" s="36" t="s">
        <v>116</v>
      </c>
      <c r="AK4397" s="36" t="s">
        <v>116</v>
      </c>
      <c r="AW4397" s="36" t="s">
        <v>160</v>
      </c>
      <c r="AX4397" s="36">
        <v>3</v>
      </c>
      <c r="AZ4397" s="36" t="s">
        <v>2121</v>
      </c>
      <c r="BE4397" s="36" t="s">
        <v>4489</v>
      </c>
      <c r="BP4397" s="407"/>
      <c r="BQ4397" s="407"/>
      <c r="BU4397" s="407"/>
      <c r="BV4397" s="407"/>
      <c r="BZ4397" s="407"/>
      <c r="CA4397" s="407"/>
      <c r="CE4397" s="560"/>
      <c r="CF4397" s="560"/>
      <c r="CG4397" s="560"/>
      <c r="CH4397" s="560"/>
      <c r="CJ4397" s="36">
        <v>14.64</v>
      </c>
      <c r="CK4397" s="36">
        <v>12.35</v>
      </c>
      <c r="CL4397" s="36">
        <v>2.2899999999999991</v>
      </c>
      <c r="CM4397" s="36">
        <v>2</v>
      </c>
      <c r="CN4397" s="36" t="s">
        <v>4488</v>
      </c>
      <c r="JD4397" s="230"/>
    </row>
    <row r="4398" spans="1:264" s="36" customFormat="1" x14ac:dyDescent="0.25">
      <c r="A4398" s="36">
        <v>193</v>
      </c>
      <c r="B4398" s="51" t="s">
        <v>4499</v>
      </c>
      <c r="C4398" s="36" t="s">
        <v>4475</v>
      </c>
      <c r="D4398" s="36" t="s">
        <v>4476</v>
      </c>
      <c r="E4398" s="36">
        <v>2016</v>
      </c>
      <c r="F4398" s="36">
        <v>2010</v>
      </c>
      <c r="G4398" s="36" t="s">
        <v>4482</v>
      </c>
      <c r="H4398" s="36" t="s">
        <v>4477</v>
      </c>
      <c r="I4398" s="36" t="s">
        <v>3461</v>
      </c>
      <c r="J4398" s="36">
        <f t="shared" si="575"/>
        <v>35.200000000000003</v>
      </c>
      <c r="K4398" s="36">
        <f t="shared" si="576"/>
        <v>107.73333333333333</v>
      </c>
      <c r="L4398" s="36">
        <v>1220</v>
      </c>
      <c r="O4398" s="36">
        <v>487.3</v>
      </c>
      <c r="P4398" s="36">
        <v>589</v>
      </c>
      <c r="R4398" s="51" t="s">
        <v>1847</v>
      </c>
      <c r="S4398" s="51" t="s">
        <v>1722</v>
      </c>
      <c r="T4398" s="51" t="s">
        <v>1110</v>
      </c>
      <c r="U4398" s="51" t="s">
        <v>4478</v>
      </c>
      <c r="V4398" s="51" t="s">
        <v>4484</v>
      </c>
      <c r="W4398" s="51" t="s">
        <v>1715</v>
      </c>
      <c r="X4398" s="51" t="s">
        <v>4484</v>
      </c>
      <c r="Y4398" s="51" t="s">
        <v>4484</v>
      </c>
      <c r="AA4398" s="331"/>
      <c r="AB4398" s="331"/>
      <c r="AC4398" s="36" t="s">
        <v>450</v>
      </c>
      <c r="AD4398" s="36">
        <v>8.11</v>
      </c>
      <c r="AE4398" s="36">
        <v>1.2</v>
      </c>
      <c r="AH4398" s="36" t="s">
        <v>158</v>
      </c>
      <c r="AI4398" s="36" t="s">
        <v>577</v>
      </c>
      <c r="AJ4398" s="36" t="s">
        <v>116</v>
      </c>
      <c r="AK4398" s="36" t="s">
        <v>116</v>
      </c>
      <c r="AW4398" s="36" t="s">
        <v>160</v>
      </c>
      <c r="AX4398" s="36">
        <v>3</v>
      </c>
      <c r="AZ4398" s="36" t="s">
        <v>2121</v>
      </c>
      <c r="BE4398" s="36" t="s">
        <v>4489</v>
      </c>
      <c r="BP4398" s="407"/>
      <c r="BQ4398" s="407"/>
      <c r="BU4398" s="407"/>
      <c r="BV4398" s="407"/>
      <c r="BZ4398" s="407"/>
      <c r="CA4398" s="407"/>
      <c r="CE4398" s="560"/>
      <c r="CF4398" s="560"/>
      <c r="CG4398" s="560"/>
      <c r="CH4398" s="560"/>
      <c r="CJ4398" s="36">
        <v>19.57</v>
      </c>
      <c r="CK4398" s="36">
        <v>12.87</v>
      </c>
      <c r="CL4398" s="36">
        <v>3.1099999999999994</v>
      </c>
      <c r="CM4398" s="36">
        <v>2</v>
      </c>
      <c r="CN4398" s="36" t="s">
        <v>4488</v>
      </c>
      <c r="JD4398" s="230"/>
    </row>
    <row r="4399" spans="1:264" s="36" customFormat="1" x14ac:dyDescent="0.25">
      <c r="A4399" s="36">
        <v>193</v>
      </c>
      <c r="B4399" s="51" t="s">
        <v>4500</v>
      </c>
      <c r="C4399" s="36" t="s">
        <v>4475</v>
      </c>
      <c r="D4399" s="36" t="s">
        <v>4476</v>
      </c>
      <c r="E4399" s="36">
        <v>2016</v>
      </c>
      <c r="F4399" s="36">
        <v>2010</v>
      </c>
      <c r="G4399" s="36" t="s">
        <v>4482</v>
      </c>
      <c r="H4399" s="36" t="s">
        <v>4477</v>
      </c>
      <c r="I4399" s="36" t="s">
        <v>3461</v>
      </c>
      <c r="J4399" s="36">
        <f t="shared" si="575"/>
        <v>35.200000000000003</v>
      </c>
      <c r="K4399" s="36">
        <f t="shared" si="576"/>
        <v>107.73333333333333</v>
      </c>
      <c r="L4399" s="36">
        <v>1220</v>
      </c>
      <c r="O4399" s="36">
        <v>487.3</v>
      </c>
      <c r="P4399" s="36">
        <v>589</v>
      </c>
      <c r="R4399" s="51" t="s">
        <v>1847</v>
      </c>
      <c r="S4399" s="51" t="s">
        <v>1722</v>
      </c>
      <c r="T4399" s="51" t="s">
        <v>1110</v>
      </c>
      <c r="U4399" s="51" t="s">
        <v>4478</v>
      </c>
      <c r="V4399" s="51" t="s">
        <v>4485</v>
      </c>
      <c r="W4399" s="51" t="s">
        <v>1715</v>
      </c>
      <c r="X4399" s="51" t="s">
        <v>4485</v>
      </c>
      <c r="Y4399" s="51" t="s">
        <v>4485</v>
      </c>
      <c r="AA4399" s="331"/>
      <c r="AB4399" s="331"/>
      <c r="AC4399" s="36" t="s">
        <v>450</v>
      </c>
      <c r="AD4399" s="36">
        <v>8.11</v>
      </c>
      <c r="AE4399" s="36">
        <v>1.2</v>
      </c>
      <c r="AH4399" s="36" t="s">
        <v>158</v>
      </c>
      <c r="AI4399" s="36" t="s">
        <v>577</v>
      </c>
      <c r="AJ4399" s="36" t="s">
        <v>116</v>
      </c>
      <c r="AK4399" s="36" t="s">
        <v>116</v>
      </c>
      <c r="AW4399" s="36" t="s">
        <v>160</v>
      </c>
      <c r="AX4399" s="36">
        <v>3</v>
      </c>
      <c r="AZ4399" s="36" t="s">
        <v>2121</v>
      </c>
      <c r="BE4399" s="36" t="s">
        <v>4489</v>
      </c>
      <c r="BP4399" s="407"/>
      <c r="BQ4399" s="407"/>
      <c r="BU4399" s="407"/>
      <c r="BV4399" s="407"/>
      <c r="BZ4399" s="407"/>
      <c r="CA4399" s="407"/>
      <c r="CE4399" s="560"/>
      <c r="CF4399" s="560"/>
      <c r="CG4399" s="560"/>
      <c r="CH4399" s="560"/>
      <c r="CJ4399" s="36">
        <v>23.19</v>
      </c>
      <c r="CK4399" s="36">
        <v>13.22</v>
      </c>
      <c r="CL4399" s="36">
        <v>4.09</v>
      </c>
      <c r="CM4399" s="36">
        <v>2</v>
      </c>
      <c r="CN4399" s="36" t="s">
        <v>4488</v>
      </c>
      <c r="JD4399" s="230"/>
    </row>
    <row r="4400" spans="1:264" s="36" customFormat="1" x14ac:dyDescent="0.25">
      <c r="A4400" s="36">
        <v>193</v>
      </c>
      <c r="B4400" s="51" t="s">
        <v>4501</v>
      </c>
      <c r="C4400" s="36" t="s">
        <v>4475</v>
      </c>
      <c r="D4400" s="36" t="s">
        <v>4476</v>
      </c>
      <c r="E4400" s="36">
        <v>2016</v>
      </c>
      <c r="F4400" s="36">
        <v>2010</v>
      </c>
      <c r="G4400" s="36" t="s">
        <v>4482</v>
      </c>
      <c r="H4400" s="36" t="s">
        <v>4477</v>
      </c>
      <c r="I4400" s="36" t="s">
        <v>3461</v>
      </c>
      <c r="J4400" s="36">
        <f t="shared" si="575"/>
        <v>35.200000000000003</v>
      </c>
      <c r="K4400" s="36">
        <f t="shared" si="576"/>
        <v>107.73333333333333</v>
      </c>
      <c r="L4400" s="36">
        <v>1220</v>
      </c>
      <c r="O4400" s="36">
        <v>487.3</v>
      </c>
      <c r="P4400" s="36">
        <v>589</v>
      </c>
      <c r="R4400" s="51" t="s">
        <v>1847</v>
      </c>
      <c r="S4400" s="51" t="s">
        <v>1722</v>
      </c>
      <c r="T4400" s="51" t="s">
        <v>1110</v>
      </c>
      <c r="U4400" s="51" t="s">
        <v>4478</v>
      </c>
      <c r="V4400" s="51" t="s">
        <v>4486</v>
      </c>
      <c r="W4400" s="51" t="s">
        <v>1715</v>
      </c>
      <c r="X4400" s="51" t="s">
        <v>4486</v>
      </c>
      <c r="Y4400" s="51" t="s">
        <v>4486</v>
      </c>
      <c r="AA4400" s="331"/>
      <c r="AB4400" s="331"/>
      <c r="AC4400" s="36" t="s">
        <v>450</v>
      </c>
      <c r="AD4400" s="36">
        <v>8.11</v>
      </c>
      <c r="AE4400" s="36">
        <v>1.2</v>
      </c>
      <c r="AH4400" s="36" t="s">
        <v>158</v>
      </c>
      <c r="AI4400" s="36" t="s">
        <v>577</v>
      </c>
      <c r="AJ4400" s="36" t="s">
        <v>116</v>
      </c>
      <c r="AK4400" s="36" t="s">
        <v>116</v>
      </c>
      <c r="AW4400" s="36" t="s">
        <v>160</v>
      </c>
      <c r="AX4400" s="36">
        <v>3</v>
      </c>
      <c r="AZ4400" s="36" t="s">
        <v>2121</v>
      </c>
      <c r="BE4400" s="36" t="s">
        <v>4489</v>
      </c>
      <c r="BP4400" s="407"/>
      <c r="BQ4400" s="407"/>
      <c r="BU4400" s="407"/>
      <c r="BV4400" s="407"/>
      <c r="BZ4400" s="407"/>
      <c r="CA4400" s="407"/>
      <c r="CE4400" s="560"/>
      <c r="CF4400" s="560"/>
      <c r="CG4400" s="560"/>
      <c r="CH4400" s="560"/>
      <c r="CJ4400" s="36">
        <v>29.92</v>
      </c>
      <c r="CK4400" s="36">
        <v>16.510000000000002</v>
      </c>
      <c r="CL4400" s="36">
        <v>2.0799999999999983</v>
      </c>
      <c r="CM4400" s="36">
        <v>2</v>
      </c>
      <c r="CN4400" s="36" t="s">
        <v>4488</v>
      </c>
      <c r="JD4400" s="230"/>
    </row>
    <row r="4401" spans="1:264" s="126" customFormat="1" x14ac:dyDescent="0.25">
      <c r="A4401" s="126">
        <v>193</v>
      </c>
      <c r="B4401" s="478" t="s">
        <v>4492</v>
      </c>
      <c r="C4401" s="126" t="s">
        <v>4475</v>
      </c>
      <c r="D4401" s="126" t="s">
        <v>4476</v>
      </c>
      <c r="E4401" s="126">
        <v>2016</v>
      </c>
      <c r="F4401" s="126">
        <v>2010</v>
      </c>
      <c r="G4401" s="126" t="s">
        <v>4482</v>
      </c>
      <c r="H4401" s="126" t="s">
        <v>4477</v>
      </c>
      <c r="I4401" s="126" t="s">
        <v>3461</v>
      </c>
      <c r="J4401" s="126">
        <f t="shared" ref="J4401:J4432" si="577">35+12/60</f>
        <v>35.200000000000003</v>
      </c>
      <c r="K4401" s="126">
        <f t="shared" ref="K4401:K4432" si="578">107+44/60</f>
        <v>107.73333333333333</v>
      </c>
      <c r="L4401" s="126">
        <v>1220</v>
      </c>
      <c r="O4401" s="126">
        <v>487.3</v>
      </c>
      <c r="P4401" s="126">
        <v>589</v>
      </c>
      <c r="R4401" s="478" t="s">
        <v>1847</v>
      </c>
      <c r="S4401" s="478" t="s">
        <v>1722</v>
      </c>
      <c r="T4401" s="478" t="s">
        <v>1110</v>
      </c>
      <c r="U4401" s="478" t="s">
        <v>4478</v>
      </c>
      <c r="V4401" s="478" t="s">
        <v>1379</v>
      </c>
      <c r="W4401" s="478" t="s">
        <v>1715</v>
      </c>
      <c r="X4401" s="478" t="s">
        <v>1379</v>
      </c>
      <c r="Y4401" s="478" t="s">
        <v>1379</v>
      </c>
      <c r="AA4401" s="479"/>
      <c r="AB4401" s="479"/>
      <c r="AC4401" s="126" t="s">
        <v>450</v>
      </c>
      <c r="AD4401" s="126">
        <v>8.11</v>
      </c>
      <c r="AE4401" s="126">
        <v>1.2</v>
      </c>
      <c r="AH4401" s="126" t="s">
        <v>4481</v>
      </c>
      <c r="AI4401" s="126" t="s">
        <v>577</v>
      </c>
      <c r="AJ4401" s="126" t="s">
        <v>116</v>
      </c>
      <c r="AK4401" s="126" t="s">
        <v>116</v>
      </c>
      <c r="AW4401" s="126" t="s">
        <v>160</v>
      </c>
      <c r="AX4401" s="126">
        <v>3</v>
      </c>
      <c r="AZ4401" s="126" t="s">
        <v>2121</v>
      </c>
      <c r="BE4401" s="126" t="s">
        <v>4489</v>
      </c>
      <c r="BP4401" s="481"/>
      <c r="BQ4401" s="481"/>
      <c r="BU4401" s="481"/>
      <c r="BV4401" s="481"/>
      <c r="BZ4401" s="481"/>
      <c r="CA4401" s="481"/>
      <c r="CE4401" s="605"/>
      <c r="CF4401" s="605"/>
      <c r="CG4401" s="605"/>
      <c r="CH4401" s="605"/>
      <c r="CJ4401" s="126">
        <v>19.72</v>
      </c>
      <c r="CK4401" s="126">
        <v>22</v>
      </c>
      <c r="CL4401" s="126">
        <f>CJ4401-17.27</f>
        <v>2.4499999999999993</v>
      </c>
      <c r="CM4401" s="126">
        <f>27.4-CK4401</f>
        <v>5.3999999999999986</v>
      </c>
      <c r="CN4401" s="126" t="s">
        <v>4488</v>
      </c>
      <c r="JD4401" s="480"/>
    </row>
    <row r="4402" spans="1:264" s="126" customFormat="1" x14ac:dyDescent="0.25">
      <c r="A4402" s="126">
        <v>193</v>
      </c>
      <c r="B4402" s="478" t="s">
        <v>4493</v>
      </c>
      <c r="C4402" s="126" t="s">
        <v>4475</v>
      </c>
      <c r="D4402" s="126" t="s">
        <v>4476</v>
      </c>
      <c r="E4402" s="126">
        <v>2016</v>
      </c>
      <c r="F4402" s="126">
        <v>2010</v>
      </c>
      <c r="G4402" s="126" t="s">
        <v>4482</v>
      </c>
      <c r="H4402" s="126" t="s">
        <v>4477</v>
      </c>
      <c r="I4402" s="126" t="s">
        <v>3461</v>
      </c>
      <c r="J4402" s="126">
        <f t="shared" si="577"/>
        <v>35.200000000000003</v>
      </c>
      <c r="K4402" s="126">
        <f t="shared" si="578"/>
        <v>107.73333333333333</v>
      </c>
      <c r="L4402" s="126">
        <v>1220</v>
      </c>
      <c r="O4402" s="126">
        <v>487.3</v>
      </c>
      <c r="P4402" s="126">
        <v>589</v>
      </c>
      <c r="R4402" s="478" t="s">
        <v>1847</v>
      </c>
      <c r="S4402" s="478" t="s">
        <v>1722</v>
      </c>
      <c r="T4402" s="478" t="s">
        <v>1110</v>
      </c>
      <c r="U4402" s="478" t="s">
        <v>4478</v>
      </c>
      <c r="V4402" s="478" t="s">
        <v>1383</v>
      </c>
      <c r="W4402" s="478" t="s">
        <v>1715</v>
      </c>
      <c r="X4402" s="478" t="s">
        <v>1383</v>
      </c>
      <c r="Y4402" s="478" t="s">
        <v>1383</v>
      </c>
      <c r="AA4402" s="479"/>
      <c r="AB4402" s="479"/>
      <c r="AC4402" s="126" t="s">
        <v>450</v>
      </c>
      <c r="AD4402" s="126">
        <v>8.11</v>
      </c>
      <c r="AE4402" s="126">
        <v>1.2</v>
      </c>
      <c r="AH4402" s="126" t="s">
        <v>4481</v>
      </c>
      <c r="AI4402" s="126" t="s">
        <v>577</v>
      </c>
      <c r="AJ4402" s="126" t="s">
        <v>116</v>
      </c>
      <c r="AK4402" s="126" t="s">
        <v>116</v>
      </c>
      <c r="AW4402" s="126" t="s">
        <v>160</v>
      </c>
      <c r="AX4402" s="126">
        <v>3</v>
      </c>
      <c r="AZ4402" s="126" t="s">
        <v>2121</v>
      </c>
      <c r="BE4402" s="126" t="s">
        <v>4489</v>
      </c>
      <c r="BP4402" s="481"/>
      <c r="BQ4402" s="481"/>
      <c r="BU4402" s="481"/>
      <c r="BV4402" s="481"/>
      <c r="BZ4402" s="481"/>
      <c r="CA4402" s="481"/>
      <c r="CE4402" s="605"/>
      <c r="CF4402" s="605"/>
      <c r="CG4402" s="605"/>
      <c r="CH4402" s="605"/>
      <c r="CJ4402" s="126">
        <v>13.69</v>
      </c>
      <c r="CK4402" s="126">
        <v>10.1</v>
      </c>
      <c r="CL4402" s="126">
        <f>15.5-CJ4402</f>
        <v>1.8100000000000005</v>
      </c>
      <c r="CM4402" s="126">
        <f>12.23-CK4402</f>
        <v>2.1300000000000008</v>
      </c>
      <c r="CN4402" s="126" t="s">
        <v>4488</v>
      </c>
      <c r="JD4402" s="480"/>
    </row>
    <row r="4403" spans="1:264" s="126" customFormat="1" x14ac:dyDescent="0.25">
      <c r="A4403" s="126">
        <v>193</v>
      </c>
      <c r="B4403" s="478" t="s">
        <v>4494</v>
      </c>
      <c r="C4403" s="126" t="s">
        <v>4475</v>
      </c>
      <c r="D4403" s="126" t="s">
        <v>4476</v>
      </c>
      <c r="E4403" s="126">
        <v>2016</v>
      </c>
      <c r="F4403" s="126">
        <v>2010</v>
      </c>
      <c r="G4403" s="126" t="s">
        <v>4482</v>
      </c>
      <c r="H4403" s="126" t="s">
        <v>4477</v>
      </c>
      <c r="I4403" s="126" t="s">
        <v>3461</v>
      </c>
      <c r="J4403" s="126">
        <f t="shared" si="577"/>
        <v>35.200000000000003</v>
      </c>
      <c r="K4403" s="126">
        <f t="shared" si="578"/>
        <v>107.73333333333333</v>
      </c>
      <c r="L4403" s="126">
        <v>1220</v>
      </c>
      <c r="O4403" s="126">
        <v>487.3</v>
      </c>
      <c r="P4403" s="126">
        <v>589</v>
      </c>
      <c r="R4403" s="478" t="s">
        <v>1847</v>
      </c>
      <c r="S4403" s="478" t="s">
        <v>1722</v>
      </c>
      <c r="T4403" s="478" t="s">
        <v>1110</v>
      </c>
      <c r="U4403" s="478" t="s">
        <v>4478</v>
      </c>
      <c r="V4403" s="478" t="s">
        <v>1384</v>
      </c>
      <c r="W4403" s="478" t="s">
        <v>1715</v>
      </c>
      <c r="X4403" s="478" t="s">
        <v>1384</v>
      </c>
      <c r="Y4403" s="478" t="s">
        <v>1384</v>
      </c>
      <c r="AA4403" s="479"/>
      <c r="AB4403" s="479"/>
      <c r="AC4403" s="126" t="s">
        <v>450</v>
      </c>
      <c r="AD4403" s="126">
        <v>8.11</v>
      </c>
      <c r="AE4403" s="126">
        <v>1.2</v>
      </c>
      <c r="AH4403" s="126" t="s">
        <v>4481</v>
      </c>
      <c r="AI4403" s="126" t="s">
        <v>577</v>
      </c>
      <c r="AJ4403" s="126" t="s">
        <v>116</v>
      </c>
      <c r="AK4403" s="126" t="s">
        <v>116</v>
      </c>
      <c r="AW4403" s="126" t="s">
        <v>160</v>
      </c>
      <c r="AX4403" s="126">
        <v>3</v>
      </c>
      <c r="AZ4403" s="126" t="s">
        <v>2121</v>
      </c>
      <c r="BE4403" s="126" t="s">
        <v>4489</v>
      </c>
      <c r="BP4403" s="481"/>
      <c r="BQ4403" s="481"/>
      <c r="BU4403" s="481"/>
      <c r="BV4403" s="481"/>
      <c r="BZ4403" s="481"/>
      <c r="CA4403" s="481"/>
      <c r="CE4403" s="605"/>
      <c r="CF4403" s="605"/>
      <c r="CG4403" s="605"/>
      <c r="CH4403" s="605"/>
      <c r="CJ4403" s="126">
        <v>10.94</v>
      </c>
      <c r="CK4403" s="126">
        <v>9.8000000000000007</v>
      </c>
      <c r="CL4403" s="126">
        <f>12.9-CJ4403</f>
        <v>1.9600000000000009</v>
      </c>
      <c r="CM4403" s="126">
        <f>10.94-CK4403</f>
        <v>1.1399999999999988</v>
      </c>
      <c r="CN4403" s="126" t="s">
        <v>4488</v>
      </c>
      <c r="JD4403" s="480"/>
    </row>
    <row r="4404" spans="1:264" s="126" customFormat="1" x14ac:dyDescent="0.25">
      <c r="A4404" s="126">
        <v>193</v>
      </c>
      <c r="B4404" s="478" t="s">
        <v>4495</v>
      </c>
      <c r="C4404" s="126" t="s">
        <v>4475</v>
      </c>
      <c r="D4404" s="126" t="s">
        <v>4476</v>
      </c>
      <c r="E4404" s="126">
        <v>2016</v>
      </c>
      <c r="F4404" s="126">
        <v>2010</v>
      </c>
      <c r="G4404" s="126" t="s">
        <v>4482</v>
      </c>
      <c r="H4404" s="126" t="s">
        <v>4477</v>
      </c>
      <c r="I4404" s="126" t="s">
        <v>3461</v>
      </c>
      <c r="J4404" s="126">
        <f t="shared" si="577"/>
        <v>35.200000000000003</v>
      </c>
      <c r="K4404" s="126">
        <f t="shared" si="578"/>
        <v>107.73333333333333</v>
      </c>
      <c r="L4404" s="126">
        <v>1220</v>
      </c>
      <c r="O4404" s="126">
        <v>487.3</v>
      </c>
      <c r="P4404" s="126">
        <v>589</v>
      </c>
      <c r="R4404" s="478" t="s">
        <v>1847</v>
      </c>
      <c r="S4404" s="478" t="s">
        <v>1722</v>
      </c>
      <c r="T4404" s="478" t="s">
        <v>1110</v>
      </c>
      <c r="U4404" s="478" t="s">
        <v>4478</v>
      </c>
      <c r="V4404" s="478" t="s">
        <v>1385</v>
      </c>
      <c r="W4404" s="478" t="s">
        <v>1715</v>
      </c>
      <c r="X4404" s="478" t="s">
        <v>1385</v>
      </c>
      <c r="Y4404" s="478" t="s">
        <v>1385</v>
      </c>
      <c r="AA4404" s="479"/>
      <c r="AB4404" s="479"/>
      <c r="AC4404" s="126" t="s">
        <v>450</v>
      </c>
      <c r="AD4404" s="126">
        <v>8.11</v>
      </c>
      <c r="AE4404" s="126">
        <v>1.2</v>
      </c>
      <c r="AH4404" s="126" t="s">
        <v>4481</v>
      </c>
      <c r="AI4404" s="126" t="s">
        <v>577</v>
      </c>
      <c r="AJ4404" s="126" t="s">
        <v>116</v>
      </c>
      <c r="AK4404" s="126" t="s">
        <v>116</v>
      </c>
      <c r="AW4404" s="126" t="s">
        <v>160</v>
      </c>
      <c r="AX4404" s="126">
        <v>3</v>
      </c>
      <c r="AZ4404" s="126" t="s">
        <v>2121</v>
      </c>
      <c r="BE4404" s="126" t="s">
        <v>4489</v>
      </c>
      <c r="BP4404" s="481"/>
      <c r="BQ4404" s="481"/>
      <c r="BU4404" s="481"/>
      <c r="BV4404" s="481"/>
      <c r="BZ4404" s="481"/>
      <c r="CA4404" s="481"/>
      <c r="CE4404" s="605"/>
      <c r="CF4404" s="605"/>
      <c r="CG4404" s="605"/>
      <c r="CH4404" s="605"/>
      <c r="CJ4404" s="126">
        <v>12.11</v>
      </c>
      <c r="CK4404" s="126">
        <v>8.02</v>
      </c>
      <c r="CL4404" s="126">
        <f>14.08-CJ4404</f>
        <v>1.9700000000000006</v>
      </c>
      <c r="CM4404" s="126">
        <f>9.99-CK4404</f>
        <v>1.9700000000000006</v>
      </c>
      <c r="CN4404" s="126" t="s">
        <v>4488</v>
      </c>
      <c r="JD4404" s="480"/>
    </row>
    <row r="4405" spans="1:264" s="126" customFormat="1" x14ac:dyDescent="0.25">
      <c r="A4405" s="126">
        <v>193</v>
      </c>
      <c r="B4405" s="478" t="s">
        <v>4496</v>
      </c>
      <c r="C4405" s="126" t="s">
        <v>4475</v>
      </c>
      <c r="D4405" s="126" t="s">
        <v>4476</v>
      </c>
      <c r="E4405" s="126">
        <v>2016</v>
      </c>
      <c r="F4405" s="126">
        <v>2010</v>
      </c>
      <c r="G4405" s="126" t="s">
        <v>4482</v>
      </c>
      <c r="H4405" s="126" t="s">
        <v>4477</v>
      </c>
      <c r="I4405" s="126" t="s">
        <v>3461</v>
      </c>
      <c r="J4405" s="126">
        <f t="shared" si="577"/>
        <v>35.200000000000003</v>
      </c>
      <c r="K4405" s="126">
        <f t="shared" si="578"/>
        <v>107.73333333333333</v>
      </c>
      <c r="L4405" s="126">
        <v>1220</v>
      </c>
      <c r="O4405" s="126">
        <v>487.3</v>
      </c>
      <c r="P4405" s="126">
        <v>589</v>
      </c>
      <c r="R4405" s="478" t="s">
        <v>1847</v>
      </c>
      <c r="S4405" s="478" t="s">
        <v>1722</v>
      </c>
      <c r="T4405" s="478" t="s">
        <v>1110</v>
      </c>
      <c r="U4405" s="478" t="s">
        <v>4478</v>
      </c>
      <c r="V4405" s="478" t="s">
        <v>1386</v>
      </c>
      <c r="W4405" s="478" t="s">
        <v>1715</v>
      </c>
      <c r="X4405" s="478" t="s">
        <v>1386</v>
      </c>
      <c r="Y4405" s="478" t="s">
        <v>1386</v>
      </c>
      <c r="AA4405" s="479"/>
      <c r="AB4405" s="479"/>
      <c r="AC4405" s="126" t="s">
        <v>450</v>
      </c>
      <c r="AD4405" s="126">
        <v>8.11</v>
      </c>
      <c r="AE4405" s="126">
        <v>1.2</v>
      </c>
      <c r="AH4405" s="126" t="s">
        <v>4481</v>
      </c>
      <c r="AI4405" s="126" t="s">
        <v>577</v>
      </c>
      <c r="AJ4405" s="126" t="s">
        <v>116</v>
      </c>
      <c r="AK4405" s="126" t="s">
        <v>116</v>
      </c>
      <c r="AW4405" s="126" t="s">
        <v>160</v>
      </c>
      <c r="AX4405" s="126">
        <v>3</v>
      </c>
      <c r="AZ4405" s="126" t="s">
        <v>2121</v>
      </c>
      <c r="BE4405" s="126" t="s">
        <v>4489</v>
      </c>
      <c r="BP4405" s="481"/>
      <c r="BQ4405" s="481"/>
      <c r="BU4405" s="481"/>
      <c r="BV4405" s="481"/>
      <c r="BZ4405" s="481"/>
      <c r="CA4405" s="481"/>
      <c r="CE4405" s="605"/>
      <c r="CF4405" s="605"/>
      <c r="CG4405" s="605"/>
      <c r="CH4405" s="605"/>
      <c r="CJ4405" s="126">
        <v>13.61</v>
      </c>
      <c r="CK4405" s="126">
        <v>10.83</v>
      </c>
      <c r="CL4405" s="126">
        <f>16.39-CJ4405</f>
        <v>2.7800000000000011</v>
      </c>
      <c r="CM4405" s="126">
        <f>12.96-CK4405</f>
        <v>2.1300000000000008</v>
      </c>
      <c r="CN4405" s="126" t="s">
        <v>4488</v>
      </c>
      <c r="JD4405" s="480"/>
    </row>
    <row r="4406" spans="1:264" s="126" customFormat="1" x14ac:dyDescent="0.25">
      <c r="A4406" s="126">
        <v>193</v>
      </c>
      <c r="B4406" s="478" t="s">
        <v>4497</v>
      </c>
      <c r="C4406" s="126" t="s">
        <v>4475</v>
      </c>
      <c r="D4406" s="126" t="s">
        <v>4476</v>
      </c>
      <c r="E4406" s="126">
        <v>2016</v>
      </c>
      <c r="F4406" s="126">
        <v>2010</v>
      </c>
      <c r="G4406" s="126" t="s">
        <v>4482</v>
      </c>
      <c r="H4406" s="126" t="s">
        <v>4477</v>
      </c>
      <c r="I4406" s="126" t="s">
        <v>3461</v>
      </c>
      <c r="J4406" s="126">
        <f t="shared" si="577"/>
        <v>35.200000000000003</v>
      </c>
      <c r="K4406" s="126">
        <f t="shared" si="578"/>
        <v>107.73333333333333</v>
      </c>
      <c r="L4406" s="126">
        <v>1220</v>
      </c>
      <c r="O4406" s="126">
        <v>487.3</v>
      </c>
      <c r="P4406" s="126">
        <v>589</v>
      </c>
      <c r="R4406" s="478" t="s">
        <v>1847</v>
      </c>
      <c r="S4406" s="478" t="s">
        <v>1722</v>
      </c>
      <c r="T4406" s="478" t="s">
        <v>1110</v>
      </c>
      <c r="U4406" s="478" t="s">
        <v>4478</v>
      </c>
      <c r="V4406" s="126" t="s">
        <v>4487</v>
      </c>
      <c r="W4406" s="478" t="s">
        <v>1715</v>
      </c>
      <c r="X4406" s="126" t="s">
        <v>4487</v>
      </c>
      <c r="Y4406" s="126" t="s">
        <v>4487</v>
      </c>
      <c r="AA4406" s="479"/>
      <c r="AB4406" s="479"/>
      <c r="AC4406" s="126" t="s">
        <v>450</v>
      </c>
      <c r="AD4406" s="126">
        <v>8.11</v>
      </c>
      <c r="AE4406" s="126">
        <v>1.2</v>
      </c>
      <c r="AH4406" s="126" t="s">
        <v>4481</v>
      </c>
      <c r="AI4406" s="126" t="s">
        <v>577</v>
      </c>
      <c r="AJ4406" s="126" t="s">
        <v>116</v>
      </c>
      <c r="AK4406" s="126" t="s">
        <v>116</v>
      </c>
      <c r="AW4406" s="126" t="s">
        <v>160</v>
      </c>
      <c r="AX4406" s="126">
        <v>3</v>
      </c>
      <c r="AZ4406" s="126" t="s">
        <v>2121</v>
      </c>
      <c r="BE4406" s="126" t="s">
        <v>4489</v>
      </c>
      <c r="BP4406" s="481"/>
      <c r="BQ4406" s="481"/>
      <c r="BU4406" s="481"/>
      <c r="BV4406" s="481"/>
      <c r="BZ4406" s="481"/>
      <c r="CA4406" s="481"/>
      <c r="CE4406" s="605"/>
      <c r="CF4406" s="605"/>
      <c r="CG4406" s="605"/>
      <c r="CH4406" s="605"/>
      <c r="CJ4406" s="126">
        <v>15.1</v>
      </c>
      <c r="CK4406" s="126">
        <v>13.63</v>
      </c>
      <c r="CL4406" s="126">
        <f>16.42-CJ4406</f>
        <v>1.3200000000000021</v>
      </c>
      <c r="CM4406" s="126">
        <f>15.4-CK4406</f>
        <v>1.7699999999999996</v>
      </c>
      <c r="CN4406" s="126" t="s">
        <v>4488</v>
      </c>
      <c r="JD4406" s="480"/>
    </row>
    <row r="4407" spans="1:264" s="126" customFormat="1" x14ac:dyDescent="0.25">
      <c r="A4407" s="126">
        <v>193</v>
      </c>
      <c r="B4407" s="478" t="s">
        <v>4498</v>
      </c>
      <c r="C4407" s="126" t="s">
        <v>4475</v>
      </c>
      <c r="D4407" s="126" t="s">
        <v>4476</v>
      </c>
      <c r="E4407" s="126">
        <v>2016</v>
      </c>
      <c r="F4407" s="126">
        <v>2010</v>
      </c>
      <c r="G4407" s="126" t="s">
        <v>4482</v>
      </c>
      <c r="H4407" s="126" t="s">
        <v>4477</v>
      </c>
      <c r="I4407" s="126" t="s">
        <v>3461</v>
      </c>
      <c r="J4407" s="126">
        <f t="shared" si="577"/>
        <v>35.200000000000003</v>
      </c>
      <c r="K4407" s="126">
        <f t="shared" si="578"/>
        <v>107.73333333333333</v>
      </c>
      <c r="L4407" s="126">
        <v>1220</v>
      </c>
      <c r="O4407" s="126">
        <v>487.3</v>
      </c>
      <c r="P4407" s="126">
        <v>589</v>
      </c>
      <c r="R4407" s="478" t="s">
        <v>1847</v>
      </c>
      <c r="S4407" s="478" t="s">
        <v>1722</v>
      </c>
      <c r="T4407" s="478" t="s">
        <v>1110</v>
      </c>
      <c r="U4407" s="478" t="s">
        <v>4478</v>
      </c>
      <c r="V4407" s="478" t="s">
        <v>4483</v>
      </c>
      <c r="W4407" s="478" t="s">
        <v>1715</v>
      </c>
      <c r="X4407" s="478" t="s">
        <v>4483</v>
      </c>
      <c r="Y4407" s="478" t="s">
        <v>4483</v>
      </c>
      <c r="AA4407" s="479"/>
      <c r="AB4407" s="479"/>
      <c r="AC4407" s="126" t="s">
        <v>450</v>
      </c>
      <c r="AD4407" s="126">
        <v>8.11</v>
      </c>
      <c r="AE4407" s="126">
        <v>1.2</v>
      </c>
      <c r="AH4407" s="126" t="s">
        <v>4481</v>
      </c>
      <c r="AI4407" s="126" t="s">
        <v>577</v>
      </c>
      <c r="AJ4407" s="126" t="s">
        <v>116</v>
      </c>
      <c r="AK4407" s="126" t="s">
        <v>116</v>
      </c>
      <c r="AW4407" s="126" t="s">
        <v>160</v>
      </c>
      <c r="AX4407" s="126">
        <v>3</v>
      </c>
      <c r="AZ4407" s="126" t="s">
        <v>2121</v>
      </c>
      <c r="BE4407" s="126" t="s">
        <v>4489</v>
      </c>
      <c r="BP4407" s="481"/>
      <c r="BQ4407" s="481"/>
      <c r="BU4407" s="481"/>
      <c r="BV4407" s="481"/>
      <c r="BZ4407" s="481"/>
      <c r="CA4407" s="481"/>
      <c r="CE4407" s="605"/>
      <c r="CF4407" s="605"/>
      <c r="CG4407" s="605"/>
      <c r="CH4407" s="605"/>
      <c r="CJ4407" s="126">
        <v>14.64</v>
      </c>
      <c r="CK4407" s="126">
        <v>12.35</v>
      </c>
      <c r="CL4407" s="126">
        <f>16.93-CJ4407</f>
        <v>2.2899999999999991</v>
      </c>
      <c r="CM4407" s="126">
        <f>14.47-CK4407</f>
        <v>2.120000000000001</v>
      </c>
      <c r="CN4407" s="126" t="s">
        <v>4488</v>
      </c>
      <c r="JD4407" s="480"/>
    </row>
    <row r="4408" spans="1:264" s="126" customFormat="1" x14ac:dyDescent="0.25">
      <c r="A4408" s="126">
        <v>193</v>
      </c>
      <c r="B4408" s="478" t="s">
        <v>4499</v>
      </c>
      <c r="C4408" s="126" t="s">
        <v>4475</v>
      </c>
      <c r="D4408" s="126" t="s">
        <v>4476</v>
      </c>
      <c r="E4408" s="126">
        <v>2016</v>
      </c>
      <c r="F4408" s="126">
        <v>2010</v>
      </c>
      <c r="G4408" s="126" t="s">
        <v>4482</v>
      </c>
      <c r="H4408" s="126" t="s">
        <v>4477</v>
      </c>
      <c r="I4408" s="126" t="s">
        <v>3461</v>
      </c>
      <c r="J4408" s="126">
        <f t="shared" si="577"/>
        <v>35.200000000000003</v>
      </c>
      <c r="K4408" s="126">
        <f t="shared" si="578"/>
        <v>107.73333333333333</v>
      </c>
      <c r="L4408" s="126">
        <v>1220</v>
      </c>
      <c r="O4408" s="126">
        <v>487.3</v>
      </c>
      <c r="P4408" s="126">
        <v>589</v>
      </c>
      <c r="R4408" s="478" t="s">
        <v>1847</v>
      </c>
      <c r="S4408" s="478" t="s">
        <v>1722</v>
      </c>
      <c r="T4408" s="478" t="s">
        <v>1110</v>
      </c>
      <c r="U4408" s="478" t="s">
        <v>4478</v>
      </c>
      <c r="V4408" s="478" t="s">
        <v>4484</v>
      </c>
      <c r="W4408" s="478" t="s">
        <v>1715</v>
      </c>
      <c r="X4408" s="478" t="s">
        <v>4484</v>
      </c>
      <c r="Y4408" s="478" t="s">
        <v>4484</v>
      </c>
      <c r="AA4408" s="479"/>
      <c r="AB4408" s="479"/>
      <c r="AC4408" s="126" t="s">
        <v>450</v>
      </c>
      <c r="AD4408" s="126">
        <v>8.11</v>
      </c>
      <c r="AE4408" s="126">
        <v>1.2</v>
      </c>
      <c r="AH4408" s="126" t="s">
        <v>4481</v>
      </c>
      <c r="AI4408" s="126" t="s">
        <v>577</v>
      </c>
      <c r="AJ4408" s="126" t="s">
        <v>116</v>
      </c>
      <c r="AK4408" s="126" t="s">
        <v>116</v>
      </c>
      <c r="AW4408" s="126" t="s">
        <v>160</v>
      </c>
      <c r="AX4408" s="126">
        <v>3</v>
      </c>
      <c r="AZ4408" s="126" t="s">
        <v>2121</v>
      </c>
      <c r="BE4408" s="126" t="s">
        <v>4489</v>
      </c>
      <c r="BP4408" s="481"/>
      <c r="BQ4408" s="481"/>
      <c r="BU4408" s="481"/>
      <c r="BV4408" s="481"/>
      <c r="BZ4408" s="481"/>
      <c r="CA4408" s="481"/>
      <c r="CE4408" s="605"/>
      <c r="CF4408" s="605"/>
      <c r="CG4408" s="605"/>
      <c r="CH4408" s="605"/>
      <c r="CJ4408" s="126">
        <v>19.57</v>
      </c>
      <c r="CK4408" s="126">
        <v>12.87</v>
      </c>
      <c r="CL4408" s="126">
        <f>22.68-CJ4408</f>
        <v>3.1099999999999994</v>
      </c>
      <c r="CM4408" s="126">
        <f>14.66-CK4408</f>
        <v>1.7900000000000009</v>
      </c>
      <c r="CN4408" s="126" t="s">
        <v>4488</v>
      </c>
      <c r="JD4408" s="480"/>
    </row>
    <row r="4409" spans="1:264" s="126" customFormat="1" x14ac:dyDescent="0.25">
      <c r="A4409" s="126">
        <v>193</v>
      </c>
      <c r="B4409" s="478" t="s">
        <v>4500</v>
      </c>
      <c r="C4409" s="126" t="s">
        <v>4475</v>
      </c>
      <c r="D4409" s="126" t="s">
        <v>4476</v>
      </c>
      <c r="E4409" s="126">
        <v>2016</v>
      </c>
      <c r="F4409" s="126">
        <v>2010</v>
      </c>
      <c r="G4409" s="126" t="s">
        <v>4482</v>
      </c>
      <c r="H4409" s="126" t="s">
        <v>4477</v>
      </c>
      <c r="I4409" s="126" t="s">
        <v>3461</v>
      </c>
      <c r="J4409" s="126">
        <f t="shared" si="577"/>
        <v>35.200000000000003</v>
      </c>
      <c r="K4409" s="126">
        <f t="shared" si="578"/>
        <v>107.73333333333333</v>
      </c>
      <c r="L4409" s="126">
        <v>1220</v>
      </c>
      <c r="O4409" s="126">
        <v>487.3</v>
      </c>
      <c r="P4409" s="126">
        <v>589</v>
      </c>
      <c r="R4409" s="478" t="s">
        <v>1847</v>
      </c>
      <c r="S4409" s="478" t="s">
        <v>1722</v>
      </c>
      <c r="T4409" s="478" t="s">
        <v>1110</v>
      </c>
      <c r="U4409" s="478" t="s">
        <v>4478</v>
      </c>
      <c r="V4409" s="478" t="s">
        <v>4485</v>
      </c>
      <c r="W4409" s="478" t="s">
        <v>1715</v>
      </c>
      <c r="X4409" s="478" t="s">
        <v>4485</v>
      </c>
      <c r="Y4409" s="478" t="s">
        <v>4485</v>
      </c>
      <c r="AA4409" s="479"/>
      <c r="AB4409" s="479"/>
      <c r="AC4409" s="126" t="s">
        <v>450</v>
      </c>
      <c r="AD4409" s="126">
        <v>8.11</v>
      </c>
      <c r="AE4409" s="126">
        <v>1.2</v>
      </c>
      <c r="AH4409" s="126" t="s">
        <v>4481</v>
      </c>
      <c r="AI4409" s="126" t="s">
        <v>577</v>
      </c>
      <c r="AJ4409" s="126" t="s">
        <v>116</v>
      </c>
      <c r="AK4409" s="126" t="s">
        <v>116</v>
      </c>
      <c r="AW4409" s="126" t="s">
        <v>160</v>
      </c>
      <c r="AX4409" s="126">
        <v>3</v>
      </c>
      <c r="AZ4409" s="126" t="s">
        <v>2121</v>
      </c>
      <c r="BE4409" s="126" t="s">
        <v>4489</v>
      </c>
      <c r="BP4409" s="481"/>
      <c r="BQ4409" s="481"/>
      <c r="BU4409" s="481"/>
      <c r="BV4409" s="481"/>
      <c r="BZ4409" s="481"/>
      <c r="CA4409" s="481"/>
      <c r="CE4409" s="605"/>
      <c r="CF4409" s="605"/>
      <c r="CG4409" s="605"/>
      <c r="CH4409" s="605"/>
      <c r="CJ4409" s="126">
        <v>23.19</v>
      </c>
      <c r="CK4409" s="126">
        <v>11.25</v>
      </c>
      <c r="CL4409" s="126">
        <f>27.28-CJ4409</f>
        <v>4.09</v>
      </c>
      <c r="CM4409" s="126">
        <f>13.22-CK4409</f>
        <v>1.9700000000000006</v>
      </c>
      <c r="CN4409" s="126" t="s">
        <v>4488</v>
      </c>
      <c r="JD4409" s="480"/>
    </row>
    <row r="4410" spans="1:264" s="126" customFormat="1" x14ac:dyDescent="0.25">
      <c r="A4410" s="126">
        <v>193</v>
      </c>
      <c r="B4410" s="478" t="s">
        <v>4501</v>
      </c>
      <c r="C4410" s="126" t="s">
        <v>4475</v>
      </c>
      <c r="D4410" s="126" t="s">
        <v>4476</v>
      </c>
      <c r="E4410" s="126">
        <v>2016</v>
      </c>
      <c r="F4410" s="126">
        <v>2010</v>
      </c>
      <c r="G4410" s="126" t="s">
        <v>4482</v>
      </c>
      <c r="H4410" s="126" t="s">
        <v>4477</v>
      </c>
      <c r="I4410" s="126" t="s">
        <v>3461</v>
      </c>
      <c r="J4410" s="126">
        <f t="shared" si="577"/>
        <v>35.200000000000003</v>
      </c>
      <c r="K4410" s="126">
        <f t="shared" si="578"/>
        <v>107.73333333333333</v>
      </c>
      <c r="L4410" s="126">
        <v>1220</v>
      </c>
      <c r="O4410" s="126">
        <v>487.3</v>
      </c>
      <c r="P4410" s="126">
        <v>589</v>
      </c>
      <c r="R4410" s="478" t="s">
        <v>1847</v>
      </c>
      <c r="S4410" s="478" t="s">
        <v>1722</v>
      </c>
      <c r="T4410" s="478" t="s">
        <v>1110</v>
      </c>
      <c r="U4410" s="478" t="s">
        <v>4478</v>
      </c>
      <c r="V4410" s="478" t="s">
        <v>4486</v>
      </c>
      <c r="W4410" s="478" t="s">
        <v>1715</v>
      </c>
      <c r="X4410" s="478" t="s">
        <v>4486</v>
      </c>
      <c r="Y4410" s="478" t="s">
        <v>4486</v>
      </c>
      <c r="AA4410" s="479"/>
      <c r="AB4410" s="479"/>
      <c r="AC4410" s="126" t="s">
        <v>450</v>
      </c>
      <c r="AD4410" s="126">
        <v>8.11</v>
      </c>
      <c r="AE4410" s="126">
        <v>1.2</v>
      </c>
      <c r="AH4410" s="126" t="s">
        <v>4481</v>
      </c>
      <c r="AI4410" s="126" t="s">
        <v>577</v>
      </c>
      <c r="AJ4410" s="126" t="s">
        <v>116</v>
      </c>
      <c r="AK4410" s="126" t="s">
        <v>116</v>
      </c>
      <c r="AW4410" s="126" t="s">
        <v>160</v>
      </c>
      <c r="AX4410" s="126">
        <v>3</v>
      </c>
      <c r="AZ4410" s="126" t="s">
        <v>2121</v>
      </c>
      <c r="BE4410" s="126" t="s">
        <v>4489</v>
      </c>
      <c r="BP4410" s="481"/>
      <c r="BQ4410" s="481"/>
      <c r="BU4410" s="481"/>
      <c r="BV4410" s="481"/>
      <c r="BZ4410" s="481"/>
      <c r="CA4410" s="481"/>
      <c r="CE4410" s="605"/>
      <c r="CF4410" s="605"/>
      <c r="CG4410" s="605"/>
      <c r="CH4410" s="605"/>
      <c r="CJ4410" s="126">
        <v>29.92</v>
      </c>
      <c r="CK4410" s="126">
        <v>13.73</v>
      </c>
      <c r="CL4410" s="126">
        <f>32-CJ4410</f>
        <v>2.0799999999999983</v>
      </c>
      <c r="CM4410" s="126">
        <f>15.86-CK4410</f>
        <v>2.129999999999999</v>
      </c>
      <c r="CN4410" s="126" t="s">
        <v>4488</v>
      </c>
      <c r="JD4410" s="480"/>
    </row>
    <row r="4411" spans="1:264" s="99" customFormat="1" x14ac:dyDescent="0.25">
      <c r="A4411" s="99">
        <v>193</v>
      </c>
      <c r="B4411" s="100" t="s">
        <v>4492</v>
      </c>
      <c r="C4411" s="99" t="s">
        <v>4475</v>
      </c>
      <c r="D4411" s="99" t="s">
        <v>4476</v>
      </c>
      <c r="E4411" s="99">
        <v>2016</v>
      </c>
      <c r="F4411" s="99">
        <v>2010</v>
      </c>
      <c r="G4411" s="99" t="s">
        <v>4482</v>
      </c>
      <c r="H4411" s="99" t="s">
        <v>4477</v>
      </c>
      <c r="I4411" s="99" t="s">
        <v>3461</v>
      </c>
      <c r="J4411" s="99">
        <f t="shared" si="577"/>
        <v>35.200000000000003</v>
      </c>
      <c r="K4411" s="99">
        <f t="shared" si="578"/>
        <v>107.73333333333333</v>
      </c>
      <c r="L4411" s="99">
        <v>1220</v>
      </c>
      <c r="O4411" s="99">
        <v>487.3</v>
      </c>
      <c r="P4411" s="99">
        <v>589</v>
      </c>
      <c r="R4411" s="100" t="s">
        <v>1847</v>
      </c>
      <c r="S4411" s="100" t="s">
        <v>1722</v>
      </c>
      <c r="T4411" s="100" t="s">
        <v>1110</v>
      </c>
      <c r="U4411" s="100" t="s">
        <v>4478</v>
      </c>
      <c r="V4411" s="100" t="s">
        <v>1379</v>
      </c>
      <c r="W4411" s="100" t="s">
        <v>1715</v>
      </c>
      <c r="X4411" s="100" t="s">
        <v>1379</v>
      </c>
      <c r="Y4411" s="100" t="s">
        <v>1379</v>
      </c>
      <c r="AA4411" s="351"/>
      <c r="AB4411" s="351"/>
      <c r="AC4411" s="99" t="s">
        <v>450</v>
      </c>
      <c r="AD4411" s="99">
        <v>8.11</v>
      </c>
      <c r="AE4411" s="99">
        <v>1.2</v>
      </c>
      <c r="AH4411" s="99" t="s">
        <v>4480</v>
      </c>
      <c r="AI4411" s="99" t="s">
        <v>577</v>
      </c>
      <c r="AJ4411" s="99" t="s">
        <v>116</v>
      </c>
      <c r="AK4411" s="99" t="s">
        <v>116</v>
      </c>
      <c r="AW4411" s="99" t="s">
        <v>160</v>
      </c>
      <c r="AX4411" s="99">
        <v>3</v>
      </c>
      <c r="AZ4411" s="99" t="s">
        <v>2121</v>
      </c>
      <c r="BE4411" s="99" t="s">
        <v>4490</v>
      </c>
      <c r="BP4411" s="426"/>
      <c r="BQ4411" s="426"/>
      <c r="BU4411" s="426"/>
      <c r="BV4411" s="426"/>
      <c r="BZ4411" s="426"/>
      <c r="CA4411" s="426"/>
      <c r="CE4411" s="579"/>
      <c r="CF4411" s="579"/>
      <c r="CG4411" s="579"/>
      <c r="CH4411" s="579"/>
      <c r="CJ4411" s="99">
        <v>18.91</v>
      </c>
      <c r="CK4411" s="99">
        <v>52.14</v>
      </c>
      <c r="CL4411" s="99">
        <f>20.7-CJ4411</f>
        <v>1.7899999999999991</v>
      </c>
      <c r="CM4411" s="99">
        <f>57.87-CK4411</f>
        <v>5.7299999999999969</v>
      </c>
      <c r="CN4411" s="99" t="s">
        <v>4488</v>
      </c>
      <c r="JD4411" s="508"/>
    </row>
    <row r="4412" spans="1:264" s="99" customFormat="1" x14ac:dyDescent="0.25">
      <c r="A4412" s="99">
        <v>193</v>
      </c>
      <c r="B4412" s="100" t="s">
        <v>4493</v>
      </c>
      <c r="C4412" s="99" t="s">
        <v>4475</v>
      </c>
      <c r="D4412" s="99" t="s">
        <v>4476</v>
      </c>
      <c r="E4412" s="99">
        <v>2016</v>
      </c>
      <c r="F4412" s="99">
        <v>2010</v>
      </c>
      <c r="G4412" s="99" t="s">
        <v>4482</v>
      </c>
      <c r="H4412" s="99" t="s">
        <v>4477</v>
      </c>
      <c r="I4412" s="99" t="s">
        <v>3461</v>
      </c>
      <c r="J4412" s="99">
        <f t="shared" si="577"/>
        <v>35.200000000000003</v>
      </c>
      <c r="K4412" s="99">
        <f t="shared" si="578"/>
        <v>107.73333333333333</v>
      </c>
      <c r="L4412" s="99">
        <v>1220</v>
      </c>
      <c r="O4412" s="99">
        <v>487.3</v>
      </c>
      <c r="P4412" s="99">
        <v>589</v>
      </c>
      <c r="R4412" s="100" t="s">
        <v>1847</v>
      </c>
      <c r="S4412" s="100" t="s">
        <v>1722</v>
      </c>
      <c r="T4412" s="100" t="s">
        <v>1110</v>
      </c>
      <c r="U4412" s="100" t="s">
        <v>4478</v>
      </c>
      <c r="V4412" s="100" t="s">
        <v>1383</v>
      </c>
      <c r="W4412" s="100" t="s">
        <v>1715</v>
      </c>
      <c r="X4412" s="100" t="s">
        <v>1383</v>
      </c>
      <c r="Y4412" s="100" t="s">
        <v>1383</v>
      </c>
      <c r="AA4412" s="351"/>
      <c r="AB4412" s="351"/>
      <c r="AC4412" s="99" t="s">
        <v>450</v>
      </c>
      <c r="AD4412" s="99">
        <v>8.11</v>
      </c>
      <c r="AE4412" s="99">
        <v>1.2</v>
      </c>
      <c r="AH4412" s="99" t="s">
        <v>4480</v>
      </c>
      <c r="AI4412" s="99" t="s">
        <v>577</v>
      </c>
      <c r="AJ4412" s="99" t="s">
        <v>116</v>
      </c>
      <c r="AK4412" s="99" t="s">
        <v>116</v>
      </c>
      <c r="AW4412" s="99" t="s">
        <v>160</v>
      </c>
      <c r="AX4412" s="99">
        <v>3</v>
      </c>
      <c r="AZ4412" s="99" t="s">
        <v>2121</v>
      </c>
      <c r="BE4412" s="99" t="s">
        <v>4490</v>
      </c>
      <c r="BP4412" s="426"/>
      <c r="BQ4412" s="426"/>
      <c r="BU4412" s="426"/>
      <c r="BV4412" s="426"/>
      <c r="BZ4412" s="426"/>
      <c r="CA4412" s="426"/>
      <c r="CE4412" s="579"/>
      <c r="CF4412" s="579"/>
      <c r="CG4412" s="579"/>
      <c r="CH4412" s="579"/>
      <c r="CJ4412" s="99">
        <v>12.2</v>
      </c>
      <c r="CK4412" s="99">
        <v>23.82</v>
      </c>
      <c r="CL4412" s="99">
        <f>14.65-CJ4412</f>
        <v>2.4500000000000011</v>
      </c>
      <c r="CM4412" s="99">
        <f>26.93-CK4412</f>
        <v>3.1099999999999994</v>
      </c>
      <c r="CN4412" s="99" t="s">
        <v>4488</v>
      </c>
      <c r="JD4412" s="508"/>
    </row>
    <row r="4413" spans="1:264" s="99" customFormat="1" x14ac:dyDescent="0.25">
      <c r="A4413" s="99">
        <v>193</v>
      </c>
      <c r="B4413" s="100" t="s">
        <v>4494</v>
      </c>
      <c r="C4413" s="99" t="s">
        <v>4475</v>
      </c>
      <c r="D4413" s="99" t="s">
        <v>4476</v>
      </c>
      <c r="E4413" s="99">
        <v>2016</v>
      </c>
      <c r="F4413" s="99">
        <v>2010</v>
      </c>
      <c r="G4413" s="99" t="s">
        <v>4482</v>
      </c>
      <c r="H4413" s="99" t="s">
        <v>4477</v>
      </c>
      <c r="I4413" s="99" t="s">
        <v>3461</v>
      </c>
      <c r="J4413" s="99">
        <f t="shared" si="577"/>
        <v>35.200000000000003</v>
      </c>
      <c r="K4413" s="99">
        <f t="shared" si="578"/>
        <v>107.73333333333333</v>
      </c>
      <c r="L4413" s="99">
        <v>1220</v>
      </c>
      <c r="O4413" s="99">
        <v>487.3</v>
      </c>
      <c r="P4413" s="99">
        <v>589</v>
      </c>
      <c r="R4413" s="100" t="s">
        <v>1847</v>
      </c>
      <c r="S4413" s="100" t="s">
        <v>1722</v>
      </c>
      <c r="T4413" s="100" t="s">
        <v>1110</v>
      </c>
      <c r="U4413" s="100" t="s">
        <v>4478</v>
      </c>
      <c r="V4413" s="100" t="s">
        <v>1384</v>
      </c>
      <c r="W4413" s="100" t="s">
        <v>1715</v>
      </c>
      <c r="X4413" s="100" t="s">
        <v>1384</v>
      </c>
      <c r="Y4413" s="100" t="s">
        <v>1384</v>
      </c>
      <c r="AA4413" s="351"/>
      <c r="AB4413" s="351"/>
      <c r="AC4413" s="99" t="s">
        <v>450</v>
      </c>
      <c r="AD4413" s="99">
        <v>8.11</v>
      </c>
      <c r="AE4413" s="99">
        <v>1.2</v>
      </c>
      <c r="AH4413" s="99" t="s">
        <v>4480</v>
      </c>
      <c r="AI4413" s="99" t="s">
        <v>577</v>
      </c>
      <c r="AJ4413" s="99" t="s">
        <v>116</v>
      </c>
      <c r="AK4413" s="99" t="s">
        <v>116</v>
      </c>
      <c r="AW4413" s="99" t="s">
        <v>160</v>
      </c>
      <c r="AX4413" s="99">
        <v>3</v>
      </c>
      <c r="AZ4413" s="99" t="s">
        <v>2121</v>
      </c>
      <c r="BE4413" s="99" t="s">
        <v>4490</v>
      </c>
      <c r="BP4413" s="426"/>
      <c r="BQ4413" s="426"/>
      <c r="BU4413" s="426"/>
      <c r="BV4413" s="426"/>
      <c r="BZ4413" s="426"/>
      <c r="CA4413" s="426"/>
      <c r="CE4413" s="579"/>
      <c r="CF4413" s="579"/>
      <c r="CG4413" s="579"/>
      <c r="CH4413" s="579"/>
      <c r="CJ4413" s="99">
        <v>10.89</v>
      </c>
      <c r="CK4413" s="99">
        <v>17.440000000000001</v>
      </c>
      <c r="CL4413" s="99">
        <f>14-CJ4413</f>
        <v>3.1099999999999994</v>
      </c>
      <c r="CM4413" s="99">
        <f>18.91-CK4413</f>
        <v>1.4699999999999989</v>
      </c>
      <c r="CN4413" s="99" t="s">
        <v>4488</v>
      </c>
      <c r="JD4413" s="508"/>
    </row>
    <row r="4414" spans="1:264" s="99" customFormat="1" x14ac:dyDescent="0.25">
      <c r="A4414" s="99">
        <v>193</v>
      </c>
      <c r="B4414" s="100" t="s">
        <v>4495</v>
      </c>
      <c r="C4414" s="99" t="s">
        <v>4475</v>
      </c>
      <c r="D4414" s="99" t="s">
        <v>4476</v>
      </c>
      <c r="E4414" s="99">
        <v>2016</v>
      </c>
      <c r="F4414" s="99">
        <v>2010</v>
      </c>
      <c r="G4414" s="99" t="s">
        <v>4482</v>
      </c>
      <c r="H4414" s="99" t="s">
        <v>4477</v>
      </c>
      <c r="I4414" s="99" t="s">
        <v>3461</v>
      </c>
      <c r="J4414" s="99">
        <f t="shared" si="577"/>
        <v>35.200000000000003</v>
      </c>
      <c r="K4414" s="99">
        <f t="shared" si="578"/>
        <v>107.73333333333333</v>
      </c>
      <c r="L4414" s="99">
        <v>1220</v>
      </c>
      <c r="O4414" s="99">
        <v>487.3</v>
      </c>
      <c r="P4414" s="99">
        <v>589</v>
      </c>
      <c r="R4414" s="100" t="s">
        <v>1847</v>
      </c>
      <c r="S4414" s="100" t="s">
        <v>1722</v>
      </c>
      <c r="T4414" s="100" t="s">
        <v>1110</v>
      </c>
      <c r="U4414" s="100" t="s">
        <v>4478</v>
      </c>
      <c r="V4414" s="100" t="s">
        <v>1385</v>
      </c>
      <c r="W4414" s="100" t="s">
        <v>1715</v>
      </c>
      <c r="X4414" s="100" t="s">
        <v>1385</v>
      </c>
      <c r="Y4414" s="100" t="s">
        <v>1385</v>
      </c>
      <c r="AA4414" s="351"/>
      <c r="AB4414" s="351"/>
      <c r="AC4414" s="99" t="s">
        <v>450</v>
      </c>
      <c r="AD4414" s="99">
        <v>8.11</v>
      </c>
      <c r="AE4414" s="99">
        <v>1.2</v>
      </c>
      <c r="AH4414" s="99" t="s">
        <v>4480</v>
      </c>
      <c r="AI4414" s="99" t="s">
        <v>577</v>
      </c>
      <c r="AJ4414" s="99" t="s">
        <v>116</v>
      </c>
      <c r="AK4414" s="99" t="s">
        <v>116</v>
      </c>
      <c r="AW4414" s="99" t="s">
        <v>160</v>
      </c>
      <c r="AX4414" s="99">
        <v>3</v>
      </c>
      <c r="AZ4414" s="99" t="s">
        <v>2121</v>
      </c>
      <c r="BE4414" s="99" t="s">
        <v>4490</v>
      </c>
      <c r="BP4414" s="426"/>
      <c r="BQ4414" s="426"/>
      <c r="BU4414" s="426"/>
      <c r="BV4414" s="426"/>
      <c r="BZ4414" s="426"/>
      <c r="CA4414" s="426"/>
      <c r="CE4414" s="579"/>
      <c r="CF4414" s="579"/>
      <c r="CG4414" s="579"/>
      <c r="CH4414" s="579"/>
      <c r="CJ4414" s="99">
        <v>13.34</v>
      </c>
      <c r="CK4414" s="99">
        <v>22.51</v>
      </c>
      <c r="CL4414" s="99">
        <f>16.62-CJ4414</f>
        <v>3.2800000000000011</v>
      </c>
      <c r="CM4414" s="99">
        <f>24.31-CK4414</f>
        <v>1.7999999999999972</v>
      </c>
      <c r="CN4414" s="99" t="s">
        <v>4488</v>
      </c>
      <c r="JD4414" s="508"/>
    </row>
    <row r="4415" spans="1:264" s="99" customFormat="1" x14ac:dyDescent="0.25">
      <c r="A4415" s="99">
        <v>193</v>
      </c>
      <c r="B4415" s="100" t="s">
        <v>4496</v>
      </c>
      <c r="C4415" s="99" t="s">
        <v>4475</v>
      </c>
      <c r="D4415" s="99" t="s">
        <v>4476</v>
      </c>
      <c r="E4415" s="99">
        <v>2016</v>
      </c>
      <c r="F4415" s="99">
        <v>2010</v>
      </c>
      <c r="G4415" s="99" t="s">
        <v>4482</v>
      </c>
      <c r="H4415" s="99" t="s">
        <v>4477</v>
      </c>
      <c r="I4415" s="99" t="s">
        <v>3461</v>
      </c>
      <c r="J4415" s="99">
        <f t="shared" si="577"/>
        <v>35.200000000000003</v>
      </c>
      <c r="K4415" s="99">
        <f t="shared" si="578"/>
        <v>107.73333333333333</v>
      </c>
      <c r="L4415" s="99">
        <v>1220</v>
      </c>
      <c r="O4415" s="99">
        <v>487.3</v>
      </c>
      <c r="P4415" s="99">
        <v>589</v>
      </c>
      <c r="R4415" s="100" t="s">
        <v>1847</v>
      </c>
      <c r="S4415" s="100" t="s">
        <v>1722</v>
      </c>
      <c r="T4415" s="100" t="s">
        <v>1110</v>
      </c>
      <c r="U4415" s="100" t="s">
        <v>4478</v>
      </c>
      <c r="V4415" s="100" t="s">
        <v>1386</v>
      </c>
      <c r="W4415" s="100" t="s">
        <v>1715</v>
      </c>
      <c r="X4415" s="100" t="s">
        <v>1386</v>
      </c>
      <c r="Y4415" s="100" t="s">
        <v>1386</v>
      </c>
      <c r="AA4415" s="351"/>
      <c r="AB4415" s="351"/>
      <c r="AC4415" s="99" t="s">
        <v>450</v>
      </c>
      <c r="AD4415" s="99">
        <v>8.11</v>
      </c>
      <c r="AE4415" s="99">
        <v>1.2</v>
      </c>
      <c r="AH4415" s="99" t="s">
        <v>4480</v>
      </c>
      <c r="AI4415" s="99" t="s">
        <v>577</v>
      </c>
      <c r="AJ4415" s="99" t="s">
        <v>116</v>
      </c>
      <c r="AK4415" s="99" t="s">
        <v>116</v>
      </c>
      <c r="AW4415" s="99" t="s">
        <v>160</v>
      </c>
      <c r="AX4415" s="99">
        <v>3</v>
      </c>
      <c r="AZ4415" s="99" t="s">
        <v>2121</v>
      </c>
      <c r="BE4415" s="99" t="s">
        <v>4490</v>
      </c>
      <c r="BP4415" s="426"/>
      <c r="BQ4415" s="426"/>
      <c r="BU4415" s="426"/>
      <c r="BV4415" s="426"/>
      <c r="BZ4415" s="426"/>
      <c r="CA4415" s="426"/>
      <c r="CE4415" s="579"/>
      <c r="CF4415" s="579"/>
      <c r="CG4415" s="579"/>
      <c r="CH4415" s="579"/>
      <c r="CJ4415" s="99">
        <v>15.31</v>
      </c>
      <c r="CK4415" s="99">
        <v>30.53</v>
      </c>
      <c r="CL4415" s="99">
        <f>17.93-CJ4415</f>
        <v>2.6199999999999992</v>
      </c>
      <c r="CM4415" s="99">
        <f>39.05-CK4415</f>
        <v>8.519999999999996</v>
      </c>
      <c r="CN4415" s="99" t="s">
        <v>4488</v>
      </c>
      <c r="JD4415" s="508"/>
    </row>
    <row r="4416" spans="1:264" s="99" customFormat="1" x14ac:dyDescent="0.25">
      <c r="A4416" s="99">
        <v>193</v>
      </c>
      <c r="B4416" s="100" t="s">
        <v>4497</v>
      </c>
      <c r="C4416" s="99" t="s">
        <v>4475</v>
      </c>
      <c r="D4416" s="99" t="s">
        <v>4476</v>
      </c>
      <c r="E4416" s="99">
        <v>2016</v>
      </c>
      <c r="F4416" s="99">
        <v>2010</v>
      </c>
      <c r="G4416" s="99" t="s">
        <v>4482</v>
      </c>
      <c r="H4416" s="99" t="s">
        <v>4477</v>
      </c>
      <c r="I4416" s="99" t="s">
        <v>3461</v>
      </c>
      <c r="J4416" s="99">
        <f t="shared" si="577"/>
        <v>35.200000000000003</v>
      </c>
      <c r="K4416" s="99">
        <f t="shared" si="578"/>
        <v>107.73333333333333</v>
      </c>
      <c r="L4416" s="99">
        <v>1220</v>
      </c>
      <c r="O4416" s="99">
        <v>487.3</v>
      </c>
      <c r="P4416" s="99">
        <v>589</v>
      </c>
      <c r="R4416" s="100" t="s">
        <v>1847</v>
      </c>
      <c r="S4416" s="100" t="s">
        <v>1722</v>
      </c>
      <c r="T4416" s="100" t="s">
        <v>1110</v>
      </c>
      <c r="U4416" s="100" t="s">
        <v>4478</v>
      </c>
      <c r="V4416" s="99" t="s">
        <v>4487</v>
      </c>
      <c r="W4416" s="100" t="s">
        <v>1715</v>
      </c>
      <c r="X4416" s="99" t="s">
        <v>4487</v>
      </c>
      <c r="Y4416" s="99" t="s">
        <v>4487</v>
      </c>
      <c r="AA4416" s="351"/>
      <c r="AB4416" s="351"/>
      <c r="AC4416" s="99" t="s">
        <v>450</v>
      </c>
      <c r="AD4416" s="99">
        <v>8.11</v>
      </c>
      <c r="AE4416" s="99">
        <v>1.2</v>
      </c>
      <c r="AH4416" s="99" t="s">
        <v>4480</v>
      </c>
      <c r="AI4416" s="99" t="s">
        <v>577</v>
      </c>
      <c r="AJ4416" s="99" t="s">
        <v>116</v>
      </c>
      <c r="AK4416" s="99" t="s">
        <v>116</v>
      </c>
      <c r="AW4416" s="99" t="s">
        <v>160</v>
      </c>
      <c r="AX4416" s="99">
        <v>3</v>
      </c>
      <c r="AZ4416" s="99" t="s">
        <v>2121</v>
      </c>
      <c r="BE4416" s="99" t="s">
        <v>4490</v>
      </c>
      <c r="BP4416" s="426"/>
      <c r="BQ4416" s="426"/>
      <c r="BU4416" s="426"/>
      <c r="BV4416" s="426"/>
      <c r="BZ4416" s="426"/>
      <c r="CA4416" s="426"/>
      <c r="CE4416" s="579"/>
      <c r="CF4416" s="579"/>
      <c r="CG4416" s="579"/>
      <c r="CH4416" s="579"/>
      <c r="CJ4416" s="99">
        <v>13.34</v>
      </c>
      <c r="CK4416" s="99">
        <v>30.2</v>
      </c>
      <c r="CL4416" s="99">
        <f>16.13-CJ4416</f>
        <v>2.7899999999999991</v>
      </c>
      <c r="CM4416" s="99">
        <f>37.57-CK4416</f>
        <v>7.370000000000001</v>
      </c>
      <c r="CN4416" s="99" t="s">
        <v>4488</v>
      </c>
      <c r="JD4416" s="508"/>
    </row>
    <row r="4417" spans="1:264" s="99" customFormat="1" x14ac:dyDescent="0.25">
      <c r="A4417" s="99">
        <v>193</v>
      </c>
      <c r="B4417" s="100" t="s">
        <v>4498</v>
      </c>
      <c r="C4417" s="99" t="s">
        <v>4475</v>
      </c>
      <c r="D4417" s="99" t="s">
        <v>4476</v>
      </c>
      <c r="E4417" s="99">
        <v>2016</v>
      </c>
      <c r="F4417" s="99">
        <v>2010</v>
      </c>
      <c r="G4417" s="99" t="s">
        <v>4482</v>
      </c>
      <c r="H4417" s="99" t="s">
        <v>4477</v>
      </c>
      <c r="I4417" s="99" t="s">
        <v>3461</v>
      </c>
      <c r="J4417" s="99">
        <f t="shared" si="577"/>
        <v>35.200000000000003</v>
      </c>
      <c r="K4417" s="99">
        <f t="shared" si="578"/>
        <v>107.73333333333333</v>
      </c>
      <c r="L4417" s="99">
        <v>1220</v>
      </c>
      <c r="O4417" s="99">
        <v>487.3</v>
      </c>
      <c r="P4417" s="99">
        <v>589</v>
      </c>
      <c r="R4417" s="100" t="s">
        <v>1847</v>
      </c>
      <c r="S4417" s="100" t="s">
        <v>1722</v>
      </c>
      <c r="T4417" s="100" t="s">
        <v>1110</v>
      </c>
      <c r="U4417" s="100" t="s">
        <v>4478</v>
      </c>
      <c r="V4417" s="100" t="s">
        <v>4483</v>
      </c>
      <c r="W4417" s="100" t="s">
        <v>1715</v>
      </c>
      <c r="X4417" s="100" t="s">
        <v>4483</v>
      </c>
      <c r="Y4417" s="100" t="s">
        <v>4483</v>
      </c>
      <c r="AA4417" s="351"/>
      <c r="AB4417" s="351"/>
      <c r="AC4417" s="99" t="s">
        <v>450</v>
      </c>
      <c r="AD4417" s="99">
        <v>8.11</v>
      </c>
      <c r="AE4417" s="99">
        <v>1.2</v>
      </c>
      <c r="AH4417" s="99" t="s">
        <v>4480</v>
      </c>
      <c r="AI4417" s="99" t="s">
        <v>577</v>
      </c>
      <c r="AJ4417" s="99" t="s">
        <v>116</v>
      </c>
      <c r="AK4417" s="99" t="s">
        <v>116</v>
      </c>
      <c r="AW4417" s="99" t="s">
        <v>160</v>
      </c>
      <c r="AX4417" s="99">
        <v>3</v>
      </c>
      <c r="AZ4417" s="99" t="s">
        <v>2121</v>
      </c>
      <c r="BE4417" s="99" t="s">
        <v>4490</v>
      </c>
      <c r="BP4417" s="426"/>
      <c r="BQ4417" s="426"/>
      <c r="BU4417" s="426"/>
      <c r="BV4417" s="426"/>
      <c r="BZ4417" s="426"/>
      <c r="CA4417" s="426"/>
      <c r="CE4417" s="579"/>
      <c r="CF4417" s="579"/>
      <c r="CG4417" s="579"/>
      <c r="CH4417" s="579"/>
      <c r="CJ4417" s="99">
        <v>21.69</v>
      </c>
      <c r="CK4417" s="99">
        <v>24.97</v>
      </c>
      <c r="CL4417" s="99">
        <f>25.46-CJ4417</f>
        <v>3.7699999999999996</v>
      </c>
      <c r="CM4417" s="99">
        <f>27.42-CK4417</f>
        <v>2.4500000000000028</v>
      </c>
      <c r="CN4417" s="99" t="s">
        <v>4488</v>
      </c>
      <c r="JD4417" s="508"/>
    </row>
    <row r="4418" spans="1:264" s="99" customFormat="1" x14ac:dyDescent="0.25">
      <c r="A4418" s="99">
        <v>193</v>
      </c>
      <c r="B4418" s="100" t="s">
        <v>4499</v>
      </c>
      <c r="C4418" s="99" t="s">
        <v>4475</v>
      </c>
      <c r="D4418" s="99" t="s">
        <v>4476</v>
      </c>
      <c r="E4418" s="99">
        <v>2016</v>
      </c>
      <c r="F4418" s="99">
        <v>2010</v>
      </c>
      <c r="G4418" s="99" t="s">
        <v>4482</v>
      </c>
      <c r="H4418" s="99" t="s">
        <v>4477</v>
      </c>
      <c r="I4418" s="99" t="s">
        <v>3461</v>
      </c>
      <c r="J4418" s="99">
        <f t="shared" si="577"/>
        <v>35.200000000000003</v>
      </c>
      <c r="K4418" s="99">
        <f t="shared" si="578"/>
        <v>107.73333333333333</v>
      </c>
      <c r="L4418" s="99">
        <v>1220</v>
      </c>
      <c r="O4418" s="99">
        <v>487.3</v>
      </c>
      <c r="P4418" s="99">
        <v>589</v>
      </c>
      <c r="R4418" s="100" t="s">
        <v>1847</v>
      </c>
      <c r="S4418" s="100" t="s">
        <v>1722</v>
      </c>
      <c r="T4418" s="100" t="s">
        <v>1110</v>
      </c>
      <c r="U4418" s="100" t="s">
        <v>4478</v>
      </c>
      <c r="V4418" s="100" t="s">
        <v>4484</v>
      </c>
      <c r="W4418" s="100" t="s">
        <v>1715</v>
      </c>
      <c r="X4418" s="100" t="s">
        <v>4484</v>
      </c>
      <c r="Y4418" s="100" t="s">
        <v>4484</v>
      </c>
      <c r="AA4418" s="351"/>
      <c r="AB4418" s="351"/>
      <c r="AC4418" s="99" t="s">
        <v>450</v>
      </c>
      <c r="AD4418" s="99">
        <v>8.11</v>
      </c>
      <c r="AE4418" s="99">
        <v>1.2</v>
      </c>
      <c r="AH4418" s="99" t="s">
        <v>4480</v>
      </c>
      <c r="AI4418" s="99" t="s">
        <v>577</v>
      </c>
      <c r="AJ4418" s="99" t="s">
        <v>116</v>
      </c>
      <c r="AK4418" s="99" t="s">
        <v>116</v>
      </c>
      <c r="AW4418" s="99" t="s">
        <v>160</v>
      </c>
      <c r="AX4418" s="99">
        <v>3</v>
      </c>
      <c r="AZ4418" s="99" t="s">
        <v>2121</v>
      </c>
      <c r="BE4418" s="99" t="s">
        <v>4490</v>
      </c>
      <c r="BP4418" s="426"/>
      <c r="BQ4418" s="426"/>
      <c r="BU4418" s="426"/>
      <c r="BV4418" s="426"/>
      <c r="BZ4418" s="426"/>
      <c r="CA4418" s="426"/>
      <c r="CE4418" s="579"/>
      <c r="CF4418" s="579"/>
      <c r="CG4418" s="579"/>
      <c r="CH4418" s="579"/>
      <c r="CJ4418" s="99">
        <v>25.62</v>
      </c>
      <c r="CK4418" s="99">
        <v>29.88</v>
      </c>
      <c r="CL4418" s="99">
        <f>30.37-CJ4418</f>
        <v>4.75</v>
      </c>
      <c r="CM4418" s="99">
        <f>34.3-CK4418</f>
        <v>4.4199999999999982</v>
      </c>
      <c r="CN4418" s="99" t="s">
        <v>4488</v>
      </c>
      <c r="JD4418" s="508"/>
    </row>
    <row r="4419" spans="1:264" s="99" customFormat="1" x14ac:dyDescent="0.25">
      <c r="A4419" s="99">
        <v>193</v>
      </c>
      <c r="B4419" s="100" t="s">
        <v>4500</v>
      </c>
      <c r="C4419" s="99" t="s">
        <v>4475</v>
      </c>
      <c r="D4419" s="99" t="s">
        <v>4476</v>
      </c>
      <c r="E4419" s="99">
        <v>2016</v>
      </c>
      <c r="F4419" s="99">
        <v>2010</v>
      </c>
      <c r="G4419" s="99" t="s">
        <v>4482</v>
      </c>
      <c r="H4419" s="99" t="s">
        <v>4477</v>
      </c>
      <c r="I4419" s="99" t="s">
        <v>3461</v>
      </c>
      <c r="J4419" s="99">
        <f t="shared" si="577"/>
        <v>35.200000000000003</v>
      </c>
      <c r="K4419" s="99">
        <f t="shared" si="578"/>
        <v>107.73333333333333</v>
      </c>
      <c r="L4419" s="99">
        <v>1220</v>
      </c>
      <c r="O4419" s="99">
        <v>487.3</v>
      </c>
      <c r="P4419" s="99">
        <v>589</v>
      </c>
      <c r="R4419" s="100" t="s">
        <v>1847</v>
      </c>
      <c r="S4419" s="100" t="s">
        <v>1722</v>
      </c>
      <c r="T4419" s="100" t="s">
        <v>1110</v>
      </c>
      <c r="U4419" s="100" t="s">
        <v>4478</v>
      </c>
      <c r="V4419" s="100" t="s">
        <v>4485</v>
      </c>
      <c r="W4419" s="100" t="s">
        <v>1715</v>
      </c>
      <c r="X4419" s="100" t="s">
        <v>4485</v>
      </c>
      <c r="Y4419" s="100" t="s">
        <v>4485</v>
      </c>
      <c r="AA4419" s="351"/>
      <c r="AB4419" s="351"/>
      <c r="AC4419" s="99" t="s">
        <v>450</v>
      </c>
      <c r="AD4419" s="99">
        <v>8.11</v>
      </c>
      <c r="AE4419" s="99">
        <v>1.2</v>
      </c>
      <c r="AH4419" s="99" t="s">
        <v>4480</v>
      </c>
      <c r="AI4419" s="99" t="s">
        <v>577</v>
      </c>
      <c r="AJ4419" s="99" t="s">
        <v>116</v>
      </c>
      <c r="AK4419" s="99" t="s">
        <v>116</v>
      </c>
      <c r="AW4419" s="99" t="s">
        <v>160</v>
      </c>
      <c r="AX4419" s="99">
        <v>3</v>
      </c>
      <c r="AZ4419" s="99" t="s">
        <v>2121</v>
      </c>
      <c r="BE4419" s="99" t="s">
        <v>4490</v>
      </c>
      <c r="BP4419" s="426"/>
      <c r="BQ4419" s="426"/>
      <c r="BU4419" s="426"/>
      <c r="BV4419" s="426"/>
      <c r="BZ4419" s="426"/>
      <c r="CA4419" s="426"/>
      <c r="CE4419" s="579"/>
      <c r="CF4419" s="579"/>
      <c r="CG4419" s="579"/>
      <c r="CH4419" s="579"/>
      <c r="CJ4419" s="99">
        <v>25.13</v>
      </c>
      <c r="CK4419" s="99">
        <v>29.88</v>
      </c>
      <c r="CL4419" s="99">
        <f>29.39-CJ4419</f>
        <v>4.2600000000000016</v>
      </c>
      <c r="CM4419" s="99">
        <f>34.8-CK4419</f>
        <v>4.9199999999999982</v>
      </c>
      <c r="CN4419" s="99" t="s">
        <v>4488</v>
      </c>
      <c r="JD4419" s="508"/>
    </row>
    <row r="4420" spans="1:264" s="99" customFormat="1" x14ac:dyDescent="0.25">
      <c r="A4420" s="99">
        <v>193</v>
      </c>
      <c r="B4420" s="100" t="s">
        <v>4501</v>
      </c>
      <c r="C4420" s="99" t="s">
        <v>4475</v>
      </c>
      <c r="D4420" s="99" t="s">
        <v>4476</v>
      </c>
      <c r="E4420" s="99">
        <v>2016</v>
      </c>
      <c r="F4420" s="99">
        <v>2010</v>
      </c>
      <c r="G4420" s="99" t="s">
        <v>4482</v>
      </c>
      <c r="H4420" s="99" t="s">
        <v>4477</v>
      </c>
      <c r="I4420" s="99" t="s">
        <v>3461</v>
      </c>
      <c r="J4420" s="99">
        <f t="shared" si="577"/>
        <v>35.200000000000003</v>
      </c>
      <c r="K4420" s="99">
        <f t="shared" si="578"/>
        <v>107.73333333333333</v>
      </c>
      <c r="L4420" s="99">
        <v>1220</v>
      </c>
      <c r="O4420" s="99">
        <v>487.3</v>
      </c>
      <c r="P4420" s="99">
        <v>589</v>
      </c>
      <c r="R4420" s="100" t="s">
        <v>1847</v>
      </c>
      <c r="S4420" s="100" t="s">
        <v>1722</v>
      </c>
      <c r="T4420" s="100" t="s">
        <v>1110</v>
      </c>
      <c r="U4420" s="100" t="s">
        <v>4478</v>
      </c>
      <c r="V4420" s="100" t="s">
        <v>4486</v>
      </c>
      <c r="W4420" s="100" t="s">
        <v>1715</v>
      </c>
      <c r="X4420" s="100" t="s">
        <v>4486</v>
      </c>
      <c r="Y4420" s="100" t="s">
        <v>4486</v>
      </c>
      <c r="AA4420" s="351"/>
      <c r="AB4420" s="351"/>
      <c r="AC4420" s="99" t="s">
        <v>450</v>
      </c>
      <c r="AD4420" s="99">
        <v>8.11</v>
      </c>
      <c r="AE4420" s="99">
        <v>1.2</v>
      </c>
      <c r="AH4420" s="99" t="s">
        <v>4480</v>
      </c>
      <c r="AI4420" s="99" t="s">
        <v>577</v>
      </c>
      <c r="AJ4420" s="99" t="s">
        <v>116</v>
      </c>
      <c r="AK4420" s="99" t="s">
        <v>116</v>
      </c>
      <c r="AW4420" s="99" t="s">
        <v>160</v>
      </c>
      <c r="AX4420" s="99">
        <v>3</v>
      </c>
      <c r="AZ4420" s="99" t="s">
        <v>2121</v>
      </c>
      <c r="BE4420" s="99" t="s">
        <v>4490</v>
      </c>
      <c r="BP4420" s="426"/>
      <c r="BQ4420" s="426"/>
      <c r="BU4420" s="426"/>
      <c r="BV4420" s="426"/>
      <c r="BZ4420" s="426"/>
      <c r="CA4420" s="426"/>
      <c r="CE4420" s="579"/>
      <c r="CF4420" s="579"/>
      <c r="CG4420" s="579"/>
      <c r="CH4420" s="579"/>
      <c r="CJ4420" s="99">
        <v>32.17</v>
      </c>
      <c r="CK4420" s="99">
        <v>41.66</v>
      </c>
      <c r="CL4420" s="99">
        <f>36.26-CJ4420</f>
        <v>4.0899999999999963</v>
      </c>
      <c r="CM4420" s="99">
        <f>45.43-CK4420</f>
        <v>3.7700000000000031</v>
      </c>
      <c r="CN4420" s="99" t="s">
        <v>4488</v>
      </c>
      <c r="JD4420" s="508"/>
    </row>
    <row r="4421" spans="1:264" s="97" customFormat="1" x14ac:dyDescent="0.25">
      <c r="A4421" s="97">
        <v>193</v>
      </c>
      <c r="B4421" s="98" t="s">
        <v>4492</v>
      </c>
      <c r="C4421" s="97" t="s">
        <v>4475</v>
      </c>
      <c r="D4421" s="97" t="s">
        <v>4476</v>
      </c>
      <c r="E4421" s="97">
        <v>2016</v>
      </c>
      <c r="F4421" s="97">
        <v>2010</v>
      </c>
      <c r="G4421" s="97" t="s">
        <v>4482</v>
      </c>
      <c r="H4421" s="97" t="s">
        <v>4477</v>
      </c>
      <c r="I4421" s="97" t="s">
        <v>3461</v>
      </c>
      <c r="J4421" s="97">
        <f t="shared" si="577"/>
        <v>35.200000000000003</v>
      </c>
      <c r="K4421" s="97">
        <f t="shared" si="578"/>
        <v>107.73333333333333</v>
      </c>
      <c r="L4421" s="97">
        <v>1220</v>
      </c>
      <c r="O4421" s="97">
        <v>487.3</v>
      </c>
      <c r="P4421" s="97">
        <v>589</v>
      </c>
      <c r="R4421" s="98" t="s">
        <v>1847</v>
      </c>
      <c r="S4421" s="98" t="s">
        <v>1722</v>
      </c>
      <c r="T4421" s="98" t="s">
        <v>1110</v>
      </c>
      <c r="U4421" s="98" t="s">
        <v>4478</v>
      </c>
      <c r="V4421" s="98" t="s">
        <v>1379</v>
      </c>
      <c r="W4421" s="98" t="s">
        <v>1715</v>
      </c>
      <c r="X4421" s="98" t="s">
        <v>1379</v>
      </c>
      <c r="Y4421" s="98" t="s">
        <v>1379</v>
      </c>
      <c r="AA4421" s="350"/>
      <c r="AB4421" s="350"/>
      <c r="AC4421" s="97" t="s">
        <v>450</v>
      </c>
      <c r="AD4421" s="97">
        <v>8.11</v>
      </c>
      <c r="AE4421" s="97">
        <v>1.2</v>
      </c>
      <c r="AH4421" s="97" t="s">
        <v>158</v>
      </c>
      <c r="AI4421" s="97" t="s">
        <v>577</v>
      </c>
      <c r="AJ4421" s="97" t="s">
        <v>116</v>
      </c>
      <c r="AK4421" s="97" t="s">
        <v>116</v>
      </c>
      <c r="AW4421" s="97" t="s">
        <v>160</v>
      </c>
      <c r="AX4421" s="97">
        <v>3</v>
      </c>
      <c r="AZ4421" s="97" t="s">
        <v>2121</v>
      </c>
      <c r="BE4421" s="97" t="s">
        <v>4490</v>
      </c>
      <c r="BP4421" s="425"/>
      <c r="BQ4421" s="425"/>
      <c r="BU4421" s="425"/>
      <c r="BV4421" s="425"/>
      <c r="BZ4421" s="425"/>
      <c r="CA4421" s="425"/>
      <c r="CE4421" s="578"/>
      <c r="CF4421" s="578"/>
      <c r="CG4421" s="578"/>
      <c r="CH4421" s="578"/>
      <c r="CJ4421" s="97">
        <v>18.91</v>
      </c>
      <c r="CK4421" s="97">
        <v>28.4</v>
      </c>
      <c r="CL4421" s="97">
        <v>1.7899999999999991</v>
      </c>
      <c r="CM4421" s="97">
        <f>32.33-CK4421</f>
        <v>3.9299999999999997</v>
      </c>
      <c r="CN4421" s="97" t="s">
        <v>4488</v>
      </c>
      <c r="JD4421" s="514"/>
    </row>
    <row r="4422" spans="1:264" s="97" customFormat="1" x14ac:dyDescent="0.25">
      <c r="A4422" s="97">
        <v>193</v>
      </c>
      <c r="B4422" s="98" t="s">
        <v>4493</v>
      </c>
      <c r="C4422" s="97" t="s">
        <v>4475</v>
      </c>
      <c r="D4422" s="97" t="s">
        <v>4476</v>
      </c>
      <c r="E4422" s="97">
        <v>2016</v>
      </c>
      <c r="F4422" s="97">
        <v>2010</v>
      </c>
      <c r="G4422" s="97" t="s">
        <v>4482</v>
      </c>
      <c r="H4422" s="97" t="s">
        <v>4477</v>
      </c>
      <c r="I4422" s="97" t="s">
        <v>3461</v>
      </c>
      <c r="J4422" s="97">
        <f t="shared" si="577"/>
        <v>35.200000000000003</v>
      </c>
      <c r="K4422" s="97">
        <f t="shared" si="578"/>
        <v>107.73333333333333</v>
      </c>
      <c r="L4422" s="97">
        <v>1220</v>
      </c>
      <c r="O4422" s="97">
        <v>487.3</v>
      </c>
      <c r="P4422" s="97">
        <v>589</v>
      </c>
      <c r="R4422" s="98" t="s">
        <v>1847</v>
      </c>
      <c r="S4422" s="98" t="s">
        <v>1722</v>
      </c>
      <c r="T4422" s="98" t="s">
        <v>1110</v>
      </c>
      <c r="U4422" s="98" t="s">
        <v>4478</v>
      </c>
      <c r="V4422" s="98" t="s">
        <v>1383</v>
      </c>
      <c r="W4422" s="98" t="s">
        <v>1715</v>
      </c>
      <c r="X4422" s="98" t="s">
        <v>1383</v>
      </c>
      <c r="Y4422" s="98" t="s">
        <v>1383</v>
      </c>
      <c r="AA4422" s="350"/>
      <c r="AB4422" s="350"/>
      <c r="AC4422" s="97" t="s">
        <v>450</v>
      </c>
      <c r="AD4422" s="97">
        <v>8.11</v>
      </c>
      <c r="AE4422" s="97">
        <v>1.2</v>
      </c>
      <c r="AH4422" s="97" t="s">
        <v>158</v>
      </c>
      <c r="AI4422" s="97" t="s">
        <v>577</v>
      </c>
      <c r="AJ4422" s="97" t="s">
        <v>116</v>
      </c>
      <c r="AK4422" s="97" t="s">
        <v>116</v>
      </c>
      <c r="AW4422" s="97" t="s">
        <v>160</v>
      </c>
      <c r="AX4422" s="97">
        <v>3</v>
      </c>
      <c r="AZ4422" s="97" t="s">
        <v>2121</v>
      </c>
      <c r="BE4422" s="97" t="s">
        <v>4490</v>
      </c>
      <c r="BP4422" s="425"/>
      <c r="BQ4422" s="425"/>
      <c r="BU4422" s="425"/>
      <c r="BV4422" s="425"/>
      <c r="BZ4422" s="425"/>
      <c r="CA4422" s="425"/>
      <c r="CE4422" s="578"/>
      <c r="CF4422" s="578"/>
      <c r="CG4422" s="578"/>
      <c r="CH4422" s="578"/>
      <c r="CJ4422" s="97">
        <v>12.2</v>
      </c>
      <c r="CK4422" s="97">
        <v>19.89</v>
      </c>
      <c r="CL4422" s="97">
        <v>2.4500000000000011</v>
      </c>
      <c r="CM4422" s="97">
        <f>21.86-CK4422</f>
        <v>1.9699999999999989</v>
      </c>
      <c r="CN4422" s="97" t="s">
        <v>4488</v>
      </c>
      <c r="JD4422" s="514"/>
    </row>
    <row r="4423" spans="1:264" s="97" customFormat="1" x14ac:dyDescent="0.25">
      <c r="A4423" s="97">
        <v>193</v>
      </c>
      <c r="B4423" s="98" t="s">
        <v>4494</v>
      </c>
      <c r="C4423" s="97" t="s">
        <v>4475</v>
      </c>
      <c r="D4423" s="97" t="s">
        <v>4476</v>
      </c>
      <c r="E4423" s="97">
        <v>2016</v>
      </c>
      <c r="F4423" s="97">
        <v>2010</v>
      </c>
      <c r="G4423" s="97" t="s">
        <v>4482</v>
      </c>
      <c r="H4423" s="97" t="s">
        <v>4477</v>
      </c>
      <c r="I4423" s="97" t="s">
        <v>3461</v>
      </c>
      <c r="J4423" s="97">
        <f t="shared" si="577"/>
        <v>35.200000000000003</v>
      </c>
      <c r="K4423" s="97">
        <f t="shared" si="578"/>
        <v>107.73333333333333</v>
      </c>
      <c r="L4423" s="97">
        <v>1220</v>
      </c>
      <c r="O4423" s="97">
        <v>487.3</v>
      </c>
      <c r="P4423" s="97">
        <v>589</v>
      </c>
      <c r="R4423" s="98" t="s">
        <v>1847</v>
      </c>
      <c r="S4423" s="98" t="s">
        <v>1722</v>
      </c>
      <c r="T4423" s="98" t="s">
        <v>1110</v>
      </c>
      <c r="U4423" s="98" t="s">
        <v>4478</v>
      </c>
      <c r="V4423" s="98" t="s">
        <v>1384</v>
      </c>
      <c r="W4423" s="98" t="s">
        <v>1715</v>
      </c>
      <c r="X4423" s="98" t="s">
        <v>1384</v>
      </c>
      <c r="Y4423" s="98" t="s">
        <v>1384</v>
      </c>
      <c r="AA4423" s="350"/>
      <c r="AB4423" s="350"/>
      <c r="AC4423" s="97" t="s">
        <v>450</v>
      </c>
      <c r="AD4423" s="97">
        <v>8.11</v>
      </c>
      <c r="AE4423" s="97">
        <v>1.2</v>
      </c>
      <c r="AH4423" s="97" t="s">
        <v>158</v>
      </c>
      <c r="AI4423" s="97" t="s">
        <v>577</v>
      </c>
      <c r="AJ4423" s="97" t="s">
        <v>116</v>
      </c>
      <c r="AK4423" s="97" t="s">
        <v>116</v>
      </c>
      <c r="AW4423" s="97" t="s">
        <v>160</v>
      </c>
      <c r="AX4423" s="97">
        <v>3</v>
      </c>
      <c r="AZ4423" s="97" t="s">
        <v>2121</v>
      </c>
      <c r="BE4423" s="97" t="s">
        <v>4490</v>
      </c>
      <c r="BP4423" s="425"/>
      <c r="BQ4423" s="425"/>
      <c r="BU4423" s="425"/>
      <c r="BV4423" s="425"/>
      <c r="BZ4423" s="425"/>
      <c r="CA4423" s="425"/>
      <c r="CE4423" s="578"/>
      <c r="CF4423" s="578"/>
      <c r="CG4423" s="578"/>
      <c r="CH4423" s="578"/>
      <c r="CJ4423" s="97">
        <v>10.89</v>
      </c>
      <c r="CK4423" s="97">
        <v>7.94</v>
      </c>
      <c r="CL4423" s="97">
        <v>3.1099999999999994</v>
      </c>
      <c r="CM4423" s="97">
        <f>10.89-CK4423</f>
        <v>2.95</v>
      </c>
      <c r="CN4423" s="97" t="s">
        <v>4488</v>
      </c>
      <c r="JD4423" s="514"/>
    </row>
    <row r="4424" spans="1:264" s="97" customFormat="1" x14ac:dyDescent="0.25">
      <c r="A4424" s="97">
        <v>193</v>
      </c>
      <c r="B4424" s="98" t="s">
        <v>4495</v>
      </c>
      <c r="C4424" s="97" t="s">
        <v>4475</v>
      </c>
      <c r="D4424" s="97" t="s">
        <v>4476</v>
      </c>
      <c r="E4424" s="97">
        <v>2016</v>
      </c>
      <c r="F4424" s="97">
        <v>2010</v>
      </c>
      <c r="G4424" s="97" t="s">
        <v>4482</v>
      </c>
      <c r="H4424" s="97" t="s">
        <v>4477</v>
      </c>
      <c r="I4424" s="97" t="s">
        <v>3461</v>
      </c>
      <c r="J4424" s="97">
        <f t="shared" si="577"/>
        <v>35.200000000000003</v>
      </c>
      <c r="K4424" s="97">
        <f t="shared" si="578"/>
        <v>107.73333333333333</v>
      </c>
      <c r="L4424" s="97">
        <v>1220</v>
      </c>
      <c r="O4424" s="97">
        <v>487.3</v>
      </c>
      <c r="P4424" s="97">
        <v>589</v>
      </c>
      <c r="R4424" s="98" t="s">
        <v>1847</v>
      </c>
      <c r="S4424" s="98" t="s">
        <v>1722</v>
      </c>
      <c r="T4424" s="98" t="s">
        <v>1110</v>
      </c>
      <c r="U4424" s="98" t="s">
        <v>4478</v>
      </c>
      <c r="V4424" s="98" t="s">
        <v>1385</v>
      </c>
      <c r="W4424" s="98" t="s">
        <v>1715</v>
      </c>
      <c r="X4424" s="98" t="s">
        <v>1385</v>
      </c>
      <c r="Y4424" s="98" t="s">
        <v>1385</v>
      </c>
      <c r="AA4424" s="350"/>
      <c r="AB4424" s="350"/>
      <c r="AC4424" s="97" t="s">
        <v>450</v>
      </c>
      <c r="AD4424" s="97">
        <v>8.11</v>
      </c>
      <c r="AE4424" s="97">
        <v>1.2</v>
      </c>
      <c r="AH4424" s="97" t="s">
        <v>158</v>
      </c>
      <c r="AI4424" s="97" t="s">
        <v>577</v>
      </c>
      <c r="AJ4424" s="97" t="s">
        <v>116</v>
      </c>
      <c r="AK4424" s="97" t="s">
        <v>116</v>
      </c>
      <c r="AW4424" s="97" t="s">
        <v>160</v>
      </c>
      <c r="AX4424" s="97">
        <v>3</v>
      </c>
      <c r="AZ4424" s="97" t="s">
        <v>2121</v>
      </c>
      <c r="BE4424" s="97" t="s">
        <v>4490</v>
      </c>
      <c r="BP4424" s="425"/>
      <c r="BQ4424" s="425"/>
      <c r="BU4424" s="425"/>
      <c r="BV4424" s="425"/>
      <c r="BZ4424" s="425"/>
      <c r="CA4424" s="425"/>
      <c r="CE4424" s="578"/>
      <c r="CF4424" s="578"/>
      <c r="CG4424" s="578"/>
      <c r="CH4424" s="578"/>
      <c r="CJ4424" s="97">
        <v>13.34</v>
      </c>
      <c r="CK4424" s="97">
        <v>9.74</v>
      </c>
      <c r="CL4424" s="97">
        <v>3.2800000000000011</v>
      </c>
      <c r="CM4424" s="97">
        <f>10.89-CK4424</f>
        <v>1.1500000000000004</v>
      </c>
      <c r="CN4424" s="97" t="s">
        <v>4488</v>
      </c>
      <c r="JD4424" s="514"/>
    </row>
    <row r="4425" spans="1:264" s="97" customFormat="1" x14ac:dyDescent="0.25">
      <c r="A4425" s="97">
        <v>193</v>
      </c>
      <c r="B4425" s="98" t="s">
        <v>4496</v>
      </c>
      <c r="C4425" s="97" t="s">
        <v>4475</v>
      </c>
      <c r="D4425" s="97" t="s">
        <v>4476</v>
      </c>
      <c r="E4425" s="97">
        <v>2016</v>
      </c>
      <c r="F4425" s="97">
        <v>2010</v>
      </c>
      <c r="G4425" s="97" t="s">
        <v>4482</v>
      </c>
      <c r="H4425" s="97" t="s">
        <v>4477</v>
      </c>
      <c r="I4425" s="97" t="s">
        <v>3461</v>
      </c>
      <c r="J4425" s="97">
        <f t="shared" si="577"/>
        <v>35.200000000000003</v>
      </c>
      <c r="K4425" s="97">
        <f t="shared" si="578"/>
        <v>107.73333333333333</v>
      </c>
      <c r="L4425" s="97">
        <v>1220</v>
      </c>
      <c r="O4425" s="97">
        <v>487.3</v>
      </c>
      <c r="P4425" s="97">
        <v>589</v>
      </c>
      <c r="R4425" s="98" t="s">
        <v>1847</v>
      </c>
      <c r="S4425" s="98" t="s">
        <v>1722</v>
      </c>
      <c r="T4425" s="98" t="s">
        <v>1110</v>
      </c>
      <c r="U4425" s="98" t="s">
        <v>4478</v>
      </c>
      <c r="V4425" s="98" t="s">
        <v>1386</v>
      </c>
      <c r="W4425" s="98" t="s">
        <v>1715</v>
      </c>
      <c r="X4425" s="98" t="s">
        <v>1386</v>
      </c>
      <c r="Y4425" s="98" t="s">
        <v>1386</v>
      </c>
      <c r="AA4425" s="350"/>
      <c r="AB4425" s="350"/>
      <c r="AC4425" s="97" t="s">
        <v>450</v>
      </c>
      <c r="AD4425" s="97">
        <v>8.11</v>
      </c>
      <c r="AE4425" s="97">
        <v>1.2</v>
      </c>
      <c r="AH4425" s="97" t="s">
        <v>158</v>
      </c>
      <c r="AI4425" s="97" t="s">
        <v>577</v>
      </c>
      <c r="AJ4425" s="97" t="s">
        <v>116</v>
      </c>
      <c r="AK4425" s="97" t="s">
        <v>116</v>
      </c>
      <c r="AW4425" s="97" t="s">
        <v>160</v>
      </c>
      <c r="AX4425" s="97">
        <v>3</v>
      </c>
      <c r="AZ4425" s="97" t="s">
        <v>2121</v>
      </c>
      <c r="BE4425" s="97" t="s">
        <v>4490</v>
      </c>
      <c r="BP4425" s="425"/>
      <c r="BQ4425" s="425"/>
      <c r="BU4425" s="425"/>
      <c r="BV4425" s="425"/>
      <c r="BZ4425" s="425"/>
      <c r="CA4425" s="425"/>
      <c r="CE4425" s="578"/>
      <c r="CF4425" s="578"/>
      <c r="CG4425" s="578"/>
      <c r="CH4425" s="578"/>
      <c r="CJ4425" s="97">
        <v>15.31</v>
      </c>
      <c r="CK4425" s="97">
        <v>18.25</v>
      </c>
      <c r="CL4425" s="97">
        <v>2.6199999999999992</v>
      </c>
      <c r="CM4425" s="97">
        <f>22.18-CK4425</f>
        <v>3.9299999999999997</v>
      </c>
      <c r="CN4425" s="97" t="s">
        <v>4488</v>
      </c>
      <c r="JD4425" s="514"/>
    </row>
    <row r="4426" spans="1:264" s="97" customFormat="1" x14ac:dyDescent="0.25">
      <c r="A4426" s="97">
        <v>193</v>
      </c>
      <c r="B4426" s="98" t="s">
        <v>4497</v>
      </c>
      <c r="C4426" s="97" t="s">
        <v>4475</v>
      </c>
      <c r="D4426" s="97" t="s">
        <v>4476</v>
      </c>
      <c r="E4426" s="97">
        <v>2016</v>
      </c>
      <c r="F4426" s="97">
        <v>2010</v>
      </c>
      <c r="G4426" s="97" t="s">
        <v>4482</v>
      </c>
      <c r="H4426" s="97" t="s">
        <v>4477</v>
      </c>
      <c r="I4426" s="97" t="s">
        <v>3461</v>
      </c>
      <c r="J4426" s="97">
        <f t="shared" si="577"/>
        <v>35.200000000000003</v>
      </c>
      <c r="K4426" s="97">
        <f t="shared" si="578"/>
        <v>107.73333333333333</v>
      </c>
      <c r="L4426" s="97">
        <v>1220</v>
      </c>
      <c r="O4426" s="97">
        <v>487.3</v>
      </c>
      <c r="P4426" s="97">
        <v>589</v>
      </c>
      <c r="R4426" s="98" t="s">
        <v>1847</v>
      </c>
      <c r="S4426" s="98" t="s">
        <v>1722</v>
      </c>
      <c r="T4426" s="98" t="s">
        <v>1110</v>
      </c>
      <c r="U4426" s="98" t="s">
        <v>4478</v>
      </c>
      <c r="V4426" s="97" t="s">
        <v>4487</v>
      </c>
      <c r="W4426" s="98" t="s">
        <v>1715</v>
      </c>
      <c r="X4426" s="97" t="s">
        <v>4487</v>
      </c>
      <c r="Y4426" s="97" t="s">
        <v>4487</v>
      </c>
      <c r="AA4426" s="350"/>
      <c r="AB4426" s="350"/>
      <c r="AC4426" s="97" t="s">
        <v>450</v>
      </c>
      <c r="AD4426" s="97">
        <v>8.11</v>
      </c>
      <c r="AE4426" s="97">
        <v>1.2</v>
      </c>
      <c r="AH4426" s="97" t="s">
        <v>158</v>
      </c>
      <c r="AI4426" s="97" t="s">
        <v>577</v>
      </c>
      <c r="AJ4426" s="97" t="s">
        <v>116</v>
      </c>
      <c r="AK4426" s="97" t="s">
        <v>116</v>
      </c>
      <c r="AW4426" s="97" t="s">
        <v>160</v>
      </c>
      <c r="AX4426" s="97">
        <v>3</v>
      </c>
      <c r="AZ4426" s="97" t="s">
        <v>2121</v>
      </c>
      <c r="BE4426" s="97" t="s">
        <v>4490</v>
      </c>
      <c r="BP4426" s="425"/>
      <c r="BQ4426" s="425"/>
      <c r="BU4426" s="425"/>
      <c r="BV4426" s="425"/>
      <c r="BZ4426" s="425"/>
      <c r="CA4426" s="425"/>
      <c r="CE4426" s="578"/>
      <c r="CF4426" s="578"/>
      <c r="CG4426" s="578"/>
      <c r="CH4426" s="578"/>
      <c r="CJ4426" s="97">
        <v>13.34</v>
      </c>
      <c r="CK4426" s="97">
        <v>15.47</v>
      </c>
      <c r="CL4426" s="97">
        <v>2.7899999999999991</v>
      </c>
      <c r="CM4426" s="97">
        <f>17.93-CK4426</f>
        <v>2.4599999999999991</v>
      </c>
      <c r="CN4426" s="97" t="s">
        <v>4488</v>
      </c>
      <c r="JD4426" s="514"/>
    </row>
    <row r="4427" spans="1:264" s="97" customFormat="1" x14ac:dyDescent="0.25">
      <c r="A4427" s="97">
        <v>193</v>
      </c>
      <c r="B4427" s="98" t="s">
        <v>4498</v>
      </c>
      <c r="C4427" s="97" t="s">
        <v>4475</v>
      </c>
      <c r="D4427" s="97" t="s">
        <v>4476</v>
      </c>
      <c r="E4427" s="97">
        <v>2016</v>
      </c>
      <c r="F4427" s="97">
        <v>2010</v>
      </c>
      <c r="G4427" s="97" t="s">
        <v>4482</v>
      </c>
      <c r="H4427" s="97" t="s">
        <v>4477</v>
      </c>
      <c r="I4427" s="97" t="s">
        <v>3461</v>
      </c>
      <c r="J4427" s="97">
        <f t="shared" si="577"/>
        <v>35.200000000000003</v>
      </c>
      <c r="K4427" s="97">
        <f t="shared" si="578"/>
        <v>107.73333333333333</v>
      </c>
      <c r="L4427" s="97">
        <v>1220</v>
      </c>
      <c r="O4427" s="97">
        <v>487.3</v>
      </c>
      <c r="P4427" s="97">
        <v>589</v>
      </c>
      <c r="R4427" s="98" t="s">
        <v>1847</v>
      </c>
      <c r="S4427" s="98" t="s">
        <v>1722</v>
      </c>
      <c r="T4427" s="98" t="s">
        <v>1110</v>
      </c>
      <c r="U4427" s="98" t="s">
        <v>4478</v>
      </c>
      <c r="V4427" s="98" t="s">
        <v>4483</v>
      </c>
      <c r="W4427" s="98" t="s">
        <v>1715</v>
      </c>
      <c r="X4427" s="98" t="s">
        <v>4483</v>
      </c>
      <c r="Y4427" s="98" t="s">
        <v>4483</v>
      </c>
      <c r="AA4427" s="350"/>
      <c r="AB4427" s="350"/>
      <c r="AC4427" s="97" t="s">
        <v>450</v>
      </c>
      <c r="AD4427" s="97">
        <v>8.11</v>
      </c>
      <c r="AE4427" s="97">
        <v>1.2</v>
      </c>
      <c r="AH4427" s="97" t="s">
        <v>158</v>
      </c>
      <c r="AI4427" s="97" t="s">
        <v>577</v>
      </c>
      <c r="AJ4427" s="97" t="s">
        <v>116</v>
      </c>
      <c r="AK4427" s="97" t="s">
        <v>116</v>
      </c>
      <c r="AW4427" s="97" t="s">
        <v>160</v>
      </c>
      <c r="AX4427" s="97">
        <v>3</v>
      </c>
      <c r="AZ4427" s="97" t="s">
        <v>2121</v>
      </c>
      <c r="BE4427" s="97" t="s">
        <v>4490</v>
      </c>
      <c r="BP4427" s="425"/>
      <c r="BQ4427" s="425"/>
      <c r="BU4427" s="425"/>
      <c r="BV4427" s="425"/>
      <c r="BZ4427" s="425"/>
      <c r="CA4427" s="425"/>
      <c r="CE4427" s="578"/>
      <c r="CF4427" s="578"/>
      <c r="CG4427" s="578"/>
      <c r="CH4427" s="578"/>
      <c r="CJ4427" s="97">
        <v>21.69</v>
      </c>
      <c r="CK4427" s="97">
        <v>13.01</v>
      </c>
      <c r="CL4427" s="97">
        <v>3.7699999999999996</v>
      </c>
      <c r="CM4427" s="97">
        <f>14.82-CK4427</f>
        <v>1.8100000000000005</v>
      </c>
      <c r="CN4427" s="97" t="s">
        <v>4488</v>
      </c>
      <c r="JD4427" s="514"/>
    </row>
    <row r="4428" spans="1:264" s="97" customFormat="1" x14ac:dyDescent="0.25">
      <c r="A4428" s="97">
        <v>193</v>
      </c>
      <c r="B4428" s="98" t="s">
        <v>4499</v>
      </c>
      <c r="C4428" s="97" t="s">
        <v>4475</v>
      </c>
      <c r="D4428" s="97" t="s">
        <v>4476</v>
      </c>
      <c r="E4428" s="97">
        <v>2016</v>
      </c>
      <c r="F4428" s="97">
        <v>2010</v>
      </c>
      <c r="G4428" s="97" t="s">
        <v>4482</v>
      </c>
      <c r="H4428" s="97" t="s">
        <v>4477</v>
      </c>
      <c r="I4428" s="97" t="s">
        <v>3461</v>
      </c>
      <c r="J4428" s="97">
        <f t="shared" si="577"/>
        <v>35.200000000000003</v>
      </c>
      <c r="K4428" s="97">
        <f t="shared" si="578"/>
        <v>107.73333333333333</v>
      </c>
      <c r="L4428" s="97">
        <v>1220</v>
      </c>
      <c r="O4428" s="97">
        <v>487.3</v>
      </c>
      <c r="P4428" s="97">
        <v>589</v>
      </c>
      <c r="R4428" s="98" t="s">
        <v>1847</v>
      </c>
      <c r="S4428" s="98" t="s">
        <v>1722</v>
      </c>
      <c r="T4428" s="98" t="s">
        <v>1110</v>
      </c>
      <c r="U4428" s="98" t="s">
        <v>4478</v>
      </c>
      <c r="V4428" s="98" t="s">
        <v>4484</v>
      </c>
      <c r="W4428" s="98" t="s">
        <v>1715</v>
      </c>
      <c r="X4428" s="98" t="s">
        <v>4484</v>
      </c>
      <c r="Y4428" s="98" t="s">
        <v>4484</v>
      </c>
      <c r="AA4428" s="350"/>
      <c r="AB4428" s="350"/>
      <c r="AC4428" s="97" t="s">
        <v>450</v>
      </c>
      <c r="AD4428" s="97">
        <v>8.11</v>
      </c>
      <c r="AE4428" s="97">
        <v>1.2</v>
      </c>
      <c r="AH4428" s="97" t="s">
        <v>158</v>
      </c>
      <c r="AI4428" s="97" t="s">
        <v>577</v>
      </c>
      <c r="AJ4428" s="97" t="s">
        <v>116</v>
      </c>
      <c r="AK4428" s="97" t="s">
        <v>116</v>
      </c>
      <c r="AW4428" s="97" t="s">
        <v>160</v>
      </c>
      <c r="AX4428" s="97">
        <v>3</v>
      </c>
      <c r="AZ4428" s="97" t="s">
        <v>2121</v>
      </c>
      <c r="BE4428" s="97" t="s">
        <v>4490</v>
      </c>
      <c r="BP4428" s="425"/>
      <c r="BQ4428" s="425"/>
      <c r="BU4428" s="425"/>
      <c r="BV4428" s="425"/>
      <c r="BZ4428" s="425"/>
      <c r="CA4428" s="425"/>
      <c r="CE4428" s="578"/>
      <c r="CF4428" s="578"/>
      <c r="CG4428" s="578"/>
      <c r="CH4428" s="578"/>
      <c r="CJ4428" s="97">
        <v>25.62</v>
      </c>
      <c r="CK4428" s="97">
        <v>15.47</v>
      </c>
      <c r="CL4428" s="97">
        <v>4.75</v>
      </c>
      <c r="CM4428" s="97">
        <f>17.44-CK4428</f>
        <v>1.9700000000000006</v>
      </c>
      <c r="CN4428" s="97" t="s">
        <v>4488</v>
      </c>
      <c r="JD4428" s="514"/>
    </row>
    <row r="4429" spans="1:264" s="97" customFormat="1" x14ac:dyDescent="0.25">
      <c r="A4429" s="97">
        <v>193</v>
      </c>
      <c r="B4429" s="98" t="s">
        <v>4500</v>
      </c>
      <c r="C4429" s="97" t="s">
        <v>4475</v>
      </c>
      <c r="D4429" s="97" t="s">
        <v>4476</v>
      </c>
      <c r="E4429" s="97">
        <v>2016</v>
      </c>
      <c r="F4429" s="97">
        <v>2010</v>
      </c>
      <c r="G4429" s="97" t="s">
        <v>4482</v>
      </c>
      <c r="H4429" s="97" t="s">
        <v>4477</v>
      </c>
      <c r="I4429" s="97" t="s">
        <v>3461</v>
      </c>
      <c r="J4429" s="97">
        <f t="shared" si="577"/>
        <v>35.200000000000003</v>
      </c>
      <c r="K4429" s="97">
        <f t="shared" si="578"/>
        <v>107.73333333333333</v>
      </c>
      <c r="L4429" s="97">
        <v>1220</v>
      </c>
      <c r="O4429" s="97">
        <v>487.3</v>
      </c>
      <c r="P4429" s="97">
        <v>589</v>
      </c>
      <c r="R4429" s="98" t="s">
        <v>1847</v>
      </c>
      <c r="S4429" s="98" t="s">
        <v>1722</v>
      </c>
      <c r="T4429" s="98" t="s">
        <v>1110</v>
      </c>
      <c r="U4429" s="98" t="s">
        <v>4478</v>
      </c>
      <c r="V4429" s="98" t="s">
        <v>4485</v>
      </c>
      <c r="W4429" s="98" t="s">
        <v>1715</v>
      </c>
      <c r="X4429" s="98" t="s">
        <v>4485</v>
      </c>
      <c r="Y4429" s="98" t="s">
        <v>4485</v>
      </c>
      <c r="AA4429" s="350"/>
      <c r="AB4429" s="350"/>
      <c r="AC4429" s="97" t="s">
        <v>450</v>
      </c>
      <c r="AD4429" s="97">
        <v>8.11</v>
      </c>
      <c r="AE4429" s="97">
        <v>1.2</v>
      </c>
      <c r="AH4429" s="97" t="s">
        <v>158</v>
      </c>
      <c r="AI4429" s="97" t="s">
        <v>577</v>
      </c>
      <c r="AJ4429" s="97" t="s">
        <v>116</v>
      </c>
      <c r="AK4429" s="97" t="s">
        <v>116</v>
      </c>
      <c r="AW4429" s="97" t="s">
        <v>160</v>
      </c>
      <c r="AX4429" s="97">
        <v>3</v>
      </c>
      <c r="AZ4429" s="97" t="s">
        <v>2121</v>
      </c>
      <c r="BE4429" s="97" t="s">
        <v>4490</v>
      </c>
      <c r="BP4429" s="425"/>
      <c r="BQ4429" s="425"/>
      <c r="BU4429" s="425"/>
      <c r="BV4429" s="425"/>
      <c r="BZ4429" s="425"/>
      <c r="CA4429" s="425"/>
      <c r="CE4429" s="578"/>
      <c r="CF4429" s="578"/>
      <c r="CG4429" s="578"/>
      <c r="CH4429" s="578"/>
      <c r="CJ4429" s="97">
        <v>25.13</v>
      </c>
      <c r="CK4429" s="97">
        <v>11.87</v>
      </c>
      <c r="CL4429" s="97">
        <v>4.2600000000000016</v>
      </c>
      <c r="CM4429" s="97">
        <f>14.33-CK4429</f>
        <v>2.4600000000000009</v>
      </c>
      <c r="CN4429" s="97" t="s">
        <v>4488</v>
      </c>
      <c r="JD4429" s="514"/>
    </row>
    <row r="4430" spans="1:264" s="97" customFormat="1" x14ac:dyDescent="0.25">
      <c r="A4430" s="97">
        <v>193</v>
      </c>
      <c r="B4430" s="98" t="s">
        <v>4501</v>
      </c>
      <c r="C4430" s="97" t="s">
        <v>4475</v>
      </c>
      <c r="D4430" s="97" t="s">
        <v>4476</v>
      </c>
      <c r="E4430" s="97">
        <v>2016</v>
      </c>
      <c r="F4430" s="97">
        <v>2010</v>
      </c>
      <c r="G4430" s="97" t="s">
        <v>4482</v>
      </c>
      <c r="H4430" s="97" t="s">
        <v>4477</v>
      </c>
      <c r="I4430" s="97" t="s">
        <v>3461</v>
      </c>
      <c r="J4430" s="97">
        <f t="shared" si="577"/>
        <v>35.200000000000003</v>
      </c>
      <c r="K4430" s="97">
        <f t="shared" si="578"/>
        <v>107.73333333333333</v>
      </c>
      <c r="L4430" s="97">
        <v>1220</v>
      </c>
      <c r="O4430" s="97">
        <v>487.3</v>
      </c>
      <c r="P4430" s="97">
        <v>589</v>
      </c>
      <c r="R4430" s="98" t="s">
        <v>1847</v>
      </c>
      <c r="S4430" s="98" t="s">
        <v>1722</v>
      </c>
      <c r="T4430" s="98" t="s">
        <v>1110</v>
      </c>
      <c r="U4430" s="98" t="s">
        <v>4478</v>
      </c>
      <c r="V4430" s="98" t="s">
        <v>4486</v>
      </c>
      <c r="W4430" s="98" t="s">
        <v>1715</v>
      </c>
      <c r="X4430" s="98" t="s">
        <v>4486</v>
      </c>
      <c r="Y4430" s="98" t="s">
        <v>4486</v>
      </c>
      <c r="AA4430" s="350"/>
      <c r="AB4430" s="350"/>
      <c r="AC4430" s="97" t="s">
        <v>450</v>
      </c>
      <c r="AD4430" s="97">
        <v>8.11</v>
      </c>
      <c r="AE4430" s="97">
        <v>1.2</v>
      </c>
      <c r="AH4430" s="97" t="s">
        <v>158</v>
      </c>
      <c r="AI4430" s="97" t="s">
        <v>577</v>
      </c>
      <c r="AJ4430" s="97" t="s">
        <v>116</v>
      </c>
      <c r="AK4430" s="97" t="s">
        <v>116</v>
      </c>
      <c r="AW4430" s="97" t="s">
        <v>160</v>
      </c>
      <c r="AX4430" s="97">
        <v>3</v>
      </c>
      <c r="AZ4430" s="97" t="s">
        <v>2121</v>
      </c>
      <c r="BE4430" s="97" t="s">
        <v>4490</v>
      </c>
      <c r="BP4430" s="425"/>
      <c r="BQ4430" s="425"/>
      <c r="BU4430" s="425"/>
      <c r="BV4430" s="425"/>
      <c r="BZ4430" s="425"/>
      <c r="CA4430" s="425"/>
      <c r="CE4430" s="578"/>
      <c r="CF4430" s="578"/>
      <c r="CG4430" s="578"/>
      <c r="CH4430" s="578"/>
      <c r="CJ4430" s="97">
        <v>32.17</v>
      </c>
      <c r="CK4430" s="97">
        <v>18.739999999999998</v>
      </c>
      <c r="CL4430" s="97">
        <v>4.0899999999999963</v>
      </c>
      <c r="CM4430" s="97">
        <f>20.38-CK4430</f>
        <v>1.6400000000000006</v>
      </c>
      <c r="CN4430" s="97" t="s">
        <v>4488</v>
      </c>
      <c r="JD4430" s="514"/>
    </row>
    <row r="4431" spans="1:264" s="99" customFormat="1" x14ac:dyDescent="0.25">
      <c r="A4431" s="99">
        <v>193</v>
      </c>
      <c r="B4431" s="100" t="s">
        <v>4492</v>
      </c>
      <c r="C4431" s="99" t="s">
        <v>4475</v>
      </c>
      <c r="D4431" s="99" t="s">
        <v>4476</v>
      </c>
      <c r="E4431" s="99">
        <v>2016</v>
      </c>
      <c r="F4431" s="99">
        <v>2010</v>
      </c>
      <c r="G4431" s="99" t="s">
        <v>4482</v>
      </c>
      <c r="H4431" s="99" t="s">
        <v>4477</v>
      </c>
      <c r="I4431" s="99" t="s">
        <v>3461</v>
      </c>
      <c r="J4431" s="99">
        <f t="shared" si="577"/>
        <v>35.200000000000003</v>
      </c>
      <c r="K4431" s="99">
        <f t="shared" si="578"/>
        <v>107.73333333333333</v>
      </c>
      <c r="L4431" s="99">
        <v>1220</v>
      </c>
      <c r="O4431" s="99">
        <v>487.3</v>
      </c>
      <c r="P4431" s="99">
        <v>589</v>
      </c>
      <c r="R4431" s="100" t="s">
        <v>1847</v>
      </c>
      <c r="S4431" s="100" t="s">
        <v>1722</v>
      </c>
      <c r="T4431" s="100" t="s">
        <v>1110</v>
      </c>
      <c r="U4431" s="100" t="s">
        <v>4478</v>
      </c>
      <c r="V4431" s="100" t="s">
        <v>1379</v>
      </c>
      <c r="W4431" s="100" t="s">
        <v>1715</v>
      </c>
      <c r="X4431" s="100" t="s">
        <v>1379</v>
      </c>
      <c r="Y4431" s="100" t="s">
        <v>1379</v>
      </c>
      <c r="AA4431" s="351"/>
      <c r="AB4431" s="351"/>
      <c r="AC4431" s="99" t="s">
        <v>450</v>
      </c>
      <c r="AD4431" s="99">
        <v>8.11</v>
      </c>
      <c r="AE4431" s="99">
        <v>1.2</v>
      </c>
      <c r="AH4431" s="99" t="s">
        <v>4481</v>
      </c>
      <c r="AI4431" s="99" t="s">
        <v>577</v>
      </c>
      <c r="AJ4431" s="99" t="s">
        <v>116</v>
      </c>
      <c r="AK4431" s="99" t="s">
        <v>116</v>
      </c>
      <c r="AW4431" s="99" t="s">
        <v>160</v>
      </c>
      <c r="AX4431" s="99">
        <v>3</v>
      </c>
      <c r="AZ4431" s="99" t="s">
        <v>2121</v>
      </c>
      <c r="BE4431" s="99" t="s">
        <v>4490</v>
      </c>
      <c r="BP4431" s="426"/>
      <c r="BQ4431" s="426"/>
      <c r="BU4431" s="426"/>
      <c r="BV4431" s="426"/>
      <c r="BZ4431" s="426"/>
      <c r="CA4431" s="426"/>
      <c r="CE4431" s="579"/>
      <c r="CF4431" s="579"/>
      <c r="CG4431" s="579"/>
      <c r="CH4431" s="579"/>
      <c r="CJ4431" s="99">
        <v>18.91</v>
      </c>
      <c r="CK4431" s="99">
        <v>38.06</v>
      </c>
      <c r="CL4431" s="99">
        <f>20.7-CJ4431</f>
        <v>1.7899999999999991</v>
      </c>
      <c r="CM4431" s="99">
        <f>41.99-CK4431</f>
        <v>3.9299999999999997</v>
      </c>
      <c r="CN4431" s="99" t="s">
        <v>4488</v>
      </c>
      <c r="JD4431" s="508"/>
    </row>
    <row r="4432" spans="1:264" s="99" customFormat="1" x14ac:dyDescent="0.25">
      <c r="A4432" s="99">
        <v>193</v>
      </c>
      <c r="B4432" s="100" t="s">
        <v>4493</v>
      </c>
      <c r="C4432" s="99" t="s">
        <v>4475</v>
      </c>
      <c r="D4432" s="99" t="s">
        <v>4476</v>
      </c>
      <c r="E4432" s="99">
        <v>2016</v>
      </c>
      <c r="F4432" s="99">
        <v>2010</v>
      </c>
      <c r="G4432" s="99" t="s">
        <v>4482</v>
      </c>
      <c r="H4432" s="99" t="s">
        <v>4477</v>
      </c>
      <c r="I4432" s="99" t="s">
        <v>3461</v>
      </c>
      <c r="J4432" s="99">
        <f t="shared" si="577"/>
        <v>35.200000000000003</v>
      </c>
      <c r="K4432" s="99">
        <f t="shared" si="578"/>
        <v>107.73333333333333</v>
      </c>
      <c r="L4432" s="99">
        <v>1220</v>
      </c>
      <c r="O4432" s="99">
        <v>487.3</v>
      </c>
      <c r="P4432" s="99">
        <v>589</v>
      </c>
      <c r="R4432" s="100" t="s">
        <v>1847</v>
      </c>
      <c r="S4432" s="100" t="s">
        <v>1722</v>
      </c>
      <c r="T4432" s="100" t="s">
        <v>1110</v>
      </c>
      <c r="U4432" s="100" t="s">
        <v>4478</v>
      </c>
      <c r="V4432" s="100" t="s">
        <v>1383</v>
      </c>
      <c r="W4432" s="100" t="s">
        <v>1715</v>
      </c>
      <c r="X4432" s="100" t="s">
        <v>1383</v>
      </c>
      <c r="Y4432" s="100" t="s">
        <v>1383</v>
      </c>
      <c r="AA4432" s="351"/>
      <c r="AB4432" s="351"/>
      <c r="AC4432" s="99" t="s">
        <v>450</v>
      </c>
      <c r="AD4432" s="99">
        <v>8.11</v>
      </c>
      <c r="AE4432" s="99">
        <v>1.2</v>
      </c>
      <c r="AH4432" s="99" t="s">
        <v>4481</v>
      </c>
      <c r="AI4432" s="99" t="s">
        <v>577</v>
      </c>
      <c r="AJ4432" s="99" t="s">
        <v>116</v>
      </c>
      <c r="AK4432" s="99" t="s">
        <v>116</v>
      </c>
      <c r="AW4432" s="99" t="s">
        <v>160</v>
      </c>
      <c r="AX4432" s="99">
        <v>3</v>
      </c>
      <c r="AZ4432" s="99" t="s">
        <v>2121</v>
      </c>
      <c r="BE4432" s="99" t="s">
        <v>4490</v>
      </c>
      <c r="BP4432" s="426"/>
      <c r="BQ4432" s="426"/>
      <c r="BU4432" s="426"/>
      <c r="BV4432" s="426"/>
      <c r="BZ4432" s="426"/>
      <c r="CA4432" s="426"/>
      <c r="CE4432" s="579"/>
      <c r="CF4432" s="579"/>
      <c r="CG4432" s="579"/>
      <c r="CH4432" s="579"/>
      <c r="CJ4432" s="99">
        <v>12.2</v>
      </c>
      <c r="CK4432" s="99">
        <v>24.15</v>
      </c>
      <c r="CL4432" s="99">
        <f>14.65-CJ4432</f>
        <v>2.4500000000000011</v>
      </c>
      <c r="CM4432" s="99">
        <f>27.59-CK4432</f>
        <v>3.4400000000000013</v>
      </c>
      <c r="CN4432" s="99" t="s">
        <v>4488</v>
      </c>
      <c r="JD4432" s="508"/>
    </row>
    <row r="4433" spans="1:264" s="99" customFormat="1" x14ac:dyDescent="0.25">
      <c r="A4433" s="99">
        <v>193</v>
      </c>
      <c r="B4433" s="100" t="s">
        <v>4494</v>
      </c>
      <c r="C4433" s="99" t="s">
        <v>4475</v>
      </c>
      <c r="D4433" s="99" t="s">
        <v>4476</v>
      </c>
      <c r="E4433" s="99">
        <v>2016</v>
      </c>
      <c r="F4433" s="99">
        <v>2010</v>
      </c>
      <c r="G4433" s="99" t="s">
        <v>4482</v>
      </c>
      <c r="H4433" s="99" t="s">
        <v>4477</v>
      </c>
      <c r="I4433" s="99" t="s">
        <v>3461</v>
      </c>
      <c r="J4433" s="99">
        <f t="shared" ref="J4433:J4464" si="579">35+12/60</f>
        <v>35.200000000000003</v>
      </c>
      <c r="K4433" s="99">
        <f t="shared" ref="K4433:K4464" si="580">107+44/60</f>
        <v>107.73333333333333</v>
      </c>
      <c r="L4433" s="99">
        <v>1220</v>
      </c>
      <c r="O4433" s="99">
        <v>487.3</v>
      </c>
      <c r="P4433" s="99">
        <v>589</v>
      </c>
      <c r="R4433" s="100" t="s">
        <v>1847</v>
      </c>
      <c r="S4433" s="100" t="s">
        <v>1722</v>
      </c>
      <c r="T4433" s="100" t="s">
        <v>1110</v>
      </c>
      <c r="U4433" s="100" t="s">
        <v>4478</v>
      </c>
      <c r="V4433" s="100" t="s">
        <v>1384</v>
      </c>
      <c r="W4433" s="100" t="s">
        <v>1715</v>
      </c>
      <c r="X4433" s="100" t="s">
        <v>1384</v>
      </c>
      <c r="Y4433" s="100" t="s">
        <v>1384</v>
      </c>
      <c r="AA4433" s="351"/>
      <c r="AB4433" s="351"/>
      <c r="AC4433" s="99" t="s">
        <v>450</v>
      </c>
      <c r="AD4433" s="99">
        <v>8.11</v>
      </c>
      <c r="AE4433" s="99">
        <v>1.2</v>
      </c>
      <c r="AH4433" s="99" t="s">
        <v>4481</v>
      </c>
      <c r="AI4433" s="99" t="s">
        <v>577</v>
      </c>
      <c r="AJ4433" s="99" t="s">
        <v>116</v>
      </c>
      <c r="AK4433" s="99" t="s">
        <v>116</v>
      </c>
      <c r="AW4433" s="99" t="s">
        <v>160</v>
      </c>
      <c r="AX4433" s="99">
        <v>3</v>
      </c>
      <c r="AZ4433" s="99" t="s">
        <v>2121</v>
      </c>
      <c r="BE4433" s="99" t="s">
        <v>4490</v>
      </c>
      <c r="BP4433" s="426"/>
      <c r="BQ4433" s="426"/>
      <c r="BU4433" s="426"/>
      <c r="BV4433" s="426"/>
      <c r="BZ4433" s="426"/>
      <c r="CA4433" s="426"/>
      <c r="CE4433" s="579"/>
      <c r="CF4433" s="579"/>
      <c r="CG4433" s="579"/>
      <c r="CH4433" s="579"/>
      <c r="CJ4433" s="99">
        <v>10.89</v>
      </c>
      <c r="CK4433" s="99">
        <v>12.36</v>
      </c>
      <c r="CL4433" s="99">
        <f>14-CJ4433</f>
        <v>3.1099999999999994</v>
      </c>
      <c r="CM4433" s="99">
        <f>14.16-CK4433</f>
        <v>1.8000000000000007</v>
      </c>
      <c r="CN4433" s="99" t="s">
        <v>4488</v>
      </c>
      <c r="JD4433" s="508"/>
    </row>
    <row r="4434" spans="1:264" s="99" customFormat="1" x14ac:dyDescent="0.25">
      <c r="A4434" s="99">
        <v>193</v>
      </c>
      <c r="B4434" s="100" t="s">
        <v>4495</v>
      </c>
      <c r="C4434" s="99" t="s">
        <v>4475</v>
      </c>
      <c r="D4434" s="99" t="s">
        <v>4476</v>
      </c>
      <c r="E4434" s="99">
        <v>2016</v>
      </c>
      <c r="F4434" s="99">
        <v>2010</v>
      </c>
      <c r="G4434" s="99" t="s">
        <v>4482</v>
      </c>
      <c r="H4434" s="99" t="s">
        <v>4477</v>
      </c>
      <c r="I4434" s="99" t="s">
        <v>3461</v>
      </c>
      <c r="J4434" s="99">
        <f t="shared" si="579"/>
        <v>35.200000000000003</v>
      </c>
      <c r="K4434" s="99">
        <f t="shared" si="580"/>
        <v>107.73333333333333</v>
      </c>
      <c r="L4434" s="99">
        <v>1220</v>
      </c>
      <c r="O4434" s="99">
        <v>487.3</v>
      </c>
      <c r="P4434" s="99">
        <v>589</v>
      </c>
      <c r="R4434" s="100" t="s">
        <v>1847</v>
      </c>
      <c r="S4434" s="100" t="s">
        <v>1722</v>
      </c>
      <c r="T4434" s="100" t="s">
        <v>1110</v>
      </c>
      <c r="U4434" s="100" t="s">
        <v>4478</v>
      </c>
      <c r="V4434" s="100" t="s">
        <v>1385</v>
      </c>
      <c r="W4434" s="100" t="s">
        <v>1715</v>
      </c>
      <c r="X4434" s="100" t="s">
        <v>1385</v>
      </c>
      <c r="Y4434" s="100" t="s">
        <v>1385</v>
      </c>
      <c r="AA4434" s="351"/>
      <c r="AB4434" s="351"/>
      <c r="AC4434" s="99" t="s">
        <v>450</v>
      </c>
      <c r="AD4434" s="99">
        <v>8.11</v>
      </c>
      <c r="AE4434" s="99">
        <v>1.2</v>
      </c>
      <c r="AH4434" s="99" t="s">
        <v>4481</v>
      </c>
      <c r="AI4434" s="99" t="s">
        <v>577</v>
      </c>
      <c r="AJ4434" s="99" t="s">
        <v>116</v>
      </c>
      <c r="AK4434" s="99" t="s">
        <v>116</v>
      </c>
      <c r="AW4434" s="99" t="s">
        <v>160</v>
      </c>
      <c r="AX4434" s="99">
        <v>3</v>
      </c>
      <c r="AZ4434" s="99" t="s">
        <v>2121</v>
      </c>
      <c r="BE4434" s="99" t="s">
        <v>4490</v>
      </c>
      <c r="BP4434" s="426"/>
      <c r="BQ4434" s="426"/>
      <c r="BU4434" s="426"/>
      <c r="BV4434" s="426"/>
      <c r="BZ4434" s="426"/>
      <c r="CA4434" s="426"/>
      <c r="CE4434" s="579"/>
      <c r="CF4434" s="579"/>
      <c r="CG4434" s="579"/>
      <c r="CH4434" s="579"/>
      <c r="CJ4434" s="99">
        <v>13.34</v>
      </c>
      <c r="CK4434" s="99">
        <v>17.93</v>
      </c>
      <c r="CL4434" s="99">
        <f>16.62-CJ4434</f>
        <v>3.2800000000000011</v>
      </c>
      <c r="CM4434" s="99">
        <f>19.56-CK4434</f>
        <v>1.629999999999999</v>
      </c>
      <c r="CN4434" s="99" t="s">
        <v>4488</v>
      </c>
      <c r="JD4434" s="508"/>
    </row>
    <row r="4435" spans="1:264" s="99" customFormat="1" x14ac:dyDescent="0.25">
      <c r="A4435" s="99">
        <v>193</v>
      </c>
      <c r="B4435" s="100" t="s">
        <v>4496</v>
      </c>
      <c r="C4435" s="99" t="s">
        <v>4475</v>
      </c>
      <c r="D4435" s="99" t="s">
        <v>4476</v>
      </c>
      <c r="E4435" s="99">
        <v>2016</v>
      </c>
      <c r="F4435" s="99">
        <v>2010</v>
      </c>
      <c r="G4435" s="99" t="s">
        <v>4482</v>
      </c>
      <c r="H4435" s="99" t="s">
        <v>4477</v>
      </c>
      <c r="I4435" s="99" t="s">
        <v>3461</v>
      </c>
      <c r="J4435" s="99">
        <f t="shared" si="579"/>
        <v>35.200000000000003</v>
      </c>
      <c r="K4435" s="99">
        <f t="shared" si="580"/>
        <v>107.73333333333333</v>
      </c>
      <c r="L4435" s="99">
        <v>1220</v>
      </c>
      <c r="O4435" s="99">
        <v>487.3</v>
      </c>
      <c r="P4435" s="99">
        <v>589</v>
      </c>
      <c r="R4435" s="100" t="s">
        <v>1847</v>
      </c>
      <c r="S4435" s="100" t="s">
        <v>1722</v>
      </c>
      <c r="T4435" s="100" t="s">
        <v>1110</v>
      </c>
      <c r="U4435" s="100" t="s">
        <v>4478</v>
      </c>
      <c r="V4435" s="100" t="s">
        <v>1386</v>
      </c>
      <c r="W4435" s="100" t="s">
        <v>1715</v>
      </c>
      <c r="X4435" s="100" t="s">
        <v>1386</v>
      </c>
      <c r="Y4435" s="100" t="s">
        <v>1386</v>
      </c>
      <c r="AA4435" s="351"/>
      <c r="AB4435" s="351"/>
      <c r="AC4435" s="99" t="s">
        <v>450</v>
      </c>
      <c r="AD4435" s="99">
        <v>8.11</v>
      </c>
      <c r="AE4435" s="99">
        <v>1.2</v>
      </c>
      <c r="AH4435" s="99" t="s">
        <v>4481</v>
      </c>
      <c r="AI4435" s="99" t="s">
        <v>577</v>
      </c>
      <c r="AJ4435" s="99" t="s">
        <v>116</v>
      </c>
      <c r="AK4435" s="99" t="s">
        <v>116</v>
      </c>
      <c r="AW4435" s="99" t="s">
        <v>160</v>
      </c>
      <c r="AX4435" s="99">
        <v>3</v>
      </c>
      <c r="AZ4435" s="99" t="s">
        <v>2121</v>
      </c>
      <c r="BE4435" s="99" t="s">
        <v>4490</v>
      </c>
      <c r="BP4435" s="426"/>
      <c r="BQ4435" s="426"/>
      <c r="BU4435" s="426"/>
      <c r="BV4435" s="426"/>
      <c r="BZ4435" s="426"/>
      <c r="CA4435" s="426"/>
      <c r="CE4435" s="579"/>
      <c r="CF4435" s="579"/>
      <c r="CG4435" s="579"/>
      <c r="CH4435" s="579"/>
      <c r="CJ4435" s="99">
        <v>15.31</v>
      </c>
      <c r="CK4435" s="99">
        <v>23.82</v>
      </c>
      <c r="CL4435" s="99">
        <f>17.93-CJ4435</f>
        <v>2.6199999999999992</v>
      </c>
      <c r="CM4435" s="99">
        <f>26.11-CK4435</f>
        <v>2.2899999999999991</v>
      </c>
      <c r="CN4435" s="99" t="s">
        <v>4488</v>
      </c>
      <c r="JD4435" s="508"/>
    </row>
    <row r="4436" spans="1:264" s="99" customFormat="1" x14ac:dyDescent="0.25">
      <c r="A4436" s="99">
        <v>193</v>
      </c>
      <c r="B4436" s="100" t="s">
        <v>4497</v>
      </c>
      <c r="C4436" s="99" t="s">
        <v>4475</v>
      </c>
      <c r="D4436" s="99" t="s">
        <v>4476</v>
      </c>
      <c r="E4436" s="99">
        <v>2016</v>
      </c>
      <c r="F4436" s="99">
        <v>2010</v>
      </c>
      <c r="G4436" s="99" t="s">
        <v>4482</v>
      </c>
      <c r="H4436" s="99" t="s">
        <v>4477</v>
      </c>
      <c r="I4436" s="99" t="s">
        <v>3461</v>
      </c>
      <c r="J4436" s="99">
        <f t="shared" si="579"/>
        <v>35.200000000000003</v>
      </c>
      <c r="K4436" s="99">
        <f t="shared" si="580"/>
        <v>107.73333333333333</v>
      </c>
      <c r="L4436" s="99">
        <v>1220</v>
      </c>
      <c r="O4436" s="99">
        <v>487.3</v>
      </c>
      <c r="P4436" s="99">
        <v>589</v>
      </c>
      <c r="R4436" s="100" t="s">
        <v>1847</v>
      </c>
      <c r="S4436" s="100" t="s">
        <v>1722</v>
      </c>
      <c r="T4436" s="100" t="s">
        <v>1110</v>
      </c>
      <c r="U4436" s="100" t="s">
        <v>4478</v>
      </c>
      <c r="V4436" s="99" t="s">
        <v>4487</v>
      </c>
      <c r="W4436" s="100" t="s">
        <v>1715</v>
      </c>
      <c r="X4436" s="99" t="s">
        <v>4487</v>
      </c>
      <c r="Y4436" s="99" t="s">
        <v>4487</v>
      </c>
      <c r="AA4436" s="351"/>
      <c r="AB4436" s="351"/>
      <c r="AC4436" s="99" t="s">
        <v>450</v>
      </c>
      <c r="AD4436" s="99">
        <v>8.11</v>
      </c>
      <c r="AE4436" s="99">
        <v>1.2</v>
      </c>
      <c r="AH4436" s="99" t="s">
        <v>4481</v>
      </c>
      <c r="AI4436" s="99" t="s">
        <v>577</v>
      </c>
      <c r="AJ4436" s="99" t="s">
        <v>116</v>
      </c>
      <c r="AK4436" s="99" t="s">
        <v>116</v>
      </c>
      <c r="AW4436" s="99" t="s">
        <v>160</v>
      </c>
      <c r="AX4436" s="99">
        <v>3</v>
      </c>
      <c r="AZ4436" s="99" t="s">
        <v>2121</v>
      </c>
      <c r="BE4436" s="99" t="s">
        <v>4490</v>
      </c>
      <c r="BP4436" s="426"/>
      <c r="BQ4436" s="426"/>
      <c r="BU4436" s="426"/>
      <c r="BV4436" s="426"/>
      <c r="BZ4436" s="426"/>
      <c r="CA4436" s="426"/>
      <c r="CE4436" s="579"/>
      <c r="CF4436" s="579"/>
      <c r="CG4436" s="579"/>
      <c r="CH4436" s="579"/>
      <c r="CJ4436" s="99">
        <v>13.34</v>
      </c>
      <c r="CK4436" s="99">
        <v>17.760000000000002</v>
      </c>
      <c r="CL4436" s="99">
        <f>16.13-CJ4436</f>
        <v>2.7899999999999991</v>
      </c>
      <c r="CM4436" s="99">
        <f>18.91-CK4436</f>
        <v>1.1499999999999986</v>
      </c>
      <c r="CN4436" s="99" t="s">
        <v>4488</v>
      </c>
      <c r="JD4436" s="508"/>
    </row>
    <row r="4437" spans="1:264" s="99" customFormat="1" x14ac:dyDescent="0.25">
      <c r="A4437" s="99">
        <v>193</v>
      </c>
      <c r="B4437" s="100" t="s">
        <v>4498</v>
      </c>
      <c r="C4437" s="99" t="s">
        <v>4475</v>
      </c>
      <c r="D4437" s="99" t="s">
        <v>4476</v>
      </c>
      <c r="E4437" s="99">
        <v>2016</v>
      </c>
      <c r="F4437" s="99">
        <v>2010</v>
      </c>
      <c r="G4437" s="99" t="s">
        <v>4482</v>
      </c>
      <c r="H4437" s="99" t="s">
        <v>4477</v>
      </c>
      <c r="I4437" s="99" t="s">
        <v>3461</v>
      </c>
      <c r="J4437" s="99">
        <f t="shared" si="579"/>
        <v>35.200000000000003</v>
      </c>
      <c r="K4437" s="99">
        <f t="shared" si="580"/>
        <v>107.73333333333333</v>
      </c>
      <c r="L4437" s="99">
        <v>1220</v>
      </c>
      <c r="O4437" s="99">
        <v>487.3</v>
      </c>
      <c r="P4437" s="99">
        <v>589</v>
      </c>
      <c r="R4437" s="100" t="s">
        <v>1847</v>
      </c>
      <c r="S4437" s="100" t="s">
        <v>1722</v>
      </c>
      <c r="T4437" s="100" t="s">
        <v>1110</v>
      </c>
      <c r="U4437" s="100" t="s">
        <v>4478</v>
      </c>
      <c r="V4437" s="100" t="s">
        <v>4483</v>
      </c>
      <c r="W4437" s="100" t="s">
        <v>1715</v>
      </c>
      <c r="X4437" s="100" t="s">
        <v>4483</v>
      </c>
      <c r="Y4437" s="100" t="s">
        <v>4483</v>
      </c>
      <c r="AA4437" s="351"/>
      <c r="AB4437" s="351"/>
      <c r="AC4437" s="99" t="s">
        <v>450</v>
      </c>
      <c r="AD4437" s="99">
        <v>8.11</v>
      </c>
      <c r="AE4437" s="99">
        <v>1.2</v>
      </c>
      <c r="AH4437" s="99" t="s">
        <v>4481</v>
      </c>
      <c r="AI4437" s="99" t="s">
        <v>577</v>
      </c>
      <c r="AJ4437" s="99" t="s">
        <v>116</v>
      </c>
      <c r="AK4437" s="99" t="s">
        <v>116</v>
      </c>
      <c r="AW4437" s="99" t="s">
        <v>160</v>
      </c>
      <c r="AX4437" s="99">
        <v>3</v>
      </c>
      <c r="AZ4437" s="99" t="s">
        <v>2121</v>
      </c>
      <c r="BE4437" s="99" t="s">
        <v>4490</v>
      </c>
      <c r="BP4437" s="426"/>
      <c r="BQ4437" s="426"/>
      <c r="BU4437" s="426"/>
      <c r="BV4437" s="426"/>
      <c r="BZ4437" s="426"/>
      <c r="CA4437" s="426"/>
      <c r="CE4437" s="579"/>
      <c r="CF4437" s="579"/>
      <c r="CG4437" s="579"/>
      <c r="CH4437" s="579"/>
      <c r="CJ4437" s="99">
        <v>21.69</v>
      </c>
      <c r="CK4437" s="99">
        <v>15.31</v>
      </c>
      <c r="CL4437" s="99">
        <f>25.46-CJ4437</f>
        <v>3.7699999999999996</v>
      </c>
      <c r="CM4437" s="99">
        <f>17.76-CK4437</f>
        <v>2.4500000000000011</v>
      </c>
      <c r="CN4437" s="99" t="s">
        <v>4488</v>
      </c>
      <c r="JD4437" s="508"/>
    </row>
    <row r="4438" spans="1:264" s="99" customFormat="1" x14ac:dyDescent="0.25">
      <c r="A4438" s="99">
        <v>193</v>
      </c>
      <c r="B4438" s="100" t="s">
        <v>4499</v>
      </c>
      <c r="C4438" s="99" t="s">
        <v>4475</v>
      </c>
      <c r="D4438" s="99" t="s">
        <v>4476</v>
      </c>
      <c r="E4438" s="99">
        <v>2016</v>
      </c>
      <c r="F4438" s="99">
        <v>2010</v>
      </c>
      <c r="G4438" s="99" t="s">
        <v>4482</v>
      </c>
      <c r="H4438" s="99" t="s">
        <v>4477</v>
      </c>
      <c r="I4438" s="99" t="s">
        <v>3461</v>
      </c>
      <c r="J4438" s="99">
        <f t="shared" si="579"/>
        <v>35.200000000000003</v>
      </c>
      <c r="K4438" s="99">
        <f t="shared" si="580"/>
        <v>107.73333333333333</v>
      </c>
      <c r="L4438" s="99">
        <v>1220</v>
      </c>
      <c r="O4438" s="99">
        <v>487.3</v>
      </c>
      <c r="P4438" s="99">
        <v>589</v>
      </c>
      <c r="R4438" s="100" t="s">
        <v>1847</v>
      </c>
      <c r="S4438" s="100" t="s">
        <v>1722</v>
      </c>
      <c r="T4438" s="100" t="s">
        <v>1110</v>
      </c>
      <c r="U4438" s="100" t="s">
        <v>4478</v>
      </c>
      <c r="V4438" s="100" t="s">
        <v>4484</v>
      </c>
      <c r="W4438" s="100" t="s">
        <v>1715</v>
      </c>
      <c r="X4438" s="100" t="s">
        <v>4484</v>
      </c>
      <c r="Y4438" s="100" t="s">
        <v>4484</v>
      </c>
      <c r="AA4438" s="351"/>
      <c r="AB4438" s="351"/>
      <c r="AC4438" s="99" t="s">
        <v>450</v>
      </c>
      <c r="AD4438" s="99">
        <v>8.11</v>
      </c>
      <c r="AE4438" s="99">
        <v>1.2</v>
      </c>
      <c r="AH4438" s="99" t="s">
        <v>4481</v>
      </c>
      <c r="AI4438" s="99" t="s">
        <v>577</v>
      </c>
      <c r="AJ4438" s="99" t="s">
        <v>116</v>
      </c>
      <c r="AK4438" s="99" t="s">
        <v>116</v>
      </c>
      <c r="AW4438" s="99" t="s">
        <v>160</v>
      </c>
      <c r="AX4438" s="99">
        <v>3</v>
      </c>
      <c r="AZ4438" s="99" t="s">
        <v>2121</v>
      </c>
      <c r="BE4438" s="99" t="s">
        <v>4490</v>
      </c>
      <c r="BP4438" s="426"/>
      <c r="BQ4438" s="426"/>
      <c r="BU4438" s="426"/>
      <c r="BV4438" s="426"/>
      <c r="BZ4438" s="426"/>
      <c r="CA4438" s="426"/>
      <c r="CE4438" s="579"/>
      <c r="CF4438" s="579"/>
      <c r="CG4438" s="579"/>
      <c r="CH4438" s="579"/>
      <c r="CJ4438" s="99">
        <v>25.62</v>
      </c>
      <c r="CK4438" s="99">
        <v>13.67</v>
      </c>
      <c r="CL4438" s="99">
        <f>30.37-CJ4438</f>
        <v>4.75</v>
      </c>
      <c r="CM4438" s="99">
        <f>15.8-CK4438</f>
        <v>2.1300000000000008</v>
      </c>
      <c r="CN4438" s="99" t="s">
        <v>4488</v>
      </c>
      <c r="JD4438" s="508"/>
    </row>
    <row r="4439" spans="1:264" s="99" customFormat="1" x14ac:dyDescent="0.25">
      <c r="A4439" s="99">
        <v>193</v>
      </c>
      <c r="B4439" s="100" t="s">
        <v>4500</v>
      </c>
      <c r="C4439" s="99" t="s">
        <v>4475</v>
      </c>
      <c r="D4439" s="99" t="s">
        <v>4476</v>
      </c>
      <c r="E4439" s="99">
        <v>2016</v>
      </c>
      <c r="F4439" s="99">
        <v>2010</v>
      </c>
      <c r="G4439" s="99" t="s">
        <v>4482</v>
      </c>
      <c r="H4439" s="99" t="s">
        <v>4477</v>
      </c>
      <c r="I4439" s="99" t="s">
        <v>3461</v>
      </c>
      <c r="J4439" s="99">
        <f t="shared" si="579"/>
        <v>35.200000000000003</v>
      </c>
      <c r="K4439" s="99">
        <f t="shared" si="580"/>
        <v>107.73333333333333</v>
      </c>
      <c r="L4439" s="99">
        <v>1220</v>
      </c>
      <c r="O4439" s="99">
        <v>487.3</v>
      </c>
      <c r="P4439" s="99">
        <v>589</v>
      </c>
      <c r="R4439" s="100" t="s">
        <v>1847</v>
      </c>
      <c r="S4439" s="100" t="s">
        <v>1722</v>
      </c>
      <c r="T4439" s="100" t="s">
        <v>1110</v>
      </c>
      <c r="U4439" s="100" t="s">
        <v>4478</v>
      </c>
      <c r="V4439" s="100" t="s">
        <v>4485</v>
      </c>
      <c r="W4439" s="100" t="s">
        <v>1715</v>
      </c>
      <c r="X4439" s="100" t="s">
        <v>4485</v>
      </c>
      <c r="Y4439" s="100" t="s">
        <v>4485</v>
      </c>
      <c r="AA4439" s="351"/>
      <c r="AB4439" s="351"/>
      <c r="AC4439" s="99" t="s">
        <v>450</v>
      </c>
      <c r="AD4439" s="99">
        <v>8.11</v>
      </c>
      <c r="AE4439" s="99">
        <v>1.2</v>
      </c>
      <c r="AH4439" s="99" t="s">
        <v>4481</v>
      </c>
      <c r="AI4439" s="99" t="s">
        <v>577</v>
      </c>
      <c r="AJ4439" s="99" t="s">
        <v>116</v>
      </c>
      <c r="AK4439" s="99" t="s">
        <v>116</v>
      </c>
      <c r="AW4439" s="99" t="s">
        <v>160</v>
      </c>
      <c r="AX4439" s="99">
        <v>3</v>
      </c>
      <c r="AZ4439" s="99" t="s">
        <v>2121</v>
      </c>
      <c r="BE4439" s="99" t="s">
        <v>4490</v>
      </c>
      <c r="BP4439" s="426"/>
      <c r="BQ4439" s="426"/>
      <c r="BU4439" s="426"/>
      <c r="BV4439" s="426"/>
      <c r="BZ4439" s="426"/>
      <c r="CA4439" s="426"/>
      <c r="CE4439" s="579"/>
      <c r="CF4439" s="579"/>
      <c r="CG4439" s="579"/>
      <c r="CH4439" s="579"/>
      <c r="CJ4439" s="99">
        <v>25.13</v>
      </c>
      <c r="CK4439" s="99">
        <v>18.09</v>
      </c>
      <c r="CL4439" s="99">
        <f>29.39-CJ4439</f>
        <v>4.2600000000000016</v>
      </c>
      <c r="CM4439" s="99">
        <f>22.84-CK4439</f>
        <v>4.75</v>
      </c>
      <c r="CN4439" s="99" t="s">
        <v>4488</v>
      </c>
      <c r="JD4439" s="508"/>
    </row>
    <row r="4440" spans="1:264" s="99" customFormat="1" x14ac:dyDescent="0.25">
      <c r="A4440" s="99">
        <v>193</v>
      </c>
      <c r="B4440" s="100" t="s">
        <v>4501</v>
      </c>
      <c r="C4440" s="99" t="s">
        <v>4475</v>
      </c>
      <c r="D4440" s="99" t="s">
        <v>4476</v>
      </c>
      <c r="E4440" s="99">
        <v>2016</v>
      </c>
      <c r="F4440" s="99">
        <v>2010</v>
      </c>
      <c r="G4440" s="99" t="s">
        <v>4482</v>
      </c>
      <c r="H4440" s="99" t="s">
        <v>4477</v>
      </c>
      <c r="I4440" s="99" t="s">
        <v>3461</v>
      </c>
      <c r="J4440" s="99">
        <f t="shared" si="579"/>
        <v>35.200000000000003</v>
      </c>
      <c r="K4440" s="99">
        <f t="shared" si="580"/>
        <v>107.73333333333333</v>
      </c>
      <c r="L4440" s="99">
        <v>1220</v>
      </c>
      <c r="O4440" s="99">
        <v>487.3</v>
      </c>
      <c r="P4440" s="99">
        <v>589</v>
      </c>
      <c r="R4440" s="100" t="s">
        <v>1847</v>
      </c>
      <c r="S4440" s="100" t="s">
        <v>1722</v>
      </c>
      <c r="T4440" s="100" t="s">
        <v>1110</v>
      </c>
      <c r="U4440" s="100" t="s">
        <v>4478</v>
      </c>
      <c r="V4440" s="100" t="s">
        <v>4486</v>
      </c>
      <c r="W4440" s="100" t="s">
        <v>1715</v>
      </c>
      <c r="X4440" s="100" t="s">
        <v>4486</v>
      </c>
      <c r="Y4440" s="100" t="s">
        <v>4486</v>
      </c>
      <c r="AA4440" s="351"/>
      <c r="AB4440" s="351"/>
      <c r="AC4440" s="99" t="s">
        <v>450</v>
      </c>
      <c r="AD4440" s="99">
        <v>8.11</v>
      </c>
      <c r="AE4440" s="99">
        <v>1.2</v>
      </c>
      <c r="AH4440" s="99" t="s">
        <v>4481</v>
      </c>
      <c r="AI4440" s="99" t="s">
        <v>577</v>
      </c>
      <c r="AJ4440" s="99" t="s">
        <v>116</v>
      </c>
      <c r="AK4440" s="99" t="s">
        <v>116</v>
      </c>
      <c r="AW4440" s="99" t="s">
        <v>160</v>
      </c>
      <c r="AX4440" s="99">
        <v>3</v>
      </c>
      <c r="AZ4440" s="99" t="s">
        <v>2121</v>
      </c>
      <c r="BE4440" s="99" t="s">
        <v>4490</v>
      </c>
      <c r="BP4440" s="426"/>
      <c r="BQ4440" s="426"/>
      <c r="BU4440" s="426"/>
      <c r="BV4440" s="426"/>
      <c r="BZ4440" s="426"/>
      <c r="CA4440" s="426"/>
      <c r="CE4440" s="579"/>
      <c r="CF4440" s="579"/>
      <c r="CG4440" s="579"/>
      <c r="CH4440" s="579"/>
      <c r="CJ4440" s="99">
        <v>32.17</v>
      </c>
      <c r="CK4440" s="99">
        <v>17.93</v>
      </c>
      <c r="CL4440" s="99">
        <f>36.26-CJ4440</f>
        <v>4.0899999999999963</v>
      </c>
      <c r="CM4440" s="99">
        <f>20.71-CK4440</f>
        <v>2.7800000000000011</v>
      </c>
      <c r="CN4440" s="99" t="s">
        <v>4488</v>
      </c>
      <c r="JD4440" s="508"/>
    </row>
    <row r="4441" spans="1:264" s="126" customFormat="1" x14ac:dyDescent="0.25">
      <c r="A4441" s="126">
        <v>193</v>
      </c>
      <c r="B4441" s="478" t="s">
        <v>4492</v>
      </c>
      <c r="C4441" s="126" t="s">
        <v>4475</v>
      </c>
      <c r="D4441" s="126" t="s">
        <v>4476</v>
      </c>
      <c r="E4441" s="126">
        <v>2016</v>
      </c>
      <c r="F4441" s="126">
        <v>2010</v>
      </c>
      <c r="G4441" s="126" t="s">
        <v>4482</v>
      </c>
      <c r="H4441" s="126" t="s">
        <v>4477</v>
      </c>
      <c r="I4441" s="126" t="s">
        <v>3461</v>
      </c>
      <c r="J4441" s="126">
        <f t="shared" si="579"/>
        <v>35.200000000000003</v>
      </c>
      <c r="K4441" s="126">
        <f t="shared" si="580"/>
        <v>107.73333333333333</v>
      </c>
      <c r="L4441" s="126">
        <v>1220</v>
      </c>
      <c r="O4441" s="126">
        <v>487.3</v>
      </c>
      <c r="P4441" s="126">
        <v>589</v>
      </c>
      <c r="R4441" s="478" t="s">
        <v>1847</v>
      </c>
      <c r="S4441" s="478" t="s">
        <v>1722</v>
      </c>
      <c r="T4441" s="478" t="s">
        <v>1110</v>
      </c>
      <c r="U4441" s="478" t="s">
        <v>4478</v>
      </c>
      <c r="V4441" s="478" t="s">
        <v>1379</v>
      </c>
      <c r="W4441" s="478" t="s">
        <v>1715</v>
      </c>
      <c r="X4441" s="478" t="s">
        <v>1379</v>
      </c>
      <c r="Y4441" s="478" t="s">
        <v>1379</v>
      </c>
      <c r="AA4441" s="479"/>
      <c r="AB4441" s="479"/>
      <c r="AC4441" s="126" t="s">
        <v>450</v>
      </c>
      <c r="AD4441" s="126">
        <v>8.11</v>
      </c>
      <c r="AE4441" s="126">
        <v>1.2</v>
      </c>
      <c r="AH4441" s="126" t="s">
        <v>4480</v>
      </c>
      <c r="AI4441" s="126" t="s">
        <v>577</v>
      </c>
      <c r="AJ4441" s="126" t="s">
        <v>116</v>
      </c>
      <c r="AK4441" s="126" t="s">
        <v>116</v>
      </c>
      <c r="AW4441" s="126" t="s">
        <v>160</v>
      </c>
      <c r="AX4441" s="126">
        <v>3</v>
      </c>
      <c r="AZ4441" s="126" t="s">
        <v>2121</v>
      </c>
      <c r="BE4441" s="126" t="s">
        <v>4491</v>
      </c>
      <c r="BP4441" s="481"/>
      <c r="BQ4441" s="481"/>
      <c r="BU4441" s="481"/>
      <c r="BV4441" s="481"/>
      <c r="BZ4441" s="481"/>
      <c r="CA4441" s="481"/>
      <c r="CE4441" s="605"/>
      <c r="CF4441" s="605"/>
      <c r="CG4441" s="605"/>
      <c r="CH4441" s="605"/>
      <c r="CJ4441" s="126">
        <v>18.87</v>
      </c>
      <c r="CK4441" s="126">
        <v>28.02</v>
      </c>
      <c r="CL4441" s="126">
        <f>20.83-CJ4441</f>
        <v>1.9599999999999973</v>
      </c>
      <c r="CM4441" s="126">
        <f>30.62-CK4441</f>
        <v>2.6000000000000014</v>
      </c>
      <c r="CN4441" s="126" t="s">
        <v>4488</v>
      </c>
      <c r="JD4441" s="480"/>
    </row>
    <row r="4442" spans="1:264" s="126" customFormat="1" x14ac:dyDescent="0.25">
      <c r="A4442" s="126">
        <v>193</v>
      </c>
      <c r="B4442" s="478" t="s">
        <v>4493</v>
      </c>
      <c r="C4442" s="126" t="s">
        <v>4475</v>
      </c>
      <c r="D4442" s="126" t="s">
        <v>4476</v>
      </c>
      <c r="E4442" s="126">
        <v>2016</v>
      </c>
      <c r="F4442" s="126">
        <v>2010</v>
      </c>
      <c r="G4442" s="126" t="s">
        <v>4482</v>
      </c>
      <c r="H4442" s="126" t="s">
        <v>4477</v>
      </c>
      <c r="I4442" s="126" t="s">
        <v>3461</v>
      </c>
      <c r="J4442" s="126">
        <f t="shared" si="579"/>
        <v>35.200000000000003</v>
      </c>
      <c r="K4442" s="126">
        <f t="shared" si="580"/>
        <v>107.73333333333333</v>
      </c>
      <c r="L4442" s="126">
        <v>1220</v>
      </c>
      <c r="O4442" s="126">
        <v>487.3</v>
      </c>
      <c r="P4442" s="126">
        <v>589</v>
      </c>
      <c r="R4442" s="478" t="s">
        <v>1847</v>
      </c>
      <c r="S4442" s="478" t="s">
        <v>1722</v>
      </c>
      <c r="T4442" s="478" t="s">
        <v>1110</v>
      </c>
      <c r="U4442" s="478" t="s">
        <v>4478</v>
      </c>
      <c r="V4442" s="478" t="s">
        <v>1383</v>
      </c>
      <c r="W4442" s="478" t="s">
        <v>1715</v>
      </c>
      <c r="X4442" s="478" t="s">
        <v>1383</v>
      </c>
      <c r="Y4442" s="478" t="s">
        <v>1383</v>
      </c>
      <c r="AA4442" s="479"/>
      <c r="AB4442" s="479"/>
      <c r="AC4442" s="126" t="s">
        <v>450</v>
      </c>
      <c r="AD4442" s="126">
        <v>8.11</v>
      </c>
      <c r="AE4442" s="126">
        <v>1.2</v>
      </c>
      <c r="AH4442" s="126" t="s">
        <v>4480</v>
      </c>
      <c r="AI4442" s="126" t="s">
        <v>577</v>
      </c>
      <c r="AJ4442" s="126" t="s">
        <v>116</v>
      </c>
      <c r="AK4442" s="126" t="s">
        <v>116</v>
      </c>
      <c r="AW4442" s="126" t="s">
        <v>160</v>
      </c>
      <c r="AX4442" s="126">
        <v>3</v>
      </c>
      <c r="AZ4442" s="126" t="s">
        <v>2121</v>
      </c>
      <c r="BE4442" s="126" t="s">
        <v>4491</v>
      </c>
      <c r="BP4442" s="481"/>
      <c r="BQ4442" s="481"/>
      <c r="BU4442" s="481"/>
      <c r="BV4442" s="481"/>
      <c r="BZ4442" s="481"/>
      <c r="CA4442" s="481"/>
      <c r="CE4442" s="605"/>
      <c r="CF4442" s="605"/>
      <c r="CG4442" s="605"/>
      <c r="CH4442" s="605"/>
      <c r="CJ4442" s="126">
        <v>14.81</v>
      </c>
      <c r="CK4442" s="126">
        <v>20.69</v>
      </c>
      <c r="CL4442" s="126">
        <v>2</v>
      </c>
      <c r="CM4442" s="126">
        <f>24.6-CK4442</f>
        <v>3.91</v>
      </c>
      <c r="CN4442" s="126" t="s">
        <v>4488</v>
      </c>
      <c r="JD4442" s="480"/>
    </row>
    <row r="4443" spans="1:264" s="126" customFormat="1" x14ac:dyDescent="0.25">
      <c r="A4443" s="126">
        <v>193</v>
      </c>
      <c r="B4443" s="478" t="s">
        <v>4494</v>
      </c>
      <c r="C4443" s="126" t="s">
        <v>4475</v>
      </c>
      <c r="D4443" s="126" t="s">
        <v>4476</v>
      </c>
      <c r="E4443" s="126">
        <v>2016</v>
      </c>
      <c r="F4443" s="126">
        <v>2010</v>
      </c>
      <c r="G4443" s="126" t="s">
        <v>4482</v>
      </c>
      <c r="H4443" s="126" t="s">
        <v>4477</v>
      </c>
      <c r="I4443" s="126" t="s">
        <v>3461</v>
      </c>
      <c r="J4443" s="126">
        <f t="shared" si="579"/>
        <v>35.200000000000003</v>
      </c>
      <c r="K4443" s="126">
        <f t="shared" si="580"/>
        <v>107.73333333333333</v>
      </c>
      <c r="L4443" s="126">
        <v>1220</v>
      </c>
      <c r="O4443" s="126">
        <v>487.3</v>
      </c>
      <c r="P4443" s="126">
        <v>589</v>
      </c>
      <c r="R4443" s="478" t="s">
        <v>1847</v>
      </c>
      <c r="S4443" s="478" t="s">
        <v>1722</v>
      </c>
      <c r="T4443" s="478" t="s">
        <v>1110</v>
      </c>
      <c r="U4443" s="478" t="s">
        <v>4478</v>
      </c>
      <c r="V4443" s="478" t="s">
        <v>1384</v>
      </c>
      <c r="W4443" s="478" t="s">
        <v>1715</v>
      </c>
      <c r="X4443" s="478" t="s">
        <v>1384</v>
      </c>
      <c r="Y4443" s="478" t="s">
        <v>1384</v>
      </c>
      <c r="AA4443" s="479"/>
      <c r="AB4443" s="479"/>
      <c r="AC4443" s="126" t="s">
        <v>450</v>
      </c>
      <c r="AD4443" s="126">
        <v>8.11</v>
      </c>
      <c r="AE4443" s="126">
        <v>1.2</v>
      </c>
      <c r="AH4443" s="126" t="s">
        <v>4480</v>
      </c>
      <c r="AI4443" s="126" t="s">
        <v>577</v>
      </c>
      <c r="AJ4443" s="126" t="s">
        <v>116</v>
      </c>
      <c r="AK4443" s="126" t="s">
        <v>116</v>
      </c>
      <c r="AW4443" s="126" t="s">
        <v>160</v>
      </c>
      <c r="AX4443" s="126">
        <v>3</v>
      </c>
      <c r="AZ4443" s="126" t="s">
        <v>2121</v>
      </c>
      <c r="BE4443" s="126" t="s">
        <v>4491</v>
      </c>
      <c r="BP4443" s="481"/>
      <c r="BQ4443" s="481"/>
      <c r="BU4443" s="481"/>
      <c r="BV4443" s="481"/>
      <c r="BZ4443" s="481"/>
      <c r="CA4443" s="481"/>
      <c r="CE4443" s="605"/>
      <c r="CF4443" s="605"/>
      <c r="CG4443" s="605"/>
      <c r="CH4443" s="605"/>
      <c r="CJ4443" s="126">
        <v>9.76</v>
      </c>
      <c r="CK4443" s="126">
        <v>12.05</v>
      </c>
      <c r="CL4443" s="126">
        <v>2</v>
      </c>
      <c r="CM4443" s="126">
        <f>14.99-CK4443</f>
        <v>2.9399999999999995</v>
      </c>
      <c r="CN4443" s="126" t="s">
        <v>4488</v>
      </c>
      <c r="JD4443" s="480"/>
    </row>
    <row r="4444" spans="1:264" s="126" customFormat="1" x14ac:dyDescent="0.25">
      <c r="A4444" s="126">
        <v>193</v>
      </c>
      <c r="B4444" s="478" t="s">
        <v>4495</v>
      </c>
      <c r="C4444" s="126" t="s">
        <v>4475</v>
      </c>
      <c r="D4444" s="126" t="s">
        <v>4476</v>
      </c>
      <c r="E4444" s="126">
        <v>2016</v>
      </c>
      <c r="F4444" s="126">
        <v>2010</v>
      </c>
      <c r="G4444" s="126" t="s">
        <v>4482</v>
      </c>
      <c r="H4444" s="126" t="s">
        <v>4477</v>
      </c>
      <c r="I4444" s="126" t="s">
        <v>3461</v>
      </c>
      <c r="J4444" s="126">
        <f t="shared" si="579"/>
        <v>35.200000000000003</v>
      </c>
      <c r="K4444" s="126">
        <f t="shared" si="580"/>
        <v>107.73333333333333</v>
      </c>
      <c r="L4444" s="126">
        <v>1220</v>
      </c>
      <c r="O4444" s="126">
        <v>487.3</v>
      </c>
      <c r="P4444" s="126">
        <v>589</v>
      </c>
      <c r="R4444" s="478" t="s">
        <v>1847</v>
      </c>
      <c r="S4444" s="478" t="s">
        <v>1722</v>
      </c>
      <c r="T4444" s="478" t="s">
        <v>1110</v>
      </c>
      <c r="U4444" s="478" t="s">
        <v>4478</v>
      </c>
      <c r="V4444" s="478" t="s">
        <v>1385</v>
      </c>
      <c r="W4444" s="478" t="s">
        <v>1715</v>
      </c>
      <c r="X4444" s="478" t="s">
        <v>1385</v>
      </c>
      <c r="Y4444" s="478" t="s">
        <v>1385</v>
      </c>
      <c r="AA4444" s="479"/>
      <c r="AB4444" s="479"/>
      <c r="AC4444" s="126" t="s">
        <v>450</v>
      </c>
      <c r="AD4444" s="126">
        <v>8.11</v>
      </c>
      <c r="AE4444" s="126">
        <v>1.2</v>
      </c>
      <c r="AH4444" s="126" t="s">
        <v>4480</v>
      </c>
      <c r="AI4444" s="126" t="s">
        <v>577</v>
      </c>
      <c r="AJ4444" s="126" t="s">
        <v>116</v>
      </c>
      <c r="AK4444" s="126" t="s">
        <v>116</v>
      </c>
      <c r="AW4444" s="126" t="s">
        <v>160</v>
      </c>
      <c r="AX4444" s="126">
        <v>3</v>
      </c>
      <c r="AZ4444" s="126" t="s">
        <v>2121</v>
      </c>
      <c r="BE4444" s="126" t="s">
        <v>4491</v>
      </c>
      <c r="BP4444" s="481"/>
      <c r="BQ4444" s="481"/>
      <c r="BU4444" s="481"/>
      <c r="BV4444" s="481"/>
      <c r="BZ4444" s="481"/>
      <c r="CA4444" s="481"/>
      <c r="CE4444" s="605"/>
      <c r="CF4444" s="605"/>
      <c r="CG4444" s="605"/>
      <c r="CH4444" s="605"/>
      <c r="CJ4444" s="126">
        <v>10.59</v>
      </c>
      <c r="CK4444" s="126">
        <v>16.47</v>
      </c>
      <c r="CL4444" s="126">
        <v>2</v>
      </c>
      <c r="CM4444" s="126">
        <f>19.9-CK4444</f>
        <v>3.4299999999999997</v>
      </c>
      <c r="CN4444" s="126" t="s">
        <v>4488</v>
      </c>
      <c r="JD4444" s="480"/>
    </row>
    <row r="4445" spans="1:264" s="126" customFormat="1" x14ac:dyDescent="0.25">
      <c r="A4445" s="126">
        <v>193</v>
      </c>
      <c r="B4445" s="478" t="s">
        <v>4496</v>
      </c>
      <c r="C4445" s="126" t="s">
        <v>4475</v>
      </c>
      <c r="D4445" s="126" t="s">
        <v>4476</v>
      </c>
      <c r="E4445" s="126">
        <v>2016</v>
      </c>
      <c r="F4445" s="126">
        <v>2010</v>
      </c>
      <c r="G4445" s="126" t="s">
        <v>4482</v>
      </c>
      <c r="H4445" s="126" t="s">
        <v>4477</v>
      </c>
      <c r="I4445" s="126" t="s">
        <v>3461</v>
      </c>
      <c r="J4445" s="126">
        <f t="shared" si="579"/>
        <v>35.200000000000003</v>
      </c>
      <c r="K4445" s="126">
        <f t="shared" si="580"/>
        <v>107.73333333333333</v>
      </c>
      <c r="L4445" s="126">
        <v>1220</v>
      </c>
      <c r="O4445" s="126">
        <v>487.3</v>
      </c>
      <c r="P4445" s="126">
        <v>589</v>
      </c>
      <c r="R4445" s="478" t="s">
        <v>1847</v>
      </c>
      <c r="S4445" s="478" t="s">
        <v>1722</v>
      </c>
      <c r="T4445" s="478" t="s">
        <v>1110</v>
      </c>
      <c r="U4445" s="478" t="s">
        <v>4478</v>
      </c>
      <c r="V4445" s="478" t="s">
        <v>1386</v>
      </c>
      <c r="W4445" s="478" t="s">
        <v>1715</v>
      </c>
      <c r="X4445" s="478" t="s">
        <v>1386</v>
      </c>
      <c r="Y4445" s="478" t="s">
        <v>1386</v>
      </c>
      <c r="AA4445" s="479"/>
      <c r="AB4445" s="479"/>
      <c r="AC4445" s="126" t="s">
        <v>450</v>
      </c>
      <c r="AD4445" s="126">
        <v>8.11</v>
      </c>
      <c r="AE4445" s="126">
        <v>1.2</v>
      </c>
      <c r="AH4445" s="126" t="s">
        <v>4480</v>
      </c>
      <c r="AI4445" s="126" t="s">
        <v>577</v>
      </c>
      <c r="AJ4445" s="126" t="s">
        <v>116</v>
      </c>
      <c r="AK4445" s="126" t="s">
        <v>116</v>
      </c>
      <c r="AW4445" s="126" t="s">
        <v>160</v>
      </c>
      <c r="AX4445" s="126">
        <v>3</v>
      </c>
      <c r="AZ4445" s="126" t="s">
        <v>2121</v>
      </c>
      <c r="BE4445" s="126" t="s">
        <v>4491</v>
      </c>
      <c r="BP4445" s="481"/>
      <c r="BQ4445" s="481"/>
      <c r="BU4445" s="481"/>
      <c r="BV4445" s="481"/>
      <c r="BZ4445" s="481"/>
      <c r="CA4445" s="481"/>
      <c r="CE4445" s="605"/>
      <c r="CF4445" s="605"/>
      <c r="CG4445" s="605"/>
      <c r="CH4445" s="605"/>
      <c r="CJ4445" s="126">
        <v>12.9</v>
      </c>
      <c r="CK4445" s="126">
        <v>18.78</v>
      </c>
      <c r="CL4445" s="126">
        <v>2</v>
      </c>
      <c r="CM4445" s="126">
        <f>22.86-CK4445</f>
        <v>4.0799999999999983</v>
      </c>
      <c r="CN4445" s="126" t="s">
        <v>4488</v>
      </c>
      <c r="JD4445" s="480"/>
    </row>
    <row r="4446" spans="1:264" s="126" customFormat="1" x14ac:dyDescent="0.25">
      <c r="A4446" s="126">
        <v>193</v>
      </c>
      <c r="B4446" s="478" t="s">
        <v>4497</v>
      </c>
      <c r="C4446" s="126" t="s">
        <v>4475</v>
      </c>
      <c r="D4446" s="126" t="s">
        <v>4476</v>
      </c>
      <c r="E4446" s="126">
        <v>2016</v>
      </c>
      <c r="F4446" s="126">
        <v>2010</v>
      </c>
      <c r="G4446" s="126" t="s">
        <v>4482</v>
      </c>
      <c r="H4446" s="126" t="s">
        <v>4477</v>
      </c>
      <c r="I4446" s="126" t="s">
        <v>3461</v>
      </c>
      <c r="J4446" s="126">
        <f t="shared" si="579"/>
        <v>35.200000000000003</v>
      </c>
      <c r="K4446" s="126">
        <f t="shared" si="580"/>
        <v>107.73333333333333</v>
      </c>
      <c r="L4446" s="126">
        <v>1220</v>
      </c>
      <c r="O4446" s="126">
        <v>487.3</v>
      </c>
      <c r="P4446" s="126">
        <v>589</v>
      </c>
      <c r="R4446" s="478" t="s">
        <v>1847</v>
      </c>
      <c r="S4446" s="478" t="s">
        <v>1722</v>
      </c>
      <c r="T4446" s="478" t="s">
        <v>1110</v>
      </c>
      <c r="U4446" s="478" t="s">
        <v>4478</v>
      </c>
      <c r="V4446" s="126" t="s">
        <v>4487</v>
      </c>
      <c r="W4446" s="478" t="s">
        <v>1715</v>
      </c>
      <c r="X4446" s="126" t="s">
        <v>4487</v>
      </c>
      <c r="Y4446" s="126" t="s">
        <v>4487</v>
      </c>
      <c r="AA4446" s="479"/>
      <c r="AB4446" s="479"/>
      <c r="AC4446" s="126" t="s">
        <v>450</v>
      </c>
      <c r="AD4446" s="126">
        <v>8.11</v>
      </c>
      <c r="AE4446" s="126">
        <v>1.2</v>
      </c>
      <c r="AH4446" s="126" t="s">
        <v>4480</v>
      </c>
      <c r="AI4446" s="126" t="s">
        <v>577</v>
      </c>
      <c r="AJ4446" s="126" t="s">
        <v>116</v>
      </c>
      <c r="AK4446" s="126" t="s">
        <v>116</v>
      </c>
      <c r="AW4446" s="126" t="s">
        <v>160</v>
      </c>
      <c r="AX4446" s="126">
        <v>3</v>
      </c>
      <c r="AZ4446" s="126" t="s">
        <v>2121</v>
      </c>
      <c r="BE4446" s="126" t="s">
        <v>4491</v>
      </c>
      <c r="BP4446" s="481"/>
      <c r="BQ4446" s="481"/>
      <c r="BU4446" s="481"/>
      <c r="BV4446" s="481"/>
      <c r="BZ4446" s="481"/>
      <c r="CA4446" s="481"/>
      <c r="CE4446" s="605"/>
      <c r="CF4446" s="605"/>
      <c r="CG4446" s="605"/>
      <c r="CH4446" s="605"/>
      <c r="CJ4446" s="126">
        <v>13.89</v>
      </c>
      <c r="CK4446" s="126">
        <v>16.510000000000002</v>
      </c>
      <c r="CL4446" s="126">
        <v>2</v>
      </c>
      <c r="CM4446" s="126">
        <f>18.95-CK4446</f>
        <v>2.4399999999999977</v>
      </c>
      <c r="CN4446" s="126" t="s">
        <v>4488</v>
      </c>
      <c r="JD4446" s="480"/>
    </row>
    <row r="4447" spans="1:264" s="126" customFormat="1" x14ac:dyDescent="0.25">
      <c r="A4447" s="126">
        <v>193</v>
      </c>
      <c r="B4447" s="478" t="s">
        <v>4498</v>
      </c>
      <c r="C4447" s="126" t="s">
        <v>4475</v>
      </c>
      <c r="D4447" s="126" t="s">
        <v>4476</v>
      </c>
      <c r="E4447" s="126">
        <v>2016</v>
      </c>
      <c r="F4447" s="126">
        <v>2010</v>
      </c>
      <c r="G4447" s="126" t="s">
        <v>4482</v>
      </c>
      <c r="H4447" s="126" t="s">
        <v>4477</v>
      </c>
      <c r="I4447" s="126" t="s">
        <v>3461</v>
      </c>
      <c r="J4447" s="126">
        <f t="shared" si="579"/>
        <v>35.200000000000003</v>
      </c>
      <c r="K4447" s="126">
        <f t="shared" si="580"/>
        <v>107.73333333333333</v>
      </c>
      <c r="L4447" s="126">
        <v>1220</v>
      </c>
      <c r="O4447" s="126">
        <v>487.3</v>
      </c>
      <c r="P4447" s="126">
        <v>589</v>
      </c>
      <c r="R4447" s="478" t="s">
        <v>1847</v>
      </c>
      <c r="S4447" s="478" t="s">
        <v>1722</v>
      </c>
      <c r="T4447" s="478" t="s">
        <v>1110</v>
      </c>
      <c r="U4447" s="478" t="s">
        <v>4478</v>
      </c>
      <c r="V4447" s="478" t="s">
        <v>4483</v>
      </c>
      <c r="W4447" s="478" t="s">
        <v>1715</v>
      </c>
      <c r="X4447" s="478" t="s">
        <v>4483</v>
      </c>
      <c r="Y4447" s="478" t="s">
        <v>4483</v>
      </c>
      <c r="AA4447" s="479"/>
      <c r="AB4447" s="479"/>
      <c r="AC4447" s="126" t="s">
        <v>450</v>
      </c>
      <c r="AD4447" s="126">
        <v>8.11</v>
      </c>
      <c r="AE4447" s="126">
        <v>1.2</v>
      </c>
      <c r="AH4447" s="126" t="s">
        <v>4480</v>
      </c>
      <c r="AI4447" s="126" t="s">
        <v>577</v>
      </c>
      <c r="AJ4447" s="126" t="s">
        <v>116</v>
      </c>
      <c r="AK4447" s="126" t="s">
        <v>116</v>
      </c>
      <c r="AW4447" s="126" t="s">
        <v>160</v>
      </c>
      <c r="AX4447" s="126">
        <v>3</v>
      </c>
      <c r="AZ4447" s="126" t="s">
        <v>2121</v>
      </c>
      <c r="BE4447" s="126" t="s">
        <v>4491</v>
      </c>
      <c r="BP4447" s="481"/>
      <c r="BQ4447" s="481"/>
      <c r="BU4447" s="481"/>
      <c r="BV4447" s="481"/>
      <c r="BZ4447" s="481"/>
      <c r="CA4447" s="481"/>
      <c r="CE4447" s="605"/>
      <c r="CF4447" s="605"/>
      <c r="CG4447" s="605"/>
      <c r="CH4447" s="605"/>
      <c r="CJ4447" s="126">
        <v>12.93</v>
      </c>
      <c r="CK4447" s="126">
        <v>15.87</v>
      </c>
      <c r="CL4447" s="126">
        <v>2</v>
      </c>
      <c r="CM4447" s="126">
        <f>18.32-CK4447</f>
        <v>2.4500000000000011</v>
      </c>
      <c r="CN4447" s="126" t="s">
        <v>4488</v>
      </c>
      <c r="JD4447" s="480"/>
    </row>
    <row r="4448" spans="1:264" s="126" customFormat="1" x14ac:dyDescent="0.25">
      <c r="A4448" s="126">
        <v>193</v>
      </c>
      <c r="B4448" s="478" t="s">
        <v>4499</v>
      </c>
      <c r="C4448" s="126" t="s">
        <v>4475</v>
      </c>
      <c r="D4448" s="126" t="s">
        <v>4476</v>
      </c>
      <c r="E4448" s="126">
        <v>2016</v>
      </c>
      <c r="F4448" s="126">
        <v>2010</v>
      </c>
      <c r="G4448" s="126" t="s">
        <v>4482</v>
      </c>
      <c r="H4448" s="126" t="s">
        <v>4477</v>
      </c>
      <c r="I4448" s="126" t="s">
        <v>3461</v>
      </c>
      <c r="J4448" s="126">
        <f t="shared" si="579"/>
        <v>35.200000000000003</v>
      </c>
      <c r="K4448" s="126">
        <f t="shared" si="580"/>
        <v>107.73333333333333</v>
      </c>
      <c r="L4448" s="126">
        <v>1220</v>
      </c>
      <c r="O4448" s="126">
        <v>487.3</v>
      </c>
      <c r="P4448" s="126">
        <v>589</v>
      </c>
      <c r="R4448" s="478" t="s">
        <v>1847</v>
      </c>
      <c r="S4448" s="478" t="s">
        <v>1722</v>
      </c>
      <c r="T4448" s="478" t="s">
        <v>1110</v>
      </c>
      <c r="U4448" s="478" t="s">
        <v>4478</v>
      </c>
      <c r="V4448" s="478" t="s">
        <v>4484</v>
      </c>
      <c r="W4448" s="478" t="s">
        <v>1715</v>
      </c>
      <c r="X4448" s="478" t="s">
        <v>4484</v>
      </c>
      <c r="Y4448" s="478" t="s">
        <v>4484</v>
      </c>
      <c r="AA4448" s="479"/>
      <c r="AB4448" s="479"/>
      <c r="AC4448" s="126" t="s">
        <v>450</v>
      </c>
      <c r="AD4448" s="126">
        <v>8.11</v>
      </c>
      <c r="AE4448" s="126">
        <v>1.2</v>
      </c>
      <c r="AH4448" s="126" t="s">
        <v>4480</v>
      </c>
      <c r="AI4448" s="126" t="s">
        <v>577</v>
      </c>
      <c r="AJ4448" s="126" t="s">
        <v>116</v>
      </c>
      <c r="AK4448" s="126" t="s">
        <v>116</v>
      </c>
      <c r="AW4448" s="126" t="s">
        <v>160</v>
      </c>
      <c r="AX4448" s="126">
        <v>3</v>
      </c>
      <c r="AZ4448" s="126" t="s">
        <v>2121</v>
      </c>
      <c r="BE4448" s="126" t="s">
        <v>4491</v>
      </c>
      <c r="BP4448" s="481"/>
      <c r="BQ4448" s="481"/>
      <c r="BU4448" s="481"/>
      <c r="BV4448" s="481"/>
      <c r="BZ4448" s="481"/>
      <c r="CA4448" s="481"/>
      <c r="CE4448" s="605"/>
      <c r="CF4448" s="605"/>
      <c r="CG4448" s="605"/>
      <c r="CH4448" s="605"/>
      <c r="CJ4448" s="126">
        <v>14.74</v>
      </c>
      <c r="CK4448" s="126">
        <v>18.170000000000002</v>
      </c>
      <c r="CL4448" s="126">
        <v>2</v>
      </c>
      <c r="CM4448" s="126">
        <f>21.44-CK4448</f>
        <v>3.2699999999999996</v>
      </c>
      <c r="CN4448" s="126" t="s">
        <v>4488</v>
      </c>
      <c r="JD4448" s="480"/>
    </row>
    <row r="4449" spans="1:264" s="126" customFormat="1" x14ac:dyDescent="0.25">
      <c r="A4449" s="126">
        <v>193</v>
      </c>
      <c r="B4449" s="478" t="s">
        <v>4500</v>
      </c>
      <c r="C4449" s="126" t="s">
        <v>4475</v>
      </c>
      <c r="D4449" s="126" t="s">
        <v>4476</v>
      </c>
      <c r="E4449" s="126">
        <v>2016</v>
      </c>
      <c r="F4449" s="126">
        <v>2010</v>
      </c>
      <c r="G4449" s="126" t="s">
        <v>4482</v>
      </c>
      <c r="H4449" s="126" t="s">
        <v>4477</v>
      </c>
      <c r="I4449" s="126" t="s">
        <v>3461</v>
      </c>
      <c r="J4449" s="126">
        <f t="shared" si="579"/>
        <v>35.200000000000003</v>
      </c>
      <c r="K4449" s="126">
        <f t="shared" si="580"/>
        <v>107.73333333333333</v>
      </c>
      <c r="L4449" s="126">
        <v>1220</v>
      </c>
      <c r="O4449" s="126">
        <v>487.3</v>
      </c>
      <c r="P4449" s="126">
        <v>589</v>
      </c>
      <c r="R4449" s="478" t="s">
        <v>1847</v>
      </c>
      <c r="S4449" s="478" t="s">
        <v>1722</v>
      </c>
      <c r="T4449" s="478" t="s">
        <v>1110</v>
      </c>
      <c r="U4449" s="478" t="s">
        <v>4478</v>
      </c>
      <c r="V4449" s="478" t="s">
        <v>4485</v>
      </c>
      <c r="W4449" s="478" t="s">
        <v>1715</v>
      </c>
      <c r="X4449" s="478" t="s">
        <v>4485</v>
      </c>
      <c r="Y4449" s="478" t="s">
        <v>4485</v>
      </c>
      <c r="AA4449" s="479"/>
      <c r="AB4449" s="479"/>
      <c r="AC4449" s="126" t="s">
        <v>450</v>
      </c>
      <c r="AD4449" s="126">
        <v>8.11</v>
      </c>
      <c r="AE4449" s="126">
        <v>1.2</v>
      </c>
      <c r="AH4449" s="126" t="s">
        <v>4480</v>
      </c>
      <c r="AI4449" s="126" t="s">
        <v>577</v>
      </c>
      <c r="AJ4449" s="126" t="s">
        <v>116</v>
      </c>
      <c r="AK4449" s="126" t="s">
        <v>116</v>
      </c>
      <c r="AW4449" s="126" t="s">
        <v>160</v>
      </c>
      <c r="AX4449" s="126">
        <v>3</v>
      </c>
      <c r="AZ4449" s="126" t="s">
        <v>2121</v>
      </c>
      <c r="BE4449" s="126" t="s">
        <v>4491</v>
      </c>
      <c r="BP4449" s="481"/>
      <c r="BQ4449" s="481"/>
      <c r="BU4449" s="481"/>
      <c r="BV4449" s="481"/>
      <c r="BZ4449" s="481"/>
      <c r="CA4449" s="481"/>
      <c r="CE4449" s="605"/>
      <c r="CF4449" s="605"/>
      <c r="CG4449" s="605"/>
      <c r="CH4449" s="605"/>
      <c r="CJ4449" s="126">
        <v>14.43</v>
      </c>
      <c r="CK4449" s="126">
        <v>20.47</v>
      </c>
      <c r="CL4449" s="126">
        <v>2</v>
      </c>
      <c r="CM4449" s="126">
        <f>24.06-CK4449</f>
        <v>3.59</v>
      </c>
      <c r="CN4449" s="126" t="s">
        <v>4488</v>
      </c>
      <c r="JD4449" s="480"/>
    </row>
    <row r="4450" spans="1:264" s="126" customFormat="1" x14ac:dyDescent="0.25">
      <c r="A4450" s="126">
        <v>193</v>
      </c>
      <c r="B4450" s="478" t="s">
        <v>4501</v>
      </c>
      <c r="C4450" s="126" t="s">
        <v>4475</v>
      </c>
      <c r="D4450" s="126" t="s">
        <v>4476</v>
      </c>
      <c r="E4450" s="126">
        <v>2016</v>
      </c>
      <c r="F4450" s="126">
        <v>2010</v>
      </c>
      <c r="G4450" s="126" t="s">
        <v>4482</v>
      </c>
      <c r="H4450" s="126" t="s">
        <v>4477</v>
      </c>
      <c r="I4450" s="126" t="s">
        <v>3461</v>
      </c>
      <c r="J4450" s="126">
        <f t="shared" si="579"/>
        <v>35.200000000000003</v>
      </c>
      <c r="K4450" s="126">
        <f t="shared" si="580"/>
        <v>107.73333333333333</v>
      </c>
      <c r="L4450" s="126">
        <v>1220</v>
      </c>
      <c r="O4450" s="126">
        <v>487.3</v>
      </c>
      <c r="P4450" s="126">
        <v>589</v>
      </c>
      <c r="R4450" s="478" t="s">
        <v>1847</v>
      </c>
      <c r="S4450" s="478" t="s">
        <v>1722</v>
      </c>
      <c r="T4450" s="478" t="s">
        <v>1110</v>
      </c>
      <c r="U4450" s="478" t="s">
        <v>4478</v>
      </c>
      <c r="V4450" s="478" t="s">
        <v>4486</v>
      </c>
      <c r="W4450" s="478" t="s">
        <v>1715</v>
      </c>
      <c r="X4450" s="478" t="s">
        <v>4486</v>
      </c>
      <c r="Y4450" s="478" t="s">
        <v>4486</v>
      </c>
      <c r="AA4450" s="479"/>
      <c r="AB4450" s="479"/>
      <c r="AC4450" s="126" t="s">
        <v>450</v>
      </c>
      <c r="AD4450" s="126">
        <v>8.11</v>
      </c>
      <c r="AE4450" s="126">
        <v>1.2</v>
      </c>
      <c r="AH4450" s="126" t="s">
        <v>4480</v>
      </c>
      <c r="AI4450" s="126" t="s">
        <v>577</v>
      </c>
      <c r="AJ4450" s="126" t="s">
        <v>116</v>
      </c>
      <c r="AK4450" s="126" t="s">
        <v>116</v>
      </c>
      <c r="AW4450" s="126" t="s">
        <v>160</v>
      </c>
      <c r="AX4450" s="126">
        <v>3</v>
      </c>
      <c r="AZ4450" s="126" t="s">
        <v>2121</v>
      </c>
      <c r="BE4450" s="126" t="s">
        <v>4491</v>
      </c>
      <c r="BP4450" s="481"/>
      <c r="BQ4450" s="481"/>
      <c r="BU4450" s="481"/>
      <c r="BV4450" s="481"/>
      <c r="BZ4450" s="481"/>
      <c r="CA4450" s="481"/>
      <c r="CE4450" s="605"/>
      <c r="CF4450" s="605"/>
      <c r="CG4450" s="605"/>
      <c r="CH4450" s="605"/>
      <c r="CJ4450" s="126">
        <v>15.75</v>
      </c>
      <c r="CK4450" s="126">
        <v>27.67</v>
      </c>
      <c r="CL4450" s="126">
        <v>2</v>
      </c>
      <c r="CM4450" s="126">
        <f>31.1-CK4450</f>
        <v>3.4299999999999997</v>
      </c>
      <c r="CN4450" s="126" t="s">
        <v>4488</v>
      </c>
      <c r="JD4450" s="480"/>
    </row>
    <row r="4451" spans="1:264" s="36" customFormat="1" x14ac:dyDescent="0.25">
      <c r="A4451" s="36">
        <v>193</v>
      </c>
      <c r="B4451" s="51" t="s">
        <v>4492</v>
      </c>
      <c r="C4451" s="36" t="s">
        <v>4475</v>
      </c>
      <c r="D4451" s="36" t="s">
        <v>4476</v>
      </c>
      <c r="E4451" s="36">
        <v>2016</v>
      </c>
      <c r="F4451" s="36">
        <v>2010</v>
      </c>
      <c r="G4451" s="36" t="s">
        <v>4482</v>
      </c>
      <c r="H4451" s="36" t="s">
        <v>4477</v>
      </c>
      <c r="I4451" s="36" t="s">
        <v>3461</v>
      </c>
      <c r="J4451" s="36">
        <f t="shared" si="579"/>
        <v>35.200000000000003</v>
      </c>
      <c r="K4451" s="36">
        <f t="shared" si="580"/>
        <v>107.73333333333333</v>
      </c>
      <c r="L4451" s="36">
        <v>1220</v>
      </c>
      <c r="O4451" s="36">
        <v>487.3</v>
      </c>
      <c r="P4451" s="36">
        <v>589</v>
      </c>
      <c r="R4451" s="51" t="s">
        <v>1847</v>
      </c>
      <c r="S4451" s="51" t="s">
        <v>1722</v>
      </c>
      <c r="T4451" s="51" t="s">
        <v>1110</v>
      </c>
      <c r="U4451" s="51" t="s">
        <v>4478</v>
      </c>
      <c r="V4451" s="51" t="s">
        <v>1379</v>
      </c>
      <c r="W4451" s="51" t="s">
        <v>1715</v>
      </c>
      <c r="X4451" s="51" t="s">
        <v>1379</v>
      </c>
      <c r="Y4451" s="51" t="s">
        <v>1379</v>
      </c>
      <c r="AA4451" s="331"/>
      <c r="AB4451" s="331"/>
      <c r="AC4451" s="36" t="s">
        <v>450</v>
      </c>
      <c r="AD4451" s="36">
        <v>8.11</v>
      </c>
      <c r="AE4451" s="36">
        <v>1.2</v>
      </c>
      <c r="AH4451" s="36" t="s">
        <v>158</v>
      </c>
      <c r="AI4451" s="36" t="s">
        <v>577</v>
      </c>
      <c r="AJ4451" s="36" t="s">
        <v>116</v>
      </c>
      <c r="AK4451" s="36" t="s">
        <v>116</v>
      </c>
      <c r="AW4451" s="36" t="s">
        <v>160</v>
      </c>
      <c r="AX4451" s="36">
        <v>3</v>
      </c>
      <c r="AZ4451" s="36" t="s">
        <v>2121</v>
      </c>
      <c r="BE4451" s="36" t="s">
        <v>4491</v>
      </c>
      <c r="BP4451" s="407"/>
      <c r="BQ4451" s="407"/>
      <c r="BU4451" s="407"/>
      <c r="BV4451" s="407"/>
      <c r="BZ4451" s="407"/>
      <c r="CA4451" s="407"/>
      <c r="CE4451" s="560"/>
      <c r="CF4451" s="560"/>
      <c r="CG4451" s="560"/>
      <c r="CH4451" s="560"/>
      <c r="CJ4451" s="36">
        <v>18.87</v>
      </c>
      <c r="CK4451" s="36">
        <v>26.55</v>
      </c>
      <c r="CL4451" s="36">
        <v>1.9599999999999973</v>
      </c>
      <c r="CM4451" s="36">
        <f>29-CK4451</f>
        <v>2.4499999999999993</v>
      </c>
      <c r="CN4451" s="36" t="s">
        <v>4488</v>
      </c>
      <c r="JD4451" s="230"/>
    </row>
    <row r="4452" spans="1:264" s="36" customFormat="1" x14ac:dyDescent="0.25">
      <c r="A4452" s="36">
        <v>193</v>
      </c>
      <c r="B4452" s="51" t="s">
        <v>4493</v>
      </c>
      <c r="C4452" s="36" t="s">
        <v>4475</v>
      </c>
      <c r="D4452" s="36" t="s">
        <v>4476</v>
      </c>
      <c r="E4452" s="36">
        <v>2016</v>
      </c>
      <c r="F4452" s="36">
        <v>2010</v>
      </c>
      <c r="G4452" s="36" t="s">
        <v>4482</v>
      </c>
      <c r="H4452" s="36" t="s">
        <v>4477</v>
      </c>
      <c r="I4452" s="36" t="s">
        <v>3461</v>
      </c>
      <c r="J4452" s="36">
        <f t="shared" si="579"/>
        <v>35.200000000000003</v>
      </c>
      <c r="K4452" s="36">
        <f t="shared" si="580"/>
        <v>107.73333333333333</v>
      </c>
      <c r="L4452" s="36">
        <v>1220</v>
      </c>
      <c r="O4452" s="36">
        <v>487.3</v>
      </c>
      <c r="P4452" s="36">
        <v>589</v>
      </c>
      <c r="R4452" s="51" t="s">
        <v>1847</v>
      </c>
      <c r="S4452" s="51" t="s">
        <v>1722</v>
      </c>
      <c r="T4452" s="51" t="s">
        <v>1110</v>
      </c>
      <c r="U4452" s="51" t="s">
        <v>4478</v>
      </c>
      <c r="V4452" s="51" t="s">
        <v>1383</v>
      </c>
      <c r="W4452" s="51" t="s">
        <v>1715</v>
      </c>
      <c r="X4452" s="51" t="s">
        <v>1383</v>
      </c>
      <c r="Y4452" s="51" t="s">
        <v>1383</v>
      </c>
      <c r="AA4452" s="331"/>
      <c r="AB4452" s="331"/>
      <c r="AC4452" s="36" t="s">
        <v>450</v>
      </c>
      <c r="AD4452" s="36">
        <v>8.11</v>
      </c>
      <c r="AE4452" s="36">
        <v>1.2</v>
      </c>
      <c r="AH4452" s="36" t="s">
        <v>158</v>
      </c>
      <c r="AI4452" s="36" t="s">
        <v>577</v>
      </c>
      <c r="AJ4452" s="36" t="s">
        <v>116</v>
      </c>
      <c r="AK4452" s="36" t="s">
        <v>116</v>
      </c>
      <c r="AW4452" s="36" t="s">
        <v>160</v>
      </c>
      <c r="AX4452" s="36">
        <v>3</v>
      </c>
      <c r="AZ4452" s="36" t="s">
        <v>2121</v>
      </c>
      <c r="BE4452" s="36" t="s">
        <v>4491</v>
      </c>
      <c r="BP4452" s="407"/>
      <c r="BQ4452" s="407"/>
      <c r="BU4452" s="407"/>
      <c r="BV4452" s="407"/>
      <c r="BZ4452" s="407"/>
      <c r="CA4452" s="407"/>
      <c r="CE4452" s="560"/>
      <c r="CF4452" s="560"/>
      <c r="CG4452" s="560"/>
      <c r="CH4452" s="560"/>
      <c r="CJ4452" s="36">
        <v>14.81</v>
      </c>
      <c r="CK4452" s="36">
        <v>18.07</v>
      </c>
      <c r="CL4452" s="36">
        <v>2</v>
      </c>
      <c r="CM4452" s="36">
        <v>2.5</v>
      </c>
      <c r="CN4452" s="36" t="s">
        <v>4488</v>
      </c>
      <c r="JD4452" s="230"/>
    </row>
    <row r="4453" spans="1:264" s="36" customFormat="1" x14ac:dyDescent="0.25">
      <c r="A4453" s="36">
        <v>193</v>
      </c>
      <c r="B4453" s="51" t="s">
        <v>4494</v>
      </c>
      <c r="C4453" s="36" t="s">
        <v>4475</v>
      </c>
      <c r="D4453" s="36" t="s">
        <v>4476</v>
      </c>
      <c r="E4453" s="36">
        <v>2016</v>
      </c>
      <c r="F4453" s="36">
        <v>2010</v>
      </c>
      <c r="G4453" s="36" t="s">
        <v>4482</v>
      </c>
      <c r="H4453" s="36" t="s">
        <v>4477</v>
      </c>
      <c r="I4453" s="36" t="s">
        <v>3461</v>
      </c>
      <c r="J4453" s="36">
        <f t="shared" si="579"/>
        <v>35.200000000000003</v>
      </c>
      <c r="K4453" s="36">
        <f t="shared" si="580"/>
        <v>107.73333333333333</v>
      </c>
      <c r="L4453" s="36">
        <v>1220</v>
      </c>
      <c r="O4453" s="36">
        <v>487.3</v>
      </c>
      <c r="P4453" s="36">
        <v>589</v>
      </c>
      <c r="R4453" s="51" t="s">
        <v>1847</v>
      </c>
      <c r="S4453" s="51" t="s">
        <v>1722</v>
      </c>
      <c r="T4453" s="51" t="s">
        <v>1110</v>
      </c>
      <c r="U4453" s="51" t="s">
        <v>4478</v>
      </c>
      <c r="V4453" s="51" t="s">
        <v>1384</v>
      </c>
      <c r="W4453" s="51" t="s">
        <v>1715</v>
      </c>
      <c r="X4453" s="51" t="s">
        <v>1384</v>
      </c>
      <c r="Y4453" s="51" t="s">
        <v>1384</v>
      </c>
      <c r="AA4453" s="331"/>
      <c r="AB4453" s="331"/>
      <c r="AC4453" s="36" t="s">
        <v>450</v>
      </c>
      <c r="AD4453" s="36">
        <v>8.11</v>
      </c>
      <c r="AE4453" s="36">
        <v>1.2</v>
      </c>
      <c r="AH4453" s="36" t="s">
        <v>158</v>
      </c>
      <c r="AI4453" s="36" t="s">
        <v>577</v>
      </c>
      <c r="AJ4453" s="36" t="s">
        <v>116</v>
      </c>
      <c r="AK4453" s="36" t="s">
        <v>116</v>
      </c>
      <c r="AW4453" s="36" t="s">
        <v>160</v>
      </c>
      <c r="AX4453" s="36">
        <v>3</v>
      </c>
      <c r="AZ4453" s="36" t="s">
        <v>2121</v>
      </c>
      <c r="BE4453" s="36" t="s">
        <v>4491</v>
      </c>
      <c r="BP4453" s="407"/>
      <c r="BQ4453" s="407"/>
      <c r="BU4453" s="407"/>
      <c r="BV4453" s="407"/>
      <c r="BZ4453" s="407"/>
      <c r="CA4453" s="407"/>
      <c r="CE4453" s="560"/>
      <c r="CF4453" s="560"/>
      <c r="CG4453" s="560"/>
      <c r="CH4453" s="560"/>
      <c r="CJ4453" s="36">
        <v>9.76</v>
      </c>
      <c r="CK4453" s="36">
        <v>9.93</v>
      </c>
      <c r="CL4453" s="36">
        <v>2</v>
      </c>
      <c r="CM4453" s="36">
        <v>2.5</v>
      </c>
      <c r="CN4453" s="36" t="s">
        <v>4488</v>
      </c>
      <c r="JD4453" s="230"/>
    </row>
    <row r="4454" spans="1:264" s="36" customFormat="1" x14ac:dyDescent="0.25">
      <c r="A4454" s="36">
        <v>193</v>
      </c>
      <c r="B4454" s="51" t="s">
        <v>4495</v>
      </c>
      <c r="C4454" s="36" t="s">
        <v>4475</v>
      </c>
      <c r="D4454" s="36" t="s">
        <v>4476</v>
      </c>
      <c r="E4454" s="36">
        <v>2016</v>
      </c>
      <c r="F4454" s="36">
        <v>2010</v>
      </c>
      <c r="G4454" s="36" t="s">
        <v>4482</v>
      </c>
      <c r="H4454" s="36" t="s">
        <v>4477</v>
      </c>
      <c r="I4454" s="36" t="s">
        <v>3461</v>
      </c>
      <c r="J4454" s="36">
        <f t="shared" si="579"/>
        <v>35.200000000000003</v>
      </c>
      <c r="K4454" s="36">
        <f t="shared" si="580"/>
        <v>107.73333333333333</v>
      </c>
      <c r="L4454" s="36">
        <v>1220</v>
      </c>
      <c r="O4454" s="36">
        <v>487.3</v>
      </c>
      <c r="P4454" s="36">
        <v>589</v>
      </c>
      <c r="R4454" s="51" t="s">
        <v>1847</v>
      </c>
      <c r="S4454" s="51" t="s">
        <v>1722</v>
      </c>
      <c r="T4454" s="51" t="s">
        <v>1110</v>
      </c>
      <c r="U4454" s="51" t="s">
        <v>4478</v>
      </c>
      <c r="V4454" s="51" t="s">
        <v>1385</v>
      </c>
      <c r="W4454" s="51" t="s">
        <v>1715</v>
      </c>
      <c r="X4454" s="51" t="s">
        <v>1385</v>
      </c>
      <c r="Y4454" s="51" t="s">
        <v>1385</v>
      </c>
      <c r="AA4454" s="331"/>
      <c r="AB4454" s="331"/>
      <c r="AC4454" s="36" t="s">
        <v>450</v>
      </c>
      <c r="AD4454" s="36">
        <v>8.11</v>
      </c>
      <c r="AE4454" s="36">
        <v>1.2</v>
      </c>
      <c r="AH4454" s="36" t="s">
        <v>158</v>
      </c>
      <c r="AI4454" s="36" t="s">
        <v>577</v>
      </c>
      <c r="AJ4454" s="36" t="s">
        <v>116</v>
      </c>
      <c r="AK4454" s="36" t="s">
        <v>116</v>
      </c>
      <c r="AW4454" s="36" t="s">
        <v>160</v>
      </c>
      <c r="AX4454" s="36">
        <v>3</v>
      </c>
      <c r="AZ4454" s="36" t="s">
        <v>2121</v>
      </c>
      <c r="BE4454" s="36" t="s">
        <v>4491</v>
      </c>
      <c r="BP4454" s="407"/>
      <c r="BQ4454" s="407"/>
      <c r="BU4454" s="407"/>
      <c r="BV4454" s="407"/>
      <c r="BZ4454" s="407"/>
      <c r="CA4454" s="407"/>
      <c r="CE4454" s="560"/>
      <c r="CF4454" s="560"/>
      <c r="CG4454" s="560"/>
      <c r="CH4454" s="560"/>
      <c r="CJ4454" s="36">
        <v>10.59</v>
      </c>
      <c r="CK4454" s="36">
        <v>11.58</v>
      </c>
      <c r="CL4454" s="36">
        <v>2</v>
      </c>
      <c r="CM4454" s="36">
        <v>2.5</v>
      </c>
      <c r="CN4454" s="36" t="s">
        <v>4488</v>
      </c>
      <c r="JD4454" s="230"/>
    </row>
    <row r="4455" spans="1:264" s="36" customFormat="1" x14ac:dyDescent="0.25">
      <c r="A4455" s="36">
        <v>193</v>
      </c>
      <c r="B4455" s="51" t="s">
        <v>4496</v>
      </c>
      <c r="C4455" s="36" t="s">
        <v>4475</v>
      </c>
      <c r="D4455" s="36" t="s">
        <v>4476</v>
      </c>
      <c r="E4455" s="36">
        <v>2016</v>
      </c>
      <c r="F4455" s="36">
        <v>2010</v>
      </c>
      <c r="G4455" s="36" t="s">
        <v>4482</v>
      </c>
      <c r="H4455" s="36" t="s">
        <v>4477</v>
      </c>
      <c r="I4455" s="36" t="s">
        <v>3461</v>
      </c>
      <c r="J4455" s="36">
        <f t="shared" si="579"/>
        <v>35.200000000000003</v>
      </c>
      <c r="K4455" s="36">
        <f t="shared" si="580"/>
        <v>107.73333333333333</v>
      </c>
      <c r="L4455" s="36">
        <v>1220</v>
      </c>
      <c r="O4455" s="36">
        <v>487.3</v>
      </c>
      <c r="P4455" s="36">
        <v>589</v>
      </c>
      <c r="R4455" s="51" t="s">
        <v>1847</v>
      </c>
      <c r="S4455" s="51" t="s">
        <v>1722</v>
      </c>
      <c r="T4455" s="51" t="s">
        <v>1110</v>
      </c>
      <c r="U4455" s="51" t="s">
        <v>4478</v>
      </c>
      <c r="V4455" s="51" t="s">
        <v>1386</v>
      </c>
      <c r="W4455" s="51" t="s">
        <v>1715</v>
      </c>
      <c r="X4455" s="51" t="s">
        <v>1386</v>
      </c>
      <c r="Y4455" s="51" t="s">
        <v>1386</v>
      </c>
      <c r="AA4455" s="331"/>
      <c r="AB4455" s="331"/>
      <c r="AC4455" s="36" t="s">
        <v>450</v>
      </c>
      <c r="AD4455" s="36">
        <v>8.11</v>
      </c>
      <c r="AE4455" s="36">
        <v>1.2</v>
      </c>
      <c r="AH4455" s="36" t="s">
        <v>158</v>
      </c>
      <c r="AI4455" s="36" t="s">
        <v>577</v>
      </c>
      <c r="AJ4455" s="36" t="s">
        <v>116</v>
      </c>
      <c r="AK4455" s="36" t="s">
        <v>116</v>
      </c>
      <c r="AW4455" s="36" t="s">
        <v>160</v>
      </c>
      <c r="AX4455" s="36">
        <v>3</v>
      </c>
      <c r="AZ4455" s="36" t="s">
        <v>2121</v>
      </c>
      <c r="BE4455" s="36" t="s">
        <v>4491</v>
      </c>
      <c r="BP4455" s="407"/>
      <c r="BQ4455" s="407"/>
      <c r="BU4455" s="407"/>
      <c r="BV4455" s="407"/>
      <c r="BZ4455" s="407"/>
      <c r="CA4455" s="407"/>
      <c r="CE4455" s="560"/>
      <c r="CF4455" s="560"/>
      <c r="CG4455" s="560"/>
      <c r="CH4455" s="560"/>
      <c r="CJ4455" s="36">
        <v>12.9</v>
      </c>
      <c r="CK4455" s="36">
        <v>12.9</v>
      </c>
      <c r="CL4455" s="36">
        <v>2</v>
      </c>
      <c r="CM4455" s="36">
        <v>2.5</v>
      </c>
      <c r="CN4455" s="36" t="s">
        <v>4488</v>
      </c>
      <c r="JD4455" s="230"/>
    </row>
    <row r="4456" spans="1:264" s="36" customFormat="1" x14ac:dyDescent="0.25">
      <c r="A4456" s="36">
        <v>193</v>
      </c>
      <c r="B4456" s="51" t="s">
        <v>4497</v>
      </c>
      <c r="C4456" s="36" t="s">
        <v>4475</v>
      </c>
      <c r="D4456" s="36" t="s">
        <v>4476</v>
      </c>
      <c r="E4456" s="36">
        <v>2016</v>
      </c>
      <c r="F4456" s="36">
        <v>2010</v>
      </c>
      <c r="G4456" s="36" t="s">
        <v>4482</v>
      </c>
      <c r="H4456" s="36" t="s">
        <v>4477</v>
      </c>
      <c r="I4456" s="36" t="s">
        <v>3461</v>
      </c>
      <c r="J4456" s="36">
        <f t="shared" si="579"/>
        <v>35.200000000000003</v>
      </c>
      <c r="K4456" s="36">
        <f t="shared" si="580"/>
        <v>107.73333333333333</v>
      </c>
      <c r="L4456" s="36">
        <v>1220</v>
      </c>
      <c r="O4456" s="36">
        <v>487.3</v>
      </c>
      <c r="P4456" s="36">
        <v>589</v>
      </c>
      <c r="R4456" s="51" t="s">
        <v>1847</v>
      </c>
      <c r="S4456" s="51" t="s">
        <v>1722</v>
      </c>
      <c r="T4456" s="51" t="s">
        <v>1110</v>
      </c>
      <c r="U4456" s="51" t="s">
        <v>4478</v>
      </c>
      <c r="V4456" s="36" t="s">
        <v>4487</v>
      </c>
      <c r="W4456" s="51" t="s">
        <v>1715</v>
      </c>
      <c r="X4456" s="36" t="s">
        <v>4487</v>
      </c>
      <c r="Y4456" s="36" t="s">
        <v>4487</v>
      </c>
      <c r="AA4456" s="331"/>
      <c r="AB4456" s="331"/>
      <c r="AC4456" s="36" t="s">
        <v>450</v>
      </c>
      <c r="AD4456" s="36">
        <v>8.11</v>
      </c>
      <c r="AE4456" s="36">
        <v>1.2</v>
      </c>
      <c r="AH4456" s="36" t="s">
        <v>158</v>
      </c>
      <c r="AI4456" s="36" t="s">
        <v>577</v>
      </c>
      <c r="AJ4456" s="36" t="s">
        <v>116</v>
      </c>
      <c r="AK4456" s="36" t="s">
        <v>116</v>
      </c>
      <c r="AW4456" s="36" t="s">
        <v>160</v>
      </c>
      <c r="AX4456" s="36">
        <v>3</v>
      </c>
      <c r="AZ4456" s="36" t="s">
        <v>2121</v>
      </c>
      <c r="BE4456" s="36" t="s">
        <v>4491</v>
      </c>
      <c r="BP4456" s="407"/>
      <c r="BQ4456" s="407"/>
      <c r="BU4456" s="407"/>
      <c r="BV4456" s="407"/>
      <c r="BZ4456" s="407"/>
      <c r="CA4456" s="407"/>
      <c r="CE4456" s="560"/>
      <c r="CF4456" s="560"/>
      <c r="CG4456" s="560"/>
      <c r="CH4456" s="560"/>
      <c r="CJ4456" s="36">
        <v>13.89</v>
      </c>
      <c r="CK4456" s="36">
        <v>13.24</v>
      </c>
      <c r="CL4456" s="36">
        <v>2</v>
      </c>
      <c r="CM4456" s="36">
        <v>2.5</v>
      </c>
      <c r="CN4456" s="36" t="s">
        <v>4488</v>
      </c>
      <c r="JD4456" s="230"/>
    </row>
    <row r="4457" spans="1:264" s="36" customFormat="1" x14ac:dyDescent="0.25">
      <c r="A4457" s="36">
        <v>193</v>
      </c>
      <c r="B4457" s="51" t="s">
        <v>4498</v>
      </c>
      <c r="C4457" s="36" t="s">
        <v>4475</v>
      </c>
      <c r="D4457" s="36" t="s">
        <v>4476</v>
      </c>
      <c r="E4457" s="36">
        <v>2016</v>
      </c>
      <c r="F4457" s="36">
        <v>2010</v>
      </c>
      <c r="G4457" s="36" t="s">
        <v>4482</v>
      </c>
      <c r="H4457" s="36" t="s">
        <v>4477</v>
      </c>
      <c r="I4457" s="36" t="s">
        <v>3461</v>
      </c>
      <c r="J4457" s="36">
        <f t="shared" si="579"/>
        <v>35.200000000000003</v>
      </c>
      <c r="K4457" s="36">
        <f t="shared" si="580"/>
        <v>107.73333333333333</v>
      </c>
      <c r="L4457" s="36">
        <v>1220</v>
      </c>
      <c r="O4457" s="36">
        <v>487.3</v>
      </c>
      <c r="P4457" s="36">
        <v>589</v>
      </c>
      <c r="R4457" s="51" t="s">
        <v>1847</v>
      </c>
      <c r="S4457" s="51" t="s">
        <v>1722</v>
      </c>
      <c r="T4457" s="51" t="s">
        <v>1110</v>
      </c>
      <c r="U4457" s="51" t="s">
        <v>4478</v>
      </c>
      <c r="V4457" s="51" t="s">
        <v>4483</v>
      </c>
      <c r="W4457" s="51" t="s">
        <v>1715</v>
      </c>
      <c r="X4457" s="51" t="s">
        <v>4483</v>
      </c>
      <c r="Y4457" s="51" t="s">
        <v>4483</v>
      </c>
      <c r="AA4457" s="331"/>
      <c r="AB4457" s="331"/>
      <c r="AC4457" s="36" t="s">
        <v>450</v>
      </c>
      <c r="AD4457" s="36">
        <v>8.11</v>
      </c>
      <c r="AE4457" s="36">
        <v>1.2</v>
      </c>
      <c r="AH4457" s="36" t="s">
        <v>158</v>
      </c>
      <c r="AI4457" s="36" t="s">
        <v>577</v>
      </c>
      <c r="AJ4457" s="36" t="s">
        <v>116</v>
      </c>
      <c r="AK4457" s="36" t="s">
        <v>116</v>
      </c>
      <c r="AW4457" s="36" t="s">
        <v>160</v>
      </c>
      <c r="AX4457" s="36">
        <v>3</v>
      </c>
      <c r="AZ4457" s="36" t="s">
        <v>2121</v>
      </c>
      <c r="BE4457" s="36" t="s">
        <v>4491</v>
      </c>
      <c r="BP4457" s="407"/>
      <c r="BQ4457" s="407"/>
      <c r="BU4457" s="407"/>
      <c r="BV4457" s="407"/>
      <c r="BZ4457" s="407"/>
      <c r="CA4457" s="407"/>
      <c r="CE4457" s="560"/>
      <c r="CF4457" s="560"/>
      <c r="CG4457" s="560"/>
      <c r="CH4457" s="560"/>
      <c r="CJ4457" s="36">
        <v>12.93</v>
      </c>
      <c r="CK4457" s="36">
        <v>15.87</v>
      </c>
      <c r="CL4457" s="36">
        <v>2</v>
      </c>
      <c r="CM4457" s="36">
        <v>2.5</v>
      </c>
      <c r="CN4457" s="36" t="s">
        <v>4488</v>
      </c>
      <c r="JD4457" s="230"/>
    </row>
    <row r="4458" spans="1:264" s="36" customFormat="1" x14ac:dyDescent="0.25">
      <c r="A4458" s="36">
        <v>193</v>
      </c>
      <c r="B4458" s="51" t="s">
        <v>4499</v>
      </c>
      <c r="C4458" s="36" t="s">
        <v>4475</v>
      </c>
      <c r="D4458" s="36" t="s">
        <v>4476</v>
      </c>
      <c r="E4458" s="36">
        <v>2016</v>
      </c>
      <c r="F4458" s="36">
        <v>2010</v>
      </c>
      <c r="G4458" s="36" t="s">
        <v>4482</v>
      </c>
      <c r="H4458" s="36" t="s">
        <v>4477</v>
      </c>
      <c r="I4458" s="36" t="s">
        <v>3461</v>
      </c>
      <c r="J4458" s="36">
        <f t="shared" si="579"/>
        <v>35.200000000000003</v>
      </c>
      <c r="K4458" s="36">
        <f t="shared" si="580"/>
        <v>107.73333333333333</v>
      </c>
      <c r="L4458" s="36">
        <v>1220</v>
      </c>
      <c r="O4458" s="36">
        <v>487.3</v>
      </c>
      <c r="P4458" s="36">
        <v>589</v>
      </c>
      <c r="R4458" s="51" t="s">
        <v>1847</v>
      </c>
      <c r="S4458" s="51" t="s">
        <v>1722</v>
      </c>
      <c r="T4458" s="51" t="s">
        <v>1110</v>
      </c>
      <c r="U4458" s="51" t="s">
        <v>4478</v>
      </c>
      <c r="V4458" s="51" t="s">
        <v>4484</v>
      </c>
      <c r="W4458" s="51" t="s">
        <v>1715</v>
      </c>
      <c r="X4458" s="51" t="s">
        <v>4484</v>
      </c>
      <c r="Y4458" s="51" t="s">
        <v>4484</v>
      </c>
      <c r="AA4458" s="331"/>
      <c r="AB4458" s="331"/>
      <c r="AC4458" s="36" t="s">
        <v>450</v>
      </c>
      <c r="AD4458" s="36">
        <v>8.11</v>
      </c>
      <c r="AE4458" s="36">
        <v>1.2</v>
      </c>
      <c r="AH4458" s="36" t="s">
        <v>158</v>
      </c>
      <c r="AI4458" s="36" t="s">
        <v>577</v>
      </c>
      <c r="AJ4458" s="36" t="s">
        <v>116</v>
      </c>
      <c r="AK4458" s="36" t="s">
        <v>116</v>
      </c>
      <c r="AW4458" s="36" t="s">
        <v>160</v>
      </c>
      <c r="AX4458" s="36">
        <v>3</v>
      </c>
      <c r="AZ4458" s="36" t="s">
        <v>2121</v>
      </c>
      <c r="BE4458" s="36" t="s">
        <v>4491</v>
      </c>
      <c r="BP4458" s="407"/>
      <c r="BQ4458" s="407"/>
      <c r="BU4458" s="407"/>
      <c r="BV4458" s="407"/>
      <c r="BZ4458" s="407"/>
      <c r="CA4458" s="407"/>
      <c r="CE4458" s="560"/>
      <c r="CF4458" s="560"/>
      <c r="CG4458" s="560"/>
      <c r="CH4458" s="560"/>
      <c r="CJ4458" s="36">
        <v>14.74</v>
      </c>
      <c r="CK4458" s="36">
        <v>15.56</v>
      </c>
      <c r="CL4458" s="36">
        <v>2</v>
      </c>
      <c r="CM4458" s="36">
        <v>2.56</v>
      </c>
      <c r="CN4458" s="36" t="s">
        <v>4488</v>
      </c>
      <c r="JD4458" s="230"/>
    </row>
    <row r="4459" spans="1:264" s="36" customFormat="1" x14ac:dyDescent="0.25">
      <c r="A4459" s="36">
        <v>193</v>
      </c>
      <c r="B4459" s="51" t="s">
        <v>4500</v>
      </c>
      <c r="C4459" s="36" t="s">
        <v>4475</v>
      </c>
      <c r="D4459" s="36" t="s">
        <v>4476</v>
      </c>
      <c r="E4459" s="36">
        <v>2016</v>
      </c>
      <c r="F4459" s="36">
        <v>2010</v>
      </c>
      <c r="G4459" s="36" t="s">
        <v>4482</v>
      </c>
      <c r="H4459" s="36" t="s">
        <v>4477</v>
      </c>
      <c r="I4459" s="36" t="s">
        <v>3461</v>
      </c>
      <c r="J4459" s="36">
        <f t="shared" si="579"/>
        <v>35.200000000000003</v>
      </c>
      <c r="K4459" s="36">
        <f t="shared" si="580"/>
        <v>107.73333333333333</v>
      </c>
      <c r="L4459" s="36">
        <v>1220</v>
      </c>
      <c r="O4459" s="36">
        <v>487.3</v>
      </c>
      <c r="P4459" s="36">
        <v>589</v>
      </c>
      <c r="R4459" s="51" t="s">
        <v>1847</v>
      </c>
      <c r="S4459" s="51" t="s">
        <v>1722</v>
      </c>
      <c r="T4459" s="51" t="s">
        <v>1110</v>
      </c>
      <c r="U4459" s="51" t="s">
        <v>4478</v>
      </c>
      <c r="V4459" s="51" t="s">
        <v>4485</v>
      </c>
      <c r="W4459" s="51" t="s">
        <v>1715</v>
      </c>
      <c r="X4459" s="51" t="s">
        <v>4485</v>
      </c>
      <c r="Y4459" s="51" t="s">
        <v>4485</v>
      </c>
      <c r="AA4459" s="331"/>
      <c r="AB4459" s="331"/>
      <c r="AC4459" s="36" t="s">
        <v>450</v>
      </c>
      <c r="AD4459" s="36">
        <v>8.11</v>
      </c>
      <c r="AE4459" s="36">
        <v>1.2</v>
      </c>
      <c r="AH4459" s="36" t="s">
        <v>158</v>
      </c>
      <c r="AI4459" s="36" t="s">
        <v>577</v>
      </c>
      <c r="AJ4459" s="36" t="s">
        <v>116</v>
      </c>
      <c r="AK4459" s="36" t="s">
        <v>116</v>
      </c>
      <c r="AW4459" s="36" t="s">
        <v>160</v>
      </c>
      <c r="AX4459" s="36">
        <v>3</v>
      </c>
      <c r="AZ4459" s="36" t="s">
        <v>2121</v>
      </c>
      <c r="BE4459" s="36" t="s">
        <v>4491</v>
      </c>
      <c r="BP4459" s="407"/>
      <c r="BQ4459" s="407"/>
      <c r="BU4459" s="407"/>
      <c r="BV4459" s="407"/>
      <c r="BZ4459" s="407"/>
      <c r="CA4459" s="407"/>
      <c r="CE4459" s="560"/>
      <c r="CF4459" s="560"/>
      <c r="CG4459" s="560"/>
      <c r="CH4459" s="560"/>
      <c r="CJ4459" s="36">
        <v>14.43</v>
      </c>
      <c r="CK4459" s="36">
        <v>16.23</v>
      </c>
      <c r="CL4459" s="36">
        <v>2</v>
      </c>
      <c r="CM4459" s="36">
        <v>2.5</v>
      </c>
      <c r="CN4459" s="36" t="s">
        <v>4488</v>
      </c>
      <c r="JD4459" s="230"/>
    </row>
    <row r="4460" spans="1:264" s="36" customFormat="1" x14ac:dyDescent="0.25">
      <c r="A4460" s="36">
        <v>193</v>
      </c>
      <c r="B4460" s="51" t="s">
        <v>4501</v>
      </c>
      <c r="C4460" s="36" t="s">
        <v>4475</v>
      </c>
      <c r="D4460" s="36" t="s">
        <v>4476</v>
      </c>
      <c r="E4460" s="36">
        <v>2016</v>
      </c>
      <c r="F4460" s="36">
        <v>2010</v>
      </c>
      <c r="G4460" s="36" t="s">
        <v>4482</v>
      </c>
      <c r="H4460" s="36" t="s">
        <v>4477</v>
      </c>
      <c r="I4460" s="36" t="s">
        <v>3461</v>
      </c>
      <c r="J4460" s="36">
        <f t="shared" si="579"/>
        <v>35.200000000000003</v>
      </c>
      <c r="K4460" s="36">
        <f t="shared" si="580"/>
        <v>107.73333333333333</v>
      </c>
      <c r="L4460" s="36">
        <v>1220</v>
      </c>
      <c r="O4460" s="36">
        <v>487.3</v>
      </c>
      <c r="P4460" s="36">
        <v>589</v>
      </c>
      <c r="R4460" s="51" t="s">
        <v>1847</v>
      </c>
      <c r="S4460" s="51" t="s">
        <v>1722</v>
      </c>
      <c r="T4460" s="51" t="s">
        <v>1110</v>
      </c>
      <c r="U4460" s="51" t="s">
        <v>4478</v>
      </c>
      <c r="V4460" s="51" t="s">
        <v>4486</v>
      </c>
      <c r="W4460" s="51" t="s">
        <v>1715</v>
      </c>
      <c r="X4460" s="51" t="s">
        <v>4486</v>
      </c>
      <c r="Y4460" s="51" t="s">
        <v>4486</v>
      </c>
      <c r="AA4460" s="331"/>
      <c r="AB4460" s="331"/>
      <c r="AC4460" s="36" t="s">
        <v>450</v>
      </c>
      <c r="AD4460" s="36">
        <v>8.11</v>
      </c>
      <c r="AE4460" s="36">
        <v>1.2</v>
      </c>
      <c r="AH4460" s="36" t="s">
        <v>158</v>
      </c>
      <c r="AI4460" s="36" t="s">
        <v>577</v>
      </c>
      <c r="AJ4460" s="36" t="s">
        <v>116</v>
      </c>
      <c r="AK4460" s="36" t="s">
        <v>116</v>
      </c>
      <c r="AW4460" s="36" t="s">
        <v>160</v>
      </c>
      <c r="AX4460" s="36">
        <v>3</v>
      </c>
      <c r="AZ4460" s="36" t="s">
        <v>2121</v>
      </c>
      <c r="BE4460" s="36" t="s">
        <v>4491</v>
      </c>
      <c r="BP4460" s="407"/>
      <c r="BQ4460" s="407"/>
      <c r="BU4460" s="407"/>
      <c r="BV4460" s="407"/>
      <c r="BZ4460" s="407"/>
      <c r="CA4460" s="407"/>
      <c r="CE4460" s="560"/>
      <c r="CF4460" s="560"/>
      <c r="CG4460" s="560"/>
      <c r="CH4460" s="560"/>
      <c r="CJ4460" s="36">
        <v>15.75</v>
      </c>
      <c r="CK4460" s="36">
        <v>18.690000000000001</v>
      </c>
      <c r="CL4460" s="36">
        <v>2</v>
      </c>
      <c r="CM4460" s="36">
        <v>2.5</v>
      </c>
      <c r="CN4460" s="36" t="s">
        <v>4488</v>
      </c>
      <c r="JD4460" s="230"/>
    </row>
    <row r="4461" spans="1:264" s="126" customFormat="1" x14ac:dyDescent="0.25">
      <c r="A4461" s="126">
        <v>193</v>
      </c>
      <c r="B4461" s="478" t="s">
        <v>4492</v>
      </c>
      <c r="C4461" s="126" t="s">
        <v>4475</v>
      </c>
      <c r="D4461" s="126" t="s">
        <v>4476</v>
      </c>
      <c r="E4461" s="126">
        <v>2016</v>
      </c>
      <c r="F4461" s="126">
        <v>2010</v>
      </c>
      <c r="G4461" s="126" t="s">
        <v>4482</v>
      </c>
      <c r="H4461" s="126" t="s">
        <v>4477</v>
      </c>
      <c r="I4461" s="126" t="s">
        <v>3461</v>
      </c>
      <c r="J4461" s="126">
        <f t="shared" si="579"/>
        <v>35.200000000000003</v>
      </c>
      <c r="K4461" s="126">
        <f t="shared" si="580"/>
        <v>107.73333333333333</v>
      </c>
      <c r="L4461" s="126">
        <v>1220</v>
      </c>
      <c r="O4461" s="126">
        <v>487.3</v>
      </c>
      <c r="P4461" s="126">
        <v>589</v>
      </c>
      <c r="R4461" s="478" t="s">
        <v>1847</v>
      </c>
      <c r="S4461" s="478" t="s">
        <v>1722</v>
      </c>
      <c r="T4461" s="478" t="s">
        <v>1110</v>
      </c>
      <c r="U4461" s="478" t="s">
        <v>4478</v>
      </c>
      <c r="V4461" s="478" t="s">
        <v>1379</v>
      </c>
      <c r="W4461" s="478" t="s">
        <v>1715</v>
      </c>
      <c r="X4461" s="478" t="s">
        <v>1379</v>
      </c>
      <c r="Y4461" s="478" t="s">
        <v>1379</v>
      </c>
      <c r="AA4461" s="479"/>
      <c r="AB4461" s="479"/>
      <c r="AC4461" s="126" t="s">
        <v>450</v>
      </c>
      <c r="AD4461" s="126">
        <v>8.11</v>
      </c>
      <c r="AE4461" s="126">
        <v>1.2</v>
      </c>
      <c r="AH4461" s="126" t="s">
        <v>4481</v>
      </c>
      <c r="AI4461" s="126" t="s">
        <v>577</v>
      </c>
      <c r="AJ4461" s="126" t="s">
        <v>116</v>
      </c>
      <c r="AK4461" s="126" t="s">
        <v>116</v>
      </c>
      <c r="AW4461" s="126" t="s">
        <v>160</v>
      </c>
      <c r="AX4461" s="126">
        <v>3</v>
      </c>
      <c r="AZ4461" s="126" t="s">
        <v>2121</v>
      </c>
      <c r="BE4461" s="126" t="s">
        <v>4491</v>
      </c>
      <c r="BP4461" s="481"/>
      <c r="BQ4461" s="481"/>
      <c r="BU4461" s="481"/>
      <c r="BV4461" s="481"/>
      <c r="BZ4461" s="481"/>
      <c r="CA4461" s="481"/>
      <c r="CE4461" s="605"/>
      <c r="CF4461" s="605"/>
      <c r="CG4461" s="605"/>
      <c r="CH4461" s="605"/>
      <c r="CJ4461" s="126">
        <v>18.87</v>
      </c>
      <c r="CK4461" s="126">
        <v>23.12</v>
      </c>
      <c r="CL4461" s="126">
        <f>20.83-CJ4461</f>
        <v>1.9599999999999973</v>
      </c>
      <c r="CM4461" s="126">
        <f>CK4461-20.83</f>
        <v>2.2900000000000027</v>
      </c>
      <c r="CN4461" s="126" t="s">
        <v>4488</v>
      </c>
      <c r="JD4461" s="480"/>
    </row>
    <row r="4462" spans="1:264" s="126" customFormat="1" x14ac:dyDescent="0.25">
      <c r="A4462" s="126">
        <v>193</v>
      </c>
      <c r="B4462" s="478" t="s">
        <v>4493</v>
      </c>
      <c r="C4462" s="126" t="s">
        <v>4475</v>
      </c>
      <c r="D4462" s="126" t="s">
        <v>4476</v>
      </c>
      <c r="E4462" s="126">
        <v>2016</v>
      </c>
      <c r="F4462" s="126">
        <v>2010</v>
      </c>
      <c r="G4462" s="126" t="s">
        <v>4482</v>
      </c>
      <c r="H4462" s="126" t="s">
        <v>4477</v>
      </c>
      <c r="I4462" s="126" t="s">
        <v>3461</v>
      </c>
      <c r="J4462" s="126">
        <f t="shared" si="579"/>
        <v>35.200000000000003</v>
      </c>
      <c r="K4462" s="126">
        <f t="shared" si="580"/>
        <v>107.73333333333333</v>
      </c>
      <c r="L4462" s="126">
        <v>1220</v>
      </c>
      <c r="O4462" s="126">
        <v>487.3</v>
      </c>
      <c r="P4462" s="126">
        <v>589</v>
      </c>
      <c r="R4462" s="478" t="s">
        <v>1847</v>
      </c>
      <c r="S4462" s="478" t="s">
        <v>1722</v>
      </c>
      <c r="T4462" s="478" t="s">
        <v>1110</v>
      </c>
      <c r="U4462" s="478" t="s">
        <v>4478</v>
      </c>
      <c r="V4462" s="478" t="s">
        <v>1383</v>
      </c>
      <c r="W4462" s="478" t="s">
        <v>1715</v>
      </c>
      <c r="X4462" s="478" t="s">
        <v>1383</v>
      </c>
      <c r="Y4462" s="478" t="s">
        <v>1383</v>
      </c>
      <c r="AA4462" s="479"/>
      <c r="AB4462" s="479"/>
      <c r="AC4462" s="126" t="s">
        <v>450</v>
      </c>
      <c r="AD4462" s="126">
        <v>8.11</v>
      </c>
      <c r="AE4462" s="126">
        <v>1.2</v>
      </c>
      <c r="AH4462" s="126" t="s">
        <v>4481</v>
      </c>
      <c r="AI4462" s="126" t="s">
        <v>577</v>
      </c>
      <c r="AJ4462" s="126" t="s">
        <v>116</v>
      </c>
      <c r="AK4462" s="126" t="s">
        <v>116</v>
      </c>
      <c r="AW4462" s="126" t="s">
        <v>160</v>
      </c>
      <c r="AX4462" s="126">
        <v>3</v>
      </c>
      <c r="AZ4462" s="126" t="s">
        <v>2121</v>
      </c>
      <c r="BE4462" s="126" t="s">
        <v>4491</v>
      </c>
      <c r="BP4462" s="481"/>
      <c r="BQ4462" s="481"/>
      <c r="BU4462" s="481"/>
      <c r="BV4462" s="481"/>
      <c r="BZ4462" s="481"/>
      <c r="CA4462" s="481"/>
      <c r="CE4462" s="605"/>
      <c r="CF4462" s="605"/>
      <c r="CG4462" s="605"/>
      <c r="CH4462" s="605"/>
      <c r="CJ4462" s="126">
        <v>14.81</v>
      </c>
      <c r="CK4462" s="126">
        <v>14.48</v>
      </c>
      <c r="CL4462" s="126">
        <v>2</v>
      </c>
      <c r="CM4462" s="126">
        <f>CK4462-11.22</f>
        <v>3.26</v>
      </c>
      <c r="CN4462" s="126" t="s">
        <v>4488</v>
      </c>
      <c r="JD4462" s="480"/>
    </row>
    <row r="4463" spans="1:264" s="126" customFormat="1" x14ac:dyDescent="0.25">
      <c r="A4463" s="126">
        <v>193</v>
      </c>
      <c r="B4463" s="478" t="s">
        <v>4494</v>
      </c>
      <c r="C4463" s="126" t="s">
        <v>4475</v>
      </c>
      <c r="D4463" s="126" t="s">
        <v>4476</v>
      </c>
      <c r="E4463" s="126">
        <v>2016</v>
      </c>
      <c r="F4463" s="126">
        <v>2010</v>
      </c>
      <c r="G4463" s="126" t="s">
        <v>4482</v>
      </c>
      <c r="H4463" s="126" t="s">
        <v>4477</v>
      </c>
      <c r="I4463" s="126" t="s">
        <v>3461</v>
      </c>
      <c r="J4463" s="126">
        <f t="shared" si="579"/>
        <v>35.200000000000003</v>
      </c>
      <c r="K4463" s="126">
        <f t="shared" si="580"/>
        <v>107.73333333333333</v>
      </c>
      <c r="L4463" s="126">
        <v>1220</v>
      </c>
      <c r="O4463" s="126">
        <v>487.3</v>
      </c>
      <c r="P4463" s="126">
        <v>589</v>
      </c>
      <c r="R4463" s="478" t="s">
        <v>1847</v>
      </c>
      <c r="S4463" s="478" t="s">
        <v>1722</v>
      </c>
      <c r="T4463" s="478" t="s">
        <v>1110</v>
      </c>
      <c r="U4463" s="478" t="s">
        <v>4478</v>
      </c>
      <c r="V4463" s="478" t="s">
        <v>1384</v>
      </c>
      <c r="W4463" s="478" t="s">
        <v>1715</v>
      </c>
      <c r="X4463" s="478" t="s">
        <v>1384</v>
      </c>
      <c r="Y4463" s="478" t="s">
        <v>1384</v>
      </c>
      <c r="AA4463" s="479"/>
      <c r="AB4463" s="479"/>
      <c r="AC4463" s="126" t="s">
        <v>450</v>
      </c>
      <c r="AD4463" s="126">
        <v>8.11</v>
      </c>
      <c r="AE4463" s="126">
        <v>1.2</v>
      </c>
      <c r="AH4463" s="126" t="s">
        <v>4481</v>
      </c>
      <c r="AI4463" s="126" t="s">
        <v>577</v>
      </c>
      <c r="AJ4463" s="126" t="s">
        <v>116</v>
      </c>
      <c r="AK4463" s="126" t="s">
        <v>116</v>
      </c>
      <c r="AW4463" s="126" t="s">
        <v>160</v>
      </c>
      <c r="AX4463" s="126">
        <v>3</v>
      </c>
      <c r="AZ4463" s="126" t="s">
        <v>2121</v>
      </c>
      <c r="BE4463" s="126" t="s">
        <v>4491</v>
      </c>
      <c r="BP4463" s="481"/>
      <c r="BQ4463" s="481"/>
      <c r="BU4463" s="481"/>
      <c r="BV4463" s="481"/>
      <c r="BZ4463" s="481"/>
      <c r="CA4463" s="481"/>
      <c r="CE4463" s="605"/>
      <c r="CF4463" s="605"/>
      <c r="CG4463" s="605"/>
      <c r="CH4463" s="605"/>
      <c r="CJ4463" s="126">
        <v>9.76</v>
      </c>
      <c r="CK4463" s="126">
        <v>6.99</v>
      </c>
      <c r="CL4463" s="126">
        <v>2</v>
      </c>
      <c r="CM4463" s="126">
        <f>CK4463-5.83</f>
        <v>1.1600000000000001</v>
      </c>
      <c r="CN4463" s="126" t="s">
        <v>4488</v>
      </c>
      <c r="JD4463" s="480"/>
    </row>
    <row r="4464" spans="1:264" s="126" customFormat="1" x14ac:dyDescent="0.25">
      <c r="A4464" s="126">
        <v>193</v>
      </c>
      <c r="B4464" s="478" t="s">
        <v>4495</v>
      </c>
      <c r="C4464" s="126" t="s">
        <v>4475</v>
      </c>
      <c r="D4464" s="126" t="s">
        <v>4476</v>
      </c>
      <c r="E4464" s="126">
        <v>2016</v>
      </c>
      <c r="F4464" s="126">
        <v>2010</v>
      </c>
      <c r="G4464" s="126" t="s">
        <v>4482</v>
      </c>
      <c r="H4464" s="126" t="s">
        <v>4477</v>
      </c>
      <c r="I4464" s="126" t="s">
        <v>3461</v>
      </c>
      <c r="J4464" s="126">
        <f t="shared" si="579"/>
        <v>35.200000000000003</v>
      </c>
      <c r="K4464" s="126">
        <f t="shared" si="580"/>
        <v>107.73333333333333</v>
      </c>
      <c r="L4464" s="126">
        <v>1220</v>
      </c>
      <c r="O4464" s="126">
        <v>487.3</v>
      </c>
      <c r="P4464" s="126">
        <v>589</v>
      </c>
      <c r="R4464" s="478" t="s">
        <v>1847</v>
      </c>
      <c r="S4464" s="478" t="s">
        <v>1722</v>
      </c>
      <c r="T4464" s="478" t="s">
        <v>1110</v>
      </c>
      <c r="U4464" s="478" t="s">
        <v>4478</v>
      </c>
      <c r="V4464" s="478" t="s">
        <v>1385</v>
      </c>
      <c r="W4464" s="478" t="s">
        <v>1715</v>
      </c>
      <c r="X4464" s="478" t="s">
        <v>1385</v>
      </c>
      <c r="Y4464" s="478" t="s">
        <v>1385</v>
      </c>
      <c r="AA4464" s="479"/>
      <c r="AB4464" s="479"/>
      <c r="AC4464" s="126" t="s">
        <v>450</v>
      </c>
      <c r="AD4464" s="126">
        <v>8.11</v>
      </c>
      <c r="AE4464" s="126">
        <v>1.2</v>
      </c>
      <c r="AH4464" s="126" t="s">
        <v>4481</v>
      </c>
      <c r="AI4464" s="126" t="s">
        <v>577</v>
      </c>
      <c r="AJ4464" s="126" t="s">
        <v>116</v>
      </c>
      <c r="AK4464" s="126" t="s">
        <v>116</v>
      </c>
      <c r="AW4464" s="126" t="s">
        <v>160</v>
      </c>
      <c r="AX4464" s="126">
        <v>3</v>
      </c>
      <c r="AZ4464" s="126" t="s">
        <v>2121</v>
      </c>
      <c r="BE4464" s="126" t="s">
        <v>4491</v>
      </c>
      <c r="BP4464" s="481"/>
      <c r="BQ4464" s="481"/>
      <c r="BU4464" s="481"/>
      <c r="BV4464" s="481"/>
      <c r="BZ4464" s="481"/>
      <c r="CA4464" s="481"/>
      <c r="CE4464" s="605"/>
      <c r="CF4464" s="605"/>
      <c r="CG4464" s="605"/>
      <c r="CH4464" s="605"/>
      <c r="CJ4464" s="126">
        <v>10.59</v>
      </c>
      <c r="CK4464" s="126">
        <v>9.94</v>
      </c>
      <c r="CL4464" s="126">
        <v>2</v>
      </c>
      <c r="CM4464" s="126">
        <f>CK4464-7.98</f>
        <v>1.9599999999999991</v>
      </c>
      <c r="CN4464" s="126" t="s">
        <v>4488</v>
      </c>
      <c r="JD4464" s="480"/>
    </row>
    <row r="4465" spans="1:264" s="126" customFormat="1" x14ac:dyDescent="0.25">
      <c r="A4465" s="126">
        <v>193</v>
      </c>
      <c r="B4465" s="478" t="s">
        <v>4496</v>
      </c>
      <c r="C4465" s="126" t="s">
        <v>4475</v>
      </c>
      <c r="D4465" s="126" t="s">
        <v>4476</v>
      </c>
      <c r="E4465" s="126">
        <v>2016</v>
      </c>
      <c r="F4465" s="126">
        <v>2010</v>
      </c>
      <c r="G4465" s="126" t="s">
        <v>4482</v>
      </c>
      <c r="H4465" s="126" t="s">
        <v>4477</v>
      </c>
      <c r="I4465" s="126" t="s">
        <v>3461</v>
      </c>
      <c r="J4465" s="126">
        <f t="shared" ref="J4465:J4496" si="581">35+12/60</f>
        <v>35.200000000000003</v>
      </c>
      <c r="K4465" s="126">
        <f t="shared" ref="K4465:K4496" si="582">107+44/60</f>
        <v>107.73333333333333</v>
      </c>
      <c r="L4465" s="126">
        <v>1220</v>
      </c>
      <c r="O4465" s="126">
        <v>487.3</v>
      </c>
      <c r="P4465" s="126">
        <v>589</v>
      </c>
      <c r="R4465" s="478" t="s">
        <v>1847</v>
      </c>
      <c r="S4465" s="478" t="s">
        <v>1722</v>
      </c>
      <c r="T4465" s="478" t="s">
        <v>1110</v>
      </c>
      <c r="U4465" s="478" t="s">
        <v>4478</v>
      </c>
      <c r="V4465" s="478" t="s">
        <v>1386</v>
      </c>
      <c r="W4465" s="478" t="s">
        <v>1715</v>
      </c>
      <c r="X4465" s="478" t="s">
        <v>1386</v>
      </c>
      <c r="Y4465" s="478" t="s">
        <v>1386</v>
      </c>
      <c r="AA4465" s="479"/>
      <c r="AB4465" s="479"/>
      <c r="AC4465" s="126" t="s">
        <v>450</v>
      </c>
      <c r="AD4465" s="126">
        <v>8.11</v>
      </c>
      <c r="AE4465" s="126">
        <v>1.2</v>
      </c>
      <c r="AH4465" s="126" t="s">
        <v>4481</v>
      </c>
      <c r="AI4465" s="126" t="s">
        <v>577</v>
      </c>
      <c r="AJ4465" s="126" t="s">
        <v>116</v>
      </c>
      <c r="AK4465" s="126" t="s">
        <v>116</v>
      </c>
      <c r="AW4465" s="126" t="s">
        <v>160</v>
      </c>
      <c r="AX4465" s="126">
        <v>3</v>
      </c>
      <c r="AZ4465" s="126" t="s">
        <v>2121</v>
      </c>
      <c r="BE4465" s="126" t="s">
        <v>4491</v>
      </c>
      <c r="BP4465" s="481"/>
      <c r="BQ4465" s="481"/>
      <c r="BU4465" s="481"/>
      <c r="BV4465" s="481"/>
      <c r="BZ4465" s="481"/>
      <c r="CA4465" s="481"/>
      <c r="CE4465" s="605"/>
      <c r="CF4465" s="605"/>
      <c r="CG4465" s="605"/>
      <c r="CH4465" s="605"/>
      <c r="CJ4465" s="126">
        <v>12.9</v>
      </c>
      <c r="CK4465" s="126">
        <v>12.24</v>
      </c>
      <c r="CL4465" s="126">
        <v>2</v>
      </c>
      <c r="CM4465" s="126">
        <f>CK4465-9.96</f>
        <v>2.2799999999999994</v>
      </c>
      <c r="CN4465" s="126" t="s">
        <v>4488</v>
      </c>
      <c r="JD4465" s="480"/>
    </row>
    <row r="4466" spans="1:264" s="126" customFormat="1" x14ac:dyDescent="0.25">
      <c r="A4466" s="126">
        <v>193</v>
      </c>
      <c r="B4466" s="478" t="s">
        <v>4497</v>
      </c>
      <c r="C4466" s="126" t="s">
        <v>4475</v>
      </c>
      <c r="D4466" s="126" t="s">
        <v>4476</v>
      </c>
      <c r="E4466" s="126">
        <v>2016</v>
      </c>
      <c r="F4466" s="126">
        <v>2010</v>
      </c>
      <c r="G4466" s="126" t="s">
        <v>4482</v>
      </c>
      <c r="H4466" s="126" t="s">
        <v>4477</v>
      </c>
      <c r="I4466" s="126" t="s">
        <v>3461</v>
      </c>
      <c r="J4466" s="126">
        <f t="shared" si="581"/>
        <v>35.200000000000003</v>
      </c>
      <c r="K4466" s="126">
        <f t="shared" si="582"/>
        <v>107.73333333333333</v>
      </c>
      <c r="L4466" s="126">
        <v>1220</v>
      </c>
      <c r="O4466" s="126">
        <v>487.3</v>
      </c>
      <c r="P4466" s="126">
        <v>589</v>
      </c>
      <c r="R4466" s="478" t="s">
        <v>1847</v>
      </c>
      <c r="S4466" s="478" t="s">
        <v>1722</v>
      </c>
      <c r="T4466" s="478" t="s">
        <v>1110</v>
      </c>
      <c r="U4466" s="478" t="s">
        <v>4478</v>
      </c>
      <c r="V4466" s="126" t="s">
        <v>4487</v>
      </c>
      <c r="W4466" s="478" t="s">
        <v>1715</v>
      </c>
      <c r="X4466" s="126" t="s">
        <v>4487</v>
      </c>
      <c r="Y4466" s="126" t="s">
        <v>4487</v>
      </c>
      <c r="AA4466" s="479"/>
      <c r="AB4466" s="479"/>
      <c r="AC4466" s="126" t="s">
        <v>450</v>
      </c>
      <c r="AD4466" s="126">
        <v>8.11</v>
      </c>
      <c r="AE4466" s="126">
        <v>1.2</v>
      </c>
      <c r="AH4466" s="126" t="s">
        <v>4481</v>
      </c>
      <c r="AI4466" s="126" t="s">
        <v>577</v>
      </c>
      <c r="AJ4466" s="126" t="s">
        <v>116</v>
      </c>
      <c r="AK4466" s="126" t="s">
        <v>116</v>
      </c>
      <c r="AW4466" s="126" t="s">
        <v>160</v>
      </c>
      <c r="AX4466" s="126">
        <v>3</v>
      </c>
      <c r="AZ4466" s="126" t="s">
        <v>2121</v>
      </c>
      <c r="BE4466" s="126" t="s">
        <v>4491</v>
      </c>
      <c r="BP4466" s="481"/>
      <c r="BQ4466" s="481"/>
      <c r="BU4466" s="481"/>
      <c r="BV4466" s="481"/>
      <c r="BZ4466" s="481"/>
      <c r="CA4466" s="481"/>
      <c r="CE4466" s="605"/>
      <c r="CF4466" s="605"/>
      <c r="CG4466" s="605"/>
      <c r="CH4466" s="605"/>
      <c r="CJ4466" s="126">
        <v>13.89</v>
      </c>
      <c r="CK4466" s="126">
        <v>11.77</v>
      </c>
      <c r="CL4466" s="126">
        <v>2</v>
      </c>
      <c r="CM4466" s="126">
        <f>CK4466-9.83</f>
        <v>1.9399999999999995</v>
      </c>
      <c r="CN4466" s="126" t="s">
        <v>4488</v>
      </c>
      <c r="JD4466" s="480"/>
    </row>
    <row r="4467" spans="1:264" s="126" customFormat="1" x14ac:dyDescent="0.25">
      <c r="A4467" s="126">
        <v>193</v>
      </c>
      <c r="B4467" s="478" t="s">
        <v>4498</v>
      </c>
      <c r="C4467" s="126" t="s">
        <v>4475</v>
      </c>
      <c r="D4467" s="126" t="s">
        <v>4476</v>
      </c>
      <c r="E4467" s="126">
        <v>2016</v>
      </c>
      <c r="F4467" s="126">
        <v>2010</v>
      </c>
      <c r="G4467" s="126" t="s">
        <v>4482</v>
      </c>
      <c r="H4467" s="126" t="s">
        <v>4477</v>
      </c>
      <c r="I4467" s="126" t="s">
        <v>3461</v>
      </c>
      <c r="J4467" s="126">
        <f t="shared" si="581"/>
        <v>35.200000000000003</v>
      </c>
      <c r="K4467" s="126">
        <f t="shared" si="582"/>
        <v>107.73333333333333</v>
      </c>
      <c r="L4467" s="126">
        <v>1220</v>
      </c>
      <c r="O4467" s="126">
        <v>487.3</v>
      </c>
      <c r="P4467" s="126">
        <v>589</v>
      </c>
      <c r="R4467" s="478" t="s">
        <v>1847</v>
      </c>
      <c r="S4467" s="478" t="s">
        <v>1722</v>
      </c>
      <c r="T4467" s="478" t="s">
        <v>1110</v>
      </c>
      <c r="U4467" s="478" t="s">
        <v>4478</v>
      </c>
      <c r="V4467" s="478" t="s">
        <v>4483</v>
      </c>
      <c r="W4467" s="478" t="s">
        <v>1715</v>
      </c>
      <c r="X4467" s="478" t="s">
        <v>4483</v>
      </c>
      <c r="Y4467" s="478" t="s">
        <v>4483</v>
      </c>
      <c r="AA4467" s="479"/>
      <c r="AB4467" s="479"/>
      <c r="AC4467" s="126" t="s">
        <v>450</v>
      </c>
      <c r="AD4467" s="126">
        <v>8.11</v>
      </c>
      <c r="AE4467" s="126">
        <v>1.2</v>
      </c>
      <c r="AH4467" s="126" t="s">
        <v>4481</v>
      </c>
      <c r="AI4467" s="126" t="s">
        <v>577</v>
      </c>
      <c r="AJ4467" s="126" t="s">
        <v>116</v>
      </c>
      <c r="AK4467" s="126" t="s">
        <v>116</v>
      </c>
      <c r="AW4467" s="126" t="s">
        <v>160</v>
      </c>
      <c r="AX4467" s="126">
        <v>3</v>
      </c>
      <c r="AZ4467" s="126" t="s">
        <v>2121</v>
      </c>
      <c r="BE4467" s="126" t="s">
        <v>4491</v>
      </c>
      <c r="BP4467" s="481"/>
      <c r="BQ4467" s="481"/>
      <c r="BU4467" s="481"/>
      <c r="BV4467" s="481"/>
      <c r="BZ4467" s="481"/>
      <c r="CA4467" s="481"/>
      <c r="CE4467" s="605"/>
      <c r="CF4467" s="605"/>
      <c r="CG4467" s="605"/>
      <c r="CH4467" s="605"/>
      <c r="CJ4467" s="126">
        <v>12.93</v>
      </c>
      <c r="CK4467" s="126">
        <v>12.28</v>
      </c>
      <c r="CL4467" s="126">
        <v>2</v>
      </c>
      <c r="CM4467" s="126">
        <f>CK4467-10.32</f>
        <v>1.9599999999999991</v>
      </c>
      <c r="CN4467" s="126" t="s">
        <v>4488</v>
      </c>
      <c r="JD4467" s="480"/>
    </row>
    <row r="4468" spans="1:264" s="126" customFormat="1" x14ac:dyDescent="0.25">
      <c r="A4468" s="126">
        <v>193</v>
      </c>
      <c r="B4468" s="478" t="s">
        <v>4499</v>
      </c>
      <c r="C4468" s="126" t="s">
        <v>4475</v>
      </c>
      <c r="D4468" s="126" t="s">
        <v>4476</v>
      </c>
      <c r="E4468" s="126">
        <v>2016</v>
      </c>
      <c r="F4468" s="126">
        <v>2010</v>
      </c>
      <c r="G4468" s="126" t="s">
        <v>4482</v>
      </c>
      <c r="H4468" s="126" t="s">
        <v>4477</v>
      </c>
      <c r="I4468" s="126" t="s">
        <v>3461</v>
      </c>
      <c r="J4468" s="126">
        <f t="shared" si="581"/>
        <v>35.200000000000003</v>
      </c>
      <c r="K4468" s="126">
        <f t="shared" si="582"/>
        <v>107.73333333333333</v>
      </c>
      <c r="L4468" s="126">
        <v>1220</v>
      </c>
      <c r="O4468" s="126">
        <v>487.3</v>
      </c>
      <c r="P4468" s="126">
        <v>589</v>
      </c>
      <c r="R4468" s="478" t="s">
        <v>1847</v>
      </c>
      <c r="S4468" s="478" t="s">
        <v>1722</v>
      </c>
      <c r="T4468" s="478" t="s">
        <v>1110</v>
      </c>
      <c r="U4468" s="478" t="s">
        <v>4478</v>
      </c>
      <c r="V4468" s="478" t="s">
        <v>4484</v>
      </c>
      <c r="W4468" s="478" t="s">
        <v>1715</v>
      </c>
      <c r="X4468" s="478" t="s">
        <v>4484</v>
      </c>
      <c r="Y4468" s="478" t="s">
        <v>4484</v>
      </c>
      <c r="AA4468" s="479"/>
      <c r="AB4468" s="479"/>
      <c r="AC4468" s="126" t="s">
        <v>450</v>
      </c>
      <c r="AD4468" s="126">
        <v>8.11</v>
      </c>
      <c r="AE4468" s="126">
        <v>1.2</v>
      </c>
      <c r="AH4468" s="126" t="s">
        <v>4481</v>
      </c>
      <c r="AI4468" s="126" t="s">
        <v>577</v>
      </c>
      <c r="AJ4468" s="126" t="s">
        <v>116</v>
      </c>
      <c r="AK4468" s="126" t="s">
        <v>116</v>
      </c>
      <c r="AW4468" s="126" t="s">
        <v>160</v>
      </c>
      <c r="AX4468" s="126">
        <v>3</v>
      </c>
      <c r="AZ4468" s="126" t="s">
        <v>2121</v>
      </c>
      <c r="BE4468" s="126" t="s">
        <v>4491</v>
      </c>
      <c r="BP4468" s="481"/>
      <c r="BQ4468" s="481"/>
      <c r="BU4468" s="481"/>
      <c r="BV4468" s="481"/>
      <c r="BZ4468" s="481"/>
      <c r="CA4468" s="481"/>
      <c r="CE4468" s="605"/>
      <c r="CF4468" s="605"/>
      <c r="CG4468" s="605"/>
      <c r="CH4468" s="605"/>
      <c r="CJ4468" s="126">
        <v>14.74</v>
      </c>
      <c r="CK4468" s="126">
        <v>13.27</v>
      </c>
      <c r="CL4468" s="126">
        <v>2</v>
      </c>
      <c r="CM4468" s="126">
        <f>CK4468-10.66</f>
        <v>2.6099999999999994</v>
      </c>
      <c r="CN4468" s="126" t="s">
        <v>4488</v>
      </c>
      <c r="JD4468" s="480"/>
    </row>
    <row r="4469" spans="1:264" s="126" customFormat="1" x14ac:dyDescent="0.25">
      <c r="A4469" s="126">
        <v>193</v>
      </c>
      <c r="B4469" s="478" t="s">
        <v>4500</v>
      </c>
      <c r="C4469" s="126" t="s">
        <v>4475</v>
      </c>
      <c r="D4469" s="126" t="s">
        <v>4476</v>
      </c>
      <c r="E4469" s="126">
        <v>2016</v>
      </c>
      <c r="F4469" s="126">
        <v>2010</v>
      </c>
      <c r="G4469" s="126" t="s">
        <v>4482</v>
      </c>
      <c r="H4469" s="126" t="s">
        <v>4477</v>
      </c>
      <c r="I4469" s="126" t="s">
        <v>3461</v>
      </c>
      <c r="J4469" s="126">
        <f t="shared" si="581"/>
        <v>35.200000000000003</v>
      </c>
      <c r="K4469" s="126">
        <f t="shared" si="582"/>
        <v>107.73333333333333</v>
      </c>
      <c r="L4469" s="126">
        <v>1220</v>
      </c>
      <c r="O4469" s="126">
        <v>487.3</v>
      </c>
      <c r="P4469" s="126">
        <v>589</v>
      </c>
      <c r="R4469" s="478" t="s">
        <v>1847</v>
      </c>
      <c r="S4469" s="478" t="s">
        <v>1722</v>
      </c>
      <c r="T4469" s="478" t="s">
        <v>1110</v>
      </c>
      <c r="U4469" s="478" t="s">
        <v>4478</v>
      </c>
      <c r="V4469" s="478" t="s">
        <v>4485</v>
      </c>
      <c r="W4469" s="478" t="s">
        <v>1715</v>
      </c>
      <c r="X4469" s="478" t="s">
        <v>4485</v>
      </c>
      <c r="Y4469" s="478" t="s">
        <v>4485</v>
      </c>
      <c r="AA4469" s="479"/>
      <c r="AB4469" s="479"/>
      <c r="AC4469" s="126" t="s">
        <v>450</v>
      </c>
      <c r="AD4469" s="126">
        <v>8.11</v>
      </c>
      <c r="AE4469" s="126">
        <v>1.2</v>
      </c>
      <c r="AH4469" s="126" t="s">
        <v>4481</v>
      </c>
      <c r="AI4469" s="126" t="s">
        <v>577</v>
      </c>
      <c r="AJ4469" s="126" t="s">
        <v>116</v>
      </c>
      <c r="AK4469" s="126" t="s">
        <v>116</v>
      </c>
      <c r="AW4469" s="126" t="s">
        <v>160</v>
      </c>
      <c r="AX4469" s="126">
        <v>3</v>
      </c>
      <c r="AZ4469" s="126" t="s">
        <v>2121</v>
      </c>
      <c r="BE4469" s="126" t="s">
        <v>4491</v>
      </c>
      <c r="BP4469" s="481"/>
      <c r="BQ4469" s="481"/>
      <c r="BU4469" s="481"/>
      <c r="BV4469" s="481"/>
      <c r="BZ4469" s="481"/>
      <c r="CA4469" s="481"/>
      <c r="CE4469" s="605"/>
      <c r="CF4469" s="605"/>
      <c r="CG4469" s="605"/>
      <c r="CH4469" s="605"/>
      <c r="CJ4469" s="126">
        <v>14.43</v>
      </c>
      <c r="CK4469" s="126">
        <v>12.31</v>
      </c>
      <c r="CL4469" s="126">
        <v>2</v>
      </c>
      <c r="CM4469" s="126">
        <f>CK4469-10.68</f>
        <v>1.6300000000000008</v>
      </c>
      <c r="CN4469" s="126" t="s">
        <v>4488</v>
      </c>
      <c r="JD4469" s="480"/>
    </row>
    <row r="4470" spans="1:264" s="126" customFormat="1" x14ac:dyDescent="0.25">
      <c r="A4470" s="126">
        <v>193</v>
      </c>
      <c r="B4470" s="478" t="s">
        <v>4501</v>
      </c>
      <c r="C4470" s="126" t="s">
        <v>4475</v>
      </c>
      <c r="D4470" s="126" t="s">
        <v>4476</v>
      </c>
      <c r="E4470" s="126">
        <v>2016</v>
      </c>
      <c r="F4470" s="126">
        <v>2010</v>
      </c>
      <c r="G4470" s="126" t="s">
        <v>4482</v>
      </c>
      <c r="H4470" s="126" t="s">
        <v>4477</v>
      </c>
      <c r="I4470" s="126" t="s">
        <v>3461</v>
      </c>
      <c r="J4470" s="126">
        <f t="shared" si="581"/>
        <v>35.200000000000003</v>
      </c>
      <c r="K4470" s="126">
        <f t="shared" si="582"/>
        <v>107.73333333333333</v>
      </c>
      <c r="L4470" s="126">
        <v>1220</v>
      </c>
      <c r="O4470" s="126">
        <v>487.3</v>
      </c>
      <c r="P4470" s="126">
        <v>589</v>
      </c>
      <c r="R4470" s="478" t="s">
        <v>1847</v>
      </c>
      <c r="S4470" s="478" t="s">
        <v>1722</v>
      </c>
      <c r="T4470" s="478" t="s">
        <v>1110</v>
      </c>
      <c r="U4470" s="478" t="s">
        <v>4478</v>
      </c>
      <c r="V4470" s="478" t="s">
        <v>4486</v>
      </c>
      <c r="W4470" s="478" t="s">
        <v>1715</v>
      </c>
      <c r="X4470" s="478" t="s">
        <v>4486</v>
      </c>
      <c r="Y4470" s="478" t="s">
        <v>4486</v>
      </c>
      <c r="AA4470" s="479"/>
      <c r="AB4470" s="479"/>
      <c r="AC4470" s="126" t="s">
        <v>450</v>
      </c>
      <c r="AD4470" s="126">
        <v>8.11</v>
      </c>
      <c r="AE4470" s="126">
        <v>1.2</v>
      </c>
      <c r="AH4470" s="126" t="s">
        <v>4481</v>
      </c>
      <c r="AI4470" s="126" t="s">
        <v>577</v>
      </c>
      <c r="AJ4470" s="126" t="s">
        <v>116</v>
      </c>
      <c r="AK4470" s="126" t="s">
        <v>116</v>
      </c>
      <c r="AW4470" s="126" t="s">
        <v>160</v>
      </c>
      <c r="AX4470" s="126">
        <v>3</v>
      </c>
      <c r="AZ4470" s="126" t="s">
        <v>2121</v>
      </c>
      <c r="BE4470" s="126" t="s">
        <v>4491</v>
      </c>
      <c r="BP4470" s="481"/>
      <c r="BQ4470" s="481"/>
      <c r="BU4470" s="481"/>
      <c r="BV4470" s="481"/>
      <c r="BZ4470" s="481"/>
      <c r="CA4470" s="481"/>
      <c r="CE4470" s="605"/>
      <c r="CF4470" s="605"/>
      <c r="CG4470" s="605"/>
      <c r="CH4470" s="605"/>
      <c r="CJ4470" s="126">
        <v>15.75</v>
      </c>
      <c r="CK4470" s="126">
        <v>16.239999999999998</v>
      </c>
      <c r="CL4470" s="126">
        <v>2</v>
      </c>
      <c r="CM4470" s="126">
        <f>CK4470-13.63</f>
        <v>2.6099999999999977</v>
      </c>
      <c r="CN4470" s="126" t="s">
        <v>4488</v>
      </c>
      <c r="JD4470" s="480"/>
    </row>
    <row r="4471" spans="1:264" s="24" customFormat="1" x14ac:dyDescent="0.25">
      <c r="A4471" s="24">
        <v>194</v>
      </c>
      <c r="B4471" s="42" t="s">
        <v>4502</v>
      </c>
      <c r="C4471" s="24" t="s">
        <v>4475</v>
      </c>
      <c r="D4471" s="24" t="s">
        <v>4476</v>
      </c>
      <c r="E4471" s="24">
        <v>2016</v>
      </c>
      <c r="F4471" s="24">
        <v>2010</v>
      </c>
      <c r="G4471" s="24" t="s">
        <v>4503</v>
      </c>
      <c r="H4471" s="24" t="s">
        <v>4477</v>
      </c>
      <c r="I4471" s="24" t="s">
        <v>3461</v>
      </c>
      <c r="J4471" s="24">
        <f t="shared" si="581"/>
        <v>35.200000000000003</v>
      </c>
      <c r="K4471" s="24">
        <f t="shared" si="582"/>
        <v>107.73333333333333</v>
      </c>
      <c r="L4471" s="24">
        <v>1220</v>
      </c>
      <c r="P4471" s="24">
        <v>589</v>
      </c>
      <c r="R4471" s="42" t="s">
        <v>1847</v>
      </c>
      <c r="S4471" s="42" t="s">
        <v>1722</v>
      </c>
      <c r="T4471" s="42" t="s">
        <v>1110</v>
      </c>
      <c r="U4471" s="42" t="s">
        <v>4478</v>
      </c>
      <c r="V4471" s="42" t="s">
        <v>4504</v>
      </c>
      <c r="W4471" s="42" t="s">
        <v>3498</v>
      </c>
      <c r="X4471" s="42" t="s">
        <v>4504</v>
      </c>
      <c r="Y4471" s="42" t="s">
        <v>4504</v>
      </c>
      <c r="AA4471" s="321"/>
      <c r="AB4471" s="321"/>
      <c r="AC4471" s="24" t="s">
        <v>450</v>
      </c>
      <c r="AD4471" s="24">
        <v>8.11</v>
      </c>
      <c r="AE4471" s="24">
        <v>1.2</v>
      </c>
      <c r="AH4471" s="24" t="s">
        <v>4480</v>
      </c>
      <c r="AI4471" s="24" t="s">
        <v>577</v>
      </c>
      <c r="AJ4471" s="24" t="s">
        <v>116</v>
      </c>
      <c r="AK4471" s="24" t="s">
        <v>116</v>
      </c>
      <c r="AW4471" s="24" t="s">
        <v>160</v>
      </c>
      <c r="AX4471" s="24">
        <v>3</v>
      </c>
      <c r="AZ4471" s="24" t="s">
        <v>2121</v>
      </c>
      <c r="BE4471" s="24" t="s">
        <v>4505</v>
      </c>
      <c r="BP4471" s="395"/>
      <c r="BQ4471" s="395"/>
      <c r="BU4471" s="395"/>
      <c r="BV4471" s="395"/>
      <c r="BZ4471" s="395"/>
      <c r="CA4471" s="395"/>
      <c r="CE4471" s="548"/>
      <c r="CF4471" s="548"/>
      <c r="CG4471" s="548"/>
      <c r="CH4471" s="548"/>
      <c r="FL4471" s="24">
        <v>125</v>
      </c>
      <c r="FM4471" s="24">
        <v>101</v>
      </c>
      <c r="FP4471" s="24" t="s">
        <v>3248</v>
      </c>
      <c r="JB4471" s="24" t="s">
        <v>4510</v>
      </c>
      <c r="JD4471" s="249"/>
    </row>
    <row r="4472" spans="1:264" s="24" customFormat="1" x14ac:dyDescent="0.25">
      <c r="A4472" s="24">
        <v>194</v>
      </c>
      <c r="B4472" s="42" t="s">
        <v>4502</v>
      </c>
      <c r="C4472" s="24" t="s">
        <v>4475</v>
      </c>
      <c r="D4472" s="24" t="s">
        <v>4476</v>
      </c>
      <c r="E4472" s="24">
        <v>2016</v>
      </c>
      <c r="F4472" s="24">
        <v>2010</v>
      </c>
      <c r="G4472" s="24" t="s">
        <v>4503</v>
      </c>
      <c r="H4472" s="24" t="s">
        <v>4477</v>
      </c>
      <c r="I4472" s="24" t="s">
        <v>3461</v>
      </c>
      <c r="J4472" s="24">
        <f t="shared" si="581"/>
        <v>35.200000000000003</v>
      </c>
      <c r="K4472" s="24">
        <f t="shared" si="582"/>
        <v>107.73333333333333</v>
      </c>
      <c r="L4472" s="24">
        <v>1220</v>
      </c>
      <c r="P4472" s="24">
        <v>589</v>
      </c>
      <c r="R4472" s="42" t="s">
        <v>1847</v>
      </c>
      <c r="S4472" s="42" t="s">
        <v>1722</v>
      </c>
      <c r="T4472" s="42" t="s">
        <v>1110</v>
      </c>
      <c r="U4472" s="42" t="s">
        <v>4478</v>
      </c>
      <c r="V4472" s="42" t="s">
        <v>4504</v>
      </c>
      <c r="W4472" s="42" t="s">
        <v>3498</v>
      </c>
      <c r="X4472" s="42" t="s">
        <v>4504</v>
      </c>
      <c r="Y4472" s="42" t="s">
        <v>4504</v>
      </c>
      <c r="AA4472" s="321"/>
      <c r="AB4472" s="321"/>
      <c r="AC4472" s="24" t="s">
        <v>450</v>
      </c>
      <c r="AD4472" s="24">
        <v>8.11</v>
      </c>
      <c r="AE4472" s="24">
        <v>1.2</v>
      </c>
      <c r="AH4472" s="24" t="s">
        <v>158</v>
      </c>
      <c r="AI4472" s="24" t="s">
        <v>577</v>
      </c>
      <c r="AJ4472" s="24" t="s">
        <v>116</v>
      </c>
      <c r="AK4472" s="24" t="s">
        <v>116</v>
      </c>
      <c r="AW4472" s="24" t="s">
        <v>160</v>
      </c>
      <c r="AX4472" s="24">
        <v>3</v>
      </c>
      <c r="AZ4472" s="24" t="s">
        <v>2121</v>
      </c>
      <c r="BE4472" s="24" t="s">
        <v>4505</v>
      </c>
      <c r="BP4472" s="395"/>
      <c r="BQ4472" s="395"/>
      <c r="BU4472" s="395"/>
      <c r="BV4472" s="395"/>
      <c r="BZ4472" s="395"/>
      <c r="CA4472" s="395"/>
      <c r="CE4472" s="548"/>
      <c r="CF4472" s="548"/>
      <c r="CG4472" s="548"/>
      <c r="CH4472" s="548"/>
      <c r="FL4472" s="24">
        <v>125</v>
      </c>
      <c r="FM4472" s="24">
        <v>100</v>
      </c>
      <c r="FP4472" s="24" t="s">
        <v>3248</v>
      </c>
      <c r="JB4472" s="24" t="s">
        <v>4510</v>
      </c>
      <c r="JD4472" s="249"/>
    </row>
    <row r="4473" spans="1:264" s="24" customFormat="1" x14ac:dyDescent="0.25">
      <c r="A4473" s="24">
        <v>194</v>
      </c>
      <c r="B4473" s="42" t="s">
        <v>4502</v>
      </c>
      <c r="C4473" s="24" t="s">
        <v>4475</v>
      </c>
      <c r="D4473" s="24" t="s">
        <v>4476</v>
      </c>
      <c r="E4473" s="24">
        <v>2016</v>
      </c>
      <c r="F4473" s="24">
        <v>2010</v>
      </c>
      <c r="G4473" s="24" t="s">
        <v>4503</v>
      </c>
      <c r="H4473" s="24" t="s">
        <v>4477</v>
      </c>
      <c r="I4473" s="24" t="s">
        <v>3461</v>
      </c>
      <c r="J4473" s="24">
        <f t="shared" si="581"/>
        <v>35.200000000000003</v>
      </c>
      <c r="K4473" s="24">
        <f t="shared" si="582"/>
        <v>107.73333333333333</v>
      </c>
      <c r="L4473" s="24">
        <v>1220</v>
      </c>
      <c r="P4473" s="24">
        <v>589</v>
      </c>
      <c r="R4473" s="42" t="s">
        <v>1847</v>
      </c>
      <c r="S4473" s="42" t="s">
        <v>1722</v>
      </c>
      <c r="T4473" s="42" t="s">
        <v>1110</v>
      </c>
      <c r="U4473" s="42" t="s">
        <v>4478</v>
      </c>
      <c r="V4473" s="42" t="s">
        <v>4504</v>
      </c>
      <c r="W4473" s="42" t="s">
        <v>3498</v>
      </c>
      <c r="X4473" s="42" t="s">
        <v>4504</v>
      </c>
      <c r="Y4473" s="42" t="s">
        <v>4504</v>
      </c>
      <c r="AA4473" s="321"/>
      <c r="AB4473" s="321"/>
      <c r="AC4473" s="24" t="s">
        <v>450</v>
      </c>
      <c r="AD4473" s="24">
        <v>8.11</v>
      </c>
      <c r="AE4473" s="24">
        <v>1.2</v>
      </c>
      <c r="AH4473" s="24" t="s">
        <v>4481</v>
      </c>
      <c r="AI4473" s="24" t="s">
        <v>577</v>
      </c>
      <c r="AJ4473" s="24" t="s">
        <v>116</v>
      </c>
      <c r="AK4473" s="24" t="s">
        <v>116</v>
      </c>
      <c r="AW4473" s="24" t="s">
        <v>160</v>
      </c>
      <c r="AX4473" s="24">
        <v>3</v>
      </c>
      <c r="AZ4473" s="24" t="s">
        <v>2121</v>
      </c>
      <c r="BE4473" s="24" t="s">
        <v>4505</v>
      </c>
      <c r="BP4473" s="395"/>
      <c r="BQ4473" s="395"/>
      <c r="BU4473" s="395"/>
      <c r="BV4473" s="395"/>
      <c r="BZ4473" s="395"/>
      <c r="CA4473" s="395"/>
      <c r="CE4473" s="548"/>
      <c r="CF4473" s="548"/>
      <c r="CG4473" s="548"/>
      <c r="CH4473" s="548"/>
      <c r="FL4473" s="24">
        <v>125</v>
      </c>
      <c r="FM4473" s="24">
        <v>111</v>
      </c>
      <c r="FP4473" s="24" t="s">
        <v>3248</v>
      </c>
      <c r="JB4473" s="24" t="s">
        <v>4510</v>
      </c>
      <c r="JD4473" s="249"/>
    </row>
    <row r="4474" spans="1:264" s="32" customFormat="1" x14ac:dyDescent="0.25">
      <c r="A4474" s="32">
        <v>194</v>
      </c>
      <c r="B4474" s="44" t="s">
        <v>4502</v>
      </c>
      <c r="C4474" s="32" t="s">
        <v>4475</v>
      </c>
      <c r="D4474" s="32" t="s">
        <v>4476</v>
      </c>
      <c r="E4474" s="32">
        <v>2016</v>
      </c>
      <c r="F4474" s="32">
        <v>2010</v>
      </c>
      <c r="G4474" s="32" t="s">
        <v>4503</v>
      </c>
      <c r="H4474" s="32" t="s">
        <v>4477</v>
      </c>
      <c r="I4474" s="32" t="s">
        <v>3461</v>
      </c>
      <c r="J4474" s="32">
        <f t="shared" si="581"/>
        <v>35.200000000000003</v>
      </c>
      <c r="K4474" s="32">
        <f t="shared" si="582"/>
        <v>107.73333333333333</v>
      </c>
      <c r="L4474" s="32">
        <v>1220</v>
      </c>
      <c r="P4474" s="32">
        <v>589</v>
      </c>
      <c r="R4474" s="44" t="s">
        <v>1847</v>
      </c>
      <c r="S4474" s="44" t="s">
        <v>1722</v>
      </c>
      <c r="T4474" s="44" t="s">
        <v>1110</v>
      </c>
      <c r="U4474" s="44" t="s">
        <v>4478</v>
      </c>
      <c r="V4474" s="44" t="s">
        <v>4504</v>
      </c>
      <c r="W4474" s="44" t="s">
        <v>3498</v>
      </c>
      <c r="X4474" s="44" t="s">
        <v>4504</v>
      </c>
      <c r="Y4474" s="44" t="s">
        <v>4504</v>
      </c>
      <c r="AA4474" s="323"/>
      <c r="AB4474" s="323"/>
      <c r="AC4474" s="32" t="s">
        <v>450</v>
      </c>
      <c r="AD4474" s="32">
        <v>8.11</v>
      </c>
      <c r="AE4474" s="32">
        <v>1.2</v>
      </c>
      <c r="AH4474" s="32" t="s">
        <v>4480</v>
      </c>
      <c r="AI4474" s="32" t="s">
        <v>577</v>
      </c>
      <c r="AJ4474" s="32" t="s">
        <v>116</v>
      </c>
      <c r="AK4474" s="32" t="s">
        <v>116</v>
      </c>
      <c r="AW4474" s="32" t="s">
        <v>160</v>
      </c>
      <c r="AX4474" s="32">
        <v>3</v>
      </c>
      <c r="AZ4474" s="32" t="s">
        <v>2121</v>
      </c>
      <c r="BE4474" s="32" t="s">
        <v>4506</v>
      </c>
      <c r="BP4474" s="397"/>
      <c r="BQ4474" s="397"/>
      <c r="BU4474" s="397"/>
      <c r="BV4474" s="397"/>
      <c r="BZ4474" s="397"/>
      <c r="CA4474" s="397"/>
      <c r="CE4474" s="550"/>
      <c r="CF4474" s="550"/>
      <c r="CG4474" s="550"/>
      <c r="CH4474" s="550"/>
      <c r="FL4474" s="32">
        <v>149</v>
      </c>
      <c r="FM4474" s="32">
        <v>167</v>
      </c>
      <c r="FP4474" s="32" t="s">
        <v>3248</v>
      </c>
      <c r="JB4474" s="32" t="s">
        <v>4510</v>
      </c>
      <c r="JD4474" s="243"/>
    </row>
    <row r="4475" spans="1:264" s="32" customFormat="1" x14ac:dyDescent="0.25">
      <c r="A4475" s="32">
        <v>194</v>
      </c>
      <c r="B4475" s="44" t="s">
        <v>4502</v>
      </c>
      <c r="C4475" s="32" t="s">
        <v>4475</v>
      </c>
      <c r="D4475" s="32" t="s">
        <v>4476</v>
      </c>
      <c r="E4475" s="32">
        <v>2016</v>
      </c>
      <c r="F4475" s="32">
        <v>2010</v>
      </c>
      <c r="G4475" s="32" t="s">
        <v>4503</v>
      </c>
      <c r="H4475" s="32" t="s">
        <v>4477</v>
      </c>
      <c r="I4475" s="32" t="s">
        <v>3461</v>
      </c>
      <c r="J4475" s="32">
        <f t="shared" si="581"/>
        <v>35.200000000000003</v>
      </c>
      <c r="K4475" s="32">
        <f t="shared" si="582"/>
        <v>107.73333333333333</v>
      </c>
      <c r="L4475" s="32">
        <v>1220</v>
      </c>
      <c r="P4475" s="32">
        <v>589</v>
      </c>
      <c r="R4475" s="44" t="s">
        <v>1847</v>
      </c>
      <c r="S4475" s="44" t="s">
        <v>1722</v>
      </c>
      <c r="T4475" s="44" t="s">
        <v>1110</v>
      </c>
      <c r="U4475" s="44" t="s">
        <v>4478</v>
      </c>
      <c r="V4475" s="44" t="s">
        <v>4504</v>
      </c>
      <c r="W4475" s="44" t="s">
        <v>3498</v>
      </c>
      <c r="X4475" s="44" t="s">
        <v>4504</v>
      </c>
      <c r="Y4475" s="44" t="s">
        <v>4504</v>
      </c>
      <c r="AA4475" s="323"/>
      <c r="AB4475" s="323"/>
      <c r="AC4475" s="32" t="s">
        <v>450</v>
      </c>
      <c r="AD4475" s="32">
        <v>8.11</v>
      </c>
      <c r="AE4475" s="32">
        <v>1.2</v>
      </c>
      <c r="AH4475" s="32" t="s">
        <v>158</v>
      </c>
      <c r="AI4475" s="32" t="s">
        <v>577</v>
      </c>
      <c r="AJ4475" s="32" t="s">
        <v>116</v>
      </c>
      <c r="AK4475" s="32" t="s">
        <v>116</v>
      </c>
      <c r="AW4475" s="32" t="s">
        <v>160</v>
      </c>
      <c r="AX4475" s="32">
        <v>3</v>
      </c>
      <c r="AZ4475" s="32" t="s">
        <v>2121</v>
      </c>
      <c r="BE4475" s="32" t="s">
        <v>4506</v>
      </c>
      <c r="BP4475" s="397"/>
      <c r="BQ4475" s="397"/>
      <c r="BU4475" s="397"/>
      <c r="BV4475" s="397"/>
      <c r="BZ4475" s="397"/>
      <c r="CA4475" s="397"/>
      <c r="CE4475" s="550"/>
      <c r="CF4475" s="550"/>
      <c r="CG4475" s="550"/>
      <c r="CH4475" s="550"/>
      <c r="FL4475" s="32">
        <v>149</v>
      </c>
      <c r="FM4475" s="32">
        <v>164</v>
      </c>
      <c r="FP4475" s="32" t="s">
        <v>3248</v>
      </c>
      <c r="JB4475" s="32" t="s">
        <v>4510</v>
      </c>
      <c r="JD4475" s="243"/>
    </row>
    <row r="4476" spans="1:264" s="32" customFormat="1" x14ac:dyDescent="0.25">
      <c r="A4476" s="32">
        <v>194</v>
      </c>
      <c r="B4476" s="44" t="s">
        <v>4502</v>
      </c>
      <c r="C4476" s="32" t="s">
        <v>4475</v>
      </c>
      <c r="D4476" s="32" t="s">
        <v>4476</v>
      </c>
      <c r="E4476" s="32">
        <v>2016</v>
      </c>
      <c r="F4476" s="32">
        <v>2010</v>
      </c>
      <c r="G4476" s="32" t="s">
        <v>4503</v>
      </c>
      <c r="H4476" s="32" t="s">
        <v>4477</v>
      </c>
      <c r="I4476" s="32" t="s">
        <v>3461</v>
      </c>
      <c r="J4476" s="32">
        <f t="shared" si="581"/>
        <v>35.200000000000003</v>
      </c>
      <c r="K4476" s="32">
        <f t="shared" si="582"/>
        <v>107.73333333333333</v>
      </c>
      <c r="L4476" s="32">
        <v>1220</v>
      </c>
      <c r="P4476" s="32">
        <v>589</v>
      </c>
      <c r="R4476" s="44" t="s">
        <v>1847</v>
      </c>
      <c r="S4476" s="44" t="s">
        <v>1722</v>
      </c>
      <c r="T4476" s="44" t="s">
        <v>1110</v>
      </c>
      <c r="U4476" s="44" t="s">
        <v>4478</v>
      </c>
      <c r="V4476" s="44" t="s">
        <v>4504</v>
      </c>
      <c r="W4476" s="44" t="s">
        <v>3498</v>
      </c>
      <c r="X4476" s="44" t="s">
        <v>4504</v>
      </c>
      <c r="Y4476" s="44" t="s">
        <v>4504</v>
      </c>
      <c r="AA4476" s="323"/>
      <c r="AB4476" s="323"/>
      <c r="AC4476" s="32" t="s">
        <v>450</v>
      </c>
      <c r="AD4476" s="32">
        <v>8.11</v>
      </c>
      <c r="AE4476" s="32">
        <v>1.2</v>
      </c>
      <c r="AH4476" s="32" t="s">
        <v>4481</v>
      </c>
      <c r="AI4476" s="32" t="s">
        <v>577</v>
      </c>
      <c r="AJ4476" s="32" t="s">
        <v>116</v>
      </c>
      <c r="AK4476" s="32" t="s">
        <v>116</v>
      </c>
      <c r="AW4476" s="32" t="s">
        <v>160</v>
      </c>
      <c r="AX4476" s="32">
        <v>3</v>
      </c>
      <c r="AZ4476" s="32" t="s">
        <v>2121</v>
      </c>
      <c r="BE4476" s="32" t="s">
        <v>4506</v>
      </c>
      <c r="BP4476" s="397"/>
      <c r="BQ4476" s="397"/>
      <c r="BU4476" s="397"/>
      <c r="BV4476" s="397"/>
      <c r="BZ4476" s="397"/>
      <c r="CA4476" s="397"/>
      <c r="CE4476" s="550"/>
      <c r="CF4476" s="550"/>
      <c r="CG4476" s="550"/>
      <c r="CH4476" s="550"/>
      <c r="FL4476" s="32">
        <v>149</v>
      </c>
      <c r="FM4476" s="32">
        <v>156</v>
      </c>
      <c r="FP4476" s="32" t="s">
        <v>3248</v>
      </c>
      <c r="JB4476" s="32" t="s">
        <v>4510</v>
      </c>
      <c r="JD4476" s="243"/>
    </row>
    <row r="4477" spans="1:264" s="24" customFormat="1" x14ac:dyDescent="0.25">
      <c r="A4477" s="24">
        <v>194</v>
      </c>
      <c r="B4477" s="42" t="s">
        <v>4502</v>
      </c>
      <c r="C4477" s="24" t="s">
        <v>4475</v>
      </c>
      <c r="D4477" s="24" t="s">
        <v>4476</v>
      </c>
      <c r="E4477" s="24">
        <v>2016</v>
      </c>
      <c r="F4477" s="24">
        <v>2010</v>
      </c>
      <c r="G4477" s="24" t="s">
        <v>4503</v>
      </c>
      <c r="H4477" s="24" t="s">
        <v>4477</v>
      </c>
      <c r="I4477" s="24" t="s">
        <v>3461</v>
      </c>
      <c r="J4477" s="24">
        <f t="shared" si="581"/>
        <v>35.200000000000003</v>
      </c>
      <c r="K4477" s="24">
        <f t="shared" si="582"/>
        <v>107.73333333333333</v>
      </c>
      <c r="L4477" s="24">
        <v>1220</v>
      </c>
      <c r="P4477" s="24">
        <v>589</v>
      </c>
      <c r="R4477" s="42" t="s">
        <v>1847</v>
      </c>
      <c r="S4477" s="42" t="s">
        <v>1722</v>
      </c>
      <c r="T4477" s="42" t="s">
        <v>1110</v>
      </c>
      <c r="U4477" s="42" t="s">
        <v>4478</v>
      </c>
      <c r="V4477" s="42" t="s">
        <v>4504</v>
      </c>
      <c r="W4477" s="42" t="s">
        <v>3498</v>
      </c>
      <c r="X4477" s="42" t="s">
        <v>4504</v>
      </c>
      <c r="Y4477" s="42" t="s">
        <v>4504</v>
      </c>
      <c r="AA4477" s="321"/>
      <c r="AB4477" s="321"/>
      <c r="AC4477" s="24" t="s">
        <v>450</v>
      </c>
      <c r="AD4477" s="24">
        <v>8.11</v>
      </c>
      <c r="AE4477" s="24">
        <v>1.2</v>
      </c>
      <c r="AH4477" s="24" t="s">
        <v>4480</v>
      </c>
      <c r="AI4477" s="24" t="s">
        <v>577</v>
      </c>
      <c r="AJ4477" s="24" t="s">
        <v>116</v>
      </c>
      <c r="AK4477" s="24" t="s">
        <v>116</v>
      </c>
      <c r="AW4477" s="24" t="s">
        <v>160</v>
      </c>
      <c r="AX4477" s="24">
        <v>3</v>
      </c>
      <c r="AZ4477" s="24" t="s">
        <v>2121</v>
      </c>
      <c r="BE4477" s="24" t="s">
        <v>4507</v>
      </c>
      <c r="BP4477" s="395"/>
      <c r="BQ4477" s="395"/>
      <c r="BU4477" s="395"/>
      <c r="BV4477" s="395"/>
      <c r="BZ4477" s="395"/>
      <c r="CA4477" s="395"/>
      <c r="CE4477" s="548"/>
      <c r="CF4477" s="548"/>
      <c r="CG4477" s="548"/>
      <c r="CH4477" s="548"/>
      <c r="FL4477" s="24">
        <v>154</v>
      </c>
      <c r="FM4477" s="24">
        <v>160</v>
      </c>
      <c r="FP4477" s="24" t="s">
        <v>3248</v>
      </c>
      <c r="JB4477" s="24" t="s">
        <v>4510</v>
      </c>
      <c r="JD4477" s="249"/>
    </row>
    <row r="4478" spans="1:264" s="24" customFormat="1" x14ac:dyDescent="0.25">
      <c r="A4478" s="24">
        <v>194</v>
      </c>
      <c r="B4478" s="42" t="s">
        <v>4502</v>
      </c>
      <c r="C4478" s="24" t="s">
        <v>4475</v>
      </c>
      <c r="D4478" s="24" t="s">
        <v>4476</v>
      </c>
      <c r="E4478" s="24">
        <v>2016</v>
      </c>
      <c r="F4478" s="24">
        <v>2010</v>
      </c>
      <c r="G4478" s="24" t="s">
        <v>4503</v>
      </c>
      <c r="H4478" s="24" t="s">
        <v>4477</v>
      </c>
      <c r="I4478" s="24" t="s">
        <v>3461</v>
      </c>
      <c r="J4478" s="24">
        <f t="shared" si="581"/>
        <v>35.200000000000003</v>
      </c>
      <c r="K4478" s="24">
        <f t="shared" si="582"/>
        <v>107.73333333333333</v>
      </c>
      <c r="L4478" s="24">
        <v>1220</v>
      </c>
      <c r="P4478" s="24">
        <v>589</v>
      </c>
      <c r="R4478" s="42" t="s">
        <v>1847</v>
      </c>
      <c r="S4478" s="42" t="s">
        <v>1722</v>
      </c>
      <c r="T4478" s="42" t="s">
        <v>1110</v>
      </c>
      <c r="U4478" s="42" t="s">
        <v>4478</v>
      </c>
      <c r="V4478" s="42" t="s">
        <v>4504</v>
      </c>
      <c r="W4478" s="42" t="s">
        <v>3498</v>
      </c>
      <c r="X4478" s="42" t="s">
        <v>4504</v>
      </c>
      <c r="Y4478" s="42" t="s">
        <v>4504</v>
      </c>
      <c r="AA4478" s="321"/>
      <c r="AB4478" s="321"/>
      <c r="AC4478" s="24" t="s">
        <v>450</v>
      </c>
      <c r="AD4478" s="24">
        <v>8.11</v>
      </c>
      <c r="AE4478" s="24">
        <v>1.2</v>
      </c>
      <c r="AH4478" s="24" t="s">
        <v>158</v>
      </c>
      <c r="AI4478" s="24" t="s">
        <v>577</v>
      </c>
      <c r="AJ4478" s="24" t="s">
        <v>116</v>
      </c>
      <c r="AK4478" s="24" t="s">
        <v>116</v>
      </c>
      <c r="AW4478" s="24" t="s">
        <v>160</v>
      </c>
      <c r="AX4478" s="24">
        <v>3</v>
      </c>
      <c r="AZ4478" s="24" t="s">
        <v>2121</v>
      </c>
      <c r="BE4478" s="24" t="s">
        <v>4507</v>
      </c>
      <c r="BP4478" s="395"/>
      <c r="BQ4478" s="395"/>
      <c r="BU4478" s="395"/>
      <c r="BV4478" s="395"/>
      <c r="BZ4478" s="395"/>
      <c r="CA4478" s="395"/>
      <c r="CE4478" s="548"/>
      <c r="CF4478" s="548"/>
      <c r="CG4478" s="548"/>
      <c r="CH4478" s="548"/>
      <c r="FL4478" s="24">
        <v>154</v>
      </c>
      <c r="FM4478" s="24">
        <v>163</v>
      </c>
      <c r="FP4478" s="24" t="s">
        <v>3248</v>
      </c>
      <c r="JB4478" s="24" t="s">
        <v>4510</v>
      </c>
      <c r="JD4478" s="249"/>
    </row>
    <row r="4479" spans="1:264" s="24" customFormat="1" x14ac:dyDescent="0.25">
      <c r="A4479" s="24">
        <v>194</v>
      </c>
      <c r="B4479" s="42" t="s">
        <v>4502</v>
      </c>
      <c r="C4479" s="24" t="s">
        <v>4475</v>
      </c>
      <c r="D4479" s="24" t="s">
        <v>4476</v>
      </c>
      <c r="E4479" s="24">
        <v>2016</v>
      </c>
      <c r="F4479" s="24">
        <v>2010</v>
      </c>
      <c r="G4479" s="24" t="s">
        <v>4503</v>
      </c>
      <c r="H4479" s="24" t="s">
        <v>4477</v>
      </c>
      <c r="I4479" s="24" t="s">
        <v>3461</v>
      </c>
      <c r="J4479" s="24">
        <f t="shared" si="581"/>
        <v>35.200000000000003</v>
      </c>
      <c r="K4479" s="24">
        <f t="shared" si="582"/>
        <v>107.73333333333333</v>
      </c>
      <c r="L4479" s="24">
        <v>1220</v>
      </c>
      <c r="P4479" s="24">
        <v>589</v>
      </c>
      <c r="R4479" s="42" t="s">
        <v>1847</v>
      </c>
      <c r="S4479" s="42" t="s">
        <v>1722</v>
      </c>
      <c r="T4479" s="42" t="s">
        <v>1110</v>
      </c>
      <c r="U4479" s="42" t="s">
        <v>4478</v>
      </c>
      <c r="V4479" s="42" t="s">
        <v>4504</v>
      </c>
      <c r="W4479" s="42" t="s">
        <v>3498</v>
      </c>
      <c r="X4479" s="42" t="s">
        <v>4504</v>
      </c>
      <c r="Y4479" s="42" t="s">
        <v>4504</v>
      </c>
      <c r="AA4479" s="321"/>
      <c r="AB4479" s="321"/>
      <c r="AC4479" s="24" t="s">
        <v>450</v>
      </c>
      <c r="AD4479" s="24">
        <v>8.11</v>
      </c>
      <c r="AE4479" s="24">
        <v>1.2</v>
      </c>
      <c r="AH4479" s="24" t="s">
        <v>4481</v>
      </c>
      <c r="AI4479" s="24" t="s">
        <v>577</v>
      </c>
      <c r="AJ4479" s="24" t="s">
        <v>116</v>
      </c>
      <c r="AK4479" s="24" t="s">
        <v>116</v>
      </c>
      <c r="AW4479" s="24" t="s">
        <v>160</v>
      </c>
      <c r="AX4479" s="24">
        <v>3</v>
      </c>
      <c r="AZ4479" s="24" t="s">
        <v>2121</v>
      </c>
      <c r="BE4479" s="24" t="s">
        <v>4507</v>
      </c>
      <c r="BP4479" s="395"/>
      <c r="BQ4479" s="395"/>
      <c r="BU4479" s="395"/>
      <c r="BV4479" s="395"/>
      <c r="BZ4479" s="395"/>
      <c r="CA4479" s="395"/>
      <c r="CE4479" s="548"/>
      <c r="CF4479" s="548"/>
      <c r="CG4479" s="548"/>
      <c r="CH4479" s="548"/>
      <c r="FL4479" s="24">
        <v>154</v>
      </c>
      <c r="FM4479" s="24">
        <v>154</v>
      </c>
      <c r="FP4479" s="24" t="s">
        <v>3248</v>
      </c>
      <c r="JB4479" s="24" t="s">
        <v>4510</v>
      </c>
      <c r="JD4479" s="249"/>
    </row>
    <row r="4480" spans="1:264" s="105" customFormat="1" x14ac:dyDescent="0.25">
      <c r="A4480" s="105">
        <v>194</v>
      </c>
      <c r="B4480" s="106" t="s">
        <v>4508</v>
      </c>
      <c r="C4480" s="105" t="s">
        <v>4475</v>
      </c>
      <c r="D4480" s="105" t="s">
        <v>4476</v>
      </c>
      <c r="E4480" s="105">
        <v>2016</v>
      </c>
      <c r="F4480" s="105">
        <v>2010</v>
      </c>
      <c r="G4480" s="105" t="s">
        <v>4503</v>
      </c>
      <c r="H4480" s="105" t="s">
        <v>4477</v>
      </c>
      <c r="I4480" s="105" t="s">
        <v>3461</v>
      </c>
      <c r="J4480" s="105">
        <f t="shared" si="581"/>
        <v>35.200000000000003</v>
      </c>
      <c r="K4480" s="105">
        <f t="shared" si="582"/>
        <v>107.73333333333333</v>
      </c>
      <c r="L4480" s="105">
        <v>1220</v>
      </c>
      <c r="P4480" s="105">
        <v>589</v>
      </c>
      <c r="R4480" s="106" t="s">
        <v>1847</v>
      </c>
      <c r="S4480" s="106" t="s">
        <v>1722</v>
      </c>
      <c r="T4480" s="106" t="s">
        <v>1110</v>
      </c>
      <c r="U4480" s="106" t="s">
        <v>4478</v>
      </c>
      <c r="V4480" s="106" t="s">
        <v>4509</v>
      </c>
      <c r="W4480" s="106" t="s">
        <v>3498</v>
      </c>
      <c r="X4480" s="106" t="s">
        <v>4509</v>
      </c>
      <c r="Y4480" s="106" t="s">
        <v>4509</v>
      </c>
      <c r="AA4480" s="354"/>
      <c r="AB4480" s="354"/>
      <c r="AC4480" s="105" t="s">
        <v>450</v>
      </c>
      <c r="AD4480" s="105">
        <v>8.11</v>
      </c>
      <c r="AE4480" s="105">
        <v>1.2</v>
      </c>
      <c r="AH4480" s="105" t="s">
        <v>4480</v>
      </c>
      <c r="AI4480" s="105" t="s">
        <v>577</v>
      </c>
      <c r="AJ4480" s="105" t="s">
        <v>116</v>
      </c>
      <c r="AK4480" s="105" t="s">
        <v>116</v>
      </c>
      <c r="AW4480" s="105" t="s">
        <v>160</v>
      </c>
      <c r="AX4480" s="105">
        <v>3</v>
      </c>
      <c r="AZ4480" s="105" t="s">
        <v>2121</v>
      </c>
      <c r="BE4480" s="105" t="s">
        <v>4505</v>
      </c>
      <c r="BP4480" s="429"/>
      <c r="BQ4480" s="429"/>
      <c r="BU4480" s="429"/>
      <c r="BV4480" s="429"/>
      <c r="BZ4480" s="429"/>
      <c r="CA4480" s="429"/>
      <c r="CE4480" s="582"/>
      <c r="CF4480" s="582"/>
      <c r="CG4480" s="582"/>
      <c r="CH4480" s="582"/>
      <c r="FL4480" s="105">
        <v>15.5</v>
      </c>
      <c r="FM4480" s="105">
        <v>3.65</v>
      </c>
      <c r="FP4480" s="105" t="s">
        <v>3248</v>
      </c>
      <c r="JB4480" s="105" t="s">
        <v>4510</v>
      </c>
      <c r="JD4480" s="499"/>
    </row>
    <row r="4481" spans="1:264" s="105" customFormat="1" x14ac:dyDescent="0.25">
      <c r="A4481" s="105">
        <v>194</v>
      </c>
      <c r="B4481" s="106" t="s">
        <v>4508</v>
      </c>
      <c r="C4481" s="105" t="s">
        <v>4475</v>
      </c>
      <c r="D4481" s="105" t="s">
        <v>4476</v>
      </c>
      <c r="E4481" s="105">
        <v>2016</v>
      </c>
      <c r="F4481" s="105">
        <v>2010</v>
      </c>
      <c r="G4481" s="105" t="s">
        <v>4503</v>
      </c>
      <c r="H4481" s="105" t="s">
        <v>4477</v>
      </c>
      <c r="I4481" s="105" t="s">
        <v>3461</v>
      </c>
      <c r="J4481" s="105">
        <f t="shared" si="581"/>
        <v>35.200000000000003</v>
      </c>
      <c r="K4481" s="105">
        <f t="shared" si="582"/>
        <v>107.73333333333333</v>
      </c>
      <c r="L4481" s="105">
        <v>1220</v>
      </c>
      <c r="P4481" s="105">
        <v>589</v>
      </c>
      <c r="R4481" s="106" t="s">
        <v>1847</v>
      </c>
      <c r="S4481" s="106" t="s">
        <v>1722</v>
      </c>
      <c r="T4481" s="106" t="s">
        <v>1110</v>
      </c>
      <c r="U4481" s="106" t="s">
        <v>4478</v>
      </c>
      <c r="V4481" s="106" t="s">
        <v>4509</v>
      </c>
      <c r="W4481" s="106" t="s">
        <v>3498</v>
      </c>
      <c r="X4481" s="106" t="s">
        <v>4509</v>
      </c>
      <c r="Y4481" s="106" t="s">
        <v>4509</v>
      </c>
      <c r="AA4481" s="354"/>
      <c r="AB4481" s="354"/>
      <c r="AC4481" s="105" t="s">
        <v>450</v>
      </c>
      <c r="AD4481" s="105">
        <v>8.11</v>
      </c>
      <c r="AE4481" s="105">
        <v>1.2</v>
      </c>
      <c r="AH4481" s="105" t="s">
        <v>158</v>
      </c>
      <c r="AI4481" s="105" t="s">
        <v>577</v>
      </c>
      <c r="AJ4481" s="105" t="s">
        <v>116</v>
      </c>
      <c r="AK4481" s="105" t="s">
        <v>116</v>
      </c>
      <c r="AW4481" s="105" t="s">
        <v>160</v>
      </c>
      <c r="AX4481" s="105">
        <v>3</v>
      </c>
      <c r="AZ4481" s="105" t="s">
        <v>2121</v>
      </c>
      <c r="BE4481" s="105" t="s">
        <v>4505</v>
      </c>
      <c r="BP4481" s="429"/>
      <c r="BQ4481" s="429"/>
      <c r="BU4481" s="429"/>
      <c r="BV4481" s="429"/>
      <c r="BZ4481" s="429"/>
      <c r="CA4481" s="429"/>
      <c r="CE4481" s="582"/>
      <c r="CF4481" s="582"/>
      <c r="CG4481" s="582"/>
      <c r="CH4481" s="582"/>
      <c r="FL4481" s="105">
        <v>15.5</v>
      </c>
      <c r="FM4481" s="105">
        <v>3.46</v>
      </c>
      <c r="FP4481" s="105" t="s">
        <v>3248</v>
      </c>
      <c r="JB4481" s="105" t="s">
        <v>4510</v>
      </c>
      <c r="JD4481" s="499"/>
    </row>
    <row r="4482" spans="1:264" s="105" customFormat="1" x14ac:dyDescent="0.25">
      <c r="A4482" s="105">
        <v>194</v>
      </c>
      <c r="B4482" s="106" t="s">
        <v>4508</v>
      </c>
      <c r="C4482" s="105" t="s">
        <v>4475</v>
      </c>
      <c r="D4482" s="105" t="s">
        <v>4476</v>
      </c>
      <c r="E4482" s="105">
        <v>2016</v>
      </c>
      <c r="F4482" s="105">
        <v>2010</v>
      </c>
      <c r="G4482" s="105" t="s">
        <v>4503</v>
      </c>
      <c r="H4482" s="105" t="s">
        <v>4477</v>
      </c>
      <c r="I4482" s="105" t="s">
        <v>3461</v>
      </c>
      <c r="J4482" s="105">
        <f t="shared" si="581"/>
        <v>35.200000000000003</v>
      </c>
      <c r="K4482" s="105">
        <f t="shared" si="582"/>
        <v>107.73333333333333</v>
      </c>
      <c r="L4482" s="105">
        <v>1220</v>
      </c>
      <c r="P4482" s="105">
        <v>589</v>
      </c>
      <c r="R4482" s="106" t="s">
        <v>1847</v>
      </c>
      <c r="S4482" s="106" t="s">
        <v>1722</v>
      </c>
      <c r="T4482" s="106" t="s">
        <v>1110</v>
      </c>
      <c r="U4482" s="106" t="s">
        <v>4478</v>
      </c>
      <c r="V4482" s="106" t="s">
        <v>4509</v>
      </c>
      <c r="W4482" s="106" t="s">
        <v>3498</v>
      </c>
      <c r="X4482" s="106" t="s">
        <v>4509</v>
      </c>
      <c r="Y4482" s="106" t="s">
        <v>4509</v>
      </c>
      <c r="AA4482" s="354"/>
      <c r="AB4482" s="354"/>
      <c r="AC4482" s="105" t="s">
        <v>450</v>
      </c>
      <c r="AD4482" s="105">
        <v>8.11</v>
      </c>
      <c r="AE4482" s="105">
        <v>1.2</v>
      </c>
      <c r="AH4482" s="105" t="s">
        <v>4481</v>
      </c>
      <c r="AI4482" s="105" t="s">
        <v>577</v>
      </c>
      <c r="AJ4482" s="105" t="s">
        <v>116</v>
      </c>
      <c r="AK4482" s="105" t="s">
        <v>116</v>
      </c>
      <c r="AW4482" s="105" t="s">
        <v>160</v>
      </c>
      <c r="AX4482" s="105">
        <v>3</v>
      </c>
      <c r="AZ4482" s="105" t="s">
        <v>2121</v>
      </c>
      <c r="BE4482" s="105" t="s">
        <v>4505</v>
      </c>
      <c r="BP4482" s="429"/>
      <c r="BQ4482" s="429"/>
      <c r="BU4482" s="429"/>
      <c r="BV4482" s="429"/>
      <c r="BZ4482" s="429"/>
      <c r="CA4482" s="429"/>
      <c r="CE4482" s="582"/>
      <c r="CF4482" s="582"/>
      <c r="CG4482" s="582"/>
      <c r="CH4482" s="582"/>
      <c r="FL4482" s="105">
        <v>15.5</v>
      </c>
      <c r="FM4482" s="105">
        <v>12.7</v>
      </c>
      <c r="FP4482" s="105" t="s">
        <v>3248</v>
      </c>
      <c r="JB4482" s="105" t="s">
        <v>4510</v>
      </c>
      <c r="JD4482" s="499"/>
    </row>
    <row r="4483" spans="1:264" s="101" customFormat="1" x14ac:dyDescent="0.25">
      <c r="A4483" s="101">
        <v>194</v>
      </c>
      <c r="B4483" s="102" t="s">
        <v>4508</v>
      </c>
      <c r="C4483" s="101" t="s">
        <v>4475</v>
      </c>
      <c r="D4483" s="101" t="s">
        <v>4476</v>
      </c>
      <c r="E4483" s="101">
        <v>2016</v>
      </c>
      <c r="F4483" s="101">
        <v>2010</v>
      </c>
      <c r="G4483" s="101" t="s">
        <v>4503</v>
      </c>
      <c r="H4483" s="101" t="s">
        <v>4477</v>
      </c>
      <c r="I4483" s="101" t="s">
        <v>3461</v>
      </c>
      <c r="J4483" s="101">
        <f t="shared" si="581"/>
        <v>35.200000000000003</v>
      </c>
      <c r="K4483" s="101">
        <f t="shared" si="582"/>
        <v>107.73333333333333</v>
      </c>
      <c r="L4483" s="101">
        <v>1220</v>
      </c>
      <c r="P4483" s="101">
        <v>589</v>
      </c>
      <c r="R4483" s="102" t="s">
        <v>1847</v>
      </c>
      <c r="S4483" s="102" t="s">
        <v>1722</v>
      </c>
      <c r="T4483" s="102" t="s">
        <v>1110</v>
      </c>
      <c r="U4483" s="102" t="s">
        <v>4478</v>
      </c>
      <c r="V4483" s="102" t="s">
        <v>4509</v>
      </c>
      <c r="W4483" s="102" t="s">
        <v>3498</v>
      </c>
      <c r="X4483" s="102" t="s">
        <v>4509</v>
      </c>
      <c r="Y4483" s="102" t="s">
        <v>4509</v>
      </c>
      <c r="AA4483" s="352"/>
      <c r="AB4483" s="352"/>
      <c r="AC4483" s="101" t="s">
        <v>450</v>
      </c>
      <c r="AD4483" s="101">
        <v>8.11</v>
      </c>
      <c r="AE4483" s="101">
        <v>1.2</v>
      </c>
      <c r="AH4483" s="101" t="s">
        <v>4480</v>
      </c>
      <c r="AI4483" s="101" t="s">
        <v>577</v>
      </c>
      <c r="AJ4483" s="101" t="s">
        <v>116</v>
      </c>
      <c r="AK4483" s="101" t="s">
        <v>116</v>
      </c>
      <c r="AW4483" s="101" t="s">
        <v>160</v>
      </c>
      <c r="AX4483" s="101">
        <v>3</v>
      </c>
      <c r="AZ4483" s="101" t="s">
        <v>2121</v>
      </c>
      <c r="BE4483" s="101" t="s">
        <v>4506</v>
      </c>
      <c r="BP4483" s="427"/>
      <c r="BQ4483" s="427"/>
      <c r="BU4483" s="427"/>
      <c r="BV4483" s="427"/>
      <c r="BZ4483" s="427"/>
      <c r="CA4483" s="427"/>
      <c r="CE4483" s="580"/>
      <c r="CF4483" s="580"/>
      <c r="CG4483" s="580"/>
      <c r="CH4483" s="580"/>
      <c r="FL4483" s="101">
        <v>86.2</v>
      </c>
      <c r="FM4483" s="101">
        <v>83.8</v>
      </c>
      <c r="FP4483" s="101" t="s">
        <v>3248</v>
      </c>
      <c r="JB4483" s="101" t="s">
        <v>4510</v>
      </c>
      <c r="JD4483" s="177"/>
    </row>
    <row r="4484" spans="1:264" s="101" customFormat="1" x14ac:dyDescent="0.25">
      <c r="A4484" s="101">
        <v>194</v>
      </c>
      <c r="B4484" s="102" t="s">
        <v>4508</v>
      </c>
      <c r="C4484" s="101" t="s">
        <v>4475</v>
      </c>
      <c r="D4484" s="101" t="s">
        <v>4476</v>
      </c>
      <c r="E4484" s="101">
        <v>2016</v>
      </c>
      <c r="F4484" s="101">
        <v>2010</v>
      </c>
      <c r="G4484" s="101" t="s">
        <v>4503</v>
      </c>
      <c r="H4484" s="101" t="s">
        <v>4477</v>
      </c>
      <c r="I4484" s="101" t="s">
        <v>3461</v>
      </c>
      <c r="J4484" s="101">
        <f t="shared" si="581"/>
        <v>35.200000000000003</v>
      </c>
      <c r="K4484" s="101">
        <f t="shared" si="582"/>
        <v>107.73333333333333</v>
      </c>
      <c r="L4484" s="101">
        <v>1220</v>
      </c>
      <c r="P4484" s="101">
        <v>589</v>
      </c>
      <c r="R4484" s="102" t="s">
        <v>1847</v>
      </c>
      <c r="S4484" s="102" t="s">
        <v>1722</v>
      </c>
      <c r="T4484" s="102" t="s">
        <v>1110</v>
      </c>
      <c r="U4484" s="102" t="s">
        <v>4478</v>
      </c>
      <c r="V4484" s="102" t="s">
        <v>4509</v>
      </c>
      <c r="W4484" s="102" t="s">
        <v>3498</v>
      </c>
      <c r="X4484" s="102" t="s">
        <v>4509</v>
      </c>
      <c r="Y4484" s="102" t="s">
        <v>4509</v>
      </c>
      <c r="AA4484" s="352"/>
      <c r="AB4484" s="352"/>
      <c r="AC4484" s="101" t="s">
        <v>450</v>
      </c>
      <c r="AD4484" s="101">
        <v>8.11</v>
      </c>
      <c r="AE4484" s="101">
        <v>1.2</v>
      </c>
      <c r="AH4484" s="101" t="s">
        <v>158</v>
      </c>
      <c r="AI4484" s="101" t="s">
        <v>577</v>
      </c>
      <c r="AJ4484" s="101" t="s">
        <v>116</v>
      </c>
      <c r="AK4484" s="101" t="s">
        <v>116</v>
      </c>
      <c r="AW4484" s="101" t="s">
        <v>160</v>
      </c>
      <c r="AX4484" s="101">
        <v>3</v>
      </c>
      <c r="AZ4484" s="101" t="s">
        <v>2121</v>
      </c>
      <c r="BE4484" s="101" t="s">
        <v>4506</v>
      </c>
      <c r="BP4484" s="427"/>
      <c r="BQ4484" s="427"/>
      <c r="BU4484" s="427"/>
      <c r="BV4484" s="427"/>
      <c r="BZ4484" s="427"/>
      <c r="CA4484" s="427"/>
      <c r="CE4484" s="580"/>
      <c r="CF4484" s="580"/>
      <c r="CG4484" s="580"/>
      <c r="CH4484" s="580"/>
      <c r="FL4484" s="101">
        <v>86.2</v>
      </c>
      <c r="FM4484" s="101">
        <v>88.7</v>
      </c>
      <c r="FP4484" s="101" t="s">
        <v>3248</v>
      </c>
      <c r="JB4484" s="101" t="s">
        <v>4510</v>
      </c>
      <c r="JD4484" s="177"/>
    </row>
    <row r="4485" spans="1:264" s="101" customFormat="1" x14ac:dyDescent="0.25">
      <c r="A4485" s="101">
        <v>194</v>
      </c>
      <c r="B4485" s="102" t="s">
        <v>4508</v>
      </c>
      <c r="C4485" s="101" t="s">
        <v>4475</v>
      </c>
      <c r="D4485" s="101" t="s">
        <v>4476</v>
      </c>
      <c r="E4485" s="101">
        <v>2016</v>
      </c>
      <c r="F4485" s="101">
        <v>2010</v>
      </c>
      <c r="G4485" s="101" t="s">
        <v>4503</v>
      </c>
      <c r="H4485" s="101" t="s">
        <v>4477</v>
      </c>
      <c r="I4485" s="101" t="s">
        <v>3461</v>
      </c>
      <c r="J4485" s="101">
        <f t="shared" si="581"/>
        <v>35.200000000000003</v>
      </c>
      <c r="K4485" s="101">
        <f t="shared" si="582"/>
        <v>107.73333333333333</v>
      </c>
      <c r="L4485" s="101">
        <v>1220</v>
      </c>
      <c r="P4485" s="101">
        <v>589</v>
      </c>
      <c r="R4485" s="102" t="s">
        <v>1847</v>
      </c>
      <c r="S4485" s="102" t="s">
        <v>1722</v>
      </c>
      <c r="T4485" s="102" t="s">
        <v>1110</v>
      </c>
      <c r="U4485" s="102" t="s">
        <v>4478</v>
      </c>
      <c r="V4485" s="102" t="s">
        <v>4509</v>
      </c>
      <c r="W4485" s="102" t="s">
        <v>3498</v>
      </c>
      <c r="X4485" s="102" t="s">
        <v>4509</v>
      </c>
      <c r="Y4485" s="102" t="s">
        <v>4509</v>
      </c>
      <c r="AA4485" s="352"/>
      <c r="AB4485" s="352"/>
      <c r="AC4485" s="101" t="s">
        <v>450</v>
      </c>
      <c r="AD4485" s="101">
        <v>8.11</v>
      </c>
      <c r="AE4485" s="101">
        <v>1.2</v>
      </c>
      <c r="AH4485" s="101" t="s">
        <v>4481</v>
      </c>
      <c r="AI4485" s="101" t="s">
        <v>577</v>
      </c>
      <c r="AJ4485" s="101" t="s">
        <v>116</v>
      </c>
      <c r="AK4485" s="101" t="s">
        <v>116</v>
      </c>
      <c r="AW4485" s="101" t="s">
        <v>160</v>
      </c>
      <c r="AX4485" s="101">
        <v>3</v>
      </c>
      <c r="AZ4485" s="101" t="s">
        <v>2121</v>
      </c>
      <c r="BE4485" s="101" t="s">
        <v>4506</v>
      </c>
      <c r="BP4485" s="427"/>
      <c r="BQ4485" s="427"/>
      <c r="BU4485" s="427"/>
      <c r="BV4485" s="427"/>
      <c r="BZ4485" s="427"/>
      <c r="CA4485" s="427"/>
      <c r="CE4485" s="580"/>
      <c r="CF4485" s="580"/>
      <c r="CG4485" s="580"/>
      <c r="CH4485" s="580"/>
      <c r="FL4485" s="101">
        <v>86.2</v>
      </c>
      <c r="FM4485" s="101">
        <v>77.3</v>
      </c>
      <c r="FP4485" s="101" t="s">
        <v>3248</v>
      </c>
      <c r="JB4485" s="101" t="s">
        <v>4510</v>
      </c>
      <c r="JD4485" s="177"/>
    </row>
    <row r="4486" spans="1:264" s="105" customFormat="1" x14ac:dyDescent="0.25">
      <c r="A4486" s="105">
        <v>194</v>
      </c>
      <c r="B4486" s="106" t="s">
        <v>4508</v>
      </c>
      <c r="C4486" s="105" t="s">
        <v>4475</v>
      </c>
      <c r="D4486" s="105" t="s">
        <v>4476</v>
      </c>
      <c r="E4486" s="105">
        <v>2016</v>
      </c>
      <c r="F4486" s="105">
        <v>2010</v>
      </c>
      <c r="G4486" s="105" t="s">
        <v>4503</v>
      </c>
      <c r="H4486" s="105" t="s">
        <v>4477</v>
      </c>
      <c r="I4486" s="105" t="s">
        <v>3461</v>
      </c>
      <c r="J4486" s="105">
        <f t="shared" si="581"/>
        <v>35.200000000000003</v>
      </c>
      <c r="K4486" s="105">
        <f t="shared" si="582"/>
        <v>107.73333333333333</v>
      </c>
      <c r="L4486" s="105">
        <v>1220</v>
      </c>
      <c r="P4486" s="105">
        <v>589</v>
      </c>
      <c r="R4486" s="106" t="s">
        <v>1847</v>
      </c>
      <c r="S4486" s="106" t="s">
        <v>1722</v>
      </c>
      <c r="T4486" s="106" t="s">
        <v>1110</v>
      </c>
      <c r="U4486" s="106" t="s">
        <v>4478</v>
      </c>
      <c r="V4486" s="106" t="s">
        <v>4509</v>
      </c>
      <c r="W4486" s="106" t="s">
        <v>3498</v>
      </c>
      <c r="X4486" s="106" t="s">
        <v>4509</v>
      </c>
      <c r="Y4486" s="106" t="s">
        <v>4509</v>
      </c>
      <c r="AA4486" s="354"/>
      <c r="AB4486" s="354"/>
      <c r="AC4486" s="105" t="s">
        <v>450</v>
      </c>
      <c r="AD4486" s="105">
        <v>8.11</v>
      </c>
      <c r="AE4486" s="105">
        <v>1.2</v>
      </c>
      <c r="AH4486" s="105" t="s">
        <v>4480</v>
      </c>
      <c r="AI4486" s="105" t="s">
        <v>577</v>
      </c>
      <c r="AJ4486" s="105" t="s">
        <v>116</v>
      </c>
      <c r="AK4486" s="105" t="s">
        <v>116</v>
      </c>
      <c r="AW4486" s="105" t="s">
        <v>160</v>
      </c>
      <c r="AX4486" s="105">
        <v>3</v>
      </c>
      <c r="AZ4486" s="105" t="s">
        <v>2121</v>
      </c>
      <c r="BE4486" s="105" t="s">
        <v>4507</v>
      </c>
      <c r="BP4486" s="429"/>
      <c r="BQ4486" s="429"/>
      <c r="BU4486" s="429"/>
      <c r="BV4486" s="429"/>
      <c r="BZ4486" s="429"/>
      <c r="CA4486" s="429"/>
      <c r="CE4486" s="582"/>
      <c r="CF4486" s="582"/>
      <c r="CG4486" s="582"/>
      <c r="CH4486" s="582"/>
      <c r="FL4486" s="105">
        <v>111</v>
      </c>
      <c r="FM4486" s="105">
        <v>94.2</v>
      </c>
      <c r="FP4486" s="105" t="s">
        <v>3248</v>
      </c>
      <c r="JB4486" s="105" t="s">
        <v>4510</v>
      </c>
      <c r="JD4486" s="499"/>
    </row>
    <row r="4487" spans="1:264" s="105" customFormat="1" x14ac:dyDescent="0.25">
      <c r="A4487" s="105">
        <v>194</v>
      </c>
      <c r="B4487" s="106" t="s">
        <v>4508</v>
      </c>
      <c r="C4487" s="105" t="s">
        <v>4475</v>
      </c>
      <c r="D4487" s="105" t="s">
        <v>4476</v>
      </c>
      <c r="E4487" s="105">
        <v>2016</v>
      </c>
      <c r="F4487" s="105">
        <v>2010</v>
      </c>
      <c r="G4487" s="105" t="s">
        <v>4503</v>
      </c>
      <c r="H4487" s="105" t="s">
        <v>4477</v>
      </c>
      <c r="I4487" s="105" t="s">
        <v>3461</v>
      </c>
      <c r="J4487" s="105">
        <f t="shared" si="581"/>
        <v>35.200000000000003</v>
      </c>
      <c r="K4487" s="105">
        <f t="shared" si="582"/>
        <v>107.73333333333333</v>
      </c>
      <c r="L4487" s="105">
        <v>1220</v>
      </c>
      <c r="P4487" s="105">
        <v>589</v>
      </c>
      <c r="R4487" s="106" t="s">
        <v>1847</v>
      </c>
      <c r="S4487" s="106" t="s">
        <v>1722</v>
      </c>
      <c r="T4487" s="106" t="s">
        <v>1110</v>
      </c>
      <c r="U4487" s="106" t="s">
        <v>4478</v>
      </c>
      <c r="V4487" s="106" t="s">
        <v>4509</v>
      </c>
      <c r="W4487" s="106" t="s">
        <v>3498</v>
      </c>
      <c r="X4487" s="106" t="s">
        <v>4509</v>
      </c>
      <c r="Y4487" s="106" t="s">
        <v>4509</v>
      </c>
      <c r="AA4487" s="354"/>
      <c r="AB4487" s="354"/>
      <c r="AC4487" s="105" t="s">
        <v>450</v>
      </c>
      <c r="AD4487" s="105">
        <v>8.11</v>
      </c>
      <c r="AE4487" s="105">
        <v>1.2</v>
      </c>
      <c r="AH4487" s="105" t="s">
        <v>158</v>
      </c>
      <c r="AI4487" s="105" t="s">
        <v>577</v>
      </c>
      <c r="AJ4487" s="105" t="s">
        <v>116</v>
      </c>
      <c r="AK4487" s="105" t="s">
        <v>116</v>
      </c>
      <c r="AW4487" s="105" t="s">
        <v>160</v>
      </c>
      <c r="AX4487" s="105">
        <v>3</v>
      </c>
      <c r="AZ4487" s="105" t="s">
        <v>2121</v>
      </c>
      <c r="BE4487" s="105" t="s">
        <v>4507</v>
      </c>
      <c r="BP4487" s="429"/>
      <c r="BQ4487" s="429"/>
      <c r="BU4487" s="429"/>
      <c r="BV4487" s="429"/>
      <c r="BZ4487" s="429"/>
      <c r="CA4487" s="429"/>
      <c r="CE4487" s="582"/>
      <c r="CF4487" s="582"/>
      <c r="CG4487" s="582"/>
      <c r="CH4487" s="582"/>
      <c r="FL4487" s="105">
        <v>111</v>
      </c>
      <c r="FM4487" s="105">
        <v>92.6</v>
      </c>
      <c r="FP4487" s="105" t="s">
        <v>3248</v>
      </c>
      <c r="JB4487" s="105" t="s">
        <v>4510</v>
      </c>
      <c r="JD4487" s="499"/>
    </row>
    <row r="4488" spans="1:264" s="105" customFormat="1" x14ac:dyDescent="0.25">
      <c r="A4488" s="105">
        <v>194</v>
      </c>
      <c r="B4488" s="106" t="s">
        <v>4508</v>
      </c>
      <c r="C4488" s="105" t="s">
        <v>4475</v>
      </c>
      <c r="D4488" s="105" t="s">
        <v>4476</v>
      </c>
      <c r="E4488" s="105">
        <v>2016</v>
      </c>
      <c r="F4488" s="105">
        <v>2010</v>
      </c>
      <c r="G4488" s="105" t="s">
        <v>4503</v>
      </c>
      <c r="H4488" s="105" t="s">
        <v>4477</v>
      </c>
      <c r="I4488" s="105" t="s">
        <v>3461</v>
      </c>
      <c r="J4488" s="105">
        <f t="shared" si="581"/>
        <v>35.200000000000003</v>
      </c>
      <c r="K4488" s="105">
        <f t="shared" si="582"/>
        <v>107.73333333333333</v>
      </c>
      <c r="L4488" s="105">
        <v>1220</v>
      </c>
      <c r="P4488" s="105">
        <v>589</v>
      </c>
      <c r="R4488" s="106" t="s">
        <v>1847</v>
      </c>
      <c r="S4488" s="106" t="s">
        <v>1722</v>
      </c>
      <c r="T4488" s="106" t="s">
        <v>1110</v>
      </c>
      <c r="U4488" s="106" t="s">
        <v>4478</v>
      </c>
      <c r="V4488" s="106" t="s">
        <v>4509</v>
      </c>
      <c r="W4488" s="106" t="s">
        <v>3498</v>
      </c>
      <c r="X4488" s="106" t="s">
        <v>4509</v>
      </c>
      <c r="Y4488" s="106" t="s">
        <v>4509</v>
      </c>
      <c r="AA4488" s="354"/>
      <c r="AB4488" s="354"/>
      <c r="AC4488" s="105" t="s">
        <v>450</v>
      </c>
      <c r="AD4488" s="105">
        <v>8.11</v>
      </c>
      <c r="AE4488" s="105">
        <v>1.2</v>
      </c>
      <c r="AH4488" s="105" t="s">
        <v>4481</v>
      </c>
      <c r="AI4488" s="105" t="s">
        <v>577</v>
      </c>
      <c r="AJ4488" s="105" t="s">
        <v>116</v>
      </c>
      <c r="AK4488" s="105" t="s">
        <v>116</v>
      </c>
      <c r="AW4488" s="105" t="s">
        <v>160</v>
      </c>
      <c r="AX4488" s="105">
        <v>3</v>
      </c>
      <c r="AZ4488" s="105" t="s">
        <v>2121</v>
      </c>
      <c r="BE4488" s="105" t="s">
        <v>4507</v>
      </c>
      <c r="BP4488" s="429"/>
      <c r="BQ4488" s="429"/>
      <c r="BU4488" s="429"/>
      <c r="BV4488" s="429"/>
      <c r="BZ4488" s="429"/>
      <c r="CA4488" s="429"/>
      <c r="CE4488" s="582"/>
      <c r="CF4488" s="582"/>
      <c r="CG4488" s="582"/>
      <c r="CH4488" s="582"/>
      <c r="FL4488" s="105">
        <v>111</v>
      </c>
      <c r="FM4488" s="105">
        <v>94.9</v>
      </c>
      <c r="FP4488" s="105" t="s">
        <v>3248</v>
      </c>
      <c r="JB4488" s="105" t="s">
        <v>4510</v>
      </c>
      <c r="JD4488" s="499"/>
    </row>
    <row r="4489" spans="1:264" s="24" customFormat="1" x14ac:dyDescent="0.25">
      <c r="A4489" s="24">
        <v>194</v>
      </c>
      <c r="B4489" s="42" t="s">
        <v>4502</v>
      </c>
      <c r="C4489" s="24" t="s">
        <v>4475</v>
      </c>
      <c r="D4489" s="24" t="s">
        <v>4476</v>
      </c>
      <c r="E4489" s="24">
        <v>2016</v>
      </c>
      <c r="F4489" s="24">
        <v>2010</v>
      </c>
      <c r="G4489" s="24" t="s">
        <v>4503</v>
      </c>
      <c r="H4489" s="24" t="s">
        <v>4477</v>
      </c>
      <c r="I4489" s="24" t="s">
        <v>3461</v>
      </c>
      <c r="J4489" s="24">
        <f t="shared" si="581"/>
        <v>35.200000000000003</v>
      </c>
      <c r="K4489" s="24">
        <f t="shared" si="582"/>
        <v>107.73333333333333</v>
      </c>
      <c r="L4489" s="24">
        <v>1220</v>
      </c>
      <c r="P4489" s="24">
        <v>589</v>
      </c>
      <c r="R4489" s="42" t="s">
        <v>1847</v>
      </c>
      <c r="S4489" s="42" t="s">
        <v>1722</v>
      </c>
      <c r="T4489" s="42" t="s">
        <v>1110</v>
      </c>
      <c r="U4489" s="42" t="s">
        <v>4478</v>
      </c>
      <c r="V4489" s="42" t="s">
        <v>4504</v>
      </c>
      <c r="W4489" s="42" t="s">
        <v>3498</v>
      </c>
      <c r="X4489" s="42" t="s">
        <v>4504</v>
      </c>
      <c r="Y4489" s="42" t="s">
        <v>4504</v>
      </c>
      <c r="AA4489" s="321"/>
      <c r="AB4489" s="321"/>
      <c r="AC4489" s="24" t="s">
        <v>450</v>
      </c>
      <c r="AD4489" s="24">
        <v>8.11</v>
      </c>
      <c r="AE4489" s="24">
        <v>1.2</v>
      </c>
      <c r="AH4489" s="24" t="s">
        <v>4480</v>
      </c>
      <c r="AI4489" s="24" t="s">
        <v>577</v>
      </c>
      <c r="AJ4489" s="24" t="s">
        <v>116</v>
      </c>
      <c r="AK4489" s="24" t="s">
        <v>116</v>
      </c>
      <c r="AW4489" s="24" t="s">
        <v>160</v>
      </c>
      <c r="AX4489" s="24">
        <v>3</v>
      </c>
      <c r="AZ4489" s="24" t="s">
        <v>2121</v>
      </c>
      <c r="BE4489" s="24" t="s">
        <v>4505</v>
      </c>
      <c r="BP4489" s="395"/>
      <c r="BQ4489" s="395"/>
      <c r="BU4489" s="395"/>
      <c r="BV4489" s="395"/>
      <c r="BZ4489" s="395"/>
      <c r="CA4489" s="395"/>
      <c r="CE4489" s="548"/>
      <c r="CF4489" s="548"/>
      <c r="CG4489" s="548"/>
      <c r="CH4489" s="548"/>
      <c r="FL4489" s="24">
        <v>147</v>
      </c>
      <c r="FM4489" s="24">
        <v>126</v>
      </c>
      <c r="FP4489" s="24" t="s">
        <v>3248</v>
      </c>
      <c r="JB4489" s="24" t="s">
        <v>4511</v>
      </c>
      <c r="JD4489" s="249"/>
    </row>
    <row r="4490" spans="1:264" s="24" customFormat="1" x14ac:dyDescent="0.25">
      <c r="A4490" s="24">
        <v>194</v>
      </c>
      <c r="B4490" s="42" t="s">
        <v>4502</v>
      </c>
      <c r="C4490" s="24" t="s">
        <v>4475</v>
      </c>
      <c r="D4490" s="24" t="s">
        <v>4476</v>
      </c>
      <c r="E4490" s="24">
        <v>2016</v>
      </c>
      <c r="F4490" s="24">
        <v>2010</v>
      </c>
      <c r="G4490" s="24" t="s">
        <v>4503</v>
      </c>
      <c r="H4490" s="24" t="s">
        <v>4477</v>
      </c>
      <c r="I4490" s="24" t="s">
        <v>3461</v>
      </c>
      <c r="J4490" s="24">
        <f t="shared" si="581"/>
        <v>35.200000000000003</v>
      </c>
      <c r="K4490" s="24">
        <f t="shared" si="582"/>
        <v>107.73333333333333</v>
      </c>
      <c r="L4490" s="24">
        <v>1220</v>
      </c>
      <c r="P4490" s="24">
        <v>589</v>
      </c>
      <c r="R4490" s="42" t="s">
        <v>1847</v>
      </c>
      <c r="S4490" s="42" t="s">
        <v>1722</v>
      </c>
      <c r="T4490" s="42" t="s">
        <v>1110</v>
      </c>
      <c r="U4490" s="42" t="s">
        <v>4478</v>
      </c>
      <c r="V4490" s="42" t="s">
        <v>4504</v>
      </c>
      <c r="W4490" s="42" t="s">
        <v>3498</v>
      </c>
      <c r="X4490" s="42" t="s">
        <v>4504</v>
      </c>
      <c r="Y4490" s="42" t="s">
        <v>4504</v>
      </c>
      <c r="AA4490" s="321"/>
      <c r="AB4490" s="321"/>
      <c r="AC4490" s="24" t="s">
        <v>450</v>
      </c>
      <c r="AD4490" s="24">
        <v>8.11</v>
      </c>
      <c r="AE4490" s="24">
        <v>1.2</v>
      </c>
      <c r="AH4490" s="24" t="s">
        <v>158</v>
      </c>
      <c r="AI4490" s="24" t="s">
        <v>577</v>
      </c>
      <c r="AJ4490" s="24" t="s">
        <v>116</v>
      </c>
      <c r="AK4490" s="24" t="s">
        <v>116</v>
      </c>
      <c r="AW4490" s="24" t="s">
        <v>160</v>
      </c>
      <c r="AX4490" s="24">
        <v>3</v>
      </c>
      <c r="AZ4490" s="24" t="s">
        <v>2121</v>
      </c>
      <c r="BE4490" s="24" t="s">
        <v>4505</v>
      </c>
      <c r="BP4490" s="395"/>
      <c r="BQ4490" s="395"/>
      <c r="BU4490" s="395"/>
      <c r="BV4490" s="395"/>
      <c r="BZ4490" s="395"/>
      <c r="CA4490" s="395"/>
      <c r="CE4490" s="548"/>
      <c r="CF4490" s="548"/>
      <c r="CG4490" s="548"/>
      <c r="CH4490" s="548"/>
      <c r="FL4490" s="24">
        <v>147</v>
      </c>
      <c r="FM4490" s="24">
        <v>129</v>
      </c>
      <c r="FP4490" s="24" t="s">
        <v>3248</v>
      </c>
      <c r="JB4490" s="24" t="s">
        <v>4511</v>
      </c>
      <c r="JD4490" s="249"/>
    </row>
    <row r="4491" spans="1:264" s="24" customFormat="1" x14ac:dyDescent="0.25">
      <c r="A4491" s="24">
        <v>194</v>
      </c>
      <c r="B4491" s="42" t="s">
        <v>4502</v>
      </c>
      <c r="C4491" s="24" t="s">
        <v>4475</v>
      </c>
      <c r="D4491" s="24" t="s">
        <v>4476</v>
      </c>
      <c r="E4491" s="24">
        <v>2016</v>
      </c>
      <c r="F4491" s="24">
        <v>2010</v>
      </c>
      <c r="G4491" s="24" t="s">
        <v>4503</v>
      </c>
      <c r="H4491" s="24" t="s">
        <v>4477</v>
      </c>
      <c r="I4491" s="24" t="s">
        <v>3461</v>
      </c>
      <c r="J4491" s="24">
        <f t="shared" si="581"/>
        <v>35.200000000000003</v>
      </c>
      <c r="K4491" s="24">
        <f t="shared" si="582"/>
        <v>107.73333333333333</v>
      </c>
      <c r="L4491" s="24">
        <v>1220</v>
      </c>
      <c r="P4491" s="24">
        <v>589</v>
      </c>
      <c r="R4491" s="42" t="s">
        <v>1847</v>
      </c>
      <c r="S4491" s="42" t="s">
        <v>1722</v>
      </c>
      <c r="T4491" s="42" t="s">
        <v>1110</v>
      </c>
      <c r="U4491" s="42" t="s">
        <v>4478</v>
      </c>
      <c r="V4491" s="42" t="s">
        <v>4504</v>
      </c>
      <c r="W4491" s="42" t="s">
        <v>3498</v>
      </c>
      <c r="X4491" s="42" t="s">
        <v>4504</v>
      </c>
      <c r="Y4491" s="42" t="s">
        <v>4504</v>
      </c>
      <c r="AA4491" s="321"/>
      <c r="AB4491" s="321"/>
      <c r="AC4491" s="24" t="s">
        <v>450</v>
      </c>
      <c r="AD4491" s="24">
        <v>8.11</v>
      </c>
      <c r="AE4491" s="24">
        <v>1.2</v>
      </c>
      <c r="AH4491" s="24" t="s">
        <v>4481</v>
      </c>
      <c r="AI4491" s="24" t="s">
        <v>577</v>
      </c>
      <c r="AJ4491" s="24" t="s">
        <v>116</v>
      </c>
      <c r="AK4491" s="24" t="s">
        <v>116</v>
      </c>
      <c r="AW4491" s="24" t="s">
        <v>160</v>
      </c>
      <c r="AX4491" s="24">
        <v>3</v>
      </c>
      <c r="AZ4491" s="24" t="s">
        <v>2121</v>
      </c>
      <c r="BE4491" s="24" t="s">
        <v>4505</v>
      </c>
      <c r="BP4491" s="395"/>
      <c r="BQ4491" s="395"/>
      <c r="BU4491" s="395"/>
      <c r="BV4491" s="395"/>
      <c r="BZ4491" s="395"/>
      <c r="CA4491" s="395"/>
      <c r="CE4491" s="548"/>
      <c r="CF4491" s="548"/>
      <c r="CG4491" s="548"/>
      <c r="CH4491" s="548"/>
      <c r="FL4491" s="24">
        <v>147</v>
      </c>
      <c r="FM4491" s="24">
        <v>128</v>
      </c>
      <c r="FP4491" s="24" t="s">
        <v>3248</v>
      </c>
      <c r="JB4491" s="24" t="s">
        <v>4511</v>
      </c>
      <c r="JD4491" s="249"/>
    </row>
    <row r="4492" spans="1:264" s="32" customFormat="1" x14ac:dyDescent="0.25">
      <c r="A4492" s="32">
        <v>194</v>
      </c>
      <c r="B4492" s="44" t="s">
        <v>4502</v>
      </c>
      <c r="C4492" s="32" t="s">
        <v>4475</v>
      </c>
      <c r="D4492" s="32" t="s">
        <v>4476</v>
      </c>
      <c r="E4492" s="32">
        <v>2016</v>
      </c>
      <c r="F4492" s="32">
        <v>2010</v>
      </c>
      <c r="G4492" s="32" t="s">
        <v>4503</v>
      </c>
      <c r="H4492" s="32" t="s">
        <v>4477</v>
      </c>
      <c r="I4492" s="32" t="s">
        <v>3461</v>
      </c>
      <c r="J4492" s="32">
        <f t="shared" si="581"/>
        <v>35.200000000000003</v>
      </c>
      <c r="K4492" s="32">
        <f t="shared" si="582"/>
        <v>107.73333333333333</v>
      </c>
      <c r="L4492" s="32">
        <v>1220</v>
      </c>
      <c r="P4492" s="32">
        <v>589</v>
      </c>
      <c r="R4492" s="44" t="s">
        <v>1847</v>
      </c>
      <c r="S4492" s="44" t="s">
        <v>1722</v>
      </c>
      <c r="T4492" s="44" t="s">
        <v>1110</v>
      </c>
      <c r="U4492" s="44" t="s">
        <v>4478</v>
      </c>
      <c r="V4492" s="44" t="s">
        <v>4504</v>
      </c>
      <c r="W4492" s="44" t="s">
        <v>3498</v>
      </c>
      <c r="X4492" s="44" t="s">
        <v>4504</v>
      </c>
      <c r="Y4492" s="44" t="s">
        <v>4504</v>
      </c>
      <c r="AA4492" s="323"/>
      <c r="AB4492" s="323"/>
      <c r="AC4492" s="32" t="s">
        <v>450</v>
      </c>
      <c r="AD4492" s="32">
        <v>8.11</v>
      </c>
      <c r="AE4492" s="32">
        <v>1.2</v>
      </c>
      <c r="AH4492" s="32" t="s">
        <v>4480</v>
      </c>
      <c r="AI4492" s="32" t="s">
        <v>577</v>
      </c>
      <c r="AJ4492" s="32" t="s">
        <v>116</v>
      </c>
      <c r="AK4492" s="32" t="s">
        <v>116</v>
      </c>
      <c r="AW4492" s="32" t="s">
        <v>160</v>
      </c>
      <c r="AX4492" s="32">
        <v>3</v>
      </c>
      <c r="AZ4492" s="32" t="s">
        <v>2121</v>
      </c>
      <c r="BE4492" s="32" t="s">
        <v>4506</v>
      </c>
      <c r="BP4492" s="397"/>
      <c r="BQ4492" s="397"/>
      <c r="BU4492" s="397"/>
      <c r="BV4492" s="397"/>
      <c r="BZ4492" s="397"/>
      <c r="CA4492" s="397"/>
      <c r="CE4492" s="550"/>
      <c r="CF4492" s="550"/>
      <c r="CG4492" s="550"/>
      <c r="CH4492" s="550"/>
      <c r="FL4492" s="32">
        <v>130</v>
      </c>
      <c r="FM4492" s="32">
        <v>143</v>
      </c>
      <c r="FP4492" s="32" t="s">
        <v>3248</v>
      </c>
      <c r="JB4492" s="32" t="s">
        <v>4511</v>
      </c>
      <c r="JD4492" s="243"/>
    </row>
    <row r="4493" spans="1:264" s="32" customFormat="1" x14ac:dyDescent="0.25">
      <c r="A4493" s="32">
        <v>194</v>
      </c>
      <c r="B4493" s="44" t="s">
        <v>4502</v>
      </c>
      <c r="C4493" s="32" t="s">
        <v>4475</v>
      </c>
      <c r="D4493" s="32" t="s">
        <v>4476</v>
      </c>
      <c r="E4493" s="32">
        <v>2016</v>
      </c>
      <c r="F4493" s="32">
        <v>2010</v>
      </c>
      <c r="G4493" s="32" t="s">
        <v>4503</v>
      </c>
      <c r="H4493" s="32" t="s">
        <v>4477</v>
      </c>
      <c r="I4493" s="32" t="s">
        <v>3461</v>
      </c>
      <c r="J4493" s="32">
        <f t="shared" si="581"/>
        <v>35.200000000000003</v>
      </c>
      <c r="K4493" s="32">
        <f t="shared" si="582"/>
        <v>107.73333333333333</v>
      </c>
      <c r="L4493" s="32">
        <v>1220</v>
      </c>
      <c r="P4493" s="32">
        <v>589</v>
      </c>
      <c r="R4493" s="44" t="s">
        <v>1847</v>
      </c>
      <c r="S4493" s="44" t="s">
        <v>1722</v>
      </c>
      <c r="T4493" s="44" t="s">
        <v>1110</v>
      </c>
      <c r="U4493" s="44" t="s">
        <v>4478</v>
      </c>
      <c r="V4493" s="44" t="s">
        <v>4504</v>
      </c>
      <c r="W4493" s="44" t="s">
        <v>3498</v>
      </c>
      <c r="X4493" s="44" t="s">
        <v>4504</v>
      </c>
      <c r="Y4493" s="44" t="s">
        <v>4504</v>
      </c>
      <c r="AA4493" s="323"/>
      <c r="AB4493" s="323"/>
      <c r="AC4493" s="32" t="s">
        <v>450</v>
      </c>
      <c r="AD4493" s="32">
        <v>8.11</v>
      </c>
      <c r="AE4493" s="32">
        <v>1.2</v>
      </c>
      <c r="AH4493" s="32" t="s">
        <v>158</v>
      </c>
      <c r="AI4493" s="32" t="s">
        <v>577</v>
      </c>
      <c r="AJ4493" s="32" t="s">
        <v>116</v>
      </c>
      <c r="AK4493" s="32" t="s">
        <v>116</v>
      </c>
      <c r="AW4493" s="32" t="s">
        <v>160</v>
      </c>
      <c r="AX4493" s="32">
        <v>3</v>
      </c>
      <c r="AZ4493" s="32" t="s">
        <v>2121</v>
      </c>
      <c r="BE4493" s="32" t="s">
        <v>4506</v>
      </c>
      <c r="BP4493" s="397"/>
      <c r="BQ4493" s="397"/>
      <c r="BU4493" s="397"/>
      <c r="BV4493" s="397"/>
      <c r="BZ4493" s="397"/>
      <c r="CA4493" s="397"/>
      <c r="CE4493" s="550"/>
      <c r="CF4493" s="550"/>
      <c r="CG4493" s="550"/>
      <c r="CH4493" s="550"/>
      <c r="FL4493" s="32">
        <v>130</v>
      </c>
      <c r="FM4493" s="32">
        <v>139</v>
      </c>
      <c r="FP4493" s="32" t="s">
        <v>3248</v>
      </c>
      <c r="JB4493" s="32" t="s">
        <v>4511</v>
      </c>
      <c r="JD4493" s="243"/>
    </row>
    <row r="4494" spans="1:264" s="32" customFormat="1" x14ac:dyDescent="0.25">
      <c r="A4494" s="32">
        <v>194</v>
      </c>
      <c r="B4494" s="44" t="s">
        <v>4502</v>
      </c>
      <c r="C4494" s="32" t="s">
        <v>4475</v>
      </c>
      <c r="D4494" s="32" t="s">
        <v>4476</v>
      </c>
      <c r="E4494" s="32">
        <v>2016</v>
      </c>
      <c r="F4494" s="32">
        <v>2010</v>
      </c>
      <c r="G4494" s="32" t="s">
        <v>4503</v>
      </c>
      <c r="H4494" s="32" t="s">
        <v>4477</v>
      </c>
      <c r="I4494" s="32" t="s">
        <v>3461</v>
      </c>
      <c r="J4494" s="32">
        <f t="shared" si="581"/>
        <v>35.200000000000003</v>
      </c>
      <c r="K4494" s="32">
        <f t="shared" si="582"/>
        <v>107.73333333333333</v>
      </c>
      <c r="L4494" s="32">
        <v>1220</v>
      </c>
      <c r="P4494" s="32">
        <v>589</v>
      </c>
      <c r="R4494" s="44" t="s">
        <v>1847</v>
      </c>
      <c r="S4494" s="44" t="s">
        <v>1722</v>
      </c>
      <c r="T4494" s="44" t="s">
        <v>1110</v>
      </c>
      <c r="U4494" s="44" t="s">
        <v>4478</v>
      </c>
      <c r="V4494" s="44" t="s">
        <v>4504</v>
      </c>
      <c r="W4494" s="44" t="s">
        <v>3498</v>
      </c>
      <c r="X4494" s="44" t="s">
        <v>4504</v>
      </c>
      <c r="Y4494" s="44" t="s">
        <v>4504</v>
      </c>
      <c r="AA4494" s="323"/>
      <c r="AB4494" s="323"/>
      <c r="AC4494" s="32" t="s">
        <v>450</v>
      </c>
      <c r="AD4494" s="32">
        <v>8.11</v>
      </c>
      <c r="AE4494" s="32">
        <v>1.2</v>
      </c>
      <c r="AH4494" s="32" t="s">
        <v>4481</v>
      </c>
      <c r="AI4494" s="32" t="s">
        <v>577</v>
      </c>
      <c r="AJ4494" s="32" t="s">
        <v>116</v>
      </c>
      <c r="AK4494" s="32" t="s">
        <v>116</v>
      </c>
      <c r="AW4494" s="32" t="s">
        <v>160</v>
      </c>
      <c r="AX4494" s="32">
        <v>3</v>
      </c>
      <c r="AZ4494" s="32" t="s">
        <v>2121</v>
      </c>
      <c r="BE4494" s="32" t="s">
        <v>4506</v>
      </c>
      <c r="BP4494" s="397"/>
      <c r="BQ4494" s="397"/>
      <c r="BU4494" s="397"/>
      <c r="BV4494" s="397"/>
      <c r="BZ4494" s="397"/>
      <c r="CA4494" s="397"/>
      <c r="CE4494" s="550"/>
      <c r="CF4494" s="550"/>
      <c r="CG4494" s="550"/>
      <c r="CH4494" s="550"/>
      <c r="FL4494" s="32">
        <v>130</v>
      </c>
      <c r="FM4494" s="32">
        <v>138</v>
      </c>
      <c r="FP4494" s="32" t="s">
        <v>3248</v>
      </c>
      <c r="JB4494" s="32" t="s">
        <v>4511</v>
      </c>
      <c r="JD4494" s="243"/>
    </row>
    <row r="4495" spans="1:264" s="24" customFormat="1" x14ac:dyDescent="0.25">
      <c r="A4495" s="24">
        <v>194</v>
      </c>
      <c r="B4495" s="42" t="s">
        <v>4502</v>
      </c>
      <c r="C4495" s="24" t="s">
        <v>4475</v>
      </c>
      <c r="D4495" s="24" t="s">
        <v>4476</v>
      </c>
      <c r="E4495" s="24">
        <v>2016</v>
      </c>
      <c r="F4495" s="24">
        <v>2010</v>
      </c>
      <c r="G4495" s="24" t="s">
        <v>4503</v>
      </c>
      <c r="H4495" s="24" t="s">
        <v>4477</v>
      </c>
      <c r="I4495" s="24" t="s">
        <v>3461</v>
      </c>
      <c r="J4495" s="24">
        <f t="shared" si="581"/>
        <v>35.200000000000003</v>
      </c>
      <c r="K4495" s="24">
        <f t="shared" si="582"/>
        <v>107.73333333333333</v>
      </c>
      <c r="L4495" s="24">
        <v>1220</v>
      </c>
      <c r="P4495" s="24">
        <v>589</v>
      </c>
      <c r="R4495" s="42" t="s">
        <v>1847</v>
      </c>
      <c r="S4495" s="42" t="s">
        <v>1722</v>
      </c>
      <c r="T4495" s="42" t="s">
        <v>1110</v>
      </c>
      <c r="U4495" s="42" t="s">
        <v>4478</v>
      </c>
      <c r="V4495" s="42" t="s">
        <v>4504</v>
      </c>
      <c r="W4495" s="42" t="s">
        <v>3498</v>
      </c>
      <c r="X4495" s="42" t="s">
        <v>4504</v>
      </c>
      <c r="Y4495" s="42" t="s">
        <v>4504</v>
      </c>
      <c r="AA4495" s="321"/>
      <c r="AB4495" s="321"/>
      <c r="AC4495" s="24" t="s">
        <v>450</v>
      </c>
      <c r="AD4495" s="24">
        <v>8.11</v>
      </c>
      <c r="AE4495" s="24">
        <v>1.2</v>
      </c>
      <c r="AH4495" s="24" t="s">
        <v>4480</v>
      </c>
      <c r="AI4495" s="24" t="s">
        <v>577</v>
      </c>
      <c r="AJ4495" s="24" t="s">
        <v>116</v>
      </c>
      <c r="AK4495" s="24" t="s">
        <v>116</v>
      </c>
      <c r="AW4495" s="24" t="s">
        <v>160</v>
      </c>
      <c r="AX4495" s="24">
        <v>3</v>
      </c>
      <c r="AZ4495" s="24" t="s">
        <v>2121</v>
      </c>
      <c r="BE4495" s="24" t="s">
        <v>4507</v>
      </c>
      <c r="BP4495" s="395"/>
      <c r="BQ4495" s="395"/>
      <c r="BU4495" s="395"/>
      <c r="BV4495" s="395"/>
      <c r="BZ4495" s="395"/>
      <c r="CA4495" s="395"/>
      <c r="CE4495" s="548"/>
      <c r="CF4495" s="548"/>
      <c r="CG4495" s="548"/>
      <c r="CH4495" s="548"/>
      <c r="FL4495" s="24">
        <v>141</v>
      </c>
      <c r="FM4495" s="24">
        <v>140</v>
      </c>
      <c r="FP4495" s="24" t="s">
        <v>3248</v>
      </c>
      <c r="JB4495" s="24" t="s">
        <v>4511</v>
      </c>
      <c r="JD4495" s="249"/>
    </row>
    <row r="4496" spans="1:264" s="24" customFormat="1" x14ac:dyDescent="0.25">
      <c r="A4496" s="24">
        <v>194</v>
      </c>
      <c r="B4496" s="42" t="s">
        <v>4502</v>
      </c>
      <c r="C4496" s="24" t="s">
        <v>4475</v>
      </c>
      <c r="D4496" s="24" t="s">
        <v>4476</v>
      </c>
      <c r="E4496" s="24">
        <v>2016</v>
      </c>
      <c r="F4496" s="24">
        <v>2010</v>
      </c>
      <c r="G4496" s="24" t="s">
        <v>4503</v>
      </c>
      <c r="H4496" s="24" t="s">
        <v>4477</v>
      </c>
      <c r="I4496" s="24" t="s">
        <v>3461</v>
      </c>
      <c r="J4496" s="24">
        <f t="shared" si="581"/>
        <v>35.200000000000003</v>
      </c>
      <c r="K4496" s="24">
        <f t="shared" si="582"/>
        <v>107.73333333333333</v>
      </c>
      <c r="L4496" s="24">
        <v>1220</v>
      </c>
      <c r="P4496" s="24">
        <v>589</v>
      </c>
      <c r="R4496" s="42" t="s">
        <v>1847</v>
      </c>
      <c r="S4496" s="42" t="s">
        <v>1722</v>
      </c>
      <c r="T4496" s="42" t="s">
        <v>1110</v>
      </c>
      <c r="U4496" s="42" t="s">
        <v>4478</v>
      </c>
      <c r="V4496" s="42" t="s">
        <v>4504</v>
      </c>
      <c r="W4496" s="42" t="s">
        <v>3498</v>
      </c>
      <c r="X4496" s="42" t="s">
        <v>4504</v>
      </c>
      <c r="Y4496" s="42" t="s">
        <v>4504</v>
      </c>
      <c r="AA4496" s="321"/>
      <c r="AB4496" s="321"/>
      <c r="AC4496" s="24" t="s">
        <v>450</v>
      </c>
      <c r="AD4496" s="24">
        <v>8.11</v>
      </c>
      <c r="AE4496" s="24">
        <v>1.2</v>
      </c>
      <c r="AH4496" s="24" t="s">
        <v>158</v>
      </c>
      <c r="AI4496" s="24" t="s">
        <v>577</v>
      </c>
      <c r="AJ4496" s="24" t="s">
        <v>116</v>
      </c>
      <c r="AK4496" s="24" t="s">
        <v>116</v>
      </c>
      <c r="AW4496" s="24" t="s">
        <v>160</v>
      </c>
      <c r="AX4496" s="24">
        <v>3</v>
      </c>
      <c r="AZ4496" s="24" t="s">
        <v>2121</v>
      </c>
      <c r="BE4496" s="24" t="s">
        <v>4507</v>
      </c>
      <c r="BP4496" s="395"/>
      <c r="BQ4496" s="395"/>
      <c r="BU4496" s="395"/>
      <c r="BV4496" s="395"/>
      <c r="BZ4496" s="395"/>
      <c r="CA4496" s="395"/>
      <c r="CE4496" s="548"/>
      <c r="CF4496" s="548"/>
      <c r="CG4496" s="548"/>
      <c r="CH4496" s="548"/>
      <c r="FL4496" s="24">
        <v>141</v>
      </c>
      <c r="FM4496" s="24">
        <v>144</v>
      </c>
      <c r="FP4496" s="24" t="s">
        <v>3248</v>
      </c>
      <c r="JB4496" s="24" t="s">
        <v>4511</v>
      </c>
      <c r="JD4496" s="249"/>
    </row>
    <row r="4497" spans="1:264" s="24" customFormat="1" x14ac:dyDescent="0.25">
      <c r="A4497" s="24">
        <v>194</v>
      </c>
      <c r="B4497" s="42" t="s">
        <v>4502</v>
      </c>
      <c r="C4497" s="24" t="s">
        <v>4475</v>
      </c>
      <c r="D4497" s="24" t="s">
        <v>4476</v>
      </c>
      <c r="E4497" s="24">
        <v>2016</v>
      </c>
      <c r="F4497" s="24">
        <v>2010</v>
      </c>
      <c r="G4497" s="24" t="s">
        <v>4503</v>
      </c>
      <c r="H4497" s="24" t="s">
        <v>4477</v>
      </c>
      <c r="I4497" s="24" t="s">
        <v>3461</v>
      </c>
      <c r="J4497" s="24">
        <f t="shared" ref="J4497:J4506" si="583">35+12/60</f>
        <v>35.200000000000003</v>
      </c>
      <c r="K4497" s="24">
        <f t="shared" ref="K4497:K4506" si="584">107+44/60</f>
        <v>107.73333333333333</v>
      </c>
      <c r="L4497" s="24">
        <v>1220</v>
      </c>
      <c r="P4497" s="24">
        <v>589</v>
      </c>
      <c r="R4497" s="42" t="s">
        <v>1847</v>
      </c>
      <c r="S4497" s="42" t="s">
        <v>1722</v>
      </c>
      <c r="T4497" s="42" t="s">
        <v>1110</v>
      </c>
      <c r="U4497" s="42" t="s">
        <v>4478</v>
      </c>
      <c r="V4497" s="42" t="s">
        <v>4504</v>
      </c>
      <c r="W4497" s="42" t="s">
        <v>3498</v>
      </c>
      <c r="X4497" s="42" t="s">
        <v>4504</v>
      </c>
      <c r="Y4497" s="42" t="s">
        <v>4504</v>
      </c>
      <c r="AA4497" s="321"/>
      <c r="AB4497" s="321"/>
      <c r="AC4497" s="24" t="s">
        <v>450</v>
      </c>
      <c r="AD4497" s="24">
        <v>8.11</v>
      </c>
      <c r="AE4497" s="24">
        <v>1.2</v>
      </c>
      <c r="AH4497" s="24" t="s">
        <v>4481</v>
      </c>
      <c r="AI4497" s="24" t="s">
        <v>577</v>
      </c>
      <c r="AJ4497" s="24" t="s">
        <v>116</v>
      </c>
      <c r="AK4497" s="24" t="s">
        <v>116</v>
      </c>
      <c r="AW4497" s="24" t="s">
        <v>160</v>
      </c>
      <c r="AX4497" s="24">
        <v>3</v>
      </c>
      <c r="AZ4497" s="24" t="s">
        <v>2121</v>
      </c>
      <c r="BE4497" s="24" t="s">
        <v>4507</v>
      </c>
      <c r="BP4497" s="395"/>
      <c r="BQ4497" s="395"/>
      <c r="BU4497" s="395"/>
      <c r="BV4497" s="395"/>
      <c r="BZ4497" s="395"/>
      <c r="CA4497" s="395"/>
      <c r="CE4497" s="548"/>
      <c r="CF4497" s="548"/>
      <c r="CG4497" s="548"/>
      <c r="CH4497" s="548"/>
      <c r="FL4497" s="24">
        <v>141</v>
      </c>
      <c r="FM4497" s="24">
        <v>142</v>
      </c>
      <c r="FP4497" s="24" t="s">
        <v>3248</v>
      </c>
      <c r="JB4497" s="24" t="s">
        <v>4511</v>
      </c>
      <c r="JD4497" s="249"/>
    </row>
    <row r="4498" spans="1:264" s="105" customFormat="1" x14ac:dyDescent="0.25">
      <c r="A4498" s="105">
        <v>194</v>
      </c>
      <c r="B4498" s="106" t="s">
        <v>4508</v>
      </c>
      <c r="C4498" s="105" t="s">
        <v>4475</v>
      </c>
      <c r="D4498" s="105" t="s">
        <v>4476</v>
      </c>
      <c r="E4498" s="105">
        <v>2016</v>
      </c>
      <c r="F4498" s="105">
        <v>2010</v>
      </c>
      <c r="G4498" s="105" t="s">
        <v>4503</v>
      </c>
      <c r="H4498" s="105" t="s">
        <v>4477</v>
      </c>
      <c r="I4498" s="105" t="s">
        <v>3461</v>
      </c>
      <c r="J4498" s="105">
        <f t="shared" si="583"/>
        <v>35.200000000000003</v>
      </c>
      <c r="K4498" s="105">
        <f t="shared" si="584"/>
        <v>107.73333333333333</v>
      </c>
      <c r="L4498" s="105">
        <v>1220</v>
      </c>
      <c r="P4498" s="105">
        <v>589</v>
      </c>
      <c r="R4498" s="106" t="s">
        <v>1847</v>
      </c>
      <c r="S4498" s="106" t="s">
        <v>1722</v>
      </c>
      <c r="T4498" s="106" t="s">
        <v>1110</v>
      </c>
      <c r="U4498" s="106" t="s">
        <v>4478</v>
      </c>
      <c r="V4498" s="106" t="s">
        <v>4509</v>
      </c>
      <c r="W4498" s="106" t="s">
        <v>3498</v>
      </c>
      <c r="X4498" s="106" t="s">
        <v>4509</v>
      </c>
      <c r="Y4498" s="106" t="s">
        <v>4509</v>
      </c>
      <c r="AA4498" s="354"/>
      <c r="AB4498" s="354"/>
      <c r="AC4498" s="105" t="s">
        <v>450</v>
      </c>
      <c r="AD4498" s="105">
        <v>8.11</v>
      </c>
      <c r="AE4498" s="105">
        <v>1.2</v>
      </c>
      <c r="AH4498" s="105" t="s">
        <v>4480</v>
      </c>
      <c r="AI4498" s="105" t="s">
        <v>577</v>
      </c>
      <c r="AJ4498" s="105" t="s">
        <v>116</v>
      </c>
      <c r="AK4498" s="105" t="s">
        <v>116</v>
      </c>
      <c r="AW4498" s="105" t="s">
        <v>160</v>
      </c>
      <c r="AX4498" s="105">
        <v>3</v>
      </c>
      <c r="AZ4498" s="105" t="s">
        <v>2121</v>
      </c>
      <c r="BE4498" s="105" t="s">
        <v>4505</v>
      </c>
      <c r="BP4498" s="429"/>
      <c r="BQ4498" s="429"/>
      <c r="BU4498" s="429"/>
      <c r="BV4498" s="429"/>
      <c r="BZ4498" s="429"/>
      <c r="CA4498" s="429"/>
      <c r="CE4498" s="582"/>
      <c r="CF4498" s="582"/>
      <c r="CG4498" s="582"/>
      <c r="CH4498" s="582"/>
      <c r="FL4498" s="105">
        <v>24.4</v>
      </c>
      <c r="FM4498" s="105">
        <v>15.7</v>
      </c>
      <c r="FP4498" s="105" t="s">
        <v>3248</v>
      </c>
      <c r="JB4498" s="105" t="s">
        <v>4511</v>
      </c>
      <c r="JD4498" s="499"/>
    </row>
    <row r="4499" spans="1:264" s="105" customFormat="1" x14ac:dyDescent="0.25">
      <c r="A4499" s="105">
        <v>194</v>
      </c>
      <c r="B4499" s="106" t="s">
        <v>4508</v>
      </c>
      <c r="C4499" s="105" t="s">
        <v>4475</v>
      </c>
      <c r="D4499" s="105" t="s">
        <v>4476</v>
      </c>
      <c r="E4499" s="105">
        <v>2016</v>
      </c>
      <c r="F4499" s="105">
        <v>2010</v>
      </c>
      <c r="G4499" s="105" t="s">
        <v>4503</v>
      </c>
      <c r="H4499" s="105" t="s">
        <v>4477</v>
      </c>
      <c r="I4499" s="105" t="s">
        <v>3461</v>
      </c>
      <c r="J4499" s="105">
        <f t="shared" si="583"/>
        <v>35.200000000000003</v>
      </c>
      <c r="K4499" s="105">
        <f t="shared" si="584"/>
        <v>107.73333333333333</v>
      </c>
      <c r="L4499" s="105">
        <v>1220</v>
      </c>
      <c r="P4499" s="105">
        <v>589</v>
      </c>
      <c r="R4499" s="106" t="s">
        <v>1847</v>
      </c>
      <c r="S4499" s="106" t="s">
        <v>1722</v>
      </c>
      <c r="T4499" s="106" t="s">
        <v>1110</v>
      </c>
      <c r="U4499" s="106" t="s">
        <v>4478</v>
      </c>
      <c r="V4499" s="106" t="s">
        <v>4509</v>
      </c>
      <c r="W4499" s="106" t="s">
        <v>3498</v>
      </c>
      <c r="X4499" s="106" t="s">
        <v>4509</v>
      </c>
      <c r="Y4499" s="106" t="s">
        <v>4509</v>
      </c>
      <c r="AA4499" s="354"/>
      <c r="AB4499" s="354"/>
      <c r="AC4499" s="105" t="s">
        <v>450</v>
      </c>
      <c r="AD4499" s="105">
        <v>8.11</v>
      </c>
      <c r="AE4499" s="105">
        <v>1.2</v>
      </c>
      <c r="AH4499" s="105" t="s">
        <v>158</v>
      </c>
      <c r="AI4499" s="105" t="s">
        <v>577</v>
      </c>
      <c r="AJ4499" s="105" t="s">
        <v>116</v>
      </c>
      <c r="AK4499" s="105" t="s">
        <v>116</v>
      </c>
      <c r="AW4499" s="105" t="s">
        <v>160</v>
      </c>
      <c r="AX4499" s="105">
        <v>3</v>
      </c>
      <c r="AZ4499" s="105" t="s">
        <v>2121</v>
      </c>
      <c r="BE4499" s="105" t="s">
        <v>4505</v>
      </c>
      <c r="BP4499" s="429"/>
      <c r="BQ4499" s="429"/>
      <c r="BU4499" s="429"/>
      <c r="BV4499" s="429"/>
      <c r="BZ4499" s="429"/>
      <c r="CA4499" s="429"/>
      <c r="CE4499" s="582"/>
      <c r="CF4499" s="582"/>
      <c r="CG4499" s="582"/>
      <c r="CH4499" s="582"/>
      <c r="FL4499" s="105">
        <v>24.4</v>
      </c>
      <c r="FM4499" s="105">
        <v>14.5</v>
      </c>
      <c r="FP4499" s="105" t="s">
        <v>3248</v>
      </c>
      <c r="JB4499" s="105" t="s">
        <v>4511</v>
      </c>
      <c r="JD4499" s="499"/>
    </row>
    <row r="4500" spans="1:264" s="105" customFormat="1" x14ac:dyDescent="0.25">
      <c r="A4500" s="105">
        <v>194</v>
      </c>
      <c r="B4500" s="106" t="s">
        <v>4508</v>
      </c>
      <c r="C4500" s="105" t="s">
        <v>4475</v>
      </c>
      <c r="D4500" s="105" t="s">
        <v>4476</v>
      </c>
      <c r="E4500" s="105">
        <v>2016</v>
      </c>
      <c r="F4500" s="105">
        <v>2010</v>
      </c>
      <c r="G4500" s="105" t="s">
        <v>4503</v>
      </c>
      <c r="H4500" s="105" t="s">
        <v>4477</v>
      </c>
      <c r="I4500" s="105" t="s">
        <v>3461</v>
      </c>
      <c r="J4500" s="105">
        <f t="shared" si="583"/>
        <v>35.200000000000003</v>
      </c>
      <c r="K4500" s="105">
        <f t="shared" si="584"/>
        <v>107.73333333333333</v>
      </c>
      <c r="L4500" s="105">
        <v>1220</v>
      </c>
      <c r="P4500" s="105">
        <v>589</v>
      </c>
      <c r="R4500" s="106" t="s">
        <v>1847</v>
      </c>
      <c r="S4500" s="106" t="s">
        <v>1722</v>
      </c>
      <c r="T4500" s="106" t="s">
        <v>1110</v>
      </c>
      <c r="U4500" s="106" t="s">
        <v>4478</v>
      </c>
      <c r="V4500" s="106" t="s">
        <v>4509</v>
      </c>
      <c r="W4500" s="106" t="s">
        <v>3498</v>
      </c>
      <c r="X4500" s="106" t="s">
        <v>4509</v>
      </c>
      <c r="Y4500" s="106" t="s">
        <v>4509</v>
      </c>
      <c r="AA4500" s="354"/>
      <c r="AB4500" s="354"/>
      <c r="AC4500" s="105" t="s">
        <v>450</v>
      </c>
      <c r="AD4500" s="105">
        <v>8.11</v>
      </c>
      <c r="AE4500" s="105">
        <v>1.2</v>
      </c>
      <c r="AH4500" s="105" t="s">
        <v>4481</v>
      </c>
      <c r="AI4500" s="105" t="s">
        <v>577</v>
      </c>
      <c r="AJ4500" s="105" t="s">
        <v>116</v>
      </c>
      <c r="AK4500" s="105" t="s">
        <v>116</v>
      </c>
      <c r="AW4500" s="105" t="s">
        <v>160</v>
      </c>
      <c r="AX4500" s="105">
        <v>3</v>
      </c>
      <c r="AZ4500" s="105" t="s">
        <v>2121</v>
      </c>
      <c r="BE4500" s="105" t="s">
        <v>4505</v>
      </c>
      <c r="BP4500" s="429"/>
      <c r="BQ4500" s="429"/>
      <c r="BU4500" s="429"/>
      <c r="BV4500" s="429"/>
      <c r="BZ4500" s="429"/>
      <c r="CA4500" s="429"/>
      <c r="CE4500" s="582"/>
      <c r="CF4500" s="582"/>
      <c r="CG4500" s="582"/>
      <c r="CH4500" s="582"/>
      <c r="FL4500" s="105">
        <v>24.4</v>
      </c>
      <c r="FM4500" s="105">
        <v>23.9</v>
      </c>
      <c r="FP4500" s="105" t="s">
        <v>3248</v>
      </c>
      <c r="JB4500" s="105" t="s">
        <v>4511</v>
      </c>
      <c r="JD4500" s="499"/>
    </row>
    <row r="4501" spans="1:264" s="101" customFormat="1" x14ac:dyDescent="0.25">
      <c r="A4501" s="101">
        <v>194</v>
      </c>
      <c r="B4501" s="102" t="s">
        <v>4508</v>
      </c>
      <c r="C4501" s="101" t="s">
        <v>4475</v>
      </c>
      <c r="D4501" s="101" t="s">
        <v>4476</v>
      </c>
      <c r="E4501" s="101">
        <v>2016</v>
      </c>
      <c r="F4501" s="101">
        <v>2010</v>
      </c>
      <c r="G4501" s="101" t="s">
        <v>4503</v>
      </c>
      <c r="H4501" s="101" t="s">
        <v>4477</v>
      </c>
      <c r="I4501" s="101" t="s">
        <v>3461</v>
      </c>
      <c r="J4501" s="101">
        <f t="shared" si="583"/>
        <v>35.200000000000003</v>
      </c>
      <c r="K4501" s="101">
        <f t="shared" si="584"/>
        <v>107.73333333333333</v>
      </c>
      <c r="L4501" s="101">
        <v>1220</v>
      </c>
      <c r="P4501" s="101">
        <v>589</v>
      </c>
      <c r="R4501" s="102" t="s">
        <v>1847</v>
      </c>
      <c r="S4501" s="102" t="s">
        <v>1722</v>
      </c>
      <c r="T4501" s="102" t="s">
        <v>1110</v>
      </c>
      <c r="U4501" s="102" t="s">
        <v>4478</v>
      </c>
      <c r="V4501" s="102" t="s">
        <v>4509</v>
      </c>
      <c r="W4501" s="102" t="s">
        <v>3498</v>
      </c>
      <c r="X4501" s="102" t="s">
        <v>4509</v>
      </c>
      <c r="Y4501" s="102" t="s">
        <v>4509</v>
      </c>
      <c r="AA4501" s="352"/>
      <c r="AB4501" s="352"/>
      <c r="AC4501" s="101" t="s">
        <v>450</v>
      </c>
      <c r="AD4501" s="101">
        <v>8.11</v>
      </c>
      <c r="AE4501" s="101">
        <v>1.2</v>
      </c>
      <c r="AH4501" s="101" t="s">
        <v>4480</v>
      </c>
      <c r="AI4501" s="101" t="s">
        <v>577</v>
      </c>
      <c r="AJ4501" s="101" t="s">
        <v>116</v>
      </c>
      <c r="AK4501" s="101" t="s">
        <v>116</v>
      </c>
      <c r="AW4501" s="101" t="s">
        <v>160</v>
      </c>
      <c r="AX4501" s="101">
        <v>3</v>
      </c>
      <c r="AZ4501" s="101" t="s">
        <v>2121</v>
      </c>
      <c r="BE4501" s="101" t="s">
        <v>4506</v>
      </c>
      <c r="BP4501" s="427"/>
      <c r="BQ4501" s="427"/>
      <c r="BU4501" s="427"/>
      <c r="BV4501" s="427"/>
      <c r="BZ4501" s="427"/>
      <c r="CA4501" s="427"/>
      <c r="CE4501" s="580"/>
      <c r="CF4501" s="580"/>
      <c r="CG4501" s="580"/>
      <c r="CH4501" s="580"/>
      <c r="FL4501" s="101">
        <v>74.599999999999994</v>
      </c>
      <c r="FM4501" s="101">
        <v>75.2</v>
      </c>
      <c r="FP4501" s="101" t="s">
        <v>3248</v>
      </c>
      <c r="JB4501" s="101" t="s">
        <v>4511</v>
      </c>
      <c r="JD4501" s="177"/>
    </row>
    <row r="4502" spans="1:264" s="101" customFormat="1" x14ac:dyDescent="0.25">
      <c r="A4502" s="101">
        <v>194</v>
      </c>
      <c r="B4502" s="102" t="s">
        <v>4508</v>
      </c>
      <c r="C4502" s="101" t="s">
        <v>4475</v>
      </c>
      <c r="D4502" s="101" t="s">
        <v>4476</v>
      </c>
      <c r="E4502" s="101">
        <v>2016</v>
      </c>
      <c r="F4502" s="101">
        <v>2010</v>
      </c>
      <c r="G4502" s="101" t="s">
        <v>4503</v>
      </c>
      <c r="H4502" s="101" t="s">
        <v>4477</v>
      </c>
      <c r="I4502" s="101" t="s">
        <v>3461</v>
      </c>
      <c r="J4502" s="101">
        <f t="shared" si="583"/>
        <v>35.200000000000003</v>
      </c>
      <c r="K4502" s="101">
        <f t="shared" si="584"/>
        <v>107.73333333333333</v>
      </c>
      <c r="L4502" s="101">
        <v>1220</v>
      </c>
      <c r="P4502" s="101">
        <v>589</v>
      </c>
      <c r="R4502" s="102" t="s">
        <v>1847</v>
      </c>
      <c r="S4502" s="102" t="s">
        <v>1722</v>
      </c>
      <c r="T4502" s="102" t="s">
        <v>1110</v>
      </c>
      <c r="U4502" s="102" t="s">
        <v>4478</v>
      </c>
      <c r="V4502" s="102" t="s">
        <v>4509</v>
      </c>
      <c r="W4502" s="102" t="s">
        <v>3498</v>
      </c>
      <c r="X4502" s="102" t="s">
        <v>4509</v>
      </c>
      <c r="Y4502" s="102" t="s">
        <v>4509</v>
      </c>
      <c r="AA4502" s="352"/>
      <c r="AB4502" s="352"/>
      <c r="AC4502" s="101" t="s">
        <v>450</v>
      </c>
      <c r="AD4502" s="101">
        <v>8.11</v>
      </c>
      <c r="AE4502" s="101">
        <v>1.2</v>
      </c>
      <c r="AH4502" s="101" t="s">
        <v>158</v>
      </c>
      <c r="AI4502" s="101" t="s">
        <v>577</v>
      </c>
      <c r="AJ4502" s="101" t="s">
        <v>116</v>
      </c>
      <c r="AK4502" s="101" t="s">
        <v>116</v>
      </c>
      <c r="AW4502" s="101" t="s">
        <v>160</v>
      </c>
      <c r="AX4502" s="101">
        <v>3</v>
      </c>
      <c r="AZ4502" s="101" t="s">
        <v>2121</v>
      </c>
      <c r="BE4502" s="101" t="s">
        <v>4506</v>
      </c>
      <c r="BP4502" s="427"/>
      <c r="BQ4502" s="427"/>
      <c r="BU4502" s="427"/>
      <c r="BV4502" s="427"/>
      <c r="BZ4502" s="427"/>
      <c r="CA4502" s="427"/>
      <c r="CE4502" s="580"/>
      <c r="CF4502" s="580"/>
      <c r="CG4502" s="580"/>
      <c r="CH4502" s="580"/>
      <c r="FL4502" s="101">
        <v>74.599999999999994</v>
      </c>
      <c r="FM4502" s="101">
        <v>84.4</v>
      </c>
      <c r="FP4502" s="101" t="s">
        <v>3248</v>
      </c>
      <c r="JB4502" s="101" t="s">
        <v>4511</v>
      </c>
      <c r="JD4502" s="177"/>
    </row>
    <row r="4503" spans="1:264" s="101" customFormat="1" x14ac:dyDescent="0.25">
      <c r="A4503" s="101">
        <v>194</v>
      </c>
      <c r="B4503" s="102" t="s">
        <v>4508</v>
      </c>
      <c r="C4503" s="101" t="s">
        <v>4475</v>
      </c>
      <c r="D4503" s="101" t="s">
        <v>4476</v>
      </c>
      <c r="E4503" s="101">
        <v>2016</v>
      </c>
      <c r="F4503" s="101">
        <v>2010</v>
      </c>
      <c r="G4503" s="101" t="s">
        <v>4503</v>
      </c>
      <c r="H4503" s="101" t="s">
        <v>4477</v>
      </c>
      <c r="I4503" s="101" t="s">
        <v>3461</v>
      </c>
      <c r="J4503" s="101">
        <f t="shared" si="583"/>
        <v>35.200000000000003</v>
      </c>
      <c r="K4503" s="101">
        <f t="shared" si="584"/>
        <v>107.73333333333333</v>
      </c>
      <c r="L4503" s="101">
        <v>1220</v>
      </c>
      <c r="P4503" s="101">
        <v>589</v>
      </c>
      <c r="R4503" s="102" t="s">
        <v>1847</v>
      </c>
      <c r="S4503" s="102" t="s">
        <v>1722</v>
      </c>
      <c r="T4503" s="102" t="s">
        <v>1110</v>
      </c>
      <c r="U4503" s="102" t="s">
        <v>4478</v>
      </c>
      <c r="V4503" s="102" t="s">
        <v>4509</v>
      </c>
      <c r="W4503" s="102" t="s">
        <v>3498</v>
      </c>
      <c r="X4503" s="102" t="s">
        <v>4509</v>
      </c>
      <c r="Y4503" s="102" t="s">
        <v>4509</v>
      </c>
      <c r="AA4503" s="352"/>
      <c r="AB4503" s="352"/>
      <c r="AC4503" s="101" t="s">
        <v>450</v>
      </c>
      <c r="AD4503" s="101">
        <v>8.11</v>
      </c>
      <c r="AE4503" s="101">
        <v>1.2</v>
      </c>
      <c r="AH4503" s="101" t="s">
        <v>4481</v>
      </c>
      <c r="AI4503" s="101" t="s">
        <v>577</v>
      </c>
      <c r="AJ4503" s="101" t="s">
        <v>116</v>
      </c>
      <c r="AK4503" s="101" t="s">
        <v>116</v>
      </c>
      <c r="AW4503" s="101" t="s">
        <v>160</v>
      </c>
      <c r="AX4503" s="101">
        <v>3</v>
      </c>
      <c r="AZ4503" s="101" t="s">
        <v>2121</v>
      </c>
      <c r="BE4503" s="101" t="s">
        <v>4506</v>
      </c>
      <c r="BP4503" s="427"/>
      <c r="BQ4503" s="427"/>
      <c r="BU4503" s="427"/>
      <c r="BV4503" s="427"/>
      <c r="BZ4503" s="427"/>
      <c r="CA4503" s="427"/>
      <c r="CE4503" s="580"/>
      <c r="CF4503" s="580"/>
      <c r="CG4503" s="580"/>
      <c r="CH4503" s="580"/>
      <c r="FL4503" s="101">
        <v>74.599999999999994</v>
      </c>
      <c r="FM4503" s="101">
        <v>71.599999999999994</v>
      </c>
      <c r="FP4503" s="101" t="s">
        <v>3248</v>
      </c>
      <c r="JB4503" s="101" t="s">
        <v>4511</v>
      </c>
      <c r="JD4503" s="177"/>
    </row>
    <row r="4504" spans="1:264" s="105" customFormat="1" x14ac:dyDescent="0.25">
      <c r="A4504" s="105">
        <v>194</v>
      </c>
      <c r="B4504" s="106" t="s">
        <v>4508</v>
      </c>
      <c r="C4504" s="105" t="s">
        <v>4475</v>
      </c>
      <c r="D4504" s="105" t="s">
        <v>4476</v>
      </c>
      <c r="E4504" s="105">
        <v>2016</v>
      </c>
      <c r="F4504" s="105">
        <v>2010</v>
      </c>
      <c r="G4504" s="105" t="s">
        <v>4503</v>
      </c>
      <c r="H4504" s="105" t="s">
        <v>4477</v>
      </c>
      <c r="I4504" s="105" t="s">
        <v>3461</v>
      </c>
      <c r="J4504" s="105">
        <f t="shared" si="583"/>
        <v>35.200000000000003</v>
      </c>
      <c r="K4504" s="105">
        <f t="shared" si="584"/>
        <v>107.73333333333333</v>
      </c>
      <c r="L4504" s="105">
        <v>1220</v>
      </c>
      <c r="P4504" s="105">
        <v>589</v>
      </c>
      <c r="R4504" s="106" t="s">
        <v>1847</v>
      </c>
      <c r="S4504" s="106" t="s">
        <v>1722</v>
      </c>
      <c r="T4504" s="106" t="s">
        <v>1110</v>
      </c>
      <c r="U4504" s="106" t="s">
        <v>4478</v>
      </c>
      <c r="V4504" s="106" t="s">
        <v>4509</v>
      </c>
      <c r="W4504" s="106" t="s">
        <v>3498</v>
      </c>
      <c r="X4504" s="106" t="s">
        <v>4509</v>
      </c>
      <c r="Y4504" s="106" t="s">
        <v>4509</v>
      </c>
      <c r="AA4504" s="354"/>
      <c r="AB4504" s="354"/>
      <c r="AC4504" s="105" t="s">
        <v>450</v>
      </c>
      <c r="AD4504" s="105">
        <v>8.11</v>
      </c>
      <c r="AE4504" s="105">
        <v>1.2</v>
      </c>
      <c r="AH4504" s="105" t="s">
        <v>4480</v>
      </c>
      <c r="AI4504" s="105" t="s">
        <v>577</v>
      </c>
      <c r="AJ4504" s="105" t="s">
        <v>116</v>
      </c>
      <c r="AK4504" s="105" t="s">
        <v>116</v>
      </c>
      <c r="AW4504" s="105" t="s">
        <v>160</v>
      </c>
      <c r="AX4504" s="105">
        <v>3</v>
      </c>
      <c r="AZ4504" s="105" t="s">
        <v>2121</v>
      </c>
      <c r="BE4504" s="105" t="s">
        <v>4507</v>
      </c>
      <c r="BP4504" s="429"/>
      <c r="BQ4504" s="429"/>
      <c r="BU4504" s="429"/>
      <c r="BV4504" s="429"/>
      <c r="BZ4504" s="429"/>
      <c r="CA4504" s="429"/>
      <c r="CE4504" s="582"/>
      <c r="CF4504" s="582"/>
      <c r="CG4504" s="582"/>
      <c r="CH4504" s="582"/>
      <c r="FL4504" s="105">
        <v>100</v>
      </c>
      <c r="FM4504" s="105">
        <v>70.5</v>
      </c>
      <c r="FP4504" s="105" t="s">
        <v>3248</v>
      </c>
      <c r="JB4504" s="105" t="s">
        <v>4511</v>
      </c>
      <c r="JD4504" s="499"/>
    </row>
    <row r="4505" spans="1:264" s="105" customFormat="1" x14ac:dyDescent="0.25">
      <c r="A4505" s="105">
        <v>194</v>
      </c>
      <c r="B4505" s="106" t="s">
        <v>4508</v>
      </c>
      <c r="C4505" s="105" t="s">
        <v>4475</v>
      </c>
      <c r="D4505" s="105" t="s">
        <v>4476</v>
      </c>
      <c r="E4505" s="105">
        <v>2016</v>
      </c>
      <c r="F4505" s="105">
        <v>2010</v>
      </c>
      <c r="G4505" s="105" t="s">
        <v>4503</v>
      </c>
      <c r="H4505" s="105" t="s">
        <v>4477</v>
      </c>
      <c r="I4505" s="105" t="s">
        <v>3461</v>
      </c>
      <c r="J4505" s="105">
        <f t="shared" si="583"/>
        <v>35.200000000000003</v>
      </c>
      <c r="K4505" s="105">
        <f t="shared" si="584"/>
        <v>107.73333333333333</v>
      </c>
      <c r="L4505" s="105">
        <v>1220</v>
      </c>
      <c r="P4505" s="105">
        <v>589</v>
      </c>
      <c r="R4505" s="106" t="s">
        <v>1847</v>
      </c>
      <c r="S4505" s="106" t="s">
        <v>1722</v>
      </c>
      <c r="T4505" s="106" t="s">
        <v>1110</v>
      </c>
      <c r="U4505" s="106" t="s">
        <v>4478</v>
      </c>
      <c r="V4505" s="106" t="s">
        <v>4509</v>
      </c>
      <c r="W4505" s="106" t="s">
        <v>3498</v>
      </c>
      <c r="X4505" s="106" t="s">
        <v>4509</v>
      </c>
      <c r="Y4505" s="106" t="s">
        <v>4509</v>
      </c>
      <c r="AA4505" s="354"/>
      <c r="AB4505" s="354"/>
      <c r="AC4505" s="105" t="s">
        <v>450</v>
      </c>
      <c r="AD4505" s="105">
        <v>8.11</v>
      </c>
      <c r="AE4505" s="105">
        <v>1.2</v>
      </c>
      <c r="AH4505" s="105" t="s">
        <v>158</v>
      </c>
      <c r="AI4505" s="105" t="s">
        <v>577</v>
      </c>
      <c r="AJ4505" s="105" t="s">
        <v>116</v>
      </c>
      <c r="AK4505" s="105" t="s">
        <v>116</v>
      </c>
      <c r="AW4505" s="105" t="s">
        <v>160</v>
      </c>
      <c r="AX4505" s="105">
        <v>3</v>
      </c>
      <c r="AZ4505" s="105" t="s">
        <v>2121</v>
      </c>
      <c r="BE4505" s="105" t="s">
        <v>4507</v>
      </c>
      <c r="BP4505" s="429"/>
      <c r="BQ4505" s="429"/>
      <c r="BU4505" s="429"/>
      <c r="BV4505" s="429"/>
      <c r="BZ4505" s="429"/>
      <c r="CA4505" s="429"/>
      <c r="CE4505" s="582"/>
      <c r="CF4505" s="582"/>
      <c r="CG4505" s="582"/>
      <c r="CH4505" s="582"/>
      <c r="FL4505" s="105">
        <v>100</v>
      </c>
      <c r="FM4505" s="105">
        <v>73.7</v>
      </c>
      <c r="FP4505" s="105" t="s">
        <v>3248</v>
      </c>
      <c r="JB4505" s="105" t="s">
        <v>4511</v>
      </c>
      <c r="JD4505" s="499"/>
    </row>
    <row r="4506" spans="1:264" s="105" customFormat="1" x14ac:dyDescent="0.25">
      <c r="A4506" s="105">
        <v>194</v>
      </c>
      <c r="B4506" s="106" t="s">
        <v>4508</v>
      </c>
      <c r="C4506" s="105" t="s">
        <v>4475</v>
      </c>
      <c r="D4506" s="105" t="s">
        <v>4476</v>
      </c>
      <c r="E4506" s="105">
        <v>2016</v>
      </c>
      <c r="F4506" s="105">
        <v>2010</v>
      </c>
      <c r="G4506" s="105" t="s">
        <v>4503</v>
      </c>
      <c r="H4506" s="105" t="s">
        <v>4477</v>
      </c>
      <c r="I4506" s="105" t="s">
        <v>3461</v>
      </c>
      <c r="J4506" s="105">
        <f t="shared" si="583"/>
        <v>35.200000000000003</v>
      </c>
      <c r="K4506" s="105">
        <f t="shared" si="584"/>
        <v>107.73333333333333</v>
      </c>
      <c r="L4506" s="105">
        <v>1220</v>
      </c>
      <c r="P4506" s="105">
        <v>589</v>
      </c>
      <c r="R4506" s="106" t="s">
        <v>1847</v>
      </c>
      <c r="S4506" s="106" t="s">
        <v>1722</v>
      </c>
      <c r="T4506" s="106" t="s">
        <v>1110</v>
      </c>
      <c r="U4506" s="106" t="s">
        <v>4478</v>
      </c>
      <c r="V4506" s="106" t="s">
        <v>4509</v>
      </c>
      <c r="W4506" s="106" t="s">
        <v>3498</v>
      </c>
      <c r="X4506" s="106" t="s">
        <v>4509</v>
      </c>
      <c r="Y4506" s="106" t="s">
        <v>4509</v>
      </c>
      <c r="AA4506" s="354"/>
      <c r="AB4506" s="354"/>
      <c r="AC4506" s="105" t="s">
        <v>450</v>
      </c>
      <c r="AD4506" s="105">
        <v>8.11</v>
      </c>
      <c r="AE4506" s="105">
        <v>1.2</v>
      </c>
      <c r="AH4506" s="105" t="s">
        <v>4481</v>
      </c>
      <c r="AI4506" s="105" t="s">
        <v>577</v>
      </c>
      <c r="AJ4506" s="105" t="s">
        <v>116</v>
      </c>
      <c r="AK4506" s="105" t="s">
        <v>116</v>
      </c>
      <c r="AW4506" s="105" t="s">
        <v>160</v>
      </c>
      <c r="AX4506" s="105">
        <v>3</v>
      </c>
      <c r="AZ4506" s="105" t="s">
        <v>2121</v>
      </c>
      <c r="BE4506" s="105" t="s">
        <v>4507</v>
      </c>
      <c r="BP4506" s="429"/>
      <c r="BQ4506" s="429"/>
      <c r="BU4506" s="429"/>
      <c r="BV4506" s="429"/>
      <c r="BZ4506" s="429"/>
      <c r="CA4506" s="429"/>
      <c r="CE4506" s="582"/>
      <c r="CF4506" s="582"/>
      <c r="CG4506" s="582"/>
      <c r="CH4506" s="582"/>
      <c r="FL4506" s="105">
        <v>100</v>
      </c>
      <c r="FM4506" s="105">
        <v>75.099999999999994</v>
      </c>
      <c r="FP4506" s="105" t="s">
        <v>3248</v>
      </c>
      <c r="JB4506" s="105" t="s">
        <v>4511</v>
      </c>
      <c r="JD4506" s="499"/>
    </row>
    <row r="4507" spans="1:264" s="126" customFormat="1" x14ac:dyDescent="0.25">
      <c r="A4507" s="126">
        <v>195</v>
      </c>
      <c r="B4507" s="478" t="s">
        <v>4515</v>
      </c>
      <c r="C4507" s="126" t="s">
        <v>1137</v>
      </c>
      <c r="D4507" s="126" t="s">
        <v>4512</v>
      </c>
      <c r="E4507" s="126">
        <v>2012</v>
      </c>
      <c r="F4507" s="126">
        <v>2009</v>
      </c>
      <c r="G4507" s="126" t="s">
        <v>1080</v>
      </c>
      <c r="H4507" s="126" t="s">
        <v>4514</v>
      </c>
      <c r="I4507" s="126" t="s">
        <v>3461</v>
      </c>
      <c r="J4507" s="126">
        <f t="shared" ref="J4507:J4564" si="585">29+52/60</f>
        <v>29.866666666666667</v>
      </c>
      <c r="K4507" s="126">
        <f t="shared" ref="K4507:K4564" si="586">112+52/60</f>
        <v>112.86666666666666</v>
      </c>
      <c r="L4507" s="126">
        <v>28</v>
      </c>
      <c r="M4507" s="126">
        <f>AVERAGE(2.7,6.76,17.56,21.14,28.16,30.28,33.33,32,28.42,22.05,15.69,10.25)</f>
        <v>20.695000000000004</v>
      </c>
      <c r="O4507" s="126">
        <f>SUM(53.78,18.15,97.67,118.86,115.81,117,60,265.7,35,217,111,8)</f>
        <v>1217.97</v>
      </c>
      <c r="R4507" s="478" t="s">
        <v>1847</v>
      </c>
      <c r="S4507" s="478" t="s">
        <v>1728</v>
      </c>
      <c r="T4507" s="478"/>
      <c r="U4507" s="478" t="s">
        <v>4513</v>
      </c>
      <c r="V4507" s="478" t="s">
        <v>1382</v>
      </c>
      <c r="W4507" s="478" t="s">
        <v>1717</v>
      </c>
      <c r="X4507" s="478" t="s">
        <v>1382</v>
      </c>
      <c r="Y4507" s="478" t="s">
        <v>1382</v>
      </c>
      <c r="Z4507" s="126">
        <v>1.18</v>
      </c>
      <c r="AA4507" s="479">
        <v>26.6</v>
      </c>
      <c r="AB4507" s="479">
        <v>60.7</v>
      </c>
      <c r="AC4507" s="126" t="s">
        <v>450</v>
      </c>
      <c r="AD4507" s="126">
        <v>6</v>
      </c>
      <c r="AE4507" s="126">
        <v>5.07</v>
      </c>
      <c r="AH4507" s="126" t="s">
        <v>115</v>
      </c>
      <c r="AI4507" s="126" t="s">
        <v>1581</v>
      </c>
      <c r="AJ4507" s="126" t="s">
        <v>1128</v>
      </c>
      <c r="AK4507" s="126" t="s">
        <v>1646</v>
      </c>
      <c r="AW4507" s="126" t="s">
        <v>160</v>
      </c>
      <c r="AX4507" s="126">
        <v>3</v>
      </c>
      <c r="AZ4507" s="126" t="s">
        <v>141</v>
      </c>
      <c r="BF4507" s="126">
        <v>8700</v>
      </c>
      <c r="BG4507" s="126">
        <v>6600</v>
      </c>
      <c r="BH4507" s="126">
        <v>900</v>
      </c>
      <c r="BI4507" s="126">
        <v>900</v>
      </c>
      <c r="BK4507" s="126">
        <v>5000</v>
      </c>
      <c r="BL4507" s="126">
        <v>3500</v>
      </c>
      <c r="BM4507" s="126">
        <v>500</v>
      </c>
      <c r="BN4507" s="126">
        <v>500</v>
      </c>
      <c r="BP4507" s="481">
        <v>0.998</v>
      </c>
      <c r="BQ4507" s="481">
        <v>0.87</v>
      </c>
      <c r="BR4507" s="481">
        <f>SQRT(3)*(1.035-BP4507)</f>
        <v>6.4085879880048324E-2</v>
      </c>
      <c r="BS4507" s="126">
        <f>(0.915-BQ4507)*SQRT(3)</f>
        <v>7.7942286340599548E-2</v>
      </c>
      <c r="BU4507" s="481"/>
      <c r="BV4507" s="481"/>
      <c r="BZ4507" s="481"/>
      <c r="CA4507" s="481"/>
      <c r="CE4507" s="605"/>
      <c r="CF4507" s="605"/>
      <c r="CG4507" s="605"/>
      <c r="CH4507" s="605"/>
      <c r="JD4507" s="480"/>
    </row>
    <row r="4508" spans="1:264" s="126" customFormat="1" x14ac:dyDescent="0.25">
      <c r="A4508" s="126">
        <v>195</v>
      </c>
      <c r="B4508" s="478" t="s">
        <v>4516</v>
      </c>
      <c r="C4508" s="126" t="s">
        <v>1137</v>
      </c>
      <c r="D4508" s="126" t="s">
        <v>4512</v>
      </c>
      <c r="E4508" s="126">
        <v>2012</v>
      </c>
      <c r="F4508" s="126">
        <v>2009</v>
      </c>
      <c r="G4508" s="126" t="s">
        <v>1080</v>
      </c>
      <c r="H4508" s="126" t="s">
        <v>4514</v>
      </c>
      <c r="I4508" s="126" t="s">
        <v>3461</v>
      </c>
      <c r="J4508" s="126">
        <f t="shared" si="585"/>
        <v>29.866666666666667</v>
      </c>
      <c r="K4508" s="126">
        <f t="shared" si="586"/>
        <v>112.86666666666666</v>
      </c>
      <c r="L4508" s="126">
        <v>28</v>
      </c>
      <c r="M4508" s="126">
        <f>AVERAGE(2.7,6.76,17.56,21.14,28.16,30.28,33.33,32,28.42,22.05,15.69,10.25)</f>
        <v>20.695000000000004</v>
      </c>
      <c r="O4508" s="126">
        <f>SUM(53.78,18.15,97.67,118.86,115.81,117,60,265.7,35,217,111,8)</f>
        <v>1217.97</v>
      </c>
      <c r="R4508" s="478" t="s">
        <v>1847</v>
      </c>
      <c r="S4508" s="478" t="s">
        <v>1728</v>
      </c>
      <c r="T4508" s="478"/>
      <c r="U4508" s="478" t="s">
        <v>4513</v>
      </c>
      <c r="V4508" s="478" t="s">
        <v>1382</v>
      </c>
      <c r="W4508" s="478" t="s">
        <v>1717</v>
      </c>
      <c r="X4508" s="478" t="s">
        <v>1382</v>
      </c>
      <c r="Y4508" s="478" t="s">
        <v>1382</v>
      </c>
      <c r="Z4508" s="126">
        <v>1.18</v>
      </c>
      <c r="AA4508" s="479">
        <v>26.6</v>
      </c>
      <c r="AB4508" s="479">
        <v>60.7</v>
      </c>
      <c r="AC4508" s="126" t="s">
        <v>450</v>
      </c>
      <c r="AD4508" s="126">
        <v>6</v>
      </c>
      <c r="AE4508" s="126">
        <v>5.07</v>
      </c>
      <c r="AH4508" s="126" t="s">
        <v>3657</v>
      </c>
      <c r="AI4508" s="126" t="s">
        <v>577</v>
      </c>
      <c r="AJ4508" s="126" t="s">
        <v>1128</v>
      </c>
      <c r="AK4508" s="126" t="s">
        <v>1646</v>
      </c>
      <c r="AW4508" s="126" t="s">
        <v>160</v>
      </c>
      <c r="AX4508" s="126">
        <v>3</v>
      </c>
      <c r="AZ4508" s="126" t="s">
        <v>141</v>
      </c>
      <c r="BF4508" s="126">
        <v>8700</v>
      </c>
      <c r="BG4508" s="126">
        <v>8900</v>
      </c>
      <c r="BH4508" s="126">
        <v>900</v>
      </c>
      <c r="BI4508" s="126">
        <v>900</v>
      </c>
      <c r="BK4508" s="126">
        <v>5000</v>
      </c>
      <c r="BL4508" s="126">
        <v>5100</v>
      </c>
      <c r="BM4508" s="126">
        <v>500</v>
      </c>
      <c r="BN4508" s="126">
        <v>500</v>
      </c>
      <c r="BP4508" s="481">
        <v>0.998</v>
      </c>
      <c r="BQ4508" s="481">
        <v>0.86</v>
      </c>
      <c r="BR4508" s="481">
        <f>SQRT(3)*(1.035-BP4508)</f>
        <v>6.4085879880048324E-2</v>
      </c>
      <c r="BS4508" s="126">
        <f>(0.91-BQ4508)*SQRT(3)</f>
        <v>8.6602540378443935E-2</v>
      </c>
      <c r="BU4508" s="481"/>
      <c r="BV4508" s="481"/>
      <c r="BZ4508" s="481"/>
      <c r="CA4508" s="481"/>
      <c r="CE4508" s="605"/>
      <c r="CF4508" s="605"/>
      <c r="CG4508" s="605"/>
      <c r="CH4508" s="605"/>
      <c r="JD4508" s="480"/>
    </row>
    <row r="4509" spans="1:264" s="36" customFormat="1" x14ac:dyDescent="0.25">
      <c r="A4509" s="36">
        <v>195</v>
      </c>
      <c r="B4509" s="51" t="s">
        <v>4517</v>
      </c>
      <c r="C4509" s="36" t="s">
        <v>1137</v>
      </c>
      <c r="D4509" s="36" t="s">
        <v>4512</v>
      </c>
      <c r="E4509" s="36">
        <v>2012</v>
      </c>
      <c r="F4509" s="36">
        <v>2010</v>
      </c>
      <c r="G4509" s="36" t="s">
        <v>1080</v>
      </c>
      <c r="H4509" s="36" t="s">
        <v>4514</v>
      </c>
      <c r="I4509" s="36" t="s">
        <v>3461</v>
      </c>
      <c r="J4509" s="36">
        <f t="shared" si="585"/>
        <v>29.866666666666667</v>
      </c>
      <c r="K4509" s="36">
        <f t="shared" si="586"/>
        <v>112.86666666666666</v>
      </c>
      <c r="L4509" s="36">
        <v>28</v>
      </c>
      <c r="M4509" s="36">
        <f>AVERAGE(6.4,11.18,13.96,20.19,25.22,32.12,33.97,32.91,28.66,24.82,11.95,8.11)</f>
        <v>20.790833333333328</v>
      </c>
      <c r="O4509" s="36">
        <f>SUM(17,91.36,91,230.7,126,221.58,136.7,17,44,26,62.38,41)</f>
        <v>1104.72</v>
      </c>
      <c r="R4509" s="51" t="s">
        <v>1847</v>
      </c>
      <c r="S4509" s="51" t="s">
        <v>1728</v>
      </c>
      <c r="T4509" s="51"/>
      <c r="U4509" s="51" t="s">
        <v>4513</v>
      </c>
      <c r="V4509" s="51" t="s">
        <v>1382</v>
      </c>
      <c r="W4509" s="51" t="s">
        <v>1717</v>
      </c>
      <c r="X4509" s="51" t="s">
        <v>1382</v>
      </c>
      <c r="Y4509" s="51" t="s">
        <v>1382</v>
      </c>
      <c r="Z4509" s="36">
        <v>1.18</v>
      </c>
      <c r="AA4509" s="331">
        <v>26.6</v>
      </c>
      <c r="AB4509" s="331">
        <v>60.7</v>
      </c>
      <c r="AC4509" s="36" t="s">
        <v>450</v>
      </c>
      <c r="AD4509" s="36">
        <v>6</v>
      </c>
      <c r="AE4509" s="36">
        <v>5.07</v>
      </c>
      <c r="AH4509" s="36" t="s">
        <v>115</v>
      </c>
      <c r="AI4509" s="36" t="s">
        <v>1581</v>
      </c>
      <c r="AJ4509" s="36" t="s">
        <v>1128</v>
      </c>
      <c r="AK4509" s="36" t="s">
        <v>1646</v>
      </c>
      <c r="AW4509" s="36" t="s">
        <v>160</v>
      </c>
      <c r="AX4509" s="36">
        <v>3</v>
      </c>
      <c r="AZ4509" s="36" t="s">
        <v>141</v>
      </c>
      <c r="BF4509" s="36">
        <v>7800</v>
      </c>
      <c r="BG4509" s="36">
        <v>7100</v>
      </c>
      <c r="BH4509" s="36">
        <v>1400</v>
      </c>
      <c r="BI4509" s="36">
        <v>1400</v>
      </c>
      <c r="BK4509" s="36">
        <v>4600</v>
      </c>
      <c r="BL4509" s="36">
        <v>4100</v>
      </c>
      <c r="BM4509" s="36">
        <v>600</v>
      </c>
      <c r="BN4509" s="36">
        <v>600</v>
      </c>
      <c r="BP4509" s="407">
        <v>0.86</v>
      </c>
      <c r="BQ4509" s="407">
        <v>0.71</v>
      </c>
      <c r="BR4509" s="36">
        <v>0.05</v>
      </c>
      <c r="BS4509" s="36">
        <v>0.03</v>
      </c>
      <c r="BU4509" s="407"/>
      <c r="BV4509" s="407"/>
      <c r="BZ4509" s="407"/>
      <c r="CA4509" s="407"/>
      <c r="CE4509" s="560"/>
      <c r="CF4509" s="560"/>
      <c r="CG4509" s="560"/>
      <c r="CH4509" s="560"/>
      <c r="JD4509" s="230"/>
    </row>
    <row r="4510" spans="1:264" s="36" customFormat="1" x14ac:dyDescent="0.25">
      <c r="A4510" s="36">
        <v>195</v>
      </c>
      <c r="B4510" s="51" t="s">
        <v>4518</v>
      </c>
      <c r="C4510" s="36" t="s">
        <v>1137</v>
      </c>
      <c r="D4510" s="36" t="s">
        <v>4512</v>
      </c>
      <c r="E4510" s="36">
        <v>2012</v>
      </c>
      <c r="F4510" s="36">
        <v>2010</v>
      </c>
      <c r="G4510" s="36" t="s">
        <v>1080</v>
      </c>
      <c r="H4510" s="36" t="s">
        <v>4514</v>
      </c>
      <c r="I4510" s="36" t="s">
        <v>3461</v>
      </c>
      <c r="J4510" s="36">
        <f t="shared" si="585"/>
        <v>29.866666666666667</v>
      </c>
      <c r="K4510" s="36">
        <f t="shared" si="586"/>
        <v>112.86666666666666</v>
      </c>
      <c r="L4510" s="36">
        <v>28</v>
      </c>
      <c r="M4510" s="36">
        <f>AVERAGE(6.4,11.18,13.96,20.19,25.22,32.12,33.97,32.91,28.66,24.82,11.95,8.11)</f>
        <v>20.790833333333328</v>
      </c>
      <c r="O4510" s="36">
        <f>SUM(17,91.36,91,230.7,126,221.58,136.7,17,44,26,62.38,41)</f>
        <v>1104.72</v>
      </c>
      <c r="R4510" s="51" t="s">
        <v>1847</v>
      </c>
      <c r="S4510" s="51" t="s">
        <v>1728</v>
      </c>
      <c r="T4510" s="51"/>
      <c r="U4510" s="51" t="s">
        <v>4513</v>
      </c>
      <c r="V4510" s="51" t="s">
        <v>1382</v>
      </c>
      <c r="W4510" s="51" t="s">
        <v>1717</v>
      </c>
      <c r="X4510" s="51" t="s">
        <v>1382</v>
      </c>
      <c r="Y4510" s="51" t="s">
        <v>1382</v>
      </c>
      <c r="Z4510" s="36">
        <v>1.18</v>
      </c>
      <c r="AA4510" s="331">
        <v>26.6</v>
      </c>
      <c r="AB4510" s="331">
        <v>60.7</v>
      </c>
      <c r="AC4510" s="36" t="s">
        <v>450</v>
      </c>
      <c r="AD4510" s="36">
        <v>6</v>
      </c>
      <c r="AE4510" s="36">
        <v>5.07</v>
      </c>
      <c r="AH4510" s="36" t="s">
        <v>3657</v>
      </c>
      <c r="AI4510" s="36" t="s">
        <v>577</v>
      </c>
      <c r="AJ4510" s="36" t="s">
        <v>1128</v>
      </c>
      <c r="AK4510" s="36" t="s">
        <v>1646</v>
      </c>
      <c r="AW4510" s="36" t="s">
        <v>160</v>
      </c>
      <c r="AX4510" s="36">
        <v>3</v>
      </c>
      <c r="AZ4510" s="36" t="s">
        <v>141</v>
      </c>
      <c r="BF4510" s="36">
        <v>7800</v>
      </c>
      <c r="BG4510" s="36">
        <v>9300</v>
      </c>
      <c r="BH4510" s="36">
        <v>1400</v>
      </c>
      <c r="BI4510" s="36">
        <v>1400</v>
      </c>
      <c r="BK4510" s="36">
        <v>4600</v>
      </c>
      <c r="BL4510" s="36">
        <v>5600</v>
      </c>
      <c r="BM4510" s="36">
        <v>600</v>
      </c>
      <c r="BN4510" s="36">
        <v>600</v>
      </c>
      <c r="BP4510" s="407">
        <v>0.86</v>
      </c>
      <c r="BQ4510" s="407">
        <v>0.73</v>
      </c>
      <c r="BR4510" s="36">
        <v>0.05</v>
      </c>
      <c r="BS4510" s="36">
        <v>0.03</v>
      </c>
      <c r="BU4510" s="407"/>
      <c r="BV4510" s="407"/>
      <c r="BZ4510" s="407"/>
      <c r="CA4510" s="407"/>
      <c r="CE4510" s="560"/>
      <c r="CF4510" s="560"/>
      <c r="CG4510" s="560"/>
      <c r="CH4510" s="560"/>
      <c r="JD4510" s="230"/>
    </row>
    <row r="4511" spans="1:264" s="126" customFormat="1" x14ac:dyDescent="0.25">
      <c r="A4511" s="126">
        <v>195</v>
      </c>
      <c r="B4511" s="478" t="s">
        <v>4515</v>
      </c>
      <c r="C4511" s="126" t="s">
        <v>1137</v>
      </c>
      <c r="D4511" s="126" t="s">
        <v>4512</v>
      </c>
      <c r="E4511" s="126">
        <v>2012</v>
      </c>
      <c r="F4511" s="126">
        <v>2009</v>
      </c>
      <c r="G4511" s="126" t="s">
        <v>1080</v>
      </c>
      <c r="H4511" s="126" t="s">
        <v>4514</v>
      </c>
      <c r="I4511" s="126" t="s">
        <v>3461</v>
      </c>
      <c r="J4511" s="126">
        <f t="shared" si="585"/>
        <v>29.866666666666667</v>
      </c>
      <c r="K4511" s="126">
        <f t="shared" si="586"/>
        <v>112.86666666666666</v>
      </c>
      <c r="L4511" s="126">
        <v>28</v>
      </c>
      <c r="M4511" s="126">
        <f>AVERAGE(2.7,6.76,17.56,21.14,28.16,30.28,33.33,32,28.42,22.05,15.69,10.25)</f>
        <v>20.695000000000004</v>
      </c>
      <c r="O4511" s="126">
        <f>SUM(53.78,18.15,97.67,118.86,115.81,117,60,265.7,35,217,111,8)</f>
        <v>1217.97</v>
      </c>
      <c r="R4511" s="478" t="s">
        <v>1728</v>
      </c>
      <c r="S4511" s="478" t="s">
        <v>1728</v>
      </c>
      <c r="T4511" s="478"/>
      <c r="U4511" s="478" t="s">
        <v>4513</v>
      </c>
      <c r="V4511" s="478" t="s">
        <v>1390</v>
      </c>
      <c r="W4511" s="478" t="s">
        <v>1717</v>
      </c>
      <c r="X4511" s="478" t="s">
        <v>1390</v>
      </c>
      <c r="Y4511" s="478" t="s">
        <v>1390</v>
      </c>
      <c r="Z4511" s="126">
        <v>1.18</v>
      </c>
      <c r="AA4511" s="479">
        <v>26.6</v>
      </c>
      <c r="AB4511" s="479">
        <v>60.7</v>
      </c>
      <c r="AC4511" s="126" t="s">
        <v>450</v>
      </c>
      <c r="AD4511" s="126">
        <v>6</v>
      </c>
      <c r="AE4511" s="126">
        <v>5.07</v>
      </c>
      <c r="AH4511" s="126" t="s">
        <v>115</v>
      </c>
      <c r="AI4511" s="126" t="s">
        <v>1581</v>
      </c>
      <c r="AJ4511" s="126" t="s">
        <v>1128</v>
      </c>
      <c r="AK4511" s="126" t="s">
        <v>1646</v>
      </c>
      <c r="AW4511" s="126" t="s">
        <v>160</v>
      </c>
      <c r="AX4511" s="126">
        <v>3</v>
      </c>
      <c r="AZ4511" s="126" t="s">
        <v>141</v>
      </c>
      <c r="BF4511" s="126">
        <v>9400</v>
      </c>
      <c r="BG4511" s="126">
        <v>9600</v>
      </c>
      <c r="BH4511" s="126">
        <v>900</v>
      </c>
      <c r="BI4511" s="126">
        <v>900</v>
      </c>
      <c r="BK4511" s="126">
        <v>4700</v>
      </c>
      <c r="BL4511" s="126">
        <v>4500</v>
      </c>
      <c r="BM4511" s="126">
        <v>400</v>
      </c>
      <c r="BN4511" s="126">
        <v>400</v>
      </c>
      <c r="BP4511" s="481">
        <v>1.18</v>
      </c>
      <c r="BQ4511" s="481">
        <v>1.05</v>
      </c>
      <c r="BR4511" s="126">
        <v>4.8843832773442342E-2</v>
      </c>
      <c r="BS4511" s="126">
        <v>0.03</v>
      </c>
      <c r="BU4511" s="481"/>
      <c r="BV4511" s="481"/>
      <c r="BZ4511" s="481"/>
      <c r="CA4511" s="481"/>
      <c r="CE4511" s="605"/>
      <c r="CF4511" s="605"/>
      <c r="CG4511" s="605"/>
      <c r="CH4511" s="605"/>
      <c r="JD4511" s="480"/>
    </row>
    <row r="4512" spans="1:264" s="126" customFormat="1" x14ac:dyDescent="0.25">
      <c r="A4512" s="126">
        <v>195</v>
      </c>
      <c r="B4512" s="478" t="s">
        <v>4516</v>
      </c>
      <c r="C4512" s="126" t="s">
        <v>1137</v>
      </c>
      <c r="D4512" s="126" t="s">
        <v>4512</v>
      </c>
      <c r="E4512" s="126">
        <v>2012</v>
      </c>
      <c r="F4512" s="126">
        <v>2009</v>
      </c>
      <c r="G4512" s="126" t="s">
        <v>1080</v>
      </c>
      <c r="H4512" s="126" t="s">
        <v>4514</v>
      </c>
      <c r="I4512" s="126" t="s">
        <v>3461</v>
      </c>
      <c r="J4512" s="126">
        <f t="shared" si="585"/>
        <v>29.866666666666667</v>
      </c>
      <c r="K4512" s="126">
        <f t="shared" si="586"/>
        <v>112.86666666666666</v>
      </c>
      <c r="L4512" s="126">
        <v>28</v>
      </c>
      <c r="M4512" s="126">
        <f>AVERAGE(2.7,6.76,17.56,21.14,28.16,30.28,33.33,32,28.42,22.05,15.69,10.25)</f>
        <v>20.695000000000004</v>
      </c>
      <c r="O4512" s="126">
        <f>SUM(53.78,18.15,97.67,118.86,115.81,117,60,265.7,35,217,111,8)</f>
        <v>1217.97</v>
      </c>
      <c r="R4512" s="478" t="s">
        <v>1728</v>
      </c>
      <c r="S4512" s="478" t="s">
        <v>1728</v>
      </c>
      <c r="T4512" s="478"/>
      <c r="U4512" s="478" t="s">
        <v>4513</v>
      </c>
      <c r="V4512" s="478" t="s">
        <v>1390</v>
      </c>
      <c r="W4512" s="478" t="s">
        <v>1717</v>
      </c>
      <c r="X4512" s="478" t="s">
        <v>1390</v>
      </c>
      <c r="Y4512" s="478" t="s">
        <v>1390</v>
      </c>
      <c r="Z4512" s="126">
        <v>1.18</v>
      </c>
      <c r="AA4512" s="479">
        <v>26.6</v>
      </c>
      <c r="AB4512" s="479">
        <v>60.7</v>
      </c>
      <c r="AC4512" s="126" t="s">
        <v>450</v>
      </c>
      <c r="AD4512" s="126">
        <v>6</v>
      </c>
      <c r="AE4512" s="126">
        <v>5.07</v>
      </c>
      <c r="AH4512" s="126" t="s">
        <v>3657</v>
      </c>
      <c r="AI4512" s="126" t="s">
        <v>577</v>
      </c>
      <c r="AJ4512" s="126" t="s">
        <v>1128</v>
      </c>
      <c r="AK4512" s="126" t="s">
        <v>1646</v>
      </c>
      <c r="AW4512" s="126" t="s">
        <v>160</v>
      </c>
      <c r="AX4512" s="126">
        <v>3</v>
      </c>
      <c r="AZ4512" s="126" t="s">
        <v>141</v>
      </c>
      <c r="BF4512" s="126">
        <v>9400</v>
      </c>
      <c r="BG4512" s="126">
        <v>9500</v>
      </c>
      <c r="BH4512" s="126">
        <v>900</v>
      </c>
      <c r="BI4512" s="126">
        <v>900</v>
      </c>
      <c r="BK4512" s="126">
        <v>4700</v>
      </c>
      <c r="BL4512" s="126">
        <v>4900</v>
      </c>
      <c r="BM4512" s="126">
        <v>400</v>
      </c>
      <c r="BN4512" s="126">
        <v>400</v>
      </c>
      <c r="BP4512" s="481">
        <v>1.18</v>
      </c>
      <c r="BQ4512" s="481">
        <v>1.0569999999999999</v>
      </c>
      <c r="BR4512" s="126">
        <v>4.8843832773442342E-2</v>
      </c>
      <c r="BS4512" s="126">
        <v>3.4641016151377574E-2</v>
      </c>
      <c r="BU4512" s="481"/>
      <c r="BV4512" s="481"/>
      <c r="BZ4512" s="481"/>
      <c r="CA4512" s="481"/>
      <c r="CE4512" s="605"/>
      <c r="CF4512" s="605"/>
      <c r="CG4512" s="605"/>
      <c r="CH4512" s="605"/>
      <c r="JD4512" s="480"/>
    </row>
    <row r="4513" spans="1:264" s="36" customFormat="1" x14ac:dyDescent="0.25">
      <c r="A4513" s="36">
        <v>195</v>
      </c>
      <c r="B4513" s="51" t="s">
        <v>4517</v>
      </c>
      <c r="C4513" s="36" t="s">
        <v>1137</v>
      </c>
      <c r="D4513" s="36" t="s">
        <v>4512</v>
      </c>
      <c r="E4513" s="36">
        <v>2012</v>
      </c>
      <c r="F4513" s="36">
        <v>2010</v>
      </c>
      <c r="G4513" s="36" t="s">
        <v>1080</v>
      </c>
      <c r="H4513" s="36" t="s">
        <v>4514</v>
      </c>
      <c r="I4513" s="36" t="s">
        <v>3461</v>
      </c>
      <c r="J4513" s="36">
        <f t="shared" si="585"/>
        <v>29.866666666666667</v>
      </c>
      <c r="K4513" s="36">
        <f t="shared" si="586"/>
        <v>112.86666666666666</v>
      </c>
      <c r="L4513" s="36">
        <v>28</v>
      </c>
      <c r="M4513" s="36">
        <f>AVERAGE(6.4,11.18,13.96,20.19,25.22,32.12,33.97,32.91,28.66,24.82,11.95,8.11)</f>
        <v>20.790833333333328</v>
      </c>
      <c r="O4513" s="36">
        <f>SUM(17,91.36,91,230.7,126,221.58,136.7,17,44,26,62.38,41)</f>
        <v>1104.72</v>
      </c>
      <c r="R4513" s="51" t="s">
        <v>1728</v>
      </c>
      <c r="S4513" s="51" t="s">
        <v>1728</v>
      </c>
      <c r="T4513" s="51"/>
      <c r="U4513" s="51" t="s">
        <v>4513</v>
      </c>
      <c r="V4513" s="51" t="s">
        <v>1390</v>
      </c>
      <c r="W4513" s="51" t="s">
        <v>1717</v>
      </c>
      <c r="X4513" s="51" t="s">
        <v>1390</v>
      </c>
      <c r="Y4513" s="51" t="s">
        <v>1390</v>
      </c>
      <c r="Z4513" s="36">
        <v>1.18</v>
      </c>
      <c r="AA4513" s="331">
        <v>26.6</v>
      </c>
      <c r="AB4513" s="331">
        <v>60.7</v>
      </c>
      <c r="AC4513" s="36" t="s">
        <v>450</v>
      </c>
      <c r="AD4513" s="36">
        <v>6</v>
      </c>
      <c r="AE4513" s="36">
        <v>5.07</v>
      </c>
      <c r="AH4513" s="36" t="s">
        <v>115</v>
      </c>
      <c r="AI4513" s="36" t="s">
        <v>1581</v>
      </c>
      <c r="AJ4513" s="36" t="s">
        <v>1128</v>
      </c>
      <c r="AK4513" s="36" t="s">
        <v>1646</v>
      </c>
      <c r="AW4513" s="36" t="s">
        <v>160</v>
      </c>
      <c r="AX4513" s="36">
        <v>3</v>
      </c>
      <c r="AZ4513" s="36" t="s">
        <v>141</v>
      </c>
      <c r="BF4513" s="36">
        <v>9200</v>
      </c>
      <c r="BG4513" s="36">
        <v>8900</v>
      </c>
      <c r="BH4513" s="36">
        <v>800</v>
      </c>
      <c r="BI4513" s="36">
        <v>800</v>
      </c>
      <c r="BK4513" s="36">
        <v>4500</v>
      </c>
      <c r="BL4513" s="36">
        <v>4400</v>
      </c>
      <c r="BM4513" s="36">
        <v>400</v>
      </c>
      <c r="BN4513" s="36">
        <v>400</v>
      </c>
      <c r="BP4513" s="407">
        <v>1.087</v>
      </c>
      <c r="BQ4513" s="407">
        <v>0.87</v>
      </c>
      <c r="BR4513" s="36">
        <v>0.06</v>
      </c>
      <c r="BS4513" s="36">
        <v>7.0000000000000007E-2</v>
      </c>
      <c r="BU4513" s="407"/>
      <c r="BV4513" s="407"/>
      <c r="BZ4513" s="407"/>
      <c r="CA4513" s="407"/>
      <c r="CE4513" s="560"/>
      <c r="CF4513" s="560"/>
      <c r="CG4513" s="560"/>
      <c r="CH4513" s="560"/>
      <c r="JD4513" s="230"/>
    </row>
    <row r="4514" spans="1:264" s="36" customFormat="1" x14ac:dyDescent="0.25">
      <c r="A4514" s="36">
        <v>195</v>
      </c>
      <c r="B4514" s="51" t="s">
        <v>4518</v>
      </c>
      <c r="C4514" s="36" t="s">
        <v>1137</v>
      </c>
      <c r="D4514" s="36" t="s">
        <v>4512</v>
      </c>
      <c r="E4514" s="36">
        <v>2012</v>
      </c>
      <c r="F4514" s="36">
        <v>2010</v>
      </c>
      <c r="G4514" s="36" t="s">
        <v>1080</v>
      </c>
      <c r="H4514" s="36" t="s">
        <v>4514</v>
      </c>
      <c r="I4514" s="36" t="s">
        <v>3461</v>
      </c>
      <c r="J4514" s="36">
        <f t="shared" si="585"/>
        <v>29.866666666666667</v>
      </c>
      <c r="K4514" s="36">
        <f t="shared" si="586"/>
        <v>112.86666666666666</v>
      </c>
      <c r="L4514" s="36">
        <v>28</v>
      </c>
      <c r="M4514" s="36">
        <f>AVERAGE(6.4,11.18,13.96,20.19,25.22,32.12,33.97,32.91,28.66,24.82,11.95,8.11)</f>
        <v>20.790833333333328</v>
      </c>
      <c r="O4514" s="36">
        <f>SUM(17,91.36,91,230.7,126,221.58,136.7,17,44,26,62.38,41)</f>
        <v>1104.72</v>
      </c>
      <c r="R4514" s="51" t="s">
        <v>1728</v>
      </c>
      <c r="S4514" s="51" t="s">
        <v>1728</v>
      </c>
      <c r="T4514" s="51"/>
      <c r="U4514" s="51" t="s">
        <v>4513</v>
      </c>
      <c r="V4514" s="51" t="s">
        <v>1390</v>
      </c>
      <c r="W4514" s="51" t="s">
        <v>1717</v>
      </c>
      <c r="X4514" s="51" t="s">
        <v>1390</v>
      </c>
      <c r="Y4514" s="51" t="s">
        <v>1390</v>
      </c>
      <c r="Z4514" s="36">
        <v>1.18</v>
      </c>
      <c r="AA4514" s="331">
        <v>26.6</v>
      </c>
      <c r="AB4514" s="331">
        <v>60.7</v>
      </c>
      <c r="AC4514" s="36" t="s">
        <v>450</v>
      </c>
      <c r="AD4514" s="36">
        <v>6</v>
      </c>
      <c r="AE4514" s="36">
        <v>5.07</v>
      </c>
      <c r="AH4514" s="36" t="s">
        <v>3657</v>
      </c>
      <c r="AI4514" s="36" t="s">
        <v>577</v>
      </c>
      <c r="AJ4514" s="36" t="s">
        <v>1128</v>
      </c>
      <c r="AK4514" s="36" t="s">
        <v>1646</v>
      </c>
      <c r="AW4514" s="36" t="s">
        <v>160</v>
      </c>
      <c r="AX4514" s="36">
        <v>3</v>
      </c>
      <c r="AZ4514" s="36" t="s">
        <v>141</v>
      </c>
      <c r="BF4514" s="36">
        <v>9200</v>
      </c>
      <c r="BG4514" s="36">
        <v>10100</v>
      </c>
      <c r="BH4514" s="36">
        <v>800</v>
      </c>
      <c r="BI4514" s="36">
        <v>800</v>
      </c>
      <c r="BK4514" s="36">
        <v>4500</v>
      </c>
      <c r="BL4514" s="36">
        <v>4600</v>
      </c>
      <c r="BM4514" s="36">
        <v>400</v>
      </c>
      <c r="BN4514" s="36">
        <v>400</v>
      </c>
      <c r="BP4514" s="407">
        <v>1.087</v>
      </c>
      <c r="BQ4514" s="407">
        <v>1.02</v>
      </c>
      <c r="BR4514" s="36">
        <v>0.06</v>
      </c>
      <c r="BS4514" s="36">
        <v>7.0000000000000007E-2</v>
      </c>
      <c r="BU4514" s="407"/>
      <c r="BV4514" s="407"/>
      <c r="BZ4514" s="407"/>
      <c r="CA4514" s="407"/>
      <c r="CE4514" s="560"/>
      <c r="CF4514" s="560"/>
      <c r="CG4514" s="560"/>
      <c r="CH4514" s="560"/>
      <c r="JD4514" s="230"/>
    </row>
    <row r="4515" spans="1:264" s="126" customFormat="1" x14ac:dyDescent="0.25">
      <c r="A4515" s="126">
        <v>195</v>
      </c>
      <c r="B4515" s="478" t="s">
        <v>4515</v>
      </c>
      <c r="C4515" s="126" t="s">
        <v>1137</v>
      </c>
      <c r="D4515" s="126" t="s">
        <v>4512</v>
      </c>
      <c r="E4515" s="126">
        <v>2012</v>
      </c>
      <c r="F4515" s="126">
        <v>2009</v>
      </c>
      <c r="G4515" s="126" t="s">
        <v>1080</v>
      </c>
      <c r="H4515" s="126" t="s">
        <v>4514</v>
      </c>
      <c r="I4515" s="126" t="s">
        <v>3461</v>
      </c>
      <c r="J4515" s="126">
        <f t="shared" si="585"/>
        <v>29.866666666666667</v>
      </c>
      <c r="K4515" s="126">
        <f t="shared" si="586"/>
        <v>112.86666666666666</v>
      </c>
      <c r="L4515" s="126">
        <v>28</v>
      </c>
      <c r="M4515" s="126">
        <f>AVERAGE(2.7,6.76,17.56,21.14,28.16,30.28,33.33,32,28.42,22.05,15.69,10.25)</f>
        <v>20.695000000000004</v>
      </c>
      <c r="O4515" s="126">
        <f>SUM(53.78,18.15,97.67,118.86,115.81,117,60,265.7,35,217,111,8)</f>
        <v>1217.97</v>
      </c>
      <c r="R4515" s="478" t="s">
        <v>1847</v>
      </c>
      <c r="S4515" s="478" t="s">
        <v>1728</v>
      </c>
      <c r="T4515" s="478"/>
      <c r="U4515" s="478" t="s">
        <v>4513</v>
      </c>
      <c r="V4515" s="478" t="s">
        <v>1388</v>
      </c>
      <c r="W4515" s="478" t="s">
        <v>1719</v>
      </c>
      <c r="X4515" s="478" t="s">
        <v>1388</v>
      </c>
      <c r="Y4515" s="478" t="s">
        <v>1388</v>
      </c>
      <c r="Z4515" s="126">
        <v>1.18</v>
      </c>
      <c r="AA4515" s="479">
        <v>26.6</v>
      </c>
      <c r="AB4515" s="479">
        <v>60.7</v>
      </c>
      <c r="AC4515" s="126" t="s">
        <v>450</v>
      </c>
      <c r="AD4515" s="126">
        <v>6</v>
      </c>
      <c r="AE4515" s="126">
        <v>5.07</v>
      </c>
      <c r="AH4515" s="126" t="s">
        <v>115</v>
      </c>
      <c r="AI4515" s="126" t="s">
        <v>1581</v>
      </c>
      <c r="AJ4515" s="126" t="s">
        <v>1128</v>
      </c>
      <c r="AK4515" s="126" t="s">
        <v>1646</v>
      </c>
      <c r="AW4515" s="126" t="s">
        <v>160</v>
      </c>
      <c r="AX4515" s="126">
        <v>3</v>
      </c>
      <c r="AZ4515" s="126" t="s">
        <v>141</v>
      </c>
      <c r="BP4515" s="481"/>
      <c r="BQ4515" s="481"/>
      <c r="BR4515" s="481"/>
      <c r="BU4515" s="481"/>
      <c r="BV4515" s="481"/>
      <c r="BZ4515" s="481"/>
      <c r="CA4515" s="481"/>
      <c r="CE4515" s="605"/>
      <c r="CF4515" s="605"/>
      <c r="CG4515" s="605"/>
      <c r="CH4515" s="605"/>
      <c r="CJ4515" s="126">
        <v>1.7</v>
      </c>
      <c r="CK4515" s="126">
        <v>1.5</v>
      </c>
      <c r="CL4515" s="126">
        <v>0.3</v>
      </c>
      <c r="CM4515" s="126">
        <v>0.3</v>
      </c>
      <c r="CN4515" s="126" t="s">
        <v>4519</v>
      </c>
      <c r="JD4515" s="480"/>
    </row>
    <row r="4516" spans="1:264" s="126" customFormat="1" x14ac:dyDescent="0.25">
      <c r="A4516" s="126">
        <v>195</v>
      </c>
      <c r="B4516" s="478" t="s">
        <v>4516</v>
      </c>
      <c r="C4516" s="126" t="s">
        <v>1137</v>
      </c>
      <c r="D4516" s="126" t="s">
        <v>4512</v>
      </c>
      <c r="E4516" s="126">
        <v>2012</v>
      </c>
      <c r="F4516" s="126">
        <v>2009</v>
      </c>
      <c r="G4516" s="126" t="s">
        <v>1080</v>
      </c>
      <c r="H4516" s="126" t="s">
        <v>4514</v>
      </c>
      <c r="I4516" s="126" t="s">
        <v>3461</v>
      </c>
      <c r="J4516" s="126">
        <f t="shared" si="585"/>
        <v>29.866666666666667</v>
      </c>
      <c r="K4516" s="126">
        <f t="shared" si="586"/>
        <v>112.86666666666666</v>
      </c>
      <c r="L4516" s="126">
        <v>28</v>
      </c>
      <c r="M4516" s="126">
        <f>AVERAGE(2.7,6.76,17.56,21.14,28.16,30.28,33.33,32,28.42,22.05,15.69,10.25)</f>
        <v>20.695000000000004</v>
      </c>
      <c r="O4516" s="126">
        <f>SUM(53.78,18.15,97.67,118.86,115.81,117,60,265.7,35,217,111,8)</f>
        <v>1217.97</v>
      </c>
      <c r="R4516" s="478" t="s">
        <v>1847</v>
      </c>
      <c r="S4516" s="478" t="s">
        <v>1728</v>
      </c>
      <c r="T4516" s="478"/>
      <c r="U4516" s="478" t="s">
        <v>4513</v>
      </c>
      <c r="V4516" s="478" t="s">
        <v>1388</v>
      </c>
      <c r="W4516" s="478" t="s">
        <v>1719</v>
      </c>
      <c r="X4516" s="478" t="s">
        <v>1388</v>
      </c>
      <c r="Y4516" s="478" t="s">
        <v>1388</v>
      </c>
      <c r="Z4516" s="126">
        <v>1.18</v>
      </c>
      <c r="AA4516" s="479">
        <v>26.6</v>
      </c>
      <c r="AB4516" s="479">
        <v>60.7</v>
      </c>
      <c r="AC4516" s="126" t="s">
        <v>450</v>
      </c>
      <c r="AD4516" s="126">
        <v>6</v>
      </c>
      <c r="AE4516" s="126">
        <v>5.07</v>
      </c>
      <c r="AH4516" s="126" t="s">
        <v>3657</v>
      </c>
      <c r="AI4516" s="126" t="s">
        <v>577</v>
      </c>
      <c r="AJ4516" s="126" t="s">
        <v>1128</v>
      </c>
      <c r="AK4516" s="126" t="s">
        <v>1646</v>
      </c>
      <c r="AW4516" s="126" t="s">
        <v>160</v>
      </c>
      <c r="AX4516" s="126">
        <v>3</v>
      </c>
      <c r="AZ4516" s="126" t="s">
        <v>141</v>
      </c>
      <c r="BP4516" s="481"/>
      <c r="BQ4516" s="481"/>
      <c r="BR4516" s="481"/>
      <c r="BU4516" s="481"/>
      <c r="BV4516" s="481"/>
      <c r="BZ4516" s="481"/>
      <c r="CA4516" s="481"/>
      <c r="CE4516" s="605"/>
      <c r="CF4516" s="605"/>
      <c r="CG4516" s="605"/>
      <c r="CH4516" s="605"/>
      <c r="CJ4516" s="126">
        <v>1.7</v>
      </c>
      <c r="CK4516" s="126">
        <v>2.4</v>
      </c>
      <c r="CL4516" s="126">
        <v>0.3</v>
      </c>
      <c r="CM4516" s="126">
        <v>0.3</v>
      </c>
      <c r="CN4516" s="126" t="s">
        <v>4519</v>
      </c>
      <c r="JD4516" s="480"/>
    </row>
    <row r="4517" spans="1:264" s="126" customFormat="1" x14ac:dyDescent="0.25">
      <c r="A4517" s="126">
        <v>195</v>
      </c>
      <c r="B4517" s="478" t="s">
        <v>4517</v>
      </c>
      <c r="C4517" s="126" t="s">
        <v>1137</v>
      </c>
      <c r="D4517" s="126" t="s">
        <v>4512</v>
      </c>
      <c r="E4517" s="126">
        <v>2012</v>
      </c>
      <c r="F4517" s="126">
        <v>2009</v>
      </c>
      <c r="G4517" s="126" t="s">
        <v>1080</v>
      </c>
      <c r="H4517" s="126" t="s">
        <v>4514</v>
      </c>
      <c r="I4517" s="126" t="s">
        <v>3461</v>
      </c>
      <c r="J4517" s="126">
        <f t="shared" si="585"/>
        <v>29.866666666666667</v>
      </c>
      <c r="K4517" s="126">
        <f t="shared" si="586"/>
        <v>112.86666666666666</v>
      </c>
      <c r="L4517" s="126">
        <v>28</v>
      </c>
      <c r="M4517" s="126">
        <f t="shared" ref="M4517:M4526" si="587">AVERAGE(2.7,6.76,17.56,21.14,28.16,30.28,33.33,32,28.42,22.05,15.69,10.25)</f>
        <v>20.695000000000004</v>
      </c>
      <c r="O4517" s="126">
        <f t="shared" ref="O4517:O4526" si="588">SUM(53.78,18.15,97.67,118.86,115.81,117,60,265.7,35,217,111,8)</f>
        <v>1217.97</v>
      </c>
      <c r="R4517" s="478" t="s">
        <v>1847</v>
      </c>
      <c r="S4517" s="478" t="s">
        <v>1728</v>
      </c>
      <c r="T4517" s="478"/>
      <c r="U4517" s="478" t="s">
        <v>4513</v>
      </c>
      <c r="V4517" s="478" t="s">
        <v>1392</v>
      </c>
      <c r="W4517" s="478" t="s">
        <v>1719</v>
      </c>
      <c r="X4517" s="478" t="s">
        <v>1392</v>
      </c>
      <c r="Y4517" s="478" t="s">
        <v>1392</v>
      </c>
      <c r="Z4517" s="126">
        <v>1.18</v>
      </c>
      <c r="AA4517" s="479">
        <v>26.6</v>
      </c>
      <c r="AB4517" s="479">
        <v>60.7</v>
      </c>
      <c r="AC4517" s="126" t="s">
        <v>450</v>
      </c>
      <c r="AD4517" s="126">
        <v>6</v>
      </c>
      <c r="AE4517" s="126">
        <v>5.07</v>
      </c>
      <c r="AH4517" s="126" t="s">
        <v>115</v>
      </c>
      <c r="AI4517" s="126" t="s">
        <v>1581</v>
      </c>
      <c r="AJ4517" s="126" t="s">
        <v>1128</v>
      </c>
      <c r="AK4517" s="126" t="s">
        <v>1646</v>
      </c>
      <c r="AW4517" s="126" t="s">
        <v>160</v>
      </c>
      <c r="AX4517" s="126">
        <v>3</v>
      </c>
      <c r="AZ4517" s="126" t="s">
        <v>141</v>
      </c>
      <c r="BP4517" s="481"/>
      <c r="BQ4517" s="481"/>
      <c r="BU4517" s="481"/>
      <c r="BV4517" s="481"/>
      <c r="BZ4517" s="481"/>
      <c r="CA4517" s="481"/>
      <c r="CE4517" s="605"/>
      <c r="CF4517" s="605"/>
      <c r="CG4517" s="605"/>
      <c r="CH4517" s="605"/>
      <c r="CJ4517" s="126">
        <v>1.6</v>
      </c>
      <c r="CK4517" s="126">
        <v>1</v>
      </c>
      <c r="CL4517" s="126">
        <v>0.4</v>
      </c>
      <c r="CM4517" s="126">
        <v>0.4</v>
      </c>
      <c r="CN4517" s="126" t="s">
        <v>4519</v>
      </c>
      <c r="JD4517" s="480"/>
    </row>
    <row r="4518" spans="1:264" s="126" customFormat="1" x14ac:dyDescent="0.25">
      <c r="A4518" s="126">
        <v>195</v>
      </c>
      <c r="B4518" s="478" t="s">
        <v>4518</v>
      </c>
      <c r="C4518" s="126" t="s">
        <v>1137</v>
      </c>
      <c r="D4518" s="126" t="s">
        <v>4512</v>
      </c>
      <c r="E4518" s="126">
        <v>2012</v>
      </c>
      <c r="F4518" s="126">
        <v>2009</v>
      </c>
      <c r="G4518" s="126" t="s">
        <v>1080</v>
      </c>
      <c r="H4518" s="126" t="s">
        <v>4514</v>
      </c>
      <c r="I4518" s="126" t="s">
        <v>3461</v>
      </c>
      <c r="J4518" s="126">
        <f t="shared" si="585"/>
        <v>29.866666666666667</v>
      </c>
      <c r="K4518" s="126">
        <f t="shared" si="586"/>
        <v>112.86666666666666</v>
      </c>
      <c r="L4518" s="126">
        <v>28</v>
      </c>
      <c r="M4518" s="126">
        <f t="shared" si="587"/>
        <v>20.695000000000004</v>
      </c>
      <c r="O4518" s="126">
        <f t="shared" si="588"/>
        <v>1217.97</v>
      </c>
      <c r="R4518" s="478" t="s">
        <v>1847</v>
      </c>
      <c r="S4518" s="478" t="s">
        <v>1728</v>
      </c>
      <c r="T4518" s="478"/>
      <c r="U4518" s="478" t="s">
        <v>4513</v>
      </c>
      <c r="V4518" s="478" t="s">
        <v>1392</v>
      </c>
      <c r="W4518" s="478" t="s">
        <v>1719</v>
      </c>
      <c r="X4518" s="478" t="s">
        <v>1392</v>
      </c>
      <c r="Y4518" s="478" t="s">
        <v>1392</v>
      </c>
      <c r="Z4518" s="126">
        <v>1.18</v>
      </c>
      <c r="AA4518" s="479">
        <v>26.6</v>
      </c>
      <c r="AB4518" s="479">
        <v>60.7</v>
      </c>
      <c r="AC4518" s="126" t="s">
        <v>450</v>
      </c>
      <c r="AD4518" s="126">
        <v>6</v>
      </c>
      <c r="AE4518" s="126">
        <v>5.07</v>
      </c>
      <c r="AH4518" s="126" t="s">
        <v>3657</v>
      </c>
      <c r="AI4518" s="126" t="s">
        <v>577</v>
      </c>
      <c r="AJ4518" s="126" t="s">
        <v>1128</v>
      </c>
      <c r="AK4518" s="126" t="s">
        <v>1646</v>
      </c>
      <c r="AW4518" s="126" t="s">
        <v>160</v>
      </c>
      <c r="AX4518" s="126">
        <v>3</v>
      </c>
      <c r="AZ4518" s="126" t="s">
        <v>141</v>
      </c>
      <c r="BP4518" s="481"/>
      <c r="BQ4518" s="481"/>
      <c r="BU4518" s="481"/>
      <c r="BV4518" s="481"/>
      <c r="BZ4518" s="481"/>
      <c r="CA4518" s="481"/>
      <c r="CE4518" s="605"/>
      <c r="CF4518" s="605"/>
      <c r="CG4518" s="605"/>
      <c r="CH4518" s="605"/>
      <c r="CJ4518" s="126">
        <v>1.6</v>
      </c>
      <c r="CK4518" s="126">
        <v>1.8</v>
      </c>
      <c r="CL4518" s="126">
        <v>0.4</v>
      </c>
      <c r="CM4518" s="126">
        <v>0.4</v>
      </c>
      <c r="CN4518" s="126" t="s">
        <v>4519</v>
      </c>
      <c r="JD4518" s="480"/>
    </row>
    <row r="4519" spans="1:264" s="126" customFormat="1" x14ac:dyDescent="0.25">
      <c r="A4519" s="126">
        <v>195</v>
      </c>
      <c r="B4519" s="478" t="s">
        <v>4520</v>
      </c>
      <c r="C4519" s="126" t="s">
        <v>1137</v>
      </c>
      <c r="D4519" s="126" t="s">
        <v>4512</v>
      </c>
      <c r="E4519" s="126">
        <v>2012</v>
      </c>
      <c r="F4519" s="126">
        <v>2009</v>
      </c>
      <c r="G4519" s="126" t="s">
        <v>1080</v>
      </c>
      <c r="H4519" s="126" t="s">
        <v>4514</v>
      </c>
      <c r="I4519" s="126" t="s">
        <v>3461</v>
      </c>
      <c r="J4519" s="126">
        <f t="shared" si="585"/>
        <v>29.866666666666667</v>
      </c>
      <c r="K4519" s="126">
        <f t="shared" si="586"/>
        <v>112.86666666666666</v>
      </c>
      <c r="L4519" s="126">
        <v>28</v>
      </c>
      <c r="M4519" s="126">
        <f t="shared" si="587"/>
        <v>20.695000000000004</v>
      </c>
      <c r="O4519" s="126">
        <f t="shared" si="588"/>
        <v>1217.97</v>
      </c>
      <c r="R4519" s="478" t="s">
        <v>1847</v>
      </c>
      <c r="S4519" s="478" t="s">
        <v>1728</v>
      </c>
      <c r="T4519" s="478"/>
      <c r="U4519" s="478" t="s">
        <v>4513</v>
      </c>
      <c r="V4519" s="478" t="s">
        <v>1393</v>
      </c>
      <c r="W4519" s="478" t="s">
        <v>1719</v>
      </c>
      <c r="X4519" s="478" t="s">
        <v>1393</v>
      </c>
      <c r="Y4519" s="478" t="s">
        <v>1393</v>
      </c>
      <c r="Z4519" s="126">
        <v>1.18</v>
      </c>
      <c r="AA4519" s="479">
        <v>26.6</v>
      </c>
      <c r="AB4519" s="479">
        <v>60.7</v>
      </c>
      <c r="AC4519" s="126" t="s">
        <v>450</v>
      </c>
      <c r="AD4519" s="126">
        <v>6</v>
      </c>
      <c r="AE4519" s="126">
        <v>5.07</v>
      </c>
      <c r="AH4519" s="126" t="s">
        <v>115</v>
      </c>
      <c r="AI4519" s="126" t="s">
        <v>1581</v>
      </c>
      <c r="AJ4519" s="126" t="s">
        <v>1128</v>
      </c>
      <c r="AK4519" s="126" t="s">
        <v>1646</v>
      </c>
      <c r="AW4519" s="126" t="s">
        <v>160</v>
      </c>
      <c r="AX4519" s="126">
        <v>3</v>
      </c>
      <c r="AZ4519" s="126" t="s">
        <v>141</v>
      </c>
      <c r="BP4519" s="481"/>
      <c r="BQ4519" s="481"/>
      <c r="BR4519" s="481"/>
      <c r="BU4519" s="481"/>
      <c r="BV4519" s="481"/>
      <c r="BZ4519" s="481"/>
      <c r="CA4519" s="481"/>
      <c r="CE4519" s="605"/>
      <c r="CF4519" s="605"/>
      <c r="CG4519" s="605"/>
      <c r="CH4519" s="605"/>
      <c r="CJ4519" s="126">
        <v>1.5</v>
      </c>
      <c r="CK4519" s="126">
        <v>1.3</v>
      </c>
      <c r="CL4519" s="126">
        <v>0.4</v>
      </c>
      <c r="CM4519" s="126">
        <v>0.4</v>
      </c>
      <c r="CN4519" s="126" t="s">
        <v>4519</v>
      </c>
      <c r="JD4519" s="480"/>
    </row>
    <row r="4520" spans="1:264" s="126" customFormat="1" x14ac:dyDescent="0.25">
      <c r="A4520" s="126">
        <v>195</v>
      </c>
      <c r="B4520" s="478" t="s">
        <v>4521</v>
      </c>
      <c r="C4520" s="126" t="s">
        <v>1137</v>
      </c>
      <c r="D4520" s="126" t="s">
        <v>4512</v>
      </c>
      <c r="E4520" s="126">
        <v>2012</v>
      </c>
      <c r="F4520" s="126">
        <v>2009</v>
      </c>
      <c r="G4520" s="126" t="s">
        <v>1080</v>
      </c>
      <c r="H4520" s="126" t="s">
        <v>4514</v>
      </c>
      <c r="I4520" s="126" t="s">
        <v>3461</v>
      </c>
      <c r="J4520" s="126">
        <f t="shared" si="585"/>
        <v>29.866666666666667</v>
      </c>
      <c r="K4520" s="126">
        <f t="shared" si="586"/>
        <v>112.86666666666666</v>
      </c>
      <c r="L4520" s="126">
        <v>28</v>
      </c>
      <c r="M4520" s="126">
        <f t="shared" si="587"/>
        <v>20.695000000000004</v>
      </c>
      <c r="O4520" s="126">
        <f t="shared" si="588"/>
        <v>1217.97</v>
      </c>
      <c r="R4520" s="478" t="s">
        <v>1847</v>
      </c>
      <c r="S4520" s="478" t="s">
        <v>1728</v>
      </c>
      <c r="T4520" s="478"/>
      <c r="U4520" s="478" t="s">
        <v>4513</v>
      </c>
      <c r="V4520" s="478" t="s">
        <v>1393</v>
      </c>
      <c r="W4520" s="478" t="s">
        <v>1719</v>
      </c>
      <c r="X4520" s="478" t="s">
        <v>1393</v>
      </c>
      <c r="Y4520" s="478" t="s">
        <v>1393</v>
      </c>
      <c r="Z4520" s="126">
        <v>1.18</v>
      </c>
      <c r="AA4520" s="479">
        <v>26.6</v>
      </c>
      <c r="AB4520" s="479">
        <v>60.7</v>
      </c>
      <c r="AC4520" s="126" t="s">
        <v>450</v>
      </c>
      <c r="AD4520" s="126">
        <v>6</v>
      </c>
      <c r="AE4520" s="126">
        <v>5.07</v>
      </c>
      <c r="AH4520" s="126" t="s">
        <v>3657</v>
      </c>
      <c r="AI4520" s="126" t="s">
        <v>577</v>
      </c>
      <c r="AJ4520" s="126" t="s">
        <v>1128</v>
      </c>
      <c r="AK4520" s="126" t="s">
        <v>1646</v>
      </c>
      <c r="AW4520" s="126" t="s">
        <v>160</v>
      </c>
      <c r="AX4520" s="126">
        <v>3</v>
      </c>
      <c r="AZ4520" s="126" t="s">
        <v>141</v>
      </c>
      <c r="BP4520" s="481"/>
      <c r="BQ4520" s="481"/>
      <c r="BU4520" s="481"/>
      <c r="BV4520" s="481"/>
      <c r="BZ4520" s="481"/>
      <c r="CA4520" s="481"/>
      <c r="CE4520" s="605"/>
      <c r="CF4520" s="605"/>
      <c r="CG4520" s="605"/>
      <c r="CH4520" s="605"/>
      <c r="CJ4520" s="126">
        <v>1.5</v>
      </c>
      <c r="CK4520" s="126">
        <v>1.7</v>
      </c>
      <c r="CL4520" s="126">
        <v>0.4</v>
      </c>
      <c r="CM4520" s="126">
        <v>0.4</v>
      </c>
      <c r="CN4520" s="126" t="s">
        <v>4519</v>
      </c>
      <c r="JD4520" s="480"/>
    </row>
    <row r="4521" spans="1:264" s="99" customFormat="1" x14ac:dyDescent="0.25">
      <c r="A4521" s="99">
        <v>195</v>
      </c>
      <c r="B4521" s="100" t="s">
        <v>4522</v>
      </c>
      <c r="C4521" s="99" t="s">
        <v>1137</v>
      </c>
      <c r="D4521" s="99" t="s">
        <v>4512</v>
      </c>
      <c r="E4521" s="99">
        <v>2012</v>
      </c>
      <c r="F4521" s="99">
        <v>2009</v>
      </c>
      <c r="G4521" s="99" t="s">
        <v>1080</v>
      </c>
      <c r="H4521" s="99" t="s">
        <v>4514</v>
      </c>
      <c r="I4521" s="99" t="s">
        <v>3461</v>
      </c>
      <c r="J4521" s="99">
        <f t="shared" si="585"/>
        <v>29.866666666666667</v>
      </c>
      <c r="K4521" s="99">
        <f t="shared" si="586"/>
        <v>112.86666666666666</v>
      </c>
      <c r="L4521" s="99">
        <v>28</v>
      </c>
      <c r="M4521" s="126">
        <f t="shared" si="587"/>
        <v>20.695000000000004</v>
      </c>
      <c r="N4521" s="126"/>
      <c r="O4521" s="126">
        <f t="shared" si="588"/>
        <v>1217.97</v>
      </c>
      <c r="R4521" s="100" t="s">
        <v>1847</v>
      </c>
      <c r="S4521" s="100" t="s">
        <v>1728</v>
      </c>
      <c r="T4521" s="100"/>
      <c r="U4521" s="100" t="s">
        <v>4513</v>
      </c>
      <c r="V4521" s="100" t="s">
        <v>1388</v>
      </c>
      <c r="W4521" s="100" t="s">
        <v>1719</v>
      </c>
      <c r="X4521" s="100" t="s">
        <v>1388</v>
      </c>
      <c r="Y4521" s="100" t="s">
        <v>1388</v>
      </c>
      <c r="Z4521" s="99">
        <v>1.18</v>
      </c>
      <c r="AA4521" s="351">
        <v>26.6</v>
      </c>
      <c r="AB4521" s="351">
        <v>60.7</v>
      </c>
      <c r="AC4521" s="99" t="s">
        <v>450</v>
      </c>
      <c r="AD4521" s="99">
        <v>6</v>
      </c>
      <c r="AE4521" s="99">
        <v>5.07</v>
      </c>
      <c r="AH4521" s="99" t="s">
        <v>115</v>
      </c>
      <c r="AI4521" s="99" t="s">
        <v>1581</v>
      </c>
      <c r="AJ4521" s="99" t="s">
        <v>1128</v>
      </c>
      <c r="AK4521" s="99" t="s">
        <v>1646</v>
      </c>
      <c r="AW4521" s="99" t="s">
        <v>160</v>
      </c>
      <c r="AX4521" s="99">
        <v>3</v>
      </c>
      <c r="AZ4521" s="99" t="s">
        <v>141</v>
      </c>
      <c r="BP4521" s="481"/>
      <c r="BQ4521" s="481"/>
      <c r="BR4521" s="126"/>
      <c r="BS4521" s="126"/>
      <c r="BU4521" s="426"/>
      <c r="BV4521" s="426"/>
      <c r="BZ4521" s="426"/>
      <c r="CA4521" s="426"/>
      <c r="CE4521" s="579"/>
      <c r="CF4521" s="579"/>
      <c r="CG4521" s="579"/>
      <c r="CH4521" s="579"/>
      <c r="CJ4521" s="99">
        <v>1.3</v>
      </c>
      <c r="CK4521" s="99">
        <v>0.7</v>
      </c>
      <c r="CL4521" s="99">
        <v>0.2</v>
      </c>
      <c r="CM4521" s="99">
        <v>0.2</v>
      </c>
      <c r="CN4521" s="99" t="s">
        <v>1009</v>
      </c>
      <c r="JD4521" s="508"/>
    </row>
    <row r="4522" spans="1:264" s="99" customFormat="1" x14ac:dyDescent="0.25">
      <c r="A4522" s="99">
        <v>195</v>
      </c>
      <c r="B4522" s="100" t="s">
        <v>4523</v>
      </c>
      <c r="C4522" s="99" t="s">
        <v>1137</v>
      </c>
      <c r="D4522" s="99" t="s">
        <v>4512</v>
      </c>
      <c r="E4522" s="99">
        <v>2012</v>
      </c>
      <c r="F4522" s="99">
        <v>2009</v>
      </c>
      <c r="G4522" s="99" t="s">
        <v>1080</v>
      </c>
      <c r="H4522" s="99" t="s">
        <v>4514</v>
      </c>
      <c r="I4522" s="99" t="s">
        <v>3461</v>
      </c>
      <c r="J4522" s="99">
        <f t="shared" si="585"/>
        <v>29.866666666666667</v>
      </c>
      <c r="K4522" s="99">
        <f t="shared" si="586"/>
        <v>112.86666666666666</v>
      </c>
      <c r="L4522" s="99">
        <v>28</v>
      </c>
      <c r="M4522" s="126">
        <f t="shared" si="587"/>
        <v>20.695000000000004</v>
      </c>
      <c r="N4522" s="126"/>
      <c r="O4522" s="126">
        <f t="shared" si="588"/>
        <v>1217.97</v>
      </c>
      <c r="R4522" s="100" t="s">
        <v>1847</v>
      </c>
      <c r="S4522" s="100" t="s">
        <v>1728</v>
      </c>
      <c r="T4522" s="100"/>
      <c r="U4522" s="100" t="s">
        <v>4513</v>
      </c>
      <c r="V4522" s="100" t="s">
        <v>1388</v>
      </c>
      <c r="W4522" s="100" t="s">
        <v>1719</v>
      </c>
      <c r="X4522" s="100" t="s">
        <v>1388</v>
      </c>
      <c r="Y4522" s="100" t="s">
        <v>1388</v>
      </c>
      <c r="Z4522" s="99">
        <v>1.18</v>
      </c>
      <c r="AA4522" s="351">
        <v>26.6</v>
      </c>
      <c r="AB4522" s="351">
        <v>60.7</v>
      </c>
      <c r="AC4522" s="99" t="s">
        <v>450</v>
      </c>
      <c r="AD4522" s="99">
        <v>6</v>
      </c>
      <c r="AE4522" s="99">
        <v>5.07</v>
      </c>
      <c r="AH4522" s="99" t="s">
        <v>3657</v>
      </c>
      <c r="AI4522" s="99" t="s">
        <v>577</v>
      </c>
      <c r="AJ4522" s="99" t="s">
        <v>1128</v>
      </c>
      <c r="AK4522" s="99" t="s">
        <v>1646</v>
      </c>
      <c r="AW4522" s="99" t="s">
        <v>160</v>
      </c>
      <c r="AX4522" s="99">
        <v>3</v>
      </c>
      <c r="AZ4522" s="99" t="s">
        <v>141</v>
      </c>
      <c r="BP4522" s="426"/>
      <c r="BQ4522" s="426"/>
      <c r="BR4522" s="426"/>
      <c r="BU4522" s="426"/>
      <c r="BV4522" s="426"/>
      <c r="BZ4522" s="426"/>
      <c r="CA4522" s="426"/>
      <c r="CE4522" s="579"/>
      <c r="CF4522" s="579"/>
      <c r="CG4522" s="579"/>
      <c r="CH4522" s="579"/>
      <c r="CJ4522" s="99">
        <v>1.3</v>
      </c>
      <c r="CK4522" s="99">
        <v>1.1000000000000001</v>
      </c>
      <c r="CL4522" s="99">
        <v>0.2</v>
      </c>
      <c r="CM4522" s="99">
        <v>0.2</v>
      </c>
      <c r="CN4522" s="99" t="s">
        <v>1009</v>
      </c>
      <c r="JD4522" s="508"/>
    </row>
    <row r="4523" spans="1:264" s="99" customFormat="1" x14ac:dyDescent="0.25">
      <c r="A4523" s="99">
        <v>195</v>
      </c>
      <c r="B4523" s="100" t="s">
        <v>4524</v>
      </c>
      <c r="C4523" s="99" t="s">
        <v>1137</v>
      </c>
      <c r="D4523" s="99" t="s">
        <v>4512</v>
      </c>
      <c r="E4523" s="99">
        <v>2012</v>
      </c>
      <c r="F4523" s="99">
        <v>2009</v>
      </c>
      <c r="G4523" s="99" t="s">
        <v>1080</v>
      </c>
      <c r="H4523" s="99" t="s">
        <v>4514</v>
      </c>
      <c r="I4523" s="99" t="s">
        <v>3461</v>
      </c>
      <c r="J4523" s="99">
        <f t="shared" si="585"/>
        <v>29.866666666666667</v>
      </c>
      <c r="K4523" s="99">
        <f t="shared" si="586"/>
        <v>112.86666666666666</v>
      </c>
      <c r="L4523" s="99">
        <v>28</v>
      </c>
      <c r="M4523" s="126">
        <f t="shared" si="587"/>
        <v>20.695000000000004</v>
      </c>
      <c r="N4523" s="126"/>
      <c r="O4523" s="126">
        <f t="shared" si="588"/>
        <v>1217.97</v>
      </c>
      <c r="R4523" s="100" t="s">
        <v>1847</v>
      </c>
      <c r="S4523" s="100" t="s">
        <v>1728</v>
      </c>
      <c r="T4523" s="100"/>
      <c r="U4523" s="100" t="s">
        <v>4513</v>
      </c>
      <c r="V4523" s="100" t="s">
        <v>1392</v>
      </c>
      <c r="W4523" s="100" t="s">
        <v>1719</v>
      </c>
      <c r="X4523" s="100" t="s">
        <v>1392</v>
      </c>
      <c r="Y4523" s="100" t="s">
        <v>1392</v>
      </c>
      <c r="Z4523" s="99">
        <v>1.18</v>
      </c>
      <c r="AA4523" s="351">
        <v>26.6</v>
      </c>
      <c r="AB4523" s="351">
        <v>60.7</v>
      </c>
      <c r="AC4523" s="99" t="s">
        <v>450</v>
      </c>
      <c r="AD4523" s="99">
        <v>6</v>
      </c>
      <c r="AE4523" s="99">
        <v>5.07</v>
      </c>
      <c r="AH4523" s="99" t="s">
        <v>115</v>
      </c>
      <c r="AI4523" s="99" t="s">
        <v>1581</v>
      </c>
      <c r="AJ4523" s="99" t="s">
        <v>1128</v>
      </c>
      <c r="AK4523" s="99" t="s">
        <v>1646</v>
      </c>
      <c r="AW4523" s="99" t="s">
        <v>160</v>
      </c>
      <c r="AX4523" s="99">
        <v>3</v>
      </c>
      <c r="AZ4523" s="99" t="s">
        <v>141</v>
      </c>
      <c r="BP4523" s="426"/>
      <c r="BQ4523" s="426"/>
      <c r="BR4523" s="426"/>
      <c r="BU4523" s="426"/>
      <c r="BV4523" s="426"/>
      <c r="BZ4523" s="426"/>
      <c r="CA4523" s="426"/>
      <c r="CE4523" s="579"/>
      <c r="CF4523" s="579"/>
      <c r="CG4523" s="579"/>
      <c r="CH4523" s="579"/>
      <c r="CJ4523" s="99">
        <v>0.8</v>
      </c>
      <c r="CK4523" s="99">
        <v>0.6</v>
      </c>
      <c r="CL4523" s="99">
        <v>0.2</v>
      </c>
      <c r="CM4523" s="99">
        <v>0.2</v>
      </c>
      <c r="CN4523" s="99" t="s">
        <v>1009</v>
      </c>
      <c r="JD4523" s="508"/>
    </row>
    <row r="4524" spans="1:264" s="99" customFormat="1" x14ac:dyDescent="0.25">
      <c r="A4524" s="99">
        <v>195</v>
      </c>
      <c r="B4524" s="100" t="s">
        <v>4525</v>
      </c>
      <c r="C4524" s="99" t="s">
        <v>1137</v>
      </c>
      <c r="D4524" s="99" t="s">
        <v>4512</v>
      </c>
      <c r="E4524" s="99">
        <v>2012</v>
      </c>
      <c r="F4524" s="99">
        <v>2009</v>
      </c>
      <c r="G4524" s="99" t="s">
        <v>1080</v>
      </c>
      <c r="H4524" s="99" t="s">
        <v>4514</v>
      </c>
      <c r="I4524" s="99" t="s">
        <v>3461</v>
      </c>
      <c r="J4524" s="99">
        <f t="shared" si="585"/>
        <v>29.866666666666667</v>
      </c>
      <c r="K4524" s="99">
        <f t="shared" si="586"/>
        <v>112.86666666666666</v>
      </c>
      <c r="L4524" s="99">
        <v>28</v>
      </c>
      <c r="M4524" s="126">
        <f t="shared" si="587"/>
        <v>20.695000000000004</v>
      </c>
      <c r="N4524" s="126"/>
      <c r="O4524" s="126">
        <f t="shared" si="588"/>
        <v>1217.97</v>
      </c>
      <c r="R4524" s="100" t="s">
        <v>1847</v>
      </c>
      <c r="S4524" s="100" t="s">
        <v>1728</v>
      </c>
      <c r="T4524" s="100"/>
      <c r="U4524" s="100" t="s">
        <v>4513</v>
      </c>
      <c r="V4524" s="100" t="s">
        <v>1392</v>
      </c>
      <c r="W4524" s="100" t="s">
        <v>1719</v>
      </c>
      <c r="X4524" s="100" t="s">
        <v>1392</v>
      </c>
      <c r="Y4524" s="100" t="s">
        <v>1392</v>
      </c>
      <c r="Z4524" s="99">
        <v>1.18</v>
      </c>
      <c r="AA4524" s="351">
        <v>26.6</v>
      </c>
      <c r="AB4524" s="351">
        <v>60.7</v>
      </c>
      <c r="AC4524" s="99" t="s">
        <v>450</v>
      </c>
      <c r="AD4524" s="99">
        <v>6</v>
      </c>
      <c r="AE4524" s="99">
        <v>5.07</v>
      </c>
      <c r="AH4524" s="99" t="s">
        <v>3657</v>
      </c>
      <c r="AI4524" s="99" t="s">
        <v>577</v>
      </c>
      <c r="AJ4524" s="99" t="s">
        <v>1128</v>
      </c>
      <c r="AK4524" s="99" t="s">
        <v>1646</v>
      </c>
      <c r="AW4524" s="99" t="s">
        <v>160</v>
      </c>
      <c r="AX4524" s="99">
        <v>3</v>
      </c>
      <c r="AZ4524" s="99" t="s">
        <v>141</v>
      </c>
      <c r="BP4524" s="426"/>
      <c r="BQ4524" s="426"/>
      <c r="BR4524" s="426"/>
      <c r="BU4524" s="426"/>
      <c r="BV4524" s="426"/>
      <c r="BZ4524" s="426"/>
      <c r="CA4524" s="426"/>
      <c r="CE4524" s="579"/>
      <c r="CF4524" s="579"/>
      <c r="CG4524" s="579"/>
      <c r="CH4524" s="579"/>
      <c r="CJ4524" s="99">
        <v>0.8</v>
      </c>
      <c r="CK4524" s="99">
        <v>0.6</v>
      </c>
      <c r="CL4524" s="99">
        <v>0.2</v>
      </c>
      <c r="CM4524" s="99">
        <v>0.2</v>
      </c>
      <c r="CN4524" s="99" t="s">
        <v>1009</v>
      </c>
      <c r="JD4524" s="508"/>
    </row>
    <row r="4525" spans="1:264" s="99" customFormat="1" x14ac:dyDescent="0.25">
      <c r="A4525" s="99">
        <v>195</v>
      </c>
      <c r="B4525" s="100" t="s">
        <v>4526</v>
      </c>
      <c r="C4525" s="99" t="s">
        <v>1137</v>
      </c>
      <c r="D4525" s="99" t="s">
        <v>4512</v>
      </c>
      <c r="E4525" s="99">
        <v>2012</v>
      </c>
      <c r="F4525" s="99">
        <v>2009</v>
      </c>
      <c r="G4525" s="99" t="s">
        <v>1080</v>
      </c>
      <c r="H4525" s="99" t="s">
        <v>4514</v>
      </c>
      <c r="I4525" s="99" t="s">
        <v>3461</v>
      </c>
      <c r="J4525" s="99">
        <f t="shared" si="585"/>
        <v>29.866666666666667</v>
      </c>
      <c r="K4525" s="99">
        <f t="shared" si="586"/>
        <v>112.86666666666666</v>
      </c>
      <c r="L4525" s="99">
        <v>28</v>
      </c>
      <c r="M4525" s="126">
        <f t="shared" si="587"/>
        <v>20.695000000000004</v>
      </c>
      <c r="N4525" s="126"/>
      <c r="O4525" s="126">
        <f t="shared" si="588"/>
        <v>1217.97</v>
      </c>
      <c r="R4525" s="100" t="s">
        <v>1847</v>
      </c>
      <c r="S4525" s="100" t="s">
        <v>1728</v>
      </c>
      <c r="T4525" s="100"/>
      <c r="U4525" s="100" t="s">
        <v>4513</v>
      </c>
      <c r="V4525" s="100" t="s">
        <v>1393</v>
      </c>
      <c r="W4525" s="100" t="s">
        <v>1719</v>
      </c>
      <c r="X4525" s="100" t="s">
        <v>1393</v>
      </c>
      <c r="Y4525" s="100" t="s">
        <v>1393</v>
      </c>
      <c r="Z4525" s="99">
        <v>1.18</v>
      </c>
      <c r="AA4525" s="351">
        <v>26.6</v>
      </c>
      <c r="AB4525" s="351">
        <v>60.7</v>
      </c>
      <c r="AC4525" s="99" t="s">
        <v>450</v>
      </c>
      <c r="AD4525" s="99">
        <v>6</v>
      </c>
      <c r="AE4525" s="99">
        <v>5.07</v>
      </c>
      <c r="AH4525" s="99" t="s">
        <v>115</v>
      </c>
      <c r="AI4525" s="99" t="s">
        <v>1581</v>
      </c>
      <c r="AJ4525" s="99" t="s">
        <v>1128</v>
      </c>
      <c r="AK4525" s="99" t="s">
        <v>1646</v>
      </c>
      <c r="AW4525" s="99" t="s">
        <v>160</v>
      </c>
      <c r="AX4525" s="99">
        <v>3</v>
      </c>
      <c r="AZ4525" s="99" t="s">
        <v>141</v>
      </c>
      <c r="BP4525" s="426"/>
      <c r="BQ4525" s="426"/>
      <c r="BR4525" s="426"/>
      <c r="BU4525" s="426"/>
      <c r="BV4525" s="426"/>
      <c r="BZ4525" s="426"/>
      <c r="CA4525" s="426"/>
      <c r="CE4525" s="579"/>
      <c r="CF4525" s="579"/>
      <c r="CG4525" s="579"/>
      <c r="CH4525" s="579"/>
      <c r="CJ4525" s="99">
        <v>0.8</v>
      </c>
      <c r="CK4525" s="99">
        <v>0.9</v>
      </c>
      <c r="CL4525" s="99">
        <v>0.1</v>
      </c>
      <c r="CM4525" s="99">
        <v>0.1</v>
      </c>
      <c r="CN4525" s="99" t="s">
        <v>1009</v>
      </c>
      <c r="JD4525" s="508"/>
    </row>
    <row r="4526" spans="1:264" s="99" customFormat="1" x14ac:dyDescent="0.25">
      <c r="A4526" s="99">
        <v>195</v>
      </c>
      <c r="B4526" s="100" t="s">
        <v>4527</v>
      </c>
      <c r="C4526" s="99" t="s">
        <v>1137</v>
      </c>
      <c r="D4526" s="99" t="s">
        <v>4512</v>
      </c>
      <c r="E4526" s="99">
        <v>2012</v>
      </c>
      <c r="F4526" s="99">
        <v>2009</v>
      </c>
      <c r="G4526" s="99" t="s">
        <v>1080</v>
      </c>
      <c r="H4526" s="99" t="s">
        <v>4514</v>
      </c>
      <c r="I4526" s="99" t="s">
        <v>3461</v>
      </c>
      <c r="J4526" s="99">
        <f t="shared" si="585"/>
        <v>29.866666666666667</v>
      </c>
      <c r="K4526" s="99">
        <f t="shared" si="586"/>
        <v>112.86666666666666</v>
      </c>
      <c r="L4526" s="99">
        <v>28</v>
      </c>
      <c r="M4526" s="126">
        <f t="shared" si="587"/>
        <v>20.695000000000004</v>
      </c>
      <c r="N4526" s="126"/>
      <c r="O4526" s="126">
        <f t="shared" si="588"/>
        <v>1217.97</v>
      </c>
      <c r="R4526" s="100" t="s">
        <v>1847</v>
      </c>
      <c r="S4526" s="100" t="s">
        <v>1728</v>
      </c>
      <c r="T4526" s="100"/>
      <c r="U4526" s="100" t="s">
        <v>4513</v>
      </c>
      <c r="V4526" s="100" t="s">
        <v>1393</v>
      </c>
      <c r="W4526" s="100" t="s">
        <v>1719</v>
      </c>
      <c r="X4526" s="100" t="s">
        <v>1393</v>
      </c>
      <c r="Y4526" s="100" t="s">
        <v>1393</v>
      </c>
      <c r="Z4526" s="99">
        <v>1.18</v>
      </c>
      <c r="AA4526" s="351">
        <v>26.6</v>
      </c>
      <c r="AB4526" s="351">
        <v>60.7</v>
      </c>
      <c r="AC4526" s="99" t="s">
        <v>450</v>
      </c>
      <c r="AD4526" s="99">
        <v>6</v>
      </c>
      <c r="AE4526" s="99">
        <v>5.07</v>
      </c>
      <c r="AH4526" s="99" t="s">
        <v>3657</v>
      </c>
      <c r="AI4526" s="99" t="s">
        <v>577</v>
      </c>
      <c r="AJ4526" s="99" t="s">
        <v>1128</v>
      </c>
      <c r="AK4526" s="99" t="s">
        <v>1646</v>
      </c>
      <c r="AW4526" s="99" t="s">
        <v>160</v>
      </c>
      <c r="AX4526" s="99">
        <v>3</v>
      </c>
      <c r="AZ4526" s="99" t="s">
        <v>141</v>
      </c>
      <c r="BP4526" s="426"/>
      <c r="BQ4526" s="426"/>
      <c r="BR4526" s="426"/>
      <c r="BU4526" s="426"/>
      <c r="BV4526" s="426"/>
      <c r="BZ4526" s="426"/>
      <c r="CA4526" s="426"/>
      <c r="CE4526" s="579"/>
      <c r="CF4526" s="579"/>
      <c r="CG4526" s="579"/>
      <c r="CH4526" s="579"/>
      <c r="CJ4526" s="99">
        <v>0.8</v>
      </c>
      <c r="CK4526" s="99">
        <v>0.7</v>
      </c>
      <c r="CL4526" s="99">
        <v>0.1</v>
      </c>
      <c r="CM4526" s="99">
        <v>0.1</v>
      </c>
      <c r="CN4526" s="99" t="s">
        <v>1009</v>
      </c>
      <c r="JD4526" s="508"/>
    </row>
    <row r="4527" spans="1:264" s="36" customFormat="1" x14ac:dyDescent="0.25">
      <c r="A4527" s="36">
        <v>195</v>
      </c>
      <c r="B4527" s="51" t="s">
        <v>4515</v>
      </c>
      <c r="C4527" s="36" t="s">
        <v>1137</v>
      </c>
      <c r="D4527" s="36" t="s">
        <v>4512</v>
      </c>
      <c r="E4527" s="36">
        <v>2012</v>
      </c>
      <c r="F4527" s="36">
        <v>2010</v>
      </c>
      <c r="G4527" s="36" t="s">
        <v>1080</v>
      </c>
      <c r="H4527" s="36" t="s">
        <v>4514</v>
      </c>
      <c r="I4527" s="36" t="s">
        <v>3461</v>
      </c>
      <c r="J4527" s="36">
        <f t="shared" si="585"/>
        <v>29.866666666666667</v>
      </c>
      <c r="K4527" s="36">
        <f t="shared" si="586"/>
        <v>112.86666666666666</v>
      </c>
      <c r="L4527" s="36">
        <v>28</v>
      </c>
      <c r="M4527" s="36">
        <f>AVERAGE(6.4,11.18,13.96,20.19,25.22,32.12,33.97,32.91,28.66,24.82,11.95,8.11)</f>
        <v>20.790833333333328</v>
      </c>
      <c r="O4527" s="36">
        <f>SUM(17,91.36,91,230.7,126,221.58,136.7,17,44,26,62.38,41)</f>
        <v>1104.72</v>
      </c>
      <c r="R4527" s="51" t="s">
        <v>1847</v>
      </c>
      <c r="S4527" s="51" t="s">
        <v>1728</v>
      </c>
      <c r="T4527" s="51"/>
      <c r="U4527" s="51" t="s">
        <v>4513</v>
      </c>
      <c r="V4527" s="51" t="s">
        <v>1388</v>
      </c>
      <c r="W4527" s="51" t="s">
        <v>1719</v>
      </c>
      <c r="X4527" s="51" t="s">
        <v>1388</v>
      </c>
      <c r="Y4527" s="51" t="s">
        <v>1388</v>
      </c>
      <c r="Z4527" s="36">
        <v>1.18</v>
      </c>
      <c r="AA4527" s="331">
        <v>26.6</v>
      </c>
      <c r="AB4527" s="331">
        <v>60.7</v>
      </c>
      <c r="AC4527" s="36" t="s">
        <v>450</v>
      </c>
      <c r="AD4527" s="36">
        <v>6</v>
      </c>
      <c r="AE4527" s="36">
        <v>5.07</v>
      </c>
      <c r="AH4527" s="36" t="s">
        <v>115</v>
      </c>
      <c r="AI4527" s="36" t="s">
        <v>1581</v>
      </c>
      <c r="AJ4527" s="36" t="s">
        <v>1128</v>
      </c>
      <c r="AK4527" s="36" t="s">
        <v>1646</v>
      </c>
      <c r="AW4527" s="36" t="s">
        <v>160</v>
      </c>
      <c r="AX4527" s="36">
        <v>3</v>
      </c>
      <c r="AZ4527" s="36" t="s">
        <v>141</v>
      </c>
      <c r="BP4527" s="407"/>
      <c r="BQ4527" s="407"/>
      <c r="BR4527" s="407"/>
      <c r="BU4527" s="407"/>
      <c r="BV4527" s="407"/>
      <c r="BZ4527" s="407"/>
      <c r="CA4527" s="407"/>
      <c r="CE4527" s="560"/>
      <c r="CF4527" s="560"/>
      <c r="CG4527" s="560"/>
      <c r="CH4527" s="560"/>
      <c r="CJ4527" s="36">
        <v>6</v>
      </c>
      <c r="CK4527" s="36">
        <v>4.3</v>
      </c>
      <c r="CL4527" s="36">
        <v>1.1000000000000001</v>
      </c>
      <c r="CM4527" s="36">
        <v>1.1000000000000001</v>
      </c>
      <c r="CN4527" s="36" t="s">
        <v>4519</v>
      </c>
      <c r="JD4527" s="230"/>
    </row>
    <row r="4528" spans="1:264" s="36" customFormat="1" x14ac:dyDescent="0.25">
      <c r="A4528" s="36">
        <v>195</v>
      </c>
      <c r="B4528" s="51" t="s">
        <v>4516</v>
      </c>
      <c r="C4528" s="36" t="s">
        <v>1137</v>
      </c>
      <c r="D4528" s="36" t="s">
        <v>4512</v>
      </c>
      <c r="E4528" s="36">
        <v>2012</v>
      </c>
      <c r="F4528" s="36">
        <v>2010</v>
      </c>
      <c r="G4528" s="36" t="s">
        <v>1080</v>
      </c>
      <c r="H4528" s="36" t="s">
        <v>4514</v>
      </c>
      <c r="I4528" s="36" t="s">
        <v>3461</v>
      </c>
      <c r="J4528" s="36">
        <f t="shared" si="585"/>
        <v>29.866666666666667</v>
      </c>
      <c r="K4528" s="36">
        <f t="shared" si="586"/>
        <v>112.86666666666666</v>
      </c>
      <c r="L4528" s="36">
        <v>28</v>
      </c>
      <c r="M4528" s="36">
        <f>AVERAGE(6.4,11.18,13.96,20.19,25.22,32.12,33.97,32.91,28.66,24.82,11.95,8.11)</f>
        <v>20.790833333333328</v>
      </c>
      <c r="O4528" s="36">
        <f>SUM(17,91.36,91,230.7,126,221.58,136.7,17,44,26,62.38,41)</f>
        <v>1104.72</v>
      </c>
      <c r="R4528" s="51" t="s">
        <v>1847</v>
      </c>
      <c r="S4528" s="51" t="s">
        <v>1728</v>
      </c>
      <c r="T4528" s="51"/>
      <c r="U4528" s="51" t="s">
        <v>4513</v>
      </c>
      <c r="V4528" s="51" t="s">
        <v>1388</v>
      </c>
      <c r="W4528" s="51" t="s">
        <v>1719</v>
      </c>
      <c r="X4528" s="51" t="s">
        <v>1388</v>
      </c>
      <c r="Y4528" s="51" t="s">
        <v>1388</v>
      </c>
      <c r="Z4528" s="36">
        <v>1.18</v>
      </c>
      <c r="AA4528" s="331">
        <v>26.6</v>
      </c>
      <c r="AB4528" s="331">
        <v>60.7</v>
      </c>
      <c r="AC4528" s="36" t="s">
        <v>450</v>
      </c>
      <c r="AD4528" s="36">
        <v>6</v>
      </c>
      <c r="AE4528" s="36">
        <v>5.07</v>
      </c>
      <c r="AH4528" s="36" t="s">
        <v>3657</v>
      </c>
      <c r="AI4528" s="36" t="s">
        <v>577</v>
      </c>
      <c r="AJ4528" s="36" t="s">
        <v>1128</v>
      </c>
      <c r="AK4528" s="36" t="s">
        <v>1646</v>
      </c>
      <c r="AW4528" s="36" t="s">
        <v>160</v>
      </c>
      <c r="AX4528" s="36">
        <v>3</v>
      </c>
      <c r="AZ4528" s="36" t="s">
        <v>141</v>
      </c>
      <c r="BP4528" s="407"/>
      <c r="BQ4528" s="407"/>
      <c r="BR4528" s="407"/>
      <c r="BU4528" s="407"/>
      <c r="BV4528" s="407"/>
      <c r="BZ4528" s="407"/>
      <c r="CA4528" s="407"/>
      <c r="CE4528" s="560"/>
      <c r="CF4528" s="560"/>
      <c r="CG4528" s="560"/>
      <c r="CH4528" s="560"/>
      <c r="CJ4528" s="36">
        <v>6</v>
      </c>
      <c r="CK4528" s="36">
        <v>10.4</v>
      </c>
      <c r="CL4528" s="36">
        <v>1.1000000000000001</v>
      </c>
      <c r="CM4528" s="36">
        <v>1.1000000000000001</v>
      </c>
      <c r="CN4528" s="36" t="s">
        <v>4519</v>
      </c>
      <c r="JD4528" s="230"/>
    </row>
    <row r="4529" spans="1:264" s="36" customFormat="1" x14ac:dyDescent="0.25">
      <c r="A4529" s="36">
        <v>195</v>
      </c>
      <c r="B4529" s="51" t="s">
        <v>4517</v>
      </c>
      <c r="C4529" s="36" t="s">
        <v>1137</v>
      </c>
      <c r="D4529" s="36" t="s">
        <v>4512</v>
      </c>
      <c r="E4529" s="36">
        <v>2012</v>
      </c>
      <c r="F4529" s="36">
        <v>2010</v>
      </c>
      <c r="G4529" s="36" t="s">
        <v>1080</v>
      </c>
      <c r="H4529" s="36" t="s">
        <v>4514</v>
      </c>
      <c r="I4529" s="36" t="s">
        <v>3461</v>
      </c>
      <c r="J4529" s="36">
        <f t="shared" si="585"/>
        <v>29.866666666666667</v>
      </c>
      <c r="K4529" s="36">
        <f t="shared" si="586"/>
        <v>112.86666666666666</v>
      </c>
      <c r="L4529" s="36">
        <v>28</v>
      </c>
      <c r="M4529" s="36">
        <f t="shared" ref="M4529:M4538" si="589">AVERAGE(6.4,11.18,13.96,20.19,25.22,32.12,33.97,32.91,28.66,24.82,11.95,8.11)</f>
        <v>20.790833333333328</v>
      </c>
      <c r="O4529" s="36">
        <f t="shared" ref="O4529:O4537" si="590">SUM(17,91.36,91,230.7,126,221.58,136.7,17,44,26,62.38,41)</f>
        <v>1104.72</v>
      </c>
      <c r="R4529" s="51" t="s">
        <v>1847</v>
      </c>
      <c r="S4529" s="51" t="s">
        <v>1728</v>
      </c>
      <c r="T4529" s="51"/>
      <c r="U4529" s="51" t="s">
        <v>4513</v>
      </c>
      <c r="V4529" s="51" t="s">
        <v>1392</v>
      </c>
      <c r="W4529" s="51" t="s">
        <v>1719</v>
      </c>
      <c r="X4529" s="51" t="s">
        <v>1392</v>
      </c>
      <c r="Y4529" s="51" t="s">
        <v>1392</v>
      </c>
      <c r="Z4529" s="36">
        <v>1.18</v>
      </c>
      <c r="AA4529" s="331">
        <v>26.6</v>
      </c>
      <c r="AB4529" s="331">
        <v>60.7</v>
      </c>
      <c r="AC4529" s="36" t="s">
        <v>450</v>
      </c>
      <c r="AD4529" s="36">
        <v>6</v>
      </c>
      <c r="AE4529" s="36">
        <v>5.07</v>
      </c>
      <c r="AH4529" s="36" t="s">
        <v>115</v>
      </c>
      <c r="AI4529" s="36" t="s">
        <v>1581</v>
      </c>
      <c r="AJ4529" s="36" t="s">
        <v>1128</v>
      </c>
      <c r="AK4529" s="36" t="s">
        <v>1646</v>
      </c>
      <c r="AW4529" s="36" t="s">
        <v>160</v>
      </c>
      <c r="AX4529" s="36">
        <v>3</v>
      </c>
      <c r="AZ4529" s="36" t="s">
        <v>141</v>
      </c>
      <c r="BP4529" s="407"/>
      <c r="BQ4529" s="407"/>
      <c r="BR4529" s="407"/>
      <c r="BU4529" s="407"/>
      <c r="BV4529" s="407"/>
      <c r="BZ4529" s="407"/>
      <c r="CA4529" s="407"/>
      <c r="CE4529" s="560"/>
      <c r="CF4529" s="560"/>
      <c r="CG4529" s="560"/>
      <c r="CH4529" s="560"/>
      <c r="CJ4529" s="36">
        <v>5.9</v>
      </c>
      <c r="CK4529" s="36">
        <v>3.7</v>
      </c>
      <c r="CL4529" s="36">
        <v>1.4</v>
      </c>
      <c r="CM4529" s="36">
        <v>1.4</v>
      </c>
      <c r="CN4529" s="36" t="s">
        <v>4519</v>
      </c>
      <c r="JD4529" s="230"/>
    </row>
    <row r="4530" spans="1:264" s="36" customFormat="1" x14ac:dyDescent="0.25">
      <c r="A4530" s="36">
        <v>195</v>
      </c>
      <c r="B4530" s="51" t="s">
        <v>4518</v>
      </c>
      <c r="C4530" s="36" t="s">
        <v>1137</v>
      </c>
      <c r="D4530" s="36" t="s">
        <v>4512</v>
      </c>
      <c r="E4530" s="36">
        <v>2012</v>
      </c>
      <c r="F4530" s="36">
        <v>2010</v>
      </c>
      <c r="G4530" s="36" t="s">
        <v>1080</v>
      </c>
      <c r="H4530" s="36" t="s">
        <v>4514</v>
      </c>
      <c r="I4530" s="36" t="s">
        <v>3461</v>
      </c>
      <c r="J4530" s="36">
        <f t="shared" si="585"/>
        <v>29.866666666666667</v>
      </c>
      <c r="K4530" s="36">
        <f t="shared" si="586"/>
        <v>112.86666666666666</v>
      </c>
      <c r="L4530" s="36">
        <v>28</v>
      </c>
      <c r="M4530" s="36">
        <f t="shared" si="589"/>
        <v>20.790833333333328</v>
      </c>
      <c r="O4530" s="36">
        <f t="shared" si="590"/>
        <v>1104.72</v>
      </c>
      <c r="R4530" s="51" t="s">
        <v>1847</v>
      </c>
      <c r="S4530" s="51" t="s">
        <v>1728</v>
      </c>
      <c r="T4530" s="51"/>
      <c r="U4530" s="51" t="s">
        <v>4513</v>
      </c>
      <c r="V4530" s="51" t="s">
        <v>1392</v>
      </c>
      <c r="W4530" s="51" t="s">
        <v>1719</v>
      </c>
      <c r="X4530" s="51" t="s">
        <v>1392</v>
      </c>
      <c r="Y4530" s="51" t="s">
        <v>1392</v>
      </c>
      <c r="Z4530" s="36">
        <v>1.18</v>
      </c>
      <c r="AA4530" s="331">
        <v>26.6</v>
      </c>
      <c r="AB4530" s="331">
        <v>60.7</v>
      </c>
      <c r="AC4530" s="36" t="s">
        <v>450</v>
      </c>
      <c r="AD4530" s="36">
        <v>6</v>
      </c>
      <c r="AE4530" s="36">
        <v>5.07</v>
      </c>
      <c r="AH4530" s="36" t="s">
        <v>3657</v>
      </c>
      <c r="AI4530" s="36" t="s">
        <v>577</v>
      </c>
      <c r="AJ4530" s="36" t="s">
        <v>1128</v>
      </c>
      <c r="AK4530" s="36" t="s">
        <v>1646</v>
      </c>
      <c r="AW4530" s="36" t="s">
        <v>160</v>
      </c>
      <c r="AX4530" s="36">
        <v>3</v>
      </c>
      <c r="AZ4530" s="36" t="s">
        <v>141</v>
      </c>
      <c r="BP4530" s="407"/>
      <c r="BQ4530" s="407"/>
      <c r="BR4530" s="407"/>
      <c r="BU4530" s="407"/>
      <c r="BV4530" s="407"/>
      <c r="BZ4530" s="407"/>
      <c r="CA4530" s="407"/>
      <c r="CE4530" s="560"/>
      <c r="CF4530" s="560"/>
      <c r="CG4530" s="560"/>
      <c r="CH4530" s="560"/>
      <c r="CJ4530" s="36">
        <v>5.9</v>
      </c>
      <c r="CK4530" s="36">
        <v>6.4</v>
      </c>
      <c r="CL4530" s="36">
        <v>1.4</v>
      </c>
      <c r="CM4530" s="36">
        <v>1.4</v>
      </c>
      <c r="CN4530" s="36" t="s">
        <v>4519</v>
      </c>
      <c r="JD4530" s="230"/>
    </row>
    <row r="4531" spans="1:264" s="36" customFormat="1" x14ac:dyDescent="0.25">
      <c r="A4531" s="36">
        <v>195</v>
      </c>
      <c r="B4531" s="51" t="s">
        <v>4520</v>
      </c>
      <c r="C4531" s="36" t="s">
        <v>1137</v>
      </c>
      <c r="D4531" s="36" t="s">
        <v>4512</v>
      </c>
      <c r="E4531" s="36">
        <v>2012</v>
      </c>
      <c r="F4531" s="36">
        <v>2010</v>
      </c>
      <c r="G4531" s="36" t="s">
        <v>1080</v>
      </c>
      <c r="H4531" s="36" t="s">
        <v>4514</v>
      </c>
      <c r="I4531" s="36" t="s">
        <v>3461</v>
      </c>
      <c r="J4531" s="36">
        <f t="shared" si="585"/>
        <v>29.866666666666667</v>
      </c>
      <c r="K4531" s="36">
        <f t="shared" si="586"/>
        <v>112.86666666666666</v>
      </c>
      <c r="L4531" s="36">
        <v>28</v>
      </c>
      <c r="M4531" s="36">
        <f t="shared" si="589"/>
        <v>20.790833333333328</v>
      </c>
      <c r="O4531" s="36">
        <f t="shared" si="590"/>
        <v>1104.72</v>
      </c>
      <c r="R4531" s="51" t="s">
        <v>1847</v>
      </c>
      <c r="S4531" s="51" t="s">
        <v>1728</v>
      </c>
      <c r="T4531" s="51"/>
      <c r="U4531" s="51" t="s">
        <v>4513</v>
      </c>
      <c r="V4531" s="51" t="s">
        <v>1393</v>
      </c>
      <c r="W4531" s="51" t="s">
        <v>1719</v>
      </c>
      <c r="X4531" s="51" t="s">
        <v>1393</v>
      </c>
      <c r="Y4531" s="51" t="s">
        <v>1393</v>
      </c>
      <c r="Z4531" s="36">
        <v>1.18</v>
      </c>
      <c r="AA4531" s="331">
        <v>26.6</v>
      </c>
      <c r="AB4531" s="331">
        <v>60.7</v>
      </c>
      <c r="AC4531" s="36" t="s">
        <v>450</v>
      </c>
      <c r="AD4531" s="36">
        <v>6</v>
      </c>
      <c r="AE4531" s="36">
        <v>5.07</v>
      </c>
      <c r="AH4531" s="36" t="s">
        <v>115</v>
      </c>
      <c r="AI4531" s="36" t="s">
        <v>1581</v>
      </c>
      <c r="AJ4531" s="36" t="s">
        <v>1128</v>
      </c>
      <c r="AK4531" s="36" t="s">
        <v>1646</v>
      </c>
      <c r="AW4531" s="36" t="s">
        <v>160</v>
      </c>
      <c r="AX4531" s="36">
        <v>3</v>
      </c>
      <c r="AZ4531" s="36" t="s">
        <v>141</v>
      </c>
      <c r="BP4531" s="407"/>
      <c r="BQ4531" s="407"/>
      <c r="BR4531" s="407"/>
      <c r="BU4531" s="407"/>
      <c r="BV4531" s="407"/>
      <c r="BZ4531" s="407"/>
      <c r="CA4531" s="407"/>
      <c r="CE4531" s="560"/>
      <c r="CF4531" s="560"/>
      <c r="CG4531" s="560"/>
      <c r="CH4531" s="560"/>
      <c r="CJ4531" s="36">
        <v>3.6</v>
      </c>
      <c r="CK4531" s="36">
        <v>2.9</v>
      </c>
      <c r="CL4531" s="36">
        <v>0.9</v>
      </c>
      <c r="CM4531" s="36">
        <v>0.9</v>
      </c>
      <c r="CN4531" s="36" t="s">
        <v>4519</v>
      </c>
      <c r="JD4531" s="230"/>
    </row>
    <row r="4532" spans="1:264" s="36" customFormat="1" x14ac:dyDescent="0.25">
      <c r="A4532" s="36">
        <v>195</v>
      </c>
      <c r="B4532" s="51" t="s">
        <v>4521</v>
      </c>
      <c r="C4532" s="36" t="s">
        <v>1137</v>
      </c>
      <c r="D4532" s="36" t="s">
        <v>4512</v>
      </c>
      <c r="E4532" s="36">
        <v>2012</v>
      </c>
      <c r="F4532" s="36">
        <v>2010</v>
      </c>
      <c r="G4532" s="36" t="s">
        <v>1080</v>
      </c>
      <c r="H4532" s="36" t="s">
        <v>4514</v>
      </c>
      <c r="I4532" s="36" t="s">
        <v>3461</v>
      </c>
      <c r="J4532" s="36">
        <f t="shared" si="585"/>
        <v>29.866666666666667</v>
      </c>
      <c r="K4532" s="36">
        <f t="shared" si="586"/>
        <v>112.86666666666666</v>
      </c>
      <c r="L4532" s="36">
        <v>28</v>
      </c>
      <c r="M4532" s="36">
        <f t="shared" si="589"/>
        <v>20.790833333333328</v>
      </c>
      <c r="O4532" s="36">
        <f t="shared" si="590"/>
        <v>1104.72</v>
      </c>
      <c r="R4532" s="51" t="s">
        <v>1847</v>
      </c>
      <c r="S4532" s="51" t="s">
        <v>1728</v>
      </c>
      <c r="T4532" s="51"/>
      <c r="U4532" s="51" t="s">
        <v>4513</v>
      </c>
      <c r="V4532" s="51" t="s">
        <v>1393</v>
      </c>
      <c r="W4532" s="51" t="s">
        <v>1719</v>
      </c>
      <c r="X4532" s="51" t="s">
        <v>1393</v>
      </c>
      <c r="Y4532" s="51" t="s">
        <v>1393</v>
      </c>
      <c r="Z4532" s="36">
        <v>1.18</v>
      </c>
      <c r="AA4532" s="331">
        <v>26.6</v>
      </c>
      <c r="AB4532" s="331">
        <v>60.7</v>
      </c>
      <c r="AC4532" s="36" t="s">
        <v>450</v>
      </c>
      <c r="AD4532" s="36">
        <v>6</v>
      </c>
      <c r="AE4532" s="36">
        <v>5.07</v>
      </c>
      <c r="AH4532" s="36" t="s">
        <v>3657</v>
      </c>
      <c r="AI4532" s="36" t="s">
        <v>577</v>
      </c>
      <c r="AJ4532" s="36" t="s">
        <v>1128</v>
      </c>
      <c r="AK4532" s="36" t="s">
        <v>1646</v>
      </c>
      <c r="AW4532" s="36" t="s">
        <v>160</v>
      </c>
      <c r="AX4532" s="36">
        <v>3</v>
      </c>
      <c r="AZ4532" s="36" t="s">
        <v>141</v>
      </c>
      <c r="BP4532" s="407"/>
      <c r="BQ4532" s="407"/>
      <c r="BR4532" s="407"/>
      <c r="BU4532" s="407"/>
      <c r="BV4532" s="407"/>
      <c r="BZ4532" s="407"/>
      <c r="CA4532" s="407"/>
      <c r="CE4532" s="560"/>
      <c r="CF4532" s="560"/>
      <c r="CG4532" s="560"/>
      <c r="CH4532" s="560"/>
      <c r="CJ4532" s="36">
        <v>3.6</v>
      </c>
      <c r="CK4532" s="36">
        <v>4.5</v>
      </c>
      <c r="CL4532" s="36">
        <v>0.9</v>
      </c>
      <c r="CM4532" s="36">
        <v>0.9</v>
      </c>
      <c r="CN4532" s="36" t="s">
        <v>4519</v>
      </c>
      <c r="JD4532" s="230"/>
    </row>
    <row r="4533" spans="1:264" s="97" customFormat="1" x14ac:dyDescent="0.25">
      <c r="A4533" s="97">
        <v>195</v>
      </c>
      <c r="B4533" s="98" t="s">
        <v>4522</v>
      </c>
      <c r="C4533" s="97" t="s">
        <v>1137</v>
      </c>
      <c r="D4533" s="97" t="s">
        <v>4512</v>
      </c>
      <c r="E4533" s="97">
        <v>2012</v>
      </c>
      <c r="F4533" s="97">
        <v>2010</v>
      </c>
      <c r="G4533" s="97" t="s">
        <v>1080</v>
      </c>
      <c r="H4533" s="97" t="s">
        <v>4514</v>
      </c>
      <c r="I4533" s="97" t="s">
        <v>3461</v>
      </c>
      <c r="J4533" s="97">
        <f t="shared" si="585"/>
        <v>29.866666666666667</v>
      </c>
      <c r="K4533" s="97">
        <f t="shared" si="586"/>
        <v>112.86666666666666</v>
      </c>
      <c r="L4533" s="97">
        <v>28</v>
      </c>
      <c r="M4533" s="36">
        <f t="shared" si="589"/>
        <v>20.790833333333328</v>
      </c>
      <c r="N4533" s="36"/>
      <c r="O4533" s="36">
        <f t="shared" si="590"/>
        <v>1104.72</v>
      </c>
      <c r="R4533" s="98" t="s">
        <v>1847</v>
      </c>
      <c r="S4533" s="98" t="s">
        <v>1728</v>
      </c>
      <c r="T4533" s="98"/>
      <c r="U4533" s="98" t="s">
        <v>4513</v>
      </c>
      <c r="V4533" s="98" t="s">
        <v>1388</v>
      </c>
      <c r="W4533" s="98" t="s">
        <v>1719</v>
      </c>
      <c r="X4533" s="98" t="s">
        <v>1388</v>
      </c>
      <c r="Y4533" s="98" t="s">
        <v>1388</v>
      </c>
      <c r="Z4533" s="97">
        <v>1.18</v>
      </c>
      <c r="AA4533" s="350">
        <v>26.6</v>
      </c>
      <c r="AB4533" s="350">
        <v>60.7</v>
      </c>
      <c r="AC4533" s="97" t="s">
        <v>450</v>
      </c>
      <c r="AD4533" s="97">
        <v>6</v>
      </c>
      <c r="AE4533" s="97">
        <v>5.07</v>
      </c>
      <c r="AH4533" s="97" t="s">
        <v>115</v>
      </c>
      <c r="AI4533" s="97" t="s">
        <v>1581</v>
      </c>
      <c r="AJ4533" s="97" t="s">
        <v>1128</v>
      </c>
      <c r="AK4533" s="97" t="s">
        <v>1646</v>
      </c>
      <c r="AW4533" s="97" t="s">
        <v>160</v>
      </c>
      <c r="AX4533" s="97">
        <v>3</v>
      </c>
      <c r="AZ4533" s="97" t="s">
        <v>141</v>
      </c>
      <c r="BP4533" s="425"/>
      <c r="BQ4533" s="425"/>
      <c r="BR4533" s="425"/>
      <c r="BU4533" s="425"/>
      <c r="BV4533" s="425"/>
      <c r="BZ4533" s="425"/>
      <c r="CA4533" s="425"/>
      <c r="CE4533" s="578"/>
      <c r="CF4533" s="578"/>
      <c r="CG4533" s="578"/>
      <c r="CH4533" s="578"/>
      <c r="CJ4533" s="97">
        <v>1.8</v>
      </c>
      <c r="CK4533" s="97">
        <v>1.3</v>
      </c>
      <c r="CL4533" s="97">
        <v>0.2</v>
      </c>
      <c r="CM4533" s="97">
        <v>0.2</v>
      </c>
      <c r="CN4533" s="97" t="s">
        <v>1009</v>
      </c>
      <c r="JD4533" s="514"/>
    </row>
    <row r="4534" spans="1:264" s="97" customFormat="1" x14ac:dyDescent="0.25">
      <c r="A4534" s="97">
        <v>195</v>
      </c>
      <c r="B4534" s="98" t="s">
        <v>4523</v>
      </c>
      <c r="C4534" s="97" t="s">
        <v>1137</v>
      </c>
      <c r="D4534" s="97" t="s">
        <v>4512</v>
      </c>
      <c r="E4534" s="97">
        <v>2012</v>
      </c>
      <c r="F4534" s="97">
        <v>2010</v>
      </c>
      <c r="G4534" s="97" t="s">
        <v>1080</v>
      </c>
      <c r="H4534" s="97" t="s">
        <v>4514</v>
      </c>
      <c r="I4534" s="97" t="s">
        <v>3461</v>
      </c>
      <c r="J4534" s="97">
        <f t="shared" si="585"/>
        <v>29.866666666666667</v>
      </c>
      <c r="K4534" s="97">
        <f t="shared" si="586"/>
        <v>112.86666666666666</v>
      </c>
      <c r="L4534" s="97">
        <v>28</v>
      </c>
      <c r="M4534" s="36">
        <f t="shared" si="589"/>
        <v>20.790833333333328</v>
      </c>
      <c r="N4534" s="36"/>
      <c r="O4534" s="36">
        <f t="shared" si="590"/>
        <v>1104.72</v>
      </c>
      <c r="R4534" s="98" t="s">
        <v>1847</v>
      </c>
      <c r="S4534" s="98" t="s">
        <v>1728</v>
      </c>
      <c r="T4534" s="98"/>
      <c r="U4534" s="98" t="s">
        <v>4513</v>
      </c>
      <c r="V4534" s="98" t="s">
        <v>1388</v>
      </c>
      <c r="W4534" s="98" t="s">
        <v>1719</v>
      </c>
      <c r="X4534" s="98" t="s">
        <v>1388</v>
      </c>
      <c r="Y4534" s="98" t="s">
        <v>1388</v>
      </c>
      <c r="Z4534" s="97">
        <v>1.18</v>
      </c>
      <c r="AA4534" s="350">
        <v>26.6</v>
      </c>
      <c r="AB4534" s="350">
        <v>60.7</v>
      </c>
      <c r="AC4534" s="97" t="s">
        <v>450</v>
      </c>
      <c r="AD4534" s="97">
        <v>6</v>
      </c>
      <c r="AE4534" s="97">
        <v>5.07</v>
      </c>
      <c r="AH4534" s="97" t="s">
        <v>3657</v>
      </c>
      <c r="AI4534" s="97" t="s">
        <v>577</v>
      </c>
      <c r="AJ4534" s="97" t="s">
        <v>1128</v>
      </c>
      <c r="AK4534" s="97" t="s">
        <v>1646</v>
      </c>
      <c r="AW4534" s="97" t="s">
        <v>160</v>
      </c>
      <c r="AX4534" s="97">
        <v>3</v>
      </c>
      <c r="AZ4534" s="97" t="s">
        <v>141</v>
      </c>
      <c r="BP4534" s="425"/>
      <c r="BQ4534" s="425"/>
      <c r="BR4534" s="425"/>
      <c r="BU4534" s="425"/>
      <c r="BV4534" s="425"/>
      <c r="BZ4534" s="425"/>
      <c r="CA4534" s="425"/>
      <c r="CE4534" s="578"/>
      <c r="CF4534" s="578"/>
      <c r="CG4534" s="578"/>
      <c r="CH4534" s="578"/>
      <c r="CJ4534" s="97">
        <v>1.8</v>
      </c>
      <c r="CK4534" s="97">
        <v>2.9</v>
      </c>
      <c r="CL4534" s="97">
        <v>0.2</v>
      </c>
      <c r="CM4534" s="97">
        <v>0.2</v>
      </c>
      <c r="CN4534" s="97" t="s">
        <v>1009</v>
      </c>
      <c r="JD4534" s="514"/>
    </row>
    <row r="4535" spans="1:264" s="97" customFormat="1" x14ac:dyDescent="0.25">
      <c r="A4535" s="97">
        <v>195</v>
      </c>
      <c r="B4535" s="98" t="s">
        <v>4524</v>
      </c>
      <c r="C4535" s="97" t="s">
        <v>1137</v>
      </c>
      <c r="D4535" s="97" t="s">
        <v>4512</v>
      </c>
      <c r="E4535" s="97">
        <v>2012</v>
      </c>
      <c r="F4535" s="97">
        <v>2010</v>
      </c>
      <c r="G4535" s="97" t="s">
        <v>1080</v>
      </c>
      <c r="H4535" s="97" t="s">
        <v>4514</v>
      </c>
      <c r="I4535" s="97" t="s">
        <v>3461</v>
      </c>
      <c r="J4535" s="97">
        <f t="shared" si="585"/>
        <v>29.866666666666667</v>
      </c>
      <c r="K4535" s="97">
        <f t="shared" si="586"/>
        <v>112.86666666666666</v>
      </c>
      <c r="L4535" s="97">
        <v>28</v>
      </c>
      <c r="M4535" s="36">
        <f t="shared" si="589"/>
        <v>20.790833333333328</v>
      </c>
      <c r="N4535" s="36"/>
      <c r="O4535" s="36">
        <f t="shared" si="590"/>
        <v>1104.72</v>
      </c>
      <c r="R4535" s="98" t="s">
        <v>1847</v>
      </c>
      <c r="S4535" s="98" t="s">
        <v>1728</v>
      </c>
      <c r="T4535" s="98"/>
      <c r="U4535" s="98" t="s">
        <v>4513</v>
      </c>
      <c r="V4535" s="98" t="s">
        <v>1392</v>
      </c>
      <c r="W4535" s="98" t="s">
        <v>1719</v>
      </c>
      <c r="X4535" s="98" t="s">
        <v>1392</v>
      </c>
      <c r="Y4535" s="98" t="s">
        <v>1392</v>
      </c>
      <c r="Z4535" s="97">
        <v>1.18</v>
      </c>
      <c r="AA4535" s="350">
        <v>26.6</v>
      </c>
      <c r="AB4535" s="350">
        <v>60.7</v>
      </c>
      <c r="AC4535" s="97" t="s">
        <v>450</v>
      </c>
      <c r="AD4535" s="97">
        <v>6</v>
      </c>
      <c r="AE4535" s="97">
        <v>5.07</v>
      </c>
      <c r="AH4535" s="97" t="s">
        <v>115</v>
      </c>
      <c r="AI4535" s="97" t="s">
        <v>1581</v>
      </c>
      <c r="AJ4535" s="97" t="s">
        <v>1128</v>
      </c>
      <c r="AK4535" s="97" t="s">
        <v>1646</v>
      </c>
      <c r="AW4535" s="97" t="s">
        <v>160</v>
      </c>
      <c r="AX4535" s="97">
        <v>3</v>
      </c>
      <c r="AZ4535" s="97" t="s">
        <v>141</v>
      </c>
      <c r="BP4535" s="425"/>
      <c r="BQ4535" s="425"/>
      <c r="BR4535" s="425"/>
      <c r="BU4535" s="425"/>
      <c r="BV4535" s="425"/>
      <c r="BZ4535" s="425"/>
      <c r="CA4535" s="425"/>
      <c r="CE4535" s="578"/>
      <c r="CF4535" s="578"/>
      <c r="CG4535" s="578"/>
      <c r="CH4535" s="578"/>
      <c r="CJ4535" s="97">
        <v>2.5</v>
      </c>
      <c r="CK4535" s="97">
        <v>1.4</v>
      </c>
      <c r="CL4535" s="97">
        <v>0.7</v>
      </c>
      <c r="CM4535" s="97">
        <v>0.7</v>
      </c>
      <c r="CN4535" s="97" t="s">
        <v>1009</v>
      </c>
      <c r="JD4535" s="514"/>
    </row>
    <row r="4536" spans="1:264" s="97" customFormat="1" x14ac:dyDescent="0.25">
      <c r="A4536" s="97">
        <v>195</v>
      </c>
      <c r="B4536" s="98" t="s">
        <v>4525</v>
      </c>
      <c r="C4536" s="97" t="s">
        <v>1137</v>
      </c>
      <c r="D4536" s="97" t="s">
        <v>4512</v>
      </c>
      <c r="E4536" s="97">
        <v>2012</v>
      </c>
      <c r="F4536" s="97">
        <v>2010</v>
      </c>
      <c r="G4536" s="97" t="s">
        <v>1080</v>
      </c>
      <c r="H4536" s="97" t="s">
        <v>4514</v>
      </c>
      <c r="I4536" s="97" t="s">
        <v>3461</v>
      </c>
      <c r="J4536" s="97">
        <f t="shared" si="585"/>
        <v>29.866666666666667</v>
      </c>
      <c r="K4536" s="97">
        <f t="shared" si="586"/>
        <v>112.86666666666666</v>
      </c>
      <c r="L4536" s="97">
        <v>28</v>
      </c>
      <c r="M4536" s="36">
        <f t="shared" si="589"/>
        <v>20.790833333333328</v>
      </c>
      <c r="N4536" s="36"/>
      <c r="O4536" s="36">
        <f t="shared" si="590"/>
        <v>1104.72</v>
      </c>
      <c r="R4536" s="98" t="s">
        <v>1847</v>
      </c>
      <c r="S4536" s="98" t="s">
        <v>1728</v>
      </c>
      <c r="T4536" s="98"/>
      <c r="U4536" s="98" t="s">
        <v>4513</v>
      </c>
      <c r="V4536" s="98" t="s">
        <v>1392</v>
      </c>
      <c r="W4536" s="98" t="s">
        <v>1719</v>
      </c>
      <c r="X4536" s="98" t="s">
        <v>1392</v>
      </c>
      <c r="Y4536" s="98" t="s">
        <v>1392</v>
      </c>
      <c r="Z4536" s="97">
        <v>1.18</v>
      </c>
      <c r="AA4536" s="350">
        <v>26.6</v>
      </c>
      <c r="AB4536" s="350">
        <v>60.7</v>
      </c>
      <c r="AC4536" s="97" t="s">
        <v>450</v>
      </c>
      <c r="AD4536" s="97">
        <v>6</v>
      </c>
      <c r="AE4536" s="97">
        <v>5.07</v>
      </c>
      <c r="AH4536" s="97" t="s">
        <v>3657</v>
      </c>
      <c r="AI4536" s="97" t="s">
        <v>577</v>
      </c>
      <c r="AJ4536" s="97" t="s">
        <v>1128</v>
      </c>
      <c r="AK4536" s="97" t="s">
        <v>1646</v>
      </c>
      <c r="AW4536" s="97" t="s">
        <v>160</v>
      </c>
      <c r="AX4536" s="97">
        <v>3</v>
      </c>
      <c r="AZ4536" s="97" t="s">
        <v>141</v>
      </c>
      <c r="BP4536" s="425"/>
      <c r="BQ4536" s="425"/>
      <c r="BR4536" s="425"/>
      <c r="BU4536" s="425"/>
      <c r="BV4536" s="425"/>
      <c r="BZ4536" s="425"/>
      <c r="CA4536" s="425"/>
      <c r="CE4536" s="578"/>
      <c r="CF4536" s="578"/>
      <c r="CG4536" s="578"/>
      <c r="CH4536" s="578"/>
      <c r="CJ4536" s="97">
        <v>2.5</v>
      </c>
      <c r="CK4536" s="97">
        <v>2.6</v>
      </c>
      <c r="CL4536" s="97">
        <v>0.7</v>
      </c>
      <c r="CM4536" s="97">
        <v>0.7</v>
      </c>
      <c r="CN4536" s="97" t="s">
        <v>1009</v>
      </c>
      <c r="JD4536" s="514"/>
    </row>
    <row r="4537" spans="1:264" s="97" customFormat="1" x14ac:dyDescent="0.25">
      <c r="A4537" s="97">
        <v>195</v>
      </c>
      <c r="B4537" s="98" t="s">
        <v>4526</v>
      </c>
      <c r="C4537" s="97" t="s">
        <v>1137</v>
      </c>
      <c r="D4537" s="97" t="s">
        <v>4512</v>
      </c>
      <c r="E4537" s="97">
        <v>2012</v>
      </c>
      <c r="F4537" s="97">
        <v>2010</v>
      </c>
      <c r="G4537" s="97" t="s">
        <v>1080</v>
      </c>
      <c r="H4537" s="97" t="s">
        <v>4514</v>
      </c>
      <c r="I4537" s="97" t="s">
        <v>3461</v>
      </c>
      <c r="J4537" s="97">
        <f t="shared" si="585"/>
        <v>29.866666666666667</v>
      </c>
      <c r="K4537" s="97">
        <f t="shared" si="586"/>
        <v>112.86666666666666</v>
      </c>
      <c r="L4537" s="97">
        <v>28</v>
      </c>
      <c r="M4537" s="36">
        <f t="shared" si="589"/>
        <v>20.790833333333328</v>
      </c>
      <c r="N4537" s="36"/>
      <c r="O4537" s="36">
        <f t="shared" si="590"/>
        <v>1104.72</v>
      </c>
      <c r="R4537" s="98" t="s">
        <v>1847</v>
      </c>
      <c r="S4537" s="98" t="s">
        <v>1728</v>
      </c>
      <c r="T4537" s="98"/>
      <c r="U4537" s="98" t="s">
        <v>4513</v>
      </c>
      <c r="V4537" s="98" t="s">
        <v>1393</v>
      </c>
      <c r="W4537" s="98" t="s">
        <v>1719</v>
      </c>
      <c r="X4537" s="98" t="s">
        <v>1393</v>
      </c>
      <c r="Y4537" s="98" t="s">
        <v>1393</v>
      </c>
      <c r="Z4537" s="97">
        <v>1.18</v>
      </c>
      <c r="AA4537" s="350">
        <v>26.6</v>
      </c>
      <c r="AB4537" s="350">
        <v>60.7</v>
      </c>
      <c r="AC4537" s="97" t="s">
        <v>450</v>
      </c>
      <c r="AD4537" s="97">
        <v>6</v>
      </c>
      <c r="AE4537" s="97">
        <v>5.07</v>
      </c>
      <c r="AH4537" s="97" t="s">
        <v>115</v>
      </c>
      <c r="AI4537" s="97" t="s">
        <v>1581</v>
      </c>
      <c r="AJ4537" s="97" t="s">
        <v>1128</v>
      </c>
      <c r="AK4537" s="97" t="s">
        <v>1646</v>
      </c>
      <c r="AW4537" s="97" t="s">
        <v>160</v>
      </c>
      <c r="AX4537" s="97">
        <v>3</v>
      </c>
      <c r="AZ4537" s="97" t="s">
        <v>141</v>
      </c>
      <c r="BP4537" s="425"/>
      <c r="BQ4537" s="425"/>
      <c r="BR4537" s="425"/>
      <c r="BU4537" s="425"/>
      <c r="BV4537" s="425"/>
      <c r="BZ4537" s="425"/>
      <c r="CA4537" s="425"/>
      <c r="CE4537" s="578"/>
      <c r="CF4537" s="578"/>
      <c r="CG4537" s="578"/>
      <c r="CH4537" s="578"/>
      <c r="CJ4537" s="97">
        <v>1.7</v>
      </c>
      <c r="CK4537" s="97">
        <v>1.2</v>
      </c>
      <c r="CL4537" s="97">
        <v>0.4</v>
      </c>
      <c r="CM4537" s="97">
        <v>0.4</v>
      </c>
      <c r="CN4537" s="97" t="s">
        <v>1009</v>
      </c>
      <c r="JD4537" s="514"/>
    </row>
    <row r="4538" spans="1:264" s="97" customFormat="1" x14ac:dyDescent="0.25">
      <c r="A4538" s="97">
        <v>195</v>
      </c>
      <c r="B4538" s="98" t="s">
        <v>4527</v>
      </c>
      <c r="C4538" s="97" t="s">
        <v>1137</v>
      </c>
      <c r="D4538" s="97" t="s">
        <v>4512</v>
      </c>
      <c r="E4538" s="97">
        <v>2012</v>
      </c>
      <c r="F4538" s="97">
        <v>2010</v>
      </c>
      <c r="G4538" s="97" t="s">
        <v>1080</v>
      </c>
      <c r="H4538" s="97" t="s">
        <v>4514</v>
      </c>
      <c r="I4538" s="97" t="s">
        <v>3461</v>
      </c>
      <c r="J4538" s="97">
        <f t="shared" si="585"/>
        <v>29.866666666666667</v>
      </c>
      <c r="K4538" s="97">
        <f t="shared" si="586"/>
        <v>112.86666666666666</v>
      </c>
      <c r="L4538" s="97">
        <v>28</v>
      </c>
      <c r="M4538" s="36">
        <f t="shared" si="589"/>
        <v>20.790833333333328</v>
      </c>
      <c r="N4538" s="36"/>
      <c r="O4538" s="36">
        <f>SUM(17,91.36,91,230.7,126,221.58,136.7,17,44,26,62.38,41)</f>
        <v>1104.72</v>
      </c>
      <c r="R4538" s="98" t="s">
        <v>1847</v>
      </c>
      <c r="S4538" s="98" t="s">
        <v>1728</v>
      </c>
      <c r="T4538" s="98"/>
      <c r="U4538" s="98" t="s">
        <v>4513</v>
      </c>
      <c r="V4538" s="98" t="s">
        <v>1393</v>
      </c>
      <c r="W4538" s="98" t="s">
        <v>1719</v>
      </c>
      <c r="X4538" s="98" t="s">
        <v>1393</v>
      </c>
      <c r="Y4538" s="98" t="s">
        <v>1393</v>
      </c>
      <c r="Z4538" s="97">
        <v>1.18</v>
      </c>
      <c r="AA4538" s="350">
        <v>26.6</v>
      </c>
      <c r="AB4538" s="350">
        <v>60.7</v>
      </c>
      <c r="AC4538" s="97" t="s">
        <v>450</v>
      </c>
      <c r="AD4538" s="97">
        <v>6</v>
      </c>
      <c r="AE4538" s="97">
        <v>5.07</v>
      </c>
      <c r="AH4538" s="97" t="s">
        <v>3657</v>
      </c>
      <c r="AI4538" s="97" t="s">
        <v>577</v>
      </c>
      <c r="AJ4538" s="97" t="s">
        <v>1128</v>
      </c>
      <c r="AK4538" s="97" t="s">
        <v>1646</v>
      </c>
      <c r="AW4538" s="97" t="s">
        <v>160</v>
      </c>
      <c r="AX4538" s="97">
        <v>3</v>
      </c>
      <c r="AZ4538" s="97" t="s">
        <v>141</v>
      </c>
      <c r="BP4538" s="425"/>
      <c r="BQ4538" s="425"/>
      <c r="BR4538" s="425"/>
      <c r="BU4538" s="425"/>
      <c r="BV4538" s="425"/>
      <c r="BZ4538" s="425"/>
      <c r="CA4538" s="425"/>
      <c r="CE4538" s="578"/>
      <c r="CF4538" s="578"/>
      <c r="CG4538" s="578"/>
      <c r="CH4538" s="578"/>
      <c r="CJ4538" s="97">
        <v>1.7</v>
      </c>
      <c r="CK4538" s="97">
        <v>0.8</v>
      </c>
      <c r="CL4538" s="97">
        <v>0.4</v>
      </c>
      <c r="CM4538" s="97">
        <v>0.4</v>
      </c>
      <c r="CN4538" s="97" t="s">
        <v>1009</v>
      </c>
      <c r="JD4538" s="514"/>
    </row>
    <row r="4539" spans="1:264" s="126" customFormat="1" x14ac:dyDescent="0.25">
      <c r="A4539" s="126">
        <v>195</v>
      </c>
      <c r="B4539" s="478" t="s">
        <v>4528</v>
      </c>
      <c r="C4539" s="126" t="s">
        <v>1137</v>
      </c>
      <c r="D4539" s="126" t="s">
        <v>4512</v>
      </c>
      <c r="E4539" s="126">
        <v>2012</v>
      </c>
      <c r="F4539" s="126">
        <v>2010</v>
      </c>
      <c r="G4539" s="126" t="s">
        <v>1080</v>
      </c>
      <c r="H4539" s="126" t="s">
        <v>4514</v>
      </c>
      <c r="I4539" s="126" t="s">
        <v>3461</v>
      </c>
      <c r="J4539" s="126">
        <f t="shared" si="585"/>
        <v>29.866666666666667</v>
      </c>
      <c r="K4539" s="126">
        <f t="shared" si="586"/>
        <v>112.86666666666666</v>
      </c>
      <c r="L4539" s="126">
        <v>28</v>
      </c>
      <c r="M4539" s="126">
        <f>AVERAGE(6.4,11.18,13.96,20.19,25.22,32.12,33.97,32.91,28.66,24.82,11.95,8.11)</f>
        <v>20.790833333333328</v>
      </c>
      <c r="O4539" s="126">
        <f>SUM(17,91.36,91,230.7,126,221.58,136.7,17,44,26,62.38,41)</f>
        <v>1104.72</v>
      </c>
      <c r="R4539" s="478" t="s">
        <v>1847</v>
      </c>
      <c r="S4539" s="478" t="s">
        <v>1728</v>
      </c>
      <c r="T4539" s="478"/>
      <c r="U4539" s="478" t="s">
        <v>4513</v>
      </c>
      <c r="V4539" s="478" t="s">
        <v>1389</v>
      </c>
      <c r="W4539" s="478" t="s">
        <v>1720</v>
      </c>
      <c r="X4539" s="478" t="s">
        <v>1389</v>
      </c>
      <c r="Y4539" s="478" t="s">
        <v>1389</v>
      </c>
      <c r="Z4539" s="126">
        <v>1.18</v>
      </c>
      <c r="AA4539" s="479">
        <v>26.6</v>
      </c>
      <c r="AB4539" s="479">
        <v>60.7</v>
      </c>
      <c r="AC4539" s="126" t="s">
        <v>450</v>
      </c>
      <c r="AD4539" s="126">
        <v>6</v>
      </c>
      <c r="AE4539" s="126">
        <v>5.07</v>
      </c>
      <c r="AH4539" s="126" t="s">
        <v>115</v>
      </c>
      <c r="AI4539" s="126" t="s">
        <v>1581</v>
      </c>
      <c r="AJ4539" s="126" t="s">
        <v>1128</v>
      </c>
      <c r="AK4539" s="126" t="s">
        <v>1646</v>
      </c>
      <c r="AW4539" s="126" t="s">
        <v>160</v>
      </c>
      <c r="AX4539" s="126">
        <v>3</v>
      </c>
      <c r="AZ4539" s="126" t="s">
        <v>141</v>
      </c>
      <c r="BE4539" s="547">
        <v>43205</v>
      </c>
      <c r="BP4539" s="481"/>
      <c r="BQ4539" s="481"/>
      <c r="BU4539" s="481"/>
      <c r="BV4539" s="481"/>
      <c r="BZ4539" s="481"/>
      <c r="CA4539" s="481"/>
      <c r="CE4539" s="605"/>
      <c r="CF4539" s="605"/>
      <c r="CG4539" s="605"/>
      <c r="CH4539" s="605"/>
      <c r="IN4539" s="126">
        <v>144.69999999999999</v>
      </c>
      <c r="IO4539" s="126">
        <v>187.4</v>
      </c>
      <c r="IP4539" s="126">
        <v>36.200000000000003</v>
      </c>
      <c r="IQ4539" s="126">
        <v>36.200000000000003</v>
      </c>
      <c r="IR4539" s="126" t="s">
        <v>2286</v>
      </c>
      <c r="IS4539" s="126">
        <v>7.4</v>
      </c>
      <c r="IT4539" s="126">
        <v>12.3</v>
      </c>
      <c r="IU4539" s="126">
        <v>4.2</v>
      </c>
      <c r="IV4539" s="126">
        <v>4.2</v>
      </c>
      <c r="IW4539" s="126" t="s">
        <v>2286</v>
      </c>
      <c r="JD4539" s="480"/>
    </row>
    <row r="4540" spans="1:264" s="126" customFormat="1" x14ac:dyDescent="0.25">
      <c r="A4540" s="126">
        <v>195</v>
      </c>
      <c r="B4540" s="478" t="s">
        <v>4529</v>
      </c>
      <c r="C4540" s="126" t="s">
        <v>1137</v>
      </c>
      <c r="D4540" s="126" t="s">
        <v>4512</v>
      </c>
      <c r="E4540" s="126">
        <v>2012</v>
      </c>
      <c r="F4540" s="126">
        <v>2010</v>
      </c>
      <c r="G4540" s="126" t="s">
        <v>1080</v>
      </c>
      <c r="H4540" s="126" t="s">
        <v>4514</v>
      </c>
      <c r="I4540" s="126" t="s">
        <v>3461</v>
      </c>
      <c r="J4540" s="126">
        <f t="shared" si="585"/>
        <v>29.866666666666667</v>
      </c>
      <c r="K4540" s="126">
        <f t="shared" si="586"/>
        <v>112.86666666666666</v>
      </c>
      <c r="L4540" s="126">
        <v>28</v>
      </c>
      <c r="M4540" s="126">
        <f t="shared" ref="M4540:M4546" si="591">AVERAGE(6.4,11.18,13.96,20.19,25.22,32.12,33.97,32.91,28.66,24.82,11.95,8.11)</f>
        <v>20.790833333333328</v>
      </c>
      <c r="O4540" s="126">
        <f t="shared" ref="O4540:O4546" si="592">SUM(17,91.36,91,230.7,126,221.58,136.7,17,44,26,62.38,41)</f>
        <v>1104.72</v>
      </c>
      <c r="R4540" s="478" t="s">
        <v>1847</v>
      </c>
      <c r="S4540" s="478" t="s">
        <v>1728</v>
      </c>
      <c r="T4540" s="478"/>
      <c r="U4540" s="478" t="s">
        <v>4513</v>
      </c>
      <c r="V4540" s="478" t="s">
        <v>1389</v>
      </c>
      <c r="W4540" s="478" t="s">
        <v>1720</v>
      </c>
      <c r="X4540" s="478" t="s">
        <v>1389</v>
      </c>
      <c r="Y4540" s="478" t="s">
        <v>1389</v>
      </c>
      <c r="Z4540" s="126">
        <v>1.18</v>
      </c>
      <c r="AA4540" s="479">
        <v>26.6</v>
      </c>
      <c r="AB4540" s="479">
        <v>60.7</v>
      </c>
      <c r="AC4540" s="126" t="s">
        <v>450</v>
      </c>
      <c r="AD4540" s="126">
        <v>6</v>
      </c>
      <c r="AE4540" s="126">
        <v>5.07</v>
      </c>
      <c r="AH4540" s="126" t="s">
        <v>3657</v>
      </c>
      <c r="AI4540" s="126" t="s">
        <v>577</v>
      </c>
      <c r="AJ4540" s="126" t="s">
        <v>1128</v>
      </c>
      <c r="AK4540" s="126" t="s">
        <v>1646</v>
      </c>
      <c r="AW4540" s="126" t="s">
        <v>160</v>
      </c>
      <c r="AX4540" s="126">
        <v>3</v>
      </c>
      <c r="AZ4540" s="126" t="s">
        <v>141</v>
      </c>
      <c r="BE4540" s="547">
        <v>43205</v>
      </c>
      <c r="BP4540" s="481"/>
      <c r="BQ4540" s="481"/>
      <c r="BU4540" s="481"/>
      <c r="BV4540" s="481"/>
      <c r="BZ4540" s="481"/>
      <c r="CA4540" s="481"/>
      <c r="CE4540" s="605"/>
      <c r="CF4540" s="605"/>
      <c r="CG4540" s="605"/>
      <c r="CH4540" s="605"/>
      <c r="IN4540" s="126">
        <v>144.69999999999999</v>
      </c>
      <c r="IO4540" s="126">
        <v>253.4</v>
      </c>
      <c r="IP4540" s="126">
        <v>36.200000000000003</v>
      </c>
      <c r="IQ4540" s="126">
        <v>36.200000000000003</v>
      </c>
      <c r="IR4540" s="126" t="s">
        <v>2286</v>
      </c>
      <c r="IS4540" s="126">
        <v>7.4</v>
      </c>
      <c r="IT4540" s="126">
        <v>16.399999999999999</v>
      </c>
      <c r="IU4540" s="126">
        <v>4.2</v>
      </c>
      <c r="IV4540" s="126">
        <v>4.2</v>
      </c>
      <c r="IW4540" s="126" t="s">
        <v>2286</v>
      </c>
      <c r="JD4540" s="480"/>
    </row>
    <row r="4541" spans="1:264" s="126" customFormat="1" x14ac:dyDescent="0.25">
      <c r="A4541" s="126">
        <v>195</v>
      </c>
      <c r="B4541" s="478" t="s">
        <v>4528</v>
      </c>
      <c r="C4541" s="126" t="s">
        <v>1137</v>
      </c>
      <c r="D4541" s="126" t="s">
        <v>4512</v>
      </c>
      <c r="E4541" s="126">
        <v>2012</v>
      </c>
      <c r="F4541" s="126">
        <v>2010</v>
      </c>
      <c r="G4541" s="126" t="s">
        <v>1080</v>
      </c>
      <c r="H4541" s="126" t="s">
        <v>4514</v>
      </c>
      <c r="I4541" s="126" t="s">
        <v>3461</v>
      </c>
      <c r="J4541" s="126">
        <f t="shared" si="585"/>
        <v>29.866666666666667</v>
      </c>
      <c r="K4541" s="126">
        <f t="shared" si="586"/>
        <v>112.86666666666666</v>
      </c>
      <c r="L4541" s="126">
        <v>28</v>
      </c>
      <c r="M4541" s="126">
        <f t="shared" si="591"/>
        <v>20.790833333333328</v>
      </c>
      <c r="O4541" s="126">
        <f t="shared" si="592"/>
        <v>1104.72</v>
      </c>
      <c r="R4541" s="478" t="s">
        <v>1847</v>
      </c>
      <c r="S4541" s="478" t="s">
        <v>1728</v>
      </c>
      <c r="T4541" s="478"/>
      <c r="U4541" s="478" t="s">
        <v>4513</v>
      </c>
      <c r="V4541" s="478" t="s">
        <v>1389</v>
      </c>
      <c r="W4541" s="478" t="s">
        <v>1720</v>
      </c>
      <c r="X4541" s="478" t="s">
        <v>1389</v>
      </c>
      <c r="Y4541" s="478" t="s">
        <v>1389</v>
      </c>
      <c r="Z4541" s="126">
        <v>1.18</v>
      </c>
      <c r="AA4541" s="479">
        <v>26.6</v>
      </c>
      <c r="AB4541" s="479">
        <v>60.7</v>
      </c>
      <c r="AC4541" s="126" t="s">
        <v>450</v>
      </c>
      <c r="AD4541" s="126">
        <v>6</v>
      </c>
      <c r="AE4541" s="126">
        <v>5.07</v>
      </c>
      <c r="AH4541" s="126" t="s">
        <v>115</v>
      </c>
      <c r="AI4541" s="126" t="s">
        <v>1581</v>
      </c>
      <c r="AJ4541" s="126" t="s">
        <v>1128</v>
      </c>
      <c r="AK4541" s="126" t="s">
        <v>1646</v>
      </c>
      <c r="AW4541" s="126" t="s">
        <v>160</v>
      </c>
      <c r="AX4541" s="126">
        <v>3</v>
      </c>
      <c r="AZ4541" s="126" t="s">
        <v>141</v>
      </c>
      <c r="BE4541" s="547">
        <v>43258</v>
      </c>
      <c r="BP4541" s="481"/>
      <c r="BQ4541" s="481"/>
      <c r="BU4541" s="481"/>
      <c r="BV4541" s="481"/>
      <c r="BZ4541" s="481"/>
      <c r="CA4541" s="481"/>
      <c r="CE4541" s="605"/>
      <c r="CF4541" s="605"/>
      <c r="CG4541" s="605"/>
      <c r="CH4541" s="605"/>
      <c r="IN4541" s="126">
        <v>200.6</v>
      </c>
      <c r="IO4541" s="126">
        <v>240.2</v>
      </c>
      <c r="IP4541" s="126">
        <v>24.4</v>
      </c>
      <c r="IQ4541" s="126">
        <v>24.4</v>
      </c>
      <c r="IR4541" s="126" t="s">
        <v>2286</v>
      </c>
      <c r="IS4541" s="126">
        <v>6.6</v>
      </c>
      <c r="IT4541" s="126">
        <v>16</v>
      </c>
      <c r="IU4541" s="126">
        <v>1.1000000000000001</v>
      </c>
      <c r="IV4541" s="126">
        <v>1.1000000000000001</v>
      </c>
      <c r="IW4541" s="126" t="s">
        <v>2286</v>
      </c>
      <c r="JD4541" s="480"/>
    </row>
    <row r="4542" spans="1:264" s="126" customFormat="1" x14ac:dyDescent="0.25">
      <c r="A4542" s="126">
        <v>195</v>
      </c>
      <c r="B4542" s="478" t="s">
        <v>4529</v>
      </c>
      <c r="C4542" s="126" t="s">
        <v>1137</v>
      </c>
      <c r="D4542" s="126" t="s">
        <v>4512</v>
      </c>
      <c r="E4542" s="126">
        <v>2012</v>
      </c>
      <c r="F4542" s="126">
        <v>2010</v>
      </c>
      <c r="G4542" s="126" t="s">
        <v>1080</v>
      </c>
      <c r="H4542" s="126" t="s">
        <v>4514</v>
      </c>
      <c r="I4542" s="126" t="s">
        <v>3461</v>
      </c>
      <c r="J4542" s="126">
        <f t="shared" si="585"/>
        <v>29.866666666666667</v>
      </c>
      <c r="K4542" s="126">
        <f t="shared" si="586"/>
        <v>112.86666666666666</v>
      </c>
      <c r="L4542" s="126">
        <v>28</v>
      </c>
      <c r="M4542" s="126">
        <f t="shared" si="591"/>
        <v>20.790833333333328</v>
      </c>
      <c r="O4542" s="126">
        <f t="shared" si="592"/>
        <v>1104.72</v>
      </c>
      <c r="R4542" s="478" t="s">
        <v>1847</v>
      </c>
      <c r="S4542" s="478" t="s">
        <v>1728</v>
      </c>
      <c r="T4542" s="478"/>
      <c r="U4542" s="478" t="s">
        <v>4513</v>
      </c>
      <c r="V4542" s="478" t="s">
        <v>1389</v>
      </c>
      <c r="W4542" s="478" t="s">
        <v>1720</v>
      </c>
      <c r="X4542" s="478" t="s">
        <v>1389</v>
      </c>
      <c r="Y4542" s="478" t="s">
        <v>1389</v>
      </c>
      <c r="Z4542" s="126">
        <v>1.18</v>
      </c>
      <c r="AA4542" s="479">
        <v>26.6</v>
      </c>
      <c r="AB4542" s="479">
        <v>60.7</v>
      </c>
      <c r="AC4542" s="126" t="s">
        <v>450</v>
      </c>
      <c r="AD4542" s="126">
        <v>6</v>
      </c>
      <c r="AE4542" s="126">
        <v>5.07</v>
      </c>
      <c r="AH4542" s="126" t="s">
        <v>3657</v>
      </c>
      <c r="AI4542" s="126" t="s">
        <v>577</v>
      </c>
      <c r="AJ4542" s="126" t="s">
        <v>1128</v>
      </c>
      <c r="AK4542" s="126" t="s">
        <v>1646</v>
      </c>
      <c r="AW4542" s="126" t="s">
        <v>160</v>
      </c>
      <c r="AX4542" s="126">
        <v>3</v>
      </c>
      <c r="AZ4542" s="126" t="s">
        <v>141</v>
      </c>
      <c r="BE4542" s="547">
        <v>43258</v>
      </c>
      <c r="BP4542" s="481"/>
      <c r="BQ4542" s="481"/>
      <c r="BU4542" s="481"/>
      <c r="BV4542" s="481"/>
      <c r="BZ4542" s="481"/>
      <c r="CA4542" s="481"/>
      <c r="CE4542" s="605"/>
      <c r="CF4542" s="605"/>
      <c r="CG4542" s="605"/>
      <c r="CH4542" s="605"/>
      <c r="IN4542" s="126">
        <v>200.6</v>
      </c>
      <c r="IO4542" s="126">
        <v>216.5</v>
      </c>
      <c r="IP4542" s="126">
        <v>24.4</v>
      </c>
      <c r="IQ4542" s="126">
        <v>24.4</v>
      </c>
      <c r="IR4542" s="126" t="s">
        <v>2286</v>
      </c>
      <c r="IS4542" s="126">
        <v>6.6</v>
      </c>
      <c r="IT4542" s="126">
        <v>19.899999999999999</v>
      </c>
      <c r="IU4542" s="126">
        <v>1.1000000000000001</v>
      </c>
      <c r="IV4542" s="126">
        <v>1.1000000000000001</v>
      </c>
      <c r="IW4542" s="126" t="s">
        <v>2286</v>
      </c>
      <c r="JD4542" s="480"/>
    </row>
    <row r="4543" spans="1:264" s="126" customFormat="1" x14ac:dyDescent="0.25">
      <c r="A4543" s="126">
        <v>195</v>
      </c>
      <c r="B4543" s="478" t="s">
        <v>4528</v>
      </c>
      <c r="C4543" s="126" t="s">
        <v>1137</v>
      </c>
      <c r="D4543" s="126" t="s">
        <v>4512</v>
      </c>
      <c r="E4543" s="126">
        <v>2012</v>
      </c>
      <c r="F4543" s="126">
        <v>2010</v>
      </c>
      <c r="G4543" s="126" t="s">
        <v>1080</v>
      </c>
      <c r="H4543" s="126" t="s">
        <v>4514</v>
      </c>
      <c r="I4543" s="126" t="s">
        <v>3461</v>
      </c>
      <c r="J4543" s="126">
        <f t="shared" si="585"/>
        <v>29.866666666666667</v>
      </c>
      <c r="K4543" s="126">
        <f t="shared" si="586"/>
        <v>112.86666666666666</v>
      </c>
      <c r="L4543" s="126">
        <v>28</v>
      </c>
      <c r="M4543" s="126">
        <f t="shared" si="591"/>
        <v>20.790833333333328</v>
      </c>
      <c r="O4543" s="126">
        <f t="shared" si="592"/>
        <v>1104.72</v>
      </c>
      <c r="R4543" s="478" t="s">
        <v>1847</v>
      </c>
      <c r="S4543" s="478" t="s">
        <v>1728</v>
      </c>
      <c r="T4543" s="478"/>
      <c r="U4543" s="478" t="s">
        <v>4513</v>
      </c>
      <c r="V4543" s="478" t="s">
        <v>1389</v>
      </c>
      <c r="W4543" s="478" t="s">
        <v>1720</v>
      </c>
      <c r="X4543" s="478" t="s">
        <v>1389</v>
      </c>
      <c r="Y4543" s="478" t="s">
        <v>1389</v>
      </c>
      <c r="Z4543" s="126">
        <v>1.18</v>
      </c>
      <c r="AA4543" s="479">
        <v>26.6</v>
      </c>
      <c r="AB4543" s="479">
        <v>60.7</v>
      </c>
      <c r="AC4543" s="126" t="s">
        <v>450</v>
      </c>
      <c r="AD4543" s="126">
        <v>6</v>
      </c>
      <c r="AE4543" s="126">
        <v>5.07</v>
      </c>
      <c r="AH4543" s="126" t="s">
        <v>115</v>
      </c>
      <c r="AI4543" s="126" t="s">
        <v>1581</v>
      </c>
      <c r="AJ4543" s="126" t="s">
        <v>1128</v>
      </c>
      <c r="AK4543" s="126" t="s">
        <v>1646</v>
      </c>
      <c r="AW4543" s="126" t="s">
        <v>160</v>
      </c>
      <c r="AX4543" s="126">
        <v>3</v>
      </c>
      <c r="AZ4543" s="126" t="s">
        <v>141</v>
      </c>
      <c r="BE4543" s="547">
        <v>43306</v>
      </c>
      <c r="BP4543" s="481"/>
      <c r="BQ4543" s="481"/>
      <c r="BU4543" s="481"/>
      <c r="BV4543" s="481"/>
      <c r="BZ4543" s="481"/>
      <c r="CA4543" s="481"/>
      <c r="CE4543" s="605"/>
      <c r="CF4543" s="605"/>
      <c r="CG4543" s="605"/>
      <c r="CH4543" s="605"/>
      <c r="IN4543" s="126">
        <v>266.60000000000002</v>
      </c>
      <c r="IO4543" s="126">
        <v>269.3</v>
      </c>
      <c r="IP4543" s="126">
        <v>74.400000000000006</v>
      </c>
      <c r="IQ4543" s="126">
        <v>74.400000000000006</v>
      </c>
      <c r="IR4543" s="126" t="s">
        <v>2286</v>
      </c>
      <c r="IS4543" s="126">
        <v>1.3</v>
      </c>
      <c r="IT4543" s="126">
        <v>3</v>
      </c>
      <c r="IU4543" s="126">
        <v>0.9</v>
      </c>
      <c r="IV4543" s="126">
        <v>0.9</v>
      </c>
      <c r="IW4543" s="126" t="s">
        <v>2286</v>
      </c>
      <c r="JD4543" s="480"/>
    </row>
    <row r="4544" spans="1:264" s="126" customFormat="1" x14ac:dyDescent="0.25">
      <c r="A4544" s="126">
        <v>195</v>
      </c>
      <c r="B4544" s="478" t="s">
        <v>4529</v>
      </c>
      <c r="C4544" s="126" t="s">
        <v>1137</v>
      </c>
      <c r="D4544" s="126" t="s">
        <v>4512</v>
      </c>
      <c r="E4544" s="126">
        <v>2012</v>
      </c>
      <c r="F4544" s="126">
        <v>2010</v>
      </c>
      <c r="G4544" s="126" t="s">
        <v>1080</v>
      </c>
      <c r="H4544" s="126" t="s">
        <v>4514</v>
      </c>
      <c r="I4544" s="126" t="s">
        <v>3461</v>
      </c>
      <c r="J4544" s="126">
        <f t="shared" si="585"/>
        <v>29.866666666666667</v>
      </c>
      <c r="K4544" s="126">
        <f t="shared" si="586"/>
        <v>112.86666666666666</v>
      </c>
      <c r="L4544" s="126">
        <v>28</v>
      </c>
      <c r="M4544" s="126">
        <f t="shared" si="591"/>
        <v>20.790833333333328</v>
      </c>
      <c r="O4544" s="126">
        <f t="shared" si="592"/>
        <v>1104.72</v>
      </c>
      <c r="R4544" s="478" t="s">
        <v>1847</v>
      </c>
      <c r="S4544" s="478" t="s">
        <v>1728</v>
      </c>
      <c r="T4544" s="478"/>
      <c r="U4544" s="478" t="s">
        <v>4513</v>
      </c>
      <c r="V4544" s="478" t="s">
        <v>1389</v>
      </c>
      <c r="W4544" s="478" t="s">
        <v>1720</v>
      </c>
      <c r="X4544" s="478" t="s">
        <v>1389</v>
      </c>
      <c r="Y4544" s="478" t="s">
        <v>1389</v>
      </c>
      <c r="Z4544" s="126">
        <v>1.18</v>
      </c>
      <c r="AA4544" s="479">
        <v>26.6</v>
      </c>
      <c r="AB4544" s="479">
        <v>60.7</v>
      </c>
      <c r="AC4544" s="126" t="s">
        <v>450</v>
      </c>
      <c r="AD4544" s="126">
        <v>6</v>
      </c>
      <c r="AE4544" s="126">
        <v>5.07</v>
      </c>
      <c r="AH4544" s="126" t="s">
        <v>3657</v>
      </c>
      <c r="AI4544" s="126" t="s">
        <v>577</v>
      </c>
      <c r="AJ4544" s="126" t="s">
        <v>1128</v>
      </c>
      <c r="AK4544" s="126" t="s">
        <v>1646</v>
      </c>
      <c r="AW4544" s="126" t="s">
        <v>160</v>
      </c>
      <c r="AX4544" s="126">
        <v>3</v>
      </c>
      <c r="AZ4544" s="126" t="s">
        <v>141</v>
      </c>
      <c r="BE4544" s="547">
        <v>43306</v>
      </c>
      <c r="BP4544" s="481"/>
      <c r="BQ4544" s="481"/>
      <c r="BU4544" s="481"/>
      <c r="BV4544" s="481"/>
      <c r="BZ4544" s="481"/>
      <c r="CA4544" s="481"/>
      <c r="CE4544" s="605"/>
      <c r="CF4544" s="605"/>
      <c r="CG4544" s="605"/>
      <c r="CH4544" s="605"/>
      <c r="IN4544" s="126">
        <v>266.60000000000002</v>
      </c>
      <c r="IO4544" s="126">
        <v>237.6</v>
      </c>
      <c r="IP4544" s="126">
        <v>74.400000000000006</v>
      </c>
      <c r="IQ4544" s="126">
        <v>74.400000000000006</v>
      </c>
      <c r="IR4544" s="126" t="s">
        <v>2286</v>
      </c>
      <c r="IS4544" s="126">
        <v>1.3</v>
      </c>
      <c r="IT4544" s="126">
        <v>3.1</v>
      </c>
      <c r="IU4544" s="126">
        <v>0.9</v>
      </c>
      <c r="IV4544" s="126">
        <v>0.9</v>
      </c>
      <c r="IW4544" s="126" t="s">
        <v>2286</v>
      </c>
      <c r="JD4544" s="480"/>
    </row>
    <row r="4545" spans="1:264" s="126" customFormat="1" x14ac:dyDescent="0.25">
      <c r="A4545" s="126">
        <v>195</v>
      </c>
      <c r="B4545" s="478" t="s">
        <v>4528</v>
      </c>
      <c r="C4545" s="126" t="s">
        <v>1137</v>
      </c>
      <c r="D4545" s="126" t="s">
        <v>4512</v>
      </c>
      <c r="E4545" s="126">
        <v>2012</v>
      </c>
      <c r="F4545" s="126">
        <v>2010</v>
      </c>
      <c r="G4545" s="126" t="s">
        <v>1080</v>
      </c>
      <c r="H4545" s="126" t="s">
        <v>4514</v>
      </c>
      <c r="I4545" s="126" t="s">
        <v>3461</v>
      </c>
      <c r="J4545" s="126">
        <f t="shared" si="585"/>
        <v>29.866666666666667</v>
      </c>
      <c r="K4545" s="126">
        <f t="shared" si="586"/>
        <v>112.86666666666666</v>
      </c>
      <c r="L4545" s="126">
        <v>28</v>
      </c>
      <c r="M4545" s="126">
        <f t="shared" si="591"/>
        <v>20.790833333333328</v>
      </c>
      <c r="O4545" s="126">
        <f t="shared" si="592"/>
        <v>1104.72</v>
      </c>
      <c r="R4545" s="478" t="s">
        <v>1847</v>
      </c>
      <c r="S4545" s="478" t="s">
        <v>1728</v>
      </c>
      <c r="T4545" s="478"/>
      <c r="U4545" s="478" t="s">
        <v>4513</v>
      </c>
      <c r="V4545" s="478" t="s">
        <v>1389</v>
      </c>
      <c r="W4545" s="478" t="s">
        <v>1720</v>
      </c>
      <c r="X4545" s="478" t="s">
        <v>1389</v>
      </c>
      <c r="Y4545" s="478" t="s">
        <v>1389</v>
      </c>
      <c r="Z4545" s="126">
        <v>1.18</v>
      </c>
      <c r="AA4545" s="479">
        <v>26.6</v>
      </c>
      <c r="AB4545" s="479">
        <v>60.7</v>
      </c>
      <c r="AC4545" s="126" t="s">
        <v>450</v>
      </c>
      <c r="AD4545" s="126">
        <v>6</v>
      </c>
      <c r="AE4545" s="126">
        <v>5.07</v>
      </c>
      <c r="AH4545" s="126" t="s">
        <v>115</v>
      </c>
      <c r="AI4545" s="126" t="s">
        <v>1581</v>
      </c>
      <c r="AJ4545" s="126" t="s">
        <v>1128</v>
      </c>
      <c r="AK4545" s="126" t="s">
        <v>1646</v>
      </c>
      <c r="AW4545" s="126" t="s">
        <v>160</v>
      </c>
      <c r="AX4545" s="126">
        <v>3</v>
      </c>
      <c r="AZ4545" s="126" t="s">
        <v>141</v>
      </c>
      <c r="BE4545" s="547">
        <v>43363</v>
      </c>
      <c r="BP4545" s="481"/>
      <c r="BQ4545" s="481"/>
      <c r="BU4545" s="481"/>
      <c r="BV4545" s="481"/>
      <c r="BZ4545" s="481"/>
      <c r="CA4545" s="481"/>
      <c r="CE4545" s="605"/>
      <c r="CF4545" s="605"/>
      <c r="CG4545" s="605"/>
      <c r="CH4545" s="605"/>
      <c r="IN4545" s="126">
        <v>261.39999999999998</v>
      </c>
      <c r="IO4545" s="126">
        <v>330</v>
      </c>
      <c r="IP4545" s="126">
        <v>36.9</v>
      </c>
      <c r="IQ4545" s="126">
        <v>36.9</v>
      </c>
      <c r="IR4545" s="126" t="s">
        <v>2286</v>
      </c>
      <c r="IS4545" s="126">
        <v>9.1999999999999993</v>
      </c>
      <c r="IT4545" s="126">
        <v>13.6</v>
      </c>
      <c r="IU4545" s="126">
        <v>1.5</v>
      </c>
      <c r="IV4545" s="126">
        <v>1.5</v>
      </c>
      <c r="IW4545" s="126" t="s">
        <v>2286</v>
      </c>
      <c r="JD4545" s="480"/>
    </row>
    <row r="4546" spans="1:264" s="126" customFormat="1" x14ac:dyDescent="0.25">
      <c r="A4546" s="126">
        <v>195</v>
      </c>
      <c r="B4546" s="478" t="s">
        <v>4529</v>
      </c>
      <c r="C4546" s="126" t="s">
        <v>1137</v>
      </c>
      <c r="D4546" s="126" t="s">
        <v>4512</v>
      </c>
      <c r="E4546" s="126">
        <v>2012</v>
      </c>
      <c r="F4546" s="126">
        <v>2010</v>
      </c>
      <c r="G4546" s="126" t="s">
        <v>1080</v>
      </c>
      <c r="H4546" s="126" t="s">
        <v>4514</v>
      </c>
      <c r="I4546" s="126" t="s">
        <v>3461</v>
      </c>
      <c r="J4546" s="126">
        <f t="shared" si="585"/>
        <v>29.866666666666667</v>
      </c>
      <c r="K4546" s="126">
        <f t="shared" si="586"/>
        <v>112.86666666666666</v>
      </c>
      <c r="L4546" s="126">
        <v>28</v>
      </c>
      <c r="M4546" s="126">
        <f t="shared" si="591"/>
        <v>20.790833333333328</v>
      </c>
      <c r="O4546" s="126">
        <f t="shared" si="592"/>
        <v>1104.72</v>
      </c>
      <c r="R4546" s="478" t="s">
        <v>1847</v>
      </c>
      <c r="S4546" s="478" t="s">
        <v>1728</v>
      </c>
      <c r="T4546" s="478"/>
      <c r="U4546" s="478" t="s">
        <v>4513</v>
      </c>
      <c r="V4546" s="478" t="s">
        <v>1389</v>
      </c>
      <c r="W4546" s="478" t="s">
        <v>1720</v>
      </c>
      <c r="X4546" s="478" t="s">
        <v>1389</v>
      </c>
      <c r="Y4546" s="478" t="s">
        <v>1389</v>
      </c>
      <c r="Z4546" s="126">
        <v>1.18</v>
      </c>
      <c r="AA4546" s="479">
        <v>26.6</v>
      </c>
      <c r="AB4546" s="479">
        <v>60.7</v>
      </c>
      <c r="AC4546" s="126" t="s">
        <v>450</v>
      </c>
      <c r="AD4546" s="126">
        <v>6</v>
      </c>
      <c r="AE4546" s="126">
        <v>5.07</v>
      </c>
      <c r="AH4546" s="126" t="s">
        <v>3657</v>
      </c>
      <c r="AI4546" s="126" t="s">
        <v>577</v>
      </c>
      <c r="AJ4546" s="126" t="s">
        <v>1128</v>
      </c>
      <c r="AK4546" s="126" t="s">
        <v>1646</v>
      </c>
      <c r="AW4546" s="126" t="s">
        <v>160</v>
      </c>
      <c r="AX4546" s="126">
        <v>3</v>
      </c>
      <c r="AZ4546" s="126" t="s">
        <v>141</v>
      </c>
      <c r="BE4546" s="547">
        <v>43363</v>
      </c>
      <c r="BP4546" s="481"/>
      <c r="BQ4546" s="481"/>
      <c r="BU4546" s="481"/>
      <c r="BV4546" s="481"/>
      <c r="BZ4546" s="481"/>
      <c r="CA4546" s="481"/>
      <c r="CE4546" s="605"/>
      <c r="CF4546" s="605"/>
      <c r="CG4546" s="605"/>
      <c r="CH4546" s="605"/>
      <c r="IN4546" s="126">
        <v>261.39999999999998</v>
      </c>
      <c r="IO4546" s="126">
        <v>287.8</v>
      </c>
      <c r="IP4546" s="126">
        <v>36.9</v>
      </c>
      <c r="IQ4546" s="126">
        <v>36.9</v>
      </c>
      <c r="IR4546" s="126" t="s">
        <v>2286</v>
      </c>
      <c r="IS4546" s="126">
        <v>9.1999999999999993</v>
      </c>
      <c r="IT4546" s="126">
        <v>22.2</v>
      </c>
      <c r="IU4546" s="126">
        <v>1.5</v>
      </c>
      <c r="IV4546" s="126">
        <v>1.5</v>
      </c>
      <c r="IW4546" s="126" t="s">
        <v>2286</v>
      </c>
      <c r="JD4546" s="480"/>
    </row>
    <row r="4547" spans="1:264" s="24" customFormat="1" x14ac:dyDescent="0.25">
      <c r="A4547" s="24">
        <v>196</v>
      </c>
      <c r="B4547" s="42" t="s">
        <v>4537</v>
      </c>
      <c r="C4547" s="24" t="s">
        <v>1137</v>
      </c>
      <c r="D4547" s="24" t="s">
        <v>4512</v>
      </c>
      <c r="E4547" s="24">
        <v>2012</v>
      </c>
      <c r="F4547" s="24">
        <v>2009</v>
      </c>
      <c r="G4547" s="24" t="s">
        <v>1080</v>
      </c>
      <c r="H4547" s="24" t="s">
        <v>4514</v>
      </c>
      <c r="I4547" s="24" t="s">
        <v>3461</v>
      </c>
      <c r="J4547" s="24">
        <f t="shared" si="585"/>
        <v>29.866666666666667</v>
      </c>
      <c r="K4547" s="24">
        <f t="shared" si="586"/>
        <v>112.86666666666666</v>
      </c>
      <c r="L4547" s="24">
        <v>28</v>
      </c>
      <c r="M4547" s="24">
        <f t="shared" ref="M4547:M4552" si="593">AVERAGE(2.7,6.76,17.56,21.14,28.16,30.28,33.33,32,28.42,22.05,15.69,10.25)</f>
        <v>20.695000000000004</v>
      </c>
      <c r="O4547" s="24">
        <f t="shared" ref="O4547:O4552" si="594">SUM(53.78,18.15,97.67,118.86,115.81,117,60,265.7,35,217,111,8)</f>
        <v>1217.97</v>
      </c>
      <c r="R4547" s="42" t="s">
        <v>1847</v>
      </c>
      <c r="S4547" s="42" t="s">
        <v>1858</v>
      </c>
      <c r="T4547" s="42"/>
      <c r="U4547" s="42" t="s">
        <v>4530</v>
      </c>
      <c r="V4547" s="42" t="s">
        <v>1382</v>
      </c>
      <c r="W4547" s="42" t="s">
        <v>1717</v>
      </c>
      <c r="X4547" s="42" t="s">
        <v>1382</v>
      </c>
      <c r="Y4547" s="42" t="s">
        <v>1382</v>
      </c>
      <c r="Z4547" s="24">
        <v>1.18</v>
      </c>
      <c r="AA4547" s="321">
        <v>26.6</v>
      </c>
      <c r="AB4547" s="321">
        <v>60.7</v>
      </c>
      <c r="AC4547" s="24" t="s">
        <v>450</v>
      </c>
      <c r="AD4547" s="24">
        <v>6</v>
      </c>
      <c r="AE4547" s="24">
        <v>5.07</v>
      </c>
      <c r="AH4547" s="24" t="s">
        <v>115</v>
      </c>
      <c r="AI4547" s="24" t="s">
        <v>1581</v>
      </c>
      <c r="AJ4547" s="24" t="s">
        <v>1128</v>
      </c>
      <c r="AK4547" s="24" t="s">
        <v>1646</v>
      </c>
      <c r="AT4547" s="24" t="s">
        <v>4531</v>
      </c>
      <c r="AU4547" s="24" t="s">
        <v>4531</v>
      </c>
      <c r="AV4547" s="24" t="s">
        <v>177</v>
      </c>
      <c r="AW4547" s="24" t="s">
        <v>160</v>
      </c>
      <c r="AX4547" s="24">
        <v>3</v>
      </c>
      <c r="AZ4547" s="24" t="s">
        <v>141</v>
      </c>
      <c r="BE4547" s="24" t="s">
        <v>4534</v>
      </c>
      <c r="BK4547" s="24">
        <v>5200</v>
      </c>
      <c r="BL4547" s="24">
        <v>3500</v>
      </c>
      <c r="BP4547" s="395"/>
      <c r="BQ4547" s="395"/>
      <c r="BR4547" s="395"/>
      <c r="BU4547" s="395"/>
      <c r="BV4547" s="395"/>
      <c r="BZ4547" s="395"/>
      <c r="CA4547" s="395"/>
      <c r="CE4547" s="548"/>
      <c r="CF4547" s="548"/>
      <c r="CG4547" s="548"/>
      <c r="CH4547" s="548"/>
      <c r="JB4547" s="24" t="s">
        <v>4536</v>
      </c>
      <c r="JD4547" s="249"/>
    </row>
    <row r="4548" spans="1:264" s="24" customFormat="1" x14ac:dyDescent="0.25">
      <c r="A4548" s="24">
        <v>196</v>
      </c>
      <c r="B4548" s="42" t="s">
        <v>4537</v>
      </c>
      <c r="C4548" s="24" t="s">
        <v>1137</v>
      </c>
      <c r="D4548" s="24" t="s">
        <v>4512</v>
      </c>
      <c r="E4548" s="24">
        <v>2012</v>
      </c>
      <c r="F4548" s="24">
        <v>2009</v>
      </c>
      <c r="G4548" s="24" t="s">
        <v>1080</v>
      </c>
      <c r="H4548" s="24" t="s">
        <v>4514</v>
      </c>
      <c r="I4548" s="24" t="s">
        <v>3461</v>
      </c>
      <c r="J4548" s="24">
        <f t="shared" si="585"/>
        <v>29.866666666666667</v>
      </c>
      <c r="K4548" s="24">
        <f t="shared" si="586"/>
        <v>112.86666666666666</v>
      </c>
      <c r="L4548" s="24">
        <v>28</v>
      </c>
      <c r="M4548" s="24">
        <f t="shared" si="593"/>
        <v>20.695000000000004</v>
      </c>
      <c r="O4548" s="24">
        <f t="shared" si="594"/>
        <v>1217.97</v>
      </c>
      <c r="R4548" s="42" t="s">
        <v>1847</v>
      </c>
      <c r="S4548" s="42" t="s">
        <v>1858</v>
      </c>
      <c r="T4548" s="42"/>
      <c r="U4548" s="42" t="s">
        <v>4530</v>
      </c>
      <c r="V4548" s="42" t="s">
        <v>1382</v>
      </c>
      <c r="W4548" s="42" t="s">
        <v>1717</v>
      </c>
      <c r="X4548" s="42" t="s">
        <v>1382</v>
      </c>
      <c r="Y4548" s="42" t="s">
        <v>1382</v>
      </c>
      <c r="Z4548" s="24">
        <v>1.18</v>
      </c>
      <c r="AA4548" s="321">
        <v>26.6</v>
      </c>
      <c r="AB4548" s="321">
        <v>60.7</v>
      </c>
      <c r="AC4548" s="24" t="s">
        <v>450</v>
      </c>
      <c r="AD4548" s="24">
        <v>6</v>
      </c>
      <c r="AE4548" s="24">
        <v>5.07</v>
      </c>
      <c r="AH4548" s="24" t="s">
        <v>115</v>
      </c>
      <c r="AI4548" s="24" t="s">
        <v>1581</v>
      </c>
      <c r="AJ4548" s="24" t="s">
        <v>1128</v>
      </c>
      <c r="AK4548" s="24" t="s">
        <v>1646</v>
      </c>
      <c r="AT4548" s="24" t="s">
        <v>4531</v>
      </c>
      <c r="AU4548" s="24" t="s">
        <v>4531</v>
      </c>
      <c r="AV4548" s="24" t="s">
        <v>177</v>
      </c>
      <c r="AW4548" s="24" t="s">
        <v>160</v>
      </c>
      <c r="AX4548" s="24">
        <v>3</v>
      </c>
      <c r="AZ4548" s="24" t="s">
        <v>141</v>
      </c>
      <c r="BE4548" s="24" t="s">
        <v>4535</v>
      </c>
      <c r="BK4548" s="24">
        <v>4900</v>
      </c>
      <c r="BL4548" s="24">
        <v>4600</v>
      </c>
      <c r="BP4548" s="395"/>
      <c r="BQ4548" s="395"/>
      <c r="BR4548" s="395"/>
      <c r="BU4548" s="395"/>
      <c r="BV4548" s="395"/>
      <c r="BZ4548" s="395"/>
      <c r="CA4548" s="395"/>
      <c r="CE4548" s="548"/>
      <c r="CF4548" s="548"/>
      <c r="CG4548" s="548"/>
      <c r="CH4548" s="548"/>
      <c r="JB4548" s="24" t="s">
        <v>4536</v>
      </c>
      <c r="JD4548" s="249"/>
    </row>
    <row r="4549" spans="1:264" s="24" customFormat="1" x14ac:dyDescent="0.25">
      <c r="A4549" s="24">
        <v>196</v>
      </c>
      <c r="B4549" s="42" t="s">
        <v>4538</v>
      </c>
      <c r="C4549" s="24" t="s">
        <v>1137</v>
      </c>
      <c r="D4549" s="24" t="s">
        <v>4512</v>
      </c>
      <c r="E4549" s="24">
        <v>2012</v>
      </c>
      <c r="F4549" s="24">
        <v>2009</v>
      </c>
      <c r="G4549" s="24" t="s">
        <v>1080</v>
      </c>
      <c r="H4549" s="24" t="s">
        <v>4514</v>
      </c>
      <c r="I4549" s="24" t="s">
        <v>3461</v>
      </c>
      <c r="J4549" s="24">
        <f t="shared" si="585"/>
        <v>29.866666666666667</v>
      </c>
      <c r="K4549" s="24">
        <f t="shared" si="586"/>
        <v>112.86666666666666</v>
      </c>
      <c r="L4549" s="24">
        <v>28</v>
      </c>
      <c r="M4549" s="24">
        <f t="shared" si="593"/>
        <v>20.695000000000004</v>
      </c>
      <c r="O4549" s="24">
        <f t="shared" si="594"/>
        <v>1217.97</v>
      </c>
      <c r="R4549" s="42" t="s">
        <v>1847</v>
      </c>
      <c r="S4549" s="42" t="s">
        <v>1858</v>
      </c>
      <c r="T4549" s="42"/>
      <c r="U4549" s="42" t="s">
        <v>4530</v>
      </c>
      <c r="V4549" s="42" t="s">
        <v>1382</v>
      </c>
      <c r="W4549" s="42" t="s">
        <v>1717</v>
      </c>
      <c r="X4549" s="42" t="s">
        <v>1382</v>
      </c>
      <c r="Y4549" s="42" t="s">
        <v>1382</v>
      </c>
      <c r="Z4549" s="24">
        <v>1.18</v>
      </c>
      <c r="AA4549" s="321">
        <v>26.6</v>
      </c>
      <c r="AB4549" s="321">
        <v>60.7</v>
      </c>
      <c r="AC4549" s="24" t="s">
        <v>450</v>
      </c>
      <c r="AD4549" s="24">
        <v>6</v>
      </c>
      <c r="AE4549" s="24">
        <v>5.07</v>
      </c>
      <c r="AH4549" s="24" t="s">
        <v>115</v>
      </c>
      <c r="AI4549" s="24" t="s">
        <v>1581</v>
      </c>
      <c r="AJ4549" s="24" t="s">
        <v>1128</v>
      </c>
      <c r="AK4549" s="24" t="s">
        <v>1646</v>
      </c>
      <c r="AT4549" s="24" t="s">
        <v>4532</v>
      </c>
      <c r="AU4549" s="24" t="s">
        <v>4532</v>
      </c>
      <c r="AV4549" s="24" t="s">
        <v>177</v>
      </c>
      <c r="AW4549" s="24" t="s">
        <v>160</v>
      </c>
      <c r="AX4549" s="24">
        <v>3</v>
      </c>
      <c r="AZ4549" s="24" t="s">
        <v>141</v>
      </c>
      <c r="BE4549" s="24" t="s">
        <v>4534</v>
      </c>
      <c r="BK4549" s="24">
        <v>6400</v>
      </c>
      <c r="BL4549" s="24">
        <v>5500</v>
      </c>
      <c r="BP4549" s="395"/>
      <c r="BQ4549" s="395"/>
      <c r="BR4549" s="395"/>
      <c r="BU4549" s="395"/>
      <c r="BV4549" s="395"/>
      <c r="BZ4549" s="395"/>
      <c r="CA4549" s="395"/>
      <c r="CE4549" s="548"/>
      <c r="CF4549" s="548"/>
      <c r="CG4549" s="548"/>
      <c r="CH4549" s="548"/>
      <c r="JB4549" s="24" t="s">
        <v>4536</v>
      </c>
      <c r="JD4549" s="249"/>
    </row>
    <row r="4550" spans="1:264" s="24" customFormat="1" x14ac:dyDescent="0.25">
      <c r="A4550" s="24">
        <v>196</v>
      </c>
      <c r="B4550" s="42" t="s">
        <v>4538</v>
      </c>
      <c r="C4550" s="24" t="s">
        <v>1137</v>
      </c>
      <c r="D4550" s="24" t="s">
        <v>4512</v>
      </c>
      <c r="E4550" s="24">
        <v>2012</v>
      </c>
      <c r="F4550" s="24">
        <v>2009</v>
      </c>
      <c r="G4550" s="24" t="s">
        <v>1080</v>
      </c>
      <c r="H4550" s="24" t="s">
        <v>4514</v>
      </c>
      <c r="I4550" s="24" t="s">
        <v>3461</v>
      </c>
      <c r="J4550" s="24">
        <f t="shared" si="585"/>
        <v>29.866666666666667</v>
      </c>
      <c r="K4550" s="24">
        <f t="shared" si="586"/>
        <v>112.86666666666666</v>
      </c>
      <c r="L4550" s="24">
        <v>28</v>
      </c>
      <c r="M4550" s="24">
        <f t="shared" si="593"/>
        <v>20.695000000000004</v>
      </c>
      <c r="O4550" s="24">
        <f t="shared" si="594"/>
        <v>1217.97</v>
      </c>
      <c r="R4550" s="42" t="s">
        <v>1847</v>
      </c>
      <c r="S4550" s="42" t="s">
        <v>1858</v>
      </c>
      <c r="T4550" s="42"/>
      <c r="U4550" s="42" t="s">
        <v>4530</v>
      </c>
      <c r="V4550" s="42" t="s">
        <v>1382</v>
      </c>
      <c r="W4550" s="42" t="s">
        <v>1717</v>
      </c>
      <c r="X4550" s="42" t="s">
        <v>1382</v>
      </c>
      <c r="Y4550" s="42" t="s">
        <v>1382</v>
      </c>
      <c r="Z4550" s="24">
        <v>1.18</v>
      </c>
      <c r="AA4550" s="321">
        <v>26.6</v>
      </c>
      <c r="AB4550" s="321">
        <v>60.7</v>
      </c>
      <c r="AC4550" s="24" t="s">
        <v>450</v>
      </c>
      <c r="AD4550" s="24">
        <v>6</v>
      </c>
      <c r="AE4550" s="24">
        <v>5.07</v>
      </c>
      <c r="AH4550" s="24" t="s">
        <v>115</v>
      </c>
      <c r="AI4550" s="24" t="s">
        <v>1581</v>
      </c>
      <c r="AJ4550" s="24" t="s">
        <v>1128</v>
      </c>
      <c r="AK4550" s="24" t="s">
        <v>1646</v>
      </c>
      <c r="AT4550" s="24" t="s">
        <v>4532</v>
      </c>
      <c r="AU4550" s="24" t="s">
        <v>4532</v>
      </c>
      <c r="AV4550" s="24" t="s">
        <v>177</v>
      </c>
      <c r="AW4550" s="24" t="s">
        <v>160</v>
      </c>
      <c r="AX4550" s="24">
        <v>3</v>
      </c>
      <c r="AZ4550" s="24" t="s">
        <v>141</v>
      </c>
      <c r="BE4550" s="24" t="s">
        <v>4535</v>
      </c>
      <c r="BK4550" s="24">
        <v>5400</v>
      </c>
      <c r="BL4550" s="24">
        <v>5100</v>
      </c>
      <c r="BP4550" s="395"/>
      <c r="BQ4550" s="395"/>
      <c r="BR4550" s="395"/>
      <c r="BU4550" s="395"/>
      <c r="BV4550" s="395"/>
      <c r="BZ4550" s="395"/>
      <c r="CA4550" s="395"/>
      <c r="CE4550" s="548"/>
      <c r="CF4550" s="548"/>
      <c r="CG4550" s="548"/>
      <c r="CH4550" s="548"/>
      <c r="JB4550" s="24" t="s">
        <v>4536</v>
      </c>
      <c r="JD4550" s="249"/>
    </row>
    <row r="4551" spans="1:264" s="24" customFormat="1" x14ac:dyDescent="0.25">
      <c r="A4551" s="24">
        <v>196</v>
      </c>
      <c r="B4551" s="42" t="s">
        <v>4539</v>
      </c>
      <c r="C4551" s="24" t="s">
        <v>1137</v>
      </c>
      <c r="D4551" s="24" t="s">
        <v>4512</v>
      </c>
      <c r="E4551" s="24">
        <v>2012</v>
      </c>
      <c r="F4551" s="24">
        <v>2009</v>
      </c>
      <c r="G4551" s="24" t="s">
        <v>1080</v>
      </c>
      <c r="H4551" s="24" t="s">
        <v>4514</v>
      </c>
      <c r="I4551" s="24" t="s">
        <v>3461</v>
      </c>
      <c r="J4551" s="24">
        <f t="shared" si="585"/>
        <v>29.866666666666667</v>
      </c>
      <c r="K4551" s="24">
        <f t="shared" si="586"/>
        <v>112.86666666666666</v>
      </c>
      <c r="L4551" s="24">
        <v>28</v>
      </c>
      <c r="M4551" s="24">
        <f t="shared" si="593"/>
        <v>20.695000000000004</v>
      </c>
      <c r="O4551" s="24">
        <f t="shared" si="594"/>
        <v>1217.97</v>
      </c>
      <c r="R4551" s="42" t="s">
        <v>1847</v>
      </c>
      <c r="S4551" s="42" t="s">
        <v>1858</v>
      </c>
      <c r="T4551" s="42"/>
      <c r="U4551" s="42" t="s">
        <v>4530</v>
      </c>
      <c r="V4551" s="42" t="s">
        <v>1382</v>
      </c>
      <c r="W4551" s="42" t="s">
        <v>1717</v>
      </c>
      <c r="X4551" s="42" t="s">
        <v>1382</v>
      </c>
      <c r="Y4551" s="42" t="s">
        <v>1382</v>
      </c>
      <c r="Z4551" s="24">
        <v>1.18</v>
      </c>
      <c r="AA4551" s="321">
        <v>26.6</v>
      </c>
      <c r="AB4551" s="321">
        <v>60.7</v>
      </c>
      <c r="AC4551" s="24" t="s">
        <v>450</v>
      </c>
      <c r="AD4551" s="24">
        <v>6</v>
      </c>
      <c r="AE4551" s="24">
        <v>5.07</v>
      </c>
      <c r="AH4551" s="24" t="s">
        <v>115</v>
      </c>
      <c r="AI4551" s="24" t="s">
        <v>1581</v>
      </c>
      <c r="AJ4551" s="24" t="s">
        <v>1128</v>
      </c>
      <c r="AK4551" s="24" t="s">
        <v>1646</v>
      </c>
      <c r="AT4551" s="24" t="s">
        <v>4533</v>
      </c>
      <c r="AU4551" s="24" t="s">
        <v>4533</v>
      </c>
      <c r="AV4551" s="24" t="s">
        <v>177</v>
      </c>
      <c r="AW4551" s="24" t="s">
        <v>160</v>
      </c>
      <c r="AX4551" s="24">
        <v>3</v>
      </c>
      <c r="AZ4551" s="24" t="s">
        <v>141</v>
      </c>
      <c r="BE4551" s="24" t="s">
        <v>4534</v>
      </c>
      <c r="BK4551" s="24">
        <v>6600</v>
      </c>
      <c r="BL4551" s="24">
        <v>6200</v>
      </c>
      <c r="BP4551" s="395"/>
      <c r="BQ4551" s="395"/>
      <c r="BR4551" s="395"/>
      <c r="BU4551" s="395"/>
      <c r="BV4551" s="395"/>
      <c r="BZ4551" s="395"/>
      <c r="CA4551" s="395"/>
      <c r="CE4551" s="548"/>
      <c r="CF4551" s="548"/>
      <c r="CG4551" s="548"/>
      <c r="CH4551" s="548"/>
      <c r="JB4551" s="24" t="s">
        <v>4536</v>
      </c>
      <c r="JD4551" s="249"/>
    </row>
    <row r="4552" spans="1:264" s="24" customFormat="1" x14ac:dyDescent="0.25">
      <c r="A4552" s="24">
        <v>196</v>
      </c>
      <c r="B4552" s="42" t="s">
        <v>4539</v>
      </c>
      <c r="C4552" s="24" t="s">
        <v>1137</v>
      </c>
      <c r="D4552" s="24" t="s">
        <v>4512</v>
      </c>
      <c r="E4552" s="24">
        <v>2012</v>
      </c>
      <c r="F4552" s="24">
        <v>2009</v>
      </c>
      <c r="G4552" s="24" t="s">
        <v>1080</v>
      </c>
      <c r="H4552" s="24" t="s">
        <v>4514</v>
      </c>
      <c r="I4552" s="24" t="s">
        <v>3461</v>
      </c>
      <c r="J4552" s="24">
        <f t="shared" si="585"/>
        <v>29.866666666666667</v>
      </c>
      <c r="K4552" s="24">
        <f t="shared" si="586"/>
        <v>112.86666666666666</v>
      </c>
      <c r="L4552" s="24">
        <v>28</v>
      </c>
      <c r="M4552" s="24">
        <f t="shared" si="593"/>
        <v>20.695000000000004</v>
      </c>
      <c r="O4552" s="24">
        <f t="shared" si="594"/>
        <v>1217.97</v>
      </c>
      <c r="R4552" s="42" t="s">
        <v>1847</v>
      </c>
      <c r="S4552" s="42" t="s">
        <v>1858</v>
      </c>
      <c r="T4552" s="42"/>
      <c r="U4552" s="42" t="s">
        <v>4530</v>
      </c>
      <c r="V4552" s="42" t="s">
        <v>1382</v>
      </c>
      <c r="W4552" s="42" t="s">
        <v>1717</v>
      </c>
      <c r="X4552" s="42" t="s">
        <v>1382</v>
      </c>
      <c r="Y4552" s="42" t="s">
        <v>1382</v>
      </c>
      <c r="Z4552" s="24">
        <v>1.18</v>
      </c>
      <c r="AA4552" s="321">
        <v>26.6</v>
      </c>
      <c r="AB4552" s="321">
        <v>60.7</v>
      </c>
      <c r="AC4552" s="24" t="s">
        <v>450</v>
      </c>
      <c r="AD4552" s="24">
        <v>6</v>
      </c>
      <c r="AE4552" s="24">
        <v>5.07</v>
      </c>
      <c r="AH4552" s="24" t="s">
        <v>115</v>
      </c>
      <c r="AI4552" s="24" t="s">
        <v>1581</v>
      </c>
      <c r="AJ4552" s="24" t="s">
        <v>1128</v>
      </c>
      <c r="AK4552" s="24" t="s">
        <v>1646</v>
      </c>
      <c r="AT4552" s="24" t="s">
        <v>4533</v>
      </c>
      <c r="AU4552" s="24" t="s">
        <v>4533</v>
      </c>
      <c r="AV4552" s="24" t="s">
        <v>177</v>
      </c>
      <c r="AW4552" s="24" t="s">
        <v>160</v>
      </c>
      <c r="AX4552" s="24">
        <v>3</v>
      </c>
      <c r="AZ4552" s="24" t="s">
        <v>141</v>
      </c>
      <c r="BE4552" s="24" t="s">
        <v>4535</v>
      </c>
      <c r="BK4552" s="24">
        <v>6100</v>
      </c>
      <c r="BL4552" s="24">
        <v>6000</v>
      </c>
      <c r="BP4552" s="395"/>
      <c r="BQ4552" s="395"/>
      <c r="BR4552" s="395"/>
      <c r="BU4552" s="395"/>
      <c r="BV4552" s="395"/>
      <c r="BZ4552" s="395"/>
      <c r="CA4552" s="395"/>
      <c r="CE4552" s="548"/>
      <c r="CF4552" s="548"/>
      <c r="CG4552" s="548"/>
      <c r="CH4552" s="548"/>
      <c r="JB4552" s="24" t="s">
        <v>4536</v>
      </c>
      <c r="JD4552" s="249"/>
    </row>
    <row r="4553" spans="1:264" s="32" customFormat="1" x14ac:dyDescent="0.25">
      <c r="A4553" s="32">
        <v>196</v>
      </c>
      <c r="B4553" s="44" t="s">
        <v>4537</v>
      </c>
      <c r="C4553" s="32" t="s">
        <v>1137</v>
      </c>
      <c r="D4553" s="32" t="s">
        <v>4512</v>
      </c>
      <c r="E4553" s="32">
        <v>2012</v>
      </c>
      <c r="F4553" s="32">
        <v>2010</v>
      </c>
      <c r="G4553" s="32" t="s">
        <v>1080</v>
      </c>
      <c r="H4553" s="32" t="s">
        <v>4514</v>
      </c>
      <c r="I4553" s="32" t="s">
        <v>3461</v>
      </c>
      <c r="J4553" s="32">
        <f t="shared" si="585"/>
        <v>29.866666666666667</v>
      </c>
      <c r="K4553" s="32">
        <f t="shared" si="586"/>
        <v>112.86666666666666</v>
      </c>
      <c r="L4553" s="32">
        <v>28</v>
      </c>
      <c r="M4553" s="32">
        <f t="shared" ref="M4553:M4558" si="595">AVERAGE(6.4,11.18,13.96,20.19,25.22,32.12,33.97,32.91,28.66,24.82,11.95,8.11)</f>
        <v>20.790833333333328</v>
      </c>
      <c r="O4553" s="32">
        <f t="shared" ref="O4553:O4558" si="596">SUM(17,91.36,91,230.7,126,221.58,136.7,17,44,26,62.38,41)</f>
        <v>1104.72</v>
      </c>
      <c r="R4553" s="44" t="s">
        <v>1728</v>
      </c>
      <c r="S4553" s="44" t="s">
        <v>1858</v>
      </c>
      <c r="T4553" s="44"/>
      <c r="U4553" s="44" t="s">
        <v>4530</v>
      </c>
      <c r="V4553" s="44" t="s">
        <v>1382</v>
      </c>
      <c r="W4553" s="44" t="s">
        <v>1717</v>
      </c>
      <c r="X4553" s="44" t="s">
        <v>1382</v>
      </c>
      <c r="Y4553" s="44" t="s">
        <v>1382</v>
      </c>
      <c r="Z4553" s="32">
        <v>1.18</v>
      </c>
      <c r="AA4553" s="323">
        <v>26.6</v>
      </c>
      <c r="AB4553" s="323">
        <v>60.7</v>
      </c>
      <c r="AC4553" s="32" t="s">
        <v>450</v>
      </c>
      <c r="AD4553" s="32">
        <v>6</v>
      </c>
      <c r="AE4553" s="32">
        <v>5.07</v>
      </c>
      <c r="AH4553" s="32" t="s">
        <v>115</v>
      </c>
      <c r="AI4553" s="32" t="s">
        <v>1581</v>
      </c>
      <c r="AJ4553" s="32" t="s">
        <v>1128</v>
      </c>
      <c r="AK4553" s="32" t="s">
        <v>1646</v>
      </c>
      <c r="AT4553" s="32" t="s">
        <v>4531</v>
      </c>
      <c r="AU4553" s="32" t="s">
        <v>4531</v>
      </c>
      <c r="AV4553" s="32" t="s">
        <v>177</v>
      </c>
      <c r="AW4553" s="32" t="s">
        <v>160</v>
      </c>
      <c r="AX4553" s="32">
        <v>3</v>
      </c>
      <c r="AZ4553" s="32" t="s">
        <v>141</v>
      </c>
      <c r="BE4553" s="32" t="s">
        <v>4534</v>
      </c>
      <c r="BK4553" s="32">
        <v>4600</v>
      </c>
      <c r="BL4553" s="32">
        <v>4100</v>
      </c>
      <c r="BP4553" s="397"/>
      <c r="BQ4553" s="397"/>
      <c r="BU4553" s="397"/>
      <c r="BV4553" s="397"/>
      <c r="BZ4553" s="397"/>
      <c r="CA4553" s="397"/>
      <c r="CE4553" s="550"/>
      <c r="CF4553" s="550"/>
      <c r="CG4553" s="550"/>
      <c r="CH4553" s="550"/>
      <c r="JB4553" s="32" t="s">
        <v>4536</v>
      </c>
      <c r="JD4553" s="243"/>
    </row>
    <row r="4554" spans="1:264" s="32" customFormat="1" x14ac:dyDescent="0.25">
      <c r="A4554" s="32">
        <v>196</v>
      </c>
      <c r="B4554" s="44" t="s">
        <v>4537</v>
      </c>
      <c r="C4554" s="32" t="s">
        <v>1137</v>
      </c>
      <c r="D4554" s="32" t="s">
        <v>4512</v>
      </c>
      <c r="E4554" s="32">
        <v>2012</v>
      </c>
      <c r="F4554" s="32">
        <v>2010</v>
      </c>
      <c r="G4554" s="32" t="s">
        <v>1080</v>
      </c>
      <c r="H4554" s="32" t="s">
        <v>4514</v>
      </c>
      <c r="I4554" s="32" t="s">
        <v>3461</v>
      </c>
      <c r="J4554" s="32">
        <f t="shared" si="585"/>
        <v>29.866666666666667</v>
      </c>
      <c r="K4554" s="32">
        <f t="shared" si="586"/>
        <v>112.86666666666666</v>
      </c>
      <c r="L4554" s="32">
        <v>28</v>
      </c>
      <c r="M4554" s="32">
        <f t="shared" si="595"/>
        <v>20.790833333333328</v>
      </c>
      <c r="O4554" s="32">
        <f t="shared" si="596"/>
        <v>1104.72</v>
      </c>
      <c r="R4554" s="44" t="s">
        <v>1728</v>
      </c>
      <c r="S4554" s="44" t="s">
        <v>1858</v>
      </c>
      <c r="T4554" s="44"/>
      <c r="U4554" s="44" t="s">
        <v>4530</v>
      </c>
      <c r="V4554" s="44" t="s">
        <v>1382</v>
      </c>
      <c r="W4554" s="44" t="s">
        <v>1717</v>
      </c>
      <c r="X4554" s="44" t="s">
        <v>1382</v>
      </c>
      <c r="Y4554" s="44" t="s">
        <v>1382</v>
      </c>
      <c r="Z4554" s="32">
        <v>1.18</v>
      </c>
      <c r="AA4554" s="323">
        <v>26.6</v>
      </c>
      <c r="AB4554" s="323">
        <v>60.7</v>
      </c>
      <c r="AC4554" s="32" t="s">
        <v>450</v>
      </c>
      <c r="AD4554" s="32">
        <v>6</v>
      </c>
      <c r="AE4554" s="32">
        <v>5.07</v>
      </c>
      <c r="AH4554" s="32" t="s">
        <v>115</v>
      </c>
      <c r="AI4554" s="32" t="s">
        <v>1581</v>
      </c>
      <c r="AJ4554" s="32" t="s">
        <v>1128</v>
      </c>
      <c r="AK4554" s="32" t="s">
        <v>1646</v>
      </c>
      <c r="AT4554" s="32" t="s">
        <v>4531</v>
      </c>
      <c r="AU4554" s="32" t="s">
        <v>4531</v>
      </c>
      <c r="AV4554" s="32" t="s">
        <v>177</v>
      </c>
      <c r="AW4554" s="32" t="s">
        <v>160</v>
      </c>
      <c r="AX4554" s="32">
        <v>3</v>
      </c>
      <c r="AZ4554" s="32" t="s">
        <v>141</v>
      </c>
      <c r="BE4554" s="32" t="s">
        <v>4535</v>
      </c>
      <c r="BK4554" s="32">
        <v>4600</v>
      </c>
      <c r="BL4554" s="32">
        <v>4400</v>
      </c>
      <c r="BP4554" s="397"/>
      <c r="BQ4554" s="397"/>
      <c r="BU4554" s="397"/>
      <c r="BV4554" s="397"/>
      <c r="BZ4554" s="397"/>
      <c r="CA4554" s="397"/>
      <c r="CE4554" s="550"/>
      <c r="CF4554" s="550"/>
      <c r="CG4554" s="550"/>
      <c r="CH4554" s="550"/>
      <c r="JB4554" s="32" t="s">
        <v>4536</v>
      </c>
      <c r="JD4554" s="243"/>
    </row>
    <row r="4555" spans="1:264" s="32" customFormat="1" x14ac:dyDescent="0.25">
      <c r="A4555" s="32">
        <v>196</v>
      </c>
      <c r="B4555" s="44" t="s">
        <v>4538</v>
      </c>
      <c r="C4555" s="32" t="s">
        <v>1137</v>
      </c>
      <c r="D4555" s="32" t="s">
        <v>4512</v>
      </c>
      <c r="E4555" s="32">
        <v>2012</v>
      </c>
      <c r="F4555" s="32">
        <v>2010</v>
      </c>
      <c r="G4555" s="32" t="s">
        <v>1080</v>
      </c>
      <c r="H4555" s="32" t="s">
        <v>4514</v>
      </c>
      <c r="I4555" s="32" t="s">
        <v>3461</v>
      </c>
      <c r="J4555" s="32">
        <f t="shared" si="585"/>
        <v>29.866666666666667</v>
      </c>
      <c r="K4555" s="32">
        <f t="shared" si="586"/>
        <v>112.86666666666666</v>
      </c>
      <c r="L4555" s="32">
        <v>28</v>
      </c>
      <c r="M4555" s="32">
        <f t="shared" si="595"/>
        <v>20.790833333333328</v>
      </c>
      <c r="O4555" s="32">
        <f t="shared" si="596"/>
        <v>1104.72</v>
      </c>
      <c r="R4555" s="44" t="s">
        <v>1728</v>
      </c>
      <c r="S4555" s="44" t="s">
        <v>1858</v>
      </c>
      <c r="T4555" s="44"/>
      <c r="U4555" s="44" t="s">
        <v>4530</v>
      </c>
      <c r="V4555" s="44" t="s">
        <v>1382</v>
      </c>
      <c r="W4555" s="44" t="s">
        <v>1717</v>
      </c>
      <c r="X4555" s="44" t="s">
        <v>1382</v>
      </c>
      <c r="Y4555" s="44" t="s">
        <v>1382</v>
      </c>
      <c r="Z4555" s="32">
        <v>1.18</v>
      </c>
      <c r="AA4555" s="323">
        <v>26.6</v>
      </c>
      <c r="AB4555" s="323">
        <v>60.7</v>
      </c>
      <c r="AC4555" s="32" t="s">
        <v>450</v>
      </c>
      <c r="AD4555" s="32">
        <v>6</v>
      </c>
      <c r="AE4555" s="32">
        <v>5.07</v>
      </c>
      <c r="AH4555" s="32" t="s">
        <v>115</v>
      </c>
      <c r="AI4555" s="32" t="s">
        <v>1581</v>
      </c>
      <c r="AJ4555" s="32" t="s">
        <v>1128</v>
      </c>
      <c r="AK4555" s="32" t="s">
        <v>1646</v>
      </c>
      <c r="AT4555" s="32" t="s">
        <v>4532</v>
      </c>
      <c r="AU4555" s="32" t="s">
        <v>4532</v>
      </c>
      <c r="AV4555" s="32" t="s">
        <v>177</v>
      </c>
      <c r="AW4555" s="32" t="s">
        <v>160</v>
      </c>
      <c r="AX4555" s="32">
        <v>3</v>
      </c>
      <c r="AZ4555" s="32" t="s">
        <v>141</v>
      </c>
      <c r="BE4555" s="32" t="s">
        <v>4534</v>
      </c>
      <c r="BK4555" s="32">
        <v>5600</v>
      </c>
      <c r="BL4555" s="32">
        <v>5100</v>
      </c>
      <c r="BP4555" s="397"/>
      <c r="BQ4555" s="397"/>
      <c r="BU4555" s="397"/>
      <c r="BV4555" s="397"/>
      <c r="BZ4555" s="397"/>
      <c r="CA4555" s="397"/>
      <c r="CE4555" s="550"/>
      <c r="CF4555" s="550"/>
      <c r="CG4555" s="550"/>
      <c r="CH4555" s="550"/>
      <c r="JB4555" s="32" t="s">
        <v>4536</v>
      </c>
      <c r="JD4555" s="243"/>
    </row>
    <row r="4556" spans="1:264" s="32" customFormat="1" x14ac:dyDescent="0.25">
      <c r="A4556" s="32">
        <v>196</v>
      </c>
      <c r="B4556" s="44" t="s">
        <v>4538</v>
      </c>
      <c r="C4556" s="32" t="s">
        <v>1137</v>
      </c>
      <c r="D4556" s="32" t="s">
        <v>4512</v>
      </c>
      <c r="E4556" s="32">
        <v>2012</v>
      </c>
      <c r="F4556" s="32">
        <v>2010</v>
      </c>
      <c r="G4556" s="32" t="s">
        <v>1080</v>
      </c>
      <c r="H4556" s="32" t="s">
        <v>4514</v>
      </c>
      <c r="I4556" s="32" t="s">
        <v>3461</v>
      </c>
      <c r="J4556" s="32">
        <f t="shared" si="585"/>
        <v>29.866666666666667</v>
      </c>
      <c r="K4556" s="32">
        <f t="shared" si="586"/>
        <v>112.86666666666666</v>
      </c>
      <c r="L4556" s="32">
        <v>28</v>
      </c>
      <c r="M4556" s="32">
        <f t="shared" si="595"/>
        <v>20.790833333333328</v>
      </c>
      <c r="O4556" s="32">
        <f t="shared" si="596"/>
        <v>1104.72</v>
      </c>
      <c r="R4556" s="44" t="s">
        <v>1728</v>
      </c>
      <c r="S4556" s="44" t="s">
        <v>1858</v>
      </c>
      <c r="T4556" s="44"/>
      <c r="U4556" s="44" t="s">
        <v>4530</v>
      </c>
      <c r="V4556" s="44" t="s">
        <v>1382</v>
      </c>
      <c r="W4556" s="44" t="s">
        <v>1717</v>
      </c>
      <c r="X4556" s="44" t="s">
        <v>1382</v>
      </c>
      <c r="Y4556" s="44" t="s">
        <v>1382</v>
      </c>
      <c r="Z4556" s="32">
        <v>1.18</v>
      </c>
      <c r="AA4556" s="323">
        <v>26.6</v>
      </c>
      <c r="AB4556" s="323">
        <v>60.7</v>
      </c>
      <c r="AC4556" s="32" t="s">
        <v>450</v>
      </c>
      <c r="AD4556" s="32">
        <v>6</v>
      </c>
      <c r="AE4556" s="32">
        <v>5.07</v>
      </c>
      <c r="AH4556" s="32" t="s">
        <v>115</v>
      </c>
      <c r="AI4556" s="32" t="s">
        <v>1581</v>
      </c>
      <c r="AJ4556" s="32" t="s">
        <v>1128</v>
      </c>
      <c r="AK4556" s="32" t="s">
        <v>1646</v>
      </c>
      <c r="AT4556" s="32" t="s">
        <v>4532</v>
      </c>
      <c r="AU4556" s="32" t="s">
        <v>4532</v>
      </c>
      <c r="AV4556" s="32" t="s">
        <v>177</v>
      </c>
      <c r="AW4556" s="32" t="s">
        <v>160</v>
      </c>
      <c r="AX4556" s="32">
        <v>3</v>
      </c>
      <c r="AZ4556" s="32" t="s">
        <v>141</v>
      </c>
      <c r="BE4556" s="32" t="s">
        <v>4535</v>
      </c>
      <c r="BK4556" s="32">
        <v>5100</v>
      </c>
      <c r="BL4556" s="32">
        <v>4900</v>
      </c>
      <c r="BP4556" s="397"/>
      <c r="BQ4556" s="397"/>
      <c r="BU4556" s="397"/>
      <c r="BV4556" s="397"/>
      <c r="BZ4556" s="397"/>
      <c r="CA4556" s="397"/>
      <c r="CE4556" s="550"/>
      <c r="CF4556" s="550"/>
      <c r="CG4556" s="550"/>
      <c r="CH4556" s="550"/>
      <c r="JB4556" s="32" t="s">
        <v>4536</v>
      </c>
      <c r="JD4556" s="243"/>
    </row>
    <row r="4557" spans="1:264" s="32" customFormat="1" x14ac:dyDescent="0.25">
      <c r="A4557" s="32">
        <v>196</v>
      </c>
      <c r="B4557" s="44" t="s">
        <v>4539</v>
      </c>
      <c r="C4557" s="32" t="s">
        <v>1137</v>
      </c>
      <c r="D4557" s="32" t="s">
        <v>4512</v>
      </c>
      <c r="E4557" s="32">
        <v>2012</v>
      </c>
      <c r="F4557" s="32">
        <v>2010</v>
      </c>
      <c r="G4557" s="32" t="s">
        <v>1080</v>
      </c>
      <c r="H4557" s="32" t="s">
        <v>4514</v>
      </c>
      <c r="I4557" s="32" t="s">
        <v>3461</v>
      </c>
      <c r="J4557" s="32">
        <f t="shared" si="585"/>
        <v>29.866666666666667</v>
      </c>
      <c r="K4557" s="32">
        <f t="shared" si="586"/>
        <v>112.86666666666666</v>
      </c>
      <c r="L4557" s="32">
        <v>28</v>
      </c>
      <c r="M4557" s="32">
        <f t="shared" si="595"/>
        <v>20.790833333333328</v>
      </c>
      <c r="O4557" s="32">
        <f t="shared" si="596"/>
        <v>1104.72</v>
      </c>
      <c r="R4557" s="44" t="s">
        <v>1728</v>
      </c>
      <c r="S4557" s="44" t="s">
        <v>1858</v>
      </c>
      <c r="T4557" s="44"/>
      <c r="U4557" s="44" t="s">
        <v>4530</v>
      </c>
      <c r="V4557" s="44" t="s">
        <v>1382</v>
      </c>
      <c r="W4557" s="44" t="s">
        <v>1717</v>
      </c>
      <c r="X4557" s="44" t="s">
        <v>1382</v>
      </c>
      <c r="Y4557" s="44" t="s">
        <v>1382</v>
      </c>
      <c r="Z4557" s="32">
        <v>1.18</v>
      </c>
      <c r="AA4557" s="323">
        <v>26.6</v>
      </c>
      <c r="AB4557" s="323">
        <v>60.7</v>
      </c>
      <c r="AC4557" s="32" t="s">
        <v>450</v>
      </c>
      <c r="AD4557" s="32">
        <v>6</v>
      </c>
      <c r="AE4557" s="32">
        <v>5.07</v>
      </c>
      <c r="AH4557" s="32" t="s">
        <v>115</v>
      </c>
      <c r="AI4557" s="32" t="s">
        <v>1581</v>
      </c>
      <c r="AJ4557" s="32" t="s">
        <v>1128</v>
      </c>
      <c r="AK4557" s="32" t="s">
        <v>1646</v>
      </c>
      <c r="AT4557" s="32" t="s">
        <v>4533</v>
      </c>
      <c r="AU4557" s="32" t="s">
        <v>4533</v>
      </c>
      <c r="AV4557" s="32" t="s">
        <v>177</v>
      </c>
      <c r="AW4557" s="32" t="s">
        <v>160</v>
      </c>
      <c r="AX4557" s="32">
        <v>3</v>
      </c>
      <c r="AZ4557" s="32" t="s">
        <v>141</v>
      </c>
      <c r="BE4557" s="32" t="s">
        <v>4534</v>
      </c>
      <c r="BK4557" s="32">
        <v>6400</v>
      </c>
      <c r="BL4557" s="32">
        <v>6000</v>
      </c>
      <c r="BP4557" s="397"/>
      <c r="BQ4557" s="397"/>
      <c r="BU4557" s="397"/>
      <c r="BV4557" s="397"/>
      <c r="BZ4557" s="397"/>
      <c r="CA4557" s="397"/>
      <c r="CE4557" s="550"/>
      <c r="CF4557" s="550"/>
      <c r="CG4557" s="550"/>
      <c r="CH4557" s="550"/>
      <c r="JB4557" s="32" t="s">
        <v>4536</v>
      </c>
      <c r="JD4557" s="243"/>
    </row>
    <row r="4558" spans="1:264" s="32" customFormat="1" x14ac:dyDescent="0.25">
      <c r="A4558" s="32">
        <v>196</v>
      </c>
      <c r="B4558" s="44" t="s">
        <v>4539</v>
      </c>
      <c r="C4558" s="32" t="s">
        <v>1137</v>
      </c>
      <c r="D4558" s="32" t="s">
        <v>4512</v>
      </c>
      <c r="E4558" s="32">
        <v>2012</v>
      </c>
      <c r="F4558" s="32">
        <v>2010</v>
      </c>
      <c r="G4558" s="32" t="s">
        <v>1080</v>
      </c>
      <c r="H4558" s="32" t="s">
        <v>4514</v>
      </c>
      <c r="I4558" s="32" t="s">
        <v>3461</v>
      </c>
      <c r="J4558" s="32">
        <f t="shared" si="585"/>
        <v>29.866666666666667</v>
      </c>
      <c r="K4558" s="32">
        <f t="shared" si="586"/>
        <v>112.86666666666666</v>
      </c>
      <c r="L4558" s="32">
        <v>28</v>
      </c>
      <c r="M4558" s="32">
        <f t="shared" si="595"/>
        <v>20.790833333333328</v>
      </c>
      <c r="O4558" s="32">
        <f t="shared" si="596"/>
        <v>1104.72</v>
      </c>
      <c r="R4558" s="44" t="s">
        <v>1728</v>
      </c>
      <c r="S4558" s="44" t="s">
        <v>1858</v>
      </c>
      <c r="T4558" s="44"/>
      <c r="U4558" s="44" t="s">
        <v>4530</v>
      </c>
      <c r="V4558" s="44" t="s">
        <v>1382</v>
      </c>
      <c r="W4558" s="44" t="s">
        <v>1717</v>
      </c>
      <c r="X4558" s="44" t="s">
        <v>1382</v>
      </c>
      <c r="Y4558" s="44" t="s">
        <v>1382</v>
      </c>
      <c r="Z4558" s="32">
        <v>1.18</v>
      </c>
      <c r="AA4558" s="323">
        <v>26.6</v>
      </c>
      <c r="AB4558" s="323">
        <v>60.7</v>
      </c>
      <c r="AC4558" s="32" t="s">
        <v>450</v>
      </c>
      <c r="AD4558" s="32">
        <v>6</v>
      </c>
      <c r="AE4558" s="32">
        <v>5.07</v>
      </c>
      <c r="AH4558" s="32" t="s">
        <v>115</v>
      </c>
      <c r="AI4558" s="32" t="s">
        <v>1581</v>
      </c>
      <c r="AJ4558" s="32" t="s">
        <v>1128</v>
      </c>
      <c r="AK4558" s="32" t="s">
        <v>1646</v>
      </c>
      <c r="AT4558" s="32" t="s">
        <v>4533</v>
      </c>
      <c r="AU4558" s="32" t="s">
        <v>4533</v>
      </c>
      <c r="AV4558" s="32" t="s">
        <v>177</v>
      </c>
      <c r="AW4558" s="32" t="s">
        <v>160</v>
      </c>
      <c r="AX4558" s="32">
        <v>3</v>
      </c>
      <c r="AZ4558" s="32" t="s">
        <v>141</v>
      </c>
      <c r="BE4558" s="32" t="s">
        <v>4535</v>
      </c>
      <c r="BK4558" s="32">
        <v>5500</v>
      </c>
      <c r="BL4558" s="32">
        <v>5200</v>
      </c>
      <c r="BP4558" s="397"/>
      <c r="BQ4558" s="397"/>
      <c r="BU4558" s="397"/>
      <c r="BV4558" s="397"/>
      <c r="BZ4558" s="397"/>
      <c r="CA4558" s="397"/>
      <c r="CE4558" s="550"/>
      <c r="CF4558" s="550"/>
      <c r="CG4558" s="550"/>
      <c r="CH4558" s="550"/>
      <c r="JB4558" s="32" t="s">
        <v>4536</v>
      </c>
      <c r="JD4558" s="243"/>
    </row>
    <row r="4559" spans="1:264" s="24" customFormat="1" x14ac:dyDescent="0.25">
      <c r="A4559" s="24">
        <v>196</v>
      </c>
      <c r="B4559" s="42" t="s">
        <v>4537</v>
      </c>
      <c r="C4559" s="24" t="s">
        <v>1137</v>
      </c>
      <c r="D4559" s="24" t="s">
        <v>4512</v>
      </c>
      <c r="E4559" s="24">
        <v>2012</v>
      </c>
      <c r="F4559" s="24">
        <v>2011</v>
      </c>
      <c r="G4559" s="24" t="s">
        <v>1080</v>
      </c>
      <c r="H4559" s="24" t="s">
        <v>4514</v>
      </c>
      <c r="I4559" s="24" t="s">
        <v>3461</v>
      </c>
      <c r="J4559" s="24">
        <f t="shared" si="585"/>
        <v>29.866666666666667</v>
      </c>
      <c r="K4559" s="24">
        <f t="shared" si="586"/>
        <v>112.86666666666666</v>
      </c>
      <c r="L4559" s="24">
        <v>28</v>
      </c>
      <c r="M4559" s="24">
        <f>AVERAGE(11.95,8.11,7.58,9.3,13.54,18.04,25.07,29.57,33.81,33.55,28.11,20.81)</f>
        <v>19.953333333333333</v>
      </c>
      <c r="O4559" s="24">
        <f>SUM(59,41,35,45.6,178.96,219.8,242.5,86.46,374,86.42,78.82,196.98)</f>
        <v>1644.5400000000002</v>
      </c>
      <c r="R4559" s="42" t="s">
        <v>1858</v>
      </c>
      <c r="S4559" s="42" t="s">
        <v>1858</v>
      </c>
      <c r="T4559" s="42"/>
      <c r="U4559" s="42" t="s">
        <v>4530</v>
      </c>
      <c r="V4559" s="42" t="s">
        <v>1382</v>
      </c>
      <c r="W4559" s="42" t="s">
        <v>1717</v>
      </c>
      <c r="X4559" s="42" t="s">
        <v>1382</v>
      </c>
      <c r="Y4559" s="42" t="s">
        <v>1382</v>
      </c>
      <c r="Z4559" s="24">
        <v>1.18</v>
      </c>
      <c r="AA4559" s="321">
        <v>26.6</v>
      </c>
      <c r="AB4559" s="321">
        <v>60.7</v>
      </c>
      <c r="AC4559" s="24" t="s">
        <v>450</v>
      </c>
      <c r="AD4559" s="24">
        <v>6</v>
      </c>
      <c r="AE4559" s="24">
        <v>5.07</v>
      </c>
      <c r="AH4559" s="24" t="s">
        <v>115</v>
      </c>
      <c r="AI4559" s="24" t="s">
        <v>1581</v>
      </c>
      <c r="AJ4559" s="24" t="s">
        <v>1128</v>
      </c>
      <c r="AK4559" s="24" t="s">
        <v>1646</v>
      </c>
      <c r="AT4559" s="24" t="s">
        <v>4531</v>
      </c>
      <c r="AU4559" s="24" t="s">
        <v>4531</v>
      </c>
      <c r="AV4559" s="24" t="s">
        <v>177</v>
      </c>
      <c r="AW4559" s="24" t="s">
        <v>160</v>
      </c>
      <c r="AX4559" s="24">
        <v>3</v>
      </c>
      <c r="AZ4559" s="24" t="s">
        <v>141</v>
      </c>
      <c r="BE4559" s="24" t="s">
        <v>4534</v>
      </c>
      <c r="BK4559" s="24">
        <v>4500</v>
      </c>
      <c r="BL4559" s="24">
        <v>3400</v>
      </c>
      <c r="BP4559" s="395"/>
      <c r="BQ4559" s="395"/>
      <c r="BR4559" s="395"/>
      <c r="BU4559" s="395"/>
      <c r="BV4559" s="395"/>
      <c r="BZ4559" s="395"/>
      <c r="CA4559" s="395"/>
      <c r="CE4559" s="548"/>
      <c r="CF4559" s="548"/>
      <c r="CG4559" s="548"/>
      <c r="CH4559" s="548"/>
      <c r="JB4559" s="24" t="s">
        <v>4536</v>
      </c>
      <c r="JD4559" s="249"/>
    </row>
    <row r="4560" spans="1:264" s="24" customFormat="1" x14ac:dyDescent="0.25">
      <c r="A4560" s="24">
        <v>196</v>
      </c>
      <c r="B4560" s="42" t="s">
        <v>4537</v>
      </c>
      <c r="C4560" s="24" t="s">
        <v>1137</v>
      </c>
      <c r="D4560" s="24" t="s">
        <v>4512</v>
      </c>
      <c r="E4560" s="24">
        <v>2012</v>
      </c>
      <c r="F4560" s="24">
        <v>2011</v>
      </c>
      <c r="G4560" s="24" t="s">
        <v>1080</v>
      </c>
      <c r="H4560" s="24" t="s">
        <v>4514</v>
      </c>
      <c r="I4560" s="24" t="s">
        <v>3461</v>
      </c>
      <c r="J4560" s="24">
        <f t="shared" si="585"/>
        <v>29.866666666666667</v>
      </c>
      <c r="K4560" s="24">
        <f t="shared" si="586"/>
        <v>112.86666666666666</v>
      </c>
      <c r="L4560" s="24">
        <v>28</v>
      </c>
      <c r="M4560" s="24">
        <f t="shared" ref="M4560:M4564" si="597">AVERAGE(11.95,8.11,7.58,9.3,13.54,18.04,25.07,29.57,33.81,33.55,28.11,20.81)</f>
        <v>19.953333333333333</v>
      </c>
      <c r="O4560" s="24">
        <f t="shared" ref="O4560:O4564" si="598">SUM(59,41,35,45.6,178.96,219.8,242.5,86.46,374,86.42,78.82,196.98)</f>
        <v>1644.5400000000002</v>
      </c>
      <c r="R4560" s="42" t="s">
        <v>1858</v>
      </c>
      <c r="S4560" s="42" t="s">
        <v>1858</v>
      </c>
      <c r="T4560" s="42"/>
      <c r="U4560" s="42" t="s">
        <v>4530</v>
      </c>
      <c r="V4560" s="42" t="s">
        <v>1382</v>
      </c>
      <c r="W4560" s="42" t="s">
        <v>1717</v>
      </c>
      <c r="X4560" s="42" t="s">
        <v>1382</v>
      </c>
      <c r="Y4560" s="42" t="s">
        <v>1382</v>
      </c>
      <c r="Z4560" s="24">
        <v>1.18</v>
      </c>
      <c r="AA4560" s="321">
        <v>26.6</v>
      </c>
      <c r="AB4560" s="321">
        <v>60.7</v>
      </c>
      <c r="AC4560" s="24" t="s">
        <v>450</v>
      </c>
      <c r="AD4560" s="24">
        <v>6</v>
      </c>
      <c r="AE4560" s="24">
        <v>5.07</v>
      </c>
      <c r="AH4560" s="24" t="s">
        <v>115</v>
      </c>
      <c r="AI4560" s="24" t="s">
        <v>1581</v>
      </c>
      <c r="AJ4560" s="24" t="s">
        <v>1128</v>
      </c>
      <c r="AK4560" s="24" t="s">
        <v>1646</v>
      </c>
      <c r="AT4560" s="24" t="s">
        <v>4531</v>
      </c>
      <c r="AU4560" s="24" t="s">
        <v>4531</v>
      </c>
      <c r="AV4560" s="24" t="s">
        <v>177</v>
      </c>
      <c r="AW4560" s="24" t="s">
        <v>160</v>
      </c>
      <c r="AX4560" s="24">
        <v>3</v>
      </c>
      <c r="AZ4560" s="24" t="s">
        <v>141</v>
      </c>
      <c r="BE4560" s="24" t="s">
        <v>4535</v>
      </c>
      <c r="BK4560" s="24">
        <v>5600</v>
      </c>
      <c r="BL4560" s="24">
        <v>4800</v>
      </c>
      <c r="BP4560" s="395"/>
      <c r="BQ4560" s="395"/>
      <c r="BR4560" s="395"/>
      <c r="BU4560" s="395"/>
      <c r="BV4560" s="395"/>
      <c r="BZ4560" s="395"/>
      <c r="CA4560" s="395"/>
      <c r="CE4560" s="548"/>
      <c r="CF4560" s="548"/>
      <c r="CG4560" s="548"/>
      <c r="CH4560" s="548"/>
      <c r="JB4560" s="24" t="s">
        <v>4536</v>
      </c>
      <c r="JD4560" s="249"/>
    </row>
    <row r="4561" spans="1:264" s="24" customFormat="1" x14ac:dyDescent="0.25">
      <c r="A4561" s="24">
        <v>196</v>
      </c>
      <c r="B4561" s="42" t="s">
        <v>4538</v>
      </c>
      <c r="C4561" s="24" t="s">
        <v>1137</v>
      </c>
      <c r="D4561" s="24" t="s">
        <v>4512</v>
      </c>
      <c r="E4561" s="24">
        <v>2012</v>
      </c>
      <c r="F4561" s="24">
        <v>2011</v>
      </c>
      <c r="G4561" s="24" t="s">
        <v>1080</v>
      </c>
      <c r="H4561" s="24" t="s">
        <v>4514</v>
      </c>
      <c r="I4561" s="24" t="s">
        <v>3461</v>
      </c>
      <c r="J4561" s="24">
        <f t="shared" si="585"/>
        <v>29.866666666666667</v>
      </c>
      <c r="K4561" s="24">
        <f t="shared" si="586"/>
        <v>112.86666666666666</v>
      </c>
      <c r="L4561" s="24">
        <v>28</v>
      </c>
      <c r="M4561" s="24">
        <f t="shared" si="597"/>
        <v>19.953333333333333</v>
      </c>
      <c r="O4561" s="24">
        <f t="shared" si="598"/>
        <v>1644.5400000000002</v>
      </c>
      <c r="R4561" s="42" t="s">
        <v>1858</v>
      </c>
      <c r="S4561" s="42" t="s">
        <v>1858</v>
      </c>
      <c r="T4561" s="42"/>
      <c r="U4561" s="42" t="s">
        <v>4530</v>
      </c>
      <c r="V4561" s="42" t="s">
        <v>1382</v>
      </c>
      <c r="W4561" s="42" t="s">
        <v>1717</v>
      </c>
      <c r="X4561" s="42" t="s">
        <v>1382</v>
      </c>
      <c r="Y4561" s="42" t="s">
        <v>1382</v>
      </c>
      <c r="Z4561" s="24">
        <v>1.18</v>
      </c>
      <c r="AA4561" s="321">
        <v>26.6</v>
      </c>
      <c r="AB4561" s="321">
        <v>60.7</v>
      </c>
      <c r="AC4561" s="24" t="s">
        <v>450</v>
      </c>
      <c r="AD4561" s="24">
        <v>6</v>
      </c>
      <c r="AE4561" s="24">
        <v>5.07</v>
      </c>
      <c r="AH4561" s="24" t="s">
        <v>115</v>
      </c>
      <c r="AI4561" s="24" t="s">
        <v>1581</v>
      </c>
      <c r="AJ4561" s="24" t="s">
        <v>1128</v>
      </c>
      <c r="AK4561" s="24" t="s">
        <v>1646</v>
      </c>
      <c r="AT4561" s="24" t="s">
        <v>4532</v>
      </c>
      <c r="AU4561" s="24" t="s">
        <v>4532</v>
      </c>
      <c r="AV4561" s="24" t="s">
        <v>177</v>
      </c>
      <c r="AW4561" s="24" t="s">
        <v>160</v>
      </c>
      <c r="AX4561" s="24">
        <v>3</v>
      </c>
      <c r="AZ4561" s="24" t="s">
        <v>141</v>
      </c>
      <c r="BE4561" s="24" t="s">
        <v>4534</v>
      </c>
      <c r="BK4561" s="24">
        <v>5800</v>
      </c>
      <c r="BL4561" s="24">
        <v>4900</v>
      </c>
      <c r="BP4561" s="395"/>
      <c r="BQ4561" s="395"/>
      <c r="BR4561" s="395"/>
      <c r="BU4561" s="395"/>
      <c r="BV4561" s="395"/>
      <c r="BZ4561" s="395"/>
      <c r="CA4561" s="395"/>
      <c r="CE4561" s="548"/>
      <c r="CF4561" s="548"/>
      <c r="CG4561" s="548"/>
      <c r="CH4561" s="548"/>
      <c r="JB4561" s="24" t="s">
        <v>4536</v>
      </c>
      <c r="JD4561" s="249"/>
    </row>
    <row r="4562" spans="1:264" s="24" customFormat="1" x14ac:dyDescent="0.25">
      <c r="A4562" s="24">
        <v>196</v>
      </c>
      <c r="B4562" s="42" t="s">
        <v>4538</v>
      </c>
      <c r="C4562" s="24" t="s">
        <v>1137</v>
      </c>
      <c r="D4562" s="24" t="s">
        <v>4512</v>
      </c>
      <c r="E4562" s="24">
        <v>2012</v>
      </c>
      <c r="F4562" s="24">
        <v>2011</v>
      </c>
      <c r="G4562" s="24" t="s">
        <v>1080</v>
      </c>
      <c r="H4562" s="24" t="s">
        <v>4514</v>
      </c>
      <c r="I4562" s="24" t="s">
        <v>3461</v>
      </c>
      <c r="J4562" s="24">
        <f t="shared" si="585"/>
        <v>29.866666666666667</v>
      </c>
      <c r="K4562" s="24">
        <f t="shared" si="586"/>
        <v>112.86666666666666</v>
      </c>
      <c r="L4562" s="24">
        <v>28</v>
      </c>
      <c r="M4562" s="24">
        <f t="shared" si="597"/>
        <v>19.953333333333333</v>
      </c>
      <c r="O4562" s="24">
        <f t="shared" si="598"/>
        <v>1644.5400000000002</v>
      </c>
      <c r="R4562" s="42" t="s">
        <v>1858</v>
      </c>
      <c r="S4562" s="42" t="s">
        <v>1858</v>
      </c>
      <c r="T4562" s="42"/>
      <c r="U4562" s="42" t="s">
        <v>4530</v>
      </c>
      <c r="V4562" s="42" t="s">
        <v>1382</v>
      </c>
      <c r="W4562" s="42" t="s">
        <v>1717</v>
      </c>
      <c r="X4562" s="42" t="s">
        <v>1382</v>
      </c>
      <c r="Y4562" s="42" t="s">
        <v>1382</v>
      </c>
      <c r="Z4562" s="24">
        <v>1.18</v>
      </c>
      <c r="AA4562" s="321">
        <v>26.6</v>
      </c>
      <c r="AB4562" s="321">
        <v>60.7</v>
      </c>
      <c r="AC4562" s="24" t="s">
        <v>450</v>
      </c>
      <c r="AD4562" s="24">
        <v>6</v>
      </c>
      <c r="AE4562" s="24">
        <v>5.07</v>
      </c>
      <c r="AH4562" s="24" t="s">
        <v>115</v>
      </c>
      <c r="AI4562" s="24" t="s">
        <v>1581</v>
      </c>
      <c r="AJ4562" s="24" t="s">
        <v>1128</v>
      </c>
      <c r="AK4562" s="24" t="s">
        <v>1646</v>
      </c>
      <c r="AT4562" s="24" t="s">
        <v>4532</v>
      </c>
      <c r="AU4562" s="24" t="s">
        <v>4532</v>
      </c>
      <c r="AV4562" s="24" t="s">
        <v>177</v>
      </c>
      <c r="AW4562" s="24" t="s">
        <v>160</v>
      </c>
      <c r="AX4562" s="24">
        <v>3</v>
      </c>
      <c r="AZ4562" s="24" t="s">
        <v>141</v>
      </c>
      <c r="BE4562" s="24" t="s">
        <v>4535</v>
      </c>
      <c r="BK4562" s="24">
        <v>6800</v>
      </c>
      <c r="BL4562" s="24">
        <v>6300</v>
      </c>
      <c r="BP4562" s="395"/>
      <c r="BQ4562" s="395"/>
      <c r="BR4562" s="395"/>
      <c r="BU4562" s="395"/>
      <c r="BV4562" s="395"/>
      <c r="BZ4562" s="395"/>
      <c r="CA4562" s="395"/>
      <c r="CE4562" s="548"/>
      <c r="CF4562" s="548"/>
      <c r="CG4562" s="548"/>
      <c r="CH4562" s="548"/>
      <c r="JB4562" s="24" t="s">
        <v>4536</v>
      </c>
      <c r="JD4562" s="249"/>
    </row>
    <row r="4563" spans="1:264" s="24" customFormat="1" x14ac:dyDescent="0.25">
      <c r="A4563" s="24">
        <v>196</v>
      </c>
      <c r="B4563" s="42" t="s">
        <v>4539</v>
      </c>
      <c r="C4563" s="24" t="s">
        <v>1137</v>
      </c>
      <c r="D4563" s="24" t="s">
        <v>4512</v>
      </c>
      <c r="E4563" s="24">
        <v>2012</v>
      </c>
      <c r="F4563" s="24">
        <v>2011</v>
      </c>
      <c r="G4563" s="24" t="s">
        <v>1080</v>
      </c>
      <c r="H4563" s="24" t="s">
        <v>4514</v>
      </c>
      <c r="I4563" s="24" t="s">
        <v>3461</v>
      </c>
      <c r="J4563" s="24">
        <f t="shared" si="585"/>
        <v>29.866666666666667</v>
      </c>
      <c r="K4563" s="24">
        <f t="shared" si="586"/>
        <v>112.86666666666666</v>
      </c>
      <c r="L4563" s="24">
        <v>28</v>
      </c>
      <c r="M4563" s="24">
        <f t="shared" si="597"/>
        <v>19.953333333333333</v>
      </c>
      <c r="O4563" s="24">
        <f t="shared" si="598"/>
        <v>1644.5400000000002</v>
      </c>
      <c r="R4563" s="42" t="s">
        <v>1858</v>
      </c>
      <c r="S4563" s="42" t="s">
        <v>1858</v>
      </c>
      <c r="T4563" s="42"/>
      <c r="U4563" s="42" t="s">
        <v>4530</v>
      </c>
      <c r="V4563" s="42" t="s">
        <v>1382</v>
      </c>
      <c r="W4563" s="42" t="s">
        <v>1717</v>
      </c>
      <c r="X4563" s="42" t="s">
        <v>1382</v>
      </c>
      <c r="Y4563" s="42" t="s">
        <v>1382</v>
      </c>
      <c r="Z4563" s="24">
        <v>1.18</v>
      </c>
      <c r="AA4563" s="321">
        <v>26.6</v>
      </c>
      <c r="AB4563" s="321">
        <v>60.7</v>
      </c>
      <c r="AC4563" s="24" t="s">
        <v>450</v>
      </c>
      <c r="AD4563" s="24">
        <v>6</v>
      </c>
      <c r="AE4563" s="24">
        <v>5.07</v>
      </c>
      <c r="AH4563" s="24" t="s">
        <v>115</v>
      </c>
      <c r="AI4563" s="24" t="s">
        <v>1581</v>
      </c>
      <c r="AJ4563" s="24" t="s">
        <v>1128</v>
      </c>
      <c r="AK4563" s="24" t="s">
        <v>1646</v>
      </c>
      <c r="AT4563" s="24" t="s">
        <v>4533</v>
      </c>
      <c r="AU4563" s="24" t="s">
        <v>4533</v>
      </c>
      <c r="AV4563" s="24" t="s">
        <v>177</v>
      </c>
      <c r="AW4563" s="24" t="s">
        <v>160</v>
      </c>
      <c r="AX4563" s="24">
        <v>3</v>
      </c>
      <c r="AZ4563" s="24" t="s">
        <v>141</v>
      </c>
      <c r="BE4563" s="24" t="s">
        <v>4534</v>
      </c>
      <c r="BK4563" s="24">
        <v>6200</v>
      </c>
      <c r="BL4563" s="24">
        <v>5400</v>
      </c>
      <c r="BP4563" s="395"/>
      <c r="BQ4563" s="395"/>
      <c r="BR4563" s="395"/>
      <c r="BU4563" s="395"/>
      <c r="BV4563" s="395"/>
      <c r="BZ4563" s="395"/>
      <c r="CA4563" s="395"/>
      <c r="CE4563" s="548"/>
      <c r="CF4563" s="548"/>
      <c r="CG4563" s="548"/>
      <c r="CH4563" s="548"/>
      <c r="JB4563" s="24" t="s">
        <v>4536</v>
      </c>
      <c r="JD4563" s="249"/>
    </row>
    <row r="4564" spans="1:264" s="24" customFormat="1" x14ac:dyDescent="0.25">
      <c r="A4564" s="24">
        <v>196</v>
      </c>
      <c r="B4564" s="42" t="s">
        <v>4539</v>
      </c>
      <c r="C4564" s="24" t="s">
        <v>1137</v>
      </c>
      <c r="D4564" s="24" t="s">
        <v>4512</v>
      </c>
      <c r="E4564" s="24">
        <v>2012</v>
      </c>
      <c r="F4564" s="24">
        <v>2011</v>
      </c>
      <c r="G4564" s="24" t="s">
        <v>1080</v>
      </c>
      <c r="H4564" s="24" t="s">
        <v>4514</v>
      </c>
      <c r="I4564" s="24" t="s">
        <v>3461</v>
      </c>
      <c r="J4564" s="24">
        <f t="shared" si="585"/>
        <v>29.866666666666667</v>
      </c>
      <c r="K4564" s="24">
        <f t="shared" si="586"/>
        <v>112.86666666666666</v>
      </c>
      <c r="L4564" s="24">
        <v>28</v>
      </c>
      <c r="M4564" s="24">
        <f t="shared" si="597"/>
        <v>19.953333333333333</v>
      </c>
      <c r="O4564" s="24">
        <f t="shared" si="598"/>
        <v>1644.5400000000002</v>
      </c>
      <c r="R4564" s="42" t="s">
        <v>1858</v>
      </c>
      <c r="S4564" s="42" t="s">
        <v>1858</v>
      </c>
      <c r="T4564" s="42"/>
      <c r="U4564" s="42" t="s">
        <v>4530</v>
      </c>
      <c r="V4564" s="42" t="s">
        <v>1382</v>
      </c>
      <c r="W4564" s="42" t="s">
        <v>1717</v>
      </c>
      <c r="X4564" s="42" t="s">
        <v>1382</v>
      </c>
      <c r="Y4564" s="42" t="s">
        <v>1382</v>
      </c>
      <c r="Z4564" s="24">
        <v>1.18</v>
      </c>
      <c r="AA4564" s="321">
        <v>26.6</v>
      </c>
      <c r="AB4564" s="321">
        <v>60.7</v>
      </c>
      <c r="AC4564" s="24" t="s">
        <v>450</v>
      </c>
      <c r="AD4564" s="24">
        <v>6</v>
      </c>
      <c r="AE4564" s="24">
        <v>5.07</v>
      </c>
      <c r="AH4564" s="24" t="s">
        <v>115</v>
      </c>
      <c r="AI4564" s="24" t="s">
        <v>1581</v>
      </c>
      <c r="AJ4564" s="24" t="s">
        <v>1128</v>
      </c>
      <c r="AK4564" s="24" t="s">
        <v>1646</v>
      </c>
      <c r="AT4564" s="24" t="s">
        <v>4533</v>
      </c>
      <c r="AU4564" s="24" t="s">
        <v>4533</v>
      </c>
      <c r="AV4564" s="24" t="s">
        <v>177</v>
      </c>
      <c r="AW4564" s="24" t="s">
        <v>160</v>
      </c>
      <c r="AX4564" s="24">
        <v>3</v>
      </c>
      <c r="AZ4564" s="24" t="s">
        <v>141</v>
      </c>
      <c r="BE4564" s="24" t="s">
        <v>4535</v>
      </c>
      <c r="BK4564" s="24">
        <v>7700</v>
      </c>
      <c r="BL4564" s="24">
        <v>6900</v>
      </c>
      <c r="BP4564" s="395"/>
      <c r="BQ4564" s="395"/>
      <c r="BR4564" s="395"/>
      <c r="BU4564" s="395"/>
      <c r="BV4564" s="395"/>
      <c r="BZ4564" s="395"/>
      <c r="CA4564" s="395"/>
      <c r="CE4564" s="548"/>
      <c r="CF4564" s="548"/>
      <c r="CG4564" s="548"/>
      <c r="CH4564" s="548"/>
      <c r="JB4564" s="24" t="s">
        <v>4536</v>
      </c>
      <c r="JD4564" s="249"/>
    </row>
    <row r="4565" spans="1:264" x14ac:dyDescent="0.25">
      <c r="A4565" s="37">
        <v>197</v>
      </c>
      <c r="B4565" s="50" t="s">
        <v>4589</v>
      </c>
      <c r="C4565" s="37" t="s">
        <v>4577</v>
      </c>
      <c r="D4565" s="37" t="s">
        <v>4578</v>
      </c>
      <c r="E4565" s="37">
        <v>2017</v>
      </c>
      <c r="F4565" s="37">
        <v>2012</v>
      </c>
      <c r="G4565" s="37" t="s">
        <v>4579</v>
      </c>
      <c r="H4565" s="37" t="s">
        <v>4581</v>
      </c>
      <c r="I4565" s="37" t="s">
        <v>2815</v>
      </c>
      <c r="J4565" s="37">
        <v>38.950000000000003</v>
      </c>
      <c r="K4565" s="37">
        <v>-92.33</v>
      </c>
      <c r="L4565" s="37">
        <v>227</v>
      </c>
      <c r="O4565" s="37">
        <v>630</v>
      </c>
      <c r="P4565" s="37">
        <v>1100</v>
      </c>
      <c r="R4565" s="50" t="s">
        <v>1977</v>
      </c>
      <c r="S4565" s="50" t="s">
        <v>1728</v>
      </c>
      <c r="U4565" s="50" t="s">
        <v>4580</v>
      </c>
      <c r="V4565" s="50" t="s">
        <v>1382</v>
      </c>
      <c r="W4565" s="50" t="s">
        <v>1717</v>
      </c>
      <c r="X4565" s="50" t="s">
        <v>1382</v>
      </c>
      <c r="Y4565" s="50" t="s">
        <v>1382</v>
      </c>
      <c r="AC4565" s="37" t="s">
        <v>4582</v>
      </c>
      <c r="AG4565" s="37" t="s">
        <v>4583</v>
      </c>
      <c r="AH4565" s="37" t="s">
        <v>115</v>
      </c>
      <c r="AI4565" s="37" t="s">
        <v>131</v>
      </c>
      <c r="AJ4565" s="37" t="s">
        <v>132</v>
      </c>
      <c r="AK4565" s="37" t="s">
        <v>132</v>
      </c>
      <c r="AO4565" s="37" t="s">
        <v>218</v>
      </c>
      <c r="AP4565" s="37" t="s">
        <v>218</v>
      </c>
      <c r="AQ4565" s="37" t="s">
        <v>2126</v>
      </c>
      <c r="AR4565" s="37" t="s">
        <v>2126</v>
      </c>
      <c r="AS4565" s="37" t="s">
        <v>177</v>
      </c>
      <c r="AT4565" s="37" t="s">
        <v>4586</v>
      </c>
      <c r="AU4565" s="37" t="s">
        <v>4586</v>
      </c>
      <c r="AV4565" s="37" t="s">
        <v>177</v>
      </c>
      <c r="AW4565" s="37" t="s">
        <v>160</v>
      </c>
      <c r="AX4565" s="37">
        <v>4</v>
      </c>
      <c r="AZ4565" s="37" t="s">
        <v>2121</v>
      </c>
      <c r="BK4565" s="37">
        <v>4250</v>
      </c>
      <c r="BL4565" s="37">
        <v>4620</v>
      </c>
      <c r="BM4565" s="37">
        <v>1000</v>
      </c>
      <c r="BN4565" s="37">
        <v>500</v>
      </c>
      <c r="BP4565" s="37"/>
      <c r="BU4565" s="406">
        <v>2.0099999999999998</v>
      </c>
      <c r="BV4565" s="406">
        <v>2.21</v>
      </c>
      <c r="BW4565" s="37">
        <v>0.1</v>
      </c>
      <c r="BX4565" s="37">
        <v>0.12</v>
      </c>
      <c r="BY4565" s="37" t="s">
        <v>2284</v>
      </c>
    </row>
    <row r="4566" spans="1:264" x14ac:dyDescent="0.25">
      <c r="A4566" s="37">
        <v>197</v>
      </c>
      <c r="B4566" s="50" t="s">
        <v>4590</v>
      </c>
      <c r="C4566" s="37" t="s">
        <v>4577</v>
      </c>
      <c r="D4566" s="37" t="s">
        <v>4578</v>
      </c>
      <c r="E4566" s="37">
        <v>2017</v>
      </c>
      <c r="F4566" s="37">
        <v>2012</v>
      </c>
      <c r="G4566" s="37" t="s">
        <v>4579</v>
      </c>
      <c r="H4566" s="37" t="s">
        <v>4581</v>
      </c>
      <c r="I4566" s="37" t="s">
        <v>2815</v>
      </c>
      <c r="J4566" s="37">
        <v>38.950000000000003</v>
      </c>
      <c r="K4566" s="37">
        <v>-92.33</v>
      </c>
      <c r="L4566" s="37">
        <v>227</v>
      </c>
      <c r="O4566" s="37">
        <v>630</v>
      </c>
      <c r="P4566" s="37">
        <v>1100</v>
      </c>
      <c r="R4566" s="50" t="s">
        <v>1977</v>
      </c>
      <c r="S4566" s="50" t="s">
        <v>1728</v>
      </c>
      <c r="U4566" s="50" t="s">
        <v>4580</v>
      </c>
      <c r="V4566" s="50" t="s">
        <v>1382</v>
      </c>
      <c r="W4566" s="50" t="s">
        <v>1717</v>
      </c>
      <c r="X4566" s="50" t="s">
        <v>1382</v>
      </c>
      <c r="Y4566" s="50" t="s">
        <v>1382</v>
      </c>
      <c r="AC4566" s="37" t="s">
        <v>4582</v>
      </c>
      <c r="AG4566" s="37" t="s">
        <v>4583</v>
      </c>
      <c r="AH4566" s="37" t="s">
        <v>115</v>
      </c>
      <c r="AI4566" s="37" t="s">
        <v>131</v>
      </c>
      <c r="AJ4566" s="37" t="s">
        <v>132</v>
      </c>
      <c r="AK4566" s="37" t="s">
        <v>132</v>
      </c>
      <c r="AO4566" s="37" t="s">
        <v>218</v>
      </c>
      <c r="AP4566" s="37" t="s">
        <v>218</v>
      </c>
      <c r="AQ4566" s="37" t="s">
        <v>2126</v>
      </c>
      <c r="AR4566" s="37" t="s">
        <v>2126</v>
      </c>
      <c r="AS4566" s="37" t="s">
        <v>177</v>
      </c>
      <c r="AT4566" s="37" t="s">
        <v>4587</v>
      </c>
      <c r="AU4566" s="37" t="s">
        <v>4587</v>
      </c>
      <c r="AV4566" s="37" t="s">
        <v>177</v>
      </c>
      <c r="AW4566" s="37" t="s">
        <v>160</v>
      </c>
      <c r="AX4566" s="37">
        <v>4</v>
      </c>
      <c r="AZ4566" s="37" t="s">
        <v>2121</v>
      </c>
      <c r="BK4566" s="37">
        <v>5620</v>
      </c>
      <c r="BL4566" s="37">
        <v>4920</v>
      </c>
      <c r="BM4566" s="37">
        <v>1000</v>
      </c>
      <c r="BN4566" s="37">
        <v>760</v>
      </c>
      <c r="BP4566" s="37"/>
      <c r="BU4566" s="406">
        <v>2.1</v>
      </c>
      <c r="BV4566" s="406">
        <v>2.29</v>
      </c>
      <c r="BW4566" s="37">
        <v>0.08</v>
      </c>
      <c r="BX4566" s="37">
        <v>0.16</v>
      </c>
      <c r="BY4566" s="37" t="s">
        <v>2284</v>
      </c>
    </row>
    <row r="4567" spans="1:264" x14ac:dyDescent="0.25">
      <c r="A4567" s="37">
        <v>197</v>
      </c>
      <c r="B4567" s="50" t="s">
        <v>4591</v>
      </c>
      <c r="C4567" s="37" t="s">
        <v>4577</v>
      </c>
      <c r="D4567" s="37" t="s">
        <v>4578</v>
      </c>
      <c r="E4567" s="37">
        <v>2017</v>
      </c>
      <c r="F4567" s="37">
        <v>2012</v>
      </c>
      <c r="G4567" s="37" t="s">
        <v>4579</v>
      </c>
      <c r="H4567" s="37" t="s">
        <v>4581</v>
      </c>
      <c r="I4567" s="37" t="s">
        <v>2815</v>
      </c>
      <c r="J4567" s="37">
        <v>38.950000000000003</v>
      </c>
      <c r="K4567" s="37">
        <v>-92.33</v>
      </c>
      <c r="L4567" s="37">
        <v>227</v>
      </c>
      <c r="O4567" s="37">
        <v>630</v>
      </c>
      <c r="P4567" s="37">
        <v>1100</v>
      </c>
      <c r="R4567" s="50" t="s">
        <v>1977</v>
      </c>
      <c r="S4567" s="50" t="s">
        <v>1728</v>
      </c>
      <c r="U4567" s="50" t="s">
        <v>4580</v>
      </c>
      <c r="V4567" s="50" t="s">
        <v>1382</v>
      </c>
      <c r="W4567" s="50" t="s">
        <v>1717</v>
      </c>
      <c r="X4567" s="50" t="s">
        <v>1382</v>
      </c>
      <c r="Y4567" s="50" t="s">
        <v>1382</v>
      </c>
      <c r="AC4567" s="37" t="s">
        <v>4582</v>
      </c>
      <c r="AG4567" s="37" t="s">
        <v>4583</v>
      </c>
      <c r="AH4567" s="37" t="s">
        <v>115</v>
      </c>
      <c r="AI4567" s="37" t="s">
        <v>131</v>
      </c>
      <c r="AJ4567" s="37" t="s">
        <v>132</v>
      </c>
      <c r="AK4567" s="37" t="s">
        <v>132</v>
      </c>
      <c r="AO4567" s="37" t="s">
        <v>218</v>
      </c>
      <c r="AP4567" s="37" t="s">
        <v>218</v>
      </c>
      <c r="AQ4567" s="37" t="s">
        <v>2126</v>
      </c>
      <c r="AR4567" s="37" t="s">
        <v>2126</v>
      </c>
      <c r="AS4567" s="37" t="s">
        <v>177</v>
      </c>
      <c r="AT4567" s="37" t="s">
        <v>4584</v>
      </c>
      <c r="AU4567" s="37" t="s">
        <v>4584</v>
      </c>
      <c r="AV4567" s="37" t="s">
        <v>177</v>
      </c>
      <c r="AW4567" s="37" t="s">
        <v>160</v>
      </c>
      <c r="AX4567" s="37">
        <v>4</v>
      </c>
      <c r="AZ4567" s="37" t="s">
        <v>2121</v>
      </c>
      <c r="BK4567" s="37">
        <v>4260</v>
      </c>
      <c r="BL4567" s="37">
        <v>4590</v>
      </c>
      <c r="BM4567" s="37">
        <v>360</v>
      </c>
      <c r="BN4567" s="37">
        <v>540</v>
      </c>
      <c r="BP4567" s="37"/>
      <c r="BU4567" s="406">
        <v>2.2999999999999998</v>
      </c>
      <c r="BV4567" s="406">
        <v>2.27</v>
      </c>
      <c r="BW4567" s="37">
        <v>0.22</v>
      </c>
      <c r="BX4567" s="37">
        <v>0.18</v>
      </c>
      <c r="BY4567" s="37" t="s">
        <v>2284</v>
      </c>
    </row>
    <row r="4568" spans="1:264" x14ac:dyDescent="0.25">
      <c r="A4568" s="37">
        <v>197</v>
      </c>
      <c r="B4568" s="50" t="s">
        <v>4592</v>
      </c>
      <c r="C4568" s="37" t="s">
        <v>4577</v>
      </c>
      <c r="D4568" s="37" t="s">
        <v>4578</v>
      </c>
      <c r="E4568" s="37">
        <v>2017</v>
      </c>
      <c r="F4568" s="37">
        <v>2012</v>
      </c>
      <c r="G4568" s="37" t="s">
        <v>4579</v>
      </c>
      <c r="H4568" s="37" t="s">
        <v>4581</v>
      </c>
      <c r="I4568" s="37" t="s">
        <v>2815</v>
      </c>
      <c r="J4568" s="37">
        <v>38.950000000000003</v>
      </c>
      <c r="K4568" s="37">
        <v>-92.33</v>
      </c>
      <c r="L4568" s="37">
        <v>227</v>
      </c>
      <c r="O4568" s="37">
        <v>630</v>
      </c>
      <c r="P4568" s="37">
        <v>1100</v>
      </c>
      <c r="R4568" s="50" t="s">
        <v>1977</v>
      </c>
      <c r="S4568" s="50" t="s">
        <v>1728</v>
      </c>
      <c r="U4568" s="50" t="s">
        <v>4580</v>
      </c>
      <c r="V4568" s="50" t="s">
        <v>1382</v>
      </c>
      <c r="W4568" s="50" t="s">
        <v>1717</v>
      </c>
      <c r="X4568" s="50" t="s">
        <v>1382</v>
      </c>
      <c r="Y4568" s="50" t="s">
        <v>1382</v>
      </c>
      <c r="AC4568" s="37" t="s">
        <v>4582</v>
      </c>
      <c r="AG4568" s="37" t="s">
        <v>4583</v>
      </c>
      <c r="AH4568" s="37" t="s">
        <v>115</v>
      </c>
      <c r="AI4568" s="37" t="s">
        <v>131</v>
      </c>
      <c r="AJ4568" s="37" t="s">
        <v>132</v>
      </c>
      <c r="AK4568" s="37" t="s">
        <v>132</v>
      </c>
      <c r="AO4568" s="37" t="s">
        <v>218</v>
      </c>
      <c r="AP4568" s="37" t="s">
        <v>218</v>
      </c>
      <c r="AQ4568" s="37" t="s">
        <v>2126</v>
      </c>
      <c r="AR4568" s="37" t="s">
        <v>2126</v>
      </c>
      <c r="AS4568" s="37" t="s">
        <v>177</v>
      </c>
      <c r="AT4568" s="37" t="s">
        <v>4585</v>
      </c>
      <c r="AU4568" s="37" t="s">
        <v>4585</v>
      </c>
      <c r="AV4568" s="37" t="s">
        <v>177</v>
      </c>
      <c r="AW4568" s="37" t="s">
        <v>160</v>
      </c>
      <c r="AX4568" s="37">
        <v>4</v>
      </c>
      <c r="AZ4568" s="37" t="s">
        <v>2121</v>
      </c>
      <c r="BK4568" s="37">
        <v>3890</v>
      </c>
      <c r="BL4568" s="37">
        <v>4710</v>
      </c>
      <c r="BM4568" s="37">
        <v>160</v>
      </c>
      <c r="BN4568" s="37">
        <v>660</v>
      </c>
      <c r="BP4568" s="37"/>
      <c r="BU4568" s="406">
        <v>2.29</v>
      </c>
      <c r="BV4568" s="406">
        <v>2.33</v>
      </c>
      <c r="BW4568" s="37">
        <v>0.06</v>
      </c>
      <c r="BX4568" s="37">
        <v>0.28000000000000003</v>
      </c>
      <c r="BY4568" s="37" t="s">
        <v>2284</v>
      </c>
    </row>
    <row r="4569" spans="1:264" s="90" customFormat="1" x14ac:dyDescent="0.25">
      <c r="A4569" s="90">
        <v>197</v>
      </c>
      <c r="B4569" s="91" t="s">
        <v>4593</v>
      </c>
      <c r="C4569" s="90" t="s">
        <v>4577</v>
      </c>
      <c r="D4569" s="90" t="s">
        <v>4578</v>
      </c>
      <c r="E4569" s="90">
        <v>2017</v>
      </c>
      <c r="F4569" s="90">
        <v>2012</v>
      </c>
      <c r="G4569" s="90" t="s">
        <v>4579</v>
      </c>
      <c r="H4569" s="90" t="s">
        <v>4581</v>
      </c>
      <c r="I4569" s="90" t="s">
        <v>2815</v>
      </c>
      <c r="J4569" s="90">
        <v>38.950000000000003</v>
      </c>
      <c r="K4569" s="90">
        <v>-92.33</v>
      </c>
      <c r="L4569" s="90">
        <v>227</v>
      </c>
      <c r="O4569" s="90">
        <v>630</v>
      </c>
      <c r="P4569" s="90">
        <v>1100</v>
      </c>
      <c r="R4569" s="91" t="s">
        <v>1847</v>
      </c>
      <c r="S4569" s="91" t="s">
        <v>1728</v>
      </c>
      <c r="T4569" s="91"/>
      <c r="U4569" s="91" t="s">
        <v>4580</v>
      </c>
      <c r="V4569" s="91" t="s">
        <v>1382</v>
      </c>
      <c r="W4569" s="91" t="s">
        <v>1717</v>
      </c>
      <c r="X4569" s="91" t="s">
        <v>1382</v>
      </c>
      <c r="Y4569" s="91" t="s">
        <v>1382</v>
      </c>
      <c r="AA4569" s="348"/>
      <c r="AB4569" s="348"/>
      <c r="AC4569" s="90" t="s">
        <v>4582</v>
      </c>
      <c r="AG4569" s="90" t="s">
        <v>4583</v>
      </c>
      <c r="AH4569" s="37" t="s">
        <v>115</v>
      </c>
      <c r="AI4569" s="37" t="s">
        <v>131</v>
      </c>
      <c r="AJ4569" s="90" t="s">
        <v>158</v>
      </c>
      <c r="AK4569" s="90" t="s">
        <v>158</v>
      </c>
      <c r="AO4569" s="37" t="s">
        <v>218</v>
      </c>
      <c r="AP4569" s="37" t="s">
        <v>218</v>
      </c>
      <c r="AQ4569" s="37" t="s">
        <v>2126</v>
      </c>
      <c r="AR4569" s="37" t="s">
        <v>2126</v>
      </c>
      <c r="AS4569" s="37" t="s">
        <v>177</v>
      </c>
      <c r="AT4569" s="90" t="s">
        <v>4586</v>
      </c>
      <c r="AU4569" s="90" t="s">
        <v>4586</v>
      </c>
      <c r="AV4569" s="90" t="s">
        <v>177</v>
      </c>
      <c r="AW4569" s="37" t="s">
        <v>160</v>
      </c>
      <c r="AX4569" s="90">
        <v>4</v>
      </c>
      <c r="AZ4569" s="90" t="s">
        <v>2121</v>
      </c>
      <c r="BK4569" s="90">
        <v>2910</v>
      </c>
      <c r="BL4569" s="90">
        <v>2320</v>
      </c>
      <c r="BM4569" s="90">
        <v>280</v>
      </c>
      <c r="BN4569" s="90">
        <v>640</v>
      </c>
      <c r="BO4569" s="37"/>
      <c r="BP4569" s="37"/>
      <c r="BQ4569" s="423"/>
      <c r="BU4569" s="423">
        <v>2.1</v>
      </c>
      <c r="BV4569" s="423">
        <v>2.23</v>
      </c>
      <c r="BW4569" s="90">
        <v>0.08</v>
      </c>
      <c r="BX4569" s="90">
        <v>0.02</v>
      </c>
      <c r="BY4569" s="37" t="s">
        <v>2284</v>
      </c>
      <c r="BZ4569" s="406"/>
      <c r="CA4569" s="406"/>
      <c r="CG4569" s="619"/>
      <c r="CH4569" s="619"/>
      <c r="JD4569" s="502"/>
    </row>
    <row r="4570" spans="1:264" s="90" customFormat="1" x14ac:dyDescent="0.25">
      <c r="A4570" s="90">
        <v>197</v>
      </c>
      <c r="B4570" s="91" t="s">
        <v>4594</v>
      </c>
      <c r="C4570" s="90" t="s">
        <v>4577</v>
      </c>
      <c r="D4570" s="90" t="s">
        <v>4578</v>
      </c>
      <c r="E4570" s="90">
        <v>2017</v>
      </c>
      <c r="F4570" s="90">
        <v>2012</v>
      </c>
      <c r="G4570" s="90" t="s">
        <v>4579</v>
      </c>
      <c r="H4570" s="90" t="s">
        <v>4581</v>
      </c>
      <c r="I4570" s="90" t="s">
        <v>2815</v>
      </c>
      <c r="J4570" s="90">
        <v>38.950000000000003</v>
      </c>
      <c r="K4570" s="90">
        <v>-92.33</v>
      </c>
      <c r="L4570" s="90">
        <v>227</v>
      </c>
      <c r="O4570" s="90">
        <v>630</v>
      </c>
      <c r="P4570" s="90">
        <v>1100</v>
      </c>
      <c r="R4570" s="91" t="s">
        <v>1847</v>
      </c>
      <c r="S4570" s="91" t="s">
        <v>1728</v>
      </c>
      <c r="T4570" s="91"/>
      <c r="U4570" s="91" t="s">
        <v>4580</v>
      </c>
      <c r="V4570" s="91" t="s">
        <v>1382</v>
      </c>
      <c r="W4570" s="91" t="s">
        <v>1717</v>
      </c>
      <c r="X4570" s="91" t="s">
        <v>1382</v>
      </c>
      <c r="Y4570" s="91" t="s">
        <v>1382</v>
      </c>
      <c r="AA4570" s="348"/>
      <c r="AB4570" s="348"/>
      <c r="AC4570" s="90" t="s">
        <v>4582</v>
      </c>
      <c r="AG4570" s="90" t="s">
        <v>4583</v>
      </c>
      <c r="AH4570" s="37" t="s">
        <v>115</v>
      </c>
      <c r="AI4570" s="37" t="s">
        <v>131</v>
      </c>
      <c r="AJ4570" s="90" t="s">
        <v>158</v>
      </c>
      <c r="AK4570" s="90" t="s">
        <v>158</v>
      </c>
      <c r="AO4570" s="37" t="s">
        <v>218</v>
      </c>
      <c r="AP4570" s="37" t="s">
        <v>218</v>
      </c>
      <c r="AQ4570" s="37" t="s">
        <v>2126</v>
      </c>
      <c r="AR4570" s="37" t="s">
        <v>2126</v>
      </c>
      <c r="AS4570" s="37" t="s">
        <v>177</v>
      </c>
      <c r="AT4570" s="90" t="s">
        <v>4587</v>
      </c>
      <c r="AU4570" s="90" t="s">
        <v>4587</v>
      </c>
      <c r="AV4570" s="90" t="s">
        <v>177</v>
      </c>
      <c r="AW4570" s="37" t="s">
        <v>160</v>
      </c>
      <c r="AX4570" s="90">
        <v>4</v>
      </c>
      <c r="AZ4570" s="90" t="s">
        <v>2121</v>
      </c>
      <c r="BK4570" s="90">
        <v>3310</v>
      </c>
      <c r="BL4570" s="90">
        <v>2410</v>
      </c>
      <c r="BM4570" s="90">
        <v>440</v>
      </c>
      <c r="BN4570" s="90">
        <v>700</v>
      </c>
      <c r="BO4570" s="37"/>
      <c r="BP4570" s="37"/>
      <c r="BQ4570" s="423"/>
      <c r="BU4570" s="423">
        <v>2.08</v>
      </c>
      <c r="BV4570" s="423">
        <v>2.13</v>
      </c>
      <c r="BW4570" s="90">
        <v>0.08</v>
      </c>
      <c r="BX4570" s="90">
        <v>0.1</v>
      </c>
      <c r="BY4570" s="37" t="s">
        <v>2284</v>
      </c>
      <c r="BZ4570" s="406"/>
      <c r="CA4570" s="406"/>
      <c r="CG4570" s="619"/>
      <c r="CH4570" s="619"/>
      <c r="JD4570" s="502"/>
    </row>
    <row r="4571" spans="1:264" s="90" customFormat="1" x14ac:dyDescent="0.25">
      <c r="A4571" s="90">
        <v>197</v>
      </c>
      <c r="B4571" s="91" t="s">
        <v>4595</v>
      </c>
      <c r="C4571" s="90" t="s">
        <v>4577</v>
      </c>
      <c r="D4571" s="90" t="s">
        <v>4578</v>
      </c>
      <c r="E4571" s="90">
        <v>2017</v>
      </c>
      <c r="F4571" s="90">
        <v>2012</v>
      </c>
      <c r="G4571" s="90" t="s">
        <v>4579</v>
      </c>
      <c r="H4571" s="90" t="s">
        <v>4581</v>
      </c>
      <c r="I4571" s="90" t="s">
        <v>2815</v>
      </c>
      <c r="J4571" s="90">
        <v>38.950000000000003</v>
      </c>
      <c r="K4571" s="90">
        <v>-92.33</v>
      </c>
      <c r="L4571" s="90">
        <v>227</v>
      </c>
      <c r="O4571" s="90">
        <v>630</v>
      </c>
      <c r="P4571" s="90">
        <v>1100</v>
      </c>
      <c r="R4571" s="91" t="s">
        <v>1847</v>
      </c>
      <c r="S4571" s="91" t="s">
        <v>1728</v>
      </c>
      <c r="T4571" s="91"/>
      <c r="U4571" s="91" t="s">
        <v>4580</v>
      </c>
      <c r="V4571" s="91" t="s">
        <v>1382</v>
      </c>
      <c r="W4571" s="91" t="s">
        <v>1717</v>
      </c>
      <c r="X4571" s="91" t="s">
        <v>1382</v>
      </c>
      <c r="Y4571" s="91" t="s">
        <v>1382</v>
      </c>
      <c r="AA4571" s="348"/>
      <c r="AB4571" s="348"/>
      <c r="AC4571" s="90" t="s">
        <v>4582</v>
      </c>
      <c r="AG4571" s="90" t="s">
        <v>4583</v>
      </c>
      <c r="AH4571" s="37" t="s">
        <v>115</v>
      </c>
      <c r="AI4571" s="37" t="s">
        <v>131</v>
      </c>
      <c r="AJ4571" s="90" t="s">
        <v>158</v>
      </c>
      <c r="AK4571" s="90" t="s">
        <v>158</v>
      </c>
      <c r="AO4571" s="37" t="s">
        <v>218</v>
      </c>
      <c r="AP4571" s="37" t="s">
        <v>218</v>
      </c>
      <c r="AQ4571" s="37" t="s">
        <v>2126</v>
      </c>
      <c r="AR4571" s="37" t="s">
        <v>2126</v>
      </c>
      <c r="AS4571" s="37" t="s">
        <v>177</v>
      </c>
      <c r="AT4571" s="90" t="s">
        <v>4584</v>
      </c>
      <c r="AU4571" s="90" t="s">
        <v>4584</v>
      </c>
      <c r="AV4571" s="90" t="s">
        <v>177</v>
      </c>
      <c r="AW4571" s="37" t="s">
        <v>160</v>
      </c>
      <c r="AX4571" s="90">
        <v>4</v>
      </c>
      <c r="AZ4571" s="90" t="s">
        <v>2121</v>
      </c>
      <c r="BK4571" s="90">
        <v>3250</v>
      </c>
      <c r="BL4571" s="90">
        <v>2770</v>
      </c>
      <c r="BM4571" s="90">
        <v>480</v>
      </c>
      <c r="BN4571" s="90">
        <v>520</v>
      </c>
      <c r="BO4571" s="37"/>
      <c r="BP4571" s="37"/>
      <c r="BQ4571" s="423"/>
      <c r="BU4571" s="423">
        <v>2.11</v>
      </c>
      <c r="BV4571" s="423">
        <v>2.21</v>
      </c>
      <c r="BW4571" s="90">
        <v>0.06</v>
      </c>
      <c r="BX4571" s="90">
        <v>0.08</v>
      </c>
      <c r="BY4571" s="37" t="s">
        <v>2284</v>
      </c>
      <c r="BZ4571" s="406"/>
      <c r="CA4571" s="406"/>
      <c r="CG4571" s="619"/>
      <c r="CH4571" s="619"/>
      <c r="JD4571" s="502"/>
    </row>
    <row r="4572" spans="1:264" s="90" customFormat="1" x14ac:dyDescent="0.25">
      <c r="A4572" s="90">
        <v>197</v>
      </c>
      <c r="B4572" s="91" t="s">
        <v>4596</v>
      </c>
      <c r="C4572" s="90" t="s">
        <v>4577</v>
      </c>
      <c r="D4572" s="90" t="s">
        <v>4578</v>
      </c>
      <c r="E4572" s="90">
        <v>2017</v>
      </c>
      <c r="F4572" s="90">
        <v>2012</v>
      </c>
      <c r="G4572" s="90" t="s">
        <v>4579</v>
      </c>
      <c r="H4572" s="90" t="s">
        <v>4581</v>
      </c>
      <c r="I4572" s="90" t="s">
        <v>2815</v>
      </c>
      <c r="J4572" s="90">
        <v>38.950000000000003</v>
      </c>
      <c r="K4572" s="90">
        <v>-92.33</v>
      </c>
      <c r="L4572" s="90">
        <v>227</v>
      </c>
      <c r="O4572" s="90">
        <v>630</v>
      </c>
      <c r="P4572" s="90">
        <v>1100</v>
      </c>
      <c r="R4572" s="91" t="s">
        <v>1847</v>
      </c>
      <c r="S4572" s="91" t="s">
        <v>1728</v>
      </c>
      <c r="T4572" s="91"/>
      <c r="U4572" s="91" t="s">
        <v>4580</v>
      </c>
      <c r="V4572" s="91" t="s">
        <v>1382</v>
      </c>
      <c r="W4572" s="91" t="s">
        <v>1717</v>
      </c>
      <c r="X4572" s="91" t="s">
        <v>1382</v>
      </c>
      <c r="Y4572" s="91" t="s">
        <v>1382</v>
      </c>
      <c r="AA4572" s="348"/>
      <c r="AB4572" s="348"/>
      <c r="AC4572" s="90" t="s">
        <v>4582</v>
      </c>
      <c r="AG4572" s="90" t="s">
        <v>4583</v>
      </c>
      <c r="AH4572" s="37" t="s">
        <v>115</v>
      </c>
      <c r="AI4572" s="37" t="s">
        <v>131</v>
      </c>
      <c r="AJ4572" s="90" t="s">
        <v>158</v>
      </c>
      <c r="AK4572" s="90" t="s">
        <v>158</v>
      </c>
      <c r="AO4572" s="37" t="s">
        <v>218</v>
      </c>
      <c r="AP4572" s="37" t="s">
        <v>218</v>
      </c>
      <c r="AQ4572" s="37" t="s">
        <v>2126</v>
      </c>
      <c r="AR4572" s="37" t="s">
        <v>2126</v>
      </c>
      <c r="AS4572" s="37" t="s">
        <v>177</v>
      </c>
      <c r="AT4572" s="90" t="s">
        <v>4585</v>
      </c>
      <c r="AU4572" s="90" t="s">
        <v>4585</v>
      </c>
      <c r="AV4572" s="90" t="s">
        <v>177</v>
      </c>
      <c r="AW4572" s="37" t="s">
        <v>160</v>
      </c>
      <c r="AX4572" s="90">
        <v>4</v>
      </c>
      <c r="AZ4572" s="90" t="s">
        <v>2121</v>
      </c>
      <c r="BK4572" s="90">
        <v>3260</v>
      </c>
      <c r="BL4572" s="90">
        <v>2520</v>
      </c>
      <c r="BM4572" s="90">
        <v>520</v>
      </c>
      <c r="BN4572" s="90">
        <v>780</v>
      </c>
      <c r="BO4572" s="37"/>
      <c r="BP4572" s="37"/>
      <c r="BQ4572" s="423"/>
      <c r="BU4572" s="423">
        <v>2.0499999999999998</v>
      </c>
      <c r="BV4572" s="423">
        <v>2.27</v>
      </c>
      <c r="BW4572" s="90">
        <v>0.08</v>
      </c>
      <c r="BX4572" s="90">
        <v>0.12</v>
      </c>
      <c r="BY4572" s="37" t="s">
        <v>2284</v>
      </c>
      <c r="BZ4572" s="406"/>
      <c r="CA4572" s="406"/>
      <c r="CG4572" s="619"/>
      <c r="CH4572" s="619"/>
      <c r="JD4572" s="502"/>
    </row>
    <row r="4573" spans="1:264" x14ac:dyDescent="0.25">
      <c r="A4573" s="37">
        <v>197</v>
      </c>
      <c r="B4573" s="50" t="s">
        <v>4597</v>
      </c>
      <c r="C4573" s="37" t="s">
        <v>4577</v>
      </c>
      <c r="D4573" s="37" t="s">
        <v>4578</v>
      </c>
      <c r="E4573" s="37">
        <v>2017</v>
      </c>
      <c r="F4573" s="37">
        <v>2012</v>
      </c>
      <c r="G4573" s="37" t="s">
        <v>4579</v>
      </c>
      <c r="H4573" s="37" t="s">
        <v>4581</v>
      </c>
      <c r="I4573" s="37" t="s">
        <v>2815</v>
      </c>
      <c r="J4573" s="37">
        <v>38.950000000000003</v>
      </c>
      <c r="K4573" s="37">
        <v>-92.33</v>
      </c>
      <c r="L4573" s="37">
        <v>227</v>
      </c>
      <c r="O4573" s="37">
        <v>630</v>
      </c>
      <c r="P4573" s="37">
        <v>1100</v>
      </c>
      <c r="R4573" s="50" t="s">
        <v>1728</v>
      </c>
      <c r="S4573" s="50" t="s">
        <v>1728</v>
      </c>
      <c r="U4573" s="50" t="s">
        <v>4580</v>
      </c>
      <c r="V4573" s="50" t="s">
        <v>1382</v>
      </c>
      <c r="W4573" s="50" t="s">
        <v>1717</v>
      </c>
      <c r="X4573" s="50" t="s">
        <v>1382</v>
      </c>
      <c r="Y4573" s="50" t="s">
        <v>1382</v>
      </c>
      <c r="AC4573" s="37" t="s">
        <v>4582</v>
      </c>
      <c r="AG4573" s="37" t="s">
        <v>4583</v>
      </c>
      <c r="AH4573" s="37" t="s">
        <v>115</v>
      </c>
      <c r="AI4573" s="37" t="s">
        <v>131</v>
      </c>
      <c r="AJ4573" s="37" t="s">
        <v>116</v>
      </c>
      <c r="AK4573" s="37" t="s">
        <v>116</v>
      </c>
      <c r="AO4573" s="37" t="s">
        <v>218</v>
      </c>
      <c r="AP4573" s="37" t="s">
        <v>218</v>
      </c>
      <c r="AQ4573" s="37" t="s">
        <v>2126</v>
      </c>
      <c r="AR4573" s="37" t="s">
        <v>2126</v>
      </c>
      <c r="AS4573" s="37" t="s">
        <v>177</v>
      </c>
      <c r="AT4573" s="37" t="s">
        <v>4586</v>
      </c>
      <c r="AU4573" s="37" t="s">
        <v>4586</v>
      </c>
      <c r="AV4573" s="37" t="s">
        <v>177</v>
      </c>
      <c r="AW4573" s="37" t="s">
        <v>160</v>
      </c>
      <c r="AX4573" s="37">
        <v>4</v>
      </c>
      <c r="AZ4573" s="37" t="s">
        <v>2121</v>
      </c>
      <c r="BK4573" s="37">
        <v>2410</v>
      </c>
      <c r="BL4573" s="37">
        <v>2350</v>
      </c>
      <c r="BM4573" s="37">
        <v>180</v>
      </c>
      <c r="BN4573" s="37">
        <v>320</v>
      </c>
      <c r="BP4573" s="37"/>
    </row>
    <row r="4574" spans="1:264" x14ac:dyDescent="0.25">
      <c r="A4574" s="37">
        <v>197</v>
      </c>
      <c r="B4574" s="50" t="s">
        <v>4598</v>
      </c>
      <c r="C4574" s="37" t="s">
        <v>4577</v>
      </c>
      <c r="D4574" s="37" t="s">
        <v>4578</v>
      </c>
      <c r="E4574" s="37">
        <v>2017</v>
      </c>
      <c r="F4574" s="37">
        <v>2012</v>
      </c>
      <c r="G4574" s="37" t="s">
        <v>4579</v>
      </c>
      <c r="H4574" s="37" t="s">
        <v>4581</v>
      </c>
      <c r="I4574" s="37" t="s">
        <v>2815</v>
      </c>
      <c r="J4574" s="37">
        <v>38.950000000000003</v>
      </c>
      <c r="K4574" s="37">
        <v>-92.33</v>
      </c>
      <c r="L4574" s="37">
        <v>227</v>
      </c>
      <c r="O4574" s="37">
        <v>630</v>
      </c>
      <c r="P4574" s="37">
        <v>1100</v>
      </c>
      <c r="R4574" s="50" t="s">
        <v>1728</v>
      </c>
      <c r="S4574" s="50" t="s">
        <v>1728</v>
      </c>
      <c r="U4574" s="50" t="s">
        <v>4580</v>
      </c>
      <c r="V4574" s="50" t="s">
        <v>1382</v>
      </c>
      <c r="W4574" s="50" t="s">
        <v>1717</v>
      </c>
      <c r="X4574" s="50" t="s">
        <v>1382</v>
      </c>
      <c r="Y4574" s="50" t="s">
        <v>1382</v>
      </c>
      <c r="AC4574" s="37" t="s">
        <v>4582</v>
      </c>
      <c r="AG4574" s="37" t="s">
        <v>4583</v>
      </c>
      <c r="AH4574" s="37" t="s">
        <v>115</v>
      </c>
      <c r="AI4574" s="37" t="s">
        <v>131</v>
      </c>
      <c r="AJ4574" s="37" t="s">
        <v>116</v>
      </c>
      <c r="AK4574" s="37" t="s">
        <v>116</v>
      </c>
      <c r="AO4574" s="37" t="s">
        <v>218</v>
      </c>
      <c r="AP4574" s="37" t="s">
        <v>218</v>
      </c>
      <c r="AQ4574" s="37" t="s">
        <v>2126</v>
      </c>
      <c r="AR4574" s="37" t="s">
        <v>2126</v>
      </c>
      <c r="AS4574" s="37" t="s">
        <v>177</v>
      </c>
      <c r="AT4574" s="37" t="s">
        <v>4587</v>
      </c>
      <c r="AU4574" s="37" t="s">
        <v>4587</v>
      </c>
      <c r="AV4574" s="37" t="s">
        <v>177</v>
      </c>
      <c r="AW4574" s="37" t="s">
        <v>160</v>
      </c>
      <c r="AX4574" s="37">
        <v>4</v>
      </c>
      <c r="AZ4574" s="37" t="s">
        <v>2121</v>
      </c>
      <c r="BK4574" s="37">
        <v>2750</v>
      </c>
      <c r="BL4574" s="37">
        <v>2740</v>
      </c>
      <c r="BM4574" s="37">
        <v>180</v>
      </c>
      <c r="BN4574" s="37">
        <v>180</v>
      </c>
      <c r="BP4574" s="37"/>
    </row>
    <row r="4575" spans="1:264" x14ac:dyDescent="0.25">
      <c r="A4575" s="37">
        <v>197</v>
      </c>
      <c r="B4575" s="50" t="s">
        <v>4599</v>
      </c>
      <c r="C4575" s="37" t="s">
        <v>4577</v>
      </c>
      <c r="D4575" s="37" t="s">
        <v>4578</v>
      </c>
      <c r="E4575" s="37">
        <v>2017</v>
      </c>
      <c r="F4575" s="37">
        <v>2012</v>
      </c>
      <c r="G4575" s="37" t="s">
        <v>4579</v>
      </c>
      <c r="H4575" s="37" t="s">
        <v>4581</v>
      </c>
      <c r="I4575" s="37" t="s">
        <v>2815</v>
      </c>
      <c r="J4575" s="37">
        <v>38.950000000000003</v>
      </c>
      <c r="K4575" s="37">
        <v>-92.33</v>
      </c>
      <c r="L4575" s="37">
        <v>227</v>
      </c>
      <c r="O4575" s="37">
        <v>630</v>
      </c>
      <c r="P4575" s="37">
        <v>1100</v>
      </c>
      <c r="R4575" s="50" t="s">
        <v>1728</v>
      </c>
      <c r="S4575" s="50" t="s">
        <v>1728</v>
      </c>
      <c r="U4575" s="50" t="s">
        <v>4580</v>
      </c>
      <c r="V4575" s="50" t="s">
        <v>1382</v>
      </c>
      <c r="W4575" s="50" t="s">
        <v>1717</v>
      </c>
      <c r="X4575" s="50" t="s">
        <v>1382</v>
      </c>
      <c r="Y4575" s="50" t="s">
        <v>1382</v>
      </c>
      <c r="AC4575" s="37" t="s">
        <v>4582</v>
      </c>
      <c r="AG4575" s="37" t="s">
        <v>4583</v>
      </c>
      <c r="AH4575" s="37" t="s">
        <v>115</v>
      </c>
      <c r="AI4575" s="37" t="s">
        <v>131</v>
      </c>
      <c r="AJ4575" s="37" t="s">
        <v>116</v>
      </c>
      <c r="AK4575" s="37" t="s">
        <v>116</v>
      </c>
      <c r="AO4575" s="37" t="s">
        <v>218</v>
      </c>
      <c r="AP4575" s="37" t="s">
        <v>218</v>
      </c>
      <c r="AQ4575" s="37" t="s">
        <v>2126</v>
      </c>
      <c r="AR4575" s="37" t="s">
        <v>2126</v>
      </c>
      <c r="AS4575" s="37" t="s">
        <v>177</v>
      </c>
      <c r="AT4575" s="37" t="s">
        <v>4584</v>
      </c>
      <c r="AU4575" s="37" t="s">
        <v>4584</v>
      </c>
      <c r="AV4575" s="37" t="s">
        <v>177</v>
      </c>
      <c r="AW4575" s="37" t="s">
        <v>160</v>
      </c>
      <c r="AX4575" s="37">
        <v>4</v>
      </c>
      <c r="AZ4575" s="37" t="s">
        <v>2121</v>
      </c>
      <c r="BK4575" s="37">
        <v>3120</v>
      </c>
      <c r="BL4575" s="37">
        <v>3140</v>
      </c>
      <c r="BM4575" s="37">
        <v>180</v>
      </c>
      <c r="BN4575" s="37">
        <v>340</v>
      </c>
      <c r="BP4575" s="37"/>
    </row>
    <row r="4576" spans="1:264" x14ac:dyDescent="0.25">
      <c r="A4576" s="37">
        <v>197</v>
      </c>
      <c r="B4576" s="50" t="s">
        <v>4600</v>
      </c>
      <c r="C4576" s="37" t="s">
        <v>4577</v>
      </c>
      <c r="D4576" s="37" t="s">
        <v>4578</v>
      </c>
      <c r="E4576" s="37">
        <v>2017</v>
      </c>
      <c r="F4576" s="37">
        <v>2012</v>
      </c>
      <c r="G4576" s="37" t="s">
        <v>4579</v>
      </c>
      <c r="H4576" s="37" t="s">
        <v>4581</v>
      </c>
      <c r="I4576" s="37" t="s">
        <v>2815</v>
      </c>
      <c r="J4576" s="37">
        <v>38.950000000000003</v>
      </c>
      <c r="K4576" s="37">
        <v>-92.33</v>
      </c>
      <c r="L4576" s="37">
        <v>227</v>
      </c>
      <c r="O4576" s="37">
        <v>630</v>
      </c>
      <c r="P4576" s="37">
        <v>1100</v>
      </c>
      <c r="R4576" s="50" t="s">
        <v>1728</v>
      </c>
      <c r="S4576" s="50" t="s">
        <v>1728</v>
      </c>
      <c r="U4576" s="50" t="s">
        <v>4580</v>
      </c>
      <c r="V4576" s="50" t="s">
        <v>1382</v>
      </c>
      <c r="W4576" s="50" t="s">
        <v>1717</v>
      </c>
      <c r="X4576" s="50" t="s">
        <v>1382</v>
      </c>
      <c r="Y4576" s="50" t="s">
        <v>1382</v>
      </c>
      <c r="AC4576" s="37" t="s">
        <v>4582</v>
      </c>
      <c r="AG4576" s="37" t="s">
        <v>4583</v>
      </c>
      <c r="AH4576" s="37" t="s">
        <v>115</v>
      </c>
      <c r="AI4576" s="37" t="s">
        <v>131</v>
      </c>
      <c r="AJ4576" s="37" t="s">
        <v>116</v>
      </c>
      <c r="AK4576" s="37" t="s">
        <v>116</v>
      </c>
      <c r="AO4576" s="37" t="s">
        <v>218</v>
      </c>
      <c r="AP4576" s="37" t="s">
        <v>218</v>
      </c>
      <c r="AQ4576" s="37" t="s">
        <v>2126</v>
      </c>
      <c r="AR4576" s="37" t="s">
        <v>2126</v>
      </c>
      <c r="AS4576" s="37" t="s">
        <v>177</v>
      </c>
      <c r="AT4576" s="37" t="s">
        <v>4585</v>
      </c>
      <c r="AU4576" s="37" t="s">
        <v>4585</v>
      </c>
      <c r="AV4576" s="37" t="s">
        <v>177</v>
      </c>
      <c r="AW4576" s="37" t="s">
        <v>160</v>
      </c>
      <c r="AX4576" s="37">
        <v>4</v>
      </c>
      <c r="AZ4576" s="37" t="s">
        <v>2121</v>
      </c>
      <c r="BK4576" s="37">
        <v>3610</v>
      </c>
      <c r="BL4576" s="37">
        <v>3270</v>
      </c>
      <c r="BM4576" s="37">
        <v>240</v>
      </c>
      <c r="BN4576" s="37">
        <v>80</v>
      </c>
      <c r="BP4576" s="37"/>
    </row>
    <row r="4577" spans="1:264" s="126" customFormat="1" x14ac:dyDescent="0.25">
      <c r="A4577" s="126">
        <v>197</v>
      </c>
      <c r="B4577" s="478" t="s">
        <v>4589</v>
      </c>
      <c r="C4577" s="126" t="s">
        <v>4577</v>
      </c>
      <c r="D4577" s="126" t="s">
        <v>4578</v>
      </c>
      <c r="E4577" s="126">
        <v>2017</v>
      </c>
      <c r="F4577" s="126">
        <v>2013</v>
      </c>
      <c r="G4577" s="126" t="s">
        <v>4579</v>
      </c>
      <c r="H4577" s="126" t="s">
        <v>4581</v>
      </c>
      <c r="I4577" s="126" t="s">
        <v>2815</v>
      </c>
      <c r="J4577" s="126">
        <v>38.950000000000003</v>
      </c>
      <c r="K4577" s="126">
        <v>-92.33</v>
      </c>
      <c r="L4577" s="126">
        <v>227</v>
      </c>
      <c r="O4577" s="126">
        <v>950</v>
      </c>
      <c r="P4577" s="126">
        <v>1100</v>
      </c>
      <c r="R4577" s="478" t="s">
        <v>1977</v>
      </c>
      <c r="S4577" s="478" t="s">
        <v>1728</v>
      </c>
      <c r="T4577" s="478"/>
      <c r="U4577" s="478" t="s">
        <v>4580</v>
      </c>
      <c r="V4577" s="478" t="s">
        <v>1382</v>
      </c>
      <c r="W4577" s="478" t="s">
        <v>1717</v>
      </c>
      <c r="X4577" s="478" t="s">
        <v>1382</v>
      </c>
      <c r="Y4577" s="478" t="s">
        <v>1382</v>
      </c>
      <c r="AA4577" s="479"/>
      <c r="AB4577" s="479"/>
      <c r="AC4577" s="126" t="s">
        <v>4582</v>
      </c>
      <c r="AG4577" s="126" t="s">
        <v>4583</v>
      </c>
      <c r="AH4577" s="126" t="s">
        <v>115</v>
      </c>
      <c r="AI4577" s="126" t="s">
        <v>131</v>
      </c>
      <c r="AJ4577" s="126" t="s">
        <v>132</v>
      </c>
      <c r="AK4577" s="126" t="s">
        <v>132</v>
      </c>
      <c r="AO4577" s="126" t="s">
        <v>218</v>
      </c>
      <c r="AP4577" s="126" t="s">
        <v>218</v>
      </c>
      <c r="AQ4577" s="126" t="s">
        <v>2126</v>
      </c>
      <c r="AR4577" s="126" t="s">
        <v>2126</v>
      </c>
      <c r="AS4577" s="126" t="s">
        <v>177</v>
      </c>
      <c r="AT4577" s="126" t="s">
        <v>4586</v>
      </c>
      <c r="AU4577" s="126" t="s">
        <v>4586</v>
      </c>
      <c r="AV4577" s="126" t="s">
        <v>177</v>
      </c>
      <c r="AW4577" s="126" t="s">
        <v>160</v>
      </c>
      <c r="AX4577" s="126">
        <v>4</v>
      </c>
      <c r="AZ4577" s="126" t="s">
        <v>2121</v>
      </c>
      <c r="BK4577" s="126">
        <v>2980</v>
      </c>
      <c r="BL4577" s="126">
        <v>4110</v>
      </c>
      <c r="BM4577" s="126">
        <v>880</v>
      </c>
      <c r="BN4577" s="126">
        <v>560</v>
      </c>
      <c r="BQ4577" s="481"/>
      <c r="BU4577" s="481">
        <v>2.59</v>
      </c>
      <c r="BV4577" s="481">
        <v>2.71</v>
      </c>
      <c r="BW4577" s="126">
        <v>0.22</v>
      </c>
      <c r="BX4577" s="126">
        <v>0.56000000000000005</v>
      </c>
      <c r="BY4577" s="126" t="s">
        <v>2284</v>
      </c>
      <c r="BZ4577" s="481"/>
      <c r="CA4577" s="481"/>
      <c r="CG4577" s="33"/>
      <c r="CH4577" s="33"/>
      <c r="JD4577" s="480"/>
    </row>
    <row r="4578" spans="1:264" s="126" customFormat="1" x14ac:dyDescent="0.25">
      <c r="A4578" s="126">
        <v>197</v>
      </c>
      <c r="B4578" s="478" t="s">
        <v>4590</v>
      </c>
      <c r="C4578" s="126" t="s">
        <v>4577</v>
      </c>
      <c r="D4578" s="126" t="s">
        <v>4578</v>
      </c>
      <c r="E4578" s="126">
        <v>2017</v>
      </c>
      <c r="F4578" s="126">
        <v>2013</v>
      </c>
      <c r="G4578" s="126" t="s">
        <v>4579</v>
      </c>
      <c r="H4578" s="126" t="s">
        <v>4581</v>
      </c>
      <c r="I4578" s="126" t="s">
        <v>2815</v>
      </c>
      <c r="J4578" s="126">
        <v>38.950000000000003</v>
      </c>
      <c r="K4578" s="126">
        <v>-92.33</v>
      </c>
      <c r="L4578" s="126">
        <v>227</v>
      </c>
      <c r="O4578" s="126">
        <v>950</v>
      </c>
      <c r="P4578" s="126">
        <v>1100</v>
      </c>
      <c r="R4578" s="478" t="s">
        <v>1977</v>
      </c>
      <c r="S4578" s="478" t="s">
        <v>1728</v>
      </c>
      <c r="T4578" s="478"/>
      <c r="U4578" s="478" t="s">
        <v>4580</v>
      </c>
      <c r="V4578" s="478" t="s">
        <v>1382</v>
      </c>
      <c r="W4578" s="478" t="s">
        <v>1717</v>
      </c>
      <c r="X4578" s="478" t="s">
        <v>1382</v>
      </c>
      <c r="Y4578" s="478" t="s">
        <v>1382</v>
      </c>
      <c r="AA4578" s="479"/>
      <c r="AB4578" s="479"/>
      <c r="AC4578" s="126" t="s">
        <v>4582</v>
      </c>
      <c r="AG4578" s="126" t="s">
        <v>4583</v>
      </c>
      <c r="AH4578" s="126" t="s">
        <v>115</v>
      </c>
      <c r="AI4578" s="126" t="s">
        <v>131</v>
      </c>
      <c r="AJ4578" s="126" t="s">
        <v>132</v>
      </c>
      <c r="AK4578" s="126" t="s">
        <v>132</v>
      </c>
      <c r="AO4578" s="126" t="s">
        <v>218</v>
      </c>
      <c r="AP4578" s="126" t="s">
        <v>218</v>
      </c>
      <c r="AQ4578" s="126" t="s">
        <v>2126</v>
      </c>
      <c r="AR4578" s="126" t="s">
        <v>2126</v>
      </c>
      <c r="AS4578" s="126" t="s">
        <v>177</v>
      </c>
      <c r="AT4578" s="126" t="s">
        <v>4587</v>
      </c>
      <c r="AU4578" s="126" t="s">
        <v>4587</v>
      </c>
      <c r="AV4578" s="126" t="s">
        <v>177</v>
      </c>
      <c r="AW4578" s="126" t="s">
        <v>160</v>
      </c>
      <c r="AX4578" s="126">
        <v>4</v>
      </c>
      <c r="AZ4578" s="126" t="s">
        <v>2121</v>
      </c>
      <c r="BK4578" s="126">
        <v>4610</v>
      </c>
      <c r="BL4578" s="126">
        <v>3860</v>
      </c>
      <c r="BM4578" s="126">
        <v>1040</v>
      </c>
      <c r="BN4578" s="126">
        <v>720</v>
      </c>
      <c r="BQ4578" s="481"/>
      <c r="BU4578" s="481">
        <v>2.73</v>
      </c>
      <c r="BV4578" s="481">
        <v>2.48</v>
      </c>
      <c r="BW4578" s="126">
        <v>0.26</v>
      </c>
      <c r="BX4578" s="126">
        <v>0.14000000000000001</v>
      </c>
      <c r="BY4578" s="126" t="s">
        <v>2284</v>
      </c>
      <c r="BZ4578" s="481"/>
      <c r="CA4578" s="481"/>
      <c r="CG4578" s="33"/>
      <c r="CH4578" s="33"/>
      <c r="JD4578" s="480"/>
    </row>
    <row r="4579" spans="1:264" s="126" customFormat="1" x14ac:dyDescent="0.25">
      <c r="A4579" s="126">
        <v>197</v>
      </c>
      <c r="B4579" s="478" t="s">
        <v>4591</v>
      </c>
      <c r="C4579" s="126" t="s">
        <v>4577</v>
      </c>
      <c r="D4579" s="126" t="s">
        <v>4578</v>
      </c>
      <c r="E4579" s="126">
        <v>2017</v>
      </c>
      <c r="F4579" s="126">
        <v>2013</v>
      </c>
      <c r="G4579" s="126" t="s">
        <v>4579</v>
      </c>
      <c r="H4579" s="126" t="s">
        <v>4581</v>
      </c>
      <c r="I4579" s="126" t="s">
        <v>2815</v>
      </c>
      <c r="J4579" s="126">
        <v>38.950000000000003</v>
      </c>
      <c r="K4579" s="126">
        <v>-92.33</v>
      </c>
      <c r="L4579" s="126">
        <v>227</v>
      </c>
      <c r="O4579" s="126">
        <v>950</v>
      </c>
      <c r="P4579" s="126">
        <v>1100</v>
      </c>
      <c r="R4579" s="478" t="s">
        <v>1977</v>
      </c>
      <c r="S4579" s="478" t="s">
        <v>1728</v>
      </c>
      <c r="T4579" s="478"/>
      <c r="U4579" s="478" t="s">
        <v>4580</v>
      </c>
      <c r="V4579" s="478" t="s">
        <v>1382</v>
      </c>
      <c r="W4579" s="478" t="s">
        <v>1717</v>
      </c>
      <c r="X4579" s="478" t="s">
        <v>1382</v>
      </c>
      <c r="Y4579" s="478" t="s">
        <v>1382</v>
      </c>
      <c r="AA4579" s="479"/>
      <c r="AB4579" s="479"/>
      <c r="AC4579" s="126" t="s">
        <v>4582</v>
      </c>
      <c r="AG4579" s="126" t="s">
        <v>4583</v>
      </c>
      <c r="AH4579" s="126" t="s">
        <v>115</v>
      </c>
      <c r="AI4579" s="126" t="s">
        <v>131</v>
      </c>
      <c r="AJ4579" s="126" t="s">
        <v>132</v>
      </c>
      <c r="AK4579" s="126" t="s">
        <v>132</v>
      </c>
      <c r="AO4579" s="126" t="s">
        <v>218</v>
      </c>
      <c r="AP4579" s="126" t="s">
        <v>218</v>
      </c>
      <c r="AQ4579" s="126" t="s">
        <v>2126</v>
      </c>
      <c r="AR4579" s="126" t="s">
        <v>2126</v>
      </c>
      <c r="AS4579" s="126" t="s">
        <v>177</v>
      </c>
      <c r="AT4579" s="126" t="s">
        <v>4584</v>
      </c>
      <c r="AU4579" s="126" t="s">
        <v>4584</v>
      </c>
      <c r="AV4579" s="126" t="s">
        <v>177</v>
      </c>
      <c r="AW4579" s="126" t="s">
        <v>160</v>
      </c>
      <c r="AX4579" s="126">
        <v>4</v>
      </c>
      <c r="AZ4579" s="126" t="s">
        <v>2121</v>
      </c>
      <c r="BK4579" s="126">
        <v>5050</v>
      </c>
      <c r="BL4579" s="126">
        <v>5220</v>
      </c>
      <c r="BM4579" s="126">
        <v>760</v>
      </c>
      <c r="BN4579" s="126">
        <v>760</v>
      </c>
      <c r="BQ4579" s="481"/>
      <c r="BU4579" s="481">
        <v>2.74</v>
      </c>
      <c r="BV4579" s="481">
        <v>2.79</v>
      </c>
      <c r="BW4579" s="126">
        <v>0.16</v>
      </c>
      <c r="BX4579" s="126">
        <v>0.44</v>
      </c>
      <c r="BY4579" s="126" t="s">
        <v>2284</v>
      </c>
      <c r="BZ4579" s="481"/>
      <c r="CA4579" s="481"/>
      <c r="CG4579" s="33"/>
      <c r="CH4579" s="33"/>
      <c r="JD4579" s="480"/>
    </row>
    <row r="4580" spans="1:264" s="126" customFormat="1" x14ac:dyDescent="0.25">
      <c r="A4580" s="126">
        <v>197</v>
      </c>
      <c r="B4580" s="478" t="s">
        <v>4592</v>
      </c>
      <c r="C4580" s="126" t="s">
        <v>4577</v>
      </c>
      <c r="D4580" s="126" t="s">
        <v>4578</v>
      </c>
      <c r="E4580" s="126">
        <v>2017</v>
      </c>
      <c r="F4580" s="126">
        <v>2013</v>
      </c>
      <c r="G4580" s="126" t="s">
        <v>4579</v>
      </c>
      <c r="H4580" s="126" t="s">
        <v>4581</v>
      </c>
      <c r="I4580" s="126" t="s">
        <v>2815</v>
      </c>
      <c r="J4580" s="126">
        <v>38.950000000000003</v>
      </c>
      <c r="K4580" s="126">
        <v>-92.33</v>
      </c>
      <c r="L4580" s="126">
        <v>227</v>
      </c>
      <c r="O4580" s="126">
        <v>950</v>
      </c>
      <c r="P4580" s="126">
        <v>1100</v>
      </c>
      <c r="R4580" s="478" t="s">
        <v>1977</v>
      </c>
      <c r="S4580" s="478" t="s">
        <v>1728</v>
      </c>
      <c r="T4580" s="478"/>
      <c r="U4580" s="478" t="s">
        <v>4580</v>
      </c>
      <c r="V4580" s="478" t="s">
        <v>1382</v>
      </c>
      <c r="W4580" s="478" t="s">
        <v>1717</v>
      </c>
      <c r="X4580" s="478" t="s">
        <v>1382</v>
      </c>
      <c r="Y4580" s="478" t="s">
        <v>1382</v>
      </c>
      <c r="AA4580" s="479"/>
      <c r="AB4580" s="479"/>
      <c r="AC4580" s="126" t="s">
        <v>4582</v>
      </c>
      <c r="AG4580" s="126" t="s">
        <v>4583</v>
      </c>
      <c r="AH4580" s="126" t="s">
        <v>115</v>
      </c>
      <c r="AI4580" s="126" t="s">
        <v>131</v>
      </c>
      <c r="AJ4580" s="126" t="s">
        <v>132</v>
      </c>
      <c r="AK4580" s="126" t="s">
        <v>132</v>
      </c>
      <c r="AO4580" s="126" t="s">
        <v>218</v>
      </c>
      <c r="AP4580" s="126" t="s">
        <v>218</v>
      </c>
      <c r="AQ4580" s="126" t="s">
        <v>2126</v>
      </c>
      <c r="AR4580" s="126" t="s">
        <v>2126</v>
      </c>
      <c r="AS4580" s="126" t="s">
        <v>177</v>
      </c>
      <c r="AT4580" s="126" t="s">
        <v>4585</v>
      </c>
      <c r="AU4580" s="126" t="s">
        <v>4585</v>
      </c>
      <c r="AV4580" s="126" t="s">
        <v>177</v>
      </c>
      <c r="AW4580" s="126" t="s">
        <v>160</v>
      </c>
      <c r="AX4580" s="126">
        <v>4</v>
      </c>
      <c r="AZ4580" s="126" t="s">
        <v>2121</v>
      </c>
      <c r="BK4580" s="126">
        <v>6920</v>
      </c>
      <c r="BL4580" s="126">
        <v>6370</v>
      </c>
      <c r="BM4580" s="126">
        <v>1820</v>
      </c>
      <c r="BN4580" s="126">
        <v>880</v>
      </c>
      <c r="BQ4580" s="481"/>
      <c r="BU4580" s="481">
        <v>2.76</v>
      </c>
      <c r="BV4580" s="481">
        <v>2.79</v>
      </c>
      <c r="BW4580" s="126">
        <v>0.14000000000000001</v>
      </c>
      <c r="BX4580" s="126">
        <v>0.08</v>
      </c>
      <c r="BY4580" s="126" t="s">
        <v>2284</v>
      </c>
      <c r="BZ4580" s="481"/>
      <c r="CA4580" s="481"/>
      <c r="CG4580" s="33"/>
      <c r="CH4580" s="33"/>
      <c r="JD4580" s="480"/>
    </row>
    <row r="4581" spans="1:264" s="503" customFormat="1" x14ac:dyDescent="0.25">
      <c r="A4581" s="503">
        <v>197</v>
      </c>
      <c r="B4581" s="504" t="s">
        <v>4593</v>
      </c>
      <c r="C4581" s="503" t="s">
        <v>4577</v>
      </c>
      <c r="D4581" s="503" t="s">
        <v>4578</v>
      </c>
      <c r="E4581" s="503">
        <v>2017</v>
      </c>
      <c r="F4581" s="126">
        <v>2013</v>
      </c>
      <c r="G4581" s="503" t="s">
        <v>4579</v>
      </c>
      <c r="H4581" s="503" t="s">
        <v>4581</v>
      </c>
      <c r="I4581" s="503" t="s">
        <v>2815</v>
      </c>
      <c r="J4581" s="503">
        <v>38.950000000000003</v>
      </c>
      <c r="K4581" s="503">
        <v>-92.33</v>
      </c>
      <c r="L4581" s="503">
        <v>227</v>
      </c>
      <c r="O4581" s="126">
        <v>950</v>
      </c>
      <c r="P4581" s="503">
        <v>1100</v>
      </c>
      <c r="R4581" s="504" t="s">
        <v>1847</v>
      </c>
      <c r="S4581" s="504" t="s">
        <v>1728</v>
      </c>
      <c r="T4581" s="504"/>
      <c r="U4581" s="504" t="s">
        <v>4580</v>
      </c>
      <c r="V4581" s="504" t="s">
        <v>1382</v>
      </c>
      <c r="W4581" s="504" t="s">
        <v>1717</v>
      </c>
      <c r="X4581" s="504" t="s">
        <v>1382</v>
      </c>
      <c r="Y4581" s="504" t="s">
        <v>1382</v>
      </c>
      <c r="AA4581" s="505"/>
      <c r="AB4581" s="505"/>
      <c r="AC4581" s="503" t="s">
        <v>4582</v>
      </c>
      <c r="AG4581" s="503" t="s">
        <v>4583</v>
      </c>
      <c r="AH4581" s="503" t="s">
        <v>115</v>
      </c>
      <c r="AI4581" s="503" t="s">
        <v>131</v>
      </c>
      <c r="AJ4581" s="503" t="s">
        <v>158</v>
      </c>
      <c r="AK4581" s="503" t="s">
        <v>158</v>
      </c>
      <c r="AO4581" s="503" t="s">
        <v>218</v>
      </c>
      <c r="AP4581" s="503" t="s">
        <v>218</v>
      </c>
      <c r="AQ4581" s="503" t="s">
        <v>2126</v>
      </c>
      <c r="AR4581" s="503" t="s">
        <v>2126</v>
      </c>
      <c r="AS4581" s="126" t="s">
        <v>177</v>
      </c>
      <c r="AT4581" s="503" t="s">
        <v>4586</v>
      </c>
      <c r="AU4581" s="503" t="s">
        <v>4586</v>
      </c>
      <c r="AV4581" s="503" t="s">
        <v>177</v>
      </c>
      <c r="AW4581" s="126" t="s">
        <v>160</v>
      </c>
      <c r="AX4581" s="503">
        <v>4</v>
      </c>
      <c r="AZ4581" s="503" t="s">
        <v>2121</v>
      </c>
      <c r="BK4581" s="503">
        <v>2370</v>
      </c>
      <c r="BL4581" s="503">
        <v>2130</v>
      </c>
      <c r="BM4581" s="503">
        <v>340</v>
      </c>
      <c r="BN4581" s="503">
        <v>360</v>
      </c>
      <c r="BO4581" s="126"/>
      <c r="BP4581" s="126"/>
      <c r="BQ4581" s="506"/>
      <c r="BU4581" s="506">
        <v>2.34</v>
      </c>
      <c r="BV4581" s="506">
        <v>2.52</v>
      </c>
      <c r="BW4581" s="503">
        <v>0.08</v>
      </c>
      <c r="BX4581" s="503">
        <v>0.14000000000000001</v>
      </c>
      <c r="BY4581" s="503" t="s">
        <v>2284</v>
      </c>
      <c r="BZ4581" s="481"/>
      <c r="CA4581" s="481"/>
      <c r="JD4581" s="507"/>
    </row>
    <row r="4582" spans="1:264" s="503" customFormat="1" x14ac:dyDescent="0.25">
      <c r="A4582" s="503">
        <v>197</v>
      </c>
      <c r="B4582" s="504" t="s">
        <v>4594</v>
      </c>
      <c r="C4582" s="503" t="s">
        <v>4577</v>
      </c>
      <c r="D4582" s="503" t="s">
        <v>4578</v>
      </c>
      <c r="E4582" s="503">
        <v>2017</v>
      </c>
      <c r="F4582" s="126">
        <v>2013</v>
      </c>
      <c r="G4582" s="503" t="s">
        <v>4579</v>
      </c>
      <c r="H4582" s="503" t="s">
        <v>4581</v>
      </c>
      <c r="I4582" s="503" t="s">
        <v>2815</v>
      </c>
      <c r="J4582" s="503">
        <v>38.950000000000003</v>
      </c>
      <c r="K4582" s="503">
        <v>-92.33</v>
      </c>
      <c r="L4582" s="503">
        <v>227</v>
      </c>
      <c r="O4582" s="126">
        <v>950</v>
      </c>
      <c r="P4582" s="503">
        <v>1100</v>
      </c>
      <c r="R4582" s="504" t="s">
        <v>1847</v>
      </c>
      <c r="S4582" s="504" t="s">
        <v>1728</v>
      </c>
      <c r="T4582" s="504"/>
      <c r="U4582" s="504" t="s">
        <v>4580</v>
      </c>
      <c r="V4582" s="504" t="s">
        <v>1382</v>
      </c>
      <c r="W4582" s="504" t="s">
        <v>1717</v>
      </c>
      <c r="X4582" s="504" t="s">
        <v>1382</v>
      </c>
      <c r="Y4582" s="504" t="s">
        <v>1382</v>
      </c>
      <c r="AA4582" s="505"/>
      <c r="AB4582" s="505"/>
      <c r="AC4582" s="503" t="s">
        <v>4582</v>
      </c>
      <c r="AG4582" s="503" t="s">
        <v>4583</v>
      </c>
      <c r="AH4582" s="503" t="s">
        <v>115</v>
      </c>
      <c r="AI4582" s="503" t="s">
        <v>131</v>
      </c>
      <c r="AJ4582" s="503" t="s">
        <v>158</v>
      </c>
      <c r="AK4582" s="503" t="s">
        <v>158</v>
      </c>
      <c r="AO4582" s="503" t="s">
        <v>218</v>
      </c>
      <c r="AP4582" s="503" t="s">
        <v>218</v>
      </c>
      <c r="AQ4582" s="503" t="s">
        <v>2126</v>
      </c>
      <c r="AR4582" s="503" t="s">
        <v>2126</v>
      </c>
      <c r="AS4582" s="126" t="s">
        <v>177</v>
      </c>
      <c r="AT4582" s="503" t="s">
        <v>4587</v>
      </c>
      <c r="AU4582" s="503" t="s">
        <v>4587</v>
      </c>
      <c r="AV4582" s="503" t="s">
        <v>177</v>
      </c>
      <c r="AW4582" s="126" t="s">
        <v>160</v>
      </c>
      <c r="AX4582" s="503">
        <v>4</v>
      </c>
      <c r="AZ4582" s="503" t="s">
        <v>2121</v>
      </c>
      <c r="BK4582" s="503">
        <v>1990</v>
      </c>
      <c r="BL4582" s="503">
        <v>1880</v>
      </c>
      <c r="BM4582" s="503">
        <v>260</v>
      </c>
      <c r="BN4582" s="503">
        <v>340</v>
      </c>
      <c r="BO4582" s="126"/>
      <c r="BP4582" s="126"/>
      <c r="BQ4582" s="506"/>
      <c r="BU4582" s="506">
        <v>2.4300000000000002</v>
      </c>
      <c r="BV4582" s="506">
        <v>2.74</v>
      </c>
      <c r="BW4582" s="503">
        <v>0.12</v>
      </c>
      <c r="BX4582" s="503">
        <v>0.24</v>
      </c>
      <c r="BY4582" s="503" t="s">
        <v>2284</v>
      </c>
      <c r="BZ4582" s="481"/>
      <c r="CA4582" s="481"/>
      <c r="JD4582" s="507"/>
    </row>
    <row r="4583" spans="1:264" s="503" customFormat="1" x14ac:dyDescent="0.25">
      <c r="A4583" s="503">
        <v>197</v>
      </c>
      <c r="B4583" s="504" t="s">
        <v>4595</v>
      </c>
      <c r="C4583" s="503" t="s">
        <v>4577</v>
      </c>
      <c r="D4583" s="503" t="s">
        <v>4578</v>
      </c>
      <c r="E4583" s="503">
        <v>2017</v>
      </c>
      <c r="F4583" s="126">
        <v>2013</v>
      </c>
      <c r="G4583" s="503" t="s">
        <v>4579</v>
      </c>
      <c r="H4583" s="503" t="s">
        <v>4581</v>
      </c>
      <c r="I4583" s="503" t="s">
        <v>2815</v>
      </c>
      <c r="J4583" s="503">
        <v>38.950000000000003</v>
      </c>
      <c r="K4583" s="503">
        <v>-92.33</v>
      </c>
      <c r="L4583" s="503">
        <v>227</v>
      </c>
      <c r="O4583" s="126">
        <v>950</v>
      </c>
      <c r="P4583" s="503">
        <v>1100</v>
      </c>
      <c r="R4583" s="504" t="s">
        <v>1847</v>
      </c>
      <c r="S4583" s="504" t="s">
        <v>1728</v>
      </c>
      <c r="T4583" s="504"/>
      <c r="U4583" s="504" t="s">
        <v>4580</v>
      </c>
      <c r="V4583" s="504" t="s">
        <v>1382</v>
      </c>
      <c r="W4583" s="504" t="s">
        <v>1717</v>
      </c>
      <c r="X4583" s="504" t="s">
        <v>1382</v>
      </c>
      <c r="Y4583" s="504" t="s">
        <v>1382</v>
      </c>
      <c r="AA4583" s="505"/>
      <c r="AB4583" s="505"/>
      <c r="AC4583" s="503" t="s">
        <v>4582</v>
      </c>
      <c r="AG4583" s="503" t="s">
        <v>4583</v>
      </c>
      <c r="AH4583" s="503" t="s">
        <v>115</v>
      </c>
      <c r="AI4583" s="503" t="s">
        <v>131</v>
      </c>
      <c r="AJ4583" s="503" t="s">
        <v>158</v>
      </c>
      <c r="AK4583" s="503" t="s">
        <v>158</v>
      </c>
      <c r="AO4583" s="503" t="s">
        <v>218</v>
      </c>
      <c r="AP4583" s="503" t="s">
        <v>218</v>
      </c>
      <c r="AQ4583" s="503" t="s">
        <v>2126</v>
      </c>
      <c r="AR4583" s="503" t="s">
        <v>2126</v>
      </c>
      <c r="AS4583" s="126" t="s">
        <v>177</v>
      </c>
      <c r="AT4583" s="503" t="s">
        <v>4584</v>
      </c>
      <c r="AU4583" s="503" t="s">
        <v>4584</v>
      </c>
      <c r="AV4583" s="503" t="s">
        <v>177</v>
      </c>
      <c r="AW4583" s="126" t="s">
        <v>160</v>
      </c>
      <c r="AX4583" s="503">
        <v>4</v>
      </c>
      <c r="AZ4583" s="503" t="s">
        <v>2121</v>
      </c>
      <c r="BK4583" s="503">
        <v>2350</v>
      </c>
      <c r="BL4583" s="503">
        <v>1930</v>
      </c>
      <c r="BM4583" s="503">
        <v>460</v>
      </c>
      <c r="BN4583" s="503">
        <v>220</v>
      </c>
      <c r="BO4583" s="126"/>
      <c r="BP4583" s="126"/>
      <c r="BQ4583" s="506"/>
      <c r="BU4583" s="506">
        <v>2.72</v>
      </c>
      <c r="BV4583" s="506">
        <v>2.4900000000000002</v>
      </c>
      <c r="BW4583" s="503">
        <v>0.18</v>
      </c>
      <c r="BX4583" s="503">
        <v>0.14000000000000001</v>
      </c>
      <c r="BY4583" s="503" t="s">
        <v>2284</v>
      </c>
      <c r="BZ4583" s="481"/>
      <c r="CA4583" s="481"/>
      <c r="JD4583" s="507"/>
    </row>
    <row r="4584" spans="1:264" s="503" customFormat="1" x14ac:dyDescent="0.25">
      <c r="A4584" s="503">
        <v>197</v>
      </c>
      <c r="B4584" s="504" t="s">
        <v>4596</v>
      </c>
      <c r="C4584" s="503" t="s">
        <v>4577</v>
      </c>
      <c r="D4584" s="503" t="s">
        <v>4578</v>
      </c>
      <c r="E4584" s="503">
        <v>2017</v>
      </c>
      <c r="F4584" s="126">
        <v>2013</v>
      </c>
      <c r="G4584" s="503" t="s">
        <v>4579</v>
      </c>
      <c r="H4584" s="503" t="s">
        <v>4581</v>
      </c>
      <c r="I4584" s="503" t="s">
        <v>2815</v>
      </c>
      <c r="J4584" s="503">
        <v>38.950000000000003</v>
      </c>
      <c r="K4584" s="503">
        <v>-92.33</v>
      </c>
      <c r="L4584" s="503">
        <v>227</v>
      </c>
      <c r="O4584" s="126">
        <v>950</v>
      </c>
      <c r="P4584" s="503">
        <v>1100</v>
      </c>
      <c r="R4584" s="504" t="s">
        <v>1847</v>
      </c>
      <c r="S4584" s="504" t="s">
        <v>1728</v>
      </c>
      <c r="T4584" s="504"/>
      <c r="U4584" s="504" t="s">
        <v>4580</v>
      </c>
      <c r="V4584" s="504" t="s">
        <v>1382</v>
      </c>
      <c r="W4584" s="504" t="s">
        <v>1717</v>
      </c>
      <c r="X4584" s="504" t="s">
        <v>1382</v>
      </c>
      <c r="Y4584" s="504" t="s">
        <v>1382</v>
      </c>
      <c r="AA4584" s="505"/>
      <c r="AB4584" s="505"/>
      <c r="AC4584" s="503" t="s">
        <v>4582</v>
      </c>
      <c r="AG4584" s="503" t="s">
        <v>4583</v>
      </c>
      <c r="AH4584" s="503" t="s">
        <v>115</v>
      </c>
      <c r="AI4584" s="503" t="s">
        <v>131</v>
      </c>
      <c r="AJ4584" s="503" t="s">
        <v>158</v>
      </c>
      <c r="AK4584" s="503" t="s">
        <v>158</v>
      </c>
      <c r="AO4584" s="503" t="s">
        <v>218</v>
      </c>
      <c r="AP4584" s="503" t="s">
        <v>218</v>
      </c>
      <c r="AQ4584" s="503" t="s">
        <v>2126</v>
      </c>
      <c r="AR4584" s="503" t="s">
        <v>2126</v>
      </c>
      <c r="AS4584" s="126" t="s">
        <v>177</v>
      </c>
      <c r="AT4584" s="503" t="s">
        <v>4585</v>
      </c>
      <c r="AU4584" s="503" t="s">
        <v>4585</v>
      </c>
      <c r="AV4584" s="503" t="s">
        <v>177</v>
      </c>
      <c r="AW4584" s="126" t="s">
        <v>160</v>
      </c>
      <c r="AX4584" s="503">
        <v>4</v>
      </c>
      <c r="AZ4584" s="503" t="s">
        <v>2121</v>
      </c>
      <c r="BK4584" s="503">
        <v>2260</v>
      </c>
      <c r="BL4584" s="503">
        <v>2260</v>
      </c>
      <c r="BM4584" s="503">
        <v>360</v>
      </c>
      <c r="BN4584" s="503">
        <v>520</v>
      </c>
      <c r="BO4584" s="126"/>
      <c r="BP4584" s="126"/>
      <c r="BQ4584" s="506"/>
      <c r="BU4584" s="506">
        <v>2.41</v>
      </c>
      <c r="BV4584" s="506">
        <v>2.81</v>
      </c>
      <c r="BW4584" s="503">
        <v>0.12</v>
      </c>
      <c r="BX4584" s="503">
        <v>0.24</v>
      </c>
      <c r="BY4584" s="503" t="s">
        <v>2284</v>
      </c>
      <c r="BZ4584" s="481"/>
      <c r="CA4584" s="481"/>
      <c r="JD4584" s="507"/>
    </row>
    <row r="4585" spans="1:264" s="126" customFormat="1" x14ac:dyDescent="0.25">
      <c r="A4585" s="126">
        <v>197</v>
      </c>
      <c r="B4585" s="478" t="s">
        <v>4597</v>
      </c>
      <c r="C4585" s="126" t="s">
        <v>4577</v>
      </c>
      <c r="D4585" s="126" t="s">
        <v>4578</v>
      </c>
      <c r="E4585" s="126">
        <v>2017</v>
      </c>
      <c r="F4585" s="126">
        <v>2013</v>
      </c>
      <c r="G4585" s="126" t="s">
        <v>4579</v>
      </c>
      <c r="H4585" s="126" t="s">
        <v>4581</v>
      </c>
      <c r="I4585" s="126" t="s">
        <v>2815</v>
      </c>
      <c r="J4585" s="126">
        <v>38.950000000000003</v>
      </c>
      <c r="K4585" s="126">
        <v>-92.33</v>
      </c>
      <c r="L4585" s="126">
        <v>227</v>
      </c>
      <c r="O4585" s="126">
        <v>950</v>
      </c>
      <c r="P4585" s="126">
        <v>1100</v>
      </c>
      <c r="R4585" s="478" t="s">
        <v>1728</v>
      </c>
      <c r="S4585" s="478" t="s">
        <v>1728</v>
      </c>
      <c r="T4585" s="478"/>
      <c r="U4585" s="478" t="s">
        <v>4580</v>
      </c>
      <c r="V4585" s="478" t="s">
        <v>1382</v>
      </c>
      <c r="W4585" s="478" t="s">
        <v>1717</v>
      </c>
      <c r="X4585" s="478" t="s">
        <v>1382</v>
      </c>
      <c r="Y4585" s="478" t="s">
        <v>1382</v>
      </c>
      <c r="AA4585" s="479"/>
      <c r="AB4585" s="479"/>
      <c r="AC4585" s="126" t="s">
        <v>4582</v>
      </c>
      <c r="AG4585" s="126" t="s">
        <v>4583</v>
      </c>
      <c r="AH4585" s="126" t="s">
        <v>115</v>
      </c>
      <c r="AI4585" s="126" t="s">
        <v>131</v>
      </c>
      <c r="AJ4585" s="126" t="s">
        <v>116</v>
      </c>
      <c r="AK4585" s="126" t="s">
        <v>116</v>
      </c>
      <c r="AO4585" s="126" t="s">
        <v>218</v>
      </c>
      <c r="AP4585" s="126" t="s">
        <v>218</v>
      </c>
      <c r="AQ4585" s="126" t="s">
        <v>2126</v>
      </c>
      <c r="AR4585" s="126" t="s">
        <v>2126</v>
      </c>
      <c r="AS4585" s="126" t="s">
        <v>177</v>
      </c>
      <c r="AT4585" s="126" t="s">
        <v>4586</v>
      </c>
      <c r="AU4585" s="126" t="s">
        <v>4586</v>
      </c>
      <c r="AV4585" s="126" t="s">
        <v>177</v>
      </c>
      <c r="AW4585" s="126" t="s">
        <v>160</v>
      </c>
      <c r="AX4585" s="126">
        <v>4</v>
      </c>
      <c r="AZ4585" s="126" t="s">
        <v>2121</v>
      </c>
      <c r="BK4585" s="126">
        <v>2110</v>
      </c>
      <c r="BL4585" s="126">
        <v>2700</v>
      </c>
      <c r="BM4585" s="126">
        <v>180</v>
      </c>
      <c r="BN4585" s="126">
        <v>180</v>
      </c>
      <c r="BQ4585" s="481"/>
      <c r="BU4585" s="481">
        <v>2.33</v>
      </c>
      <c r="BV4585" s="481">
        <v>2.65</v>
      </c>
      <c r="BW4585" s="126">
        <v>0.08</v>
      </c>
      <c r="BX4585" s="126">
        <v>0.04</v>
      </c>
      <c r="BY4585" s="126" t="s">
        <v>2284</v>
      </c>
      <c r="BZ4585" s="481"/>
      <c r="CA4585" s="481"/>
      <c r="CG4585" s="33"/>
      <c r="CH4585" s="33"/>
      <c r="JD4585" s="480"/>
    </row>
    <row r="4586" spans="1:264" s="126" customFormat="1" x14ac:dyDescent="0.25">
      <c r="A4586" s="126">
        <v>197</v>
      </c>
      <c r="B4586" s="478" t="s">
        <v>4598</v>
      </c>
      <c r="C4586" s="126" t="s">
        <v>4577</v>
      </c>
      <c r="D4586" s="126" t="s">
        <v>4578</v>
      </c>
      <c r="E4586" s="126">
        <v>2017</v>
      </c>
      <c r="F4586" s="126">
        <v>2013</v>
      </c>
      <c r="G4586" s="126" t="s">
        <v>4579</v>
      </c>
      <c r="H4586" s="126" t="s">
        <v>4581</v>
      </c>
      <c r="I4586" s="126" t="s">
        <v>2815</v>
      </c>
      <c r="J4586" s="126">
        <v>38.950000000000003</v>
      </c>
      <c r="K4586" s="126">
        <v>-92.33</v>
      </c>
      <c r="L4586" s="126">
        <v>227</v>
      </c>
      <c r="O4586" s="126">
        <v>950</v>
      </c>
      <c r="P4586" s="126">
        <v>1100</v>
      </c>
      <c r="R4586" s="478" t="s">
        <v>1728</v>
      </c>
      <c r="S4586" s="478" t="s">
        <v>1728</v>
      </c>
      <c r="T4586" s="478"/>
      <c r="U4586" s="478" t="s">
        <v>4580</v>
      </c>
      <c r="V4586" s="478" t="s">
        <v>1382</v>
      </c>
      <c r="W4586" s="478" t="s">
        <v>1717</v>
      </c>
      <c r="X4586" s="478" t="s">
        <v>1382</v>
      </c>
      <c r="Y4586" s="478" t="s">
        <v>1382</v>
      </c>
      <c r="AA4586" s="479"/>
      <c r="AB4586" s="479"/>
      <c r="AC4586" s="126" t="s">
        <v>4582</v>
      </c>
      <c r="AG4586" s="126" t="s">
        <v>4583</v>
      </c>
      <c r="AH4586" s="126" t="s">
        <v>115</v>
      </c>
      <c r="AI4586" s="126" t="s">
        <v>131</v>
      </c>
      <c r="AJ4586" s="126" t="s">
        <v>116</v>
      </c>
      <c r="AK4586" s="126" t="s">
        <v>116</v>
      </c>
      <c r="AO4586" s="126" t="s">
        <v>218</v>
      </c>
      <c r="AP4586" s="126" t="s">
        <v>218</v>
      </c>
      <c r="AQ4586" s="126" t="s">
        <v>2126</v>
      </c>
      <c r="AR4586" s="126" t="s">
        <v>2126</v>
      </c>
      <c r="AS4586" s="126" t="s">
        <v>177</v>
      </c>
      <c r="AT4586" s="126" t="s">
        <v>4587</v>
      </c>
      <c r="AU4586" s="126" t="s">
        <v>4587</v>
      </c>
      <c r="AV4586" s="126" t="s">
        <v>177</v>
      </c>
      <c r="AW4586" s="126" t="s">
        <v>160</v>
      </c>
      <c r="AX4586" s="126">
        <v>4</v>
      </c>
      <c r="AZ4586" s="126" t="s">
        <v>2121</v>
      </c>
      <c r="BK4586" s="126">
        <v>3300</v>
      </c>
      <c r="BL4586" s="126">
        <v>3020</v>
      </c>
      <c r="BM4586" s="126">
        <v>360</v>
      </c>
      <c r="BN4586" s="126">
        <v>600</v>
      </c>
      <c r="BQ4586" s="481"/>
      <c r="BU4586" s="481">
        <v>2.48</v>
      </c>
      <c r="BV4586" s="481">
        <v>2.65</v>
      </c>
      <c r="BW4586" s="126">
        <v>0.02</v>
      </c>
      <c r="BX4586" s="126">
        <v>0.18</v>
      </c>
      <c r="BY4586" s="126" t="s">
        <v>2284</v>
      </c>
      <c r="BZ4586" s="481"/>
      <c r="CA4586" s="481"/>
      <c r="CG4586" s="33"/>
      <c r="CH4586" s="33"/>
      <c r="JD4586" s="480"/>
    </row>
    <row r="4587" spans="1:264" s="126" customFormat="1" x14ac:dyDescent="0.25">
      <c r="A4587" s="126">
        <v>197</v>
      </c>
      <c r="B4587" s="478" t="s">
        <v>4599</v>
      </c>
      <c r="C4587" s="126" t="s">
        <v>4577</v>
      </c>
      <c r="D4587" s="126" t="s">
        <v>4578</v>
      </c>
      <c r="E4587" s="126">
        <v>2017</v>
      </c>
      <c r="F4587" s="126">
        <v>2013</v>
      </c>
      <c r="G4587" s="126" t="s">
        <v>4579</v>
      </c>
      <c r="H4587" s="126" t="s">
        <v>4581</v>
      </c>
      <c r="I4587" s="126" t="s">
        <v>2815</v>
      </c>
      <c r="J4587" s="126">
        <v>38.950000000000003</v>
      </c>
      <c r="K4587" s="126">
        <v>-92.33</v>
      </c>
      <c r="L4587" s="126">
        <v>227</v>
      </c>
      <c r="O4587" s="126">
        <v>950</v>
      </c>
      <c r="P4587" s="126">
        <v>1100</v>
      </c>
      <c r="R4587" s="478" t="s">
        <v>1728</v>
      </c>
      <c r="S4587" s="478" t="s">
        <v>1728</v>
      </c>
      <c r="T4587" s="478"/>
      <c r="U4587" s="478" t="s">
        <v>4580</v>
      </c>
      <c r="V4587" s="478" t="s">
        <v>1382</v>
      </c>
      <c r="W4587" s="478" t="s">
        <v>1717</v>
      </c>
      <c r="X4587" s="478" t="s">
        <v>1382</v>
      </c>
      <c r="Y4587" s="478" t="s">
        <v>1382</v>
      </c>
      <c r="AA4587" s="479"/>
      <c r="AB4587" s="479"/>
      <c r="AC4587" s="126" t="s">
        <v>4582</v>
      </c>
      <c r="AG4587" s="126" t="s">
        <v>4583</v>
      </c>
      <c r="AH4587" s="126" t="s">
        <v>115</v>
      </c>
      <c r="AI4587" s="126" t="s">
        <v>131</v>
      </c>
      <c r="AJ4587" s="126" t="s">
        <v>116</v>
      </c>
      <c r="AK4587" s="126" t="s">
        <v>116</v>
      </c>
      <c r="AO4587" s="126" t="s">
        <v>218</v>
      </c>
      <c r="AP4587" s="126" t="s">
        <v>218</v>
      </c>
      <c r="AQ4587" s="126" t="s">
        <v>2126</v>
      </c>
      <c r="AR4587" s="126" t="s">
        <v>2126</v>
      </c>
      <c r="AS4587" s="126" t="s">
        <v>177</v>
      </c>
      <c r="AT4587" s="126" t="s">
        <v>4584</v>
      </c>
      <c r="AU4587" s="126" t="s">
        <v>4584</v>
      </c>
      <c r="AV4587" s="126" t="s">
        <v>177</v>
      </c>
      <c r="AW4587" s="126" t="s">
        <v>160</v>
      </c>
      <c r="AX4587" s="126">
        <v>4</v>
      </c>
      <c r="AZ4587" s="126" t="s">
        <v>2121</v>
      </c>
      <c r="BK4587" s="126">
        <v>3670</v>
      </c>
      <c r="BL4587" s="126">
        <v>4140</v>
      </c>
      <c r="BM4587" s="126">
        <v>240</v>
      </c>
      <c r="BN4587" s="126">
        <v>420</v>
      </c>
      <c r="BQ4587" s="481"/>
      <c r="BU4587" s="481">
        <v>2.6</v>
      </c>
      <c r="BV4587" s="481">
        <v>2.81</v>
      </c>
      <c r="BW4587" s="126">
        <v>0.2</v>
      </c>
      <c r="BX4587" s="126">
        <v>0.18</v>
      </c>
      <c r="BY4587" s="126" t="s">
        <v>2284</v>
      </c>
      <c r="BZ4587" s="481"/>
      <c r="CA4587" s="481"/>
      <c r="CG4587" s="33"/>
      <c r="CH4587" s="33"/>
      <c r="JD4587" s="480"/>
    </row>
    <row r="4588" spans="1:264" s="126" customFormat="1" x14ac:dyDescent="0.25">
      <c r="A4588" s="126">
        <v>197</v>
      </c>
      <c r="B4588" s="478" t="s">
        <v>4600</v>
      </c>
      <c r="C4588" s="126" t="s">
        <v>4577</v>
      </c>
      <c r="D4588" s="126" t="s">
        <v>4578</v>
      </c>
      <c r="E4588" s="126">
        <v>2017</v>
      </c>
      <c r="F4588" s="126">
        <v>2013</v>
      </c>
      <c r="G4588" s="126" t="s">
        <v>4579</v>
      </c>
      <c r="H4588" s="126" t="s">
        <v>4581</v>
      </c>
      <c r="I4588" s="126" t="s">
        <v>2815</v>
      </c>
      <c r="J4588" s="126">
        <v>38.950000000000003</v>
      </c>
      <c r="K4588" s="126">
        <v>-92.33</v>
      </c>
      <c r="L4588" s="126">
        <v>227</v>
      </c>
      <c r="O4588" s="126">
        <v>950</v>
      </c>
      <c r="P4588" s="126">
        <v>1100</v>
      </c>
      <c r="R4588" s="478" t="s">
        <v>1728</v>
      </c>
      <c r="S4588" s="478" t="s">
        <v>1728</v>
      </c>
      <c r="T4588" s="478"/>
      <c r="U4588" s="478" t="s">
        <v>4580</v>
      </c>
      <c r="V4588" s="478" t="s">
        <v>1382</v>
      </c>
      <c r="W4588" s="478" t="s">
        <v>1717</v>
      </c>
      <c r="X4588" s="478" t="s">
        <v>1382</v>
      </c>
      <c r="Y4588" s="478" t="s">
        <v>1382</v>
      </c>
      <c r="AA4588" s="479"/>
      <c r="AB4588" s="479"/>
      <c r="AC4588" s="126" t="s">
        <v>4582</v>
      </c>
      <c r="AG4588" s="126" t="s">
        <v>4583</v>
      </c>
      <c r="AH4588" s="126" t="s">
        <v>115</v>
      </c>
      <c r="AI4588" s="126" t="s">
        <v>131</v>
      </c>
      <c r="AJ4588" s="126" t="s">
        <v>116</v>
      </c>
      <c r="AK4588" s="126" t="s">
        <v>116</v>
      </c>
      <c r="AO4588" s="126" t="s">
        <v>218</v>
      </c>
      <c r="AP4588" s="126" t="s">
        <v>218</v>
      </c>
      <c r="AQ4588" s="126" t="s">
        <v>2126</v>
      </c>
      <c r="AR4588" s="126" t="s">
        <v>2126</v>
      </c>
      <c r="AS4588" s="126" t="s">
        <v>177</v>
      </c>
      <c r="AT4588" s="126" t="s">
        <v>4585</v>
      </c>
      <c r="AU4588" s="126" t="s">
        <v>4585</v>
      </c>
      <c r="AV4588" s="126" t="s">
        <v>177</v>
      </c>
      <c r="AW4588" s="126" t="s">
        <v>160</v>
      </c>
      <c r="AX4588" s="126">
        <v>4</v>
      </c>
      <c r="AZ4588" s="126" t="s">
        <v>2121</v>
      </c>
      <c r="BK4588" s="126">
        <v>4240</v>
      </c>
      <c r="BL4588" s="126">
        <v>3920</v>
      </c>
      <c r="BM4588" s="126">
        <v>520</v>
      </c>
      <c r="BN4588" s="126">
        <v>74</v>
      </c>
      <c r="BQ4588" s="481"/>
      <c r="BU4588" s="481">
        <v>2.5099999999999998</v>
      </c>
      <c r="BV4588" s="481">
        <v>2.78</v>
      </c>
      <c r="BW4588" s="126">
        <v>0.2</v>
      </c>
      <c r="BX4588" s="126">
        <v>0.08</v>
      </c>
      <c r="BY4588" s="126" t="s">
        <v>2284</v>
      </c>
      <c r="BZ4588" s="481"/>
      <c r="CA4588" s="481"/>
      <c r="CG4588" s="33"/>
      <c r="CH4588" s="33"/>
      <c r="JD4588" s="480"/>
    </row>
    <row r="4589" spans="1:264" x14ac:dyDescent="0.25">
      <c r="A4589" s="37">
        <v>197</v>
      </c>
      <c r="B4589" s="50" t="s">
        <v>4589</v>
      </c>
      <c r="C4589" s="37" t="s">
        <v>4577</v>
      </c>
      <c r="D4589" s="37" t="s">
        <v>4578</v>
      </c>
      <c r="E4589" s="37">
        <v>2017</v>
      </c>
      <c r="F4589" s="37">
        <v>2014</v>
      </c>
      <c r="G4589" s="37" t="s">
        <v>4579</v>
      </c>
      <c r="H4589" s="37" t="s">
        <v>4581</v>
      </c>
      <c r="I4589" s="37" t="s">
        <v>2815</v>
      </c>
      <c r="J4589" s="37">
        <v>38.950000000000003</v>
      </c>
      <c r="K4589" s="37">
        <v>-92.33</v>
      </c>
      <c r="L4589" s="37">
        <v>227</v>
      </c>
      <c r="O4589" s="37">
        <v>1080</v>
      </c>
      <c r="P4589" s="37">
        <v>1100</v>
      </c>
      <c r="R4589" s="50" t="s">
        <v>1977</v>
      </c>
      <c r="S4589" s="50" t="s">
        <v>1728</v>
      </c>
      <c r="U4589" s="50" t="s">
        <v>4580</v>
      </c>
      <c r="V4589" s="50" t="s">
        <v>1382</v>
      </c>
      <c r="W4589" s="50" t="s">
        <v>1717</v>
      </c>
      <c r="X4589" s="50" t="s">
        <v>1382</v>
      </c>
      <c r="Y4589" s="50" t="s">
        <v>1382</v>
      </c>
      <c r="AC4589" s="37" t="s">
        <v>4582</v>
      </c>
      <c r="AG4589" s="37" t="s">
        <v>4583</v>
      </c>
      <c r="AH4589" s="37" t="s">
        <v>115</v>
      </c>
      <c r="AI4589" s="37" t="s">
        <v>131</v>
      </c>
      <c r="AJ4589" s="37" t="s">
        <v>132</v>
      </c>
      <c r="AK4589" s="37" t="s">
        <v>132</v>
      </c>
      <c r="AO4589" s="37" t="s">
        <v>218</v>
      </c>
      <c r="AP4589" s="37" t="s">
        <v>218</v>
      </c>
      <c r="AQ4589" s="37" t="s">
        <v>2126</v>
      </c>
      <c r="AR4589" s="37" t="s">
        <v>2126</v>
      </c>
      <c r="AS4589" s="37" t="s">
        <v>177</v>
      </c>
      <c r="AT4589" s="37" t="s">
        <v>4586</v>
      </c>
      <c r="AU4589" s="37" t="s">
        <v>4586</v>
      </c>
      <c r="AV4589" s="37" t="s">
        <v>177</v>
      </c>
      <c r="AW4589" s="37" t="s">
        <v>160</v>
      </c>
      <c r="AX4589" s="37">
        <v>4</v>
      </c>
      <c r="AZ4589" s="37" t="s">
        <v>2121</v>
      </c>
      <c r="BK4589" s="37">
        <v>680</v>
      </c>
      <c r="BL4589" s="37">
        <v>2620</v>
      </c>
      <c r="BM4589" s="37">
        <v>400</v>
      </c>
      <c r="BN4589" s="37">
        <v>720</v>
      </c>
      <c r="BP4589" s="37"/>
      <c r="BU4589" s="406">
        <v>1.99</v>
      </c>
      <c r="BV4589" s="406">
        <v>2</v>
      </c>
      <c r="BW4589" s="37">
        <v>0.16</v>
      </c>
      <c r="BX4589" s="37">
        <v>0.06</v>
      </c>
      <c r="BY4589" s="37" t="s">
        <v>2284</v>
      </c>
      <c r="BZ4589" s="481"/>
      <c r="CA4589" s="481"/>
    </row>
    <row r="4590" spans="1:264" x14ac:dyDescent="0.25">
      <c r="A4590" s="37">
        <v>197</v>
      </c>
      <c r="B4590" s="50" t="s">
        <v>4590</v>
      </c>
      <c r="C4590" s="37" t="s">
        <v>4577</v>
      </c>
      <c r="D4590" s="37" t="s">
        <v>4578</v>
      </c>
      <c r="E4590" s="37">
        <v>2017</v>
      </c>
      <c r="F4590" s="37">
        <v>2014</v>
      </c>
      <c r="G4590" s="37" t="s">
        <v>4579</v>
      </c>
      <c r="H4590" s="37" t="s">
        <v>4581</v>
      </c>
      <c r="I4590" s="37" t="s">
        <v>2815</v>
      </c>
      <c r="J4590" s="37">
        <v>38.950000000000003</v>
      </c>
      <c r="K4590" s="37">
        <v>-92.33</v>
      </c>
      <c r="L4590" s="37">
        <v>227</v>
      </c>
      <c r="O4590" s="37">
        <v>1080</v>
      </c>
      <c r="P4590" s="37">
        <v>1100</v>
      </c>
      <c r="R4590" s="50" t="s">
        <v>1977</v>
      </c>
      <c r="S4590" s="50" t="s">
        <v>1728</v>
      </c>
      <c r="U4590" s="50" t="s">
        <v>4580</v>
      </c>
      <c r="V4590" s="50" t="s">
        <v>1382</v>
      </c>
      <c r="W4590" s="50" t="s">
        <v>1717</v>
      </c>
      <c r="X4590" s="50" t="s">
        <v>1382</v>
      </c>
      <c r="Y4590" s="50" t="s">
        <v>1382</v>
      </c>
      <c r="AC4590" s="37" t="s">
        <v>4582</v>
      </c>
      <c r="AG4590" s="37" t="s">
        <v>4583</v>
      </c>
      <c r="AH4590" s="37" t="s">
        <v>115</v>
      </c>
      <c r="AI4590" s="37" t="s">
        <v>131</v>
      </c>
      <c r="AJ4590" s="37" t="s">
        <v>132</v>
      </c>
      <c r="AK4590" s="37" t="s">
        <v>132</v>
      </c>
      <c r="AO4590" s="37" t="s">
        <v>218</v>
      </c>
      <c r="AP4590" s="37" t="s">
        <v>218</v>
      </c>
      <c r="AQ4590" s="37" t="s">
        <v>2126</v>
      </c>
      <c r="AR4590" s="37" t="s">
        <v>2126</v>
      </c>
      <c r="AS4590" s="37" t="s">
        <v>177</v>
      </c>
      <c r="AT4590" s="37" t="s">
        <v>4587</v>
      </c>
      <c r="AU4590" s="37" t="s">
        <v>4587</v>
      </c>
      <c r="AV4590" s="37" t="s">
        <v>177</v>
      </c>
      <c r="AW4590" s="37" t="s">
        <v>160</v>
      </c>
      <c r="AX4590" s="37">
        <v>4</v>
      </c>
      <c r="AZ4590" s="37" t="s">
        <v>2121</v>
      </c>
      <c r="BK4590" s="37">
        <v>1530</v>
      </c>
      <c r="BL4590" s="37">
        <v>2720</v>
      </c>
      <c r="BM4590" s="37">
        <v>1280</v>
      </c>
      <c r="BN4590" s="37">
        <v>1400</v>
      </c>
      <c r="BP4590" s="37"/>
      <c r="BU4590" s="406">
        <v>2.13</v>
      </c>
      <c r="BV4590" s="406">
        <v>2.06</v>
      </c>
      <c r="BW4590" s="37">
        <v>0.12</v>
      </c>
      <c r="BX4590" s="37">
        <v>0.14000000000000001</v>
      </c>
      <c r="BY4590" s="37" t="s">
        <v>2284</v>
      </c>
      <c r="BZ4590" s="481"/>
      <c r="CA4590" s="481"/>
    </row>
    <row r="4591" spans="1:264" x14ac:dyDescent="0.25">
      <c r="A4591" s="37">
        <v>197</v>
      </c>
      <c r="B4591" s="50" t="s">
        <v>4591</v>
      </c>
      <c r="C4591" s="37" t="s">
        <v>4577</v>
      </c>
      <c r="D4591" s="37" t="s">
        <v>4578</v>
      </c>
      <c r="E4591" s="37">
        <v>2017</v>
      </c>
      <c r="F4591" s="37">
        <v>2014</v>
      </c>
      <c r="G4591" s="37" t="s">
        <v>4579</v>
      </c>
      <c r="H4591" s="37" t="s">
        <v>4581</v>
      </c>
      <c r="I4591" s="37" t="s">
        <v>2815</v>
      </c>
      <c r="J4591" s="37">
        <v>38.950000000000003</v>
      </c>
      <c r="K4591" s="37">
        <v>-92.33</v>
      </c>
      <c r="L4591" s="37">
        <v>227</v>
      </c>
      <c r="O4591" s="37">
        <v>1080</v>
      </c>
      <c r="P4591" s="37">
        <v>1100</v>
      </c>
      <c r="R4591" s="50" t="s">
        <v>1977</v>
      </c>
      <c r="S4591" s="50" t="s">
        <v>1728</v>
      </c>
      <c r="U4591" s="50" t="s">
        <v>4580</v>
      </c>
      <c r="V4591" s="50" t="s">
        <v>1382</v>
      </c>
      <c r="W4591" s="50" t="s">
        <v>1717</v>
      </c>
      <c r="X4591" s="50" t="s">
        <v>1382</v>
      </c>
      <c r="Y4591" s="50" t="s">
        <v>1382</v>
      </c>
      <c r="AC4591" s="37" t="s">
        <v>4582</v>
      </c>
      <c r="AG4591" s="37" t="s">
        <v>4583</v>
      </c>
      <c r="AH4591" s="37" t="s">
        <v>115</v>
      </c>
      <c r="AI4591" s="37" t="s">
        <v>131</v>
      </c>
      <c r="AJ4591" s="37" t="s">
        <v>132</v>
      </c>
      <c r="AK4591" s="37" t="s">
        <v>132</v>
      </c>
      <c r="AO4591" s="37" t="s">
        <v>218</v>
      </c>
      <c r="AP4591" s="37" t="s">
        <v>218</v>
      </c>
      <c r="AQ4591" s="37" t="s">
        <v>2126</v>
      </c>
      <c r="AR4591" s="37" t="s">
        <v>2126</v>
      </c>
      <c r="AS4591" s="37" t="s">
        <v>177</v>
      </c>
      <c r="AT4591" s="37" t="s">
        <v>4584</v>
      </c>
      <c r="AU4591" s="37" t="s">
        <v>4584</v>
      </c>
      <c r="AV4591" s="37" t="s">
        <v>177</v>
      </c>
      <c r="AW4591" s="37" t="s">
        <v>160</v>
      </c>
      <c r="AX4591" s="37">
        <v>4</v>
      </c>
      <c r="AZ4591" s="37" t="s">
        <v>2121</v>
      </c>
      <c r="BK4591" s="37">
        <v>3340</v>
      </c>
      <c r="BL4591" s="37">
        <v>3430</v>
      </c>
      <c r="BM4591" s="37">
        <v>1160</v>
      </c>
      <c r="BN4591" s="37">
        <v>1460</v>
      </c>
      <c r="BP4591" s="37"/>
      <c r="BU4591" s="406">
        <v>2.16</v>
      </c>
      <c r="BV4591" s="406">
        <v>2.02</v>
      </c>
      <c r="BW4591" s="37">
        <v>0.28000000000000003</v>
      </c>
      <c r="BX4591" s="37">
        <v>0.14000000000000001</v>
      </c>
      <c r="BY4591" s="37" t="s">
        <v>2284</v>
      </c>
      <c r="BZ4591" s="481"/>
      <c r="CA4591" s="481"/>
    </row>
    <row r="4592" spans="1:264" x14ac:dyDescent="0.25">
      <c r="A4592" s="37">
        <v>197</v>
      </c>
      <c r="B4592" s="50" t="s">
        <v>4592</v>
      </c>
      <c r="C4592" s="37" t="s">
        <v>4577</v>
      </c>
      <c r="D4592" s="37" t="s">
        <v>4578</v>
      </c>
      <c r="E4592" s="37">
        <v>2017</v>
      </c>
      <c r="F4592" s="37">
        <v>2014</v>
      </c>
      <c r="G4592" s="37" t="s">
        <v>4579</v>
      </c>
      <c r="H4592" s="37" t="s">
        <v>4581</v>
      </c>
      <c r="I4592" s="37" t="s">
        <v>2815</v>
      </c>
      <c r="J4592" s="37">
        <v>38.950000000000003</v>
      </c>
      <c r="K4592" s="37">
        <v>-92.33</v>
      </c>
      <c r="L4592" s="37">
        <v>227</v>
      </c>
      <c r="O4592" s="37">
        <v>1080</v>
      </c>
      <c r="P4592" s="37">
        <v>1100</v>
      </c>
      <c r="R4592" s="50" t="s">
        <v>1977</v>
      </c>
      <c r="S4592" s="50" t="s">
        <v>1728</v>
      </c>
      <c r="U4592" s="50" t="s">
        <v>4580</v>
      </c>
      <c r="V4592" s="50" t="s">
        <v>1382</v>
      </c>
      <c r="W4592" s="50" t="s">
        <v>1717</v>
      </c>
      <c r="X4592" s="50" t="s">
        <v>1382</v>
      </c>
      <c r="Y4592" s="50" t="s">
        <v>1382</v>
      </c>
      <c r="AC4592" s="37" t="s">
        <v>4582</v>
      </c>
      <c r="AG4592" s="37" t="s">
        <v>4583</v>
      </c>
      <c r="AH4592" s="37" t="s">
        <v>115</v>
      </c>
      <c r="AI4592" s="37" t="s">
        <v>131</v>
      </c>
      <c r="AJ4592" s="37" t="s">
        <v>132</v>
      </c>
      <c r="AK4592" s="37" t="s">
        <v>132</v>
      </c>
      <c r="AO4592" s="37" t="s">
        <v>218</v>
      </c>
      <c r="AP4592" s="37" t="s">
        <v>218</v>
      </c>
      <c r="AQ4592" s="37" t="s">
        <v>2126</v>
      </c>
      <c r="AR4592" s="37" t="s">
        <v>2126</v>
      </c>
      <c r="AS4592" s="37" t="s">
        <v>177</v>
      </c>
      <c r="AT4592" s="37" t="s">
        <v>4585</v>
      </c>
      <c r="AU4592" s="37" t="s">
        <v>4585</v>
      </c>
      <c r="AV4592" s="37" t="s">
        <v>177</v>
      </c>
      <c r="AW4592" s="37" t="s">
        <v>160</v>
      </c>
      <c r="AX4592" s="37">
        <v>4</v>
      </c>
      <c r="AZ4592" s="37" t="s">
        <v>2121</v>
      </c>
      <c r="BK4592" s="37">
        <v>4370</v>
      </c>
      <c r="BL4592" s="37">
        <v>2920</v>
      </c>
      <c r="BM4592" s="37">
        <v>2320</v>
      </c>
      <c r="BN4592" s="37">
        <v>1560</v>
      </c>
      <c r="BP4592" s="37"/>
      <c r="BU4592" s="406">
        <v>2.12</v>
      </c>
      <c r="BV4592" s="406">
        <v>2.0299999999999998</v>
      </c>
      <c r="BW4592" s="37">
        <v>0.12</v>
      </c>
      <c r="BX4592" s="37">
        <v>0.16</v>
      </c>
      <c r="BY4592" s="37" t="s">
        <v>2284</v>
      </c>
      <c r="BZ4592" s="481"/>
      <c r="CA4592" s="481"/>
    </row>
    <row r="4593" spans="1:264" s="90" customFormat="1" x14ac:dyDescent="0.25">
      <c r="A4593" s="90">
        <v>197</v>
      </c>
      <c r="B4593" s="91" t="s">
        <v>4593</v>
      </c>
      <c r="C4593" s="90" t="s">
        <v>4577</v>
      </c>
      <c r="D4593" s="90" t="s">
        <v>4578</v>
      </c>
      <c r="E4593" s="90">
        <v>2017</v>
      </c>
      <c r="F4593" s="37">
        <v>2014</v>
      </c>
      <c r="G4593" s="90" t="s">
        <v>4579</v>
      </c>
      <c r="H4593" s="90" t="s">
        <v>4581</v>
      </c>
      <c r="I4593" s="90" t="s">
        <v>2815</v>
      </c>
      <c r="J4593" s="90">
        <v>38.950000000000003</v>
      </c>
      <c r="K4593" s="90">
        <v>-92.33</v>
      </c>
      <c r="L4593" s="90">
        <v>227</v>
      </c>
      <c r="O4593" s="37">
        <v>1080</v>
      </c>
      <c r="P4593" s="90">
        <v>1100</v>
      </c>
      <c r="R4593" s="91" t="s">
        <v>1847</v>
      </c>
      <c r="S4593" s="91" t="s">
        <v>1728</v>
      </c>
      <c r="T4593" s="91"/>
      <c r="U4593" s="91" t="s">
        <v>4580</v>
      </c>
      <c r="V4593" s="91" t="s">
        <v>1382</v>
      </c>
      <c r="W4593" s="91" t="s">
        <v>1717</v>
      </c>
      <c r="X4593" s="91" t="s">
        <v>1382</v>
      </c>
      <c r="Y4593" s="91" t="s">
        <v>1382</v>
      </c>
      <c r="AA4593" s="348"/>
      <c r="AB4593" s="348"/>
      <c r="AC4593" s="90" t="s">
        <v>4582</v>
      </c>
      <c r="AG4593" s="90" t="s">
        <v>4583</v>
      </c>
      <c r="AH4593" s="90" t="s">
        <v>115</v>
      </c>
      <c r="AI4593" s="90" t="s">
        <v>131</v>
      </c>
      <c r="AJ4593" s="90" t="s">
        <v>158</v>
      </c>
      <c r="AK4593" s="90" t="s">
        <v>158</v>
      </c>
      <c r="AO4593" s="37" t="s">
        <v>218</v>
      </c>
      <c r="AP4593" s="37" t="s">
        <v>218</v>
      </c>
      <c r="AQ4593" s="37" t="s">
        <v>2126</v>
      </c>
      <c r="AR4593" s="37" t="s">
        <v>2126</v>
      </c>
      <c r="AS4593" s="37" t="s">
        <v>177</v>
      </c>
      <c r="AT4593" s="90" t="s">
        <v>4586</v>
      </c>
      <c r="AU4593" s="90" t="s">
        <v>4586</v>
      </c>
      <c r="AV4593" s="90" t="s">
        <v>177</v>
      </c>
      <c r="AW4593" s="37" t="s">
        <v>160</v>
      </c>
      <c r="AX4593" s="90">
        <v>4</v>
      </c>
      <c r="AZ4593" s="90" t="s">
        <v>2121</v>
      </c>
      <c r="BK4593" s="90">
        <v>2850</v>
      </c>
      <c r="BL4593" s="90">
        <v>3030</v>
      </c>
      <c r="BM4593" s="90">
        <v>520</v>
      </c>
      <c r="BN4593" s="90">
        <v>80</v>
      </c>
      <c r="BO4593" s="37"/>
      <c r="BP4593" s="37"/>
      <c r="BQ4593" s="423"/>
      <c r="BU4593" s="423">
        <v>1.92</v>
      </c>
      <c r="BV4593" s="423">
        <v>1.88</v>
      </c>
      <c r="BW4593" s="90">
        <v>0.08</v>
      </c>
      <c r="BX4593" s="90">
        <v>0.12</v>
      </c>
      <c r="BY4593" s="90" t="s">
        <v>2284</v>
      </c>
      <c r="BZ4593" s="481"/>
      <c r="CA4593" s="481"/>
      <c r="CG4593" s="619"/>
      <c r="CH4593" s="619"/>
      <c r="JD4593" s="502"/>
    </row>
    <row r="4594" spans="1:264" s="90" customFormat="1" x14ac:dyDescent="0.25">
      <c r="A4594" s="90">
        <v>197</v>
      </c>
      <c r="B4594" s="91" t="s">
        <v>4594</v>
      </c>
      <c r="C4594" s="90" t="s">
        <v>4577</v>
      </c>
      <c r="D4594" s="90" t="s">
        <v>4578</v>
      </c>
      <c r="E4594" s="90">
        <v>2017</v>
      </c>
      <c r="F4594" s="37">
        <v>2014</v>
      </c>
      <c r="G4594" s="90" t="s">
        <v>4579</v>
      </c>
      <c r="H4594" s="90" t="s">
        <v>4581</v>
      </c>
      <c r="I4594" s="90" t="s">
        <v>2815</v>
      </c>
      <c r="J4594" s="90">
        <v>38.950000000000003</v>
      </c>
      <c r="K4594" s="90">
        <v>-92.33</v>
      </c>
      <c r="L4594" s="90">
        <v>227</v>
      </c>
      <c r="O4594" s="37">
        <v>1080</v>
      </c>
      <c r="P4594" s="90">
        <v>1100</v>
      </c>
      <c r="R4594" s="91" t="s">
        <v>1847</v>
      </c>
      <c r="S4594" s="91" t="s">
        <v>1728</v>
      </c>
      <c r="T4594" s="91"/>
      <c r="U4594" s="91" t="s">
        <v>4580</v>
      </c>
      <c r="V4594" s="91" t="s">
        <v>1382</v>
      </c>
      <c r="W4594" s="91" t="s">
        <v>1717</v>
      </c>
      <c r="X4594" s="91" t="s">
        <v>1382</v>
      </c>
      <c r="Y4594" s="91" t="s">
        <v>1382</v>
      </c>
      <c r="AA4594" s="348"/>
      <c r="AB4594" s="348"/>
      <c r="AC4594" s="90" t="s">
        <v>4582</v>
      </c>
      <c r="AG4594" s="90" t="s">
        <v>4583</v>
      </c>
      <c r="AH4594" s="90" t="s">
        <v>115</v>
      </c>
      <c r="AI4594" s="90" t="s">
        <v>131</v>
      </c>
      <c r="AJ4594" s="90" t="s">
        <v>158</v>
      </c>
      <c r="AK4594" s="90" t="s">
        <v>158</v>
      </c>
      <c r="AO4594" s="37" t="s">
        <v>218</v>
      </c>
      <c r="AP4594" s="37" t="s">
        <v>218</v>
      </c>
      <c r="AQ4594" s="37" t="s">
        <v>2126</v>
      </c>
      <c r="AR4594" s="37" t="s">
        <v>2126</v>
      </c>
      <c r="AS4594" s="37" t="s">
        <v>177</v>
      </c>
      <c r="AT4594" s="90" t="s">
        <v>4587</v>
      </c>
      <c r="AU4594" s="90" t="s">
        <v>4587</v>
      </c>
      <c r="AV4594" s="90" t="s">
        <v>177</v>
      </c>
      <c r="AW4594" s="37" t="s">
        <v>160</v>
      </c>
      <c r="AX4594" s="90">
        <v>4</v>
      </c>
      <c r="AZ4594" s="90" t="s">
        <v>2121</v>
      </c>
      <c r="BK4594" s="90">
        <v>3450</v>
      </c>
      <c r="BL4594" s="90">
        <v>3240</v>
      </c>
      <c r="BM4594" s="90">
        <v>760</v>
      </c>
      <c r="BN4594" s="90">
        <v>34</v>
      </c>
      <c r="BO4594" s="37"/>
      <c r="BP4594" s="37"/>
      <c r="BQ4594" s="423"/>
      <c r="BU4594" s="423">
        <v>1.85</v>
      </c>
      <c r="BV4594" s="423">
        <v>1.89</v>
      </c>
      <c r="BW4594" s="90">
        <v>0.06</v>
      </c>
      <c r="BX4594" s="90">
        <v>0.06</v>
      </c>
      <c r="BY4594" s="90" t="s">
        <v>2284</v>
      </c>
      <c r="BZ4594" s="481"/>
      <c r="CA4594" s="481"/>
      <c r="CG4594" s="619"/>
      <c r="CH4594" s="619"/>
      <c r="JD4594" s="502"/>
    </row>
    <row r="4595" spans="1:264" s="90" customFormat="1" x14ac:dyDescent="0.25">
      <c r="A4595" s="90">
        <v>197</v>
      </c>
      <c r="B4595" s="91" t="s">
        <v>4595</v>
      </c>
      <c r="C4595" s="90" t="s">
        <v>4577</v>
      </c>
      <c r="D4595" s="90" t="s">
        <v>4578</v>
      </c>
      <c r="E4595" s="90">
        <v>2017</v>
      </c>
      <c r="F4595" s="37">
        <v>2014</v>
      </c>
      <c r="G4595" s="90" t="s">
        <v>4579</v>
      </c>
      <c r="H4595" s="90" t="s">
        <v>4581</v>
      </c>
      <c r="I4595" s="90" t="s">
        <v>2815</v>
      </c>
      <c r="J4595" s="90">
        <v>38.950000000000003</v>
      </c>
      <c r="K4595" s="90">
        <v>-92.33</v>
      </c>
      <c r="L4595" s="90">
        <v>227</v>
      </c>
      <c r="O4595" s="37">
        <v>1080</v>
      </c>
      <c r="P4595" s="90">
        <v>1100</v>
      </c>
      <c r="R4595" s="91" t="s">
        <v>1847</v>
      </c>
      <c r="S4595" s="91" t="s">
        <v>1728</v>
      </c>
      <c r="T4595" s="91"/>
      <c r="U4595" s="91" t="s">
        <v>4580</v>
      </c>
      <c r="V4595" s="91" t="s">
        <v>1382</v>
      </c>
      <c r="W4595" s="91" t="s">
        <v>1717</v>
      </c>
      <c r="X4595" s="91" t="s">
        <v>1382</v>
      </c>
      <c r="Y4595" s="91" t="s">
        <v>1382</v>
      </c>
      <c r="AA4595" s="348"/>
      <c r="AB4595" s="348"/>
      <c r="AC4595" s="90" t="s">
        <v>4582</v>
      </c>
      <c r="AG4595" s="90" t="s">
        <v>4583</v>
      </c>
      <c r="AH4595" s="90" t="s">
        <v>115</v>
      </c>
      <c r="AI4595" s="90" t="s">
        <v>131</v>
      </c>
      <c r="AJ4595" s="90" t="s">
        <v>158</v>
      </c>
      <c r="AK4595" s="90" t="s">
        <v>158</v>
      </c>
      <c r="AO4595" s="37" t="s">
        <v>218</v>
      </c>
      <c r="AP4595" s="37" t="s">
        <v>218</v>
      </c>
      <c r="AQ4595" s="37" t="s">
        <v>2126</v>
      </c>
      <c r="AR4595" s="37" t="s">
        <v>2126</v>
      </c>
      <c r="AS4595" s="37" t="s">
        <v>177</v>
      </c>
      <c r="AT4595" s="90" t="s">
        <v>4584</v>
      </c>
      <c r="AU4595" s="90" t="s">
        <v>4584</v>
      </c>
      <c r="AV4595" s="90" t="s">
        <v>177</v>
      </c>
      <c r="AW4595" s="37" t="s">
        <v>160</v>
      </c>
      <c r="AX4595" s="90">
        <v>4</v>
      </c>
      <c r="AZ4595" s="90" t="s">
        <v>2121</v>
      </c>
      <c r="BK4595" s="90">
        <v>3420</v>
      </c>
      <c r="BL4595" s="90">
        <v>2820</v>
      </c>
      <c r="BM4595" s="90">
        <v>240</v>
      </c>
      <c r="BN4595" s="90">
        <v>120</v>
      </c>
      <c r="BO4595" s="37"/>
      <c r="BP4595" s="37"/>
      <c r="BQ4595" s="423"/>
      <c r="BU4595" s="423">
        <v>1.97</v>
      </c>
      <c r="BV4595" s="423">
        <v>1.99</v>
      </c>
      <c r="BW4595" s="90">
        <v>0.2</v>
      </c>
      <c r="BX4595" s="90">
        <v>0.18</v>
      </c>
      <c r="BY4595" s="90" t="s">
        <v>2284</v>
      </c>
      <c r="BZ4595" s="481"/>
      <c r="CA4595" s="481"/>
      <c r="CG4595" s="619"/>
      <c r="CH4595" s="619"/>
      <c r="JD4595" s="502"/>
    </row>
    <row r="4596" spans="1:264" s="90" customFormat="1" x14ac:dyDescent="0.25">
      <c r="A4596" s="90">
        <v>197</v>
      </c>
      <c r="B4596" s="91" t="s">
        <v>4596</v>
      </c>
      <c r="C4596" s="90" t="s">
        <v>4577</v>
      </c>
      <c r="D4596" s="90" t="s">
        <v>4578</v>
      </c>
      <c r="E4596" s="90">
        <v>2017</v>
      </c>
      <c r="F4596" s="37">
        <v>2014</v>
      </c>
      <c r="G4596" s="90" t="s">
        <v>4579</v>
      </c>
      <c r="H4596" s="90" t="s">
        <v>4581</v>
      </c>
      <c r="I4596" s="90" t="s">
        <v>2815</v>
      </c>
      <c r="J4596" s="90">
        <v>38.950000000000003</v>
      </c>
      <c r="K4596" s="90">
        <v>-92.33</v>
      </c>
      <c r="L4596" s="90">
        <v>227</v>
      </c>
      <c r="O4596" s="37">
        <v>1080</v>
      </c>
      <c r="P4596" s="90">
        <v>1100</v>
      </c>
      <c r="R4596" s="91" t="s">
        <v>1847</v>
      </c>
      <c r="S4596" s="91" t="s">
        <v>1728</v>
      </c>
      <c r="T4596" s="91"/>
      <c r="U4596" s="91" t="s">
        <v>4580</v>
      </c>
      <c r="V4596" s="91" t="s">
        <v>1382</v>
      </c>
      <c r="W4596" s="91" t="s">
        <v>1717</v>
      </c>
      <c r="X4596" s="91" t="s">
        <v>1382</v>
      </c>
      <c r="Y4596" s="91" t="s">
        <v>1382</v>
      </c>
      <c r="AA4596" s="348"/>
      <c r="AB4596" s="348"/>
      <c r="AC4596" s="90" t="s">
        <v>4582</v>
      </c>
      <c r="AG4596" s="90" t="s">
        <v>4583</v>
      </c>
      <c r="AH4596" s="90" t="s">
        <v>115</v>
      </c>
      <c r="AI4596" s="90" t="s">
        <v>131</v>
      </c>
      <c r="AJ4596" s="90" t="s">
        <v>158</v>
      </c>
      <c r="AK4596" s="90" t="s">
        <v>158</v>
      </c>
      <c r="AO4596" s="37" t="s">
        <v>218</v>
      </c>
      <c r="AP4596" s="37" t="s">
        <v>218</v>
      </c>
      <c r="AQ4596" s="37" t="s">
        <v>2126</v>
      </c>
      <c r="AR4596" s="37" t="s">
        <v>2126</v>
      </c>
      <c r="AS4596" s="37" t="s">
        <v>177</v>
      </c>
      <c r="AT4596" s="90" t="s">
        <v>4585</v>
      </c>
      <c r="AU4596" s="90" t="s">
        <v>4585</v>
      </c>
      <c r="AV4596" s="90" t="s">
        <v>177</v>
      </c>
      <c r="AW4596" s="37" t="s">
        <v>160</v>
      </c>
      <c r="AX4596" s="90">
        <v>4</v>
      </c>
      <c r="AZ4596" s="90" t="s">
        <v>2121</v>
      </c>
      <c r="BK4596" s="90">
        <v>3490</v>
      </c>
      <c r="BL4596" s="90">
        <v>3260</v>
      </c>
      <c r="BM4596" s="90">
        <v>540</v>
      </c>
      <c r="BN4596" s="90">
        <v>200</v>
      </c>
      <c r="BO4596" s="37"/>
      <c r="BP4596" s="37"/>
      <c r="BQ4596" s="423"/>
      <c r="BU4596" s="423">
        <v>2.08</v>
      </c>
      <c r="BV4596" s="423">
        <v>2.1</v>
      </c>
      <c r="BW4596" s="90">
        <v>0.02</v>
      </c>
      <c r="BX4596" s="90">
        <v>0.14000000000000001</v>
      </c>
      <c r="BY4596" s="90" t="s">
        <v>2284</v>
      </c>
      <c r="BZ4596" s="481"/>
      <c r="CA4596" s="481"/>
      <c r="CG4596" s="619"/>
      <c r="CH4596" s="619"/>
      <c r="JD4596" s="502"/>
    </row>
    <row r="4597" spans="1:264" x14ac:dyDescent="0.25">
      <c r="A4597" s="37">
        <v>197</v>
      </c>
      <c r="B4597" s="50" t="s">
        <v>4597</v>
      </c>
      <c r="C4597" s="37" t="s">
        <v>4577</v>
      </c>
      <c r="D4597" s="37" t="s">
        <v>4578</v>
      </c>
      <c r="E4597" s="37">
        <v>2017</v>
      </c>
      <c r="F4597" s="37">
        <v>2014</v>
      </c>
      <c r="G4597" s="37" t="s">
        <v>4579</v>
      </c>
      <c r="H4597" s="37" t="s">
        <v>4581</v>
      </c>
      <c r="I4597" s="37" t="s">
        <v>2815</v>
      </c>
      <c r="J4597" s="37">
        <v>38.950000000000003</v>
      </c>
      <c r="K4597" s="37">
        <v>-92.33</v>
      </c>
      <c r="L4597" s="37">
        <v>227</v>
      </c>
      <c r="O4597" s="37">
        <v>1080</v>
      </c>
      <c r="P4597" s="37">
        <v>1100</v>
      </c>
      <c r="R4597" s="50" t="s">
        <v>1728</v>
      </c>
      <c r="S4597" s="50" t="s">
        <v>1728</v>
      </c>
      <c r="U4597" s="50" t="s">
        <v>4580</v>
      </c>
      <c r="V4597" s="50" t="s">
        <v>1382</v>
      </c>
      <c r="W4597" s="50" t="s">
        <v>1717</v>
      </c>
      <c r="X4597" s="50" t="s">
        <v>1382</v>
      </c>
      <c r="Y4597" s="50" t="s">
        <v>1382</v>
      </c>
      <c r="AC4597" s="37" t="s">
        <v>4582</v>
      </c>
      <c r="AG4597" s="37" t="s">
        <v>4583</v>
      </c>
      <c r="AH4597" s="37" t="s">
        <v>115</v>
      </c>
      <c r="AI4597" s="37" t="s">
        <v>131</v>
      </c>
      <c r="AJ4597" s="37" t="s">
        <v>116</v>
      </c>
      <c r="AK4597" s="37" t="s">
        <v>116</v>
      </c>
      <c r="AO4597" s="37" t="s">
        <v>218</v>
      </c>
      <c r="AP4597" s="37" t="s">
        <v>218</v>
      </c>
      <c r="AQ4597" s="37" t="s">
        <v>2126</v>
      </c>
      <c r="AR4597" s="37" t="s">
        <v>2126</v>
      </c>
      <c r="AS4597" s="37" t="s">
        <v>177</v>
      </c>
      <c r="AT4597" s="37" t="s">
        <v>4586</v>
      </c>
      <c r="AU4597" s="37" t="s">
        <v>4586</v>
      </c>
      <c r="AV4597" s="37" t="s">
        <v>177</v>
      </c>
      <c r="AW4597" s="37" t="s">
        <v>160</v>
      </c>
      <c r="AX4597" s="37">
        <v>4</v>
      </c>
      <c r="AZ4597" s="37" t="s">
        <v>2121</v>
      </c>
      <c r="BK4597" s="37">
        <v>2870</v>
      </c>
      <c r="BL4597" s="37">
        <v>2410</v>
      </c>
      <c r="BM4597" s="37">
        <v>680</v>
      </c>
      <c r="BN4597" s="37">
        <v>860</v>
      </c>
      <c r="BP4597" s="37"/>
      <c r="BU4597" s="406">
        <v>2.2200000000000002</v>
      </c>
      <c r="BV4597" s="406">
        <v>2.08</v>
      </c>
      <c r="BW4597" s="37">
        <v>0.18</v>
      </c>
      <c r="BX4597" s="37">
        <v>0.12</v>
      </c>
      <c r="BY4597" s="37" t="s">
        <v>2284</v>
      </c>
      <c r="BZ4597" s="481"/>
      <c r="CA4597" s="481"/>
    </row>
    <row r="4598" spans="1:264" x14ac:dyDescent="0.25">
      <c r="A4598" s="37">
        <v>197</v>
      </c>
      <c r="B4598" s="50" t="s">
        <v>4598</v>
      </c>
      <c r="C4598" s="37" t="s">
        <v>4577</v>
      </c>
      <c r="D4598" s="37" t="s">
        <v>4578</v>
      </c>
      <c r="E4598" s="37">
        <v>2017</v>
      </c>
      <c r="F4598" s="37">
        <v>2014</v>
      </c>
      <c r="G4598" s="37" t="s">
        <v>4579</v>
      </c>
      <c r="H4598" s="37" t="s">
        <v>4581</v>
      </c>
      <c r="I4598" s="37" t="s">
        <v>2815</v>
      </c>
      <c r="J4598" s="37">
        <v>38.950000000000003</v>
      </c>
      <c r="K4598" s="37">
        <v>-92.33</v>
      </c>
      <c r="L4598" s="37">
        <v>227</v>
      </c>
      <c r="O4598" s="37">
        <v>1080</v>
      </c>
      <c r="P4598" s="37">
        <v>1100</v>
      </c>
      <c r="R4598" s="50" t="s">
        <v>1728</v>
      </c>
      <c r="S4598" s="50" t="s">
        <v>1728</v>
      </c>
      <c r="U4598" s="50" t="s">
        <v>4580</v>
      </c>
      <c r="V4598" s="50" t="s">
        <v>1382</v>
      </c>
      <c r="W4598" s="50" t="s">
        <v>1717</v>
      </c>
      <c r="X4598" s="50" t="s">
        <v>1382</v>
      </c>
      <c r="Y4598" s="50" t="s">
        <v>1382</v>
      </c>
      <c r="AC4598" s="37" t="s">
        <v>4582</v>
      </c>
      <c r="AG4598" s="37" t="s">
        <v>4583</v>
      </c>
      <c r="AH4598" s="37" t="s">
        <v>115</v>
      </c>
      <c r="AI4598" s="37" t="s">
        <v>131</v>
      </c>
      <c r="AJ4598" s="37" t="s">
        <v>116</v>
      </c>
      <c r="AK4598" s="37" t="s">
        <v>116</v>
      </c>
      <c r="AO4598" s="37" t="s">
        <v>218</v>
      </c>
      <c r="AP4598" s="37" t="s">
        <v>218</v>
      </c>
      <c r="AQ4598" s="37" t="s">
        <v>2126</v>
      </c>
      <c r="AR4598" s="37" t="s">
        <v>2126</v>
      </c>
      <c r="AS4598" s="37" t="s">
        <v>177</v>
      </c>
      <c r="AT4598" s="37" t="s">
        <v>4587</v>
      </c>
      <c r="AU4598" s="37" t="s">
        <v>4587</v>
      </c>
      <c r="AV4598" s="37" t="s">
        <v>177</v>
      </c>
      <c r="AW4598" s="37" t="s">
        <v>160</v>
      </c>
      <c r="AX4598" s="37">
        <v>4</v>
      </c>
      <c r="AZ4598" s="37" t="s">
        <v>2121</v>
      </c>
      <c r="BK4598" s="37">
        <v>3590</v>
      </c>
      <c r="BL4598" s="37">
        <v>2610</v>
      </c>
      <c r="BM4598" s="37">
        <v>400</v>
      </c>
      <c r="BN4598" s="37">
        <v>860</v>
      </c>
      <c r="BP4598" s="37"/>
      <c r="BU4598" s="406">
        <v>2.12</v>
      </c>
      <c r="BV4598" s="406">
        <v>2.15</v>
      </c>
      <c r="BW4598" s="37">
        <v>0.26</v>
      </c>
      <c r="BX4598" s="37">
        <v>0.04</v>
      </c>
      <c r="BY4598" s="37" t="s">
        <v>2284</v>
      </c>
      <c r="BZ4598" s="481"/>
      <c r="CA4598" s="481"/>
    </row>
    <row r="4599" spans="1:264" x14ac:dyDescent="0.25">
      <c r="A4599" s="37">
        <v>197</v>
      </c>
      <c r="B4599" s="50" t="s">
        <v>4599</v>
      </c>
      <c r="C4599" s="37" t="s">
        <v>4577</v>
      </c>
      <c r="D4599" s="37" t="s">
        <v>4578</v>
      </c>
      <c r="E4599" s="37">
        <v>2017</v>
      </c>
      <c r="F4599" s="37">
        <v>2014</v>
      </c>
      <c r="G4599" s="37" t="s">
        <v>4579</v>
      </c>
      <c r="H4599" s="37" t="s">
        <v>4581</v>
      </c>
      <c r="I4599" s="37" t="s">
        <v>2815</v>
      </c>
      <c r="J4599" s="37">
        <v>38.950000000000003</v>
      </c>
      <c r="K4599" s="37">
        <v>-92.33</v>
      </c>
      <c r="L4599" s="37">
        <v>227</v>
      </c>
      <c r="O4599" s="37">
        <v>1080</v>
      </c>
      <c r="P4599" s="37">
        <v>1100</v>
      </c>
      <c r="R4599" s="50" t="s">
        <v>1728</v>
      </c>
      <c r="S4599" s="50" t="s">
        <v>1728</v>
      </c>
      <c r="U4599" s="50" t="s">
        <v>4580</v>
      </c>
      <c r="V4599" s="50" t="s">
        <v>1382</v>
      </c>
      <c r="W4599" s="50" t="s">
        <v>1717</v>
      </c>
      <c r="X4599" s="50" t="s">
        <v>1382</v>
      </c>
      <c r="Y4599" s="50" t="s">
        <v>1382</v>
      </c>
      <c r="AC4599" s="37" t="s">
        <v>4582</v>
      </c>
      <c r="AG4599" s="37" t="s">
        <v>4583</v>
      </c>
      <c r="AH4599" s="37" t="s">
        <v>115</v>
      </c>
      <c r="AI4599" s="37" t="s">
        <v>131</v>
      </c>
      <c r="AJ4599" s="37" t="s">
        <v>116</v>
      </c>
      <c r="AK4599" s="37" t="s">
        <v>116</v>
      </c>
      <c r="AO4599" s="37" t="s">
        <v>218</v>
      </c>
      <c r="AP4599" s="37" t="s">
        <v>218</v>
      </c>
      <c r="AQ4599" s="37" t="s">
        <v>2126</v>
      </c>
      <c r="AR4599" s="37" t="s">
        <v>2126</v>
      </c>
      <c r="AS4599" s="37" t="s">
        <v>177</v>
      </c>
      <c r="AT4599" s="37" t="s">
        <v>4584</v>
      </c>
      <c r="AU4599" s="37" t="s">
        <v>4584</v>
      </c>
      <c r="AV4599" s="37" t="s">
        <v>177</v>
      </c>
      <c r="AW4599" s="37" t="s">
        <v>160</v>
      </c>
      <c r="AX4599" s="37">
        <v>4</v>
      </c>
      <c r="AZ4599" s="37" t="s">
        <v>2121</v>
      </c>
      <c r="BK4599" s="37">
        <v>3080</v>
      </c>
      <c r="BL4599" s="37">
        <v>2870</v>
      </c>
      <c r="BM4599" s="37">
        <v>580</v>
      </c>
      <c r="BN4599" s="37">
        <v>860</v>
      </c>
      <c r="BP4599" s="37"/>
      <c r="BU4599" s="406">
        <v>2.23</v>
      </c>
      <c r="BV4599" s="406">
        <v>2.17</v>
      </c>
      <c r="BW4599" s="37">
        <v>0.14000000000000001</v>
      </c>
      <c r="BX4599" s="37">
        <v>0.1</v>
      </c>
      <c r="BY4599" s="37" t="s">
        <v>2284</v>
      </c>
      <c r="BZ4599" s="481"/>
      <c r="CA4599" s="481"/>
    </row>
    <row r="4600" spans="1:264" x14ac:dyDescent="0.25">
      <c r="A4600" s="37">
        <v>197</v>
      </c>
      <c r="B4600" s="50" t="s">
        <v>4600</v>
      </c>
      <c r="C4600" s="37" t="s">
        <v>4577</v>
      </c>
      <c r="D4600" s="37" t="s">
        <v>4578</v>
      </c>
      <c r="E4600" s="37">
        <v>2017</v>
      </c>
      <c r="F4600" s="37">
        <v>2014</v>
      </c>
      <c r="G4600" s="37" t="s">
        <v>4579</v>
      </c>
      <c r="H4600" s="37" t="s">
        <v>4581</v>
      </c>
      <c r="I4600" s="37" t="s">
        <v>2815</v>
      </c>
      <c r="J4600" s="37">
        <v>38.950000000000003</v>
      </c>
      <c r="K4600" s="37">
        <v>-92.33</v>
      </c>
      <c r="L4600" s="37">
        <v>227</v>
      </c>
      <c r="O4600" s="37">
        <v>1080</v>
      </c>
      <c r="P4600" s="37">
        <v>1100</v>
      </c>
      <c r="R4600" s="50" t="s">
        <v>1728</v>
      </c>
      <c r="S4600" s="50" t="s">
        <v>1728</v>
      </c>
      <c r="U4600" s="50" t="s">
        <v>4580</v>
      </c>
      <c r="V4600" s="50" t="s">
        <v>1382</v>
      </c>
      <c r="W4600" s="50" t="s">
        <v>1717</v>
      </c>
      <c r="X4600" s="50" t="s">
        <v>1382</v>
      </c>
      <c r="Y4600" s="50" t="s">
        <v>1382</v>
      </c>
      <c r="AC4600" s="37" t="s">
        <v>4582</v>
      </c>
      <c r="AG4600" s="37" t="s">
        <v>4583</v>
      </c>
      <c r="AH4600" s="37" t="s">
        <v>115</v>
      </c>
      <c r="AI4600" s="37" t="s">
        <v>131</v>
      </c>
      <c r="AJ4600" s="37" t="s">
        <v>116</v>
      </c>
      <c r="AK4600" s="37" t="s">
        <v>116</v>
      </c>
      <c r="AO4600" s="37" t="s">
        <v>218</v>
      </c>
      <c r="AP4600" s="37" t="s">
        <v>218</v>
      </c>
      <c r="AQ4600" s="37" t="s">
        <v>2126</v>
      </c>
      <c r="AR4600" s="37" t="s">
        <v>2126</v>
      </c>
      <c r="AS4600" s="37" t="s">
        <v>177</v>
      </c>
      <c r="AT4600" s="37" t="s">
        <v>4585</v>
      </c>
      <c r="AU4600" s="37" t="s">
        <v>4585</v>
      </c>
      <c r="AV4600" s="37" t="s">
        <v>177</v>
      </c>
      <c r="AW4600" s="37" t="s">
        <v>160</v>
      </c>
      <c r="AX4600" s="37">
        <v>4</v>
      </c>
      <c r="AZ4600" s="37" t="s">
        <v>2121</v>
      </c>
      <c r="BK4600" s="37">
        <v>2740</v>
      </c>
      <c r="BL4600" s="37">
        <v>2950</v>
      </c>
      <c r="BM4600" s="37">
        <v>1320</v>
      </c>
      <c r="BN4600" s="37">
        <v>1160</v>
      </c>
      <c r="BP4600" s="37"/>
      <c r="BU4600" s="406">
        <v>2.16</v>
      </c>
      <c r="BV4600" s="406">
        <v>2.2000000000000002</v>
      </c>
      <c r="BW4600" s="37">
        <v>0.08</v>
      </c>
      <c r="BX4600" s="37">
        <v>0.14000000000000001</v>
      </c>
      <c r="BY4600" s="37" t="s">
        <v>2284</v>
      </c>
      <c r="BZ4600" s="481"/>
      <c r="CA4600" s="481"/>
    </row>
    <row r="4601" spans="1:264" s="24" customFormat="1" x14ac:dyDescent="0.25">
      <c r="A4601" s="24">
        <v>198</v>
      </c>
      <c r="B4601" s="42" t="s">
        <v>4612</v>
      </c>
      <c r="C4601" s="24" t="s">
        <v>4602</v>
      </c>
      <c r="D4601" s="24" t="s">
        <v>4601</v>
      </c>
      <c r="E4601" s="24">
        <v>2016</v>
      </c>
      <c r="F4601" s="24">
        <v>2014</v>
      </c>
      <c r="G4601" s="24" t="s">
        <v>4603</v>
      </c>
      <c r="H4601" s="24" t="s">
        <v>4604</v>
      </c>
      <c r="I4601" s="24" t="s">
        <v>4605</v>
      </c>
      <c r="J4601" s="24">
        <f>38+49.24/60</f>
        <v>38.820666666666668</v>
      </c>
      <c r="K4601" s="24">
        <f>-48.17/60</f>
        <v>-0.8028333333333334</v>
      </c>
      <c r="L4601" s="24">
        <v>581</v>
      </c>
      <c r="N4601" s="24">
        <v>16.3</v>
      </c>
      <c r="P4601" s="24">
        <v>413</v>
      </c>
      <c r="R4601" s="42" t="s">
        <v>1719</v>
      </c>
      <c r="S4601" s="42" t="s">
        <v>1719</v>
      </c>
      <c r="T4601" s="42"/>
      <c r="U4601" s="42" t="s">
        <v>4607</v>
      </c>
      <c r="V4601" s="42" t="s">
        <v>1382</v>
      </c>
      <c r="W4601" s="42" t="s">
        <v>1717</v>
      </c>
      <c r="X4601" s="42" t="s">
        <v>1382</v>
      </c>
      <c r="Y4601" s="42" t="s">
        <v>1382</v>
      </c>
      <c r="AA4601" s="321"/>
      <c r="AB4601" s="321"/>
      <c r="AC4601" s="24" t="s">
        <v>139</v>
      </c>
      <c r="AD4601" s="24">
        <v>8.48</v>
      </c>
      <c r="AE4601" s="24">
        <v>0.93</v>
      </c>
      <c r="AG4601" s="24" t="s">
        <v>4606</v>
      </c>
      <c r="AH4601" s="24" t="s">
        <v>243</v>
      </c>
      <c r="AI4601" s="24" t="s">
        <v>577</v>
      </c>
      <c r="AJ4601" s="24" t="s">
        <v>4608</v>
      </c>
      <c r="AK4601" s="24" t="s">
        <v>3555</v>
      </c>
      <c r="AT4601" s="24" t="s">
        <v>4610</v>
      </c>
      <c r="AU4601" s="24" t="s">
        <v>4611</v>
      </c>
      <c r="AV4601" s="24" t="s">
        <v>502</v>
      </c>
      <c r="AW4601" s="24" t="s">
        <v>160</v>
      </c>
      <c r="AX4601" s="24">
        <v>6</v>
      </c>
      <c r="AZ4601" s="24" t="s">
        <v>2121</v>
      </c>
      <c r="BP4601" s="395"/>
      <c r="BQ4601" s="395"/>
      <c r="BU4601" s="395">
        <v>0.86</v>
      </c>
      <c r="BV4601" s="395">
        <v>1.65</v>
      </c>
      <c r="BW4601" s="24">
        <f>0.02*SQRT(6)</f>
        <v>4.8989794855663557E-2</v>
      </c>
      <c r="BX4601" s="24">
        <f>0.07*SQRT(6)</f>
        <v>0.17146428199482247</v>
      </c>
      <c r="BY4601" s="24" t="s">
        <v>2284</v>
      </c>
      <c r="CJ4601" s="24">
        <v>0.44</v>
      </c>
      <c r="CK4601" s="24">
        <v>1.28</v>
      </c>
      <c r="CL4601" s="24">
        <f>0.02*SQRT(6)</f>
        <v>4.8989794855663557E-2</v>
      </c>
      <c r="CM4601" s="24">
        <f>0.08*SQRT(6)</f>
        <v>0.19595917942265423</v>
      </c>
      <c r="CO4601" s="24">
        <v>21</v>
      </c>
      <c r="CP4601" s="24">
        <v>30</v>
      </c>
      <c r="CQ4601" s="24">
        <f>1*SQRT(6)</f>
        <v>2.4494897427831779</v>
      </c>
      <c r="CR4601" s="24">
        <f>3*SQRT(6)</f>
        <v>7.3484692283495336</v>
      </c>
      <c r="CY4601" s="24">
        <v>8.51</v>
      </c>
      <c r="CZ4601" s="24">
        <v>8.31</v>
      </c>
      <c r="DA4601" s="24">
        <f>0.01*SQRT(6)</f>
        <v>2.4494897427831779E-2</v>
      </c>
      <c r="DB4601" s="24">
        <f>0.03*SQRT(6)</f>
        <v>7.3484692283495329E-2</v>
      </c>
      <c r="DI4601" s="24">
        <v>120</v>
      </c>
      <c r="DJ4601" s="24">
        <v>167</v>
      </c>
      <c r="DK4601" s="24">
        <f>2*SQRT(6)</f>
        <v>4.8989794855663558</v>
      </c>
      <c r="DL4601" s="24">
        <f>8*SQRT(6)</f>
        <v>19.595917942265423</v>
      </c>
      <c r="GU4601" s="24">
        <v>12.1</v>
      </c>
      <c r="GV4601" s="24">
        <v>22.6</v>
      </c>
      <c r="GW4601" s="24">
        <f>1.8*SQRT(6)</f>
        <v>4.4090815370097207</v>
      </c>
      <c r="GX4601" s="24">
        <f>1.3*SQRT(6)</f>
        <v>3.1843366656181313</v>
      </c>
      <c r="GY4601" s="24" t="s">
        <v>3645</v>
      </c>
      <c r="GZ4601" s="24">
        <v>0.7</v>
      </c>
      <c r="HA4601" s="24">
        <v>1.5</v>
      </c>
      <c r="HB4601" s="24">
        <f>0.1*SQRT(6)</f>
        <v>0.2449489742783178</v>
      </c>
      <c r="HC4601" s="24">
        <f>0.1*SQRT(6)</f>
        <v>0.2449489742783178</v>
      </c>
      <c r="HD4601" s="24" t="s">
        <v>4613</v>
      </c>
      <c r="JB4601" s="24" t="s">
        <v>4614</v>
      </c>
      <c r="JD4601" s="249"/>
    </row>
    <row r="4602" spans="1:264" s="126" customFormat="1" x14ac:dyDescent="0.25">
      <c r="A4602" s="126">
        <v>199</v>
      </c>
      <c r="B4602" s="478" t="s">
        <v>4630</v>
      </c>
      <c r="C4602" s="126" t="s">
        <v>4615</v>
      </c>
      <c r="D4602" s="126" t="s">
        <v>4616</v>
      </c>
      <c r="E4602" s="126">
        <v>2010</v>
      </c>
      <c r="F4602" s="126">
        <v>2008</v>
      </c>
      <c r="G4602" s="126" t="s">
        <v>4603</v>
      </c>
      <c r="H4602" s="126" t="s">
        <v>4617</v>
      </c>
      <c r="I4602" s="126" t="s">
        <v>4605</v>
      </c>
      <c r="J4602" s="126">
        <f>40+21/60</f>
        <v>40.35</v>
      </c>
      <c r="K4602" s="126">
        <f>-3-22/60</f>
        <v>-3.3666666666666667</v>
      </c>
      <c r="L4602" s="126">
        <v>800</v>
      </c>
      <c r="N4602" s="126">
        <v>14</v>
      </c>
      <c r="P4602" s="126">
        <v>400</v>
      </c>
      <c r="R4602" s="478" t="s">
        <v>1728</v>
      </c>
      <c r="S4602" s="478" t="s">
        <v>1728</v>
      </c>
      <c r="T4602" s="478"/>
      <c r="U4602" s="478" t="s">
        <v>3462</v>
      </c>
      <c r="V4602" s="478" t="s">
        <v>1388</v>
      </c>
      <c r="W4602" s="478" t="s">
        <v>1719</v>
      </c>
      <c r="X4602" s="478" t="s">
        <v>1388</v>
      </c>
      <c r="Y4602" s="478" t="s">
        <v>1388</v>
      </c>
      <c r="Z4602" s="126">
        <v>1.2</v>
      </c>
      <c r="AA4602" s="479"/>
      <c r="AB4602" s="479"/>
      <c r="AC4602" s="126" t="s">
        <v>240</v>
      </c>
      <c r="AD4602" s="126">
        <v>8.6999999999999993</v>
      </c>
      <c r="AG4602" s="126" t="s">
        <v>4618</v>
      </c>
      <c r="AH4602" s="126" t="s">
        <v>4620</v>
      </c>
      <c r="AI4602" s="126" t="s">
        <v>1581</v>
      </c>
      <c r="AJ4602" s="126" t="s">
        <v>4621</v>
      </c>
      <c r="AK4602" s="126" t="s">
        <v>3555</v>
      </c>
      <c r="AO4602" s="126" t="s">
        <v>4619</v>
      </c>
      <c r="AP4602" s="126" t="s">
        <v>4619</v>
      </c>
      <c r="AQ4602" s="126" t="s">
        <v>2125</v>
      </c>
      <c r="AR4602" s="126" t="s">
        <v>2125</v>
      </c>
      <c r="AS4602" s="126" t="s">
        <v>177</v>
      </c>
      <c r="AW4602" s="126" t="s">
        <v>160</v>
      </c>
      <c r="AX4602" s="126">
        <v>3</v>
      </c>
      <c r="AY4602" s="126">
        <v>3</v>
      </c>
      <c r="AZ4602" s="126" t="s">
        <v>2121</v>
      </c>
      <c r="BK4602" s="126">
        <v>0.15</v>
      </c>
      <c r="BL4602" s="126">
        <v>0.08</v>
      </c>
      <c r="BM4602" s="126">
        <v>0.1</v>
      </c>
      <c r="BN4602" s="126">
        <v>7.0000000000000007E-2</v>
      </c>
      <c r="BO4602" s="126" t="s">
        <v>4629</v>
      </c>
      <c r="BP4602" s="481"/>
      <c r="BQ4602" s="481"/>
      <c r="BU4602" s="481">
        <v>1.1930000000000001</v>
      </c>
      <c r="BV4602" s="481">
        <v>1.4410000000000001</v>
      </c>
      <c r="BW4602" s="126">
        <v>0.308</v>
      </c>
      <c r="BX4602" s="126">
        <v>0.18099999999999999</v>
      </c>
      <c r="BY4602" s="126" t="s">
        <v>4628</v>
      </c>
      <c r="BZ4602" s="481"/>
      <c r="CA4602" s="481"/>
      <c r="CG4602" s="33"/>
      <c r="CH4602" s="33"/>
      <c r="DS4602" s="126">
        <v>7.91</v>
      </c>
      <c r="DT4602" s="126">
        <v>8.1</v>
      </c>
      <c r="DU4602" s="126">
        <v>1.21</v>
      </c>
      <c r="DV4602" s="126">
        <v>1.53</v>
      </c>
      <c r="EC4602" s="126">
        <v>343</v>
      </c>
      <c r="ED4602" s="126">
        <v>478</v>
      </c>
      <c r="EE4602" s="126">
        <v>43</v>
      </c>
      <c r="EF4602" s="126">
        <v>17</v>
      </c>
      <c r="EG4602" s="126" t="s">
        <v>4627</v>
      </c>
      <c r="ER4602" s="126">
        <v>1059</v>
      </c>
      <c r="ES4602" s="126">
        <v>70</v>
      </c>
      <c r="EV4602" s="126" t="s">
        <v>4622</v>
      </c>
      <c r="EW4602" s="126">
        <v>20</v>
      </c>
      <c r="EX4602" s="126">
        <v>16</v>
      </c>
      <c r="FA4602" s="126" t="s">
        <v>4623</v>
      </c>
      <c r="FL4602" s="126">
        <v>0.16600000000000001</v>
      </c>
      <c r="FM4602" s="126">
        <v>0.16800000000000001</v>
      </c>
      <c r="FN4602" s="126">
        <v>2.4E-2</v>
      </c>
      <c r="FO4602" s="126">
        <v>2.3E-2</v>
      </c>
      <c r="FP4602" s="126" t="s">
        <v>4626</v>
      </c>
      <c r="JD4602" s="480"/>
    </row>
    <row r="4603" spans="1:264" s="126" customFormat="1" x14ac:dyDescent="0.25">
      <c r="A4603" s="126">
        <v>199</v>
      </c>
      <c r="B4603" s="478" t="s">
        <v>4631</v>
      </c>
      <c r="C4603" s="126" t="s">
        <v>4615</v>
      </c>
      <c r="D4603" s="126" t="s">
        <v>4616</v>
      </c>
      <c r="E4603" s="126">
        <v>2010</v>
      </c>
      <c r="F4603" s="126">
        <v>2008</v>
      </c>
      <c r="G4603" s="126" t="s">
        <v>4603</v>
      </c>
      <c r="H4603" s="126" t="s">
        <v>4617</v>
      </c>
      <c r="I4603" s="126" t="s">
        <v>4605</v>
      </c>
      <c r="J4603" s="126">
        <f>40+21/60</f>
        <v>40.35</v>
      </c>
      <c r="K4603" s="126">
        <f>-3-22/60</f>
        <v>-3.3666666666666667</v>
      </c>
      <c r="L4603" s="126">
        <v>800</v>
      </c>
      <c r="N4603" s="126">
        <v>14</v>
      </c>
      <c r="P4603" s="126">
        <v>400</v>
      </c>
      <c r="R4603" s="478" t="s">
        <v>1728</v>
      </c>
      <c r="S4603" s="478" t="s">
        <v>1728</v>
      </c>
      <c r="T4603" s="478"/>
      <c r="U4603" s="478" t="s">
        <v>3462</v>
      </c>
      <c r="V4603" s="478" t="s">
        <v>1388</v>
      </c>
      <c r="W4603" s="478" t="s">
        <v>1719</v>
      </c>
      <c r="X4603" s="478" t="s">
        <v>1388</v>
      </c>
      <c r="Y4603" s="478" t="s">
        <v>1388</v>
      </c>
      <c r="Z4603" s="126">
        <v>1.2</v>
      </c>
      <c r="AA4603" s="479"/>
      <c r="AB4603" s="479"/>
      <c r="AC4603" s="126" t="s">
        <v>240</v>
      </c>
      <c r="AD4603" s="126">
        <v>8.6999999999999993</v>
      </c>
      <c r="AG4603" s="126" t="s">
        <v>4618</v>
      </c>
      <c r="AH4603" s="126" t="s">
        <v>3621</v>
      </c>
      <c r="AI4603" s="126" t="s">
        <v>1581</v>
      </c>
      <c r="AJ4603" s="126" t="s">
        <v>4621</v>
      </c>
      <c r="AK4603" s="126" t="s">
        <v>3555</v>
      </c>
      <c r="AO4603" s="126" t="s">
        <v>4619</v>
      </c>
      <c r="AP4603" s="126" t="s">
        <v>4619</v>
      </c>
      <c r="AQ4603" s="126" t="s">
        <v>2125</v>
      </c>
      <c r="AR4603" s="126" t="s">
        <v>2125</v>
      </c>
      <c r="AS4603" s="126" t="s">
        <v>177</v>
      </c>
      <c r="AW4603" s="126" t="s">
        <v>160</v>
      </c>
      <c r="AX4603" s="126">
        <v>3</v>
      </c>
      <c r="AY4603" s="126">
        <v>3</v>
      </c>
      <c r="AZ4603" s="126" t="s">
        <v>2121</v>
      </c>
      <c r="BK4603" s="126">
        <v>0.15</v>
      </c>
      <c r="BL4603" s="126">
        <v>0.11</v>
      </c>
      <c r="BM4603" s="126">
        <v>0.1</v>
      </c>
      <c r="BN4603" s="126">
        <v>0.06</v>
      </c>
      <c r="BO4603" s="126" t="s">
        <v>4629</v>
      </c>
      <c r="BP4603" s="481"/>
      <c r="BQ4603" s="481"/>
      <c r="BU4603" s="481">
        <v>1.1930000000000001</v>
      </c>
      <c r="BV4603" s="481">
        <v>1.2</v>
      </c>
      <c r="BW4603" s="126">
        <v>0.308</v>
      </c>
      <c r="BX4603" s="126">
        <v>0.29199999999999998</v>
      </c>
      <c r="BY4603" s="126" t="s">
        <v>4628</v>
      </c>
      <c r="BZ4603" s="481"/>
      <c r="CA4603" s="481"/>
      <c r="CG4603" s="33"/>
      <c r="CH4603" s="33"/>
      <c r="DS4603" s="126">
        <v>7.91</v>
      </c>
      <c r="DT4603" s="126">
        <v>8.27</v>
      </c>
      <c r="DU4603" s="126">
        <v>1.21</v>
      </c>
      <c r="DV4603" s="126">
        <v>2.54</v>
      </c>
      <c r="EC4603" s="126">
        <v>343</v>
      </c>
      <c r="ED4603" s="126">
        <v>422</v>
      </c>
      <c r="EE4603" s="126">
        <v>43</v>
      </c>
      <c r="EF4603" s="126">
        <v>49</v>
      </c>
      <c r="EG4603" s="126" t="s">
        <v>4627</v>
      </c>
      <c r="ER4603" s="126">
        <v>1059</v>
      </c>
      <c r="ES4603" s="126">
        <v>62</v>
      </c>
      <c r="EV4603" s="126" t="s">
        <v>4622</v>
      </c>
      <c r="EW4603" s="126">
        <v>20</v>
      </c>
      <c r="EX4603" s="126">
        <v>30</v>
      </c>
      <c r="FA4603" s="126" t="s">
        <v>4623</v>
      </c>
      <c r="FL4603" s="126">
        <v>0.16600000000000001</v>
      </c>
      <c r="FM4603" s="126">
        <v>0.16500000000000001</v>
      </c>
      <c r="FN4603" s="126">
        <v>2.4E-2</v>
      </c>
      <c r="FO4603" s="126">
        <v>3.2000000000000001E-2</v>
      </c>
      <c r="FP4603" s="126" t="s">
        <v>4626</v>
      </c>
      <c r="JD4603" s="480"/>
    </row>
    <row r="4604" spans="1:264" s="126" customFormat="1" x14ac:dyDescent="0.25">
      <c r="A4604" s="126">
        <v>199</v>
      </c>
      <c r="B4604" s="478" t="s">
        <v>4632</v>
      </c>
      <c r="C4604" s="126" t="s">
        <v>4615</v>
      </c>
      <c r="D4604" s="126" t="s">
        <v>4616</v>
      </c>
      <c r="E4604" s="126">
        <v>2010</v>
      </c>
      <c r="F4604" s="126">
        <v>2008</v>
      </c>
      <c r="G4604" s="126" t="s">
        <v>4603</v>
      </c>
      <c r="H4604" s="126" t="s">
        <v>4617</v>
      </c>
      <c r="I4604" s="126" t="s">
        <v>4605</v>
      </c>
      <c r="J4604" s="126">
        <f>40+21/60</f>
        <v>40.35</v>
      </c>
      <c r="K4604" s="126">
        <f>-3-22/60</f>
        <v>-3.3666666666666667</v>
      </c>
      <c r="L4604" s="126">
        <v>800</v>
      </c>
      <c r="N4604" s="126">
        <v>14</v>
      </c>
      <c r="P4604" s="126">
        <v>400</v>
      </c>
      <c r="R4604" s="478" t="s">
        <v>1728</v>
      </c>
      <c r="S4604" s="478" t="s">
        <v>1728</v>
      </c>
      <c r="T4604" s="478"/>
      <c r="U4604" s="478" t="s">
        <v>3462</v>
      </c>
      <c r="V4604" s="478" t="s">
        <v>4624</v>
      </c>
      <c r="W4604" s="478" t="s">
        <v>4625</v>
      </c>
      <c r="X4604" s="478" t="s">
        <v>4624</v>
      </c>
      <c r="Y4604" s="478" t="s">
        <v>4624</v>
      </c>
      <c r="Z4604" s="126">
        <v>1.2</v>
      </c>
      <c r="AA4604" s="479"/>
      <c r="AB4604" s="479"/>
      <c r="AC4604" s="126" t="s">
        <v>240</v>
      </c>
      <c r="AD4604" s="126">
        <v>8.6999999999999993</v>
      </c>
      <c r="AG4604" s="126" t="s">
        <v>4618</v>
      </c>
      <c r="AH4604" s="126" t="s">
        <v>4620</v>
      </c>
      <c r="AI4604" s="126" t="s">
        <v>1581</v>
      </c>
      <c r="AJ4604" s="126" t="s">
        <v>4621</v>
      </c>
      <c r="AK4604" s="126" t="s">
        <v>3555</v>
      </c>
      <c r="AO4604" s="126" t="s">
        <v>4619</v>
      </c>
      <c r="AP4604" s="126" t="s">
        <v>4619</v>
      </c>
      <c r="AQ4604" s="126" t="s">
        <v>2125</v>
      </c>
      <c r="AR4604" s="126" t="s">
        <v>2125</v>
      </c>
      <c r="AS4604" s="126" t="s">
        <v>177</v>
      </c>
      <c r="AW4604" s="126" t="s">
        <v>160</v>
      </c>
      <c r="AX4604" s="126">
        <v>3</v>
      </c>
      <c r="AY4604" s="126">
        <v>3</v>
      </c>
      <c r="AZ4604" s="126" t="s">
        <v>2121</v>
      </c>
      <c r="BP4604" s="481"/>
      <c r="BQ4604" s="481"/>
      <c r="BU4604" s="481">
        <v>0.98</v>
      </c>
      <c r="BV4604" s="481">
        <v>1.05</v>
      </c>
      <c r="BW4604" s="126">
        <v>0.06</v>
      </c>
      <c r="BX4604" s="126">
        <v>0.03</v>
      </c>
      <c r="BY4604" s="126" t="s">
        <v>165</v>
      </c>
      <c r="BZ4604" s="481"/>
      <c r="CA4604" s="481"/>
      <c r="CG4604" s="33"/>
      <c r="CH4604" s="33"/>
      <c r="FL4604" s="126">
        <v>0.16200000000000001</v>
      </c>
      <c r="FM4604" s="126">
        <v>0.14299999999999999</v>
      </c>
      <c r="FN4604" s="126">
        <v>2.9000000000000001E-2</v>
      </c>
      <c r="FO4604" s="126">
        <v>2.5000000000000001E-2</v>
      </c>
      <c r="FP4604" s="126" t="s">
        <v>4626</v>
      </c>
      <c r="JD4604" s="480"/>
    </row>
    <row r="4605" spans="1:264" s="126" customFormat="1" x14ac:dyDescent="0.25">
      <c r="A4605" s="126">
        <v>199</v>
      </c>
      <c r="B4605" s="478" t="s">
        <v>4633</v>
      </c>
      <c r="C4605" s="126" t="s">
        <v>4615</v>
      </c>
      <c r="D4605" s="126" t="s">
        <v>4616</v>
      </c>
      <c r="E4605" s="126">
        <v>2010</v>
      </c>
      <c r="F4605" s="126">
        <v>2008</v>
      </c>
      <c r="G4605" s="126" t="s">
        <v>4603</v>
      </c>
      <c r="H4605" s="126" t="s">
        <v>4617</v>
      </c>
      <c r="I4605" s="126" t="s">
        <v>4605</v>
      </c>
      <c r="J4605" s="126">
        <f>40+21/60</f>
        <v>40.35</v>
      </c>
      <c r="K4605" s="126">
        <f>-3-22/60</f>
        <v>-3.3666666666666667</v>
      </c>
      <c r="L4605" s="126">
        <v>800</v>
      </c>
      <c r="N4605" s="126">
        <v>14</v>
      </c>
      <c r="P4605" s="126">
        <v>400</v>
      </c>
      <c r="R4605" s="478" t="s">
        <v>1728</v>
      </c>
      <c r="S4605" s="478" t="s">
        <v>1728</v>
      </c>
      <c r="T4605" s="478"/>
      <c r="U4605" s="478" t="s">
        <v>3462</v>
      </c>
      <c r="V4605" s="478" t="s">
        <v>4624</v>
      </c>
      <c r="W4605" s="478" t="s">
        <v>4625</v>
      </c>
      <c r="X4605" s="478" t="s">
        <v>4624</v>
      </c>
      <c r="Y4605" s="478" t="s">
        <v>4624</v>
      </c>
      <c r="Z4605" s="126">
        <v>1.2</v>
      </c>
      <c r="AA4605" s="479"/>
      <c r="AB4605" s="479"/>
      <c r="AC4605" s="126" t="s">
        <v>240</v>
      </c>
      <c r="AD4605" s="126">
        <v>8.6999999999999993</v>
      </c>
      <c r="AG4605" s="126" t="s">
        <v>4618</v>
      </c>
      <c r="AH4605" s="126" t="s">
        <v>3621</v>
      </c>
      <c r="AI4605" s="126" t="s">
        <v>1581</v>
      </c>
      <c r="AJ4605" s="126" t="s">
        <v>4621</v>
      </c>
      <c r="AK4605" s="126" t="s">
        <v>3555</v>
      </c>
      <c r="AO4605" s="126" t="s">
        <v>4619</v>
      </c>
      <c r="AP4605" s="126" t="s">
        <v>4619</v>
      </c>
      <c r="AQ4605" s="126" t="s">
        <v>2125</v>
      </c>
      <c r="AR4605" s="126" t="s">
        <v>2125</v>
      </c>
      <c r="AS4605" s="126" t="s">
        <v>177</v>
      </c>
      <c r="AW4605" s="126" t="s">
        <v>160</v>
      </c>
      <c r="AX4605" s="126">
        <v>3</v>
      </c>
      <c r="AY4605" s="126">
        <v>3</v>
      </c>
      <c r="AZ4605" s="126" t="s">
        <v>2121</v>
      </c>
      <c r="BP4605" s="481"/>
      <c r="BQ4605" s="481"/>
      <c r="BU4605" s="481">
        <v>0.98</v>
      </c>
      <c r="BV4605" s="481">
        <v>1.04</v>
      </c>
      <c r="BW4605" s="126">
        <v>0.06</v>
      </c>
      <c r="BX4605" s="126">
        <v>0.33</v>
      </c>
      <c r="BY4605" s="126" t="s">
        <v>165</v>
      </c>
      <c r="BZ4605" s="481"/>
      <c r="CA4605" s="481"/>
      <c r="CG4605" s="33"/>
      <c r="CH4605" s="33"/>
      <c r="FL4605" s="126">
        <v>0.16200000000000001</v>
      </c>
      <c r="FM4605" s="126">
        <v>0.159</v>
      </c>
      <c r="FN4605" s="126">
        <v>2.9000000000000001E-2</v>
      </c>
      <c r="FO4605" s="126">
        <v>0.04</v>
      </c>
      <c r="FP4605" s="126" t="s">
        <v>4626</v>
      </c>
      <c r="JD4605" s="480"/>
    </row>
    <row r="4606" spans="1:264" s="24" customFormat="1" x14ac:dyDescent="0.25">
      <c r="A4606" s="24">
        <v>200</v>
      </c>
      <c r="B4606" s="42" t="s">
        <v>4641</v>
      </c>
      <c r="C4606" s="24" t="s">
        <v>4649</v>
      </c>
      <c r="D4606" s="24" t="s">
        <v>3324</v>
      </c>
      <c r="E4606" s="24">
        <v>2009</v>
      </c>
      <c r="F4606" s="24">
        <v>2004</v>
      </c>
      <c r="G4606" s="24" t="s">
        <v>4603</v>
      </c>
      <c r="H4606" s="24" t="s">
        <v>4652</v>
      </c>
      <c r="I4606" s="24" t="s">
        <v>2820</v>
      </c>
      <c r="J4606" s="24">
        <f>40+23/60</f>
        <v>40.383333333333333</v>
      </c>
      <c r="K4606" s="24">
        <f>16+45/60</f>
        <v>16.75</v>
      </c>
      <c r="L4606" s="24">
        <v>25</v>
      </c>
      <c r="P4606" s="24">
        <v>550</v>
      </c>
      <c r="R4606" s="42" t="s">
        <v>1977</v>
      </c>
      <c r="S4606" s="42" t="s">
        <v>1858</v>
      </c>
      <c r="T4606" s="42"/>
      <c r="U4606" s="42" t="s">
        <v>1905</v>
      </c>
      <c r="V4606" s="42" t="s">
        <v>1382</v>
      </c>
      <c r="W4606" s="42" t="s">
        <v>1717</v>
      </c>
      <c r="X4606" s="42" t="s">
        <v>1382</v>
      </c>
      <c r="Y4606" s="42" t="s">
        <v>4635</v>
      </c>
      <c r="AA4606" s="321">
        <v>62.2</v>
      </c>
      <c r="AB4606" s="321">
        <v>18.3</v>
      </c>
      <c r="AC4606" s="24" t="s">
        <v>240</v>
      </c>
      <c r="AD4606" s="24">
        <v>7.64</v>
      </c>
      <c r="AG4606" s="24" t="s">
        <v>4650</v>
      </c>
      <c r="AJ4606" s="24" t="s">
        <v>4634</v>
      </c>
      <c r="AK4606" s="24" t="s">
        <v>3555</v>
      </c>
      <c r="AO4606" s="24" t="s">
        <v>4619</v>
      </c>
      <c r="AP4606" s="24" t="s">
        <v>218</v>
      </c>
      <c r="AQ4606" s="24" t="s">
        <v>2125</v>
      </c>
      <c r="AR4606" s="24" t="s">
        <v>2126</v>
      </c>
      <c r="AS4606" s="24" t="s">
        <v>502</v>
      </c>
      <c r="AT4606" s="24" t="s">
        <v>4640</v>
      </c>
      <c r="AU4606" s="24" t="s">
        <v>4639</v>
      </c>
      <c r="AV4606" s="24" t="s">
        <v>502</v>
      </c>
      <c r="AW4606" s="24" t="s">
        <v>160</v>
      </c>
      <c r="AX4606" s="24">
        <v>3</v>
      </c>
      <c r="AZ4606" s="24" t="s">
        <v>141</v>
      </c>
      <c r="BK4606" s="24">
        <f>53500/4</f>
        <v>13375</v>
      </c>
      <c r="BL4606" s="24">
        <f>69000/4</f>
        <v>17250</v>
      </c>
      <c r="BP4606" s="395"/>
      <c r="BQ4606" s="395"/>
      <c r="BU4606" s="395">
        <v>1.24</v>
      </c>
      <c r="BV4606" s="395">
        <v>1.34</v>
      </c>
      <c r="BY4606" s="24" t="s">
        <v>164</v>
      </c>
      <c r="BZ4606" s="395"/>
      <c r="CA4606" s="395"/>
      <c r="JB4606" s="24" t="s">
        <v>3246</v>
      </c>
      <c r="JD4606" s="249"/>
    </row>
    <row r="4607" spans="1:264" s="24" customFormat="1" x14ac:dyDescent="0.25">
      <c r="A4607" s="24">
        <v>200</v>
      </c>
      <c r="B4607" s="42" t="s">
        <v>4642</v>
      </c>
      <c r="C4607" s="24" t="s">
        <v>4649</v>
      </c>
      <c r="D4607" s="24" t="s">
        <v>3324</v>
      </c>
      <c r="E4607" s="24">
        <v>2009</v>
      </c>
      <c r="F4607" s="24">
        <v>2004</v>
      </c>
      <c r="G4607" s="24" t="s">
        <v>4603</v>
      </c>
      <c r="H4607" s="24" t="s">
        <v>4652</v>
      </c>
      <c r="I4607" s="24" t="s">
        <v>2820</v>
      </c>
      <c r="J4607" s="24">
        <f t="shared" ref="J4607:J4609" si="599">40+23/60</f>
        <v>40.383333333333333</v>
      </c>
      <c r="K4607" s="24">
        <f t="shared" ref="K4607:K4609" si="600">16+45/60</f>
        <v>16.75</v>
      </c>
      <c r="L4607" s="24">
        <v>25</v>
      </c>
      <c r="P4607" s="24">
        <v>550</v>
      </c>
      <c r="R4607" s="42" t="s">
        <v>1977</v>
      </c>
      <c r="S4607" s="42" t="s">
        <v>1858</v>
      </c>
      <c r="T4607" s="42"/>
      <c r="U4607" s="42" t="s">
        <v>1905</v>
      </c>
      <c r="V4607" s="42" t="s">
        <v>1390</v>
      </c>
      <c r="W4607" s="42" t="s">
        <v>1717</v>
      </c>
      <c r="X4607" s="42" t="s">
        <v>1390</v>
      </c>
      <c r="Y4607" s="42" t="s">
        <v>4636</v>
      </c>
      <c r="AA4607" s="321">
        <v>60</v>
      </c>
      <c r="AB4607" s="321">
        <v>20.6</v>
      </c>
      <c r="AC4607" s="24" t="s">
        <v>240</v>
      </c>
      <c r="AD4607" s="24">
        <v>7.64</v>
      </c>
      <c r="AG4607" s="24" t="s">
        <v>4650</v>
      </c>
      <c r="AJ4607" s="24" t="s">
        <v>4634</v>
      </c>
      <c r="AK4607" s="24" t="s">
        <v>3555</v>
      </c>
      <c r="AO4607" s="24" t="s">
        <v>4619</v>
      </c>
      <c r="AP4607" s="24" t="s">
        <v>218</v>
      </c>
      <c r="AQ4607" s="24" t="s">
        <v>2125</v>
      </c>
      <c r="AR4607" s="24" t="s">
        <v>2126</v>
      </c>
      <c r="AS4607" s="24" t="s">
        <v>502</v>
      </c>
      <c r="AT4607" s="24" t="s">
        <v>4640</v>
      </c>
      <c r="AU4607" s="24" t="s">
        <v>4639</v>
      </c>
      <c r="AV4607" s="24" t="s">
        <v>502</v>
      </c>
      <c r="AW4607" s="24" t="s">
        <v>160</v>
      </c>
      <c r="AX4607" s="24">
        <v>3</v>
      </c>
      <c r="AZ4607" s="24" t="s">
        <v>141</v>
      </c>
      <c r="BP4607" s="395"/>
      <c r="BQ4607" s="395"/>
      <c r="BU4607" s="395">
        <v>1.1499999999999999</v>
      </c>
      <c r="BV4607" s="395">
        <v>1.18</v>
      </c>
      <c r="BY4607" s="24" t="s">
        <v>164</v>
      </c>
      <c r="BZ4607" s="395"/>
      <c r="CA4607" s="395"/>
      <c r="JB4607" s="24" t="s">
        <v>3246</v>
      </c>
      <c r="JD4607" s="249"/>
    </row>
    <row r="4608" spans="1:264" s="24" customFormat="1" x14ac:dyDescent="0.25">
      <c r="A4608" s="24">
        <v>200</v>
      </c>
      <c r="B4608" s="42" t="s">
        <v>4643</v>
      </c>
      <c r="C4608" s="24" t="s">
        <v>4649</v>
      </c>
      <c r="D4608" s="24" t="s">
        <v>3324</v>
      </c>
      <c r="E4608" s="24">
        <v>2009</v>
      </c>
      <c r="F4608" s="24">
        <v>2004</v>
      </c>
      <c r="G4608" s="24" t="s">
        <v>4603</v>
      </c>
      <c r="H4608" s="24" t="s">
        <v>4652</v>
      </c>
      <c r="I4608" s="24" t="s">
        <v>2820</v>
      </c>
      <c r="J4608" s="24">
        <f t="shared" si="599"/>
        <v>40.383333333333333</v>
      </c>
      <c r="K4608" s="24">
        <f t="shared" si="600"/>
        <v>16.75</v>
      </c>
      <c r="L4608" s="24">
        <v>25</v>
      </c>
      <c r="P4608" s="24">
        <v>550</v>
      </c>
      <c r="R4608" s="42" t="s">
        <v>1977</v>
      </c>
      <c r="S4608" s="42" t="s">
        <v>1858</v>
      </c>
      <c r="T4608" s="42"/>
      <c r="U4608" s="42" t="s">
        <v>1905</v>
      </c>
      <c r="V4608" s="42" t="s">
        <v>1402</v>
      </c>
      <c r="W4608" s="42" t="s">
        <v>1720</v>
      </c>
      <c r="X4608" s="42" t="s">
        <v>1402</v>
      </c>
      <c r="Y4608" s="42" t="s">
        <v>4637</v>
      </c>
      <c r="AA4608" s="321">
        <v>65.2</v>
      </c>
      <c r="AB4608" s="321">
        <v>19.399999999999999</v>
      </c>
      <c r="AC4608" s="24" t="s">
        <v>240</v>
      </c>
      <c r="AD4608" s="24">
        <v>7.64</v>
      </c>
      <c r="AG4608" s="24" t="s">
        <v>4650</v>
      </c>
      <c r="AJ4608" s="24" t="s">
        <v>4634</v>
      </c>
      <c r="AK4608" s="24" t="s">
        <v>3555</v>
      </c>
      <c r="AO4608" s="24" t="s">
        <v>4619</v>
      </c>
      <c r="AP4608" s="24" t="s">
        <v>218</v>
      </c>
      <c r="AQ4608" s="24" t="s">
        <v>2125</v>
      </c>
      <c r="AR4608" s="24" t="s">
        <v>2126</v>
      </c>
      <c r="AS4608" s="24" t="s">
        <v>502</v>
      </c>
      <c r="AT4608" s="24" t="s">
        <v>4640</v>
      </c>
      <c r="AU4608" s="24" t="s">
        <v>4639</v>
      </c>
      <c r="AV4608" s="24" t="s">
        <v>502</v>
      </c>
      <c r="AW4608" s="24" t="s">
        <v>160</v>
      </c>
      <c r="AX4608" s="24">
        <v>3</v>
      </c>
      <c r="AZ4608" s="24" t="s">
        <v>141</v>
      </c>
      <c r="BP4608" s="395"/>
      <c r="BQ4608" s="395"/>
      <c r="BU4608" s="395">
        <v>0.71</v>
      </c>
      <c r="BV4608" s="395">
        <v>0.69</v>
      </c>
      <c r="BY4608" s="24" t="s">
        <v>164</v>
      </c>
      <c r="BZ4608" s="395"/>
      <c r="CA4608" s="395"/>
      <c r="JB4608" s="24" t="s">
        <v>3246</v>
      </c>
      <c r="JD4608" s="249"/>
    </row>
    <row r="4609" spans="1:264" s="24" customFormat="1" x14ac:dyDescent="0.25">
      <c r="A4609" s="24">
        <v>200</v>
      </c>
      <c r="B4609" s="42" t="s">
        <v>4644</v>
      </c>
      <c r="C4609" s="24" t="s">
        <v>4649</v>
      </c>
      <c r="D4609" s="24" t="s">
        <v>3324</v>
      </c>
      <c r="E4609" s="24">
        <v>2009</v>
      </c>
      <c r="F4609" s="24">
        <v>2004</v>
      </c>
      <c r="G4609" s="24" t="s">
        <v>4603</v>
      </c>
      <c r="H4609" s="24" t="s">
        <v>4652</v>
      </c>
      <c r="I4609" s="24" t="s">
        <v>2820</v>
      </c>
      <c r="J4609" s="24">
        <f t="shared" si="599"/>
        <v>40.383333333333333</v>
      </c>
      <c r="K4609" s="24">
        <f t="shared" si="600"/>
        <v>16.75</v>
      </c>
      <c r="L4609" s="24">
        <v>25</v>
      </c>
      <c r="P4609" s="24">
        <v>550</v>
      </c>
      <c r="R4609" s="42" t="s">
        <v>1977</v>
      </c>
      <c r="S4609" s="42" t="s">
        <v>1858</v>
      </c>
      <c r="T4609" s="42"/>
      <c r="U4609" s="42" t="s">
        <v>1905</v>
      </c>
      <c r="V4609" s="42" t="s">
        <v>1403</v>
      </c>
      <c r="W4609" s="42" t="s">
        <v>1720</v>
      </c>
      <c r="X4609" s="42" t="s">
        <v>1403</v>
      </c>
      <c r="Y4609" s="42" t="s">
        <v>4638</v>
      </c>
      <c r="AA4609" s="321">
        <v>40.799999999999997</v>
      </c>
      <c r="AB4609" s="321">
        <v>19.399999999999999</v>
      </c>
      <c r="AC4609" s="24" t="s">
        <v>240</v>
      </c>
      <c r="AD4609" s="24">
        <v>7.64</v>
      </c>
      <c r="AG4609" s="24" t="s">
        <v>4650</v>
      </c>
      <c r="AJ4609" s="24" t="s">
        <v>4634</v>
      </c>
      <c r="AK4609" s="24" t="s">
        <v>3555</v>
      </c>
      <c r="AO4609" s="24" t="s">
        <v>4619</v>
      </c>
      <c r="AP4609" s="24" t="s">
        <v>218</v>
      </c>
      <c r="AQ4609" s="24" t="s">
        <v>2125</v>
      </c>
      <c r="AR4609" s="24" t="s">
        <v>2126</v>
      </c>
      <c r="AS4609" s="24" t="s">
        <v>502</v>
      </c>
      <c r="AT4609" s="24" t="s">
        <v>4640</v>
      </c>
      <c r="AU4609" s="24" t="s">
        <v>4639</v>
      </c>
      <c r="AV4609" s="24" t="s">
        <v>502</v>
      </c>
      <c r="AW4609" s="24" t="s">
        <v>160</v>
      </c>
      <c r="AX4609" s="24">
        <v>3</v>
      </c>
      <c r="AZ4609" s="24" t="s">
        <v>141</v>
      </c>
      <c r="BP4609" s="395"/>
      <c r="BQ4609" s="395"/>
      <c r="BU4609" s="395">
        <v>0.5</v>
      </c>
      <c r="BV4609" s="395">
        <v>0.54</v>
      </c>
      <c r="BY4609" s="24" t="s">
        <v>164</v>
      </c>
      <c r="BZ4609" s="395"/>
      <c r="CA4609" s="395"/>
      <c r="JB4609" s="24" t="s">
        <v>3246</v>
      </c>
      <c r="JD4609" s="249"/>
    </row>
    <row r="4610" spans="1:264" s="32" customFormat="1" x14ac:dyDescent="0.25">
      <c r="A4610" s="32">
        <v>200</v>
      </c>
      <c r="B4610" s="44" t="s">
        <v>4645</v>
      </c>
      <c r="C4610" s="32" t="s">
        <v>4649</v>
      </c>
      <c r="D4610" s="32" t="s">
        <v>3324</v>
      </c>
      <c r="E4610" s="32">
        <v>2009</v>
      </c>
      <c r="F4610" s="32">
        <v>2004</v>
      </c>
      <c r="G4610" s="32" t="s">
        <v>4603</v>
      </c>
      <c r="H4610" s="32" t="s">
        <v>4652</v>
      </c>
      <c r="I4610" s="32" t="s">
        <v>2820</v>
      </c>
      <c r="J4610" s="32">
        <f>40+8/60</f>
        <v>40.133333333333333</v>
      </c>
      <c r="K4610" s="32">
        <f>16+38/60</f>
        <v>16.633333333333333</v>
      </c>
      <c r="L4610" s="32">
        <v>7</v>
      </c>
      <c r="P4610" s="32">
        <v>550</v>
      </c>
      <c r="R4610" s="44" t="s">
        <v>1977</v>
      </c>
      <c r="S4610" s="44" t="s">
        <v>1858</v>
      </c>
      <c r="T4610" s="44"/>
      <c r="U4610" s="44" t="s">
        <v>1905</v>
      </c>
      <c r="V4610" s="44" t="s">
        <v>1382</v>
      </c>
      <c r="W4610" s="44" t="s">
        <v>1717</v>
      </c>
      <c r="X4610" s="44" t="s">
        <v>1382</v>
      </c>
      <c r="Y4610" s="44" t="s">
        <v>4635</v>
      </c>
      <c r="AA4610" s="323">
        <v>25.4</v>
      </c>
      <c r="AB4610" s="323">
        <v>49.2</v>
      </c>
      <c r="AC4610" s="32" t="s">
        <v>672</v>
      </c>
      <c r="AD4610" s="32">
        <v>8.15</v>
      </c>
      <c r="AG4610" s="32" t="s">
        <v>4651</v>
      </c>
      <c r="AJ4610" s="32" t="s">
        <v>3485</v>
      </c>
      <c r="AK4610" s="32" t="s">
        <v>3555</v>
      </c>
      <c r="AO4610" s="32" t="s">
        <v>4619</v>
      </c>
      <c r="AP4610" s="32" t="s">
        <v>218</v>
      </c>
      <c r="AQ4610" s="32" t="s">
        <v>2125</v>
      </c>
      <c r="AR4610" s="32" t="s">
        <v>2126</v>
      </c>
      <c r="AS4610" s="32" t="s">
        <v>502</v>
      </c>
      <c r="AT4610" s="32" t="s">
        <v>4640</v>
      </c>
      <c r="AU4610" s="32" t="s">
        <v>4639</v>
      </c>
      <c r="AV4610" s="32" t="s">
        <v>502</v>
      </c>
      <c r="AW4610" s="32" t="s">
        <v>160</v>
      </c>
      <c r="AX4610" s="32">
        <v>3</v>
      </c>
      <c r="AZ4610" s="32" t="s">
        <v>141</v>
      </c>
      <c r="BK4610" s="32">
        <f>136700/4</f>
        <v>34175</v>
      </c>
      <c r="BL4610" s="32">
        <f>91600/4</f>
        <v>22900</v>
      </c>
      <c r="BP4610" s="397"/>
      <c r="BQ4610" s="397"/>
      <c r="BU4610" s="397">
        <v>1.1100000000000001</v>
      </c>
      <c r="BV4610" s="397">
        <v>1.1299999999999999</v>
      </c>
      <c r="BY4610" s="32" t="s">
        <v>164</v>
      </c>
      <c r="BZ4610" s="397"/>
      <c r="CA4610" s="397"/>
      <c r="JB4610" s="32" t="s">
        <v>3246</v>
      </c>
      <c r="JD4610" s="243"/>
    </row>
    <row r="4611" spans="1:264" s="32" customFormat="1" x14ac:dyDescent="0.25">
      <c r="A4611" s="32">
        <v>200</v>
      </c>
      <c r="B4611" s="44" t="s">
        <v>4646</v>
      </c>
      <c r="C4611" s="32" t="s">
        <v>4649</v>
      </c>
      <c r="D4611" s="32" t="s">
        <v>3324</v>
      </c>
      <c r="E4611" s="32">
        <v>2009</v>
      </c>
      <c r="F4611" s="32">
        <v>2004</v>
      </c>
      <c r="G4611" s="32" t="s">
        <v>4603</v>
      </c>
      <c r="H4611" s="32" t="s">
        <v>4652</v>
      </c>
      <c r="I4611" s="32" t="s">
        <v>2820</v>
      </c>
      <c r="J4611" s="32">
        <f t="shared" ref="J4611:J4613" si="601">40+8/60</f>
        <v>40.133333333333333</v>
      </c>
      <c r="K4611" s="32">
        <f t="shared" ref="K4611:K4613" si="602">16+38/60</f>
        <v>16.633333333333333</v>
      </c>
      <c r="L4611" s="32">
        <v>7</v>
      </c>
      <c r="P4611" s="32">
        <v>550</v>
      </c>
      <c r="R4611" s="44" t="s">
        <v>1977</v>
      </c>
      <c r="S4611" s="44" t="s">
        <v>1858</v>
      </c>
      <c r="T4611" s="44"/>
      <c r="U4611" s="44" t="s">
        <v>1905</v>
      </c>
      <c r="V4611" s="44" t="s">
        <v>1390</v>
      </c>
      <c r="W4611" s="44" t="s">
        <v>1717</v>
      </c>
      <c r="X4611" s="44" t="s">
        <v>1390</v>
      </c>
      <c r="Y4611" s="44" t="s">
        <v>4636</v>
      </c>
      <c r="AA4611" s="323">
        <v>24.6</v>
      </c>
      <c r="AB4611" s="323">
        <v>48.6</v>
      </c>
      <c r="AC4611" s="32" t="s">
        <v>672</v>
      </c>
      <c r="AD4611" s="32">
        <v>8.15</v>
      </c>
      <c r="AG4611" s="32" t="s">
        <v>4651</v>
      </c>
      <c r="AJ4611" s="32" t="s">
        <v>3485</v>
      </c>
      <c r="AK4611" s="32" t="s">
        <v>3555</v>
      </c>
      <c r="AO4611" s="32" t="s">
        <v>4619</v>
      </c>
      <c r="AP4611" s="32" t="s">
        <v>218</v>
      </c>
      <c r="AQ4611" s="32" t="s">
        <v>2125</v>
      </c>
      <c r="AR4611" s="32" t="s">
        <v>2126</v>
      </c>
      <c r="AS4611" s="32" t="s">
        <v>502</v>
      </c>
      <c r="AT4611" s="32" t="s">
        <v>4640</v>
      </c>
      <c r="AU4611" s="32" t="s">
        <v>4639</v>
      </c>
      <c r="AV4611" s="32" t="s">
        <v>502</v>
      </c>
      <c r="AW4611" s="32" t="s">
        <v>160</v>
      </c>
      <c r="AX4611" s="32">
        <v>3</v>
      </c>
      <c r="AZ4611" s="32" t="s">
        <v>141</v>
      </c>
      <c r="BP4611" s="397"/>
      <c r="BQ4611" s="397"/>
      <c r="BU4611" s="397">
        <v>1.23</v>
      </c>
      <c r="BV4611" s="397">
        <v>1.03</v>
      </c>
      <c r="BY4611" s="32" t="s">
        <v>164</v>
      </c>
      <c r="BZ4611" s="397"/>
      <c r="CA4611" s="397"/>
      <c r="JB4611" s="32" t="s">
        <v>3246</v>
      </c>
      <c r="JD4611" s="243"/>
    </row>
    <row r="4612" spans="1:264" s="32" customFormat="1" x14ac:dyDescent="0.25">
      <c r="A4612" s="32">
        <v>200</v>
      </c>
      <c r="B4612" s="44" t="s">
        <v>4647</v>
      </c>
      <c r="C4612" s="32" t="s">
        <v>4649</v>
      </c>
      <c r="D4612" s="32" t="s">
        <v>3324</v>
      </c>
      <c r="E4612" s="32">
        <v>2009</v>
      </c>
      <c r="F4612" s="32">
        <v>2004</v>
      </c>
      <c r="G4612" s="32" t="s">
        <v>4603</v>
      </c>
      <c r="H4612" s="32" t="s">
        <v>4652</v>
      </c>
      <c r="I4612" s="32" t="s">
        <v>2820</v>
      </c>
      <c r="J4612" s="32">
        <f t="shared" si="601"/>
        <v>40.133333333333333</v>
      </c>
      <c r="K4612" s="32">
        <f t="shared" si="602"/>
        <v>16.633333333333333</v>
      </c>
      <c r="L4612" s="32">
        <v>7</v>
      </c>
      <c r="P4612" s="32">
        <v>550</v>
      </c>
      <c r="R4612" s="44" t="s">
        <v>1977</v>
      </c>
      <c r="S4612" s="44" t="s">
        <v>1858</v>
      </c>
      <c r="T4612" s="44"/>
      <c r="U4612" s="44" t="s">
        <v>1905</v>
      </c>
      <c r="V4612" s="44" t="s">
        <v>1402</v>
      </c>
      <c r="W4612" s="44" t="s">
        <v>1720</v>
      </c>
      <c r="X4612" s="44" t="s">
        <v>1402</v>
      </c>
      <c r="Y4612" s="44" t="s">
        <v>4637</v>
      </c>
      <c r="AA4612" s="323">
        <v>22.1</v>
      </c>
      <c r="AB4612" s="323">
        <v>49.4</v>
      </c>
      <c r="AC4612" s="32" t="s">
        <v>672</v>
      </c>
      <c r="AD4612" s="32">
        <v>8.15</v>
      </c>
      <c r="AG4612" s="32" t="s">
        <v>4651</v>
      </c>
      <c r="AJ4612" s="32" t="s">
        <v>3485</v>
      </c>
      <c r="AK4612" s="32" t="s">
        <v>3555</v>
      </c>
      <c r="AO4612" s="32" t="s">
        <v>4619</v>
      </c>
      <c r="AP4612" s="32" t="s">
        <v>218</v>
      </c>
      <c r="AQ4612" s="32" t="s">
        <v>2125</v>
      </c>
      <c r="AR4612" s="32" t="s">
        <v>2126</v>
      </c>
      <c r="AS4612" s="32" t="s">
        <v>502</v>
      </c>
      <c r="AT4612" s="32" t="s">
        <v>4640</v>
      </c>
      <c r="AU4612" s="32" t="s">
        <v>4639</v>
      </c>
      <c r="AV4612" s="32" t="s">
        <v>502</v>
      </c>
      <c r="AW4612" s="32" t="s">
        <v>160</v>
      </c>
      <c r="AX4612" s="32">
        <v>3</v>
      </c>
      <c r="AZ4612" s="32" t="s">
        <v>141</v>
      </c>
      <c r="BP4612" s="397"/>
      <c r="BQ4612" s="397"/>
      <c r="BU4612" s="397">
        <v>0.89</v>
      </c>
      <c r="BV4612" s="397">
        <v>0.83</v>
      </c>
      <c r="BY4612" s="32" t="s">
        <v>164</v>
      </c>
      <c r="BZ4612" s="397"/>
      <c r="CA4612" s="397"/>
      <c r="JB4612" s="32" t="s">
        <v>3246</v>
      </c>
      <c r="JD4612" s="243"/>
    </row>
    <row r="4613" spans="1:264" s="32" customFormat="1" x14ac:dyDescent="0.25">
      <c r="A4613" s="32">
        <v>200</v>
      </c>
      <c r="B4613" s="44" t="s">
        <v>4648</v>
      </c>
      <c r="C4613" s="32" t="s">
        <v>4649</v>
      </c>
      <c r="D4613" s="32" t="s">
        <v>3324</v>
      </c>
      <c r="E4613" s="32">
        <v>2009</v>
      </c>
      <c r="F4613" s="32">
        <v>2004</v>
      </c>
      <c r="G4613" s="32" t="s">
        <v>4603</v>
      </c>
      <c r="H4613" s="32" t="s">
        <v>4652</v>
      </c>
      <c r="I4613" s="32" t="s">
        <v>2820</v>
      </c>
      <c r="J4613" s="32">
        <f t="shared" si="601"/>
        <v>40.133333333333333</v>
      </c>
      <c r="K4613" s="32">
        <f t="shared" si="602"/>
        <v>16.633333333333333</v>
      </c>
      <c r="L4613" s="32">
        <v>7</v>
      </c>
      <c r="P4613" s="32">
        <v>550</v>
      </c>
      <c r="R4613" s="44" t="s">
        <v>1977</v>
      </c>
      <c r="S4613" s="44" t="s">
        <v>1858</v>
      </c>
      <c r="T4613" s="44"/>
      <c r="U4613" s="44" t="s">
        <v>1905</v>
      </c>
      <c r="V4613" s="44" t="s">
        <v>1403</v>
      </c>
      <c r="W4613" s="44" t="s">
        <v>1720</v>
      </c>
      <c r="X4613" s="44" t="s">
        <v>1403</v>
      </c>
      <c r="Y4613" s="44" t="s">
        <v>4638</v>
      </c>
      <c r="AA4613" s="323">
        <v>25.9</v>
      </c>
      <c r="AB4613" s="323">
        <v>45.6</v>
      </c>
      <c r="AC4613" s="32" t="s">
        <v>672</v>
      </c>
      <c r="AD4613" s="32">
        <v>8.15</v>
      </c>
      <c r="AG4613" s="32" t="s">
        <v>4651</v>
      </c>
      <c r="AJ4613" s="32" t="s">
        <v>3485</v>
      </c>
      <c r="AK4613" s="32" t="s">
        <v>3555</v>
      </c>
      <c r="AO4613" s="32" t="s">
        <v>4619</v>
      </c>
      <c r="AP4613" s="32" t="s">
        <v>218</v>
      </c>
      <c r="AQ4613" s="32" t="s">
        <v>2125</v>
      </c>
      <c r="AR4613" s="32" t="s">
        <v>2126</v>
      </c>
      <c r="AS4613" s="32" t="s">
        <v>502</v>
      </c>
      <c r="AT4613" s="32" t="s">
        <v>4640</v>
      </c>
      <c r="AU4613" s="32" t="s">
        <v>4639</v>
      </c>
      <c r="AV4613" s="32" t="s">
        <v>502</v>
      </c>
      <c r="AW4613" s="32" t="s">
        <v>160</v>
      </c>
      <c r="AX4613" s="32">
        <v>3</v>
      </c>
      <c r="AZ4613" s="32" t="s">
        <v>141</v>
      </c>
      <c r="BP4613" s="397"/>
      <c r="BQ4613" s="397"/>
      <c r="BU4613" s="397">
        <v>0.88</v>
      </c>
      <c r="BV4613" s="397">
        <v>0.83</v>
      </c>
      <c r="BY4613" s="32" t="s">
        <v>164</v>
      </c>
      <c r="BZ4613" s="397"/>
      <c r="CA4613" s="397"/>
      <c r="JB4613" s="32" t="s">
        <v>3246</v>
      </c>
      <c r="JD4613" s="243"/>
    </row>
    <row r="4614" spans="1:264" s="24" customFormat="1" x14ac:dyDescent="0.25">
      <c r="A4614" s="24">
        <v>200</v>
      </c>
      <c r="B4614" s="42" t="s">
        <v>4641</v>
      </c>
      <c r="C4614" s="24" t="s">
        <v>4649</v>
      </c>
      <c r="D4614" s="24" t="s">
        <v>3324</v>
      </c>
      <c r="E4614" s="24">
        <v>2009</v>
      </c>
      <c r="F4614" s="24">
        <v>2007</v>
      </c>
      <c r="G4614" s="24" t="s">
        <v>4603</v>
      </c>
      <c r="H4614" s="24" t="s">
        <v>4652</v>
      </c>
      <c r="I4614" s="24" t="s">
        <v>2820</v>
      </c>
      <c r="J4614" s="24">
        <f>40+23/60</f>
        <v>40.383333333333333</v>
      </c>
      <c r="K4614" s="24">
        <f>16+45/60</f>
        <v>16.75</v>
      </c>
      <c r="L4614" s="24">
        <v>25</v>
      </c>
      <c r="P4614" s="24">
        <v>550</v>
      </c>
      <c r="R4614" s="42" t="s">
        <v>1858</v>
      </c>
      <c r="S4614" s="42" t="s">
        <v>1858</v>
      </c>
      <c r="T4614" s="42"/>
      <c r="U4614" s="42" t="s">
        <v>1905</v>
      </c>
      <c r="V4614" s="42" t="s">
        <v>1382</v>
      </c>
      <c r="W4614" s="42" t="s">
        <v>1717</v>
      </c>
      <c r="X4614" s="42" t="s">
        <v>1382</v>
      </c>
      <c r="Y4614" s="42" t="s">
        <v>4635</v>
      </c>
      <c r="AA4614" s="321">
        <v>62.2</v>
      </c>
      <c r="AB4614" s="321">
        <v>18.3</v>
      </c>
      <c r="AC4614" s="24" t="s">
        <v>240</v>
      </c>
      <c r="AD4614" s="24">
        <v>7.64</v>
      </c>
      <c r="AG4614" s="24" t="s">
        <v>4650</v>
      </c>
      <c r="AJ4614" s="24" t="s">
        <v>4634</v>
      </c>
      <c r="AK4614" s="24" t="s">
        <v>3555</v>
      </c>
      <c r="AO4614" s="24" t="s">
        <v>4619</v>
      </c>
      <c r="AP4614" s="24" t="s">
        <v>218</v>
      </c>
      <c r="AQ4614" s="24" t="s">
        <v>2125</v>
      </c>
      <c r="AR4614" s="24" t="s">
        <v>2126</v>
      </c>
      <c r="AS4614" s="24" t="s">
        <v>502</v>
      </c>
      <c r="AT4614" s="24" t="s">
        <v>4640</v>
      </c>
      <c r="AU4614" s="24" t="s">
        <v>4639</v>
      </c>
      <c r="AV4614" s="24" t="s">
        <v>502</v>
      </c>
      <c r="AW4614" s="24" t="s">
        <v>160</v>
      </c>
      <c r="AX4614" s="24">
        <v>3</v>
      </c>
      <c r="AZ4614" s="24" t="s">
        <v>141</v>
      </c>
      <c r="BP4614" s="395"/>
      <c r="BQ4614" s="395"/>
      <c r="BU4614" s="395">
        <v>1.28</v>
      </c>
      <c r="BV4614" s="395">
        <v>1.39</v>
      </c>
      <c r="BY4614" s="24" t="s">
        <v>164</v>
      </c>
      <c r="BZ4614" s="395"/>
      <c r="CA4614" s="395"/>
      <c r="JB4614" s="24" t="s">
        <v>3246</v>
      </c>
      <c r="JD4614" s="249"/>
    </row>
    <row r="4615" spans="1:264" s="24" customFormat="1" x14ac:dyDescent="0.25">
      <c r="A4615" s="24">
        <v>200</v>
      </c>
      <c r="B4615" s="42" t="s">
        <v>4642</v>
      </c>
      <c r="C4615" s="24" t="s">
        <v>4649</v>
      </c>
      <c r="D4615" s="24" t="s">
        <v>3324</v>
      </c>
      <c r="E4615" s="24">
        <v>2009</v>
      </c>
      <c r="F4615" s="24">
        <v>2007</v>
      </c>
      <c r="G4615" s="24" t="s">
        <v>4603</v>
      </c>
      <c r="H4615" s="24" t="s">
        <v>4652</v>
      </c>
      <c r="I4615" s="24" t="s">
        <v>2820</v>
      </c>
      <c r="J4615" s="24">
        <f t="shared" ref="J4615:J4617" si="603">40+23/60</f>
        <v>40.383333333333333</v>
      </c>
      <c r="K4615" s="24">
        <f t="shared" ref="K4615:K4617" si="604">16+45/60</f>
        <v>16.75</v>
      </c>
      <c r="L4615" s="24">
        <v>25</v>
      </c>
      <c r="P4615" s="24">
        <v>550</v>
      </c>
      <c r="R4615" s="42" t="s">
        <v>1858</v>
      </c>
      <c r="S4615" s="42" t="s">
        <v>1858</v>
      </c>
      <c r="T4615" s="42"/>
      <c r="U4615" s="42" t="s">
        <v>1905</v>
      </c>
      <c r="V4615" s="42" t="s">
        <v>1390</v>
      </c>
      <c r="W4615" s="42" t="s">
        <v>1717</v>
      </c>
      <c r="X4615" s="42" t="s">
        <v>1390</v>
      </c>
      <c r="Y4615" s="42" t="s">
        <v>4636</v>
      </c>
      <c r="AA4615" s="321">
        <v>60</v>
      </c>
      <c r="AB4615" s="321">
        <v>20.6</v>
      </c>
      <c r="AC4615" s="24" t="s">
        <v>240</v>
      </c>
      <c r="AD4615" s="24">
        <v>7.64</v>
      </c>
      <c r="AG4615" s="24" t="s">
        <v>4650</v>
      </c>
      <c r="AJ4615" s="24" t="s">
        <v>4634</v>
      </c>
      <c r="AK4615" s="24" t="s">
        <v>3555</v>
      </c>
      <c r="AO4615" s="24" t="s">
        <v>4619</v>
      </c>
      <c r="AP4615" s="24" t="s">
        <v>218</v>
      </c>
      <c r="AQ4615" s="24" t="s">
        <v>2125</v>
      </c>
      <c r="AR4615" s="24" t="s">
        <v>2126</v>
      </c>
      <c r="AS4615" s="24" t="s">
        <v>502</v>
      </c>
      <c r="AT4615" s="24" t="s">
        <v>4640</v>
      </c>
      <c r="AU4615" s="24" t="s">
        <v>4639</v>
      </c>
      <c r="AV4615" s="24" t="s">
        <v>502</v>
      </c>
      <c r="AW4615" s="24" t="s">
        <v>160</v>
      </c>
      <c r="AX4615" s="24">
        <v>3</v>
      </c>
      <c r="AZ4615" s="24" t="s">
        <v>141</v>
      </c>
      <c r="BP4615" s="395"/>
      <c r="BQ4615" s="395"/>
      <c r="BU4615" s="395">
        <v>1.26</v>
      </c>
      <c r="BV4615" s="395">
        <v>1.2</v>
      </c>
      <c r="BY4615" s="24" t="s">
        <v>164</v>
      </c>
      <c r="BZ4615" s="395"/>
      <c r="CA4615" s="395"/>
      <c r="JB4615" s="24" t="s">
        <v>3246</v>
      </c>
      <c r="JD4615" s="249"/>
    </row>
    <row r="4616" spans="1:264" s="24" customFormat="1" x14ac:dyDescent="0.25">
      <c r="A4616" s="24">
        <v>200</v>
      </c>
      <c r="B4616" s="42" t="s">
        <v>4643</v>
      </c>
      <c r="C4616" s="24" t="s">
        <v>4649</v>
      </c>
      <c r="D4616" s="24" t="s">
        <v>3324</v>
      </c>
      <c r="E4616" s="24">
        <v>2009</v>
      </c>
      <c r="F4616" s="24">
        <v>2007</v>
      </c>
      <c r="G4616" s="24" t="s">
        <v>4603</v>
      </c>
      <c r="H4616" s="24" t="s">
        <v>4652</v>
      </c>
      <c r="I4616" s="24" t="s">
        <v>2820</v>
      </c>
      <c r="J4616" s="24">
        <f t="shared" si="603"/>
        <v>40.383333333333333</v>
      </c>
      <c r="K4616" s="24">
        <f t="shared" si="604"/>
        <v>16.75</v>
      </c>
      <c r="L4616" s="24">
        <v>25</v>
      </c>
      <c r="P4616" s="24">
        <v>550</v>
      </c>
      <c r="R4616" s="42" t="s">
        <v>1858</v>
      </c>
      <c r="S4616" s="42" t="s">
        <v>1858</v>
      </c>
      <c r="T4616" s="42"/>
      <c r="U4616" s="42" t="s">
        <v>1905</v>
      </c>
      <c r="V4616" s="42" t="s">
        <v>1402</v>
      </c>
      <c r="W4616" s="42" t="s">
        <v>1720</v>
      </c>
      <c r="X4616" s="42" t="s">
        <v>1402</v>
      </c>
      <c r="Y4616" s="42" t="s">
        <v>4637</v>
      </c>
      <c r="AA4616" s="321">
        <v>65.2</v>
      </c>
      <c r="AB4616" s="321">
        <v>19.399999999999999</v>
      </c>
      <c r="AC4616" s="24" t="s">
        <v>240</v>
      </c>
      <c r="AD4616" s="24">
        <v>7.64</v>
      </c>
      <c r="AG4616" s="24" t="s">
        <v>4650</v>
      </c>
      <c r="AJ4616" s="24" t="s">
        <v>4634</v>
      </c>
      <c r="AK4616" s="24" t="s">
        <v>3555</v>
      </c>
      <c r="AO4616" s="24" t="s">
        <v>4619</v>
      </c>
      <c r="AP4616" s="24" t="s">
        <v>218</v>
      </c>
      <c r="AQ4616" s="24" t="s">
        <v>2125</v>
      </c>
      <c r="AR4616" s="24" t="s">
        <v>2126</v>
      </c>
      <c r="AS4616" s="24" t="s">
        <v>502</v>
      </c>
      <c r="AT4616" s="24" t="s">
        <v>4640</v>
      </c>
      <c r="AU4616" s="24" t="s">
        <v>4639</v>
      </c>
      <c r="AV4616" s="24" t="s">
        <v>502</v>
      </c>
      <c r="AW4616" s="24" t="s">
        <v>160</v>
      </c>
      <c r="AX4616" s="24">
        <v>3</v>
      </c>
      <c r="AZ4616" s="24" t="s">
        <v>141</v>
      </c>
      <c r="BP4616" s="395"/>
      <c r="BQ4616" s="395"/>
      <c r="BU4616" s="395">
        <v>0.79</v>
      </c>
      <c r="BV4616" s="395">
        <v>0.74</v>
      </c>
      <c r="BY4616" s="24" t="s">
        <v>164</v>
      </c>
      <c r="BZ4616" s="395"/>
      <c r="CA4616" s="395"/>
      <c r="JB4616" s="24" t="s">
        <v>3246</v>
      </c>
      <c r="JD4616" s="249"/>
    </row>
    <row r="4617" spans="1:264" s="24" customFormat="1" x14ac:dyDescent="0.25">
      <c r="A4617" s="24">
        <v>200</v>
      </c>
      <c r="B4617" s="42" t="s">
        <v>4644</v>
      </c>
      <c r="C4617" s="24" t="s">
        <v>4649</v>
      </c>
      <c r="D4617" s="24" t="s">
        <v>3324</v>
      </c>
      <c r="E4617" s="24">
        <v>2009</v>
      </c>
      <c r="F4617" s="24">
        <v>2007</v>
      </c>
      <c r="G4617" s="24" t="s">
        <v>4603</v>
      </c>
      <c r="H4617" s="24" t="s">
        <v>4652</v>
      </c>
      <c r="I4617" s="24" t="s">
        <v>2820</v>
      </c>
      <c r="J4617" s="24">
        <f t="shared" si="603"/>
        <v>40.383333333333333</v>
      </c>
      <c r="K4617" s="24">
        <f t="shared" si="604"/>
        <v>16.75</v>
      </c>
      <c r="L4617" s="24">
        <v>25</v>
      </c>
      <c r="P4617" s="24">
        <v>550</v>
      </c>
      <c r="R4617" s="42" t="s">
        <v>1858</v>
      </c>
      <c r="S4617" s="42" t="s">
        <v>1858</v>
      </c>
      <c r="T4617" s="42"/>
      <c r="U4617" s="42" t="s">
        <v>1905</v>
      </c>
      <c r="V4617" s="42" t="s">
        <v>1403</v>
      </c>
      <c r="W4617" s="42" t="s">
        <v>1720</v>
      </c>
      <c r="X4617" s="42" t="s">
        <v>1403</v>
      </c>
      <c r="Y4617" s="42" t="s">
        <v>4638</v>
      </c>
      <c r="AA4617" s="321">
        <v>40.799999999999997</v>
      </c>
      <c r="AB4617" s="321">
        <v>19.399999999999999</v>
      </c>
      <c r="AC4617" s="24" t="s">
        <v>240</v>
      </c>
      <c r="AD4617" s="24">
        <v>7.64</v>
      </c>
      <c r="AG4617" s="24" t="s">
        <v>4650</v>
      </c>
      <c r="AJ4617" s="24" t="s">
        <v>4634</v>
      </c>
      <c r="AK4617" s="24" t="s">
        <v>3555</v>
      </c>
      <c r="AO4617" s="24" t="s">
        <v>4619</v>
      </c>
      <c r="AP4617" s="24" t="s">
        <v>218</v>
      </c>
      <c r="AQ4617" s="24" t="s">
        <v>2125</v>
      </c>
      <c r="AR4617" s="24" t="s">
        <v>2126</v>
      </c>
      <c r="AS4617" s="24" t="s">
        <v>502</v>
      </c>
      <c r="AT4617" s="24" t="s">
        <v>4640</v>
      </c>
      <c r="AU4617" s="24" t="s">
        <v>4639</v>
      </c>
      <c r="AV4617" s="24" t="s">
        <v>502</v>
      </c>
      <c r="AW4617" s="24" t="s">
        <v>160</v>
      </c>
      <c r="AX4617" s="24">
        <v>3</v>
      </c>
      <c r="AZ4617" s="24" t="s">
        <v>141</v>
      </c>
      <c r="BP4617" s="395"/>
      <c r="BQ4617" s="395"/>
      <c r="BU4617" s="395">
        <v>0.55000000000000004</v>
      </c>
      <c r="BV4617" s="395">
        <v>0.65</v>
      </c>
      <c r="BY4617" s="24" t="s">
        <v>164</v>
      </c>
      <c r="BZ4617" s="395"/>
      <c r="CA4617" s="395"/>
      <c r="JB4617" s="24" t="s">
        <v>3246</v>
      </c>
      <c r="JD4617" s="249"/>
    </row>
    <row r="4618" spans="1:264" s="32" customFormat="1" x14ac:dyDescent="0.25">
      <c r="A4618" s="32">
        <v>200</v>
      </c>
      <c r="B4618" s="44" t="s">
        <v>4645</v>
      </c>
      <c r="C4618" s="32" t="s">
        <v>4649</v>
      </c>
      <c r="D4618" s="32" t="s">
        <v>3324</v>
      </c>
      <c r="E4618" s="32">
        <v>2009</v>
      </c>
      <c r="F4618" s="32">
        <v>2007</v>
      </c>
      <c r="G4618" s="32" t="s">
        <v>4603</v>
      </c>
      <c r="H4618" s="32" t="s">
        <v>4652</v>
      </c>
      <c r="I4618" s="32" t="s">
        <v>2820</v>
      </c>
      <c r="J4618" s="32">
        <f>40+8/60</f>
        <v>40.133333333333333</v>
      </c>
      <c r="K4618" s="32">
        <f>16+38/60</f>
        <v>16.633333333333333</v>
      </c>
      <c r="L4618" s="32">
        <v>7</v>
      </c>
      <c r="P4618" s="32">
        <v>550</v>
      </c>
      <c r="R4618" s="44" t="s">
        <v>1858</v>
      </c>
      <c r="S4618" s="44" t="s">
        <v>1858</v>
      </c>
      <c r="T4618" s="44"/>
      <c r="U4618" s="44" t="s">
        <v>1905</v>
      </c>
      <c r="V4618" s="44" t="s">
        <v>1382</v>
      </c>
      <c r="W4618" s="44" t="s">
        <v>1717</v>
      </c>
      <c r="X4618" s="44" t="s">
        <v>1382</v>
      </c>
      <c r="Y4618" s="44" t="s">
        <v>4635</v>
      </c>
      <c r="AA4618" s="323">
        <v>25.4</v>
      </c>
      <c r="AB4618" s="323">
        <v>49.2</v>
      </c>
      <c r="AC4618" s="32" t="s">
        <v>672</v>
      </c>
      <c r="AD4618" s="32">
        <v>8.15</v>
      </c>
      <c r="AG4618" s="32" t="s">
        <v>4651</v>
      </c>
      <c r="AJ4618" s="32" t="s">
        <v>3485</v>
      </c>
      <c r="AK4618" s="32" t="s">
        <v>3555</v>
      </c>
      <c r="AO4618" s="32" t="s">
        <v>4619</v>
      </c>
      <c r="AP4618" s="32" t="s">
        <v>218</v>
      </c>
      <c r="AQ4618" s="32" t="s">
        <v>2125</v>
      </c>
      <c r="AR4618" s="32" t="s">
        <v>2126</v>
      </c>
      <c r="AS4618" s="32" t="s">
        <v>502</v>
      </c>
      <c r="AT4618" s="32" t="s">
        <v>4640</v>
      </c>
      <c r="AU4618" s="32" t="s">
        <v>4639</v>
      </c>
      <c r="AV4618" s="32" t="s">
        <v>502</v>
      </c>
      <c r="AW4618" s="32" t="s">
        <v>160</v>
      </c>
      <c r="AX4618" s="32">
        <v>3</v>
      </c>
      <c r="AZ4618" s="32" t="s">
        <v>141</v>
      </c>
      <c r="BP4618" s="397"/>
      <c r="BQ4618" s="397"/>
      <c r="BU4618" s="397">
        <v>1.19</v>
      </c>
      <c r="BV4618" s="397">
        <v>1.27</v>
      </c>
      <c r="BY4618" s="32" t="s">
        <v>164</v>
      </c>
      <c r="BZ4618" s="397"/>
      <c r="CA4618" s="397"/>
      <c r="JB4618" s="32" t="s">
        <v>3246</v>
      </c>
      <c r="JD4618" s="243"/>
    </row>
    <row r="4619" spans="1:264" s="32" customFormat="1" x14ac:dyDescent="0.25">
      <c r="A4619" s="32">
        <v>200</v>
      </c>
      <c r="B4619" s="44" t="s">
        <v>4646</v>
      </c>
      <c r="C4619" s="32" t="s">
        <v>4649</v>
      </c>
      <c r="D4619" s="32" t="s">
        <v>3324</v>
      </c>
      <c r="E4619" s="32">
        <v>2009</v>
      </c>
      <c r="F4619" s="32">
        <v>2007</v>
      </c>
      <c r="G4619" s="32" t="s">
        <v>4603</v>
      </c>
      <c r="H4619" s="32" t="s">
        <v>4652</v>
      </c>
      <c r="I4619" s="32" t="s">
        <v>2820</v>
      </c>
      <c r="J4619" s="32">
        <f t="shared" ref="J4619:J4621" si="605">40+8/60</f>
        <v>40.133333333333333</v>
      </c>
      <c r="K4619" s="32">
        <f t="shared" ref="K4619:K4621" si="606">16+38/60</f>
        <v>16.633333333333333</v>
      </c>
      <c r="L4619" s="32">
        <v>7</v>
      </c>
      <c r="P4619" s="32">
        <v>550</v>
      </c>
      <c r="R4619" s="44" t="s">
        <v>1858</v>
      </c>
      <c r="S4619" s="44" t="s">
        <v>1858</v>
      </c>
      <c r="T4619" s="44"/>
      <c r="U4619" s="44" t="s">
        <v>1905</v>
      </c>
      <c r="V4619" s="44" t="s">
        <v>1390</v>
      </c>
      <c r="W4619" s="44" t="s">
        <v>1717</v>
      </c>
      <c r="X4619" s="44" t="s">
        <v>1390</v>
      </c>
      <c r="Y4619" s="44" t="s">
        <v>4636</v>
      </c>
      <c r="AA4619" s="323">
        <v>24.6</v>
      </c>
      <c r="AB4619" s="323">
        <v>48.6</v>
      </c>
      <c r="AC4619" s="32" t="s">
        <v>672</v>
      </c>
      <c r="AD4619" s="32">
        <v>8.15</v>
      </c>
      <c r="AG4619" s="32" t="s">
        <v>4651</v>
      </c>
      <c r="AJ4619" s="32" t="s">
        <v>3485</v>
      </c>
      <c r="AK4619" s="32" t="s">
        <v>3555</v>
      </c>
      <c r="AO4619" s="32" t="s">
        <v>4619</v>
      </c>
      <c r="AP4619" s="32" t="s">
        <v>218</v>
      </c>
      <c r="AQ4619" s="32" t="s">
        <v>2125</v>
      </c>
      <c r="AR4619" s="32" t="s">
        <v>2126</v>
      </c>
      <c r="AS4619" s="32" t="s">
        <v>502</v>
      </c>
      <c r="AT4619" s="32" t="s">
        <v>4640</v>
      </c>
      <c r="AU4619" s="32" t="s">
        <v>4639</v>
      </c>
      <c r="AV4619" s="32" t="s">
        <v>502</v>
      </c>
      <c r="AW4619" s="32" t="s">
        <v>160</v>
      </c>
      <c r="AX4619" s="32">
        <v>3</v>
      </c>
      <c r="AZ4619" s="32" t="s">
        <v>141</v>
      </c>
      <c r="BP4619" s="397"/>
      <c r="BQ4619" s="397"/>
      <c r="BU4619" s="397">
        <v>1.19</v>
      </c>
      <c r="BV4619" s="397">
        <v>1.17</v>
      </c>
      <c r="BY4619" s="32" t="s">
        <v>164</v>
      </c>
      <c r="BZ4619" s="397"/>
      <c r="CA4619" s="397"/>
      <c r="JB4619" s="32" t="s">
        <v>3246</v>
      </c>
      <c r="JD4619" s="243"/>
    </row>
    <row r="4620" spans="1:264" s="32" customFormat="1" x14ac:dyDescent="0.25">
      <c r="A4620" s="32">
        <v>200</v>
      </c>
      <c r="B4620" s="44" t="s">
        <v>4647</v>
      </c>
      <c r="C4620" s="32" t="s">
        <v>4649</v>
      </c>
      <c r="D4620" s="32" t="s">
        <v>3324</v>
      </c>
      <c r="E4620" s="32">
        <v>2009</v>
      </c>
      <c r="F4620" s="32">
        <v>2007</v>
      </c>
      <c r="G4620" s="32" t="s">
        <v>4603</v>
      </c>
      <c r="H4620" s="32" t="s">
        <v>4652</v>
      </c>
      <c r="I4620" s="32" t="s">
        <v>2820</v>
      </c>
      <c r="J4620" s="32">
        <f t="shared" si="605"/>
        <v>40.133333333333333</v>
      </c>
      <c r="K4620" s="32">
        <f t="shared" si="606"/>
        <v>16.633333333333333</v>
      </c>
      <c r="L4620" s="32">
        <v>7</v>
      </c>
      <c r="P4620" s="32">
        <v>550</v>
      </c>
      <c r="R4620" s="44" t="s">
        <v>1858</v>
      </c>
      <c r="S4620" s="44" t="s">
        <v>1858</v>
      </c>
      <c r="T4620" s="44"/>
      <c r="U4620" s="44" t="s">
        <v>1905</v>
      </c>
      <c r="V4620" s="44" t="s">
        <v>1402</v>
      </c>
      <c r="W4620" s="44" t="s">
        <v>1720</v>
      </c>
      <c r="X4620" s="44" t="s">
        <v>1402</v>
      </c>
      <c r="Y4620" s="44" t="s">
        <v>4637</v>
      </c>
      <c r="AA4620" s="323">
        <v>22.1</v>
      </c>
      <c r="AB4620" s="323">
        <v>49.4</v>
      </c>
      <c r="AC4620" s="32" t="s">
        <v>672</v>
      </c>
      <c r="AD4620" s="32">
        <v>8.15</v>
      </c>
      <c r="AG4620" s="32" t="s">
        <v>4651</v>
      </c>
      <c r="AJ4620" s="32" t="s">
        <v>3485</v>
      </c>
      <c r="AK4620" s="32" t="s">
        <v>3555</v>
      </c>
      <c r="AO4620" s="32" t="s">
        <v>4619</v>
      </c>
      <c r="AP4620" s="32" t="s">
        <v>218</v>
      </c>
      <c r="AQ4620" s="32" t="s">
        <v>2125</v>
      </c>
      <c r="AR4620" s="32" t="s">
        <v>2126</v>
      </c>
      <c r="AS4620" s="32" t="s">
        <v>502</v>
      </c>
      <c r="AT4620" s="32" t="s">
        <v>4640</v>
      </c>
      <c r="AU4620" s="32" t="s">
        <v>4639</v>
      </c>
      <c r="AV4620" s="32" t="s">
        <v>502</v>
      </c>
      <c r="AW4620" s="32" t="s">
        <v>160</v>
      </c>
      <c r="AX4620" s="32">
        <v>3</v>
      </c>
      <c r="AZ4620" s="32" t="s">
        <v>141</v>
      </c>
      <c r="BP4620" s="397"/>
      <c r="BQ4620" s="397"/>
      <c r="BU4620" s="397">
        <v>0.85</v>
      </c>
      <c r="BV4620" s="397">
        <v>0.74</v>
      </c>
      <c r="BY4620" s="32" t="s">
        <v>164</v>
      </c>
      <c r="BZ4620" s="397"/>
      <c r="CA4620" s="397"/>
      <c r="JB4620" s="32" t="s">
        <v>3246</v>
      </c>
      <c r="JD4620" s="243"/>
    </row>
    <row r="4621" spans="1:264" s="32" customFormat="1" x14ac:dyDescent="0.25">
      <c r="A4621" s="32">
        <v>200</v>
      </c>
      <c r="B4621" s="44" t="s">
        <v>4648</v>
      </c>
      <c r="C4621" s="32" t="s">
        <v>4649</v>
      </c>
      <c r="D4621" s="32" t="s">
        <v>3324</v>
      </c>
      <c r="E4621" s="32">
        <v>2009</v>
      </c>
      <c r="F4621" s="32">
        <v>2007</v>
      </c>
      <c r="G4621" s="32" t="s">
        <v>4603</v>
      </c>
      <c r="H4621" s="32" t="s">
        <v>4652</v>
      </c>
      <c r="I4621" s="32" t="s">
        <v>2820</v>
      </c>
      <c r="J4621" s="32">
        <f t="shared" si="605"/>
        <v>40.133333333333333</v>
      </c>
      <c r="K4621" s="32">
        <f t="shared" si="606"/>
        <v>16.633333333333333</v>
      </c>
      <c r="L4621" s="32">
        <v>7</v>
      </c>
      <c r="P4621" s="32">
        <v>550</v>
      </c>
      <c r="R4621" s="44" t="s">
        <v>1858</v>
      </c>
      <c r="S4621" s="44" t="s">
        <v>1858</v>
      </c>
      <c r="T4621" s="44"/>
      <c r="U4621" s="44" t="s">
        <v>1905</v>
      </c>
      <c r="V4621" s="44" t="s">
        <v>1403</v>
      </c>
      <c r="W4621" s="44" t="s">
        <v>1720</v>
      </c>
      <c r="X4621" s="44" t="s">
        <v>1403</v>
      </c>
      <c r="Y4621" s="44" t="s">
        <v>4638</v>
      </c>
      <c r="AA4621" s="323">
        <v>25.9</v>
      </c>
      <c r="AB4621" s="323">
        <v>45.6</v>
      </c>
      <c r="AC4621" s="32" t="s">
        <v>672</v>
      </c>
      <c r="AD4621" s="32">
        <v>8.15</v>
      </c>
      <c r="AG4621" s="32" t="s">
        <v>4651</v>
      </c>
      <c r="AJ4621" s="32" t="s">
        <v>3485</v>
      </c>
      <c r="AK4621" s="32" t="s">
        <v>3555</v>
      </c>
      <c r="AO4621" s="32" t="s">
        <v>4619</v>
      </c>
      <c r="AP4621" s="32" t="s">
        <v>218</v>
      </c>
      <c r="AQ4621" s="32" t="s">
        <v>2125</v>
      </c>
      <c r="AR4621" s="32" t="s">
        <v>2126</v>
      </c>
      <c r="AS4621" s="32" t="s">
        <v>502</v>
      </c>
      <c r="AT4621" s="32" t="s">
        <v>4640</v>
      </c>
      <c r="AU4621" s="32" t="s">
        <v>4639</v>
      </c>
      <c r="AV4621" s="32" t="s">
        <v>502</v>
      </c>
      <c r="AW4621" s="32" t="s">
        <v>160</v>
      </c>
      <c r="AX4621" s="32">
        <v>3</v>
      </c>
      <c r="AZ4621" s="32" t="s">
        <v>141</v>
      </c>
      <c r="BP4621" s="397"/>
      <c r="BQ4621" s="397"/>
      <c r="BU4621" s="397">
        <v>0.82</v>
      </c>
      <c r="BV4621" s="397">
        <v>0.8</v>
      </c>
      <c r="BY4621" s="32" t="s">
        <v>164</v>
      </c>
      <c r="BZ4621" s="397"/>
      <c r="CA4621" s="397"/>
      <c r="JB4621" s="32" t="s">
        <v>3246</v>
      </c>
      <c r="JD4621" s="243"/>
    </row>
    <row r="4622" spans="1:264" x14ac:dyDescent="0.25">
      <c r="A4622" s="37">
        <v>201</v>
      </c>
      <c r="B4622" s="50" t="s">
        <v>4658</v>
      </c>
      <c r="C4622" s="37" t="s">
        <v>4653</v>
      </c>
      <c r="D4622" s="37" t="s">
        <v>4654</v>
      </c>
      <c r="E4622" s="37">
        <v>2014</v>
      </c>
      <c r="F4622" s="37">
        <v>2009</v>
      </c>
      <c r="G4622" s="37" t="s">
        <v>151</v>
      </c>
      <c r="H4622" s="37" t="s">
        <v>460</v>
      </c>
      <c r="I4622" s="37" t="s">
        <v>2815</v>
      </c>
      <c r="J4622" s="37">
        <f>42+0.26/60</f>
        <v>42.004333333333335</v>
      </c>
      <c r="K4622" s="37">
        <f>-93-47.31/60</f>
        <v>-93.788499999999999</v>
      </c>
      <c r="L4622" s="37">
        <v>334</v>
      </c>
      <c r="M4622" s="37">
        <v>8.9</v>
      </c>
      <c r="N4622" s="37">
        <v>9.3000000000000007</v>
      </c>
      <c r="O4622" s="37">
        <v>945</v>
      </c>
      <c r="P4622" s="37">
        <v>856</v>
      </c>
      <c r="R4622" s="50" t="s">
        <v>1977</v>
      </c>
      <c r="S4622" s="50" t="s">
        <v>1728</v>
      </c>
      <c r="U4622" s="50" t="s">
        <v>4655</v>
      </c>
      <c r="V4622" s="50" t="s">
        <v>1394</v>
      </c>
      <c r="W4622" s="50" t="s">
        <v>1722</v>
      </c>
      <c r="X4622" s="50" t="s">
        <v>1394</v>
      </c>
      <c r="Y4622" s="50" t="s">
        <v>1394</v>
      </c>
      <c r="Z4622" s="37">
        <v>1.26</v>
      </c>
      <c r="AC4622" s="37" t="s">
        <v>672</v>
      </c>
      <c r="AG4622" s="37" t="s">
        <v>4656</v>
      </c>
      <c r="AH4622" s="37" t="s">
        <v>131</v>
      </c>
      <c r="AI4622" s="37" t="s">
        <v>131</v>
      </c>
      <c r="AJ4622" s="37" t="s">
        <v>158</v>
      </c>
      <c r="AK4622" s="37" t="s">
        <v>158</v>
      </c>
      <c r="AL4622" s="37" t="s">
        <v>942</v>
      </c>
      <c r="AM4622" s="37" t="s">
        <v>942</v>
      </c>
      <c r="AN4622" s="37" t="s">
        <v>177</v>
      </c>
      <c r="AO4622" s="37" t="s">
        <v>218</v>
      </c>
      <c r="AP4622" s="37" t="s">
        <v>218</v>
      </c>
      <c r="AQ4622" s="37" t="s">
        <v>2126</v>
      </c>
      <c r="AR4622" s="37" t="s">
        <v>2126</v>
      </c>
      <c r="AS4622" s="37" t="s">
        <v>177</v>
      </c>
      <c r="AT4622" s="37" t="s">
        <v>4657</v>
      </c>
      <c r="AU4622" s="37" t="s">
        <v>4657</v>
      </c>
      <c r="AV4622" s="37" t="s">
        <v>177</v>
      </c>
      <c r="AW4622" s="37" t="s">
        <v>160</v>
      </c>
      <c r="AX4622" s="37">
        <v>5</v>
      </c>
      <c r="AZ4622" s="37" t="s">
        <v>141</v>
      </c>
      <c r="BK4622" s="37">
        <v>3900</v>
      </c>
      <c r="BL4622" s="37">
        <v>4000</v>
      </c>
      <c r="BO4622" s="37" t="s">
        <v>4662</v>
      </c>
      <c r="BU4622" s="406">
        <v>4.92</v>
      </c>
      <c r="BV4622" s="406">
        <v>5.45</v>
      </c>
      <c r="BY4622" s="37" t="s">
        <v>164</v>
      </c>
      <c r="HJ4622" s="37">
        <v>34.200000000000003</v>
      </c>
      <c r="HK4622" s="37">
        <v>44.6</v>
      </c>
      <c r="HN4622" s="37" t="s">
        <v>4664</v>
      </c>
      <c r="JB4622" s="37" t="s">
        <v>4663</v>
      </c>
    </row>
    <row r="4623" spans="1:264" x14ac:dyDescent="0.25">
      <c r="A4623" s="37">
        <v>201</v>
      </c>
      <c r="B4623" s="50" t="s">
        <v>4659</v>
      </c>
      <c r="C4623" s="37" t="s">
        <v>4653</v>
      </c>
      <c r="D4623" s="37" t="s">
        <v>4654</v>
      </c>
      <c r="E4623" s="37">
        <v>2014</v>
      </c>
      <c r="F4623" s="37">
        <v>2009</v>
      </c>
      <c r="G4623" s="37" t="s">
        <v>151</v>
      </c>
      <c r="H4623" s="37" t="s">
        <v>460</v>
      </c>
      <c r="I4623" s="37" t="s">
        <v>2815</v>
      </c>
      <c r="J4623" s="37">
        <f>42+0.26/60</f>
        <v>42.004333333333335</v>
      </c>
      <c r="K4623" s="37">
        <f>-93-47.31/60</f>
        <v>-93.788499999999999</v>
      </c>
      <c r="L4623" s="37">
        <v>334</v>
      </c>
      <c r="M4623" s="37">
        <v>8.9</v>
      </c>
      <c r="N4623" s="37">
        <v>9.3000000000000007</v>
      </c>
      <c r="O4623" s="37">
        <v>945</v>
      </c>
      <c r="P4623" s="37">
        <v>856</v>
      </c>
      <c r="R4623" s="50" t="s">
        <v>1977</v>
      </c>
      <c r="S4623" s="50" t="s">
        <v>1728</v>
      </c>
      <c r="U4623" s="50" t="s">
        <v>4655</v>
      </c>
      <c r="V4623" s="50" t="s">
        <v>1394</v>
      </c>
      <c r="W4623" s="50" t="s">
        <v>1722</v>
      </c>
      <c r="X4623" s="50" t="s">
        <v>1394</v>
      </c>
      <c r="Y4623" s="50" t="s">
        <v>1394</v>
      </c>
      <c r="Z4623" s="37">
        <v>1.26</v>
      </c>
      <c r="AC4623" s="37" t="s">
        <v>672</v>
      </c>
      <c r="AG4623" s="37" t="s">
        <v>4656</v>
      </c>
      <c r="AH4623" s="37" t="s">
        <v>131</v>
      </c>
      <c r="AI4623" s="37" t="s">
        <v>131</v>
      </c>
      <c r="AJ4623" s="37" t="s">
        <v>158</v>
      </c>
      <c r="AK4623" s="37" t="s">
        <v>158</v>
      </c>
      <c r="AL4623" s="37" t="s">
        <v>942</v>
      </c>
      <c r="AM4623" s="37" t="s">
        <v>942</v>
      </c>
      <c r="AN4623" s="37" t="s">
        <v>177</v>
      </c>
      <c r="AO4623" s="37" t="s">
        <v>218</v>
      </c>
      <c r="AP4623" s="37" t="s">
        <v>218</v>
      </c>
      <c r="AQ4623" s="37" t="s">
        <v>2126</v>
      </c>
      <c r="AR4623" s="37" t="s">
        <v>2126</v>
      </c>
      <c r="AS4623" s="37" t="s">
        <v>177</v>
      </c>
      <c r="AT4623" s="37" t="s">
        <v>4657</v>
      </c>
      <c r="AU4623" s="37" t="s">
        <v>4657</v>
      </c>
      <c r="AV4623" s="37" t="s">
        <v>177</v>
      </c>
      <c r="AW4623" s="37" t="s">
        <v>160</v>
      </c>
      <c r="AX4623" s="37">
        <v>5</v>
      </c>
      <c r="AZ4623" s="37" t="s">
        <v>141</v>
      </c>
      <c r="BK4623" s="37">
        <v>3900</v>
      </c>
      <c r="BL4623" s="37">
        <v>3950</v>
      </c>
      <c r="BO4623" s="37" t="s">
        <v>4662</v>
      </c>
      <c r="BU4623" s="406">
        <v>4.92</v>
      </c>
      <c r="BV4623" s="406">
        <v>5.63</v>
      </c>
      <c r="BY4623" s="37" t="s">
        <v>164</v>
      </c>
      <c r="HJ4623" s="37">
        <v>34.200000000000003</v>
      </c>
      <c r="HK4623" s="37">
        <v>49.9</v>
      </c>
      <c r="HN4623" s="37" t="s">
        <v>4664</v>
      </c>
      <c r="JB4623" s="37" t="s">
        <v>4663</v>
      </c>
    </row>
    <row r="4624" spans="1:264" x14ac:dyDescent="0.25">
      <c r="A4624" s="37">
        <v>201</v>
      </c>
      <c r="B4624" s="50" t="s">
        <v>4660</v>
      </c>
      <c r="C4624" s="37" t="s">
        <v>4653</v>
      </c>
      <c r="D4624" s="37" t="s">
        <v>4654</v>
      </c>
      <c r="E4624" s="37">
        <v>2014</v>
      </c>
      <c r="F4624" s="37">
        <v>2009</v>
      </c>
      <c r="G4624" s="37" t="s">
        <v>151</v>
      </c>
      <c r="H4624" s="37" t="s">
        <v>460</v>
      </c>
      <c r="I4624" s="37" t="s">
        <v>2815</v>
      </c>
      <c r="J4624" s="37">
        <f>42+0.26/60</f>
        <v>42.004333333333335</v>
      </c>
      <c r="K4624" s="37">
        <f>-93-47.31/60</f>
        <v>-93.788499999999999</v>
      </c>
      <c r="L4624" s="37">
        <v>334</v>
      </c>
      <c r="M4624" s="37">
        <v>8.9</v>
      </c>
      <c r="N4624" s="37">
        <v>9.3000000000000007</v>
      </c>
      <c r="O4624" s="37">
        <v>945</v>
      </c>
      <c r="P4624" s="37">
        <v>856</v>
      </c>
      <c r="R4624" s="50" t="s">
        <v>1977</v>
      </c>
      <c r="S4624" s="50" t="s">
        <v>1728</v>
      </c>
      <c r="U4624" s="50" t="s">
        <v>4655</v>
      </c>
      <c r="V4624" s="50" t="s">
        <v>1394</v>
      </c>
      <c r="W4624" s="50" t="s">
        <v>1722</v>
      </c>
      <c r="X4624" s="50" t="s">
        <v>1394</v>
      </c>
      <c r="Y4624" s="50" t="s">
        <v>1394</v>
      </c>
      <c r="Z4624" s="37">
        <v>1.26</v>
      </c>
      <c r="AC4624" s="37" t="s">
        <v>672</v>
      </c>
      <c r="AG4624" s="37" t="s">
        <v>4656</v>
      </c>
      <c r="AH4624" s="37" t="s">
        <v>131</v>
      </c>
      <c r="AI4624" s="37" t="s">
        <v>131</v>
      </c>
      <c r="AJ4624" s="37" t="s">
        <v>158</v>
      </c>
      <c r="AK4624" s="37" t="s">
        <v>158</v>
      </c>
      <c r="AL4624" s="37" t="s">
        <v>942</v>
      </c>
      <c r="AM4624" s="37" t="s">
        <v>942</v>
      </c>
      <c r="AN4624" s="37" t="s">
        <v>177</v>
      </c>
      <c r="AO4624" s="37" t="s">
        <v>218</v>
      </c>
      <c r="AP4624" s="37" t="s">
        <v>218</v>
      </c>
      <c r="AQ4624" s="37" t="s">
        <v>2126</v>
      </c>
      <c r="AR4624" s="37" t="s">
        <v>2126</v>
      </c>
      <c r="AS4624" s="37" t="s">
        <v>177</v>
      </c>
      <c r="AT4624" s="37" t="s">
        <v>4657</v>
      </c>
      <c r="AU4624" s="37" t="s">
        <v>4657</v>
      </c>
      <c r="AV4624" s="37" t="s">
        <v>177</v>
      </c>
      <c r="AW4624" s="37" t="s">
        <v>160</v>
      </c>
      <c r="AX4624" s="37">
        <v>5</v>
      </c>
      <c r="AZ4624" s="37" t="s">
        <v>141</v>
      </c>
      <c r="BK4624" s="37">
        <v>3900</v>
      </c>
      <c r="BL4624" s="37">
        <v>3770</v>
      </c>
      <c r="BO4624" s="37" t="s">
        <v>4662</v>
      </c>
      <c r="BU4624" s="406">
        <v>4.92</v>
      </c>
      <c r="BV4624" s="406">
        <v>4.87</v>
      </c>
      <c r="BY4624" s="37" t="s">
        <v>164</v>
      </c>
      <c r="HJ4624" s="37">
        <v>34.200000000000003</v>
      </c>
      <c r="HK4624" s="37">
        <v>31.2</v>
      </c>
      <c r="HN4624" s="37" t="s">
        <v>4664</v>
      </c>
      <c r="JB4624" s="37" t="s">
        <v>4663</v>
      </c>
    </row>
    <row r="4625" spans="1:264" s="36" customFormat="1" x14ac:dyDescent="0.25">
      <c r="A4625" s="36">
        <v>201</v>
      </c>
      <c r="B4625" s="51" t="s">
        <v>4659</v>
      </c>
      <c r="C4625" s="36" t="s">
        <v>4653</v>
      </c>
      <c r="D4625" s="36" t="s">
        <v>4654</v>
      </c>
      <c r="E4625" s="36">
        <v>2014</v>
      </c>
      <c r="F4625" s="36">
        <v>2010</v>
      </c>
      <c r="G4625" s="36" t="s">
        <v>151</v>
      </c>
      <c r="H4625" s="36" t="s">
        <v>460</v>
      </c>
      <c r="I4625" s="36" t="s">
        <v>2815</v>
      </c>
      <c r="J4625" s="36">
        <f>42+0.26/60</f>
        <v>42.004333333333335</v>
      </c>
      <c r="K4625" s="36">
        <f>-93-47.31/60</f>
        <v>-93.788499999999999</v>
      </c>
      <c r="L4625" s="36">
        <v>334</v>
      </c>
      <c r="M4625" s="36">
        <v>9.4</v>
      </c>
      <c r="N4625" s="36">
        <v>9.3000000000000007</v>
      </c>
      <c r="O4625" s="36">
        <v>1287</v>
      </c>
      <c r="P4625" s="36">
        <v>856</v>
      </c>
      <c r="R4625" s="51" t="s">
        <v>1847</v>
      </c>
      <c r="S4625" s="51" t="s">
        <v>1728</v>
      </c>
      <c r="T4625" s="51"/>
      <c r="U4625" s="51" t="s">
        <v>4655</v>
      </c>
      <c r="V4625" s="51" t="s">
        <v>1394</v>
      </c>
      <c r="W4625" s="51" t="s">
        <v>1722</v>
      </c>
      <c r="X4625" s="51" t="s">
        <v>1394</v>
      </c>
      <c r="Y4625" s="51" t="s">
        <v>1394</v>
      </c>
      <c r="Z4625" s="36">
        <v>1.26</v>
      </c>
      <c r="AA4625" s="331"/>
      <c r="AB4625" s="331"/>
      <c r="AC4625" s="36" t="s">
        <v>672</v>
      </c>
      <c r="AG4625" s="36" t="s">
        <v>4656</v>
      </c>
      <c r="AH4625" s="36" t="s">
        <v>131</v>
      </c>
      <c r="AI4625" s="36" t="s">
        <v>131</v>
      </c>
      <c r="AJ4625" s="36" t="s">
        <v>132</v>
      </c>
      <c r="AK4625" s="36" t="s">
        <v>132</v>
      </c>
      <c r="AL4625" s="36" t="s">
        <v>942</v>
      </c>
      <c r="AM4625" s="36" t="s">
        <v>942</v>
      </c>
      <c r="AN4625" s="36" t="s">
        <v>177</v>
      </c>
      <c r="AO4625" s="36" t="s">
        <v>218</v>
      </c>
      <c r="AP4625" s="36" t="s">
        <v>218</v>
      </c>
      <c r="AQ4625" s="36" t="s">
        <v>2126</v>
      </c>
      <c r="AR4625" s="36" t="s">
        <v>2126</v>
      </c>
      <c r="AS4625" s="36" t="s">
        <v>177</v>
      </c>
      <c r="AT4625" s="36" t="s">
        <v>4657</v>
      </c>
      <c r="AU4625" s="36" t="s">
        <v>4657</v>
      </c>
      <c r="AV4625" s="36" t="s">
        <v>177</v>
      </c>
      <c r="AW4625" s="36" t="s">
        <v>160</v>
      </c>
      <c r="AX4625" s="36">
        <v>5</v>
      </c>
      <c r="AZ4625" s="36" t="s">
        <v>141</v>
      </c>
      <c r="BK4625" s="36">
        <v>18570</v>
      </c>
      <c r="BL4625" s="36">
        <v>16720</v>
      </c>
      <c r="BO4625" s="36" t="s">
        <v>4662</v>
      </c>
      <c r="BP4625" s="407"/>
      <c r="BQ4625" s="407"/>
      <c r="BU4625" s="407">
        <v>4.9400000000000004</v>
      </c>
      <c r="BV4625" s="407">
        <v>5.44</v>
      </c>
      <c r="BY4625" s="36" t="s">
        <v>164</v>
      </c>
      <c r="BZ4625" s="407"/>
      <c r="CA4625" s="407"/>
      <c r="CG4625" s="28"/>
      <c r="CH4625" s="28"/>
      <c r="HJ4625" s="36">
        <v>37.4</v>
      </c>
      <c r="HK4625" s="36">
        <v>46.8</v>
      </c>
      <c r="HN4625" s="36" t="s">
        <v>4664</v>
      </c>
      <c r="JB4625" s="36" t="s">
        <v>4663</v>
      </c>
      <c r="JD4625" s="230"/>
    </row>
    <row r="4626" spans="1:264" s="36" customFormat="1" x14ac:dyDescent="0.25">
      <c r="A4626" s="36">
        <v>201</v>
      </c>
      <c r="B4626" s="51" t="s">
        <v>4660</v>
      </c>
      <c r="C4626" s="36" t="s">
        <v>4653</v>
      </c>
      <c r="D4626" s="36" t="s">
        <v>4654</v>
      </c>
      <c r="E4626" s="36">
        <v>2014</v>
      </c>
      <c r="F4626" s="36">
        <v>2010</v>
      </c>
      <c r="G4626" s="36" t="s">
        <v>151</v>
      </c>
      <c r="H4626" s="36" t="s">
        <v>460</v>
      </c>
      <c r="I4626" s="36" t="s">
        <v>2815</v>
      </c>
      <c r="J4626" s="36">
        <f>42+0.26/60</f>
        <v>42.004333333333335</v>
      </c>
      <c r="K4626" s="36">
        <f>-93-47.31/60</f>
        <v>-93.788499999999999</v>
      </c>
      <c r="L4626" s="36">
        <v>334</v>
      </c>
      <c r="M4626" s="36">
        <v>9.4</v>
      </c>
      <c r="N4626" s="36">
        <v>9.3000000000000007</v>
      </c>
      <c r="O4626" s="36">
        <v>1287</v>
      </c>
      <c r="P4626" s="36">
        <v>856</v>
      </c>
      <c r="R4626" s="51" t="s">
        <v>1847</v>
      </c>
      <c r="S4626" s="51" t="s">
        <v>1728</v>
      </c>
      <c r="T4626" s="51"/>
      <c r="U4626" s="51" t="s">
        <v>4655</v>
      </c>
      <c r="V4626" s="51" t="s">
        <v>1394</v>
      </c>
      <c r="W4626" s="51" t="s">
        <v>1722</v>
      </c>
      <c r="X4626" s="51" t="s">
        <v>1394</v>
      </c>
      <c r="Y4626" s="51" t="s">
        <v>1394</v>
      </c>
      <c r="Z4626" s="36">
        <v>1.26</v>
      </c>
      <c r="AA4626" s="331"/>
      <c r="AB4626" s="331"/>
      <c r="AC4626" s="36" t="s">
        <v>672</v>
      </c>
      <c r="AG4626" s="36" t="s">
        <v>4656</v>
      </c>
      <c r="AH4626" s="36" t="s">
        <v>131</v>
      </c>
      <c r="AI4626" s="36" t="s">
        <v>131</v>
      </c>
      <c r="AJ4626" s="36" t="s">
        <v>132</v>
      </c>
      <c r="AK4626" s="36" t="s">
        <v>132</v>
      </c>
      <c r="AL4626" s="36" t="s">
        <v>942</v>
      </c>
      <c r="AM4626" s="36" t="s">
        <v>942</v>
      </c>
      <c r="AN4626" s="36" t="s">
        <v>177</v>
      </c>
      <c r="AO4626" s="36" t="s">
        <v>218</v>
      </c>
      <c r="AP4626" s="36" t="s">
        <v>218</v>
      </c>
      <c r="AQ4626" s="36" t="s">
        <v>2126</v>
      </c>
      <c r="AR4626" s="36" t="s">
        <v>2126</v>
      </c>
      <c r="AS4626" s="36" t="s">
        <v>177</v>
      </c>
      <c r="AT4626" s="36" t="s">
        <v>4657</v>
      </c>
      <c r="AU4626" s="36" t="s">
        <v>4657</v>
      </c>
      <c r="AV4626" s="36" t="s">
        <v>177</v>
      </c>
      <c r="AW4626" s="36" t="s">
        <v>160</v>
      </c>
      <c r="AX4626" s="36">
        <v>5</v>
      </c>
      <c r="AZ4626" s="36" t="s">
        <v>141</v>
      </c>
      <c r="BK4626" s="36">
        <v>18570</v>
      </c>
      <c r="BL4626" s="36">
        <v>19580</v>
      </c>
      <c r="BO4626" s="36" t="s">
        <v>4662</v>
      </c>
      <c r="BP4626" s="407"/>
      <c r="BQ4626" s="407"/>
      <c r="BU4626" s="407">
        <v>4.9400000000000004</v>
      </c>
      <c r="BV4626" s="407">
        <v>5.67</v>
      </c>
      <c r="BY4626" s="36" t="s">
        <v>164</v>
      </c>
      <c r="BZ4626" s="407"/>
      <c r="CA4626" s="407"/>
      <c r="CG4626" s="28"/>
      <c r="CH4626" s="28"/>
      <c r="HJ4626" s="36">
        <v>37.4</v>
      </c>
      <c r="HK4626" s="36">
        <v>49.2</v>
      </c>
      <c r="HN4626" s="36" t="s">
        <v>4664</v>
      </c>
      <c r="JB4626" s="36" t="s">
        <v>4663</v>
      </c>
      <c r="JD4626" s="230"/>
    </row>
    <row r="4627" spans="1:264" s="36" customFormat="1" x14ac:dyDescent="0.25">
      <c r="A4627" s="36">
        <v>201</v>
      </c>
      <c r="B4627" s="51" t="s">
        <v>4661</v>
      </c>
      <c r="C4627" s="36" t="s">
        <v>4653</v>
      </c>
      <c r="D4627" s="36" t="s">
        <v>4654</v>
      </c>
      <c r="E4627" s="36">
        <v>2014</v>
      </c>
      <c r="F4627" s="36">
        <v>2010</v>
      </c>
      <c r="G4627" s="36" t="s">
        <v>151</v>
      </c>
      <c r="H4627" s="36" t="s">
        <v>460</v>
      </c>
      <c r="I4627" s="36" t="s">
        <v>2815</v>
      </c>
      <c r="J4627" s="36">
        <f>42+0.26/60</f>
        <v>42.004333333333335</v>
      </c>
      <c r="K4627" s="36">
        <f>-93-47.31/60</f>
        <v>-93.788499999999999</v>
      </c>
      <c r="L4627" s="36">
        <v>334</v>
      </c>
      <c r="M4627" s="36">
        <v>9.4</v>
      </c>
      <c r="N4627" s="36">
        <v>9.3000000000000007</v>
      </c>
      <c r="O4627" s="36">
        <v>1287</v>
      </c>
      <c r="P4627" s="36">
        <v>856</v>
      </c>
      <c r="R4627" s="51" t="s">
        <v>1847</v>
      </c>
      <c r="S4627" s="51" t="s">
        <v>1728</v>
      </c>
      <c r="T4627" s="51"/>
      <c r="U4627" s="51" t="s">
        <v>4655</v>
      </c>
      <c r="V4627" s="51" t="s">
        <v>1394</v>
      </c>
      <c r="W4627" s="51" t="s">
        <v>1722</v>
      </c>
      <c r="X4627" s="51" t="s">
        <v>1394</v>
      </c>
      <c r="Y4627" s="51" t="s">
        <v>1394</v>
      </c>
      <c r="Z4627" s="36">
        <v>1.26</v>
      </c>
      <c r="AA4627" s="331"/>
      <c r="AB4627" s="331"/>
      <c r="AC4627" s="36" t="s">
        <v>672</v>
      </c>
      <c r="AG4627" s="36" t="s">
        <v>4656</v>
      </c>
      <c r="AH4627" s="36" t="s">
        <v>131</v>
      </c>
      <c r="AI4627" s="36" t="s">
        <v>131</v>
      </c>
      <c r="AJ4627" s="36" t="s">
        <v>132</v>
      </c>
      <c r="AK4627" s="36" t="s">
        <v>132</v>
      </c>
      <c r="AL4627" s="36" t="s">
        <v>942</v>
      </c>
      <c r="AM4627" s="36" t="s">
        <v>942</v>
      </c>
      <c r="AN4627" s="36" t="s">
        <v>177</v>
      </c>
      <c r="AO4627" s="36" t="s">
        <v>218</v>
      </c>
      <c r="AP4627" s="36" t="s">
        <v>218</v>
      </c>
      <c r="AQ4627" s="36" t="s">
        <v>2126</v>
      </c>
      <c r="AR4627" s="36" t="s">
        <v>2126</v>
      </c>
      <c r="AS4627" s="36" t="s">
        <v>177</v>
      </c>
      <c r="AT4627" s="36" t="s">
        <v>4657</v>
      </c>
      <c r="AU4627" s="36" t="s">
        <v>4657</v>
      </c>
      <c r="AV4627" s="36" t="s">
        <v>177</v>
      </c>
      <c r="AW4627" s="36" t="s">
        <v>160</v>
      </c>
      <c r="AX4627" s="36">
        <v>5</v>
      </c>
      <c r="AZ4627" s="36" t="s">
        <v>141</v>
      </c>
      <c r="BK4627" s="36">
        <v>18570</v>
      </c>
      <c r="BL4627" s="36">
        <v>17260</v>
      </c>
      <c r="BO4627" s="36" t="s">
        <v>4662</v>
      </c>
      <c r="BP4627" s="407"/>
      <c r="BQ4627" s="407"/>
      <c r="BU4627" s="407">
        <v>4.9400000000000004</v>
      </c>
      <c r="BV4627" s="407">
        <v>5.04</v>
      </c>
      <c r="BY4627" s="36" t="s">
        <v>164</v>
      </c>
      <c r="BZ4627" s="407"/>
      <c r="CA4627" s="407"/>
      <c r="CG4627" s="28"/>
      <c r="CH4627" s="28"/>
      <c r="HJ4627" s="36">
        <v>37.4</v>
      </c>
      <c r="HK4627" s="36">
        <v>44.3</v>
      </c>
      <c r="HN4627" s="36" t="s">
        <v>4664</v>
      </c>
      <c r="JB4627" s="36" t="s">
        <v>4663</v>
      </c>
      <c r="JD4627" s="230"/>
    </row>
    <row r="4628" spans="1:264" s="126" customFormat="1" x14ac:dyDescent="0.25">
      <c r="A4628" s="126">
        <v>201</v>
      </c>
      <c r="B4628" s="478" t="s">
        <v>4658</v>
      </c>
      <c r="C4628" s="126" t="s">
        <v>4653</v>
      </c>
      <c r="D4628" s="126" t="s">
        <v>4654</v>
      </c>
      <c r="E4628" s="126">
        <v>2014</v>
      </c>
      <c r="F4628" s="126">
        <v>2011</v>
      </c>
      <c r="G4628" s="126" t="s">
        <v>151</v>
      </c>
      <c r="H4628" s="126" t="s">
        <v>460</v>
      </c>
      <c r="I4628" s="126" t="s">
        <v>2815</v>
      </c>
      <c r="J4628" s="126">
        <f>42+0.26/60</f>
        <v>42.004333333333335</v>
      </c>
      <c r="K4628" s="126">
        <f>-93-47.31/60</f>
        <v>-93.788499999999999</v>
      </c>
      <c r="L4628" s="126">
        <v>334</v>
      </c>
      <c r="M4628" s="126">
        <v>9.4</v>
      </c>
      <c r="N4628" s="126">
        <v>9.3000000000000007</v>
      </c>
      <c r="O4628" s="126">
        <v>826</v>
      </c>
      <c r="P4628" s="126">
        <v>856</v>
      </c>
      <c r="R4628" s="478" t="s">
        <v>1728</v>
      </c>
      <c r="S4628" s="478" t="s">
        <v>1728</v>
      </c>
      <c r="T4628" s="478"/>
      <c r="U4628" s="478" t="s">
        <v>4655</v>
      </c>
      <c r="V4628" s="478" t="s">
        <v>1394</v>
      </c>
      <c r="W4628" s="478" t="s">
        <v>1722</v>
      </c>
      <c r="X4628" s="478" t="s">
        <v>1394</v>
      </c>
      <c r="Y4628" s="478" t="s">
        <v>1394</v>
      </c>
      <c r="Z4628" s="126">
        <v>1.26</v>
      </c>
      <c r="AA4628" s="479"/>
      <c r="AB4628" s="479"/>
      <c r="AC4628" s="126" t="s">
        <v>672</v>
      </c>
      <c r="AG4628" s="126" t="s">
        <v>4656</v>
      </c>
      <c r="AH4628" s="126" t="s">
        <v>131</v>
      </c>
      <c r="AI4628" s="126" t="s">
        <v>131</v>
      </c>
      <c r="AJ4628" s="126" t="s">
        <v>158</v>
      </c>
      <c r="AK4628" s="126" t="s">
        <v>158</v>
      </c>
      <c r="AL4628" s="126" t="s">
        <v>942</v>
      </c>
      <c r="AM4628" s="126" t="s">
        <v>942</v>
      </c>
      <c r="AN4628" s="126" t="s">
        <v>177</v>
      </c>
      <c r="AO4628" s="126" t="s">
        <v>218</v>
      </c>
      <c r="AP4628" s="126" t="s">
        <v>218</v>
      </c>
      <c r="AQ4628" s="126" t="s">
        <v>2126</v>
      </c>
      <c r="AR4628" s="126" t="s">
        <v>2126</v>
      </c>
      <c r="AS4628" s="126" t="s">
        <v>177</v>
      </c>
      <c r="AT4628" s="126" t="s">
        <v>4657</v>
      </c>
      <c r="AU4628" s="126" t="s">
        <v>4657</v>
      </c>
      <c r="AV4628" s="126" t="s">
        <v>177</v>
      </c>
      <c r="AW4628" s="126" t="s">
        <v>160</v>
      </c>
      <c r="AX4628" s="126">
        <v>5</v>
      </c>
      <c r="AZ4628" s="126" t="s">
        <v>141</v>
      </c>
      <c r="BK4628" s="126">
        <v>3410</v>
      </c>
      <c r="BL4628" s="126">
        <v>3510</v>
      </c>
      <c r="BO4628" s="126" t="s">
        <v>4662</v>
      </c>
      <c r="BP4628" s="481"/>
      <c r="BQ4628" s="481"/>
      <c r="BU4628" s="481">
        <v>4.93</v>
      </c>
      <c r="BV4628" s="481">
        <v>5.44</v>
      </c>
      <c r="BY4628" s="126" t="s">
        <v>164</v>
      </c>
      <c r="BZ4628" s="481"/>
      <c r="CA4628" s="481"/>
      <c r="CG4628" s="33"/>
      <c r="CH4628" s="33"/>
      <c r="JB4628" s="126" t="s">
        <v>4663</v>
      </c>
      <c r="JD4628" s="480"/>
    </row>
    <row r="4629" spans="1:264" s="126" customFormat="1" x14ac:dyDescent="0.25">
      <c r="A4629" s="126">
        <v>201</v>
      </c>
      <c r="B4629" s="478" t="s">
        <v>4658</v>
      </c>
      <c r="C4629" s="126" t="s">
        <v>4653</v>
      </c>
      <c r="D4629" s="126" t="s">
        <v>4654</v>
      </c>
      <c r="E4629" s="126">
        <v>2014</v>
      </c>
      <c r="F4629" s="126">
        <v>2011</v>
      </c>
      <c r="G4629" s="126" t="s">
        <v>151</v>
      </c>
      <c r="H4629" s="126" t="s">
        <v>460</v>
      </c>
      <c r="I4629" s="126" t="s">
        <v>2815</v>
      </c>
      <c r="J4629" s="126">
        <f>42+0.26/60</f>
        <v>42.004333333333335</v>
      </c>
      <c r="K4629" s="126">
        <f>-93-47.31/60</f>
        <v>-93.788499999999999</v>
      </c>
      <c r="L4629" s="126">
        <v>334</v>
      </c>
      <c r="M4629" s="126">
        <v>9.4</v>
      </c>
      <c r="N4629" s="126">
        <v>9.3000000000000007</v>
      </c>
      <c r="O4629" s="126">
        <v>826</v>
      </c>
      <c r="P4629" s="126">
        <v>856</v>
      </c>
      <c r="R4629" s="478" t="s">
        <v>1728</v>
      </c>
      <c r="S4629" s="478" t="s">
        <v>1728</v>
      </c>
      <c r="T4629" s="478"/>
      <c r="U4629" s="478" t="s">
        <v>4655</v>
      </c>
      <c r="V4629" s="478" t="s">
        <v>1394</v>
      </c>
      <c r="W4629" s="478" t="s">
        <v>1722</v>
      </c>
      <c r="X4629" s="478" t="s">
        <v>1394</v>
      </c>
      <c r="Y4629" s="478" t="s">
        <v>1394</v>
      </c>
      <c r="Z4629" s="126">
        <v>1.26</v>
      </c>
      <c r="AA4629" s="479"/>
      <c r="AB4629" s="479"/>
      <c r="AC4629" s="126" t="s">
        <v>672</v>
      </c>
      <c r="AG4629" s="126" t="s">
        <v>4656</v>
      </c>
      <c r="AH4629" s="126" t="s">
        <v>131</v>
      </c>
      <c r="AI4629" s="126" t="s">
        <v>131</v>
      </c>
      <c r="AJ4629" s="126" t="s">
        <v>158</v>
      </c>
      <c r="AK4629" s="126" t="s">
        <v>158</v>
      </c>
      <c r="AL4629" s="126" t="s">
        <v>942</v>
      </c>
      <c r="AM4629" s="126" t="s">
        <v>942</v>
      </c>
      <c r="AN4629" s="126" t="s">
        <v>177</v>
      </c>
      <c r="AO4629" s="126" t="s">
        <v>218</v>
      </c>
      <c r="AP4629" s="126" t="s">
        <v>218</v>
      </c>
      <c r="AQ4629" s="126" t="s">
        <v>2126</v>
      </c>
      <c r="AR4629" s="126" t="s">
        <v>2126</v>
      </c>
      <c r="AS4629" s="126" t="s">
        <v>177</v>
      </c>
      <c r="AT4629" s="126" t="s">
        <v>4657</v>
      </c>
      <c r="AU4629" s="126" t="s">
        <v>4657</v>
      </c>
      <c r="AV4629" s="126" t="s">
        <v>177</v>
      </c>
      <c r="AW4629" s="126" t="s">
        <v>160</v>
      </c>
      <c r="AX4629" s="126">
        <v>5</v>
      </c>
      <c r="AZ4629" s="126" t="s">
        <v>141</v>
      </c>
      <c r="BK4629" s="126">
        <v>3410</v>
      </c>
      <c r="BL4629" s="126">
        <v>3510</v>
      </c>
      <c r="BO4629" s="126" t="s">
        <v>4662</v>
      </c>
      <c r="BP4629" s="481"/>
      <c r="BQ4629" s="481"/>
      <c r="BU4629" s="481">
        <v>4.93</v>
      </c>
      <c r="BV4629" s="481">
        <v>5.65</v>
      </c>
      <c r="BY4629" s="126" t="s">
        <v>164</v>
      </c>
      <c r="BZ4629" s="481"/>
      <c r="CA4629" s="481"/>
      <c r="CG4629" s="33"/>
      <c r="CH4629" s="33"/>
      <c r="JB4629" s="126" t="s">
        <v>4663</v>
      </c>
      <c r="JD4629" s="480"/>
    </row>
    <row r="4630" spans="1:264" s="126" customFormat="1" x14ac:dyDescent="0.25">
      <c r="A4630" s="126">
        <v>201</v>
      </c>
      <c r="B4630" s="478" t="s">
        <v>4658</v>
      </c>
      <c r="C4630" s="126" t="s">
        <v>4653</v>
      </c>
      <c r="D4630" s="126" t="s">
        <v>4654</v>
      </c>
      <c r="E4630" s="126">
        <v>2014</v>
      </c>
      <c r="F4630" s="126">
        <v>2011</v>
      </c>
      <c r="G4630" s="126" t="s">
        <v>151</v>
      </c>
      <c r="H4630" s="126" t="s">
        <v>460</v>
      </c>
      <c r="I4630" s="126" t="s">
        <v>2815</v>
      </c>
      <c r="J4630" s="126">
        <f>42+0.26/60</f>
        <v>42.004333333333335</v>
      </c>
      <c r="K4630" s="126">
        <f>-93-47.31/60</f>
        <v>-93.788499999999999</v>
      </c>
      <c r="L4630" s="126">
        <v>334</v>
      </c>
      <c r="M4630" s="126">
        <v>9.4</v>
      </c>
      <c r="N4630" s="126">
        <v>9.3000000000000007</v>
      </c>
      <c r="O4630" s="126">
        <v>826</v>
      </c>
      <c r="P4630" s="126">
        <v>856</v>
      </c>
      <c r="R4630" s="478" t="s">
        <v>1728</v>
      </c>
      <c r="S4630" s="478" t="s">
        <v>1728</v>
      </c>
      <c r="T4630" s="478"/>
      <c r="U4630" s="478" t="s">
        <v>4655</v>
      </c>
      <c r="V4630" s="478" t="s">
        <v>1394</v>
      </c>
      <c r="W4630" s="478" t="s">
        <v>1722</v>
      </c>
      <c r="X4630" s="478" t="s">
        <v>1394</v>
      </c>
      <c r="Y4630" s="478" t="s">
        <v>1394</v>
      </c>
      <c r="Z4630" s="126">
        <v>1.26</v>
      </c>
      <c r="AA4630" s="479"/>
      <c r="AB4630" s="479"/>
      <c r="AC4630" s="126" t="s">
        <v>672</v>
      </c>
      <c r="AG4630" s="126" t="s">
        <v>4656</v>
      </c>
      <c r="AH4630" s="126" t="s">
        <v>131</v>
      </c>
      <c r="AI4630" s="126" t="s">
        <v>131</v>
      </c>
      <c r="AJ4630" s="126" t="s">
        <v>158</v>
      </c>
      <c r="AK4630" s="126" t="s">
        <v>158</v>
      </c>
      <c r="AL4630" s="126" t="s">
        <v>942</v>
      </c>
      <c r="AM4630" s="126" t="s">
        <v>942</v>
      </c>
      <c r="AN4630" s="126" t="s">
        <v>177</v>
      </c>
      <c r="AO4630" s="126" t="s">
        <v>218</v>
      </c>
      <c r="AP4630" s="126" t="s">
        <v>218</v>
      </c>
      <c r="AQ4630" s="126" t="s">
        <v>2126</v>
      </c>
      <c r="AR4630" s="126" t="s">
        <v>2126</v>
      </c>
      <c r="AS4630" s="126" t="s">
        <v>177</v>
      </c>
      <c r="AT4630" s="126" t="s">
        <v>4657</v>
      </c>
      <c r="AU4630" s="126" t="s">
        <v>4657</v>
      </c>
      <c r="AV4630" s="126" t="s">
        <v>177</v>
      </c>
      <c r="AW4630" s="126" t="s">
        <v>160</v>
      </c>
      <c r="AX4630" s="126">
        <v>5</v>
      </c>
      <c r="AZ4630" s="126" t="s">
        <v>141</v>
      </c>
      <c r="BK4630" s="126">
        <v>3410</v>
      </c>
      <c r="BL4630" s="126">
        <v>3290</v>
      </c>
      <c r="BO4630" s="126" t="s">
        <v>4662</v>
      </c>
      <c r="BP4630" s="481"/>
      <c r="BQ4630" s="481"/>
      <c r="BU4630" s="481">
        <v>4.93</v>
      </c>
      <c r="BV4630" s="481">
        <v>4.95</v>
      </c>
      <c r="BY4630" s="126" t="s">
        <v>164</v>
      </c>
      <c r="BZ4630" s="481"/>
      <c r="CA4630" s="481"/>
      <c r="CG4630" s="33"/>
      <c r="CH4630" s="33"/>
      <c r="JB4630" s="126" t="s">
        <v>4663</v>
      </c>
      <c r="JD4630" s="480"/>
    </row>
    <row r="4631" spans="1:264" x14ac:dyDescent="0.25">
      <c r="A4631" s="37">
        <v>201</v>
      </c>
      <c r="B4631" s="50" t="s">
        <v>4658</v>
      </c>
      <c r="C4631" s="37" t="s">
        <v>4653</v>
      </c>
      <c r="D4631" s="37" t="s">
        <v>4654</v>
      </c>
      <c r="E4631" s="37">
        <v>2014</v>
      </c>
      <c r="F4631" s="37">
        <v>2009</v>
      </c>
      <c r="G4631" s="37" t="s">
        <v>151</v>
      </c>
      <c r="H4631" s="37" t="s">
        <v>460</v>
      </c>
      <c r="I4631" s="37" t="s">
        <v>2815</v>
      </c>
      <c r="J4631" s="37">
        <f>42+0.26/60</f>
        <v>42.004333333333335</v>
      </c>
      <c r="K4631" s="37">
        <f>-93-47.31/60</f>
        <v>-93.788499999999999</v>
      </c>
      <c r="L4631" s="37">
        <v>334</v>
      </c>
      <c r="M4631" s="37">
        <v>8.9</v>
      </c>
      <c r="N4631" s="37">
        <v>9.3000000000000007</v>
      </c>
      <c r="O4631" s="37">
        <v>945</v>
      </c>
      <c r="P4631" s="37">
        <v>856</v>
      </c>
      <c r="R4631" s="50" t="s">
        <v>1977</v>
      </c>
      <c r="S4631" s="50" t="s">
        <v>1728</v>
      </c>
      <c r="U4631" s="50" t="s">
        <v>4655</v>
      </c>
      <c r="V4631" s="50" t="s">
        <v>1388</v>
      </c>
      <c r="W4631" s="50" t="s">
        <v>1719</v>
      </c>
      <c r="X4631" s="50" t="s">
        <v>1388</v>
      </c>
      <c r="Y4631" s="50" t="s">
        <v>1388</v>
      </c>
      <c r="Z4631" s="37">
        <v>1.45</v>
      </c>
      <c r="AC4631" s="37" t="s">
        <v>672</v>
      </c>
      <c r="AG4631" s="37" t="s">
        <v>4656</v>
      </c>
      <c r="AH4631" s="37" t="s">
        <v>131</v>
      </c>
      <c r="AI4631" s="37" t="s">
        <v>131</v>
      </c>
      <c r="AJ4631" s="37" t="s">
        <v>132</v>
      </c>
      <c r="AK4631" s="37" t="s">
        <v>132</v>
      </c>
      <c r="AL4631" s="37" t="s">
        <v>942</v>
      </c>
      <c r="AM4631" s="37" t="s">
        <v>942</v>
      </c>
      <c r="AN4631" s="37" t="s">
        <v>177</v>
      </c>
      <c r="AO4631" s="37" t="s">
        <v>218</v>
      </c>
      <c r="AP4631" s="37" t="s">
        <v>218</v>
      </c>
      <c r="AQ4631" s="37" t="s">
        <v>2126</v>
      </c>
      <c r="AR4631" s="37" t="s">
        <v>2126</v>
      </c>
      <c r="AS4631" s="37" t="s">
        <v>177</v>
      </c>
      <c r="AT4631" s="37" t="s">
        <v>4657</v>
      </c>
      <c r="AU4631" s="37" t="s">
        <v>4657</v>
      </c>
      <c r="AV4631" s="37" t="s">
        <v>177</v>
      </c>
      <c r="AW4631" s="37" t="s">
        <v>160</v>
      </c>
      <c r="AX4631" s="37">
        <v>5</v>
      </c>
      <c r="AZ4631" s="37" t="s">
        <v>141</v>
      </c>
      <c r="BK4631" s="37">
        <v>19210</v>
      </c>
      <c r="BL4631" s="37">
        <v>19210</v>
      </c>
      <c r="BO4631" s="37" t="s">
        <v>4662</v>
      </c>
      <c r="BU4631" s="406">
        <v>4.66</v>
      </c>
      <c r="BV4631" s="406">
        <v>4.79</v>
      </c>
      <c r="BY4631" s="37" t="s">
        <v>164</v>
      </c>
      <c r="HJ4631" s="37">
        <v>16.2</v>
      </c>
      <c r="HK4631" s="37">
        <v>21.5</v>
      </c>
      <c r="HN4631" s="37" t="s">
        <v>4664</v>
      </c>
      <c r="JB4631" s="37" t="s">
        <v>4663</v>
      </c>
    </row>
    <row r="4632" spans="1:264" x14ac:dyDescent="0.25">
      <c r="A4632" s="37">
        <v>201</v>
      </c>
      <c r="B4632" s="50" t="s">
        <v>4659</v>
      </c>
      <c r="C4632" s="37" t="s">
        <v>4653</v>
      </c>
      <c r="D4632" s="37" t="s">
        <v>4654</v>
      </c>
      <c r="E4632" s="37">
        <v>2014</v>
      </c>
      <c r="F4632" s="37">
        <v>2009</v>
      </c>
      <c r="G4632" s="37" t="s">
        <v>151</v>
      </c>
      <c r="H4632" s="37" t="s">
        <v>460</v>
      </c>
      <c r="I4632" s="37" t="s">
        <v>2815</v>
      </c>
      <c r="J4632" s="37">
        <f>42+0.26/60</f>
        <v>42.004333333333335</v>
      </c>
      <c r="K4632" s="37">
        <f>-93-47.31/60</f>
        <v>-93.788499999999999</v>
      </c>
      <c r="L4632" s="37">
        <v>334</v>
      </c>
      <c r="M4632" s="37">
        <v>8.9</v>
      </c>
      <c r="N4632" s="37">
        <v>9.3000000000000007</v>
      </c>
      <c r="O4632" s="37">
        <v>945</v>
      </c>
      <c r="P4632" s="37">
        <v>856</v>
      </c>
      <c r="R4632" s="50" t="s">
        <v>1977</v>
      </c>
      <c r="S4632" s="50" t="s">
        <v>1728</v>
      </c>
      <c r="U4632" s="50" t="s">
        <v>4655</v>
      </c>
      <c r="V4632" s="50" t="s">
        <v>1388</v>
      </c>
      <c r="W4632" s="50" t="s">
        <v>1719</v>
      </c>
      <c r="X4632" s="50" t="s">
        <v>1388</v>
      </c>
      <c r="Y4632" s="50" t="s">
        <v>1388</v>
      </c>
      <c r="Z4632" s="37">
        <v>1.45</v>
      </c>
      <c r="AC4632" s="37" t="s">
        <v>672</v>
      </c>
      <c r="AG4632" s="37" t="s">
        <v>4656</v>
      </c>
      <c r="AH4632" s="37" t="s">
        <v>131</v>
      </c>
      <c r="AI4632" s="37" t="s">
        <v>131</v>
      </c>
      <c r="AJ4632" s="37" t="s">
        <v>132</v>
      </c>
      <c r="AK4632" s="37" t="s">
        <v>132</v>
      </c>
      <c r="AL4632" s="37" t="s">
        <v>942</v>
      </c>
      <c r="AM4632" s="37" t="s">
        <v>942</v>
      </c>
      <c r="AN4632" s="37" t="s">
        <v>177</v>
      </c>
      <c r="AO4632" s="37" t="s">
        <v>218</v>
      </c>
      <c r="AP4632" s="37" t="s">
        <v>218</v>
      </c>
      <c r="AQ4632" s="37" t="s">
        <v>2126</v>
      </c>
      <c r="AR4632" s="37" t="s">
        <v>2126</v>
      </c>
      <c r="AS4632" s="37" t="s">
        <v>177</v>
      </c>
      <c r="AT4632" s="37" t="s">
        <v>4657</v>
      </c>
      <c r="AU4632" s="37" t="s">
        <v>4657</v>
      </c>
      <c r="AV4632" s="37" t="s">
        <v>177</v>
      </c>
      <c r="AW4632" s="37" t="s">
        <v>160</v>
      </c>
      <c r="AX4632" s="37">
        <v>5</v>
      </c>
      <c r="AZ4632" s="37" t="s">
        <v>141</v>
      </c>
      <c r="BK4632" s="37">
        <v>19210</v>
      </c>
      <c r="BL4632" s="37">
        <v>19600</v>
      </c>
      <c r="BO4632" s="37" t="s">
        <v>4662</v>
      </c>
      <c r="BU4632" s="406">
        <v>4.66</v>
      </c>
      <c r="BV4632" s="406">
        <v>4.87</v>
      </c>
      <c r="BY4632" s="37" t="s">
        <v>164</v>
      </c>
      <c r="HJ4632" s="37">
        <v>16.2</v>
      </c>
      <c r="HK4632" s="37">
        <v>21.9</v>
      </c>
      <c r="HN4632" s="37" t="s">
        <v>4664</v>
      </c>
      <c r="JB4632" s="37" t="s">
        <v>4663</v>
      </c>
    </row>
    <row r="4633" spans="1:264" x14ac:dyDescent="0.25">
      <c r="A4633" s="37">
        <v>201</v>
      </c>
      <c r="B4633" s="50" t="s">
        <v>4660</v>
      </c>
      <c r="C4633" s="37" t="s">
        <v>4653</v>
      </c>
      <c r="D4633" s="37" t="s">
        <v>4654</v>
      </c>
      <c r="E4633" s="37">
        <v>2014</v>
      </c>
      <c r="F4633" s="37">
        <v>2009</v>
      </c>
      <c r="G4633" s="37" t="s">
        <v>151</v>
      </c>
      <c r="H4633" s="37" t="s">
        <v>460</v>
      </c>
      <c r="I4633" s="37" t="s">
        <v>2815</v>
      </c>
      <c r="J4633" s="37">
        <f>42+0.26/60</f>
        <v>42.004333333333335</v>
      </c>
      <c r="K4633" s="37">
        <f>-93-47.31/60</f>
        <v>-93.788499999999999</v>
      </c>
      <c r="L4633" s="37">
        <v>334</v>
      </c>
      <c r="M4633" s="37">
        <v>8.9</v>
      </c>
      <c r="N4633" s="37">
        <v>9.3000000000000007</v>
      </c>
      <c r="O4633" s="37">
        <v>945</v>
      </c>
      <c r="P4633" s="37">
        <v>856</v>
      </c>
      <c r="R4633" s="50" t="s">
        <v>1977</v>
      </c>
      <c r="S4633" s="50" t="s">
        <v>1728</v>
      </c>
      <c r="U4633" s="50" t="s">
        <v>4655</v>
      </c>
      <c r="V4633" s="50" t="s">
        <v>1388</v>
      </c>
      <c r="W4633" s="50" t="s">
        <v>1719</v>
      </c>
      <c r="X4633" s="50" t="s">
        <v>1388</v>
      </c>
      <c r="Y4633" s="50" t="s">
        <v>1388</v>
      </c>
      <c r="Z4633" s="37">
        <v>1.45</v>
      </c>
      <c r="AC4633" s="37" t="s">
        <v>672</v>
      </c>
      <c r="AG4633" s="37" t="s">
        <v>4656</v>
      </c>
      <c r="AH4633" s="37" t="s">
        <v>131</v>
      </c>
      <c r="AI4633" s="37" t="s">
        <v>131</v>
      </c>
      <c r="AJ4633" s="37" t="s">
        <v>132</v>
      </c>
      <c r="AK4633" s="37" t="s">
        <v>132</v>
      </c>
      <c r="AL4633" s="37" t="s">
        <v>942</v>
      </c>
      <c r="AM4633" s="37" t="s">
        <v>942</v>
      </c>
      <c r="AN4633" s="37" t="s">
        <v>177</v>
      </c>
      <c r="AO4633" s="37" t="s">
        <v>218</v>
      </c>
      <c r="AP4633" s="37" t="s">
        <v>218</v>
      </c>
      <c r="AQ4633" s="37" t="s">
        <v>2126</v>
      </c>
      <c r="AR4633" s="37" t="s">
        <v>2126</v>
      </c>
      <c r="AS4633" s="37" t="s">
        <v>177</v>
      </c>
      <c r="AT4633" s="37" t="s">
        <v>4657</v>
      </c>
      <c r="AU4633" s="37" t="s">
        <v>4657</v>
      </c>
      <c r="AV4633" s="37" t="s">
        <v>177</v>
      </c>
      <c r="AW4633" s="37" t="s">
        <v>160</v>
      </c>
      <c r="AX4633" s="37">
        <v>5</v>
      </c>
      <c r="AZ4633" s="37" t="s">
        <v>141</v>
      </c>
      <c r="BK4633" s="37">
        <v>19210</v>
      </c>
      <c r="BL4633" s="37">
        <v>19610</v>
      </c>
      <c r="BO4633" s="37" t="s">
        <v>4662</v>
      </c>
      <c r="BU4633" s="406">
        <v>4.66</v>
      </c>
      <c r="BV4633" s="406">
        <v>4.66</v>
      </c>
      <c r="BY4633" s="37" t="s">
        <v>164</v>
      </c>
      <c r="HJ4633" s="37">
        <v>16.2</v>
      </c>
      <c r="HK4633" s="37">
        <v>19.7</v>
      </c>
      <c r="HN4633" s="37" t="s">
        <v>4664</v>
      </c>
      <c r="JB4633" s="37" t="s">
        <v>4663</v>
      </c>
    </row>
    <row r="4634" spans="1:264" s="36" customFormat="1" x14ac:dyDescent="0.25">
      <c r="A4634" s="36">
        <v>201</v>
      </c>
      <c r="B4634" s="51" t="s">
        <v>4659</v>
      </c>
      <c r="C4634" s="36" t="s">
        <v>4653</v>
      </c>
      <c r="D4634" s="36" t="s">
        <v>4654</v>
      </c>
      <c r="E4634" s="36">
        <v>2014</v>
      </c>
      <c r="F4634" s="36">
        <v>2010</v>
      </c>
      <c r="G4634" s="36" t="s">
        <v>151</v>
      </c>
      <c r="H4634" s="36" t="s">
        <v>460</v>
      </c>
      <c r="I4634" s="36" t="s">
        <v>2815</v>
      </c>
      <c r="J4634" s="36">
        <f>42+0.26/60</f>
        <v>42.004333333333335</v>
      </c>
      <c r="K4634" s="36">
        <f>-93-47.31/60</f>
        <v>-93.788499999999999</v>
      </c>
      <c r="L4634" s="36">
        <v>334</v>
      </c>
      <c r="M4634" s="36">
        <v>9.4</v>
      </c>
      <c r="N4634" s="36">
        <v>9.3000000000000007</v>
      </c>
      <c r="O4634" s="36">
        <v>1287</v>
      </c>
      <c r="P4634" s="36">
        <v>856</v>
      </c>
      <c r="R4634" s="51" t="s">
        <v>1847</v>
      </c>
      <c r="S4634" s="51" t="s">
        <v>1728</v>
      </c>
      <c r="T4634" s="51"/>
      <c r="U4634" s="51" t="s">
        <v>4655</v>
      </c>
      <c r="V4634" s="51" t="s">
        <v>1388</v>
      </c>
      <c r="W4634" s="51" t="s">
        <v>1719</v>
      </c>
      <c r="X4634" s="51" t="s">
        <v>1388</v>
      </c>
      <c r="Y4634" s="51" t="s">
        <v>1388</v>
      </c>
      <c r="Z4634" s="36">
        <v>1.45</v>
      </c>
      <c r="AA4634" s="331"/>
      <c r="AB4634" s="331"/>
      <c r="AC4634" s="36" t="s">
        <v>672</v>
      </c>
      <c r="AG4634" s="36" t="s">
        <v>4656</v>
      </c>
      <c r="AH4634" s="36" t="s">
        <v>131</v>
      </c>
      <c r="AI4634" s="36" t="s">
        <v>131</v>
      </c>
      <c r="AJ4634" s="36" t="s">
        <v>158</v>
      </c>
      <c r="AK4634" s="36" t="s">
        <v>158</v>
      </c>
      <c r="AL4634" s="36" t="s">
        <v>942</v>
      </c>
      <c r="AM4634" s="36" t="s">
        <v>942</v>
      </c>
      <c r="AN4634" s="36" t="s">
        <v>177</v>
      </c>
      <c r="AO4634" s="36" t="s">
        <v>218</v>
      </c>
      <c r="AP4634" s="36" t="s">
        <v>218</v>
      </c>
      <c r="AQ4634" s="36" t="s">
        <v>2126</v>
      </c>
      <c r="AR4634" s="36" t="s">
        <v>2126</v>
      </c>
      <c r="AS4634" s="36" t="s">
        <v>177</v>
      </c>
      <c r="AT4634" s="36" t="s">
        <v>4657</v>
      </c>
      <c r="AU4634" s="36" t="s">
        <v>4657</v>
      </c>
      <c r="AV4634" s="36" t="s">
        <v>177</v>
      </c>
      <c r="AW4634" s="36" t="s">
        <v>160</v>
      </c>
      <c r="AX4634" s="36">
        <v>5</v>
      </c>
      <c r="AZ4634" s="36" t="s">
        <v>141</v>
      </c>
      <c r="BK4634" s="36">
        <v>2660</v>
      </c>
      <c r="BL4634" s="36">
        <v>2920</v>
      </c>
      <c r="BO4634" s="36" t="s">
        <v>4662</v>
      </c>
      <c r="BP4634" s="407"/>
      <c r="BQ4634" s="407"/>
      <c r="BU4634" s="407">
        <v>4.8600000000000003</v>
      </c>
      <c r="BV4634" s="407">
        <v>4.91</v>
      </c>
      <c r="BY4634" s="36" t="s">
        <v>164</v>
      </c>
      <c r="BZ4634" s="407"/>
      <c r="CA4634" s="407"/>
      <c r="CG4634" s="28"/>
      <c r="CH4634" s="28"/>
      <c r="HJ4634" s="36">
        <v>20.8</v>
      </c>
      <c r="HK4634" s="36">
        <v>21.6</v>
      </c>
      <c r="HN4634" s="36" t="s">
        <v>4664</v>
      </c>
      <c r="JB4634" s="36" t="s">
        <v>4663</v>
      </c>
      <c r="JD4634" s="230"/>
    </row>
    <row r="4635" spans="1:264" s="36" customFormat="1" x14ac:dyDescent="0.25">
      <c r="A4635" s="36">
        <v>201</v>
      </c>
      <c r="B4635" s="51" t="s">
        <v>4660</v>
      </c>
      <c r="C4635" s="36" t="s">
        <v>4653</v>
      </c>
      <c r="D4635" s="36" t="s">
        <v>4654</v>
      </c>
      <c r="E4635" s="36">
        <v>2014</v>
      </c>
      <c r="F4635" s="36">
        <v>2010</v>
      </c>
      <c r="G4635" s="36" t="s">
        <v>151</v>
      </c>
      <c r="H4635" s="36" t="s">
        <v>460</v>
      </c>
      <c r="I4635" s="36" t="s">
        <v>2815</v>
      </c>
      <c r="J4635" s="36">
        <f>42+0.26/60</f>
        <v>42.004333333333335</v>
      </c>
      <c r="K4635" s="36">
        <f>-93-47.31/60</f>
        <v>-93.788499999999999</v>
      </c>
      <c r="L4635" s="36">
        <v>334</v>
      </c>
      <c r="M4635" s="36">
        <v>9.4</v>
      </c>
      <c r="N4635" s="36">
        <v>9.3000000000000007</v>
      </c>
      <c r="O4635" s="36">
        <v>1287</v>
      </c>
      <c r="P4635" s="36">
        <v>856</v>
      </c>
      <c r="R4635" s="51" t="s">
        <v>1847</v>
      </c>
      <c r="S4635" s="51" t="s">
        <v>1728</v>
      </c>
      <c r="T4635" s="51"/>
      <c r="U4635" s="51" t="s">
        <v>4655</v>
      </c>
      <c r="V4635" s="51" t="s">
        <v>1388</v>
      </c>
      <c r="W4635" s="51" t="s">
        <v>1719</v>
      </c>
      <c r="X4635" s="51" t="s">
        <v>1388</v>
      </c>
      <c r="Y4635" s="51" t="s">
        <v>1388</v>
      </c>
      <c r="Z4635" s="36">
        <v>1.45</v>
      </c>
      <c r="AA4635" s="331"/>
      <c r="AB4635" s="331"/>
      <c r="AC4635" s="36" t="s">
        <v>672</v>
      </c>
      <c r="AG4635" s="36" t="s">
        <v>4656</v>
      </c>
      <c r="AH4635" s="36" t="s">
        <v>131</v>
      </c>
      <c r="AI4635" s="36" t="s">
        <v>131</v>
      </c>
      <c r="AJ4635" s="36" t="s">
        <v>158</v>
      </c>
      <c r="AK4635" s="36" t="s">
        <v>158</v>
      </c>
      <c r="AL4635" s="36" t="s">
        <v>942</v>
      </c>
      <c r="AM4635" s="36" t="s">
        <v>942</v>
      </c>
      <c r="AN4635" s="36" t="s">
        <v>177</v>
      </c>
      <c r="AO4635" s="36" t="s">
        <v>218</v>
      </c>
      <c r="AP4635" s="36" t="s">
        <v>218</v>
      </c>
      <c r="AQ4635" s="36" t="s">
        <v>2126</v>
      </c>
      <c r="AR4635" s="36" t="s">
        <v>2126</v>
      </c>
      <c r="AS4635" s="36" t="s">
        <v>177</v>
      </c>
      <c r="AT4635" s="36" t="s">
        <v>4657</v>
      </c>
      <c r="AU4635" s="36" t="s">
        <v>4657</v>
      </c>
      <c r="AV4635" s="36" t="s">
        <v>177</v>
      </c>
      <c r="AW4635" s="36" t="s">
        <v>160</v>
      </c>
      <c r="AX4635" s="36">
        <v>5</v>
      </c>
      <c r="AZ4635" s="36" t="s">
        <v>141</v>
      </c>
      <c r="BK4635" s="36">
        <v>2660</v>
      </c>
      <c r="BL4635" s="36">
        <v>2990</v>
      </c>
      <c r="BO4635" s="36" t="s">
        <v>4662</v>
      </c>
      <c r="BP4635" s="407"/>
      <c r="BQ4635" s="407"/>
      <c r="BU4635" s="407">
        <v>4.8600000000000003</v>
      </c>
      <c r="BV4635" s="407">
        <v>5.16</v>
      </c>
      <c r="BY4635" s="36" t="s">
        <v>164</v>
      </c>
      <c r="BZ4635" s="407"/>
      <c r="CA4635" s="407"/>
      <c r="CG4635" s="28"/>
      <c r="CH4635" s="28"/>
      <c r="HJ4635" s="36">
        <v>20.8</v>
      </c>
      <c r="HK4635" s="36">
        <v>27.2</v>
      </c>
      <c r="HN4635" s="36" t="s">
        <v>4664</v>
      </c>
      <c r="JB4635" s="36" t="s">
        <v>4663</v>
      </c>
      <c r="JD4635" s="230"/>
    </row>
    <row r="4636" spans="1:264" s="36" customFormat="1" x14ac:dyDescent="0.25">
      <c r="A4636" s="36">
        <v>201</v>
      </c>
      <c r="B4636" s="51" t="s">
        <v>4661</v>
      </c>
      <c r="C4636" s="36" t="s">
        <v>4653</v>
      </c>
      <c r="D4636" s="36" t="s">
        <v>4654</v>
      </c>
      <c r="E4636" s="36">
        <v>2014</v>
      </c>
      <c r="F4636" s="36">
        <v>2010</v>
      </c>
      <c r="G4636" s="36" t="s">
        <v>151</v>
      </c>
      <c r="H4636" s="36" t="s">
        <v>460</v>
      </c>
      <c r="I4636" s="36" t="s">
        <v>2815</v>
      </c>
      <c r="J4636" s="36">
        <f>42+0.26/60</f>
        <v>42.004333333333335</v>
      </c>
      <c r="K4636" s="36">
        <f>-93-47.31/60</f>
        <v>-93.788499999999999</v>
      </c>
      <c r="L4636" s="36">
        <v>334</v>
      </c>
      <c r="M4636" s="36">
        <v>9.4</v>
      </c>
      <c r="N4636" s="36">
        <v>9.3000000000000007</v>
      </c>
      <c r="O4636" s="36">
        <v>1287</v>
      </c>
      <c r="P4636" s="36">
        <v>856</v>
      </c>
      <c r="R4636" s="51" t="s">
        <v>1847</v>
      </c>
      <c r="S4636" s="51" t="s">
        <v>1728</v>
      </c>
      <c r="T4636" s="51"/>
      <c r="U4636" s="51" t="s">
        <v>4655</v>
      </c>
      <c r="V4636" s="51" t="s">
        <v>1388</v>
      </c>
      <c r="W4636" s="51" t="s">
        <v>1719</v>
      </c>
      <c r="X4636" s="51" t="s">
        <v>1388</v>
      </c>
      <c r="Y4636" s="51" t="s">
        <v>1388</v>
      </c>
      <c r="Z4636" s="36">
        <v>1.45</v>
      </c>
      <c r="AA4636" s="331"/>
      <c r="AB4636" s="331"/>
      <c r="AC4636" s="36" t="s">
        <v>672</v>
      </c>
      <c r="AG4636" s="36" t="s">
        <v>4656</v>
      </c>
      <c r="AH4636" s="36" t="s">
        <v>131</v>
      </c>
      <c r="AI4636" s="36" t="s">
        <v>131</v>
      </c>
      <c r="AJ4636" s="36" t="s">
        <v>158</v>
      </c>
      <c r="AK4636" s="36" t="s">
        <v>158</v>
      </c>
      <c r="AL4636" s="36" t="s">
        <v>942</v>
      </c>
      <c r="AM4636" s="36" t="s">
        <v>942</v>
      </c>
      <c r="AN4636" s="36" t="s">
        <v>177</v>
      </c>
      <c r="AO4636" s="36" t="s">
        <v>218</v>
      </c>
      <c r="AP4636" s="36" t="s">
        <v>218</v>
      </c>
      <c r="AQ4636" s="36" t="s">
        <v>2126</v>
      </c>
      <c r="AR4636" s="36" t="s">
        <v>2126</v>
      </c>
      <c r="AS4636" s="36" t="s">
        <v>177</v>
      </c>
      <c r="AT4636" s="36" t="s">
        <v>4657</v>
      </c>
      <c r="AU4636" s="36" t="s">
        <v>4657</v>
      </c>
      <c r="AV4636" s="36" t="s">
        <v>177</v>
      </c>
      <c r="AW4636" s="36" t="s">
        <v>160</v>
      </c>
      <c r="AX4636" s="36">
        <v>5</v>
      </c>
      <c r="AZ4636" s="36" t="s">
        <v>141</v>
      </c>
      <c r="BK4636" s="36">
        <v>2660</v>
      </c>
      <c r="BL4636" s="36">
        <v>2810</v>
      </c>
      <c r="BO4636" s="36" t="s">
        <v>4662</v>
      </c>
      <c r="BP4636" s="407"/>
      <c r="BQ4636" s="407"/>
      <c r="BU4636" s="407">
        <v>4.8600000000000003</v>
      </c>
      <c r="BV4636" s="407">
        <v>4.8</v>
      </c>
      <c r="BY4636" s="36" t="s">
        <v>164</v>
      </c>
      <c r="BZ4636" s="407"/>
      <c r="CA4636" s="407"/>
      <c r="CG4636" s="28"/>
      <c r="CH4636" s="28"/>
      <c r="HJ4636" s="36">
        <v>20.8</v>
      </c>
      <c r="HK4636" s="36">
        <v>26.2</v>
      </c>
      <c r="HN4636" s="36" t="s">
        <v>4664</v>
      </c>
      <c r="JB4636" s="36" t="s">
        <v>4663</v>
      </c>
      <c r="JD4636" s="230"/>
    </row>
    <row r="4637" spans="1:264" s="126" customFormat="1" x14ac:dyDescent="0.25">
      <c r="A4637" s="126">
        <v>201</v>
      </c>
      <c r="B4637" s="478" t="s">
        <v>4658</v>
      </c>
      <c r="C4637" s="126" t="s">
        <v>4653</v>
      </c>
      <c r="D4637" s="126" t="s">
        <v>4654</v>
      </c>
      <c r="E4637" s="126">
        <v>2014</v>
      </c>
      <c r="F4637" s="126">
        <v>2011</v>
      </c>
      <c r="G4637" s="126" t="s">
        <v>151</v>
      </c>
      <c r="H4637" s="126" t="s">
        <v>460</v>
      </c>
      <c r="I4637" s="126" t="s">
        <v>2815</v>
      </c>
      <c r="J4637" s="126">
        <f>42+0.26/60</f>
        <v>42.004333333333335</v>
      </c>
      <c r="K4637" s="126">
        <f>-93-47.31/60</f>
        <v>-93.788499999999999</v>
      </c>
      <c r="L4637" s="126">
        <v>334</v>
      </c>
      <c r="M4637" s="126">
        <v>9.4</v>
      </c>
      <c r="N4637" s="126">
        <v>9.3000000000000007</v>
      </c>
      <c r="O4637" s="126">
        <v>826</v>
      </c>
      <c r="P4637" s="126">
        <v>856</v>
      </c>
      <c r="R4637" s="478" t="s">
        <v>1728</v>
      </c>
      <c r="S4637" s="478" t="s">
        <v>1728</v>
      </c>
      <c r="T4637" s="478"/>
      <c r="U4637" s="478" t="s">
        <v>4655</v>
      </c>
      <c r="V4637" s="478" t="s">
        <v>1388</v>
      </c>
      <c r="W4637" s="478" t="s">
        <v>1719</v>
      </c>
      <c r="X4637" s="478" t="s">
        <v>1388</v>
      </c>
      <c r="Y4637" s="478" t="s">
        <v>1388</v>
      </c>
      <c r="Z4637" s="126">
        <v>1.45</v>
      </c>
      <c r="AA4637" s="479"/>
      <c r="AB4637" s="479"/>
      <c r="AC4637" s="126" t="s">
        <v>672</v>
      </c>
      <c r="AG4637" s="126" t="s">
        <v>4656</v>
      </c>
      <c r="AH4637" s="126" t="s">
        <v>131</v>
      </c>
      <c r="AI4637" s="126" t="s">
        <v>131</v>
      </c>
      <c r="AJ4637" s="126" t="s">
        <v>132</v>
      </c>
      <c r="AK4637" s="126" t="s">
        <v>132</v>
      </c>
      <c r="AL4637" s="126" t="s">
        <v>942</v>
      </c>
      <c r="AM4637" s="126" t="s">
        <v>942</v>
      </c>
      <c r="AN4637" s="126" t="s">
        <v>177</v>
      </c>
      <c r="AO4637" s="126" t="s">
        <v>218</v>
      </c>
      <c r="AP4637" s="126" t="s">
        <v>218</v>
      </c>
      <c r="AQ4637" s="126" t="s">
        <v>2126</v>
      </c>
      <c r="AR4637" s="126" t="s">
        <v>2126</v>
      </c>
      <c r="AS4637" s="126" t="s">
        <v>177</v>
      </c>
      <c r="AT4637" s="126" t="s">
        <v>4657</v>
      </c>
      <c r="AU4637" s="126" t="s">
        <v>4657</v>
      </c>
      <c r="AV4637" s="126" t="s">
        <v>177</v>
      </c>
      <c r="AW4637" s="126" t="s">
        <v>160</v>
      </c>
      <c r="AX4637" s="126">
        <v>5</v>
      </c>
      <c r="AZ4637" s="126" t="s">
        <v>141</v>
      </c>
      <c r="BK4637" s="126">
        <v>18870</v>
      </c>
      <c r="BL4637" s="126">
        <v>18210</v>
      </c>
      <c r="BO4637" s="126" t="s">
        <v>4662</v>
      </c>
      <c r="BP4637" s="481"/>
      <c r="BQ4637" s="481"/>
      <c r="BU4637" s="481">
        <v>4.76</v>
      </c>
      <c r="BV4637" s="481">
        <v>4.8499999999999996</v>
      </c>
      <c r="BY4637" s="126" t="s">
        <v>164</v>
      </c>
      <c r="BZ4637" s="481"/>
      <c r="CA4637" s="481"/>
      <c r="CG4637" s="33"/>
      <c r="CH4637" s="33"/>
      <c r="JB4637" s="126" t="s">
        <v>4663</v>
      </c>
      <c r="JD4637" s="480"/>
    </row>
    <row r="4638" spans="1:264" s="126" customFormat="1" x14ac:dyDescent="0.25">
      <c r="A4638" s="126">
        <v>201</v>
      </c>
      <c r="B4638" s="478" t="s">
        <v>4658</v>
      </c>
      <c r="C4638" s="126" t="s">
        <v>4653</v>
      </c>
      <c r="D4638" s="126" t="s">
        <v>4654</v>
      </c>
      <c r="E4638" s="126">
        <v>2014</v>
      </c>
      <c r="F4638" s="126">
        <v>2011</v>
      </c>
      <c r="G4638" s="126" t="s">
        <v>151</v>
      </c>
      <c r="H4638" s="126" t="s">
        <v>460</v>
      </c>
      <c r="I4638" s="126" t="s">
        <v>2815</v>
      </c>
      <c r="J4638" s="126">
        <f>42+0.26/60</f>
        <v>42.004333333333335</v>
      </c>
      <c r="K4638" s="126">
        <f>-93-47.31/60</f>
        <v>-93.788499999999999</v>
      </c>
      <c r="L4638" s="126">
        <v>334</v>
      </c>
      <c r="M4638" s="126">
        <v>9.4</v>
      </c>
      <c r="N4638" s="126">
        <v>9.3000000000000007</v>
      </c>
      <c r="O4638" s="126">
        <v>826</v>
      </c>
      <c r="P4638" s="126">
        <v>856</v>
      </c>
      <c r="R4638" s="478" t="s">
        <v>1728</v>
      </c>
      <c r="S4638" s="478" t="s">
        <v>1728</v>
      </c>
      <c r="T4638" s="478"/>
      <c r="U4638" s="478" t="s">
        <v>4655</v>
      </c>
      <c r="V4638" s="478" t="s">
        <v>1388</v>
      </c>
      <c r="W4638" s="478" t="s">
        <v>1719</v>
      </c>
      <c r="X4638" s="478" t="s">
        <v>1388</v>
      </c>
      <c r="Y4638" s="478" t="s">
        <v>1388</v>
      </c>
      <c r="Z4638" s="126">
        <v>1.45</v>
      </c>
      <c r="AA4638" s="479"/>
      <c r="AB4638" s="479"/>
      <c r="AC4638" s="126" t="s">
        <v>672</v>
      </c>
      <c r="AG4638" s="126" t="s">
        <v>4656</v>
      </c>
      <c r="AH4638" s="126" t="s">
        <v>131</v>
      </c>
      <c r="AI4638" s="126" t="s">
        <v>131</v>
      </c>
      <c r="AJ4638" s="126" t="s">
        <v>132</v>
      </c>
      <c r="AK4638" s="126" t="s">
        <v>132</v>
      </c>
      <c r="AL4638" s="126" t="s">
        <v>942</v>
      </c>
      <c r="AM4638" s="126" t="s">
        <v>942</v>
      </c>
      <c r="AN4638" s="126" t="s">
        <v>177</v>
      </c>
      <c r="AO4638" s="126" t="s">
        <v>218</v>
      </c>
      <c r="AP4638" s="126" t="s">
        <v>218</v>
      </c>
      <c r="AQ4638" s="126" t="s">
        <v>2126</v>
      </c>
      <c r="AR4638" s="126" t="s">
        <v>2126</v>
      </c>
      <c r="AS4638" s="126" t="s">
        <v>177</v>
      </c>
      <c r="AT4638" s="126" t="s">
        <v>4657</v>
      </c>
      <c r="AU4638" s="126" t="s">
        <v>4657</v>
      </c>
      <c r="AV4638" s="126" t="s">
        <v>177</v>
      </c>
      <c r="AW4638" s="126" t="s">
        <v>160</v>
      </c>
      <c r="AX4638" s="126">
        <v>5</v>
      </c>
      <c r="AZ4638" s="126" t="s">
        <v>141</v>
      </c>
      <c r="BK4638" s="126">
        <v>18870</v>
      </c>
      <c r="BL4638" s="126">
        <v>19300</v>
      </c>
      <c r="BO4638" s="126" t="s">
        <v>4662</v>
      </c>
      <c r="BP4638" s="481"/>
      <c r="BQ4638" s="481"/>
      <c r="BU4638" s="481">
        <v>4.76</v>
      </c>
      <c r="BV4638" s="481">
        <v>5.0199999999999996</v>
      </c>
      <c r="BY4638" s="126" t="s">
        <v>164</v>
      </c>
      <c r="BZ4638" s="481"/>
      <c r="CA4638" s="481"/>
      <c r="CG4638" s="33"/>
      <c r="CH4638" s="33"/>
      <c r="JB4638" s="126" t="s">
        <v>4663</v>
      </c>
      <c r="JD4638" s="480"/>
    </row>
    <row r="4639" spans="1:264" s="126" customFormat="1" x14ac:dyDescent="0.25">
      <c r="A4639" s="126">
        <v>201</v>
      </c>
      <c r="B4639" s="478" t="s">
        <v>4658</v>
      </c>
      <c r="C4639" s="126" t="s">
        <v>4653</v>
      </c>
      <c r="D4639" s="126" t="s">
        <v>4654</v>
      </c>
      <c r="E4639" s="126">
        <v>2014</v>
      </c>
      <c r="F4639" s="126">
        <v>2011</v>
      </c>
      <c r="G4639" s="126" t="s">
        <v>151</v>
      </c>
      <c r="H4639" s="126" t="s">
        <v>460</v>
      </c>
      <c r="I4639" s="126" t="s">
        <v>2815</v>
      </c>
      <c r="J4639" s="126">
        <f>42+0.26/60</f>
        <v>42.004333333333335</v>
      </c>
      <c r="K4639" s="126">
        <f>-93-47.31/60</f>
        <v>-93.788499999999999</v>
      </c>
      <c r="L4639" s="126">
        <v>334</v>
      </c>
      <c r="M4639" s="126">
        <v>9.4</v>
      </c>
      <c r="N4639" s="126">
        <v>9.3000000000000007</v>
      </c>
      <c r="O4639" s="126">
        <v>826</v>
      </c>
      <c r="P4639" s="126">
        <v>856</v>
      </c>
      <c r="R4639" s="478" t="s">
        <v>1728</v>
      </c>
      <c r="S4639" s="478" t="s">
        <v>1728</v>
      </c>
      <c r="T4639" s="478"/>
      <c r="U4639" s="478" t="s">
        <v>4655</v>
      </c>
      <c r="V4639" s="478" t="s">
        <v>1388</v>
      </c>
      <c r="W4639" s="478" t="s">
        <v>1719</v>
      </c>
      <c r="X4639" s="478" t="s">
        <v>1388</v>
      </c>
      <c r="Y4639" s="478" t="s">
        <v>1388</v>
      </c>
      <c r="Z4639" s="126">
        <v>1.45</v>
      </c>
      <c r="AA4639" s="479"/>
      <c r="AB4639" s="479"/>
      <c r="AC4639" s="126" t="s">
        <v>672</v>
      </c>
      <c r="AG4639" s="126" t="s">
        <v>4656</v>
      </c>
      <c r="AH4639" s="126" t="s">
        <v>131</v>
      </c>
      <c r="AI4639" s="126" t="s">
        <v>131</v>
      </c>
      <c r="AJ4639" s="126" t="s">
        <v>132</v>
      </c>
      <c r="AK4639" s="126" t="s">
        <v>132</v>
      </c>
      <c r="AL4639" s="126" t="s">
        <v>942</v>
      </c>
      <c r="AM4639" s="126" t="s">
        <v>942</v>
      </c>
      <c r="AN4639" s="126" t="s">
        <v>177</v>
      </c>
      <c r="AO4639" s="126" t="s">
        <v>218</v>
      </c>
      <c r="AP4639" s="126" t="s">
        <v>218</v>
      </c>
      <c r="AQ4639" s="126" t="s">
        <v>2126</v>
      </c>
      <c r="AR4639" s="126" t="s">
        <v>2126</v>
      </c>
      <c r="AS4639" s="126" t="s">
        <v>177</v>
      </c>
      <c r="AT4639" s="126" t="s">
        <v>4657</v>
      </c>
      <c r="AU4639" s="126" t="s">
        <v>4657</v>
      </c>
      <c r="AV4639" s="126" t="s">
        <v>177</v>
      </c>
      <c r="AW4639" s="126" t="s">
        <v>160</v>
      </c>
      <c r="AX4639" s="126">
        <v>5</v>
      </c>
      <c r="AZ4639" s="126" t="s">
        <v>141</v>
      </c>
      <c r="BK4639" s="126">
        <v>18870</v>
      </c>
      <c r="BL4639" s="126">
        <v>18500</v>
      </c>
      <c r="BO4639" s="126" t="s">
        <v>4662</v>
      </c>
      <c r="BP4639" s="481"/>
      <c r="BQ4639" s="481"/>
      <c r="BU4639" s="481">
        <v>4.76</v>
      </c>
      <c r="BV4639" s="481">
        <v>4.7300000000000004</v>
      </c>
      <c r="BY4639" s="126" t="s">
        <v>164</v>
      </c>
      <c r="BZ4639" s="481"/>
      <c r="CA4639" s="481"/>
      <c r="CG4639" s="33"/>
      <c r="CH4639" s="33"/>
      <c r="JB4639" s="126" t="s">
        <v>4663</v>
      </c>
      <c r="JD4639" s="480"/>
    </row>
    <row r="4640" spans="1:264" s="24" customFormat="1" x14ac:dyDescent="0.25">
      <c r="A4640" s="24">
        <v>202</v>
      </c>
      <c r="B4640" s="42"/>
      <c r="C4640" s="24" t="s">
        <v>4665</v>
      </c>
      <c r="D4640" s="24" t="s">
        <v>4667</v>
      </c>
      <c r="E4640" s="24">
        <v>2014</v>
      </c>
      <c r="G4640" s="24" t="s">
        <v>4666</v>
      </c>
      <c r="H4640" s="24" t="s">
        <v>4669</v>
      </c>
      <c r="I4640" s="24" t="s">
        <v>2815</v>
      </c>
      <c r="J4640" s="24">
        <v>37.43</v>
      </c>
      <c r="K4640" s="24">
        <v>-88.6</v>
      </c>
      <c r="L4640" s="24">
        <v>140</v>
      </c>
      <c r="R4640" s="42"/>
      <c r="S4640" s="42" t="s">
        <v>1719</v>
      </c>
      <c r="T4640" s="42"/>
      <c r="U4640" s="42" t="s">
        <v>4668</v>
      </c>
      <c r="V4640" s="42"/>
      <c r="W4640" s="42"/>
      <c r="X4640" s="42"/>
      <c r="Y4640" s="42"/>
      <c r="AA4640" s="321"/>
      <c r="AB4640" s="321"/>
      <c r="AC4640" s="24" t="s">
        <v>4670</v>
      </c>
      <c r="AX4640" s="24">
        <v>6</v>
      </c>
      <c r="AZ4640" s="24" t="s">
        <v>141</v>
      </c>
      <c r="BP4640" s="395"/>
      <c r="BQ4640" s="395"/>
      <c r="BU4640" s="395"/>
      <c r="BV4640" s="395"/>
      <c r="BZ4640" s="395"/>
      <c r="CA4640" s="395"/>
      <c r="JD4640" s="24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A52" workbookViewId="0">
      <selection activeCell="D75" sqref="D75"/>
    </sheetView>
  </sheetViews>
  <sheetFormatPr defaultRowHeight="15" x14ac:dyDescent="0.25"/>
  <cols>
    <col min="2" max="2" width="28.140625" customWidth="1"/>
    <col min="3" max="3" width="118" customWidth="1"/>
    <col min="4" max="4" width="91.7109375" customWidth="1"/>
    <col min="5" max="5" width="41" customWidth="1"/>
  </cols>
  <sheetData>
    <row r="1" spans="1:4" x14ac:dyDescent="0.25">
      <c r="A1" s="2" t="s">
        <v>5</v>
      </c>
      <c r="B1" s="1" t="s">
        <v>109</v>
      </c>
      <c r="C1" t="s">
        <v>580</v>
      </c>
    </row>
    <row r="2" spans="1:4" x14ac:dyDescent="0.25">
      <c r="A2" s="2"/>
      <c r="B2" s="1" t="s">
        <v>3123</v>
      </c>
      <c r="C2" t="s">
        <v>3455</v>
      </c>
    </row>
    <row r="3" spans="1:4" x14ac:dyDescent="0.25">
      <c r="A3" s="2" t="s">
        <v>5</v>
      </c>
      <c r="B3" s="1" t="s">
        <v>43</v>
      </c>
      <c r="C3" s="4" t="s">
        <v>91</v>
      </c>
    </row>
    <row r="4" spans="1:4" x14ac:dyDescent="0.25">
      <c r="A4" s="2"/>
      <c r="B4" s="1" t="s">
        <v>44</v>
      </c>
      <c r="C4" s="4" t="s">
        <v>45</v>
      </c>
    </row>
    <row r="5" spans="1:4" x14ac:dyDescent="0.25">
      <c r="A5" s="2"/>
      <c r="B5" s="1" t="s">
        <v>6</v>
      </c>
      <c r="C5" s="4" t="s">
        <v>46</v>
      </c>
    </row>
    <row r="6" spans="1:4" x14ac:dyDescent="0.25">
      <c r="A6" s="2"/>
      <c r="B6" s="1" t="s">
        <v>185</v>
      </c>
      <c r="C6" s="4" t="s">
        <v>2475</v>
      </c>
    </row>
    <row r="7" spans="1:4" x14ac:dyDescent="0.25">
      <c r="A7" s="2"/>
      <c r="B7" s="1" t="s">
        <v>87</v>
      </c>
      <c r="C7" s="4" t="s">
        <v>88</v>
      </c>
    </row>
    <row r="8" spans="1:4" x14ac:dyDescent="0.25">
      <c r="A8" s="2"/>
      <c r="B8" s="1" t="s">
        <v>4</v>
      </c>
      <c r="C8" s="4" t="s">
        <v>47</v>
      </c>
      <c r="D8" t="s">
        <v>2484</v>
      </c>
    </row>
    <row r="9" spans="1:4" x14ac:dyDescent="0.25">
      <c r="A9" s="2"/>
      <c r="B9" s="1" t="s">
        <v>2813</v>
      </c>
      <c r="C9" s="4" t="s">
        <v>2814</v>
      </c>
    </row>
    <row r="10" spans="1:4" x14ac:dyDescent="0.25">
      <c r="A10" s="2"/>
      <c r="B10" s="1" t="s">
        <v>3</v>
      </c>
      <c r="C10" s="4" t="s">
        <v>2476</v>
      </c>
      <c r="D10" t="s">
        <v>2514</v>
      </c>
    </row>
    <row r="11" spans="1:4" x14ac:dyDescent="0.25">
      <c r="A11" s="2"/>
      <c r="B11" s="1" t="s">
        <v>2</v>
      </c>
      <c r="C11" s="4" t="s">
        <v>2477</v>
      </c>
      <c r="D11" t="s">
        <v>2514</v>
      </c>
    </row>
    <row r="12" spans="1:4" x14ac:dyDescent="0.25">
      <c r="A12" s="2"/>
      <c r="B12" s="1" t="s">
        <v>86</v>
      </c>
      <c r="C12" s="4" t="s">
        <v>2478</v>
      </c>
      <c r="D12" t="s">
        <v>129</v>
      </c>
    </row>
    <row r="13" spans="1:4" x14ac:dyDescent="0.25">
      <c r="A13" s="2"/>
      <c r="B13" s="1" t="s">
        <v>35</v>
      </c>
      <c r="C13" s="4" t="s">
        <v>2479</v>
      </c>
      <c r="D13" t="s">
        <v>2485</v>
      </c>
    </row>
    <row r="14" spans="1:4" x14ac:dyDescent="0.25">
      <c r="A14" s="2"/>
      <c r="B14" s="1" t="s">
        <v>16</v>
      </c>
      <c r="C14" s="4" t="s">
        <v>2480</v>
      </c>
      <c r="D14" t="s">
        <v>2485</v>
      </c>
    </row>
    <row r="15" spans="1:4" x14ac:dyDescent="0.25">
      <c r="A15" s="2"/>
      <c r="B15" s="1" t="s">
        <v>36</v>
      </c>
      <c r="C15" s="4" t="s">
        <v>48</v>
      </c>
      <c r="D15" t="s">
        <v>134</v>
      </c>
    </row>
    <row r="16" spans="1:4" x14ac:dyDescent="0.25">
      <c r="A16" s="2"/>
      <c r="B16" s="1" t="s">
        <v>17</v>
      </c>
      <c r="C16" s="4" t="s">
        <v>2481</v>
      </c>
      <c r="D16" t="s">
        <v>134</v>
      </c>
    </row>
    <row r="17" spans="1:4" x14ac:dyDescent="0.25">
      <c r="A17" s="2"/>
      <c r="B17" s="1" t="s">
        <v>18</v>
      </c>
      <c r="C17" s="4" t="s">
        <v>2482</v>
      </c>
      <c r="D17" t="s">
        <v>2486</v>
      </c>
    </row>
    <row r="18" spans="1:4" x14ac:dyDescent="0.25">
      <c r="A18" s="2"/>
      <c r="B18" s="1" t="s">
        <v>8</v>
      </c>
      <c r="C18" s="4" t="s">
        <v>2483</v>
      </c>
    </row>
    <row r="19" spans="1:4" x14ac:dyDescent="0.25">
      <c r="A19" s="2"/>
      <c r="B19" s="482" t="s">
        <v>1758</v>
      </c>
      <c r="C19" s="4" t="s">
        <v>1759</v>
      </c>
    </row>
    <row r="20" spans="1:4" x14ac:dyDescent="0.25">
      <c r="A20" s="2"/>
      <c r="B20" s="1" t="s">
        <v>866</v>
      </c>
      <c r="C20" s="4" t="s">
        <v>870</v>
      </c>
    </row>
    <row r="21" spans="1:4" x14ac:dyDescent="0.25">
      <c r="A21" s="2"/>
      <c r="B21" s="1" t="s">
        <v>868</v>
      </c>
      <c r="C21" s="4" t="s">
        <v>2487</v>
      </c>
    </row>
    <row r="22" spans="1:4" x14ac:dyDescent="0.25">
      <c r="A22" s="2"/>
      <c r="B22" s="1" t="s">
        <v>7</v>
      </c>
      <c r="C22" s="4" t="s">
        <v>2489</v>
      </c>
      <c r="D22" t="s">
        <v>155</v>
      </c>
    </row>
    <row r="23" spans="1:4" x14ac:dyDescent="0.25">
      <c r="A23" s="2"/>
      <c r="B23" s="1" t="s">
        <v>1714</v>
      </c>
      <c r="C23" s="4" t="s">
        <v>2488</v>
      </c>
    </row>
    <row r="24" spans="1:4" x14ac:dyDescent="0.25">
      <c r="A24" s="2"/>
      <c r="B24" s="1" t="s">
        <v>1416</v>
      </c>
      <c r="C24" s="4" t="s">
        <v>2490</v>
      </c>
    </row>
    <row r="25" spans="1:4" x14ac:dyDescent="0.25">
      <c r="A25" s="2"/>
      <c r="B25" s="1" t="s">
        <v>1630</v>
      </c>
      <c r="C25" s="4" t="s">
        <v>2491</v>
      </c>
    </row>
    <row r="26" spans="1:4" x14ac:dyDescent="0.25">
      <c r="A26" s="2"/>
      <c r="B26" s="1" t="s">
        <v>283</v>
      </c>
      <c r="C26" s="4" t="s">
        <v>284</v>
      </c>
    </row>
    <row r="27" spans="1:4" x14ac:dyDescent="0.25">
      <c r="A27" s="2"/>
      <c r="B27" s="1" t="s">
        <v>121</v>
      </c>
      <c r="C27" s="4" t="s">
        <v>123</v>
      </c>
    </row>
    <row r="28" spans="1:4" x14ac:dyDescent="0.25">
      <c r="A28" s="2"/>
      <c r="B28" s="1" t="s">
        <v>122</v>
      </c>
      <c r="C28" s="4" t="s">
        <v>124</v>
      </c>
    </row>
    <row r="29" spans="1:4" x14ac:dyDescent="0.25">
      <c r="A29" s="2"/>
      <c r="B29" s="1" t="s">
        <v>15</v>
      </c>
      <c r="C29" s="4" t="s">
        <v>49</v>
      </c>
    </row>
    <row r="30" spans="1:4" x14ac:dyDescent="0.25">
      <c r="A30" s="2"/>
      <c r="B30" s="1" t="s">
        <v>189</v>
      </c>
      <c r="C30" s="4" t="s">
        <v>192</v>
      </c>
    </row>
    <row r="31" spans="1:4" x14ac:dyDescent="0.25">
      <c r="A31" s="2"/>
      <c r="B31" s="1" t="s">
        <v>190</v>
      </c>
      <c r="C31" s="4" t="s">
        <v>2492</v>
      </c>
      <c r="D31" t="s">
        <v>66</v>
      </c>
    </row>
    <row r="32" spans="1:4" x14ac:dyDescent="0.25">
      <c r="A32" s="2"/>
      <c r="B32" s="1" t="s">
        <v>191</v>
      </c>
      <c r="C32" s="4" t="s">
        <v>193</v>
      </c>
      <c r="D32" t="s">
        <v>3229</v>
      </c>
    </row>
    <row r="33" spans="1:4" x14ac:dyDescent="0.25">
      <c r="A33" s="2"/>
      <c r="B33" s="1" t="s">
        <v>1306</v>
      </c>
      <c r="C33" s="4" t="s">
        <v>2493</v>
      </c>
    </row>
    <row r="34" spans="1:4" x14ac:dyDescent="0.25">
      <c r="A34" s="2"/>
      <c r="B34" s="1" t="s">
        <v>0</v>
      </c>
      <c r="C34" s="4" t="s">
        <v>2497</v>
      </c>
    </row>
    <row r="35" spans="1:4" x14ac:dyDescent="0.25">
      <c r="A35" s="2"/>
      <c r="B35" s="1" t="s">
        <v>1501</v>
      </c>
      <c r="C35" s="4" t="s">
        <v>2494</v>
      </c>
      <c r="D35" t="s">
        <v>1699</v>
      </c>
    </row>
    <row r="36" spans="1:4" x14ac:dyDescent="0.25">
      <c r="A36" s="2"/>
      <c r="B36" s="1" t="s">
        <v>1</v>
      </c>
      <c r="C36" s="4" t="s">
        <v>2496</v>
      </c>
    </row>
    <row r="37" spans="1:4" x14ac:dyDescent="0.25">
      <c r="A37" s="2"/>
      <c r="B37" s="1" t="s">
        <v>1500</v>
      </c>
      <c r="C37" s="4" t="s">
        <v>2495</v>
      </c>
      <c r="D37" t="s">
        <v>1700</v>
      </c>
    </row>
    <row r="38" spans="1:4" x14ac:dyDescent="0.25">
      <c r="A38" s="2"/>
      <c r="B38" s="1" t="s">
        <v>532</v>
      </c>
      <c r="C38" s="4" t="s">
        <v>566</v>
      </c>
    </row>
    <row r="39" spans="1:4" x14ac:dyDescent="0.25">
      <c r="A39" s="2"/>
      <c r="B39" s="1" t="s">
        <v>531</v>
      </c>
      <c r="C39" s="4" t="s">
        <v>565</v>
      </c>
    </row>
    <row r="40" spans="1:4" x14ac:dyDescent="0.25">
      <c r="A40" s="2"/>
      <c r="B40" s="1" t="s">
        <v>533</v>
      </c>
      <c r="C40" s="4" t="s">
        <v>2502</v>
      </c>
    </row>
    <row r="41" spans="1:4" x14ac:dyDescent="0.25">
      <c r="A41" s="2"/>
      <c r="B41" s="1" t="s">
        <v>535</v>
      </c>
      <c r="C41" s="4" t="s">
        <v>538</v>
      </c>
    </row>
    <row r="42" spans="1:4" x14ac:dyDescent="0.25">
      <c r="A42" s="2"/>
      <c r="B42" s="1" t="s">
        <v>534</v>
      </c>
      <c r="C42" s="4" t="s">
        <v>537</v>
      </c>
    </row>
    <row r="43" spans="1:4" x14ac:dyDescent="0.25">
      <c r="A43" s="2"/>
      <c r="B43" s="1" t="s">
        <v>536</v>
      </c>
      <c r="C43" s="4" t="s">
        <v>2501</v>
      </c>
    </row>
    <row r="44" spans="1:4" x14ac:dyDescent="0.25">
      <c r="A44" s="2"/>
      <c r="B44" s="1" t="s">
        <v>217</v>
      </c>
      <c r="C44" s="4" t="s">
        <v>2498</v>
      </c>
    </row>
    <row r="45" spans="1:4" x14ac:dyDescent="0.25">
      <c r="A45" s="2"/>
      <c r="B45" s="1" t="s">
        <v>216</v>
      </c>
      <c r="C45" s="4" t="s">
        <v>2499</v>
      </c>
    </row>
    <row r="46" spans="1:4" x14ac:dyDescent="0.25">
      <c r="A46" s="2"/>
      <c r="B46" s="1" t="s">
        <v>501</v>
      </c>
      <c r="C46" s="4" t="s">
        <v>2500</v>
      </c>
    </row>
    <row r="47" spans="1:4" x14ac:dyDescent="0.25">
      <c r="A47" s="2"/>
      <c r="B47" s="78" t="s">
        <v>65</v>
      </c>
      <c r="C47" s="4" t="s">
        <v>2503</v>
      </c>
    </row>
    <row r="48" spans="1:4" x14ac:dyDescent="0.25">
      <c r="A48" s="2"/>
      <c r="B48" s="6" t="s">
        <v>2103</v>
      </c>
      <c r="C48" t="s">
        <v>2504</v>
      </c>
    </row>
    <row r="49" spans="1:4" x14ac:dyDescent="0.25">
      <c r="A49" s="2"/>
      <c r="B49" s="6" t="s">
        <v>2104</v>
      </c>
      <c r="C49" t="s">
        <v>2505</v>
      </c>
    </row>
    <row r="50" spans="1:4" x14ac:dyDescent="0.25">
      <c r="A50" s="2"/>
      <c r="B50" s="6" t="s">
        <v>140</v>
      </c>
      <c r="C50" t="s">
        <v>2506</v>
      </c>
    </row>
    <row r="51" spans="1:4" x14ac:dyDescent="0.25">
      <c r="A51" s="2"/>
      <c r="B51" s="12" t="s">
        <v>68</v>
      </c>
      <c r="C51" s="4" t="s">
        <v>69</v>
      </c>
      <c r="D51" t="s">
        <v>2577</v>
      </c>
    </row>
    <row r="52" spans="1:4" x14ac:dyDescent="0.25">
      <c r="A52" s="2"/>
      <c r="B52" s="12" t="s">
        <v>67</v>
      </c>
      <c r="C52" s="4" t="s">
        <v>70</v>
      </c>
      <c r="D52" t="s">
        <v>2577</v>
      </c>
    </row>
    <row r="53" spans="1:4" x14ac:dyDescent="0.25">
      <c r="A53" s="2"/>
      <c r="B53" s="12" t="s">
        <v>973</v>
      </c>
      <c r="C53" s="4" t="s">
        <v>2507</v>
      </c>
      <c r="D53" t="s">
        <v>66</v>
      </c>
    </row>
    <row r="54" spans="1:4" x14ac:dyDescent="0.25">
      <c r="A54" s="2"/>
      <c r="B54" s="12" t="s">
        <v>613</v>
      </c>
      <c r="C54" s="4" t="s">
        <v>2508</v>
      </c>
    </row>
    <row r="55" spans="1:4" x14ac:dyDescent="0.25">
      <c r="A55" s="2"/>
      <c r="B55" s="482" t="s">
        <v>142</v>
      </c>
      <c r="C55" s="4" t="s">
        <v>2509</v>
      </c>
    </row>
    <row r="56" spans="1:4" x14ac:dyDescent="0.25">
      <c r="A56" s="14"/>
      <c r="B56" s="1"/>
      <c r="C56" s="4"/>
    </row>
    <row r="57" spans="1:4" x14ac:dyDescent="0.25">
      <c r="A57" s="3">
        <v>1</v>
      </c>
      <c r="B57" s="1" t="s">
        <v>808</v>
      </c>
      <c r="C57" s="4" t="s">
        <v>2401</v>
      </c>
      <c r="D57" t="s">
        <v>2576</v>
      </c>
    </row>
    <row r="58" spans="1:4" x14ac:dyDescent="0.25">
      <c r="A58" s="3"/>
      <c r="B58" s="1" t="s">
        <v>809</v>
      </c>
      <c r="C58" s="4" t="s">
        <v>2402</v>
      </c>
      <c r="D58" t="s">
        <v>2576</v>
      </c>
    </row>
    <row r="59" spans="1:4" x14ac:dyDescent="0.25">
      <c r="A59" s="3"/>
      <c r="B59" s="1" t="s">
        <v>833</v>
      </c>
      <c r="C59" s="4" t="s">
        <v>2510</v>
      </c>
      <c r="D59" t="s">
        <v>2578</v>
      </c>
    </row>
    <row r="60" spans="1:4" x14ac:dyDescent="0.25">
      <c r="A60" s="3">
        <v>2</v>
      </c>
      <c r="B60" s="1" t="s">
        <v>14</v>
      </c>
      <c r="C60" t="s">
        <v>2511</v>
      </c>
      <c r="D60" t="s">
        <v>2577</v>
      </c>
    </row>
    <row r="61" spans="1:4" x14ac:dyDescent="0.25">
      <c r="A61" s="3" t="s">
        <v>42</v>
      </c>
      <c r="B61" s="1" t="s">
        <v>13</v>
      </c>
      <c r="C61" t="s">
        <v>2512</v>
      </c>
      <c r="D61" t="s">
        <v>2577</v>
      </c>
    </row>
    <row r="62" spans="1:4" x14ac:dyDescent="0.25">
      <c r="A62" s="3"/>
      <c r="B62" s="1" t="s">
        <v>829</v>
      </c>
      <c r="C62" t="s">
        <v>2513</v>
      </c>
      <c r="D62" t="s">
        <v>2578</v>
      </c>
    </row>
    <row r="63" spans="1:4" x14ac:dyDescent="0.25">
      <c r="A63" s="3">
        <v>3</v>
      </c>
      <c r="B63" s="1" t="s">
        <v>24</v>
      </c>
      <c r="C63" t="s">
        <v>2515</v>
      </c>
      <c r="D63" t="s">
        <v>2579</v>
      </c>
    </row>
    <row r="64" spans="1:4" x14ac:dyDescent="0.25">
      <c r="A64" s="3"/>
      <c r="B64" s="1" t="s">
        <v>23</v>
      </c>
      <c r="C64" t="s">
        <v>2516</v>
      </c>
      <c r="D64" t="s">
        <v>2579</v>
      </c>
    </row>
    <row r="65" spans="1:8" x14ac:dyDescent="0.25">
      <c r="A65" s="3"/>
      <c r="B65" s="1" t="s">
        <v>812</v>
      </c>
      <c r="C65" t="s">
        <v>2517</v>
      </c>
      <c r="D65" t="s">
        <v>2580</v>
      </c>
    </row>
    <row r="66" spans="1:8" x14ac:dyDescent="0.25">
      <c r="A66" s="3">
        <v>4</v>
      </c>
      <c r="B66" s="1" t="s">
        <v>10</v>
      </c>
      <c r="C66" t="s">
        <v>1667</v>
      </c>
      <c r="D66" t="s">
        <v>2518</v>
      </c>
    </row>
    <row r="67" spans="1:8" x14ac:dyDescent="0.25">
      <c r="A67" s="3"/>
      <c r="B67" s="1" t="s">
        <v>9</v>
      </c>
      <c r="C67" t="s">
        <v>1668</v>
      </c>
      <c r="D67" t="s">
        <v>2518</v>
      </c>
    </row>
    <row r="68" spans="1:8" x14ac:dyDescent="0.25">
      <c r="A68" s="3"/>
      <c r="B68" s="1" t="s">
        <v>3124</v>
      </c>
      <c r="C68" t="s">
        <v>3126</v>
      </c>
    </row>
    <row r="69" spans="1:8" x14ac:dyDescent="0.25">
      <c r="A69" s="3"/>
      <c r="B69" s="1" t="s">
        <v>3125</v>
      </c>
      <c r="C69" t="s">
        <v>3127</v>
      </c>
    </row>
    <row r="70" spans="1:8" x14ac:dyDescent="0.25">
      <c r="A70" s="3"/>
      <c r="B70" s="1" t="s">
        <v>760</v>
      </c>
      <c r="C70" t="s">
        <v>4679</v>
      </c>
      <c r="D70" t="s">
        <v>4681</v>
      </c>
    </row>
    <row r="71" spans="1:8" x14ac:dyDescent="0.25">
      <c r="A71" s="3"/>
      <c r="B71" s="1" t="s">
        <v>4676</v>
      </c>
      <c r="C71" t="s">
        <v>4679</v>
      </c>
      <c r="D71" t="s">
        <v>4681</v>
      </c>
    </row>
    <row r="72" spans="1:8" x14ac:dyDescent="0.25">
      <c r="A72" s="3"/>
      <c r="B72" s="1" t="s">
        <v>4677</v>
      </c>
      <c r="C72" t="s">
        <v>4680</v>
      </c>
      <c r="D72" t="s">
        <v>4681</v>
      </c>
    </row>
    <row r="73" spans="1:8" x14ac:dyDescent="0.25">
      <c r="A73" s="3"/>
      <c r="B73" s="1" t="s">
        <v>4678</v>
      </c>
    </row>
    <row r="74" spans="1:8" x14ac:dyDescent="0.25">
      <c r="A74" s="3">
        <v>5</v>
      </c>
      <c r="B74" s="1" t="s">
        <v>232</v>
      </c>
      <c r="C74" t="s">
        <v>2520</v>
      </c>
      <c r="D74" t="s">
        <v>2583</v>
      </c>
    </row>
    <row r="75" spans="1:8" x14ac:dyDescent="0.25">
      <c r="A75" s="3"/>
      <c r="B75" s="1" t="s">
        <v>233</v>
      </c>
      <c r="C75" t="s">
        <v>2519</v>
      </c>
      <c r="D75" t="s">
        <v>2583</v>
      </c>
    </row>
    <row r="76" spans="1:8" x14ac:dyDescent="0.25">
      <c r="A76" s="3"/>
      <c r="B76" s="1" t="s">
        <v>761</v>
      </c>
      <c r="C76" t="s">
        <v>2521</v>
      </c>
      <c r="D76" t="s">
        <v>2578</v>
      </c>
      <c r="H76" s="18"/>
    </row>
    <row r="77" spans="1:8" x14ac:dyDescent="0.25">
      <c r="A77" s="3">
        <v>6</v>
      </c>
      <c r="B77" s="1" t="s">
        <v>20</v>
      </c>
      <c r="C77" t="s">
        <v>51</v>
      </c>
      <c r="D77" t="s">
        <v>2583</v>
      </c>
    </row>
    <row r="78" spans="1:8" x14ac:dyDescent="0.25">
      <c r="A78" s="3"/>
      <c r="B78" s="1" t="s">
        <v>19</v>
      </c>
      <c r="C78" t="s">
        <v>50</v>
      </c>
      <c r="D78" t="s">
        <v>2583</v>
      </c>
    </row>
    <row r="79" spans="1:8" x14ac:dyDescent="0.25">
      <c r="A79" s="3"/>
      <c r="B79" s="1" t="s">
        <v>762</v>
      </c>
      <c r="C79" t="s">
        <v>2522</v>
      </c>
      <c r="D79" t="s">
        <v>2578</v>
      </c>
    </row>
    <row r="80" spans="1:8" x14ac:dyDescent="0.25">
      <c r="A80" s="3">
        <v>7</v>
      </c>
      <c r="B80" s="1" t="s">
        <v>22</v>
      </c>
      <c r="C80" t="s">
        <v>53</v>
      </c>
      <c r="D80" t="s">
        <v>2583</v>
      </c>
    </row>
    <row r="81" spans="1:4" x14ac:dyDescent="0.25">
      <c r="A81" s="3"/>
      <c r="B81" s="1" t="s">
        <v>21</v>
      </c>
      <c r="C81" t="s">
        <v>52</v>
      </c>
      <c r="D81" t="s">
        <v>2583</v>
      </c>
    </row>
    <row r="82" spans="1:4" x14ac:dyDescent="0.25">
      <c r="A82" s="3"/>
      <c r="B82" s="1" t="s">
        <v>830</v>
      </c>
      <c r="C82" t="s">
        <v>2523</v>
      </c>
      <c r="D82" t="s">
        <v>2578</v>
      </c>
    </row>
    <row r="83" spans="1:4" x14ac:dyDescent="0.25">
      <c r="A83" s="3">
        <v>8</v>
      </c>
      <c r="B83" s="1" t="s">
        <v>12</v>
      </c>
      <c r="C83" t="s">
        <v>55</v>
      </c>
      <c r="D83" t="s">
        <v>2581</v>
      </c>
    </row>
    <row r="84" spans="1:4" x14ac:dyDescent="0.25">
      <c r="A84" s="3"/>
      <c r="B84" s="1" t="s">
        <v>11</v>
      </c>
      <c r="C84" t="s">
        <v>54</v>
      </c>
      <c r="D84" t="s">
        <v>2581</v>
      </c>
    </row>
    <row r="85" spans="1:4" x14ac:dyDescent="0.25">
      <c r="A85" s="3"/>
      <c r="B85" s="1" t="s">
        <v>814</v>
      </c>
      <c r="C85" t="s">
        <v>2524</v>
      </c>
      <c r="D85" t="s">
        <v>2580</v>
      </c>
    </row>
    <row r="86" spans="1:4" x14ac:dyDescent="0.25">
      <c r="A86" s="3">
        <v>9</v>
      </c>
      <c r="B86" s="1" t="s">
        <v>30</v>
      </c>
      <c r="C86" t="s">
        <v>57</v>
      </c>
      <c r="D86" t="s">
        <v>2584</v>
      </c>
    </row>
    <row r="87" spans="1:4" x14ac:dyDescent="0.25">
      <c r="A87" s="3"/>
      <c r="B87" s="1" t="s">
        <v>29</v>
      </c>
      <c r="C87" t="s">
        <v>56</v>
      </c>
      <c r="D87" t="s">
        <v>2584</v>
      </c>
    </row>
    <row r="88" spans="1:4" x14ac:dyDescent="0.25">
      <c r="A88" s="3"/>
      <c r="B88" s="1" t="s">
        <v>817</v>
      </c>
      <c r="C88" t="s">
        <v>2525</v>
      </c>
      <c r="D88" t="s">
        <v>2578</v>
      </c>
    </row>
    <row r="89" spans="1:4" x14ac:dyDescent="0.25">
      <c r="A89" s="3">
        <v>10</v>
      </c>
      <c r="B89" s="1" t="s">
        <v>32</v>
      </c>
      <c r="C89" t="s">
        <v>1084</v>
      </c>
      <c r="D89" t="s">
        <v>2585</v>
      </c>
    </row>
    <row r="90" spans="1:4" x14ac:dyDescent="0.25">
      <c r="A90" s="3"/>
      <c r="B90" s="1" t="s">
        <v>31</v>
      </c>
      <c r="C90" t="s">
        <v>1085</v>
      </c>
      <c r="D90" t="s">
        <v>2585</v>
      </c>
    </row>
    <row r="91" spans="1:4" x14ac:dyDescent="0.25">
      <c r="A91" s="3"/>
      <c r="B91" s="1" t="s">
        <v>764</v>
      </c>
      <c r="C91" t="s">
        <v>2526</v>
      </c>
      <c r="D91" t="s">
        <v>2578</v>
      </c>
    </row>
    <row r="92" spans="1:4" x14ac:dyDescent="0.25">
      <c r="A92" s="3">
        <v>11</v>
      </c>
      <c r="B92" s="1" t="s">
        <v>34</v>
      </c>
      <c r="C92" t="s">
        <v>1086</v>
      </c>
      <c r="D92" t="s">
        <v>2583</v>
      </c>
    </row>
    <row r="93" spans="1:4" x14ac:dyDescent="0.25">
      <c r="A93" s="3"/>
      <c r="B93" s="1" t="s">
        <v>33</v>
      </c>
      <c r="C93" t="s">
        <v>89</v>
      </c>
      <c r="D93" t="s">
        <v>2583</v>
      </c>
    </row>
    <row r="94" spans="1:4" x14ac:dyDescent="0.25">
      <c r="A94" s="3"/>
      <c r="B94" s="1" t="s">
        <v>818</v>
      </c>
      <c r="C94" t="s">
        <v>2527</v>
      </c>
      <c r="D94" t="s">
        <v>2578</v>
      </c>
    </row>
    <row r="95" spans="1:4" ht="16.5" customHeight="1" x14ac:dyDescent="0.25">
      <c r="A95" s="3">
        <v>12</v>
      </c>
      <c r="B95" s="1" t="s">
        <v>26</v>
      </c>
      <c r="C95" s="611" t="s">
        <v>4560</v>
      </c>
      <c r="D95" t="s">
        <v>2586</v>
      </c>
    </row>
    <row r="96" spans="1:4" x14ac:dyDescent="0.25">
      <c r="A96" s="3"/>
      <c r="B96" s="1" t="s">
        <v>25</v>
      </c>
      <c r="C96" t="s">
        <v>2528</v>
      </c>
      <c r="D96" t="s">
        <v>2586</v>
      </c>
    </row>
    <row r="97" spans="1:4" x14ac:dyDescent="0.25">
      <c r="A97" s="3"/>
      <c r="B97" s="1" t="s">
        <v>763</v>
      </c>
      <c r="C97" t="s">
        <v>2529</v>
      </c>
      <c r="D97" t="s">
        <v>2578</v>
      </c>
    </row>
    <row r="98" spans="1:4" x14ac:dyDescent="0.25">
      <c r="A98" s="3">
        <v>13</v>
      </c>
      <c r="B98" s="1" t="s">
        <v>914</v>
      </c>
      <c r="C98" t="s">
        <v>917</v>
      </c>
      <c r="D98" t="s">
        <v>2587</v>
      </c>
    </row>
    <row r="99" spans="1:4" x14ac:dyDescent="0.25">
      <c r="A99" s="3"/>
      <c r="B99" s="1" t="s">
        <v>915</v>
      </c>
      <c r="C99" t="s">
        <v>918</v>
      </c>
      <c r="D99" t="s">
        <v>2587</v>
      </c>
    </row>
    <row r="100" spans="1:4" x14ac:dyDescent="0.25">
      <c r="A100" s="3"/>
      <c r="B100" s="1" t="s">
        <v>916</v>
      </c>
      <c r="C100" t="s">
        <v>2530</v>
      </c>
      <c r="D100" t="s">
        <v>2578</v>
      </c>
    </row>
    <row r="101" spans="1:4" x14ac:dyDescent="0.25">
      <c r="A101" s="3">
        <v>14</v>
      </c>
      <c r="B101" s="1" t="s">
        <v>28</v>
      </c>
      <c r="C101" t="s">
        <v>4559</v>
      </c>
      <c r="D101" t="s">
        <v>2588</v>
      </c>
    </row>
    <row r="102" spans="1:4" x14ac:dyDescent="0.25">
      <c r="A102" s="3"/>
      <c r="B102" s="1" t="s">
        <v>27</v>
      </c>
      <c r="C102" t="s">
        <v>855</v>
      </c>
      <c r="D102" t="s">
        <v>2588</v>
      </c>
    </row>
    <row r="103" spans="1:4" x14ac:dyDescent="0.25">
      <c r="A103" s="3"/>
      <c r="B103" s="1" t="s">
        <v>816</v>
      </c>
      <c r="C103" t="s">
        <v>2531</v>
      </c>
      <c r="D103" t="s">
        <v>2578</v>
      </c>
    </row>
    <row r="104" spans="1:4" x14ac:dyDescent="0.25">
      <c r="A104" s="3">
        <v>15</v>
      </c>
      <c r="B104" s="1" t="s">
        <v>40</v>
      </c>
      <c r="C104" t="s">
        <v>853</v>
      </c>
      <c r="D104" t="s">
        <v>2589</v>
      </c>
    </row>
    <row r="105" spans="1:4" x14ac:dyDescent="0.25">
      <c r="A105" s="3"/>
      <c r="B105" s="1" t="s">
        <v>39</v>
      </c>
      <c r="C105" t="s">
        <v>854</v>
      </c>
      <c r="D105" t="s">
        <v>2589</v>
      </c>
    </row>
    <row r="106" spans="1:4" x14ac:dyDescent="0.25">
      <c r="A106" s="3"/>
      <c r="B106" s="1" t="s">
        <v>765</v>
      </c>
      <c r="C106" t="s">
        <v>2532</v>
      </c>
      <c r="D106" t="s">
        <v>2578</v>
      </c>
    </row>
    <row r="107" spans="1:4" x14ac:dyDescent="0.25">
      <c r="A107" s="3">
        <v>16</v>
      </c>
      <c r="B107" s="1" t="s">
        <v>1791</v>
      </c>
      <c r="C107" t="s">
        <v>108</v>
      </c>
      <c r="D107" t="s">
        <v>2590</v>
      </c>
    </row>
    <row r="108" spans="1:4" x14ac:dyDescent="0.25">
      <c r="A108" s="3"/>
      <c r="B108" s="1" t="s">
        <v>1792</v>
      </c>
      <c r="C108" t="s">
        <v>107</v>
      </c>
      <c r="D108" t="s">
        <v>2590</v>
      </c>
    </row>
    <row r="109" spans="1:4" x14ac:dyDescent="0.25">
      <c r="A109" s="3"/>
      <c r="B109" s="1" t="s">
        <v>1795</v>
      </c>
      <c r="C109" t="s">
        <v>2533</v>
      </c>
      <c r="D109" t="s">
        <v>2578</v>
      </c>
    </row>
    <row r="110" spans="1:4" x14ac:dyDescent="0.25">
      <c r="A110" s="3">
        <v>17</v>
      </c>
      <c r="B110" s="1" t="s">
        <v>1011</v>
      </c>
      <c r="C110" t="s">
        <v>1014</v>
      </c>
      <c r="D110" t="s">
        <v>2591</v>
      </c>
    </row>
    <row r="111" spans="1:4" x14ac:dyDescent="0.25">
      <c r="A111" s="3"/>
      <c r="B111" s="1" t="s">
        <v>1012</v>
      </c>
      <c r="C111" t="s">
        <v>1015</v>
      </c>
      <c r="D111" t="s">
        <v>2591</v>
      </c>
    </row>
    <row r="112" spans="1:4" x14ac:dyDescent="0.25">
      <c r="A112" s="3"/>
      <c r="B112" s="1" t="s">
        <v>1013</v>
      </c>
      <c r="C112" t="s">
        <v>1016</v>
      </c>
      <c r="D112" t="s">
        <v>2578</v>
      </c>
    </row>
    <row r="113" spans="1:8" x14ac:dyDescent="0.25">
      <c r="A113" s="3">
        <v>18</v>
      </c>
      <c r="B113" s="1" t="s">
        <v>1495</v>
      </c>
      <c r="C113" t="s">
        <v>2535</v>
      </c>
      <c r="D113" t="s">
        <v>2592</v>
      </c>
    </row>
    <row r="114" spans="1:8" x14ac:dyDescent="0.25">
      <c r="A114" s="3"/>
      <c r="B114" s="1" t="s">
        <v>2534</v>
      </c>
      <c r="C114" t="s">
        <v>2536</v>
      </c>
      <c r="D114" t="s">
        <v>2592</v>
      </c>
    </row>
    <row r="115" spans="1:8" x14ac:dyDescent="0.25">
      <c r="A115" s="3"/>
      <c r="B115" s="1" t="s">
        <v>1497</v>
      </c>
      <c r="C115" t="s">
        <v>2537</v>
      </c>
      <c r="D115" t="s">
        <v>2578</v>
      </c>
    </row>
    <row r="116" spans="1:8" x14ac:dyDescent="0.25">
      <c r="A116" s="3">
        <v>19</v>
      </c>
      <c r="B116" s="1" t="s">
        <v>1498</v>
      </c>
      <c r="C116" t="s">
        <v>2538</v>
      </c>
      <c r="D116" t="s">
        <v>892</v>
      </c>
    </row>
    <row r="117" spans="1:8" x14ac:dyDescent="0.25">
      <c r="A117" s="3"/>
      <c r="B117" s="1" t="s">
        <v>1499</v>
      </c>
      <c r="C117" t="s">
        <v>2539</v>
      </c>
      <c r="D117" t="s">
        <v>892</v>
      </c>
    </row>
    <row r="118" spans="1:8" x14ac:dyDescent="0.25">
      <c r="A118" s="3"/>
      <c r="B118" s="1" t="s">
        <v>1496</v>
      </c>
      <c r="C118" t="s">
        <v>2540</v>
      </c>
      <c r="D118" t="s">
        <v>2578</v>
      </c>
    </row>
    <row r="119" spans="1:8" x14ac:dyDescent="0.25">
      <c r="A119" s="3">
        <v>20</v>
      </c>
      <c r="B119" s="1" t="s">
        <v>59</v>
      </c>
      <c r="C119" t="s">
        <v>63</v>
      </c>
      <c r="D119" t="s">
        <v>2485</v>
      </c>
    </row>
    <row r="120" spans="1:8" x14ac:dyDescent="0.25">
      <c r="A120" s="3"/>
      <c r="B120" s="1" t="s">
        <v>60</v>
      </c>
      <c r="C120" t="s">
        <v>64</v>
      </c>
      <c r="D120" t="s">
        <v>2485</v>
      </c>
    </row>
    <row r="121" spans="1:8" x14ac:dyDescent="0.25">
      <c r="A121" s="3"/>
      <c r="B121" s="1" t="s">
        <v>820</v>
      </c>
      <c r="C121" t="s">
        <v>2541</v>
      </c>
      <c r="D121" t="s">
        <v>2580</v>
      </c>
    </row>
    <row r="122" spans="1:8" x14ac:dyDescent="0.25">
      <c r="A122" s="3">
        <v>21</v>
      </c>
      <c r="B122" s="1" t="s">
        <v>61</v>
      </c>
      <c r="C122" t="s">
        <v>2543</v>
      </c>
      <c r="D122" t="s">
        <v>2593</v>
      </c>
    </row>
    <row r="123" spans="1:8" x14ac:dyDescent="0.25">
      <c r="A123" s="3"/>
      <c r="B123" s="1" t="s">
        <v>62</v>
      </c>
      <c r="C123" t="s">
        <v>2542</v>
      </c>
      <c r="D123" t="s">
        <v>2593</v>
      </c>
    </row>
    <row r="124" spans="1:8" x14ac:dyDescent="0.25">
      <c r="A124" s="3"/>
      <c r="B124" s="1" t="s">
        <v>821</v>
      </c>
      <c r="C124" t="s">
        <v>2544</v>
      </c>
      <c r="D124" t="s">
        <v>2578</v>
      </c>
    </row>
    <row r="125" spans="1:8" ht="15.75" customHeight="1" x14ac:dyDescent="0.25">
      <c r="A125" s="3">
        <v>22</v>
      </c>
      <c r="B125" s="1" t="s">
        <v>38</v>
      </c>
      <c r="C125" s="611" t="s">
        <v>4558</v>
      </c>
      <c r="D125" t="s">
        <v>2594</v>
      </c>
      <c r="E125" s="1">
        <f>1/3*100</f>
        <v>33.333333333333329</v>
      </c>
      <c r="F125" s="1">
        <f>15*100</f>
        <v>1500</v>
      </c>
      <c r="G125" s="1" t="s">
        <v>851</v>
      </c>
      <c r="H125" s="1"/>
    </row>
    <row r="126" spans="1:8" x14ac:dyDescent="0.25">
      <c r="A126" s="3"/>
      <c r="B126" s="1" t="s">
        <v>37</v>
      </c>
      <c r="C126" t="s">
        <v>58</v>
      </c>
      <c r="D126" t="s">
        <v>2594</v>
      </c>
    </row>
    <row r="127" spans="1:8" x14ac:dyDescent="0.25">
      <c r="A127" s="3"/>
      <c r="B127" s="1" t="s">
        <v>819</v>
      </c>
      <c r="C127" t="s">
        <v>2545</v>
      </c>
      <c r="D127" t="s">
        <v>2578</v>
      </c>
    </row>
    <row r="128" spans="1:8" x14ac:dyDescent="0.25">
      <c r="A128" s="17">
        <v>23</v>
      </c>
      <c r="B128" s="1" t="s">
        <v>146</v>
      </c>
      <c r="C128" t="s">
        <v>148</v>
      </c>
      <c r="D128" t="s">
        <v>2595</v>
      </c>
    </row>
    <row r="129" spans="1:4" x14ac:dyDescent="0.25">
      <c r="A129" s="17"/>
      <c r="B129" s="1" t="s">
        <v>145</v>
      </c>
      <c r="C129" t="s">
        <v>147</v>
      </c>
      <c r="D129" t="s">
        <v>2595</v>
      </c>
    </row>
    <row r="130" spans="1:4" x14ac:dyDescent="0.25">
      <c r="A130" s="17"/>
      <c r="B130" s="1" t="s">
        <v>822</v>
      </c>
      <c r="C130" t="s">
        <v>2546</v>
      </c>
      <c r="D130" t="s">
        <v>2578</v>
      </c>
    </row>
    <row r="131" spans="1:4" x14ac:dyDescent="0.25">
      <c r="A131" s="17">
        <v>24</v>
      </c>
      <c r="B131" s="1" t="s">
        <v>363</v>
      </c>
      <c r="C131" t="s">
        <v>2547</v>
      </c>
      <c r="D131" t="s">
        <v>2582</v>
      </c>
    </row>
    <row r="132" spans="1:4" x14ac:dyDescent="0.25">
      <c r="A132" s="17"/>
      <c r="B132" s="1" t="s">
        <v>362</v>
      </c>
      <c r="C132" t="s">
        <v>2548</v>
      </c>
      <c r="D132" t="s">
        <v>2582</v>
      </c>
    </row>
    <row r="133" spans="1:4" x14ac:dyDescent="0.25">
      <c r="A133" s="17"/>
      <c r="B133" s="1" t="s">
        <v>823</v>
      </c>
      <c r="C133" t="s">
        <v>2549</v>
      </c>
      <c r="D133" t="s">
        <v>2578</v>
      </c>
    </row>
    <row r="134" spans="1:4" x14ac:dyDescent="0.25">
      <c r="A134" s="17">
        <v>25</v>
      </c>
      <c r="B134" s="1" t="s">
        <v>1691</v>
      </c>
      <c r="C134" t="s">
        <v>2551</v>
      </c>
      <c r="D134" t="s">
        <v>2596</v>
      </c>
    </row>
    <row r="135" spans="1:4" x14ac:dyDescent="0.25">
      <c r="A135" s="17"/>
      <c r="B135" s="1" t="s">
        <v>1692</v>
      </c>
      <c r="C135" t="s">
        <v>2552</v>
      </c>
      <c r="D135" t="s">
        <v>2596</v>
      </c>
    </row>
    <row r="136" spans="1:4" x14ac:dyDescent="0.25">
      <c r="A136" s="17"/>
      <c r="B136" s="1" t="s">
        <v>1693</v>
      </c>
      <c r="C136" t="s">
        <v>2550</v>
      </c>
      <c r="D136" t="s">
        <v>2578</v>
      </c>
    </row>
    <row r="137" spans="1:4" x14ac:dyDescent="0.25">
      <c r="A137" s="17">
        <v>26</v>
      </c>
      <c r="B137" s="1" t="s">
        <v>1708</v>
      </c>
      <c r="C137" t="s">
        <v>2553</v>
      </c>
      <c r="D137" t="s">
        <v>2582</v>
      </c>
    </row>
    <row r="138" spans="1:4" x14ac:dyDescent="0.25">
      <c r="A138" s="17"/>
      <c r="B138" s="1" t="s">
        <v>1709</v>
      </c>
      <c r="C138" t="s">
        <v>2554</v>
      </c>
      <c r="D138" t="s">
        <v>2582</v>
      </c>
    </row>
    <row r="139" spans="1:4" x14ac:dyDescent="0.25">
      <c r="A139" s="17"/>
      <c r="B139" s="1" t="s">
        <v>1710</v>
      </c>
      <c r="C139" t="s">
        <v>2555</v>
      </c>
      <c r="D139" t="s">
        <v>2578</v>
      </c>
    </row>
    <row r="140" spans="1:4" x14ac:dyDescent="0.25">
      <c r="A140" s="17">
        <v>27</v>
      </c>
      <c r="B140" s="1" t="s">
        <v>1694</v>
      </c>
      <c r="C140" t="s">
        <v>2556</v>
      </c>
      <c r="D140" t="s">
        <v>2582</v>
      </c>
    </row>
    <row r="141" spans="1:4" x14ac:dyDescent="0.25">
      <c r="A141" s="17"/>
      <c r="B141" s="1" t="s">
        <v>1695</v>
      </c>
      <c r="C141" t="s">
        <v>2557</v>
      </c>
      <c r="D141" t="s">
        <v>2582</v>
      </c>
    </row>
    <row r="142" spans="1:4" x14ac:dyDescent="0.25">
      <c r="A142" s="17"/>
      <c r="B142" s="1" t="s">
        <v>1696</v>
      </c>
      <c r="C142" t="s">
        <v>2558</v>
      </c>
      <c r="D142" t="s">
        <v>2578</v>
      </c>
    </row>
    <row r="143" spans="1:4" x14ac:dyDescent="0.25">
      <c r="A143" s="17">
        <v>28</v>
      </c>
      <c r="B143" s="1" t="s">
        <v>1711</v>
      </c>
      <c r="C143" t="s">
        <v>2559</v>
      </c>
      <c r="D143" t="s">
        <v>2597</v>
      </c>
    </row>
    <row r="144" spans="1:4" x14ac:dyDescent="0.25">
      <c r="A144" s="17"/>
      <c r="B144" s="1" t="s">
        <v>1712</v>
      </c>
      <c r="C144" t="s">
        <v>2560</v>
      </c>
      <c r="D144" t="s">
        <v>2597</v>
      </c>
    </row>
    <row r="145" spans="1:5" x14ac:dyDescent="0.25">
      <c r="A145" s="17"/>
      <c r="B145" s="1" t="s">
        <v>1713</v>
      </c>
      <c r="C145" t="s">
        <v>2561</v>
      </c>
      <c r="D145" t="s">
        <v>2578</v>
      </c>
    </row>
    <row r="146" spans="1:5" x14ac:dyDescent="0.25">
      <c r="A146" s="17">
        <v>29</v>
      </c>
      <c r="B146" s="1" t="s">
        <v>1731</v>
      </c>
      <c r="C146" t="s">
        <v>2562</v>
      </c>
      <c r="D146" t="s">
        <v>2582</v>
      </c>
    </row>
    <row r="147" spans="1:5" x14ac:dyDescent="0.25">
      <c r="A147" s="17"/>
      <c r="B147" s="1" t="s">
        <v>1732</v>
      </c>
      <c r="C147" t="s">
        <v>2563</v>
      </c>
      <c r="D147" t="s">
        <v>2582</v>
      </c>
    </row>
    <row r="148" spans="1:5" x14ac:dyDescent="0.25">
      <c r="A148" s="17"/>
      <c r="B148" s="1" t="s">
        <v>1733</v>
      </c>
      <c r="C148" t="s">
        <v>2564</v>
      </c>
      <c r="D148" t="s">
        <v>2578</v>
      </c>
    </row>
    <row r="149" spans="1:5" x14ac:dyDescent="0.25">
      <c r="A149" s="17">
        <v>30</v>
      </c>
      <c r="B149" s="1" t="s">
        <v>93</v>
      </c>
      <c r="C149" t="s">
        <v>1662</v>
      </c>
      <c r="D149" t="s">
        <v>2598</v>
      </c>
      <c r="E149" t="s">
        <v>4561</v>
      </c>
    </row>
    <row r="150" spans="1:5" x14ac:dyDescent="0.25">
      <c r="A150" s="17"/>
      <c r="B150" s="1" t="s">
        <v>92</v>
      </c>
      <c r="C150" t="s">
        <v>1663</v>
      </c>
      <c r="D150" t="s">
        <v>2598</v>
      </c>
    </row>
    <row r="151" spans="1:5" x14ac:dyDescent="0.25">
      <c r="A151" s="17"/>
      <c r="B151" s="1" t="s">
        <v>824</v>
      </c>
      <c r="C151" t="s">
        <v>2565</v>
      </c>
      <c r="D151" t="s">
        <v>2578</v>
      </c>
    </row>
    <row r="152" spans="1:5" x14ac:dyDescent="0.25">
      <c r="A152" s="17">
        <v>31</v>
      </c>
      <c r="B152" s="1" t="s">
        <v>95</v>
      </c>
      <c r="C152" t="s">
        <v>1664</v>
      </c>
      <c r="D152" t="s">
        <v>2599</v>
      </c>
      <c r="E152" t="s">
        <v>4562</v>
      </c>
    </row>
    <row r="153" spans="1:5" x14ac:dyDescent="0.25">
      <c r="A153" s="17"/>
      <c r="B153" s="1" t="s">
        <v>94</v>
      </c>
      <c r="C153" t="s">
        <v>1665</v>
      </c>
      <c r="D153" t="s">
        <v>2599</v>
      </c>
    </row>
    <row r="154" spans="1:5" x14ac:dyDescent="0.25">
      <c r="A154" s="17"/>
      <c r="B154" s="1" t="s">
        <v>828</v>
      </c>
      <c r="C154" t="s">
        <v>2566</v>
      </c>
      <c r="D154" t="s">
        <v>2578</v>
      </c>
    </row>
    <row r="155" spans="1:5" x14ac:dyDescent="0.25">
      <c r="A155" s="17">
        <v>32</v>
      </c>
      <c r="B155" s="1" t="s">
        <v>1359</v>
      </c>
      <c r="C155" t="s">
        <v>1367</v>
      </c>
      <c r="D155" t="s">
        <v>3724</v>
      </c>
    </row>
    <row r="156" spans="1:5" x14ac:dyDescent="0.25">
      <c r="A156" s="17"/>
      <c r="B156" s="1" t="s">
        <v>1360</v>
      </c>
      <c r="C156" t="s">
        <v>1368</v>
      </c>
      <c r="D156" t="s">
        <v>3724</v>
      </c>
    </row>
    <row r="157" spans="1:5" x14ac:dyDescent="0.25">
      <c r="A157" s="17"/>
      <c r="B157" s="1" t="s">
        <v>1369</v>
      </c>
      <c r="C157" t="s">
        <v>1370</v>
      </c>
      <c r="D157" t="s">
        <v>2578</v>
      </c>
    </row>
    <row r="158" spans="1:5" x14ac:dyDescent="0.25">
      <c r="A158" s="17">
        <v>33</v>
      </c>
      <c r="B158" s="1" t="s">
        <v>97</v>
      </c>
      <c r="C158" t="s">
        <v>102</v>
      </c>
      <c r="D158" t="s">
        <v>2600</v>
      </c>
    </row>
    <row r="159" spans="1:5" x14ac:dyDescent="0.25">
      <c r="A159" s="17"/>
      <c r="B159" s="1" t="s">
        <v>96</v>
      </c>
      <c r="C159" t="s">
        <v>101</v>
      </c>
      <c r="D159" t="s">
        <v>2600</v>
      </c>
    </row>
    <row r="160" spans="1:5" x14ac:dyDescent="0.25">
      <c r="A160" s="17"/>
      <c r="B160" s="1" t="s">
        <v>825</v>
      </c>
      <c r="C160" t="s">
        <v>2567</v>
      </c>
      <c r="D160" t="s">
        <v>2578</v>
      </c>
    </row>
    <row r="161" spans="1:4" x14ac:dyDescent="0.25">
      <c r="A161" s="17">
        <v>34</v>
      </c>
      <c r="B161" s="1" t="s">
        <v>99</v>
      </c>
      <c r="C161" t="s">
        <v>104</v>
      </c>
      <c r="D161" t="s">
        <v>2601</v>
      </c>
    </row>
    <row r="162" spans="1:4" x14ac:dyDescent="0.25">
      <c r="A162" s="17"/>
      <c r="B162" s="1" t="s">
        <v>98</v>
      </c>
      <c r="C162" t="s">
        <v>103</v>
      </c>
      <c r="D162" t="s">
        <v>2601</v>
      </c>
    </row>
    <row r="163" spans="1:4" x14ac:dyDescent="0.25">
      <c r="A163" s="17"/>
      <c r="B163" s="1" t="s">
        <v>826</v>
      </c>
      <c r="C163" t="s">
        <v>2568</v>
      </c>
      <c r="D163" t="s">
        <v>2578</v>
      </c>
    </row>
    <row r="164" spans="1:4" x14ac:dyDescent="0.25">
      <c r="A164" s="17">
        <v>35</v>
      </c>
      <c r="B164" s="1" t="s">
        <v>1361</v>
      </c>
      <c r="C164" t="s">
        <v>2569</v>
      </c>
      <c r="D164" t="s">
        <v>2602</v>
      </c>
    </row>
    <row r="165" spans="1:4" x14ac:dyDescent="0.25">
      <c r="A165" s="17"/>
      <c r="B165" s="1" t="s">
        <v>1362</v>
      </c>
      <c r="C165" t="s">
        <v>2570</v>
      </c>
      <c r="D165" t="s">
        <v>2602</v>
      </c>
    </row>
    <row r="166" spans="1:4" x14ac:dyDescent="0.25">
      <c r="A166" s="17"/>
      <c r="B166" s="1" t="s">
        <v>1371</v>
      </c>
      <c r="C166" t="s">
        <v>1372</v>
      </c>
      <c r="D166" t="s">
        <v>2578</v>
      </c>
    </row>
    <row r="167" spans="1:4" x14ac:dyDescent="0.25">
      <c r="A167" s="17">
        <v>36</v>
      </c>
      <c r="B167" s="1" t="s">
        <v>1363</v>
      </c>
      <c r="C167" t="s">
        <v>1373</v>
      </c>
      <c r="D167" t="s">
        <v>3724</v>
      </c>
    </row>
    <row r="168" spans="1:4" x14ac:dyDescent="0.25">
      <c r="A168" s="17"/>
      <c r="B168" s="1" t="s">
        <v>1364</v>
      </c>
      <c r="C168" t="s">
        <v>1374</v>
      </c>
      <c r="D168" t="s">
        <v>3724</v>
      </c>
    </row>
    <row r="169" spans="1:4" x14ac:dyDescent="0.25">
      <c r="A169" s="17"/>
      <c r="B169" s="1" t="s">
        <v>1375</v>
      </c>
      <c r="C169" t="s">
        <v>1376</v>
      </c>
      <c r="D169" t="s">
        <v>2578</v>
      </c>
    </row>
    <row r="170" spans="1:4" x14ac:dyDescent="0.25">
      <c r="A170" s="17">
        <v>37</v>
      </c>
      <c r="B170" s="1" t="s">
        <v>153</v>
      </c>
      <c r="C170" t="s">
        <v>106</v>
      </c>
      <c r="D170" t="s">
        <v>2583</v>
      </c>
    </row>
    <row r="171" spans="1:4" x14ac:dyDescent="0.25">
      <c r="A171" s="17"/>
      <c r="B171" s="1" t="s">
        <v>100</v>
      </c>
      <c r="C171" t="s">
        <v>105</v>
      </c>
      <c r="D171" t="s">
        <v>2583</v>
      </c>
    </row>
    <row r="172" spans="1:4" x14ac:dyDescent="0.25">
      <c r="A172" s="17"/>
      <c r="B172" s="1" t="s">
        <v>827</v>
      </c>
      <c r="C172" t="s">
        <v>2571</v>
      </c>
      <c r="D172" t="s">
        <v>2578</v>
      </c>
    </row>
    <row r="173" spans="1:4" x14ac:dyDescent="0.25">
      <c r="A173" s="17">
        <v>38</v>
      </c>
      <c r="B173" s="1" t="s">
        <v>1087</v>
      </c>
      <c r="C173" t="s">
        <v>1090</v>
      </c>
      <c r="D173" t="s">
        <v>2583</v>
      </c>
    </row>
    <row r="174" spans="1:4" x14ac:dyDescent="0.25">
      <c r="A174" s="17"/>
      <c r="B174" s="1" t="s">
        <v>1088</v>
      </c>
      <c r="C174" t="s">
        <v>1091</v>
      </c>
      <c r="D174" t="s">
        <v>2583</v>
      </c>
    </row>
    <row r="175" spans="1:4" x14ac:dyDescent="0.25">
      <c r="A175" s="17"/>
      <c r="B175" s="1" t="s">
        <v>1089</v>
      </c>
      <c r="C175" t="s">
        <v>2572</v>
      </c>
      <c r="D175" t="s">
        <v>2578</v>
      </c>
    </row>
    <row r="176" spans="1:4" s="14" customFormat="1" x14ac:dyDescent="0.25">
      <c r="A176" s="17">
        <v>39</v>
      </c>
      <c r="B176" s="15" t="s">
        <v>1148</v>
      </c>
      <c r="C176" s="14" t="s">
        <v>2573</v>
      </c>
      <c r="D176" s="14" t="s">
        <v>1840</v>
      </c>
    </row>
    <row r="177" spans="1:4" x14ac:dyDescent="0.25">
      <c r="A177" s="17">
        <v>40</v>
      </c>
      <c r="B177" s="1" t="s">
        <v>1366</v>
      </c>
      <c r="C177" t="s">
        <v>2574</v>
      </c>
      <c r="D177" s="14" t="s">
        <v>1840</v>
      </c>
    </row>
    <row r="178" spans="1:4" x14ac:dyDescent="0.25">
      <c r="A178" s="17">
        <v>41</v>
      </c>
      <c r="B178" s="1" t="s">
        <v>1365</v>
      </c>
      <c r="C178" t="s">
        <v>2575</v>
      </c>
      <c r="D178" s="14" t="s">
        <v>1840</v>
      </c>
    </row>
    <row r="179" spans="1:4" x14ac:dyDescent="0.25">
      <c r="A179" s="17">
        <v>42</v>
      </c>
      <c r="B179" s="1" t="s">
        <v>1493</v>
      </c>
      <c r="C179" t="s">
        <v>1841</v>
      </c>
      <c r="D179" s="14" t="s">
        <v>1840</v>
      </c>
    </row>
    <row r="180" spans="1:4" x14ac:dyDescent="0.25">
      <c r="A180" s="13"/>
      <c r="B180" s="1" t="s">
        <v>831</v>
      </c>
      <c r="C180" t="s">
        <v>832</v>
      </c>
    </row>
    <row r="181" spans="1:4" x14ac:dyDescent="0.25">
      <c r="A181" s="13"/>
      <c r="B181" s="1" t="s">
        <v>708</v>
      </c>
      <c r="C181" t="s">
        <v>716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M12" sqref="M12"/>
    </sheetView>
  </sheetViews>
  <sheetFormatPr defaultRowHeight="15" x14ac:dyDescent="0.25"/>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1" shapeId="10242" r:id="rId4">
          <objectPr defaultSize="0" r:id="rId5">
            <anchor moveWithCells="1">
              <from>
                <xdr:col>2</xdr:col>
                <xdr:colOff>76200</xdr:colOff>
                <xdr:row>1</xdr:row>
                <xdr:rowOff>114300</xdr:rowOff>
              </from>
              <to>
                <xdr:col>9</xdr:col>
                <xdr:colOff>571500</xdr:colOff>
                <xdr:row>35</xdr:row>
                <xdr:rowOff>38100</xdr:rowOff>
              </to>
            </anchor>
          </objectPr>
        </oleObject>
      </mc:Choice>
      <mc:Fallback>
        <oleObject progId="Visio.Drawing.11" shapeId="10242"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5"/>
  <sheetViews>
    <sheetView topLeftCell="A22" workbookViewId="0">
      <selection activeCell="N38" sqref="N38"/>
    </sheetView>
  </sheetViews>
  <sheetFormatPr defaultRowHeight="15" x14ac:dyDescent="0.25"/>
  <cols>
    <col min="2" max="2" width="22.42578125" customWidth="1"/>
    <col min="3" max="3" width="15.85546875" style="31" bestFit="1" customWidth="1"/>
    <col min="4" max="4" width="9.28515625" style="31" bestFit="1" customWidth="1"/>
    <col min="5" max="5" width="12.42578125" style="31" customWidth="1"/>
    <col min="6" max="6" width="10.28515625" customWidth="1"/>
    <col min="7" max="7" width="13.140625" customWidth="1"/>
    <col min="9" max="9" width="12" bestFit="1" customWidth="1"/>
    <col min="12" max="12" width="11" bestFit="1" customWidth="1"/>
    <col min="13" max="14" width="10" bestFit="1" customWidth="1"/>
  </cols>
  <sheetData>
    <row r="1" spans="2:8" x14ac:dyDescent="0.25">
      <c r="B1" s="5"/>
      <c r="C1" s="29"/>
      <c r="D1" s="29"/>
      <c r="E1" s="29"/>
      <c r="F1" s="5"/>
      <c r="G1" s="5"/>
      <c r="H1" s="5"/>
    </row>
    <row r="2" spans="2:8" x14ac:dyDescent="0.25">
      <c r="B2" s="5"/>
      <c r="C2" s="29"/>
      <c r="D2" s="29"/>
      <c r="E2" s="29"/>
      <c r="F2" s="5"/>
      <c r="G2" s="5"/>
      <c r="H2" s="5"/>
    </row>
    <row r="3" spans="2:8" x14ac:dyDescent="0.25">
      <c r="B3" s="6" t="s">
        <v>82</v>
      </c>
      <c r="C3" s="29"/>
      <c r="D3" s="29"/>
      <c r="E3" s="29"/>
      <c r="F3" s="5"/>
      <c r="G3" s="5"/>
      <c r="H3" s="5"/>
    </row>
    <row r="4" spans="2:8" x14ac:dyDescent="0.25">
      <c r="B4" s="8" t="s">
        <v>79</v>
      </c>
      <c r="C4" s="30" t="s">
        <v>71</v>
      </c>
      <c r="D4" s="30" t="s">
        <v>72</v>
      </c>
      <c r="E4" s="30" t="s">
        <v>73</v>
      </c>
      <c r="F4" s="8" t="s">
        <v>41</v>
      </c>
      <c r="G4" s="5"/>
      <c r="H4" s="5"/>
    </row>
    <row r="5" spans="2:8" x14ac:dyDescent="0.25">
      <c r="B5" s="9" t="s">
        <v>74</v>
      </c>
      <c r="C5" s="25" t="s">
        <v>75</v>
      </c>
      <c r="D5" s="25">
        <v>1</v>
      </c>
      <c r="E5" s="25" t="s">
        <v>76</v>
      </c>
      <c r="F5" s="5" t="s">
        <v>84</v>
      </c>
      <c r="G5" s="5"/>
      <c r="H5" s="5"/>
    </row>
    <row r="6" spans="2:8" x14ac:dyDescent="0.25">
      <c r="B6" s="9" t="s">
        <v>77</v>
      </c>
      <c r="C6" s="25" t="s">
        <v>75</v>
      </c>
      <c r="D6" s="25">
        <v>1</v>
      </c>
      <c r="E6" s="25" t="s">
        <v>76</v>
      </c>
      <c r="F6" s="5" t="s">
        <v>90</v>
      </c>
      <c r="G6" s="5"/>
      <c r="H6" s="5"/>
    </row>
    <row r="7" spans="2:8" x14ac:dyDescent="0.25">
      <c r="B7" s="9" t="s">
        <v>664</v>
      </c>
      <c r="C7" s="25">
        <f>100/300</f>
        <v>0.33333333333333331</v>
      </c>
      <c r="D7" s="25"/>
      <c r="E7" s="25"/>
      <c r="F7" s="5" t="s">
        <v>706</v>
      </c>
      <c r="G7" s="5" t="s">
        <v>444</v>
      </c>
      <c r="H7" s="5"/>
    </row>
    <row r="8" spans="2:8" x14ac:dyDescent="0.25">
      <c r="B8" s="9"/>
      <c r="C8" s="25"/>
      <c r="D8" s="25"/>
      <c r="E8" s="25"/>
      <c r="F8" s="5"/>
      <c r="G8" s="5"/>
      <c r="H8" s="5"/>
    </row>
    <row r="9" spans="2:8" x14ac:dyDescent="0.25">
      <c r="B9" s="9" t="s">
        <v>183</v>
      </c>
      <c r="C9" s="25"/>
      <c r="D9" s="25"/>
      <c r="E9" s="25"/>
      <c r="F9" s="5"/>
      <c r="G9" s="5"/>
      <c r="H9" s="5"/>
    </row>
    <row r="10" spans="2:8" x14ac:dyDescent="0.25">
      <c r="B10" s="5"/>
      <c r="C10" s="29"/>
      <c r="D10" s="29"/>
      <c r="E10" s="29"/>
      <c r="F10" s="5"/>
      <c r="G10" s="5"/>
      <c r="H10" s="5"/>
    </row>
    <row r="11" spans="2:8" x14ac:dyDescent="0.25">
      <c r="B11" s="5"/>
      <c r="C11" s="29"/>
      <c r="D11" s="29"/>
      <c r="E11" s="29"/>
      <c r="F11" s="5"/>
      <c r="G11" s="5"/>
      <c r="H11" s="5"/>
    </row>
    <row r="12" spans="2:8" x14ac:dyDescent="0.25">
      <c r="B12" s="5"/>
      <c r="C12" s="29"/>
      <c r="D12" s="29"/>
      <c r="E12" s="29"/>
      <c r="F12" s="5"/>
      <c r="G12" s="5"/>
      <c r="H12" s="5"/>
    </row>
    <row r="13" spans="2:8" x14ac:dyDescent="0.25">
      <c r="B13" s="6" t="s">
        <v>83</v>
      </c>
      <c r="C13" s="29"/>
      <c r="D13" s="29"/>
      <c r="E13" s="29"/>
      <c r="F13" s="5"/>
      <c r="G13" s="5"/>
      <c r="H13" s="5"/>
    </row>
    <row r="14" spans="2:8" x14ac:dyDescent="0.25">
      <c r="B14" s="8" t="s">
        <v>79</v>
      </c>
      <c r="C14" s="30" t="s">
        <v>71</v>
      </c>
      <c r="D14" s="30" t="s">
        <v>78</v>
      </c>
      <c r="E14" s="30" t="s">
        <v>74</v>
      </c>
      <c r="F14" s="8" t="s">
        <v>41</v>
      </c>
      <c r="G14" s="5"/>
      <c r="H14" s="5"/>
    </row>
    <row r="15" spans="2:8" x14ac:dyDescent="0.25">
      <c r="B15" s="9" t="s">
        <v>80</v>
      </c>
      <c r="C15" s="25">
        <v>1</v>
      </c>
      <c r="D15" s="25">
        <v>1</v>
      </c>
      <c r="E15" s="25">
        <v>1</v>
      </c>
      <c r="F15" s="5" t="s">
        <v>81</v>
      </c>
      <c r="G15" s="5"/>
      <c r="H15" s="5"/>
    </row>
    <row r="16" spans="2:8" x14ac:dyDescent="0.25">
      <c r="B16" s="9"/>
      <c r="C16" s="25"/>
      <c r="D16" s="25"/>
      <c r="E16" s="25"/>
      <c r="F16" s="5"/>
      <c r="G16" s="5"/>
      <c r="H16" s="5"/>
    </row>
    <row r="17" spans="2:17" x14ac:dyDescent="0.25">
      <c r="B17" s="9"/>
      <c r="C17" s="25"/>
      <c r="D17" s="25"/>
      <c r="E17" s="25"/>
      <c r="F17" s="5"/>
      <c r="G17" s="5"/>
      <c r="H17" s="5"/>
    </row>
    <row r="18" spans="2:17" x14ac:dyDescent="0.25">
      <c r="B18" s="9" t="s">
        <v>85</v>
      </c>
      <c r="C18" s="25"/>
      <c r="D18" s="25"/>
      <c r="E18" s="25"/>
      <c r="F18" s="5"/>
      <c r="G18" s="5"/>
      <c r="H18" s="5"/>
    </row>
    <row r="21" spans="2:17" x14ac:dyDescent="0.25">
      <c r="B21" s="1" t="s">
        <v>1448</v>
      </c>
    </row>
    <row r="22" spans="2:17" x14ac:dyDescent="0.25">
      <c r="B22" s="8" t="s">
        <v>79</v>
      </c>
      <c r="C22" s="30" t="s">
        <v>71</v>
      </c>
      <c r="D22" s="30" t="s">
        <v>78</v>
      </c>
      <c r="E22" s="30" t="s">
        <v>179</v>
      </c>
      <c r="F22" s="8" t="s">
        <v>41</v>
      </c>
      <c r="G22" s="5"/>
      <c r="M22" s="129"/>
      <c r="N22" s="128"/>
      <c r="O22" s="128"/>
      <c r="P22" s="128"/>
      <c r="Q22" s="130"/>
    </row>
    <row r="23" spans="2:17" x14ac:dyDescent="0.25">
      <c r="B23" s="9" t="s">
        <v>178</v>
      </c>
      <c r="C23" s="25">
        <v>10</v>
      </c>
      <c r="D23" s="25">
        <v>1</v>
      </c>
      <c r="E23" s="25">
        <f>C23*D23</f>
        <v>10</v>
      </c>
      <c r="F23" s="5" t="s">
        <v>180</v>
      </c>
      <c r="G23" s="5"/>
      <c r="M23" s="131"/>
      <c r="N23" s="132"/>
      <c r="O23" s="132"/>
      <c r="P23" s="132"/>
      <c r="Q23" s="130"/>
    </row>
    <row r="24" spans="2:17" x14ac:dyDescent="0.25">
      <c r="B24" s="9" t="s">
        <v>181</v>
      </c>
      <c r="C24" s="25">
        <v>1000</v>
      </c>
      <c r="D24" s="25">
        <v>1</v>
      </c>
      <c r="E24" s="25">
        <f>C24*D24</f>
        <v>1000</v>
      </c>
      <c r="F24" s="5" t="s">
        <v>182</v>
      </c>
      <c r="G24" s="5"/>
      <c r="M24" s="127"/>
      <c r="N24" s="133"/>
      <c r="O24" s="133"/>
      <c r="P24" s="133"/>
      <c r="Q24" s="130"/>
    </row>
    <row r="25" spans="2:17" x14ac:dyDescent="0.25">
      <c r="B25" s="9" t="s">
        <v>207</v>
      </c>
      <c r="C25" s="25">
        <v>1000</v>
      </c>
      <c r="D25" s="25">
        <v>1</v>
      </c>
      <c r="E25" s="25">
        <f>C25*D25</f>
        <v>1000</v>
      </c>
      <c r="F25" s="5"/>
      <c r="G25" s="5"/>
      <c r="M25" s="127"/>
      <c r="N25" s="133"/>
      <c r="O25" s="133"/>
      <c r="P25" s="133"/>
      <c r="Q25" s="130"/>
    </row>
    <row r="26" spans="2:17" x14ac:dyDescent="0.25">
      <c r="B26" s="9" t="s">
        <v>1449</v>
      </c>
      <c r="C26" s="25">
        <f>0.4536/0.4047</f>
        <v>1.1208302446256486</v>
      </c>
      <c r="D26" s="25">
        <v>1</v>
      </c>
      <c r="E26" s="25"/>
      <c r="F26" s="5" t="s">
        <v>1450</v>
      </c>
      <c r="G26" s="5"/>
      <c r="H26" t="s">
        <v>1451</v>
      </c>
      <c r="M26" s="127"/>
      <c r="N26" s="133"/>
      <c r="O26" s="133"/>
      <c r="P26" s="133"/>
      <c r="Q26" s="130"/>
    </row>
    <row r="27" spans="2:17" x14ac:dyDescent="0.25">
      <c r="B27" s="9"/>
      <c r="C27" s="25"/>
      <c r="D27" s="25"/>
      <c r="E27" s="25"/>
      <c r="F27" s="5"/>
      <c r="G27" s="5"/>
      <c r="M27" s="127"/>
      <c r="N27" s="133"/>
      <c r="O27" s="133"/>
      <c r="P27" s="133"/>
      <c r="Q27" s="130"/>
    </row>
    <row r="28" spans="2:17" x14ac:dyDescent="0.25">
      <c r="B28" s="9" t="s">
        <v>183</v>
      </c>
      <c r="C28" s="38"/>
      <c r="D28" s="38"/>
      <c r="E28" s="38"/>
      <c r="M28" s="127"/>
      <c r="N28" s="133"/>
      <c r="O28" s="133"/>
      <c r="P28" s="133"/>
      <c r="Q28" s="130"/>
    </row>
    <row r="29" spans="2:17" x14ac:dyDescent="0.25">
      <c r="B29" s="127"/>
      <c r="C29" s="128"/>
      <c r="D29" s="128"/>
      <c r="E29" s="128"/>
      <c r="M29" s="127"/>
      <c r="N29" s="133"/>
      <c r="O29" s="133"/>
      <c r="P29" s="133"/>
      <c r="Q29" s="130"/>
    </row>
    <row r="30" spans="2:17" x14ac:dyDescent="0.25">
      <c r="B30" s="19"/>
      <c r="M30" s="130"/>
      <c r="N30" s="130"/>
      <c r="O30" s="130"/>
      <c r="P30" s="130"/>
      <c r="Q30" s="130"/>
    </row>
    <row r="32" spans="2:17" x14ac:dyDescent="0.25">
      <c r="B32" s="1" t="s">
        <v>163</v>
      </c>
    </row>
    <row r="33" spans="2:15" x14ac:dyDescent="0.25">
      <c r="B33" s="8" t="s">
        <v>79</v>
      </c>
      <c r="C33" s="30" t="s">
        <v>71</v>
      </c>
      <c r="D33" s="30" t="s">
        <v>78</v>
      </c>
      <c r="E33" s="30" t="s">
        <v>164</v>
      </c>
    </row>
    <row r="34" spans="2:15" x14ac:dyDescent="0.25">
      <c r="B34" s="9" t="s">
        <v>165</v>
      </c>
      <c r="C34" s="25">
        <v>0.1</v>
      </c>
      <c r="D34" s="25">
        <v>1</v>
      </c>
      <c r="E34" s="25">
        <f>D34*C34</f>
        <v>0.1</v>
      </c>
      <c r="F34" t="s">
        <v>169</v>
      </c>
      <c r="M34" t="s">
        <v>589</v>
      </c>
      <c r="N34" t="s">
        <v>590</v>
      </c>
    </row>
    <row r="35" spans="2:15" x14ac:dyDescent="0.25">
      <c r="B35" s="9" t="s">
        <v>207</v>
      </c>
      <c r="C35" s="25">
        <f>1000/1627500*100</f>
        <v>6.1443932411674347E-2</v>
      </c>
      <c r="D35" s="25">
        <v>1</v>
      </c>
      <c r="E35" s="25">
        <f>D35*C35</f>
        <v>6.1443932411674347E-2</v>
      </c>
      <c r="F35" t="s">
        <v>587</v>
      </c>
      <c r="I35" t="s">
        <v>286</v>
      </c>
      <c r="M35">
        <f>(100*100*0.1*1.37)</f>
        <v>1370</v>
      </c>
      <c r="N35">
        <f>M35*1000</f>
        <v>1370000</v>
      </c>
    </row>
    <row r="36" spans="2:15" x14ac:dyDescent="0.25">
      <c r="B36" s="9" t="s">
        <v>179</v>
      </c>
      <c r="C36" s="41">
        <f>1/N35*100</f>
        <v>7.2992700729927014E-5</v>
      </c>
      <c r="D36" s="25">
        <v>1</v>
      </c>
      <c r="E36" s="25">
        <f t="shared" ref="E36:E37" si="0">D36*C36</f>
        <v>7.2992700729927014E-5</v>
      </c>
      <c r="F36" t="s">
        <v>588</v>
      </c>
    </row>
    <row r="37" spans="2:15" x14ac:dyDescent="0.25">
      <c r="B37" s="9" t="s">
        <v>903</v>
      </c>
      <c r="C37" s="41">
        <f>1/M35*100</f>
        <v>7.2992700729927001E-2</v>
      </c>
      <c r="D37" s="25">
        <v>1</v>
      </c>
      <c r="E37" s="25">
        <f t="shared" si="0"/>
        <v>7.2992700729927001E-2</v>
      </c>
      <c r="F37" t="s">
        <v>588</v>
      </c>
      <c r="M37">
        <f>1/(100*100*0.05*1.35)*100</f>
        <v>0.14814814814814814</v>
      </c>
      <c r="N37">
        <f>1/(100*100*0.1*1.57)*100</f>
        <v>6.3694267515923567E-2</v>
      </c>
      <c r="O37">
        <f>1/(100*100*0.15*1.59)*100</f>
        <v>4.1928721174004188E-2</v>
      </c>
    </row>
    <row r="38" spans="2:15" x14ac:dyDescent="0.25">
      <c r="B38" s="9" t="s">
        <v>1008</v>
      </c>
      <c r="C38" s="41">
        <v>0.1</v>
      </c>
      <c r="D38" s="25">
        <v>1</v>
      </c>
      <c r="E38" s="25">
        <f>D38*C38</f>
        <v>0.1</v>
      </c>
      <c r="M38">
        <f>1/(100*100*0.05*1.39)*100</f>
        <v>0.14388489208633093</v>
      </c>
      <c r="N38">
        <f>1/(100*100*0.1*1.62)*100</f>
        <v>6.1728395061728392E-2</v>
      </c>
      <c r="O38">
        <f>1/(100*100*0.15*1.57)*100</f>
        <v>4.2462845010615716E-2</v>
      </c>
    </row>
    <row r="39" spans="2:15" x14ac:dyDescent="0.25">
      <c r="B39" s="9" t="s">
        <v>183</v>
      </c>
      <c r="C39" s="38"/>
      <c r="D39" s="38"/>
      <c r="E39" s="38"/>
    </row>
    <row r="41" spans="2:15" x14ac:dyDescent="0.25">
      <c r="B41" s="1" t="s">
        <v>1083</v>
      </c>
      <c r="J41" t="s">
        <v>1122</v>
      </c>
      <c r="K41" t="s">
        <v>1123</v>
      </c>
    </row>
    <row r="42" spans="2:15" x14ac:dyDescent="0.25">
      <c r="B42" s="8" t="s">
        <v>79</v>
      </c>
      <c r="C42" s="30" t="s">
        <v>71</v>
      </c>
      <c r="D42" s="30" t="s">
        <v>78</v>
      </c>
      <c r="E42" s="30" t="s">
        <v>246</v>
      </c>
      <c r="I42" t="s">
        <v>324</v>
      </c>
      <c r="J42" t="s">
        <v>325</v>
      </c>
      <c r="K42" t="s">
        <v>325</v>
      </c>
    </row>
    <row r="43" spans="2:15" x14ac:dyDescent="0.25">
      <c r="B43" s="9" t="s">
        <v>179</v>
      </c>
      <c r="C43" s="25">
        <f>1000000/K43</f>
        <v>5.6003584229390682E-2</v>
      </c>
      <c r="D43" s="25">
        <v>1</v>
      </c>
      <c r="E43" s="25">
        <f>D43*C43</f>
        <v>5.6003584229390682E-2</v>
      </c>
      <c r="I43">
        <f>100*100*0.6*1.5</f>
        <v>9000</v>
      </c>
      <c r="J43">
        <f>I43*1000</f>
        <v>9000000</v>
      </c>
      <c r="K43">
        <f>100*100*1.2*1.488*1000</f>
        <v>17856000</v>
      </c>
    </row>
    <row r="44" spans="2:15" x14ac:dyDescent="0.25">
      <c r="B44" s="9" t="s">
        <v>164</v>
      </c>
      <c r="C44" s="25">
        <v>10000</v>
      </c>
      <c r="D44" s="25">
        <v>1</v>
      </c>
      <c r="E44" s="25">
        <f t="shared" ref="E44:E45" si="1">D44*C44</f>
        <v>10000</v>
      </c>
      <c r="F44" t="s">
        <v>342</v>
      </c>
      <c r="G44" t="s">
        <v>343</v>
      </c>
      <c r="H44" t="s">
        <v>344</v>
      </c>
    </row>
    <row r="45" spans="2:15" x14ac:dyDescent="0.25">
      <c r="B45" s="9" t="s">
        <v>165</v>
      </c>
      <c r="C45" s="25">
        <v>1000</v>
      </c>
      <c r="D45" s="25">
        <v>1</v>
      </c>
      <c r="E45" s="25">
        <f t="shared" si="1"/>
        <v>1000</v>
      </c>
    </row>
    <row r="46" spans="2:15" x14ac:dyDescent="0.25">
      <c r="B46" s="9" t="s">
        <v>346</v>
      </c>
      <c r="C46" s="25">
        <v>1</v>
      </c>
      <c r="D46" s="25">
        <v>1</v>
      </c>
      <c r="E46" s="25">
        <f t="shared" ref="E46" si="2">D46*C46</f>
        <v>1</v>
      </c>
      <c r="F46" t="s">
        <v>347</v>
      </c>
    </row>
    <row r="47" spans="2:15" x14ac:dyDescent="0.25">
      <c r="B47" s="9" t="s">
        <v>381</v>
      </c>
      <c r="C47" s="25">
        <v>1</v>
      </c>
      <c r="D47" s="25">
        <v>1</v>
      </c>
      <c r="E47" s="25">
        <f t="shared" ref="E47" si="3">D47*C47</f>
        <v>1</v>
      </c>
    </row>
    <row r="48" spans="2:15" x14ac:dyDescent="0.25">
      <c r="B48" s="9" t="s">
        <v>178</v>
      </c>
      <c r="C48" s="25">
        <f>1000/G48</f>
        <v>1.5220700152207001</v>
      </c>
      <c r="D48" s="25">
        <v>1</v>
      </c>
      <c r="E48" s="25">
        <f t="shared" ref="E48" si="4">D48*C48</f>
        <v>1.5220700152207001</v>
      </c>
      <c r="F48" t="s">
        <v>1072</v>
      </c>
      <c r="G48">
        <f>1.46*100*100*45/1000</f>
        <v>657</v>
      </c>
      <c r="I48" s="1" t="s">
        <v>1070</v>
      </c>
    </row>
    <row r="49" spans="2:14" x14ac:dyDescent="0.25">
      <c r="B49" s="9" t="s">
        <v>183</v>
      </c>
      <c r="C49" s="38"/>
      <c r="D49" s="38"/>
      <c r="E49" s="38"/>
    </row>
    <row r="51" spans="2:14" x14ac:dyDescent="0.25">
      <c r="B51" s="1" t="s">
        <v>245</v>
      </c>
    </row>
    <row r="52" spans="2:14" x14ac:dyDescent="0.25">
      <c r="B52" s="8" t="s">
        <v>194</v>
      </c>
      <c r="C52" s="30" t="s">
        <v>71</v>
      </c>
      <c r="D52" s="30" t="s">
        <v>78</v>
      </c>
      <c r="E52" s="30" t="s">
        <v>195</v>
      </c>
    </row>
    <row r="53" spans="2:14" x14ac:dyDescent="0.25">
      <c r="B53" s="9" t="s">
        <v>652</v>
      </c>
      <c r="C53" s="25">
        <f>1/22.7273</f>
        <v>4.3999947200063359E-2</v>
      </c>
      <c r="D53" s="25">
        <v>1</v>
      </c>
      <c r="E53" s="25">
        <f>D53*C53</f>
        <v>4.3999947200063359E-2</v>
      </c>
      <c r="F53" t="s">
        <v>196</v>
      </c>
      <c r="G53" t="s">
        <v>653</v>
      </c>
      <c r="I53">
        <f>1/1000000*44*1000</f>
        <v>4.3999999999999997E-2</v>
      </c>
    </row>
    <row r="54" spans="2:14" x14ac:dyDescent="0.25">
      <c r="B54" s="9" t="s">
        <v>244</v>
      </c>
      <c r="C54" s="25">
        <v>4.3999999999999997E-2</v>
      </c>
      <c r="D54" s="25">
        <v>1</v>
      </c>
      <c r="E54" s="25">
        <f t="shared" ref="E54:E56" si="5">D54*C54</f>
        <v>4.3999999999999997E-2</v>
      </c>
      <c r="F54" t="s">
        <v>654</v>
      </c>
      <c r="I54">
        <f>1/1000000000*44*1000*1000</f>
        <v>4.4000000000000004E-2</v>
      </c>
    </row>
    <row r="55" spans="2:14" x14ac:dyDescent="0.25">
      <c r="B55" s="9" t="s">
        <v>282</v>
      </c>
      <c r="C55" s="25">
        <f>1000000/L55</f>
        <v>0.61443932411674351</v>
      </c>
      <c r="D55" s="25">
        <v>1</v>
      </c>
      <c r="E55" s="25">
        <f t="shared" si="5"/>
        <v>0.61443932411674351</v>
      </c>
      <c r="F55" t="s">
        <v>285</v>
      </c>
      <c r="H55" t="s">
        <v>291</v>
      </c>
      <c r="L55">
        <f>100*100*0.15*1.085*1000</f>
        <v>1627500</v>
      </c>
      <c r="N55" s="1" t="s">
        <v>327</v>
      </c>
    </row>
    <row r="56" spans="2:14" x14ac:dyDescent="0.25">
      <c r="B56" s="9" t="s">
        <v>331</v>
      </c>
      <c r="C56" s="25">
        <f>1/1000000*1000*1000</f>
        <v>1</v>
      </c>
      <c r="D56" s="25">
        <v>1</v>
      </c>
      <c r="E56" s="25">
        <f t="shared" si="5"/>
        <v>1</v>
      </c>
    </row>
    <row r="57" spans="2:14" x14ac:dyDescent="0.25">
      <c r="B57" s="9"/>
      <c r="C57" s="25"/>
      <c r="D57" s="25"/>
      <c r="E57" s="25"/>
    </row>
    <row r="58" spans="2:14" x14ac:dyDescent="0.25">
      <c r="B58" s="9" t="s">
        <v>183</v>
      </c>
      <c r="C58" s="38"/>
      <c r="D58" s="38"/>
      <c r="E58" s="38"/>
    </row>
    <row r="60" spans="2:14" x14ac:dyDescent="0.25">
      <c r="B60" s="1" t="s">
        <v>1149</v>
      </c>
    </row>
    <row r="61" spans="2:14" x14ac:dyDescent="0.25">
      <c r="B61" s="8" t="s">
        <v>194</v>
      </c>
      <c r="C61" s="30" t="s">
        <v>71</v>
      </c>
      <c r="D61" s="30" t="s">
        <v>78</v>
      </c>
      <c r="E61" s="30" t="s">
        <v>246</v>
      </c>
    </row>
    <row r="62" spans="2:14" x14ac:dyDescent="0.25">
      <c r="B62" s="9" t="s">
        <v>244</v>
      </c>
      <c r="C62" s="9">
        <f>1/1000000000*12*1000*1000</f>
        <v>1.2000000000000002E-2</v>
      </c>
      <c r="D62" s="25">
        <v>1</v>
      </c>
      <c r="E62" s="25">
        <f>C62*D62</f>
        <v>1.2000000000000002E-2</v>
      </c>
      <c r="F62" t="s">
        <v>647</v>
      </c>
      <c r="I62" t="s">
        <v>648</v>
      </c>
      <c r="J62" s="96" t="s">
        <v>650</v>
      </c>
    </row>
    <row r="63" spans="2:14" x14ac:dyDescent="0.25">
      <c r="B63" s="9" t="s">
        <v>642</v>
      </c>
      <c r="C63" s="9">
        <f>0.01*12*1000</f>
        <v>120</v>
      </c>
      <c r="D63" s="25">
        <v>1</v>
      </c>
      <c r="E63" s="25">
        <f>C63*D63</f>
        <v>120</v>
      </c>
      <c r="F63" t="s">
        <v>649</v>
      </c>
      <c r="J63" t="s">
        <v>646</v>
      </c>
    </row>
    <row r="64" spans="2:14" x14ac:dyDescent="0.25">
      <c r="B64" s="9" t="s">
        <v>179</v>
      </c>
      <c r="C64" s="25">
        <f>1000000/1627500</f>
        <v>0.61443932411674351</v>
      </c>
      <c r="D64" s="25">
        <v>1</v>
      </c>
      <c r="E64" s="25">
        <f>D64*C64</f>
        <v>0.61443932411674351</v>
      </c>
      <c r="F64" t="s">
        <v>327</v>
      </c>
      <c r="G64" t="s">
        <v>651</v>
      </c>
      <c r="H64">
        <f>100*100*0.15*1.085</f>
        <v>1627.5</v>
      </c>
    </row>
    <row r="65" spans="2:10" x14ac:dyDescent="0.25">
      <c r="B65" s="9" t="s">
        <v>164</v>
      </c>
      <c r="C65" s="41">
        <f>1000000/100</f>
        <v>10000</v>
      </c>
      <c r="D65" s="25">
        <v>1</v>
      </c>
      <c r="E65" s="25">
        <f>D65*C65</f>
        <v>10000</v>
      </c>
    </row>
    <row r="66" spans="2:10" x14ac:dyDescent="0.25">
      <c r="B66" s="9" t="s">
        <v>183</v>
      </c>
      <c r="C66" s="38"/>
      <c r="D66" s="38"/>
      <c r="E66" s="38"/>
      <c r="J66" s="56"/>
    </row>
    <row r="69" spans="2:10" x14ac:dyDescent="0.25">
      <c r="B69" s="1" t="s">
        <v>709</v>
      </c>
    </row>
    <row r="70" spans="2:10" x14ac:dyDescent="0.25">
      <c r="B70" s="8" t="s">
        <v>194</v>
      </c>
      <c r="C70" s="30" t="s">
        <v>71</v>
      </c>
      <c r="D70" s="30" t="s">
        <v>78</v>
      </c>
      <c r="E70" s="30" t="s">
        <v>658</v>
      </c>
    </row>
    <row r="71" spans="2:10" x14ac:dyDescent="0.25">
      <c r="B71" s="9" t="s">
        <v>244</v>
      </c>
      <c r="C71" s="9">
        <f>1/1000000000*12*1000*1000</f>
        <v>1.2000000000000002E-2</v>
      </c>
      <c r="D71" s="25">
        <v>1</v>
      </c>
      <c r="E71" s="25">
        <f>C71*D71</f>
        <v>1.2000000000000002E-2</v>
      </c>
      <c r="G71">
        <f>1/1000000000*12*1000000</f>
        <v>1.2000000000000002E-2</v>
      </c>
    </row>
    <row r="72" spans="2:10" x14ac:dyDescent="0.25">
      <c r="B72" s="9" t="s">
        <v>1037</v>
      </c>
      <c r="C72" s="9">
        <f>C71/1000</f>
        <v>1.2000000000000002E-5</v>
      </c>
      <c r="D72" s="25"/>
      <c r="E72" s="25"/>
    </row>
    <row r="73" spans="2:10" x14ac:dyDescent="0.25">
      <c r="B73" s="9"/>
      <c r="C73" s="25"/>
      <c r="D73" s="25"/>
      <c r="E73" s="25"/>
    </row>
    <row r="74" spans="2:10" x14ac:dyDescent="0.25">
      <c r="B74" s="9"/>
      <c r="C74" s="25"/>
      <c r="D74" s="25"/>
      <c r="E74" s="25"/>
    </row>
    <row r="75" spans="2:10" x14ac:dyDescent="0.25">
      <c r="B75" s="9" t="s">
        <v>183</v>
      </c>
      <c r="C75" s="38"/>
      <c r="D75" s="38"/>
      <c r="E75" s="38"/>
    </row>
    <row r="78" spans="2:10" x14ac:dyDescent="0.25">
      <c r="B78" s="1" t="s">
        <v>910</v>
      </c>
    </row>
    <row r="79" spans="2:10" x14ac:dyDescent="0.25">
      <c r="B79" s="8" t="s">
        <v>194</v>
      </c>
      <c r="C79" s="30" t="s">
        <v>71</v>
      </c>
      <c r="D79" s="30" t="s">
        <v>78</v>
      </c>
      <c r="E79" s="30" t="s">
        <v>932</v>
      </c>
    </row>
    <row r="80" spans="2:10" x14ac:dyDescent="0.25">
      <c r="B80" s="9" t="s">
        <v>911</v>
      </c>
      <c r="C80" s="9">
        <f>3600/10</f>
        <v>360</v>
      </c>
      <c r="D80" s="25">
        <v>1</v>
      </c>
      <c r="E80" s="25">
        <f>C80*D80</f>
        <v>360</v>
      </c>
    </row>
    <row r="81" spans="2:5" x14ac:dyDescent="0.25">
      <c r="B81" s="9" t="s">
        <v>3347</v>
      </c>
      <c r="C81" s="9">
        <f>60/10</f>
        <v>6</v>
      </c>
      <c r="D81" s="25">
        <v>1</v>
      </c>
      <c r="E81" s="25">
        <f>C81*D81</f>
        <v>6</v>
      </c>
    </row>
    <row r="82" spans="2:5" x14ac:dyDescent="0.25">
      <c r="B82" s="9" t="s">
        <v>3244</v>
      </c>
      <c r="C82" s="9">
        <f>10/24</f>
        <v>0.41666666666666669</v>
      </c>
      <c r="D82" s="25">
        <v>1</v>
      </c>
      <c r="E82" s="25">
        <f>D82*C82</f>
        <v>0.41666666666666669</v>
      </c>
    </row>
    <row r="83" spans="2:5" x14ac:dyDescent="0.25">
      <c r="B83" s="9"/>
      <c r="C83" s="25"/>
      <c r="D83" s="25"/>
      <c r="E83" s="25"/>
    </row>
    <row r="84" spans="2:5" x14ac:dyDescent="0.25">
      <c r="B84" s="9"/>
      <c r="C84" s="25"/>
      <c r="D84" s="25"/>
      <c r="E84" s="25"/>
    </row>
    <row r="85" spans="2:5" x14ac:dyDescent="0.25">
      <c r="B85" s="9" t="s">
        <v>183</v>
      </c>
      <c r="C85" s="38"/>
      <c r="D85" s="38"/>
      <c r="E85" s="3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T28"/>
  <sheetViews>
    <sheetView workbookViewId="0">
      <selection activeCell="G33" sqref="G33"/>
    </sheetView>
  </sheetViews>
  <sheetFormatPr defaultRowHeight="15" x14ac:dyDescent="0.25"/>
  <cols>
    <col min="2" max="2" width="21" customWidth="1"/>
    <col min="6" max="6" width="11.42578125" customWidth="1"/>
    <col min="7" max="7" width="26.28515625" customWidth="1"/>
  </cols>
  <sheetData>
    <row r="3" spans="2:20" x14ac:dyDescent="0.25">
      <c r="B3" t="s">
        <v>247</v>
      </c>
    </row>
    <row r="5" spans="2:20" x14ac:dyDescent="0.25">
      <c r="B5" s="26" t="s">
        <v>79</v>
      </c>
      <c r="C5" s="26" t="s">
        <v>248</v>
      </c>
      <c r="D5" s="26" t="s">
        <v>249</v>
      </c>
      <c r="E5" s="26" t="s">
        <v>250</v>
      </c>
    </row>
    <row r="6" spans="2:20" x14ac:dyDescent="0.25">
      <c r="B6" s="27" t="s">
        <v>251</v>
      </c>
      <c r="C6" s="11">
        <f>1/12*10^6/24/60/60</f>
        <v>0.96450617283950613</v>
      </c>
      <c r="D6" s="10">
        <v>1</v>
      </c>
      <c r="E6" s="10">
        <f t="shared" ref="E6:E20" si="0">D6*C6</f>
        <v>0.96450617283950613</v>
      </c>
    </row>
    <row r="7" spans="2:20" x14ac:dyDescent="0.25">
      <c r="B7" s="27" t="s">
        <v>252</v>
      </c>
      <c r="C7" s="9">
        <f>1/12*10^6/60/60</f>
        <v>23.148148148148149</v>
      </c>
      <c r="D7" s="10">
        <v>0.1</v>
      </c>
      <c r="E7" s="10">
        <f t="shared" si="0"/>
        <v>2.3148148148148149</v>
      </c>
    </row>
    <row r="8" spans="2:20" x14ac:dyDescent="0.25">
      <c r="B8" s="27" t="s">
        <v>253</v>
      </c>
      <c r="C8" s="9">
        <f>1/12*10^6/24/60/60/365</f>
        <v>2.6424826653137154E-3</v>
      </c>
      <c r="D8" s="9">
        <v>500</v>
      </c>
      <c r="E8" s="10">
        <f t="shared" si="0"/>
        <v>1.3212413326568577</v>
      </c>
    </row>
    <row r="9" spans="2:20" x14ac:dyDescent="0.25">
      <c r="B9" s="27" t="s">
        <v>254</v>
      </c>
      <c r="C9" s="11">
        <f>1/44*10^6/60/60/24</f>
        <v>0.26304713804713803</v>
      </c>
      <c r="D9" s="9">
        <v>10</v>
      </c>
      <c r="E9" s="10">
        <f t="shared" si="0"/>
        <v>2.6304713804713802</v>
      </c>
      <c r="S9">
        <v>0.01</v>
      </c>
      <c r="T9">
        <f>LOG(S9,10)</f>
        <v>-1.9999999999999996</v>
      </c>
    </row>
    <row r="10" spans="2:20" x14ac:dyDescent="0.25">
      <c r="B10" s="27" t="s">
        <v>255</v>
      </c>
      <c r="C10" s="11">
        <f>1/44*10^6/60/60</f>
        <v>6.3131313131313131</v>
      </c>
      <c r="D10" s="10">
        <v>1</v>
      </c>
      <c r="E10" s="10">
        <f t="shared" si="0"/>
        <v>6.3131313131313131</v>
      </c>
      <c r="S10">
        <v>1</v>
      </c>
      <c r="T10">
        <f t="shared" ref="T10:T13" si="1">LOG(S10,10)</f>
        <v>0</v>
      </c>
    </row>
    <row r="11" spans="2:20" x14ac:dyDescent="0.25">
      <c r="B11" s="27" t="s">
        <v>256</v>
      </c>
      <c r="C11" s="11">
        <f>1/1000/12*10^6/60/60/24</f>
        <v>9.6450617283950612E-4</v>
      </c>
      <c r="D11" s="10">
        <v>1000</v>
      </c>
      <c r="E11" s="10">
        <f t="shared" si="0"/>
        <v>0.96450617283950613</v>
      </c>
      <c r="S11">
        <v>10</v>
      </c>
      <c r="T11">
        <f t="shared" si="1"/>
        <v>1</v>
      </c>
    </row>
    <row r="12" spans="2:20" x14ac:dyDescent="0.25">
      <c r="B12" s="27" t="s">
        <v>257</v>
      </c>
      <c r="C12" s="11">
        <f>1/1000/12*10^6/60/60</f>
        <v>2.3148148148148147E-2</v>
      </c>
      <c r="D12" s="10">
        <v>83</v>
      </c>
      <c r="E12" s="10">
        <f t="shared" si="0"/>
        <v>1.9212962962962963</v>
      </c>
      <c r="S12">
        <v>100</v>
      </c>
      <c r="T12">
        <f t="shared" si="1"/>
        <v>2</v>
      </c>
    </row>
    <row r="13" spans="2:20" x14ac:dyDescent="0.25">
      <c r="B13" s="27" t="s">
        <v>258</v>
      </c>
      <c r="C13" s="11">
        <f>1/1000/44*10^6/24/60/60</f>
        <v>2.6304713804713804E-4</v>
      </c>
      <c r="D13" s="10">
        <v>1000</v>
      </c>
      <c r="E13" s="10">
        <f t="shared" si="0"/>
        <v>0.26304713804713803</v>
      </c>
      <c r="S13">
        <v>1000</v>
      </c>
      <c r="T13">
        <f t="shared" si="1"/>
        <v>2.9999999999999996</v>
      </c>
    </row>
    <row r="14" spans="2:20" x14ac:dyDescent="0.25">
      <c r="B14" s="27" t="s">
        <v>259</v>
      </c>
      <c r="C14" s="11">
        <f>1/1000/44*10^6/60/60</f>
        <v>6.3131313131313139E-3</v>
      </c>
      <c r="D14" s="10">
        <v>100</v>
      </c>
      <c r="E14" s="10">
        <f t="shared" si="0"/>
        <v>0.63131313131313138</v>
      </c>
    </row>
    <row r="15" spans="2:20" x14ac:dyDescent="0.25">
      <c r="B15" s="27" t="s">
        <v>643</v>
      </c>
      <c r="C15" s="11">
        <f>1/1000/44*10^6</f>
        <v>22.72727272727273</v>
      </c>
      <c r="D15" s="9">
        <v>1</v>
      </c>
      <c r="E15" s="10">
        <f t="shared" si="0"/>
        <v>22.72727272727273</v>
      </c>
      <c r="F15" t="s">
        <v>644</v>
      </c>
      <c r="G15" t="s">
        <v>645</v>
      </c>
      <c r="H15">
        <f>0.001/44*1000000</f>
        <v>22.72727272727273</v>
      </c>
    </row>
    <row r="16" spans="2:20" x14ac:dyDescent="0.25">
      <c r="B16" s="27" t="s">
        <v>260</v>
      </c>
      <c r="C16" s="11">
        <f>1*1000/24/60/60</f>
        <v>1.1574074074074073E-2</v>
      </c>
      <c r="D16" s="10">
        <v>10</v>
      </c>
      <c r="E16" s="10">
        <f t="shared" si="0"/>
        <v>0.11574074074074073</v>
      </c>
    </row>
    <row r="17" spans="2:5" x14ac:dyDescent="0.25">
      <c r="B17" s="27" t="s">
        <v>261</v>
      </c>
      <c r="C17" s="9">
        <f>1*1000/60/60</f>
        <v>0.27777777777777779</v>
      </c>
      <c r="D17" s="10">
        <v>100</v>
      </c>
      <c r="E17" s="10">
        <f t="shared" si="0"/>
        <v>27.777777777777779</v>
      </c>
    </row>
    <row r="18" spans="2:5" x14ac:dyDescent="0.25">
      <c r="B18" s="27" t="s">
        <v>262</v>
      </c>
      <c r="C18" s="11">
        <f>1/1000</f>
        <v>1E-3</v>
      </c>
      <c r="D18" s="10">
        <v>1000</v>
      </c>
      <c r="E18" s="10">
        <f t="shared" si="0"/>
        <v>1</v>
      </c>
    </row>
    <row r="19" spans="2:5" x14ac:dyDescent="0.25">
      <c r="B19" s="27" t="s">
        <v>263</v>
      </c>
      <c r="C19" s="9">
        <f>1*10^6/365/24/60/60</f>
        <v>3.1709791983764585E-2</v>
      </c>
      <c r="D19" s="10">
        <v>10</v>
      </c>
      <c r="E19" s="10">
        <f t="shared" si="0"/>
        <v>0.31709791983764585</v>
      </c>
    </row>
    <row r="20" spans="2:5" x14ac:dyDescent="0.25">
      <c r="B20" s="27" t="s">
        <v>264</v>
      </c>
      <c r="C20" s="11">
        <v>1</v>
      </c>
      <c r="D20" s="10">
        <v>1</v>
      </c>
      <c r="E20" s="10">
        <f t="shared" si="0"/>
        <v>1</v>
      </c>
    </row>
    <row r="22" spans="2:5" x14ac:dyDescent="0.25">
      <c r="B22" t="s">
        <v>341</v>
      </c>
    </row>
    <row r="25" spans="2:5" x14ac:dyDescent="0.25">
      <c r="B25" t="s">
        <v>3718</v>
      </c>
    </row>
    <row r="26" spans="2:5" x14ac:dyDescent="0.25">
      <c r="B26" s="26" t="s">
        <v>79</v>
      </c>
      <c r="C26" s="26" t="s">
        <v>248</v>
      </c>
      <c r="D26" s="26" t="s">
        <v>249</v>
      </c>
      <c r="E26" s="26" t="s">
        <v>3719</v>
      </c>
    </row>
    <row r="27" spans="2:5" x14ac:dyDescent="0.25">
      <c r="B27" s="27" t="s">
        <v>3720</v>
      </c>
      <c r="C27" s="11">
        <f>10000/1000</f>
        <v>10</v>
      </c>
      <c r="D27" s="10">
        <v>1</v>
      </c>
      <c r="E27" s="10">
        <f t="shared" ref="E27" si="2">D27*C27</f>
        <v>10</v>
      </c>
    </row>
    <row r="28" spans="2:5" x14ac:dyDescent="0.25">
      <c r="B28" s="27"/>
      <c r="C28" s="9"/>
      <c r="D28" s="10"/>
      <c r="E28"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0"/>
  <sheetViews>
    <sheetView topLeftCell="A2" workbookViewId="0">
      <selection activeCell="D97" sqref="D97"/>
    </sheetView>
  </sheetViews>
  <sheetFormatPr defaultRowHeight="15" x14ac:dyDescent="0.25"/>
  <cols>
    <col min="2" max="2" width="23.28515625" customWidth="1"/>
    <col min="3" max="3" width="33.85546875" customWidth="1"/>
    <col min="4" max="4" width="24.5703125" customWidth="1"/>
    <col min="5" max="5" width="22.140625" customWidth="1"/>
    <col min="6" max="6" width="15.7109375" customWidth="1"/>
    <col min="7" max="7" width="26.28515625" customWidth="1"/>
  </cols>
  <sheetData>
    <row r="2" spans="2:7" ht="15.75" thickBot="1" x14ac:dyDescent="0.3">
      <c r="G2" s="1"/>
    </row>
    <row r="3" spans="2:7" ht="16.5" thickTop="1" x14ac:dyDescent="0.25">
      <c r="B3" s="111" t="s">
        <v>1160</v>
      </c>
      <c r="C3" s="112" t="s">
        <v>1161</v>
      </c>
      <c r="D3" s="113" t="s">
        <v>1162</v>
      </c>
      <c r="E3" s="114" t="s">
        <v>1163</v>
      </c>
    </row>
    <row r="4" spans="2:7" ht="15.75" x14ac:dyDescent="0.25">
      <c r="B4" s="115" t="s">
        <v>1164</v>
      </c>
      <c r="C4" s="108"/>
      <c r="D4" s="108"/>
      <c r="E4" s="116"/>
    </row>
    <row r="5" spans="2:7" ht="15.75" x14ac:dyDescent="0.25">
      <c r="B5" s="117"/>
      <c r="C5" s="109" t="s">
        <v>1165</v>
      </c>
      <c r="D5" s="109" t="s">
        <v>1166</v>
      </c>
      <c r="E5" s="118" t="s">
        <v>1167</v>
      </c>
    </row>
    <row r="6" spans="2:7" ht="15.75" x14ac:dyDescent="0.25">
      <c r="B6" s="117"/>
      <c r="C6" s="109" t="s">
        <v>1168</v>
      </c>
      <c r="D6" s="109" t="s">
        <v>1169</v>
      </c>
      <c r="E6" s="118" t="s">
        <v>1170</v>
      </c>
    </row>
    <row r="7" spans="2:7" ht="15.75" x14ac:dyDescent="0.25">
      <c r="B7" s="117"/>
      <c r="C7" s="109" t="s">
        <v>1171</v>
      </c>
      <c r="D7" s="109" t="s">
        <v>1172</v>
      </c>
      <c r="E7" s="118" t="s">
        <v>1173</v>
      </c>
    </row>
    <row r="8" spans="2:7" ht="15.75" x14ac:dyDescent="0.25">
      <c r="B8" s="115" t="s">
        <v>1174</v>
      </c>
      <c r="C8" s="108"/>
      <c r="D8" s="108"/>
      <c r="E8" s="116"/>
    </row>
    <row r="9" spans="2:7" ht="30.75" customHeight="1" x14ac:dyDescent="0.25">
      <c r="B9" s="117"/>
      <c r="C9" s="109" t="s">
        <v>1175</v>
      </c>
      <c r="D9" s="109" t="s">
        <v>1176</v>
      </c>
      <c r="E9" s="118" t="s">
        <v>1177</v>
      </c>
    </row>
    <row r="10" spans="2:7" ht="31.5" x14ac:dyDescent="0.25">
      <c r="B10" s="117"/>
      <c r="C10" s="109" t="s">
        <v>1178</v>
      </c>
      <c r="D10" s="109" t="s">
        <v>1179</v>
      </c>
      <c r="E10" s="118" t="s">
        <v>1180</v>
      </c>
    </row>
    <row r="11" spans="2:7" ht="15.75" x14ac:dyDescent="0.25">
      <c r="B11" s="117"/>
      <c r="C11" s="109" t="s">
        <v>1181</v>
      </c>
      <c r="D11" s="109" t="s">
        <v>1182</v>
      </c>
      <c r="E11" s="118" t="s">
        <v>1183</v>
      </c>
    </row>
    <row r="12" spans="2:7" ht="31.5" x14ac:dyDescent="0.25">
      <c r="B12" s="117"/>
      <c r="C12" s="109" t="s">
        <v>1184</v>
      </c>
      <c r="D12" s="109" t="s">
        <v>1176</v>
      </c>
      <c r="E12" s="118" t="s">
        <v>1185</v>
      </c>
    </row>
    <row r="13" spans="2:7" ht="15.75" x14ac:dyDescent="0.25">
      <c r="B13" s="117"/>
      <c r="C13" s="109" t="s">
        <v>1186</v>
      </c>
      <c r="D13" s="109" t="s">
        <v>1187</v>
      </c>
      <c r="E13" s="118" t="s">
        <v>1188</v>
      </c>
    </row>
    <row r="14" spans="2:7" ht="31.5" customHeight="1" x14ac:dyDescent="0.25">
      <c r="B14" s="117"/>
      <c r="C14" s="109" t="s">
        <v>1189</v>
      </c>
      <c r="D14" s="109" t="s">
        <v>1190</v>
      </c>
      <c r="E14" s="118" t="s">
        <v>1191</v>
      </c>
    </row>
    <row r="15" spans="2:7" ht="31.5" customHeight="1" x14ac:dyDescent="0.25">
      <c r="B15" s="117"/>
      <c r="C15" s="109" t="s">
        <v>1192</v>
      </c>
      <c r="D15" s="109" t="s">
        <v>1187</v>
      </c>
      <c r="E15" s="118" t="s">
        <v>1191</v>
      </c>
    </row>
    <row r="16" spans="2:7" ht="15.75" x14ac:dyDescent="0.25">
      <c r="B16" s="117"/>
      <c r="C16" s="109" t="s">
        <v>1193</v>
      </c>
      <c r="D16" s="109" t="s">
        <v>1187</v>
      </c>
      <c r="E16" s="118" t="s">
        <v>1194</v>
      </c>
    </row>
    <row r="17" spans="2:5" ht="15.75" x14ac:dyDescent="0.25">
      <c r="B17" s="117"/>
      <c r="C17" s="109" t="s">
        <v>1195</v>
      </c>
      <c r="D17" s="109" t="s">
        <v>1196</v>
      </c>
      <c r="E17" s="118" t="s">
        <v>1194</v>
      </c>
    </row>
    <row r="18" spans="2:5" ht="15.75" x14ac:dyDescent="0.25">
      <c r="B18" s="115" t="s">
        <v>1197</v>
      </c>
      <c r="C18" s="108"/>
      <c r="D18" s="108"/>
      <c r="E18" s="116"/>
    </row>
    <row r="19" spans="2:5" ht="31.5" x14ac:dyDescent="0.25">
      <c r="B19" s="117"/>
      <c r="C19" s="109" t="s">
        <v>1198</v>
      </c>
      <c r="D19" s="109" t="s">
        <v>1199</v>
      </c>
      <c r="E19" s="118" t="s">
        <v>1200</v>
      </c>
    </row>
    <row r="20" spans="2:5" ht="31.5" customHeight="1" x14ac:dyDescent="0.25">
      <c r="B20" s="117"/>
      <c r="C20" s="109" t="s">
        <v>1201</v>
      </c>
      <c r="D20" s="109" t="s">
        <v>1202</v>
      </c>
      <c r="E20" s="118" t="s">
        <v>1203</v>
      </c>
    </row>
    <row r="21" spans="2:5" ht="31.5" customHeight="1" x14ac:dyDescent="0.25">
      <c r="B21" s="117"/>
      <c r="C21" s="109" t="s">
        <v>1204</v>
      </c>
      <c r="D21" s="109" t="s">
        <v>635</v>
      </c>
      <c r="E21" s="118" t="s">
        <v>1205</v>
      </c>
    </row>
    <row r="22" spans="2:5" ht="15.75" x14ac:dyDescent="0.25">
      <c r="B22" s="117"/>
      <c r="C22" s="109" t="s">
        <v>1206</v>
      </c>
      <c r="D22" s="109" t="s">
        <v>1207</v>
      </c>
      <c r="E22" s="118" t="s">
        <v>1208</v>
      </c>
    </row>
    <row r="23" spans="2:5" x14ac:dyDescent="0.25">
      <c r="B23" s="117"/>
      <c r="C23" s="108"/>
      <c r="D23" s="108"/>
      <c r="E23" s="116"/>
    </row>
    <row r="24" spans="2:5" ht="15.75" x14ac:dyDescent="0.25">
      <c r="B24" s="117"/>
      <c r="C24" s="109" t="s">
        <v>1209</v>
      </c>
      <c r="D24" s="109" t="s">
        <v>1210</v>
      </c>
      <c r="E24" s="118" t="s">
        <v>1211</v>
      </c>
    </row>
    <row r="25" spans="2:5" ht="47.25" customHeight="1" x14ac:dyDescent="0.25">
      <c r="B25" s="115" t="s">
        <v>1212</v>
      </c>
      <c r="C25" s="108"/>
      <c r="D25" s="108"/>
      <c r="E25" s="116"/>
    </row>
    <row r="26" spans="2:5" ht="47.25" customHeight="1" x14ac:dyDescent="0.25">
      <c r="B26" s="117"/>
      <c r="C26" s="109" t="s">
        <v>1213</v>
      </c>
      <c r="D26" s="108"/>
      <c r="E26" s="118" t="s">
        <v>1214</v>
      </c>
    </row>
    <row r="27" spans="2:5" ht="15.75" x14ac:dyDescent="0.25">
      <c r="B27" s="115" t="s">
        <v>1215</v>
      </c>
      <c r="C27" s="108"/>
      <c r="D27" s="108"/>
      <c r="E27" s="116"/>
    </row>
    <row r="28" spans="2:5" ht="31.5" customHeight="1" x14ac:dyDescent="0.25">
      <c r="B28" s="117"/>
      <c r="C28" s="109" t="s">
        <v>1216</v>
      </c>
      <c r="D28" s="109" t="s">
        <v>1217</v>
      </c>
      <c r="E28" s="118" t="s">
        <v>1218</v>
      </c>
    </row>
    <row r="29" spans="2:5" ht="31.5" customHeight="1" x14ac:dyDescent="0.25">
      <c r="B29" s="117"/>
      <c r="C29" s="109" t="s">
        <v>1219</v>
      </c>
      <c r="D29" s="109" t="s">
        <v>1220</v>
      </c>
      <c r="E29" s="118" t="s">
        <v>1221</v>
      </c>
    </row>
    <row r="30" spans="2:5" ht="31.5" x14ac:dyDescent="0.25">
      <c r="B30" s="117"/>
      <c r="C30" s="109" t="s">
        <v>1222</v>
      </c>
      <c r="D30" s="109" t="s">
        <v>1223</v>
      </c>
      <c r="E30" s="118" t="s">
        <v>1221</v>
      </c>
    </row>
    <row r="31" spans="2:5" ht="15.75" x14ac:dyDescent="0.25">
      <c r="B31" s="117"/>
      <c r="C31" s="109" t="s">
        <v>1224</v>
      </c>
      <c r="D31" s="109" t="s">
        <v>1225</v>
      </c>
      <c r="E31" s="118" t="s">
        <v>1226</v>
      </c>
    </row>
    <row r="32" spans="2:5" ht="15.75" x14ac:dyDescent="0.25">
      <c r="B32" s="117"/>
      <c r="C32" s="109" t="s">
        <v>1227</v>
      </c>
      <c r="D32" s="109" t="s">
        <v>1228</v>
      </c>
      <c r="E32" s="118" t="s">
        <v>1229</v>
      </c>
    </row>
    <row r="33" spans="2:5" ht="15.75" x14ac:dyDescent="0.25">
      <c r="B33" s="117"/>
      <c r="C33" s="109" t="s">
        <v>1230</v>
      </c>
      <c r="D33" s="109" t="s">
        <v>1231</v>
      </c>
      <c r="E33" s="118" t="s">
        <v>1232</v>
      </c>
    </row>
    <row r="34" spans="2:5" ht="15.75" x14ac:dyDescent="0.25">
      <c r="B34" s="117"/>
      <c r="C34" s="109" t="s">
        <v>1233</v>
      </c>
      <c r="D34" s="109" t="s">
        <v>1231</v>
      </c>
      <c r="E34" s="118" t="s">
        <v>1234</v>
      </c>
    </row>
    <row r="35" spans="2:5" ht="15.75" x14ac:dyDescent="0.25">
      <c r="B35" s="117"/>
      <c r="C35" s="109" t="s">
        <v>1235</v>
      </c>
      <c r="D35" s="109" t="s">
        <v>1236</v>
      </c>
      <c r="E35" s="118" t="s">
        <v>1234</v>
      </c>
    </row>
    <row r="36" spans="2:5" ht="31.5" x14ac:dyDescent="0.25">
      <c r="B36" s="117"/>
      <c r="C36" s="109" t="s">
        <v>1237</v>
      </c>
      <c r="D36" s="109" t="s">
        <v>1238</v>
      </c>
      <c r="E36" s="118" t="s">
        <v>1239</v>
      </c>
    </row>
    <row r="37" spans="2:5" ht="31.5" x14ac:dyDescent="0.25">
      <c r="B37" s="117"/>
      <c r="C37" s="109" t="s">
        <v>1240</v>
      </c>
      <c r="D37" s="109" t="s">
        <v>1238</v>
      </c>
      <c r="E37" s="118" t="s">
        <v>1241</v>
      </c>
    </row>
    <row r="38" spans="2:5" ht="47.25" x14ac:dyDescent="0.25">
      <c r="B38" s="117"/>
      <c r="C38" s="109" t="s">
        <v>1242</v>
      </c>
      <c r="D38" s="110" t="s">
        <v>1243</v>
      </c>
      <c r="E38" s="118" t="s">
        <v>1241</v>
      </c>
    </row>
    <row r="39" spans="2:5" ht="31.5" x14ac:dyDescent="0.25">
      <c r="B39" s="117"/>
      <c r="C39" s="109" t="s">
        <v>1244</v>
      </c>
      <c r="D39" s="109" t="s">
        <v>1245</v>
      </c>
      <c r="E39" s="118" t="s">
        <v>1246</v>
      </c>
    </row>
    <row r="40" spans="2:5" ht="15.75" x14ac:dyDescent="0.25">
      <c r="B40" s="117"/>
      <c r="C40" s="109" t="s">
        <v>1247</v>
      </c>
      <c r="D40" s="109" t="s">
        <v>1231</v>
      </c>
      <c r="E40" s="118" t="s">
        <v>1248</v>
      </c>
    </row>
    <row r="41" spans="2:5" ht="15.75" x14ac:dyDescent="0.25">
      <c r="B41" s="117"/>
      <c r="C41" s="109" t="s">
        <v>1249</v>
      </c>
      <c r="D41" s="109" t="s">
        <v>1250</v>
      </c>
      <c r="E41" s="118" t="s">
        <v>1251</v>
      </c>
    </row>
    <row r="42" spans="2:5" ht="15.75" x14ac:dyDescent="0.25">
      <c r="B42" s="115" t="s">
        <v>1252</v>
      </c>
      <c r="C42" s="108"/>
      <c r="D42" s="108"/>
      <c r="E42" s="116"/>
    </row>
    <row r="43" spans="2:5" ht="31.5" x14ac:dyDescent="0.25">
      <c r="B43" s="117"/>
      <c r="C43" s="109" t="s">
        <v>1253</v>
      </c>
      <c r="D43" s="109" t="s">
        <v>1182</v>
      </c>
      <c r="E43" s="118" t="s">
        <v>1254</v>
      </c>
    </row>
    <row r="44" spans="2:5" ht="31.5" x14ac:dyDescent="0.25">
      <c r="B44" s="117"/>
      <c r="C44" s="109" t="s">
        <v>1255</v>
      </c>
      <c r="D44" s="109" t="s">
        <v>1245</v>
      </c>
      <c r="E44" s="118" t="s">
        <v>1254</v>
      </c>
    </row>
    <row r="45" spans="2:5" ht="31.5" x14ac:dyDescent="0.25">
      <c r="B45" s="117"/>
      <c r="C45" s="109" t="s">
        <v>1256</v>
      </c>
      <c r="D45" s="109" t="s">
        <v>1176</v>
      </c>
      <c r="E45" s="118" t="s">
        <v>1257</v>
      </c>
    </row>
    <row r="46" spans="2:5" ht="15.75" x14ac:dyDescent="0.25">
      <c r="B46" s="117"/>
      <c r="C46" s="109" t="s">
        <v>1258</v>
      </c>
      <c r="D46" s="109" t="s">
        <v>1236</v>
      </c>
      <c r="E46" s="118" t="s">
        <v>1259</v>
      </c>
    </row>
    <row r="47" spans="2:5" ht="31.5" x14ac:dyDescent="0.25">
      <c r="B47" s="117"/>
      <c r="C47" s="109" t="s">
        <v>1260</v>
      </c>
      <c r="D47" s="109" t="s">
        <v>1236</v>
      </c>
      <c r="E47" s="118" t="s">
        <v>1261</v>
      </c>
    </row>
    <row r="48" spans="2:5" ht="15.75" x14ac:dyDescent="0.25">
      <c r="B48" s="117"/>
      <c r="C48" s="109" t="s">
        <v>1262</v>
      </c>
      <c r="D48" s="109" t="s">
        <v>1263</v>
      </c>
      <c r="E48" s="118" t="s">
        <v>1264</v>
      </c>
    </row>
    <row r="49" spans="2:5" ht="15.75" x14ac:dyDescent="0.25">
      <c r="B49" s="117"/>
      <c r="C49" s="109" t="s">
        <v>1265</v>
      </c>
      <c r="D49" s="109" t="s">
        <v>1266</v>
      </c>
      <c r="E49" s="118" t="s">
        <v>1267</v>
      </c>
    </row>
    <row r="50" spans="2:5" ht="15.75" x14ac:dyDescent="0.25">
      <c r="B50" s="117"/>
      <c r="C50" s="109" t="s">
        <v>1268</v>
      </c>
      <c r="D50" s="109" t="s">
        <v>1236</v>
      </c>
      <c r="E50" s="118" t="s">
        <v>1269</v>
      </c>
    </row>
    <row r="51" spans="2:5" ht="31.5" x14ac:dyDescent="0.25">
      <c r="B51" s="117"/>
      <c r="C51" s="109" t="s">
        <v>1270</v>
      </c>
      <c r="D51" s="109" t="s">
        <v>1271</v>
      </c>
      <c r="E51" s="118" t="s">
        <v>1272</v>
      </c>
    </row>
    <row r="52" spans="2:5" ht="31.5" x14ac:dyDescent="0.25">
      <c r="B52" s="117"/>
      <c r="C52" s="109" t="s">
        <v>1273</v>
      </c>
      <c r="D52" s="109" t="s">
        <v>1176</v>
      </c>
      <c r="E52" s="118" t="s">
        <v>1274</v>
      </c>
    </row>
    <row r="53" spans="2:5" ht="31.5" x14ac:dyDescent="0.25">
      <c r="B53" s="117"/>
      <c r="C53" s="109" t="s">
        <v>1275</v>
      </c>
      <c r="D53" s="109" t="s">
        <v>1276</v>
      </c>
      <c r="E53" s="118" t="s">
        <v>1277</v>
      </c>
    </row>
    <row r="54" spans="2:5" ht="31.5" x14ac:dyDescent="0.25">
      <c r="B54" s="117"/>
      <c r="C54" s="109" t="s">
        <v>1278</v>
      </c>
      <c r="D54" s="109" t="s">
        <v>1279</v>
      </c>
      <c r="E54" s="118" t="s">
        <v>1280</v>
      </c>
    </row>
    <row r="55" spans="2:5" ht="31.5" x14ac:dyDescent="0.25">
      <c r="B55" s="117"/>
      <c r="C55" s="109" t="s">
        <v>1281</v>
      </c>
      <c r="D55" s="109" t="s">
        <v>1279</v>
      </c>
      <c r="E55" s="118" t="s">
        <v>1280</v>
      </c>
    </row>
    <row r="56" spans="2:5" ht="15.75" x14ac:dyDescent="0.25">
      <c r="B56" s="117"/>
      <c r="C56" s="109" t="s">
        <v>1282</v>
      </c>
      <c r="D56" s="109" t="s">
        <v>1169</v>
      </c>
      <c r="E56" s="118" t="s">
        <v>1283</v>
      </c>
    </row>
    <row r="57" spans="2:5" ht="31.5" x14ac:dyDescent="0.25">
      <c r="B57" s="117"/>
      <c r="C57" s="109" t="s">
        <v>1284</v>
      </c>
      <c r="D57" s="109" t="s">
        <v>1285</v>
      </c>
      <c r="E57" s="118" t="s">
        <v>1286</v>
      </c>
    </row>
    <row r="58" spans="2:5" ht="31.5" x14ac:dyDescent="0.25">
      <c r="B58" s="117"/>
      <c r="C58" s="109" t="s">
        <v>1287</v>
      </c>
      <c r="D58" s="109" t="s">
        <v>1288</v>
      </c>
      <c r="E58" s="118" t="s">
        <v>1289</v>
      </c>
    </row>
    <row r="59" spans="2:5" ht="31.5" x14ac:dyDescent="0.25">
      <c r="B59" s="117"/>
      <c r="C59" s="109" t="s">
        <v>1290</v>
      </c>
      <c r="D59" s="109" t="s">
        <v>1238</v>
      </c>
      <c r="E59" s="118" t="s">
        <v>1291</v>
      </c>
    </row>
    <row r="60" spans="2:5" ht="31.5" x14ac:dyDescent="0.25">
      <c r="B60" s="117"/>
      <c r="C60" s="109" t="s">
        <v>1292</v>
      </c>
      <c r="D60" s="109" t="s">
        <v>1182</v>
      </c>
      <c r="E60" s="118" t="s">
        <v>1293</v>
      </c>
    </row>
    <row r="61" spans="2:5" ht="15.75" x14ac:dyDescent="0.25">
      <c r="B61" s="115" t="s">
        <v>1294</v>
      </c>
      <c r="C61" s="108"/>
      <c r="D61" s="108"/>
      <c r="E61" s="116"/>
    </row>
    <row r="62" spans="2:5" ht="15.75" x14ac:dyDescent="0.25">
      <c r="B62" s="117"/>
      <c r="C62" s="109" t="s">
        <v>1295</v>
      </c>
      <c r="D62" s="109" t="s">
        <v>1250</v>
      </c>
      <c r="E62" s="118" t="s">
        <v>1296</v>
      </c>
    </row>
    <row r="63" spans="2:5" ht="15.75" x14ac:dyDescent="0.25">
      <c r="B63" s="115" t="s">
        <v>1297</v>
      </c>
      <c r="C63" s="108"/>
      <c r="D63" s="108"/>
      <c r="E63" s="116"/>
    </row>
    <row r="64" spans="2:5" ht="31.5" x14ac:dyDescent="0.25">
      <c r="B64" s="117"/>
      <c r="C64" s="109" t="s">
        <v>1298</v>
      </c>
      <c r="D64" s="109" t="s">
        <v>1245</v>
      </c>
      <c r="E64" s="118" t="s">
        <v>1299</v>
      </c>
    </row>
    <row r="65" spans="2:5" ht="31.5" x14ac:dyDescent="0.25">
      <c r="B65" s="117"/>
      <c r="C65" s="109" t="s">
        <v>1300</v>
      </c>
      <c r="D65" s="109" t="s">
        <v>1301</v>
      </c>
      <c r="E65" s="119" t="s">
        <v>1299</v>
      </c>
    </row>
    <row r="66" spans="2:5" ht="32.25" thickBot="1" x14ac:dyDescent="0.3">
      <c r="B66" s="120"/>
      <c r="C66" s="121" t="s">
        <v>1302</v>
      </c>
      <c r="D66" s="121" t="s">
        <v>1303</v>
      </c>
      <c r="E66" s="122" t="s">
        <v>1304</v>
      </c>
    </row>
    <row r="67" spans="2:5" ht="16.5" thickTop="1" x14ac:dyDescent="0.25">
      <c r="B67" s="496"/>
      <c r="C67" s="497"/>
      <c r="D67" s="497"/>
      <c r="E67" s="497"/>
    </row>
    <row r="69" spans="2:5" s="1" customFormat="1" x14ac:dyDescent="0.25">
      <c r="B69" s="1" t="s">
        <v>2603</v>
      </c>
      <c r="C69" s="498" t="s">
        <v>2671</v>
      </c>
    </row>
    <row r="70" spans="2:5" ht="15.75" x14ac:dyDescent="0.25">
      <c r="B70" s="485" t="s">
        <v>2618</v>
      </c>
      <c r="C70" s="486" t="s">
        <v>2619</v>
      </c>
      <c r="D70" s="487" t="s">
        <v>2620</v>
      </c>
    </row>
    <row r="71" spans="2:5" ht="63" x14ac:dyDescent="0.25">
      <c r="B71" s="485" t="s">
        <v>2621</v>
      </c>
      <c r="C71" s="486" t="s">
        <v>2622</v>
      </c>
      <c r="D71" s="487" t="s">
        <v>2623</v>
      </c>
    </row>
    <row r="72" spans="2:5" ht="31.5" x14ac:dyDescent="0.25">
      <c r="B72" s="620" t="s">
        <v>2624</v>
      </c>
      <c r="C72" s="488" t="s">
        <v>2625</v>
      </c>
      <c r="D72" s="491" t="s">
        <v>2629</v>
      </c>
    </row>
    <row r="73" spans="2:5" ht="15.75" x14ac:dyDescent="0.25">
      <c r="B73" s="621"/>
      <c r="C73" s="489" t="s">
        <v>2626</v>
      </c>
      <c r="D73" s="492" t="s">
        <v>2630</v>
      </c>
    </row>
    <row r="74" spans="2:5" ht="31.5" x14ac:dyDescent="0.25">
      <c r="B74" s="621"/>
      <c r="C74" s="489" t="s">
        <v>2627</v>
      </c>
      <c r="D74" s="492" t="s">
        <v>1297</v>
      </c>
    </row>
    <row r="75" spans="2:5" ht="15.75" x14ac:dyDescent="0.25">
      <c r="B75" s="622"/>
      <c r="C75" s="490" t="s">
        <v>2628</v>
      </c>
      <c r="D75" s="493"/>
    </row>
    <row r="76" spans="2:5" ht="63" x14ac:dyDescent="0.25">
      <c r="B76" s="620" t="s">
        <v>2631</v>
      </c>
      <c r="C76" s="488" t="s">
        <v>2632</v>
      </c>
      <c r="D76" s="491" t="s">
        <v>2635</v>
      </c>
    </row>
    <row r="77" spans="2:5" ht="31.5" x14ac:dyDescent="0.25">
      <c r="B77" s="621"/>
      <c r="C77" s="489" t="s">
        <v>2633</v>
      </c>
      <c r="D77" s="492" t="s">
        <v>2636</v>
      </c>
    </row>
    <row r="78" spans="2:5" ht="31.5" x14ac:dyDescent="0.25">
      <c r="B78" s="621"/>
      <c r="C78" s="489" t="s">
        <v>2634</v>
      </c>
      <c r="D78" s="492" t="s">
        <v>2637</v>
      </c>
    </row>
    <row r="79" spans="2:5" ht="15.75" x14ac:dyDescent="0.25">
      <c r="B79" s="622"/>
      <c r="C79" s="493"/>
      <c r="D79" s="494" t="s">
        <v>2638</v>
      </c>
    </row>
    <row r="80" spans="2:5" ht="47.25" x14ac:dyDescent="0.25">
      <c r="B80" s="485" t="s">
        <v>2639</v>
      </c>
      <c r="C80" s="486" t="s">
        <v>2640</v>
      </c>
      <c r="D80" s="487" t="s">
        <v>2641</v>
      </c>
    </row>
    <row r="81" spans="2:4" ht="15.75" x14ac:dyDescent="0.25">
      <c r="B81" s="620" t="s">
        <v>2642</v>
      </c>
      <c r="C81" s="623" t="s">
        <v>2643</v>
      </c>
      <c r="D81" s="491" t="s">
        <v>2644</v>
      </c>
    </row>
    <row r="82" spans="2:4" ht="15.75" x14ac:dyDescent="0.25">
      <c r="B82" s="621"/>
      <c r="C82" s="624"/>
      <c r="D82" s="492" t="s">
        <v>2645</v>
      </c>
    </row>
    <row r="83" spans="2:4" ht="15.75" x14ac:dyDescent="0.25">
      <c r="B83" s="621"/>
      <c r="C83" s="624"/>
      <c r="D83" s="492" t="s">
        <v>2646</v>
      </c>
    </row>
    <row r="84" spans="2:4" ht="15.75" x14ac:dyDescent="0.25">
      <c r="B84" s="621"/>
      <c r="C84" s="624"/>
      <c r="D84" s="492" t="s">
        <v>2647</v>
      </c>
    </row>
    <row r="85" spans="2:4" ht="15.75" x14ac:dyDescent="0.25">
      <c r="B85" s="621"/>
      <c r="C85" s="624"/>
      <c r="D85" s="492" t="s">
        <v>2648</v>
      </c>
    </row>
    <row r="86" spans="2:4" ht="15.75" x14ac:dyDescent="0.25">
      <c r="B86" s="622"/>
      <c r="C86" s="625"/>
      <c r="D86" s="494" t="s">
        <v>2649</v>
      </c>
    </row>
    <row r="87" spans="2:4" ht="15.75" x14ac:dyDescent="0.25">
      <c r="B87" s="620" t="s">
        <v>2650</v>
      </c>
      <c r="C87" s="623" t="s">
        <v>2651</v>
      </c>
      <c r="D87" s="491" t="s">
        <v>2652</v>
      </c>
    </row>
    <row r="88" spans="2:4" ht="15.75" x14ac:dyDescent="0.25">
      <c r="B88" s="621"/>
      <c r="C88" s="624"/>
      <c r="D88" s="492" t="s">
        <v>2653</v>
      </c>
    </row>
    <row r="89" spans="2:4" ht="15.75" x14ac:dyDescent="0.25">
      <c r="B89" s="621"/>
      <c r="C89" s="624"/>
      <c r="D89" s="492" t="s">
        <v>2654</v>
      </c>
    </row>
    <row r="90" spans="2:4" ht="15.75" x14ac:dyDescent="0.25">
      <c r="B90" s="621"/>
      <c r="C90" s="624"/>
      <c r="D90" s="492" t="s">
        <v>2655</v>
      </c>
    </row>
    <row r="91" spans="2:4" ht="15.75" x14ac:dyDescent="0.25">
      <c r="B91" s="622"/>
      <c r="C91" s="625"/>
      <c r="D91" s="494" t="s">
        <v>2656</v>
      </c>
    </row>
    <row r="92" spans="2:4" ht="15.75" x14ac:dyDescent="0.25">
      <c r="B92" s="620" t="s">
        <v>2657</v>
      </c>
      <c r="C92" s="623" t="s">
        <v>2658</v>
      </c>
      <c r="D92" s="491" t="s">
        <v>2659</v>
      </c>
    </row>
    <row r="93" spans="2:4" ht="15.75" x14ac:dyDescent="0.25">
      <c r="B93" s="621"/>
      <c r="C93" s="624"/>
      <c r="D93" s="492" t="s">
        <v>2660</v>
      </c>
    </row>
    <row r="94" spans="2:4" ht="15.75" x14ac:dyDescent="0.25">
      <c r="B94" s="622"/>
      <c r="C94" s="625"/>
      <c r="D94" s="494" t="s">
        <v>2661</v>
      </c>
    </row>
    <row r="95" spans="2:4" ht="15.75" x14ac:dyDescent="0.25">
      <c r="B95" s="620" t="s">
        <v>2662</v>
      </c>
      <c r="C95" s="623" t="s">
        <v>2663</v>
      </c>
      <c r="D95" s="491" t="s">
        <v>2664</v>
      </c>
    </row>
    <row r="96" spans="2:4" ht="15.75" x14ac:dyDescent="0.25">
      <c r="B96" s="621"/>
      <c r="C96" s="624"/>
      <c r="D96" s="492" t="s">
        <v>2665</v>
      </c>
    </row>
    <row r="97" spans="2:4" ht="15.75" x14ac:dyDescent="0.25">
      <c r="B97" s="621"/>
      <c r="C97" s="624"/>
      <c r="D97" s="492" t="s">
        <v>2666</v>
      </c>
    </row>
    <row r="98" spans="2:4" ht="15.75" x14ac:dyDescent="0.25">
      <c r="B98" s="621"/>
      <c r="C98" s="624"/>
      <c r="D98" s="492" t="s">
        <v>2667</v>
      </c>
    </row>
    <row r="99" spans="2:4" ht="15.75" x14ac:dyDescent="0.25">
      <c r="B99" s="622"/>
      <c r="C99" s="625"/>
      <c r="D99" s="494" t="s">
        <v>2668</v>
      </c>
    </row>
    <row r="100" spans="2:4" ht="47.25" x14ac:dyDescent="0.25">
      <c r="B100" s="485" t="s">
        <v>2669</v>
      </c>
      <c r="C100" s="486" t="s">
        <v>2670</v>
      </c>
      <c r="D100" s="495"/>
    </row>
  </sheetData>
  <mergeCells count="10">
    <mergeCell ref="B92:B94"/>
    <mergeCell ref="C92:C94"/>
    <mergeCell ref="B95:B99"/>
    <mergeCell ref="C95:C99"/>
    <mergeCell ref="B72:B75"/>
    <mergeCell ref="B76:B79"/>
    <mergeCell ref="B81:B86"/>
    <mergeCell ref="C81:C86"/>
    <mergeCell ref="B87:B91"/>
    <mergeCell ref="C87:C91"/>
  </mergeCells>
  <hyperlinks>
    <hyperlink ref="C69" r:id="rId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55"/>
  <sheetViews>
    <sheetView topLeftCell="A25" workbookViewId="0">
      <selection activeCell="I59" sqref="I59"/>
    </sheetView>
  </sheetViews>
  <sheetFormatPr defaultRowHeight="15" x14ac:dyDescent="0.25"/>
  <cols>
    <col min="1" max="1" width="12.85546875" customWidth="1"/>
    <col min="2" max="2" width="25.5703125" style="176" customWidth="1"/>
    <col min="3" max="3" width="19" style="173" customWidth="1"/>
    <col min="4" max="4" width="12.7109375" style="179" customWidth="1"/>
    <col min="5" max="5" width="28.5703125" style="181" customWidth="1"/>
  </cols>
  <sheetData>
    <row r="1" spans="2:5" s="1" customFormat="1" ht="19.5" customHeight="1" x14ac:dyDescent="0.25">
      <c r="B1" s="174" t="s">
        <v>0</v>
      </c>
      <c r="C1" s="139" t="s">
        <v>1632</v>
      </c>
      <c r="D1" s="178" t="s">
        <v>1631</v>
      </c>
      <c r="E1" s="180" t="s">
        <v>1633</v>
      </c>
    </row>
    <row r="2" spans="2:5" x14ac:dyDescent="0.25">
      <c r="B2" s="175" t="s">
        <v>1511</v>
      </c>
      <c r="C2" s="626" t="s">
        <v>1129</v>
      </c>
      <c r="D2" s="627" t="s">
        <v>1129</v>
      </c>
      <c r="E2" s="181" t="s">
        <v>1634</v>
      </c>
    </row>
    <row r="3" spans="2:5" x14ac:dyDescent="0.25">
      <c r="B3" s="175" t="s">
        <v>117</v>
      </c>
      <c r="C3" s="626"/>
      <c r="D3" s="627"/>
      <c r="E3" s="181" t="s">
        <v>1634</v>
      </c>
    </row>
    <row r="4" spans="2:5" x14ac:dyDescent="0.25">
      <c r="B4" s="175" t="s">
        <v>1577</v>
      </c>
      <c r="C4" s="626"/>
      <c r="D4" s="627"/>
      <c r="E4" s="181" t="s">
        <v>1634</v>
      </c>
    </row>
    <row r="5" spans="2:5" x14ac:dyDescent="0.25">
      <c r="B5" s="175" t="s">
        <v>523</v>
      </c>
      <c r="C5" s="626"/>
      <c r="D5" s="627"/>
      <c r="E5" s="181" t="s">
        <v>1634</v>
      </c>
    </row>
    <row r="6" spans="2:5" x14ac:dyDescent="0.25">
      <c r="B6" s="175" t="s">
        <v>1129</v>
      </c>
      <c r="C6" s="626"/>
      <c r="D6" s="627"/>
      <c r="E6" s="181" t="s">
        <v>1634</v>
      </c>
    </row>
    <row r="7" spans="2:5" x14ac:dyDescent="0.25">
      <c r="B7" s="175" t="s">
        <v>2230</v>
      </c>
      <c r="C7" s="309"/>
      <c r="D7" s="627"/>
      <c r="E7" s="181" t="s">
        <v>1634</v>
      </c>
    </row>
    <row r="8" spans="2:5" x14ac:dyDescent="0.25">
      <c r="B8" s="101" t="s">
        <v>551</v>
      </c>
      <c r="C8" s="628" t="s">
        <v>1586</v>
      </c>
      <c r="D8" s="627"/>
      <c r="E8" s="181" t="s">
        <v>1634</v>
      </c>
    </row>
    <row r="9" spans="2:5" x14ac:dyDescent="0.25">
      <c r="B9" s="101" t="s">
        <v>1064</v>
      </c>
      <c r="C9" s="628"/>
      <c r="D9" s="627"/>
      <c r="E9" s="181" t="s">
        <v>1634</v>
      </c>
    </row>
    <row r="10" spans="2:5" x14ac:dyDescent="0.25">
      <c r="B10" s="175" t="s">
        <v>1053</v>
      </c>
      <c r="C10" s="626" t="s">
        <v>1581</v>
      </c>
      <c r="D10" s="627" t="s">
        <v>1581</v>
      </c>
      <c r="E10" s="181" t="s">
        <v>1634</v>
      </c>
    </row>
    <row r="11" spans="2:5" x14ac:dyDescent="0.25">
      <c r="B11" s="175" t="s">
        <v>230</v>
      </c>
      <c r="C11" s="626"/>
      <c r="D11" s="627"/>
      <c r="E11" s="181" t="s">
        <v>1634</v>
      </c>
    </row>
    <row r="12" spans="2:5" x14ac:dyDescent="0.25">
      <c r="B12" s="175" t="s">
        <v>1542</v>
      </c>
      <c r="C12" s="626"/>
      <c r="D12" s="627"/>
      <c r="E12" s="181" t="s">
        <v>1634</v>
      </c>
    </row>
    <row r="13" spans="2:5" x14ac:dyDescent="0.25">
      <c r="B13" s="175" t="s">
        <v>1541</v>
      </c>
      <c r="C13" s="626"/>
      <c r="D13" s="627"/>
      <c r="E13" s="181" t="s">
        <v>1634</v>
      </c>
    </row>
    <row r="14" spans="2:5" x14ac:dyDescent="0.25">
      <c r="B14" s="175" t="s">
        <v>463</v>
      </c>
      <c r="C14" s="626"/>
      <c r="D14" s="627"/>
      <c r="E14" s="181" t="s">
        <v>1634</v>
      </c>
    </row>
    <row r="15" spans="2:5" x14ac:dyDescent="0.25">
      <c r="B15" s="175" t="s">
        <v>159</v>
      </c>
      <c r="C15" s="626"/>
      <c r="D15" s="627"/>
      <c r="E15" s="181" t="s">
        <v>1634</v>
      </c>
    </row>
    <row r="16" spans="2:5" x14ac:dyDescent="0.25">
      <c r="B16" s="175" t="s">
        <v>527</v>
      </c>
      <c r="C16" s="626"/>
      <c r="D16" s="627"/>
      <c r="E16" s="181" t="s">
        <v>1634</v>
      </c>
    </row>
    <row r="17" spans="2:5" x14ac:dyDescent="0.25">
      <c r="B17" s="175" t="s">
        <v>2433</v>
      </c>
      <c r="C17" s="626"/>
      <c r="D17" s="627"/>
      <c r="E17" s="181" t="s">
        <v>1634</v>
      </c>
    </row>
    <row r="18" spans="2:5" x14ac:dyDescent="0.25">
      <c r="B18" s="175" t="s">
        <v>1522</v>
      </c>
      <c r="C18" s="626"/>
      <c r="D18" s="627"/>
      <c r="E18" s="181" t="s">
        <v>1634</v>
      </c>
    </row>
    <row r="19" spans="2:5" x14ac:dyDescent="0.25">
      <c r="B19" s="175" t="s">
        <v>791</v>
      </c>
      <c r="C19" s="626"/>
      <c r="D19" s="627"/>
      <c r="E19" s="181" t="s">
        <v>1634</v>
      </c>
    </row>
    <row r="20" spans="2:5" x14ac:dyDescent="0.25">
      <c r="B20" s="175" t="s">
        <v>1635</v>
      </c>
      <c r="C20" s="626"/>
      <c r="D20" s="627"/>
      <c r="E20" s="181" t="s">
        <v>1634</v>
      </c>
    </row>
    <row r="21" spans="2:5" x14ac:dyDescent="0.25">
      <c r="B21" s="175" t="s">
        <v>116</v>
      </c>
      <c r="C21" s="626"/>
      <c r="D21" s="627"/>
      <c r="E21" s="181" t="s">
        <v>1634</v>
      </c>
    </row>
    <row r="22" spans="2:5" x14ac:dyDescent="0.25">
      <c r="B22" s="101" t="s">
        <v>1053</v>
      </c>
      <c r="C22" s="628" t="s">
        <v>131</v>
      </c>
      <c r="D22" s="627"/>
      <c r="E22" s="181" t="s">
        <v>1634</v>
      </c>
    </row>
    <row r="23" spans="2:5" x14ac:dyDescent="0.25">
      <c r="B23" s="101" t="s">
        <v>617</v>
      </c>
      <c r="C23" s="628"/>
      <c r="D23" s="627"/>
      <c r="E23" s="181" t="s">
        <v>1634</v>
      </c>
    </row>
    <row r="24" spans="2:5" x14ac:dyDescent="0.25">
      <c r="B24" s="101" t="s">
        <v>1543</v>
      </c>
      <c r="C24" s="628"/>
      <c r="D24" s="627"/>
      <c r="E24" s="181" t="s">
        <v>1634</v>
      </c>
    </row>
    <row r="25" spans="2:5" x14ac:dyDescent="0.25">
      <c r="B25" s="101" t="s">
        <v>1636</v>
      </c>
      <c r="C25" s="628"/>
      <c r="D25" s="627"/>
      <c r="E25" s="181" t="s">
        <v>1634</v>
      </c>
    </row>
    <row r="26" spans="2:5" x14ac:dyDescent="0.25">
      <c r="B26" s="101" t="s">
        <v>131</v>
      </c>
      <c r="C26" s="628"/>
      <c r="D26" s="627"/>
      <c r="E26" s="181" t="s">
        <v>1634</v>
      </c>
    </row>
    <row r="27" spans="2:5" x14ac:dyDescent="0.25">
      <c r="B27" s="101" t="s">
        <v>1637</v>
      </c>
      <c r="C27" s="628"/>
      <c r="D27" s="627"/>
      <c r="E27" s="181" t="s">
        <v>1634</v>
      </c>
    </row>
    <row r="28" spans="2:5" x14ac:dyDescent="0.25">
      <c r="B28" s="175" t="s">
        <v>114</v>
      </c>
      <c r="C28" s="626" t="s">
        <v>577</v>
      </c>
      <c r="D28" s="627" t="s">
        <v>577</v>
      </c>
      <c r="E28" s="181" t="s">
        <v>1634</v>
      </c>
    </row>
    <row r="29" spans="2:5" x14ac:dyDescent="0.25">
      <c r="B29" s="175" t="s">
        <v>1537</v>
      </c>
      <c r="C29" s="626"/>
      <c r="D29" s="627"/>
      <c r="E29" s="181" t="s">
        <v>1634</v>
      </c>
    </row>
    <row r="30" spans="2:5" x14ac:dyDescent="0.25">
      <c r="B30" s="175" t="s">
        <v>397</v>
      </c>
      <c r="C30" s="626"/>
      <c r="D30" s="627"/>
      <c r="E30" s="181" t="s">
        <v>1634</v>
      </c>
    </row>
    <row r="31" spans="2:5" x14ac:dyDescent="0.25">
      <c r="B31" s="175" t="s">
        <v>1533</v>
      </c>
      <c r="C31" s="626"/>
      <c r="D31" s="627"/>
      <c r="E31" s="181" t="s">
        <v>1634</v>
      </c>
    </row>
    <row r="32" spans="2:5" x14ac:dyDescent="0.25">
      <c r="B32" s="175" t="s">
        <v>1521</v>
      </c>
      <c r="C32" s="626"/>
      <c r="D32" s="627"/>
      <c r="E32" s="181" t="s">
        <v>1634</v>
      </c>
    </row>
    <row r="33" spans="2:5" x14ac:dyDescent="0.25">
      <c r="B33" s="175" t="s">
        <v>1514</v>
      </c>
      <c r="C33" s="626"/>
      <c r="D33" s="627"/>
      <c r="E33" s="181" t="s">
        <v>1634</v>
      </c>
    </row>
    <row r="34" spans="2:5" x14ac:dyDescent="0.25">
      <c r="B34" s="175" t="s">
        <v>1540</v>
      </c>
      <c r="C34" s="626"/>
      <c r="D34" s="627"/>
      <c r="E34" s="181" t="s">
        <v>1634</v>
      </c>
    </row>
    <row r="35" spans="2:5" x14ac:dyDescent="0.25">
      <c r="B35" s="175" t="s">
        <v>1544</v>
      </c>
      <c r="C35" s="626"/>
      <c r="D35" s="627"/>
      <c r="E35" s="181" t="s">
        <v>1634</v>
      </c>
    </row>
    <row r="36" spans="2:5" x14ac:dyDescent="0.25">
      <c r="B36" s="175" t="s">
        <v>1535</v>
      </c>
      <c r="C36" s="626"/>
      <c r="D36" s="627"/>
      <c r="E36" s="181" t="s">
        <v>1634</v>
      </c>
    </row>
    <row r="37" spans="2:5" x14ac:dyDescent="0.25">
      <c r="B37" s="175" t="s">
        <v>577</v>
      </c>
      <c r="C37" s="626"/>
      <c r="D37" s="627"/>
      <c r="E37" s="181" t="s">
        <v>1634</v>
      </c>
    </row>
    <row r="38" spans="2:5" x14ac:dyDescent="0.25">
      <c r="B38" s="175" t="s">
        <v>562</v>
      </c>
      <c r="C38" s="626"/>
      <c r="D38" s="627"/>
      <c r="E38" s="181" t="s">
        <v>1634</v>
      </c>
    </row>
    <row r="39" spans="2:5" x14ac:dyDescent="0.25">
      <c r="B39" s="175" t="s">
        <v>839</v>
      </c>
      <c r="C39" s="626"/>
      <c r="D39" s="627"/>
      <c r="E39" s="181" t="s">
        <v>1634</v>
      </c>
    </row>
    <row r="40" spans="2:5" x14ac:dyDescent="0.25">
      <c r="B40" s="175" t="s">
        <v>396</v>
      </c>
      <c r="C40" s="626"/>
      <c r="D40" s="627"/>
      <c r="E40" s="181" t="s">
        <v>1634</v>
      </c>
    </row>
    <row r="41" spans="2:5" x14ac:dyDescent="0.25">
      <c r="B41" s="175" t="s">
        <v>1534</v>
      </c>
      <c r="C41" s="626"/>
      <c r="D41" s="627"/>
      <c r="E41" s="181" t="s">
        <v>1634</v>
      </c>
    </row>
    <row r="42" spans="2:5" x14ac:dyDescent="0.25">
      <c r="B42" s="175" t="s">
        <v>1539</v>
      </c>
      <c r="C42" s="626"/>
      <c r="D42" s="627"/>
      <c r="E42" s="181" t="s">
        <v>1634</v>
      </c>
    </row>
    <row r="43" spans="2:5" x14ac:dyDescent="0.25">
      <c r="B43" s="175" t="s">
        <v>158</v>
      </c>
      <c r="C43" s="626"/>
      <c r="D43" s="627"/>
      <c r="E43" s="181" t="s">
        <v>1634</v>
      </c>
    </row>
    <row r="44" spans="2:5" x14ac:dyDescent="0.25">
      <c r="B44" s="175" t="s">
        <v>1532</v>
      </c>
      <c r="C44" s="626"/>
      <c r="D44" s="627"/>
      <c r="E44" s="181" t="s">
        <v>1634</v>
      </c>
    </row>
    <row r="45" spans="2:5" x14ac:dyDescent="0.25">
      <c r="B45" s="175" t="s">
        <v>1530</v>
      </c>
      <c r="C45" s="626"/>
      <c r="D45" s="627"/>
      <c r="E45" s="181" t="s">
        <v>1634</v>
      </c>
    </row>
    <row r="46" spans="2:5" x14ac:dyDescent="0.25">
      <c r="B46" s="175" t="s">
        <v>278</v>
      </c>
      <c r="C46" s="626"/>
      <c r="D46" s="627"/>
      <c r="E46" s="181" t="s">
        <v>1634</v>
      </c>
    </row>
    <row r="47" spans="2:5" x14ac:dyDescent="0.25">
      <c r="B47" s="175" t="s">
        <v>243</v>
      </c>
      <c r="C47" s="626"/>
      <c r="D47" s="627"/>
      <c r="E47" s="181" t="s">
        <v>1634</v>
      </c>
    </row>
    <row r="48" spans="2:5" x14ac:dyDescent="0.25">
      <c r="B48" s="175" t="s">
        <v>1510</v>
      </c>
      <c r="C48" s="626"/>
      <c r="D48" s="627"/>
      <c r="E48" s="181" t="s">
        <v>1634</v>
      </c>
    </row>
    <row r="49" spans="2:5" x14ac:dyDescent="0.25">
      <c r="B49" s="175" t="s">
        <v>2697</v>
      </c>
      <c r="C49" s="483" t="s">
        <v>2698</v>
      </c>
      <c r="D49" s="484"/>
      <c r="E49" s="181" t="s">
        <v>1634</v>
      </c>
    </row>
    <row r="50" spans="2:5" x14ac:dyDescent="0.25">
      <c r="B50" s="175"/>
      <c r="C50" s="615"/>
      <c r="D50" s="616"/>
    </row>
    <row r="51" spans="2:5" x14ac:dyDescent="0.25">
      <c r="B51" s="175" t="s">
        <v>635</v>
      </c>
      <c r="C51" s="312" t="s">
        <v>2262</v>
      </c>
      <c r="D51" s="313"/>
      <c r="E51" s="181" t="s">
        <v>2263</v>
      </c>
    </row>
    <row r="52" spans="2:5" x14ac:dyDescent="0.25">
      <c r="B52" s="175" t="s">
        <v>635</v>
      </c>
      <c r="C52" s="182" t="s">
        <v>1585</v>
      </c>
      <c r="D52" s="627" t="s">
        <v>635</v>
      </c>
      <c r="E52" s="181" t="s">
        <v>1638</v>
      </c>
    </row>
    <row r="53" spans="2:5" x14ac:dyDescent="0.25">
      <c r="B53" s="175" t="s">
        <v>635</v>
      </c>
      <c r="C53" s="183" t="s">
        <v>1582</v>
      </c>
      <c r="D53" s="627"/>
      <c r="E53" s="181" t="s">
        <v>1639</v>
      </c>
    </row>
    <row r="54" spans="2:5" x14ac:dyDescent="0.25">
      <c r="B54" s="175" t="s">
        <v>635</v>
      </c>
      <c r="C54" s="182" t="s">
        <v>1583</v>
      </c>
      <c r="D54" s="627"/>
      <c r="E54" s="181" t="s">
        <v>1640</v>
      </c>
    </row>
    <row r="55" spans="2:5" x14ac:dyDescent="0.25">
      <c r="B55" s="175" t="s">
        <v>635</v>
      </c>
      <c r="C55" s="183" t="s">
        <v>1641</v>
      </c>
      <c r="D55" s="627"/>
      <c r="E55" s="181" t="s">
        <v>1642</v>
      </c>
    </row>
  </sheetData>
  <mergeCells count="9">
    <mergeCell ref="C28:C48"/>
    <mergeCell ref="D28:D48"/>
    <mergeCell ref="D52:D55"/>
    <mergeCell ref="C2:C6"/>
    <mergeCell ref="D2:D9"/>
    <mergeCell ref="C8:C9"/>
    <mergeCell ref="C10:C21"/>
    <mergeCell ref="D10:D27"/>
    <mergeCell ref="C22:C2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40"/>
  <sheetViews>
    <sheetView topLeftCell="A4" workbookViewId="0">
      <selection activeCell="N30" sqref="N30"/>
    </sheetView>
  </sheetViews>
  <sheetFormatPr defaultRowHeight="15" x14ac:dyDescent="0.25"/>
  <cols>
    <col min="2" max="2" width="16.42578125" style="5" customWidth="1"/>
    <col min="3" max="3" width="27.140625" style="5" customWidth="1"/>
    <col min="4" max="4" width="35.5703125" style="5" customWidth="1"/>
    <col min="5" max="5" width="24" style="5" customWidth="1"/>
  </cols>
  <sheetData>
    <row r="1" spans="2:5" s="1" customFormat="1" ht="21" customHeight="1" x14ac:dyDescent="0.25">
      <c r="B1" s="16" t="s">
        <v>1643</v>
      </c>
      <c r="C1" s="16" t="s">
        <v>1632</v>
      </c>
      <c r="D1" s="16" t="s">
        <v>1631</v>
      </c>
      <c r="E1" s="16" t="s">
        <v>1633</v>
      </c>
    </row>
    <row r="2" spans="2:5" x14ac:dyDescent="0.25">
      <c r="B2" s="125" t="s">
        <v>132</v>
      </c>
      <c r="C2" s="629" t="s">
        <v>132</v>
      </c>
      <c r="D2" s="630" t="s">
        <v>1644</v>
      </c>
      <c r="E2" s="5" t="s">
        <v>1644</v>
      </c>
    </row>
    <row r="3" spans="2:5" x14ac:dyDescent="0.25">
      <c r="B3" s="125" t="s">
        <v>797</v>
      </c>
      <c r="C3" s="629"/>
      <c r="D3" s="630"/>
      <c r="E3" s="5" t="s">
        <v>1644</v>
      </c>
    </row>
    <row r="4" spans="2:5" x14ac:dyDescent="0.25">
      <c r="B4" s="125" t="s">
        <v>1645</v>
      </c>
      <c r="C4" s="629"/>
      <c r="D4" s="630"/>
      <c r="E4" s="5" t="s">
        <v>1644</v>
      </c>
    </row>
    <row r="5" spans="2:5" x14ac:dyDescent="0.25">
      <c r="B5" s="21" t="s">
        <v>158</v>
      </c>
      <c r="C5" s="147" t="s">
        <v>158</v>
      </c>
      <c r="D5" s="630"/>
      <c r="E5" s="5" t="s">
        <v>1644</v>
      </c>
    </row>
    <row r="6" spans="2:5" x14ac:dyDescent="0.25">
      <c r="B6" s="21"/>
      <c r="C6" s="147"/>
      <c r="D6" s="630"/>
      <c r="E6" s="5" t="s">
        <v>1644</v>
      </c>
    </row>
    <row r="7" spans="2:5" x14ac:dyDescent="0.25">
      <c r="B7" s="148" t="s">
        <v>116</v>
      </c>
      <c r="C7" s="149" t="s">
        <v>116</v>
      </c>
      <c r="D7" s="630"/>
      <c r="E7" s="5" t="s">
        <v>1644</v>
      </c>
    </row>
    <row r="8" spans="2:5" x14ac:dyDescent="0.25">
      <c r="B8" s="148"/>
      <c r="C8" s="148"/>
      <c r="D8" s="630"/>
      <c r="E8" s="5" t="s">
        <v>1644</v>
      </c>
    </row>
    <row r="9" spans="2:5" x14ac:dyDescent="0.25">
      <c r="B9" s="54" t="s">
        <v>220</v>
      </c>
      <c r="C9" s="631" t="s">
        <v>1646</v>
      </c>
      <c r="D9" s="630"/>
      <c r="E9" s="5" t="s">
        <v>1644</v>
      </c>
    </row>
    <row r="10" spans="2:5" x14ac:dyDescent="0.25">
      <c r="B10" s="54" t="s">
        <v>584</v>
      </c>
      <c r="C10" s="631"/>
      <c r="D10" s="630"/>
      <c r="E10" s="5" t="s">
        <v>1644</v>
      </c>
    </row>
    <row r="11" spans="2:5" x14ac:dyDescent="0.25">
      <c r="B11" s="54" t="s">
        <v>2327</v>
      </c>
      <c r="C11" s="631"/>
      <c r="D11" s="630"/>
      <c r="E11" s="5" t="s">
        <v>1644</v>
      </c>
    </row>
    <row r="12" spans="2:5" x14ac:dyDescent="0.25">
      <c r="B12" s="54" t="s">
        <v>3463</v>
      </c>
      <c r="C12" s="631"/>
      <c r="D12" s="630"/>
      <c r="E12" s="5" t="s">
        <v>1644</v>
      </c>
    </row>
    <row r="13" spans="2:5" x14ac:dyDescent="0.25">
      <c r="B13" s="54" t="s">
        <v>520</v>
      </c>
      <c r="C13" s="534"/>
      <c r="D13" s="533"/>
      <c r="E13" s="5" t="s">
        <v>1644</v>
      </c>
    </row>
    <row r="14" spans="2:5" x14ac:dyDescent="0.25">
      <c r="B14" s="54" t="s">
        <v>1128</v>
      </c>
      <c r="C14" s="534"/>
      <c r="D14" s="533"/>
      <c r="E14" s="5" t="s">
        <v>1644</v>
      </c>
    </row>
    <row r="15" spans="2:5" x14ac:dyDescent="0.25">
      <c r="B15" s="54" t="s">
        <v>1053</v>
      </c>
      <c r="C15" s="534"/>
      <c r="D15" s="533"/>
      <c r="E15" s="5" t="s">
        <v>1644</v>
      </c>
    </row>
    <row r="16" spans="2:5" x14ac:dyDescent="0.25">
      <c r="B16" s="54" t="s">
        <v>3317</v>
      </c>
      <c r="C16" s="534"/>
      <c r="D16" s="533"/>
      <c r="E16" s="5" t="s">
        <v>1644</v>
      </c>
    </row>
    <row r="17" spans="2:5" x14ac:dyDescent="0.25">
      <c r="B17" s="125" t="s">
        <v>3553</v>
      </c>
      <c r="C17" s="532" t="s">
        <v>229</v>
      </c>
      <c r="D17" s="533"/>
      <c r="E17" s="5" t="s">
        <v>1644</v>
      </c>
    </row>
    <row r="18" spans="2:5" x14ac:dyDescent="0.25">
      <c r="B18" s="125" t="s">
        <v>2326</v>
      </c>
      <c r="C18" s="532"/>
      <c r="D18" s="533"/>
      <c r="E18" s="5" t="s">
        <v>1644</v>
      </c>
    </row>
    <row r="19" spans="2:5" x14ac:dyDescent="0.25">
      <c r="B19" s="125" t="s">
        <v>3557</v>
      </c>
      <c r="C19" s="532"/>
      <c r="D19" s="533"/>
      <c r="E19" s="5" t="s">
        <v>1644</v>
      </c>
    </row>
    <row r="20" spans="2:5" x14ac:dyDescent="0.25">
      <c r="B20" s="125" t="s">
        <v>396</v>
      </c>
      <c r="C20" s="532"/>
      <c r="D20" s="533"/>
      <c r="E20" s="5" t="s">
        <v>1644</v>
      </c>
    </row>
    <row r="21" spans="2:5" x14ac:dyDescent="0.25">
      <c r="B21" s="125" t="s">
        <v>3561</v>
      </c>
      <c r="C21" s="532"/>
      <c r="D21" s="533"/>
      <c r="E21" s="5" t="s">
        <v>1644</v>
      </c>
    </row>
    <row r="22" spans="2:5" x14ac:dyDescent="0.25">
      <c r="B22" s="125" t="s">
        <v>242</v>
      </c>
      <c r="C22" s="532"/>
      <c r="D22" s="533"/>
      <c r="E22" s="5" t="s">
        <v>1644</v>
      </c>
    </row>
    <row r="23" spans="2:5" x14ac:dyDescent="0.25">
      <c r="B23" s="125" t="s">
        <v>1480</v>
      </c>
      <c r="C23" s="532"/>
      <c r="D23" s="533"/>
      <c r="E23" s="5" t="s">
        <v>1644</v>
      </c>
    </row>
    <row r="24" spans="2:5" x14ac:dyDescent="0.25">
      <c r="B24" s="125" t="s">
        <v>3559</v>
      </c>
      <c r="C24" s="532"/>
      <c r="D24" s="533"/>
      <c r="E24" s="5" t="s">
        <v>1644</v>
      </c>
    </row>
    <row r="25" spans="2:5" x14ac:dyDescent="0.25">
      <c r="B25" s="125" t="s">
        <v>3560</v>
      </c>
      <c r="C25" s="532"/>
      <c r="D25" s="533"/>
      <c r="E25" s="5" t="s">
        <v>1644</v>
      </c>
    </row>
    <row r="26" spans="2:5" x14ac:dyDescent="0.25">
      <c r="B26" s="125" t="s">
        <v>3616</v>
      </c>
      <c r="C26" s="532"/>
      <c r="D26" s="533"/>
      <c r="E26" s="5" t="s">
        <v>1644</v>
      </c>
    </row>
    <row r="27" spans="2:5" x14ac:dyDescent="0.25">
      <c r="B27" s="125" t="s">
        <v>3761</v>
      </c>
      <c r="C27" s="535"/>
      <c r="D27" s="536"/>
      <c r="E27" s="5" t="s">
        <v>1644</v>
      </c>
    </row>
    <row r="28" spans="2:5" x14ac:dyDescent="0.25">
      <c r="B28" s="125" t="s">
        <v>366</v>
      </c>
      <c r="C28" s="535"/>
      <c r="D28" s="536"/>
      <c r="E28" s="5" t="s">
        <v>1644</v>
      </c>
    </row>
    <row r="29" spans="2:5" x14ac:dyDescent="0.25">
      <c r="B29" s="54" t="s">
        <v>3485</v>
      </c>
      <c r="C29" s="534" t="s">
        <v>3555</v>
      </c>
      <c r="D29" s="533"/>
      <c r="E29" s="5" t="s">
        <v>1644</v>
      </c>
    </row>
    <row r="30" spans="2:5" x14ac:dyDescent="0.25">
      <c r="B30" s="54" t="s">
        <v>3554</v>
      </c>
      <c r="C30" s="534"/>
      <c r="D30" s="533"/>
      <c r="E30" s="5" t="s">
        <v>1644</v>
      </c>
    </row>
    <row r="31" spans="2:5" x14ac:dyDescent="0.25">
      <c r="B31" s="54" t="s">
        <v>3768</v>
      </c>
      <c r="C31" s="537"/>
      <c r="D31" s="536"/>
      <c r="E31" s="5" t="s">
        <v>1644</v>
      </c>
    </row>
    <row r="32" spans="2:5" x14ac:dyDescent="0.25">
      <c r="B32" s="54" t="s">
        <v>4609</v>
      </c>
      <c r="C32" s="618"/>
      <c r="D32" s="617"/>
      <c r="E32" s="5" t="s">
        <v>1644</v>
      </c>
    </row>
    <row r="33" spans="2:5" x14ac:dyDescent="0.25">
      <c r="B33" s="54" t="s">
        <v>4634</v>
      </c>
      <c r="C33" s="618"/>
      <c r="D33" s="617"/>
      <c r="E33" s="5" t="s">
        <v>1644</v>
      </c>
    </row>
    <row r="34" spans="2:5" x14ac:dyDescent="0.25">
      <c r="B34" s="150"/>
      <c r="C34" s="150" t="s">
        <v>685</v>
      </c>
      <c r="D34" s="632" t="s">
        <v>1647</v>
      </c>
      <c r="E34" s="5" t="s">
        <v>1648</v>
      </c>
    </row>
    <row r="35" spans="2:5" x14ac:dyDescent="0.25">
      <c r="B35" s="150"/>
      <c r="C35" s="150" t="s">
        <v>1649</v>
      </c>
      <c r="D35" s="632"/>
      <c r="E35" s="5" t="s">
        <v>1648</v>
      </c>
    </row>
    <row r="36" spans="2:5" x14ac:dyDescent="0.25">
      <c r="B36" s="150"/>
      <c r="C36" s="150" t="s">
        <v>1650</v>
      </c>
      <c r="D36" s="632"/>
      <c r="E36" s="5" t="s">
        <v>1648</v>
      </c>
    </row>
    <row r="37" spans="2:5" x14ac:dyDescent="0.25">
      <c r="B37" s="150"/>
      <c r="C37" s="150" t="s">
        <v>1651</v>
      </c>
      <c r="D37" s="632"/>
      <c r="E37" s="5" t="s">
        <v>1648</v>
      </c>
    </row>
    <row r="38" spans="2:5" x14ac:dyDescent="0.25">
      <c r="B38" s="150"/>
      <c r="C38" s="150" t="s">
        <v>1652</v>
      </c>
      <c r="D38" s="632" t="s">
        <v>1653</v>
      </c>
      <c r="E38" s="5" t="s">
        <v>1648</v>
      </c>
    </row>
    <row r="39" spans="2:5" x14ac:dyDescent="0.25">
      <c r="B39" s="150"/>
      <c r="C39" s="150" t="s">
        <v>1654</v>
      </c>
      <c r="D39" s="632"/>
      <c r="E39" s="5" t="s">
        <v>1648</v>
      </c>
    </row>
    <row r="40" spans="2:5" x14ac:dyDescent="0.25">
      <c r="B40" s="150"/>
      <c r="C40" s="150" t="s">
        <v>1655</v>
      </c>
      <c r="D40" s="632"/>
      <c r="E40" s="5" t="s">
        <v>1648</v>
      </c>
    </row>
  </sheetData>
  <mergeCells count="5">
    <mergeCell ref="C2:C4"/>
    <mergeCell ref="D2:D12"/>
    <mergeCell ref="C9:C12"/>
    <mergeCell ref="D34:D37"/>
    <mergeCell ref="D38:D4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15"/>
  <sheetViews>
    <sheetView workbookViewId="0">
      <selection activeCell="K19" sqref="K19"/>
    </sheetView>
  </sheetViews>
  <sheetFormatPr defaultRowHeight="15" x14ac:dyDescent="0.25"/>
  <cols>
    <col min="3" max="3" width="24.85546875" customWidth="1"/>
    <col min="4" max="4" width="19.42578125" customWidth="1"/>
    <col min="5" max="5" width="21.28515625" customWidth="1"/>
    <col min="6" max="6" width="13" customWidth="1"/>
  </cols>
  <sheetData>
    <row r="1" spans="3:6" x14ac:dyDescent="0.25">
      <c r="C1" s="16" t="s">
        <v>4570</v>
      </c>
      <c r="D1" s="16" t="s">
        <v>1632</v>
      </c>
      <c r="E1" s="16" t="s">
        <v>1631</v>
      </c>
      <c r="F1" s="16" t="s">
        <v>1633</v>
      </c>
    </row>
    <row r="2" spans="3:6" x14ac:dyDescent="0.25">
      <c r="C2" s="612" t="s">
        <v>4571</v>
      </c>
      <c r="D2" s="612" t="s">
        <v>231</v>
      </c>
      <c r="E2" t="s">
        <v>2125</v>
      </c>
    </row>
    <row r="3" spans="3:6" x14ac:dyDescent="0.25">
      <c r="C3" s="614" t="s">
        <v>298</v>
      </c>
      <c r="D3" s="612" t="s">
        <v>231</v>
      </c>
      <c r="E3" t="s">
        <v>2125</v>
      </c>
    </row>
    <row r="4" spans="3:6" x14ac:dyDescent="0.25">
      <c r="C4" s="612" t="s">
        <v>560</v>
      </c>
      <c r="D4" s="612" t="s">
        <v>231</v>
      </c>
      <c r="E4" t="s">
        <v>2125</v>
      </c>
    </row>
    <row r="5" spans="3:6" x14ac:dyDescent="0.25">
      <c r="C5" s="612" t="s">
        <v>4575</v>
      </c>
      <c r="D5" s="612" t="s">
        <v>231</v>
      </c>
      <c r="E5" t="s">
        <v>2125</v>
      </c>
    </row>
    <row r="6" spans="3:6" x14ac:dyDescent="0.25">
      <c r="C6" s="612" t="s">
        <v>4576</v>
      </c>
      <c r="D6" s="612" t="s">
        <v>231</v>
      </c>
      <c r="E6" t="s">
        <v>2125</v>
      </c>
    </row>
    <row r="7" spans="3:6" x14ac:dyDescent="0.25">
      <c r="C7" s="612" t="s">
        <v>2305</v>
      </c>
      <c r="D7" s="612" t="s">
        <v>231</v>
      </c>
      <c r="E7" t="s">
        <v>2125</v>
      </c>
    </row>
    <row r="8" spans="3:6" x14ac:dyDescent="0.25">
      <c r="C8" s="612" t="s">
        <v>2400</v>
      </c>
      <c r="D8" s="612" t="s">
        <v>231</v>
      </c>
      <c r="E8" t="s">
        <v>2125</v>
      </c>
    </row>
    <row r="9" spans="3:6" x14ac:dyDescent="0.25">
      <c r="C9" s="612" t="s">
        <v>3056</v>
      </c>
      <c r="D9" s="612" t="s">
        <v>231</v>
      </c>
      <c r="E9" t="s">
        <v>2125</v>
      </c>
    </row>
    <row r="10" spans="3:6" x14ac:dyDescent="0.25">
      <c r="C10" s="613" t="s">
        <v>4573</v>
      </c>
      <c r="D10" s="613" t="s">
        <v>4574</v>
      </c>
      <c r="E10" t="s">
        <v>4588</v>
      </c>
    </row>
    <row r="11" spans="3:6" x14ac:dyDescent="0.25">
      <c r="C11" s="613" t="s">
        <v>477</v>
      </c>
      <c r="D11" s="613" t="s">
        <v>4574</v>
      </c>
      <c r="E11" t="s">
        <v>4588</v>
      </c>
    </row>
    <row r="12" spans="3:6" x14ac:dyDescent="0.25">
      <c r="C12" s="613" t="s">
        <v>521</v>
      </c>
      <c r="D12" s="613" t="s">
        <v>4574</v>
      </c>
      <c r="E12" t="s">
        <v>4588</v>
      </c>
    </row>
    <row r="13" spans="3:6" x14ac:dyDescent="0.25">
      <c r="C13" s="613" t="s">
        <v>462</v>
      </c>
      <c r="D13" s="613" t="s">
        <v>4574</v>
      </c>
      <c r="E13" t="s">
        <v>4588</v>
      </c>
    </row>
    <row r="14" spans="3:6" x14ac:dyDescent="0.25">
      <c r="C14" s="613" t="s">
        <v>4572</v>
      </c>
      <c r="D14" s="613" t="s">
        <v>4574</v>
      </c>
      <c r="E14" t="s">
        <v>4588</v>
      </c>
    </row>
    <row r="15" spans="3:6" x14ac:dyDescent="0.25">
      <c r="C15" s="613" t="s">
        <v>218</v>
      </c>
      <c r="D15" s="613" t="s">
        <v>218</v>
      </c>
      <c r="E15" t="s">
        <v>2126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
  <sheetViews>
    <sheetView workbookViewId="0">
      <selection activeCell="J24" sqref="J24"/>
    </sheetView>
  </sheetViews>
  <sheetFormatPr defaultRowHeight="15" x14ac:dyDescent="0.25"/>
  <cols>
    <col min="2" max="2" width="15.85546875" customWidth="1"/>
    <col min="3" max="3" width="35.42578125" customWidth="1"/>
  </cols>
  <sheetData>
    <row r="1" spans="2:3" s="1" customFormat="1" ht="28.5" customHeight="1" x14ac:dyDescent="0.25">
      <c r="B1" s="1" t="s">
        <v>1688</v>
      </c>
      <c r="C1" s="1" t="s">
        <v>1633</v>
      </c>
    </row>
    <row r="2" spans="2:3" x14ac:dyDescent="0.25">
      <c r="B2" t="s">
        <v>1686</v>
      </c>
      <c r="C2" t="s">
        <v>1689</v>
      </c>
    </row>
    <row r="3" spans="2:3" x14ac:dyDescent="0.25">
      <c r="B3" t="s">
        <v>1687</v>
      </c>
      <c r="C3" t="s">
        <v>1689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workbookViewId="0">
      <selection activeCell="F1" sqref="F1"/>
    </sheetView>
  </sheetViews>
  <sheetFormatPr defaultRowHeight="15" x14ac:dyDescent="0.25"/>
  <cols>
    <col min="1" max="1" width="9.140625" style="5"/>
    <col min="2" max="2" width="64.140625" style="5" customWidth="1"/>
    <col min="3" max="3" width="9.140625" style="5"/>
    <col min="4" max="4" width="10" style="5" customWidth="1"/>
    <col min="5" max="5" width="68.42578125" style="5" customWidth="1"/>
    <col min="6" max="9" width="9.140625" style="5"/>
  </cols>
  <sheetData>
    <row r="1" spans="1:9" s="1" customFormat="1" x14ac:dyDescent="0.25">
      <c r="A1" s="6" t="s">
        <v>1418</v>
      </c>
      <c r="B1" s="6" t="s">
        <v>1419</v>
      </c>
      <c r="C1" s="6" t="s">
        <v>109</v>
      </c>
      <c r="D1" s="6" t="s">
        <v>1420</v>
      </c>
      <c r="E1" s="6" t="s">
        <v>4566</v>
      </c>
      <c r="F1" s="6" t="s">
        <v>4567</v>
      </c>
      <c r="G1" s="6"/>
      <c r="H1" s="6"/>
      <c r="I1" s="6"/>
    </row>
    <row r="2" spans="1:9" x14ac:dyDescent="0.25">
      <c r="A2" s="5">
        <v>1</v>
      </c>
      <c r="B2" s="5" t="s">
        <v>1441</v>
      </c>
      <c r="C2" s="5">
        <v>60</v>
      </c>
      <c r="D2" s="5" t="s">
        <v>1465</v>
      </c>
      <c r="E2" s="5" t="s">
        <v>1466</v>
      </c>
    </row>
    <row r="3" spans="1:9" x14ac:dyDescent="0.25">
      <c r="A3" s="5">
        <v>2</v>
      </c>
      <c r="B3" s="5" t="s">
        <v>1490</v>
      </c>
    </row>
    <row r="4" spans="1:9" x14ac:dyDescent="0.25">
      <c r="A4" s="5">
        <v>3</v>
      </c>
      <c r="B4" s="5" t="s">
        <v>2406</v>
      </c>
    </row>
    <row r="5" spans="1:9" x14ac:dyDescent="0.25">
      <c r="A5" s="5">
        <v>4</v>
      </c>
      <c r="B5" s="5" t="s">
        <v>2408</v>
      </c>
    </row>
    <row r="6" spans="1:9" x14ac:dyDescent="0.25">
      <c r="A6" s="5">
        <v>5</v>
      </c>
      <c r="B6" s="5" t="s">
        <v>2409</v>
      </c>
    </row>
    <row r="7" spans="1:9" x14ac:dyDescent="0.25">
      <c r="A7" s="5">
        <v>6</v>
      </c>
      <c r="B7" s="5" t="s">
        <v>2414</v>
      </c>
    </row>
    <row r="8" spans="1:9" x14ac:dyDescent="0.25">
      <c r="A8" s="5">
        <v>7</v>
      </c>
      <c r="B8" s="5" t="s">
        <v>2423</v>
      </c>
    </row>
    <row r="9" spans="1:9" x14ac:dyDescent="0.25">
      <c r="A9" s="5">
        <v>8</v>
      </c>
      <c r="B9" s="5" t="s">
        <v>3454</v>
      </c>
    </row>
    <row r="10" spans="1:9" x14ac:dyDescent="0.25">
      <c r="A10" s="5">
        <v>9</v>
      </c>
      <c r="B10" s="5" t="s">
        <v>3456</v>
      </c>
    </row>
    <row r="11" spans="1:9" x14ac:dyDescent="0.25">
      <c r="A11" s="5">
        <v>10</v>
      </c>
      <c r="B11" s="5" t="s">
        <v>4563</v>
      </c>
      <c r="E11" s="5" t="s">
        <v>4564</v>
      </c>
      <c r="F11" s="5" t="s">
        <v>4565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Sheet1</vt:lpstr>
      <vt:lpstr>Explanation</vt:lpstr>
      <vt:lpstr>ExperimentID</vt:lpstr>
      <vt:lpstr>Units convertion</vt:lpstr>
      <vt:lpstr>RsUnits</vt:lpstr>
      <vt:lpstr>SoilClassfication</vt:lpstr>
      <vt:lpstr>CoverCropGroup</vt:lpstr>
      <vt:lpstr>GrainCropGroup</vt:lpstr>
      <vt:lpstr>TillageGroup</vt:lpstr>
      <vt:lpstr>SD&amp;SE</vt:lpstr>
      <vt:lpstr>ReadMe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2018-08-26T15:08:30Z</dcterms:modified>
</cp:coreProperties>
</file>